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bookViews>
    <workbookView xWindow="-120" yWindow="-120" windowWidth="38640" windowHeight="23520" xr2:uid="{00000000-000D-0000-FFFF-FFFF00000000}"/>
  </bookViews>
  <sheets>
    <sheet name="Read me" sheetId="1" r:id="rId1"/>
    <sheet name="Summary" sheetId="2" r:id="rId2"/>
    <sheet name="Inputs" sheetId="3" r:id="rId3"/>
    <sheet name="Prices" sheetId="4" r:id="rId4"/>
    <sheet name="Capital" sheetId="5" r:id="rId5"/>
    <sheet name="DCF" sheetId="6" r:id="rId6"/>
    <sheet name="Profitability" sheetId="7" r:id="rId7"/>
    <sheet name="Sensitivity" sheetId="8" r:id="rId8"/>
    <sheet name="Funding" sheetId="9" r:id="rId9"/>
    <sheet name="Record" sheetId="10" r:id="rId10"/>
    <sheet name="Comps" sheetId="11" r:id="rId11"/>
    <sheet name="Provenance" sheetId="12" r:id="rId12"/>
    <sheet name="Sources" sheetId="13" r:id="rId13"/>
    <sheet name="GridDCF" sheetId="14" r:id="rId14"/>
    <sheet name="Requirements" sheetId="15" r:id="rId15"/>
    <sheet name="RecoveryDCF" sheetId="16" r:id="rId16"/>
    <sheet name="Recovery" sheetId="17" r:id="rId17"/>
    <sheet name="ValueMW" sheetId="18" r:id="rId18"/>
    <sheet name="PageFigures" sheetId="19" r:id="rId19"/>
  </sheets>
  <definedNames>
    <definedName name="_xlnm.Print_Area" localSheetId="4">Capital!$A$1:$D$30</definedName>
    <definedName name="_xlnm.Print_Area" localSheetId="10">Comps!$A$1:$O$41</definedName>
    <definedName name="_xlnm.Print_Area" localSheetId="5">DCF!$A$1:$M$5154</definedName>
    <definedName name="_xlnm.Print_Area" localSheetId="8">Funding!$A$1:$G$17</definedName>
    <definedName name="_xlnm.Print_Area" localSheetId="13">GridDCF!$A$1:$M$4418</definedName>
    <definedName name="_xlnm.Print_Area" localSheetId="2">Inputs!$A$1:$H$259</definedName>
    <definedName name="_xlnm.Print_Area" localSheetId="18">PageFigures!$A$1:$H$115</definedName>
    <definedName name="_xlnm.Print_Area" localSheetId="3">Prices!$A$1:$L$32</definedName>
    <definedName name="_xlnm.Print_Area" localSheetId="6">Profitability!$A$1:$E$68</definedName>
    <definedName name="_xlnm.Print_Area" localSheetId="11">Provenance!$A$1:$F$259</definedName>
    <definedName name="_xlnm.Print_Area" localSheetId="0">'Read me'!$A$1:$G$48</definedName>
    <definedName name="_xlnm.Print_Area" localSheetId="9">Record!$A$1:$G$21</definedName>
    <definedName name="_xlnm.Print_Area" localSheetId="16">Recovery!$A$1:$I$31</definedName>
    <definedName name="_xlnm.Print_Area" localSheetId="15">RecoveryDCF!$A$1:$M$140</definedName>
    <definedName name="_xlnm.Print_Area" localSheetId="14">Requirements!$A$1:$K$101</definedName>
    <definedName name="_xlnm.Print_Area" localSheetId="7">Sensitivity!$A$1:$M$68</definedName>
    <definedName name="_xlnm.Print_Area" localSheetId="12">Sources!$A$1:$I$168</definedName>
    <definedName name="_xlnm.Print_Area" localSheetId="1">Summary!$A$1:$F$49</definedName>
    <definedName name="_xlnm.Print_Area" localSheetId="17">ValueMW!$A$1:$F$13</definedName>
    <definedName name="_xlnm.Print_Titles" localSheetId="4">Capital!$1:$5</definedName>
    <definedName name="_xlnm.Print_Titles" localSheetId="10">Comps!$1:$5</definedName>
    <definedName name="_xlnm.Print_Titles" localSheetId="5">DCF!$1:$5</definedName>
    <definedName name="_xlnm.Print_Titles" localSheetId="8">Funding!$1:$5</definedName>
    <definedName name="_xlnm.Print_Titles" localSheetId="13">GridDCF!$1:$5</definedName>
    <definedName name="_xlnm.Print_Titles" localSheetId="2">Inputs!$1:$5</definedName>
    <definedName name="_xlnm.Print_Titles" localSheetId="18">PageFigures!$1:$5</definedName>
    <definedName name="_xlnm.Print_Titles" localSheetId="3">Prices!$1:$5</definedName>
    <definedName name="_xlnm.Print_Titles" localSheetId="6">Profitability!$1:$3</definedName>
    <definedName name="_xlnm.Print_Titles" localSheetId="11">Provenance!$1:$5</definedName>
    <definedName name="_xlnm.Print_Titles" localSheetId="0">'Read me'!$1:$4</definedName>
    <definedName name="_xlnm.Print_Titles" localSheetId="9">Record!$1:$5</definedName>
    <definedName name="_xlnm.Print_Titles" localSheetId="16">Recovery!$1:$5</definedName>
    <definedName name="_xlnm.Print_Titles" localSheetId="15">RecoveryDCF!$1:$5</definedName>
    <definedName name="_xlnm.Print_Titles" localSheetId="14">Requirements!$1:$5</definedName>
    <definedName name="_xlnm.Print_Titles" localSheetId="7">Sensitivity!$1:$5</definedName>
    <definedName name="_xlnm.Print_Titles" localSheetId="12">Sources!$1:$5</definedName>
    <definedName name="_xlnm.Print_Titles" localSheetId="1">Summary!$1:$4</definedName>
    <definedName name="_xlnm.Print_Titles" localSheetId="17">ValueMW!$1:$5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5" i="19" l="1"/>
  <c r="E114" i="19"/>
  <c r="B114" i="19"/>
  <c r="E113" i="19"/>
  <c r="B113" i="19"/>
  <c r="E112" i="19"/>
  <c r="B112" i="19"/>
  <c r="E111" i="19"/>
  <c r="B111" i="19"/>
  <c r="E110" i="19"/>
  <c r="B110" i="19"/>
  <c r="E109" i="19"/>
  <c r="E108" i="19"/>
  <c r="E107" i="19"/>
  <c r="E106" i="19"/>
  <c r="E105" i="19"/>
  <c r="E104" i="19"/>
  <c r="E103" i="19"/>
  <c r="E102" i="19"/>
  <c r="E101" i="19"/>
  <c r="E100" i="19"/>
  <c r="E99" i="19"/>
  <c r="E98" i="19"/>
  <c r="E97" i="19"/>
  <c r="E96" i="19"/>
  <c r="E95" i="19"/>
  <c r="E94" i="19"/>
  <c r="E93" i="19"/>
  <c r="E92" i="19"/>
  <c r="E91" i="19"/>
  <c r="E90" i="19"/>
  <c r="E89" i="19"/>
  <c r="E88" i="19"/>
  <c r="E87" i="19"/>
  <c r="E86" i="19"/>
  <c r="E85" i="19"/>
  <c r="E84" i="19"/>
  <c r="E83" i="19"/>
  <c r="E82" i="19"/>
  <c r="E81" i="19"/>
  <c r="E80" i="19"/>
  <c r="E79" i="19"/>
  <c r="E78" i="19"/>
  <c r="E77" i="19"/>
  <c r="E76" i="19"/>
  <c r="E75" i="19"/>
  <c r="E74" i="19"/>
  <c r="E73" i="19"/>
  <c r="E72" i="19"/>
  <c r="E71" i="19"/>
  <c r="E70" i="19"/>
  <c r="E69" i="19"/>
  <c r="E68" i="19"/>
  <c r="E67" i="19"/>
  <c r="E66" i="19"/>
  <c r="E65" i="19"/>
  <c r="E64" i="19"/>
  <c r="E63" i="19"/>
  <c r="E62" i="19"/>
  <c r="E61" i="19"/>
  <c r="E60" i="19"/>
  <c r="E59" i="19"/>
  <c r="E58" i="19"/>
  <c r="E57" i="19"/>
  <c r="E56" i="19"/>
  <c r="E55" i="19"/>
  <c r="E54" i="19"/>
  <c r="E53" i="19"/>
  <c r="E52" i="19"/>
  <c r="E51" i="19"/>
  <c r="E50" i="19"/>
  <c r="E49" i="19"/>
  <c r="E48" i="19"/>
  <c r="E47" i="19"/>
  <c r="E46" i="19"/>
  <c r="E45" i="19"/>
  <c r="E44" i="19"/>
  <c r="E43" i="19"/>
  <c r="E42" i="19"/>
  <c r="E41" i="19"/>
  <c r="E40" i="19"/>
  <c r="E39" i="19"/>
  <c r="E38" i="19"/>
  <c r="E37" i="19"/>
  <c r="E36" i="19"/>
  <c r="E35" i="19"/>
  <c r="E34" i="19"/>
  <c r="E33" i="19"/>
  <c r="E32" i="19"/>
  <c r="E31" i="19"/>
  <c r="E30" i="19"/>
  <c r="E29" i="19"/>
  <c r="E28" i="19"/>
  <c r="E27" i="19"/>
  <c r="E26" i="19"/>
  <c r="E25" i="19"/>
  <c r="E24" i="19"/>
  <c r="E23" i="19"/>
  <c r="E22" i="19"/>
  <c r="E21" i="19"/>
  <c r="E20" i="19"/>
  <c r="E19" i="19"/>
  <c r="E18" i="19"/>
  <c r="E17" i="19"/>
  <c r="E16" i="19"/>
  <c r="E15" i="19"/>
  <c r="E14" i="19"/>
  <c r="E13" i="19"/>
  <c r="E12" i="19"/>
  <c r="E11" i="19"/>
  <c r="E10" i="19"/>
  <c r="E9" i="19"/>
  <c r="E8" i="19"/>
  <c r="E7" i="19"/>
  <c r="E6" i="19"/>
  <c r="A3" i="19"/>
  <c r="A3" i="18"/>
  <c r="A3" i="17"/>
  <c r="D126" i="16"/>
  <c r="D125" i="16"/>
  <c r="D123" i="16"/>
  <c r="D103" i="16"/>
  <c r="M102" i="16"/>
  <c r="L102" i="16"/>
  <c r="K102" i="16"/>
  <c r="J102" i="16"/>
  <c r="I102" i="16"/>
  <c r="H102" i="16"/>
  <c r="G102" i="16"/>
  <c r="F102" i="16"/>
  <c r="E102" i="16"/>
  <c r="D102" i="16"/>
  <c r="M101" i="16"/>
  <c r="L101" i="16"/>
  <c r="K101" i="16"/>
  <c r="J101" i="16"/>
  <c r="I101" i="16"/>
  <c r="H101" i="16"/>
  <c r="G101" i="16"/>
  <c r="F101" i="16"/>
  <c r="E101" i="16"/>
  <c r="M99" i="16"/>
  <c r="M100" i="16" s="1"/>
  <c r="L99" i="16"/>
  <c r="L100" i="16" s="1"/>
  <c r="K99" i="16"/>
  <c r="K100" i="16" s="1"/>
  <c r="J99" i="16"/>
  <c r="J100" i="16" s="1"/>
  <c r="I99" i="16"/>
  <c r="I100" i="16" s="1"/>
  <c r="H99" i="16"/>
  <c r="H100" i="16" s="1"/>
  <c r="G99" i="16"/>
  <c r="G100" i="16" s="1"/>
  <c r="F99" i="16"/>
  <c r="F100" i="16" s="1"/>
  <c r="E99" i="16"/>
  <c r="E100" i="16" s="1"/>
  <c r="D99" i="16"/>
  <c r="D100" i="16" s="1"/>
  <c r="D101" i="16" s="1"/>
  <c r="M98" i="16"/>
  <c r="L98" i="16"/>
  <c r="K98" i="16"/>
  <c r="J98" i="16"/>
  <c r="I98" i="16"/>
  <c r="H98" i="16"/>
  <c r="G98" i="16"/>
  <c r="F98" i="16"/>
  <c r="E98" i="16"/>
  <c r="D98" i="16"/>
  <c r="D80" i="16"/>
  <c r="D79" i="16"/>
  <c r="D77" i="16"/>
  <c r="D57" i="16"/>
  <c r="M56" i="16"/>
  <c r="L56" i="16"/>
  <c r="K56" i="16"/>
  <c r="J56" i="16"/>
  <c r="I56" i="16"/>
  <c r="H56" i="16"/>
  <c r="G56" i="16"/>
  <c r="F56" i="16"/>
  <c r="E56" i="16"/>
  <c r="D56" i="16"/>
  <c r="M55" i="16"/>
  <c r="L55" i="16"/>
  <c r="K55" i="16"/>
  <c r="J55" i="16"/>
  <c r="I55" i="16"/>
  <c r="H55" i="16"/>
  <c r="G55" i="16"/>
  <c r="F55" i="16"/>
  <c r="E55" i="16"/>
  <c r="M53" i="16"/>
  <c r="M54" i="16" s="1"/>
  <c r="L53" i="16"/>
  <c r="L54" i="16" s="1"/>
  <c r="K53" i="16"/>
  <c r="K54" i="16" s="1"/>
  <c r="J53" i="16"/>
  <c r="J54" i="16" s="1"/>
  <c r="I53" i="16"/>
  <c r="I54" i="16" s="1"/>
  <c r="H53" i="16"/>
  <c r="H54" i="16" s="1"/>
  <c r="G53" i="16"/>
  <c r="G54" i="16" s="1"/>
  <c r="F53" i="16"/>
  <c r="F54" i="16" s="1"/>
  <c r="E53" i="16"/>
  <c r="E54" i="16" s="1"/>
  <c r="D53" i="16"/>
  <c r="D54" i="16" s="1"/>
  <c r="D55" i="16" s="1"/>
  <c r="M52" i="16"/>
  <c r="L52" i="16"/>
  <c r="K52" i="16"/>
  <c r="J52" i="16"/>
  <c r="I52" i="16"/>
  <c r="H52" i="16"/>
  <c r="G52" i="16"/>
  <c r="F52" i="16"/>
  <c r="E52" i="16"/>
  <c r="D52" i="16"/>
  <c r="D34" i="16"/>
  <c r="D33" i="16"/>
  <c r="D31" i="16"/>
  <c r="D11" i="16"/>
  <c r="M10" i="16"/>
  <c r="L10" i="16"/>
  <c r="K10" i="16"/>
  <c r="J10" i="16"/>
  <c r="I10" i="16"/>
  <c r="H10" i="16"/>
  <c r="G10" i="16"/>
  <c r="F10" i="16"/>
  <c r="E10" i="16"/>
  <c r="D10" i="16"/>
  <c r="M9" i="16"/>
  <c r="L9" i="16"/>
  <c r="K9" i="16"/>
  <c r="J9" i="16"/>
  <c r="I9" i="16"/>
  <c r="H9" i="16"/>
  <c r="G9" i="16"/>
  <c r="F9" i="16"/>
  <c r="E9" i="16"/>
  <c r="M7" i="16"/>
  <c r="M8" i="16" s="1"/>
  <c r="L7" i="16"/>
  <c r="L8" i="16" s="1"/>
  <c r="K7" i="16"/>
  <c r="K8" i="16" s="1"/>
  <c r="J7" i="16"/>
  <c r="J8" i="16" s="1"/>
  <c r="I7" i="16"/>
  <c r="I8" i="16" s="1"/>
  <c r="H7" i="16"/>
  <c r="H8" i="16" s="1"/>
  <c r="G7" i="16"/>
  <c r="G8" i="16" s="1"/>
  <c r="F7" i="16"/>
  <c r="F8" i="16" s="1"/>
  <c r="E7" i="16"/>
  <c r="E8" i="16" s="1"/>
  <c r="D7" i="16"/>
  <c r="D8" i="16" s="1"/>
  <c r="D9" i="16" s="1"/>
  <c r="M6" i="16"/>
  <c r="L6" i="16"/>
  <c r="K6" i="16"/>
  <c r="J6" i="16"/>
  <c r="I6" i="16"/>
  <c r="H6" i="16"/>
  <c r="G6" i="16"/>
  <c r="F6" i="16"/>
  <c r="E6" i="16"/>
  <c r="D6" i="16"/>
  <c r="A3" i="16"/>
  <c r="C101" i="15"/>
  <c r="B101" i="15"/>
  <c r="C100" i="15"/>
  <c r="B100" i="15"/>
  <c r="B95" i="15"/>
  <c r="C94" i="15"/>
  <c r="B94" i="15"/>
  <c r="C93" i="15"/>
  <c r="B93" i="15"/>
  <c r="C92" i="15"/>
  <c r="B92" i="15"/>
  <c r="C91" i="15"/>
  <c r="B91" i="15"/>
  <c r="C90" i="15"/>
  <c r="B90" i="15"/>
  <c r="C89" i="15"/>
  <c r="B89" i="15"/>
  <c r="C88" i="15"/>
  <c r="B88" i="15"/>
  <c r="C87" i="15"/>
  <c r="B87" i="15"/>
  <c r="C86" i="15"/>
  <c r="B86" i="15"/>
  <c r="C85" i="15"/>
  <c r="B85" i="15"/>
  <c r="C84" i="15"/>
  <c r="B84" i="15"/>
  <c r="C83" i="15"/>
  <c r="B83" i="15"/>
  <c r="C82" i="15"/>
  <c r="B82" i="15"/>
  <c r="C81" i="15"/>
  <c r="B81" i="15"/>
  <c r="C80" i="15"/>
  <c r="B80" i="15"/>
  <c r="C79" i="15"/>
  <c r="B79" i="15"/>
  <c r="C78" i="15"/>
  <c r="B78" i="15"/>
  <c r="C77" i="15"/>
  <c r="B77" i="15"/>
  <c r="C76" i="15"/>
  <c r="B76" i="15"/>
  <c r="C75" i="15"/>
  <c r="B75" i="15"/>
  <c r="C74" i="15"/>
  <c r="B74" i="15"/>
  <c r="C73" i="15"/>
  <c r="B73" i="15"/>
  <c r="C72" i="15"/>
  <c r="B72" i="15"/>
  <c r="C71" i="15"/>
  <c r="B71" i="15"/>
  <c r="C70" i="15"/>
  <c r="B70" i="15"/>
  <c r="C67" i="15"/>
  <c r="B67" i="15"/>
  <c r="C66" i="15"/>
  <c r="B66" i="15"/>
  <c r="C65" i="15"/>
  <c r="B65" i="15"/>
  <c r="C64" i="15"/>
  <c r="B64" i="15"/>
  <c r="C63" i="15"/>
  <c r="B63" i="15"/>
  <c r="C62" i="15"/>
  <c r="B62" i="15"/>
  <c r="C61" i="15"/>
  <c r="B61" i="15"/>
  <c r="C60" i="15"/>
  <c r="B60" i="15"/>
  <c r="C59" i="15"/>
  <c r="B59" i="15"/>
  <c r="C58" i="15"/>
  <c r="B58" i="15"/>
  <c r="C57" i="15"/>
  <c r="B57" i="15"/>
  <c r="C56" i="15"/>
  <c r="B56" i="15"/>
  <c r="C55" i="15"/>
  <c r="B55" i="15"/>
  <c r="C54" i="15"/>
  <c r="B54" i="15"/>
  <c r="C53" i="15"/>
  <c r="B53" i="15"/>
  <c r="C52" i="15"/>
  <c r="B52" i="15"/>
  <c r="A3" i="15"/>
  <c r="D4404" i="14"/>
  <c r="D4403" i="14"/>
  <c r="D4381" i="14"/>
  <c r="M4380" i="14"/>
  <c r="L4380" i="14"/>
  <c r="K4380" i="14"/>
  <c r="J4380" i="14"/>
  <c r="I4380" i="14"/>
  <c r="H4380" i="14"/>
  <c r="G4380" i="14"/>
  <c r="F4380" i="14"/>
  <c r="E4380" i="14"/>
  <c r="D4380" i="14"/>
  <c r="M4379" i="14"/>
  <c r="L4379" i="14"/>
  <c r="K4379" i="14"/>
  <c r="J4379" i="14"/>
  <c r="I4379" i="14"/>
  <c r="H4379" i="14"/>
  <c r="G4379" i="14"/>
  <c r="F4379" i="14"/>
  <c r="E4379" i="14"/>
  <c r="M4377" i="14"/>
  <c r="M4378" i="14" s="1"/>
  <c r="L4377" i="14"/>
  <c r="L4378" i="14" s="1"/>
  <c r="K4377" i="14"/>
  <c r="K4378" i="14" s="1"/>
  <c r="J4377" i="14"/>
  <c r="J4378" i="14" s="1"/>
  <c r="I4377" i="14"/>
  <c r="I4378" i="14" s="1"/>
  <c r="H4377" i="14"/>
  <c r="H4378" i="14" s="1"/>
  <c r="G4377" i="14"/>
  <c r="G4378" i="14" s="1"/>
  <c r="F4377" i="14"/>
  <c r="F4378" i="14" s="1"/>
  <c r="E4377" i="14"/>
  <c r="E4378" i="14" s="1"/>
  <c r="D4377" i="14"/>
  <c r="D4378" i="14" s="1"/>
  <c r="D4379" i="14" s="1"/>
  <c r="M4376" i="14"/>
  <c r="L4376" i="14"/>
  <c r="K4376" i="14"/>
  <c r="J4376" i="14"/>
  <c r="I4376" i="14"/>
  <c r="H4376" i="14"/>
  <c r="G4376" i="14"/>
  <c r="F4376" i="14"/>
  <c r="E4376" i="14"/>
  <c r="D4376" i="14"/>
  <c r="D4358" i="14"/>
  <c r="D4357" i="14"/>
  <c r="D4335" i="14"/>
  <c r="M4334" i="14"/>
  <c r="L4334" i="14"/>
  <c r="K4334" i="14"/>
  <c r="J4334" i="14"/>
  <c r="I4334" i="14"/>
  <c r="H4334" i="14"/>
  <c r="G4334" i="14"/>
  <c r="F4334" i="14"/>
  <c r="E4334" i="14"/>
  <c r="D4334" i="14"/>
  <c r="M4333" i="14"/>
  <c r="L4333" i="14"/>
  <c r="K4333" i="14"/>
  <c r="J4333" i="14"/>
  <c r="I4333" i="14"/>
  <c r="H4333" i="14"/>
  <c r="G4333" i="14"/>
  <c r="F4333" i="14"/>
  <c r="E4333" i="14"/>
  <c r="M4331" i="14"/>
  <c r="M4332" i="14" s="1"/>
  <c r="L4331" i="14"/>
  <c r="L4332" i="14" s="1"/>
  <c r="K4331" i="14"/>
  <c r="K4332" i="14" s="1"/>
  <c r="J4331" i="14"/>
  <c r="J4332" i="14" s="1"/>
  <c r="I4331" i="14"/>
  <c r="I4332" i="14" s="1"/>
  <c r="H4331" i="14"/>
  <c r="H4332" i="14" s="1"/>
  <c r="G4331" i="14"/>
  <c r="G4332" i="14" s="1"/>
  <c r="F4331" i="14"/>
  <c r="F4332" i="14" s="1"/>
  <c r="E4331" i="14"/>
  <c r="E4332" i="14" s="1"/>
  <c r="D4331" i="14"/>
  <c r="D4332" i="14" s="1"/>
  <c r="D4333" i="14" s="1"/>
  <c r="M4330" i="14"/>
  <c r="L4330" i="14"/>
  <c r="K4330" i="14"/>
  <c r="J4330" i="14"/>
  <c r="I4330" i="14"/>
  <c r="H4330" i="14"/>
  <c r="G4330" i="14"/>
  <c r="F4330" i="14"/>
  <c r="E4330" i="14"/>
  <c r="D4330" i="14"/>
  <c r="D4312" i="14"/>
  <c r="C99" i="15" s="1"/>
  <c r="D4311" i="14"/>
  <c r="B99" i="15" s="1"/>
  <c r="D4289" i="14"/>
  <c r="M4288" i="14"/>
  <c r="L4288" i="14"/>
  <c r="K4288" i="14"/>
  <c r="J4288" i="14"/>
  <c r="I4288" i="14"/>
  <c r="H4288" i="14"/>
  <c r="G4288" i="14"/>
  <c r="F4288" i="14"/>
  <c r="E4288" i="14"/>
  <c r="D4288" i="14"/>
  <c r="M4287" i="14"/>
  <c r="L4287" i="14"/>
  <c r="K4287" i="14"/>
  <c r="J4287" i="14"/>
  <c r="I4287" i="14"/>
  <c r="H4287" i="14"/>
  <c r="G4287" i="14"/>
  <c r="F4287" i="14"/>
  <c r="E4287" i="14"/>
  <c r="M4285" i="14"/>
  <c r="M4286" i="14" s="1"/>
  <c r="L4285" i="14"/>
  <c r="L4286" i="14" s="1"/>
  <c r="K4285" i="14"/>
  <c r="K4286" i="14" s="1"/>
  <c r="J4285" i="14"/>
  <c r="J4286" i="14" s="1"/>
  <c r="I4285" i="14"/>
  <c r="I4286" i="14" s="1"/>
  <c r="H4285" i="14"/>
  <c r="H4286" i="14" s="1"/>
  <c r="G4285" i="14"/>
  <c r="G4286" i="14" s="1"/>
  <c r="F4285" i="14"/>
  <c r="F4286" i="14" s="1"/>
  <c r="E4285" i="14"/>
  <c r="E4286" i="14" s="1"/>
  <c r="D4285" i="14"/>
  <c r="D4286" i="14" s="1"/>
  <c r="D4287" i="14" s="1"/>
  <c r="M4284" i="14"/>
  <c r="L4284" i="14"/>
  <c r="K4284" i="14"/>
  <c r="J4284" i="14"/>
  <c r="I4284" i="14"/>
  <c r="H4284" i="14"/>
  <c r="G4284" i="14"/>
  <c r="F4284" i="14"/>
  <c r="E4284" i="14"/>
  <c r="D4284" i="14"/>
  <c r="D4266" i="14"/>
  <c r="C98" i="15" s="1"/>
  <c r="D4265" i="14"/>
  <c r="B98" i="15" s="1"/>
  <c r="D4243" i="14"/>
  <c r="M4242" i="14"/>
  <c r="L4242" i="14"/>
  <c r="K4242" i="14"/>
  <c r="J4242" i="14"/>
  <c r="I4242" i="14"/>
  <c r="H4242" i="14"/>
  <c r="G4242" i="14"/>
  <c r="F4242" i="14"/>
  <c r="E4242" i="14"/>
  <c r="D4242" i="14"/>
  <c r="M4241" i="14"/>
  <c r="L4241" i="14"/>
  <c r="K4241" i="14"/>
  <c r="J4241" i="14"/>
  <c r="I4241" i="14"/>
  <c r="H4241" i="14"/>
  <c r="G4241" i="14"/>
  <c r="F4241" i="14"/>
  <c r="E4241" i="14"/>
  <c r="M4239" i="14"/>
  <c r="M4240" i="14" s="1"/>
  <c r="L4239" i="14"/>
  <c r="L4240" i="14" s="1"/>
  <c r="K4239" i="14"/>
  <c r="K4240" i="14" s="1"/>
  <c r="J4239" i="14"/>
  <c r="J4240" i="14" s="1"/>
  <c r="I4239" i="14"/>
  <c r="I4240" i="14" s="1"/>
  <c r="H4239" i="14"/>
  <c r="H4240" i="14" s="1"/>
  <c r="G4239" i="14"/>
  <c r="G4240" i="14" s="1"/>
  <c r="F4239" i="14"/>
  <c r="F4240" i="14" s="1"/>
  <c r="E4239" i="14"/>
  <c r="E4240" i="14" s="1"/>
  <c r="D4239" i="14"/>
  <c r="D4240" i="14" s="1"/>
  <c r="D4241" i="14" s="1"/>
  <c r="M4238" i="14"/>
  <c r="L4238" i="14"/>
  <c r="K4238" i="14"/>
  <c r="J4238" i="14"/>
  <c r="I4238" i="14"/>
  <c r="H4238" i="14"/>
  <c r="G4238" i="14"/>
  <c r="F4238" i="14"/>
  <c r="E4238" i="14"/>
  <c r="D4238" i="14"/>
  <c r="D4220" i="14"/>
  <c r="C97" i="15" s="1"/>
  <c r="D4219" i="14"/>
  <c r="B97" i="15" s="1"/>
  <c r="D4197" i="14"/>
  <c r="M4196" i="14"/>
  <c r="L4196" i="14"/>
  <c r="K4196" i="14"/>
  <c r="J4196" i="14"/>
  <c r="I4196" i="14"/>
  <c r="H4196" i="14"/>
  <c r="G4196" i="14"/>
  <c r="F4196" i="14"/>
  <c r="E4196" i="14"/>
  <c r="D4196" i="14"/>
  <c r="M4195" i="14"/>
  <c r="L4195" i="14"/>
  <c r="K4195" i="14"/>
  <c r="J4195" i="14"/>
  <c r="I4195" i="14"/>
  <c r="H4195" i="14"/>
  <c r="G4195" i="14"/>
  <c r="F4195" i="14"/>
  <c r="E4195" i="14"/>
  <c r="M4193" i="14"/>
  <c r="M4194" i="14" s="1"/>
  <c r="L4193" i="14"/>
  <c r="L4194" i="14" s="1"/>
  <c r="K4193" i="14"/>
  <c r="K4194" i="14" s="1"/>
  <c r="J4193" i="14"/>
  <c r="J4194" i="14" s="1"/>
  <c r="I4193" i="14"/>
  <c r="I4194" i="14" s="1"/>
  <c r="H4193" i="14"/>
  <c r="H4194" i="14" s="1"/>
  <c r="G4193" i="14"/>
  <c r="G4194" i="14" s="1"/>
  <c r="F4193" i="14"/>
  <c r="F4194" i="14" s="1"/>
  <c r="E4193" i="14"/>
  <c r="E4194" i="14" s="1"/>
  <c r="D4193" i="14"/>
  <c r="D4194" i="14" s="1"/>
  <c r="D4195" i="14" s="1"/>
  <c r="M4192" i="14"/>
  <c r="L4192" i="14"/>
  <c r="K4192" i="14"/>
  <c r="J4192" i="14"/>
  <c r="I4192" i="14"/>
  <c r="H4192" i="14"/>
  <c r="G4192" i="14"/>
  <c r="F4192" i="14"/>
  <c r="E4192" i="14"/>
  <c r="D4192" i="14"/>
  <c r="D4174" i="14"/>
  <c r="C96" i="15" s="1"/>
  <c r="D4173" i="14"/>
  <c r="B96" i="15" s="1"/>
  <c r="D4151" i="14"/>
  <c r="M4150" i="14"/>
  <c r="L4150" i="14"/>
  <c r="K4150" i="14"/>
  <c r="J4150" i="14"/>
  <c r="I4150" i="14"/>
  <c r="H4150" i="14"/>
  <c r="G4150" i="14"/>
  <c r="F4150" i="14"/>
  <c r="E4150" i="14"/>
  <c r="D4150" i="14"/>
  <c r="M4149" i="14"/>
  <c r="L4149" i="14"/>
  <c r="K4149" i="14"/>
  <c r="J4149" i="14"/>
  <c r="I4149" i="14"/>
  <c r="H4149" i="14"/>
  <c r="G4149" i="14"/>
  <c r="F4149" i="14"/>
  <c r="E4149" i="14"/>
  <c r="M4147" i="14"/>
  <c r="M4148" i="14" s="1"/>
  <c r="L4147" i="14"/>
  <c r="L4148" i="14" s="1"/>
  <c r="K4147" i="14"/>
  <c r="K4148" i="14" s="1"/>
  <c r="J4147" i="14"/>
  <c r="J4148" i="14" s="1"/>
  <c r="I4147" i="14"/>
  <c r="I4148" i="14" s="1"/>
  <c r="H4147" i="14"/>
  <c r="H4148" i="14" s="1"/>
  <c r="G4147" i="14"/>
  <c r="G4148" i="14" s="1"/>
  <c r="F4147" i="14"/>
  <c r="F4148" i="14" s="1"/>
  <c r="E4147" i="14"/>
  <c r="E4148" i="14" s="1"/>
  <c r="D4147" i="14"/>
  <c r="D4148" i="14" s="1"/>
  <c r="D4149" i="14" s="1"/>
  <c r="M4146" i="14"/>
  <c r="L4146" i="14"/>
  <c r="K4146" i="14"/>
  <c r="J4146" i="14"/>
  <c r="I4146" i="14"/>
  <c r="H4146" i="14"/>
  <c r="G4146" i="14"/>
  <c r="F4146" i="14"/>
  <c r="E4146" i="14"/>
  <c r="D4146" i="14"/>
  <c r="D4128" i="14"/>
  <c r="C95" i="15" s="1"/>
  <c r="D4127" i="14"/>
  <c r="D4105" i="14"/>
  <c r="M4104" i="14"/>
  <c r="L4104" i="14"/>
  <c r="K4104" i="14"/>
  <c r="J4104" i="14"/>
  <c r="I4104" i="14"/>
  <c r="H4104" i="14"/>
  <c r="G4104" i="14"/>
  <c r="F4104" i="14"/>
  <c r="E4104" i="14"/>
  <c r="D4104" i="14"/>
  <c r="M4103" i="14"/>
  <c r="L4103" i="14"/>
  <c r="K4103" i="14"/>
  <c r="J4103" i="14"/>
  <c r="I4103" i="14"/>
  <c r="H4103" i="14"/>
  <c r="G4103" i="14"/>
  <c r="F4103" i="14"/>
  <c r="E4103" i="14"/>
  <c r="M4101" i="14"/>
  <c r="M4102" i="14" s="1"/>
  <c r="L4101" i="14"/>
  <c r="L4102" i="14" s="1"/>
  <c r="K4101" i="14"/>
  <c r="K4102" i="14" s="1"/>
  <c r="J4101" i="14"/>
  <c r="J4102" i="14" s="1"/>
  <c r="I4101" i="14"/>
  <c r="I4102" i="14" s="1"/>
  <c r="H4101" i="14"/>
  <c r="H4102" i="14" s="1"/>
  <c r="G4101" i="14"/>
  <c r="G4102" i="14" s="1"/>
  <c r="F4101" i="14"/>
  <c r="F4102" i="14" s="1"/>
  <c r="E4101" i="14"/>
  <c r="E4102" i="14" s="1"/>
  <c r="D4101" i="14"/>
  <c r="D4102" i="14" s="1"/>
  <c r="D4103" i="14" s="1"/>
  <c r="M4100" i="14"/>
  <c r="L4100" i="14"/>
  <c r="K4100" i="14"/>
  <c r="J4100" i="14"/>
  <c r="I4100" i="14"/>
  <c r="H4100" i="14"/>
  <c r="G4100" i="14"/>
  <c r="F4100" i="14"/>
  <c r="E4100" i="14"/>
  <c r="D4100" i="14"/>
  <c r="D4082" i="14"/>
  <c r="D4081" i="14"/>
  <c r="D4059" i="14"/>
  <c r="M4058" i="14"/>
  <c r="L4058" i="14"/>
  <c r="K4058" i="14"/>
  <c r="J4058" i="14"/>
  <c r="I4058" i="14"/>
  <c r="H4058" i="14"/>
  <c r="G4058" i="14"/>
  <c r="F4058" i="14"/>
  <c r="E4058" i="14"/>
  <c r="D4058" i="14"/>
  <c r="M4057" i="14"/>
  <c r="L4057" i="14"/>
  <c r="K4057" i="14"/>
  <c r="J4057" i="14"/>
  <c r="I4057" i="14"/>
  <c r="H4057" i="14"/>
  <c r="G4057" i="14"/>
  <c r="F4057" i="14"/>
  <c r="E4057" i="14"/>
  <c r="M4055" i="14"/>
  <c r="M4056" i="14" s="1"/>
  <c r="L4055" i="14"/>
  <c r="L4056" i="14" s="1"/>
  <c r="K4055" i="14"/>
  <c r="K4056" i="14" s="1"/>
  <c r="J4055" i="14"/>
  <c r="J4056" i="14" s="1"/>
  <c r="I4055" i="14"/>
  <c r="I4056" i="14" s="1"/>
  <c r="H4055" i="14"/>
  <c r="H4056" i="14" s="1"/>
  <c r="G4055" i="14"/>
  <c r="G4056" i="14" s="1"/>
  <c r="F4055" i="14"/>
  <c r="F4056" i="14" s="1"/>
  <c r="E4055" i="14"/>
  <c r="E4056" i="14" s="1"/>
  <c r="D4055" i="14"/>
  <c r="D4056" i="14" s="1"/>
  <c r="D4057" i="14" s="1"/>
  <c r="M4054" i="14"/>
  <c r="L4054" i="14"/>
  <c r="K4054" i="14"/>
  <c r="J4054" i="14"/>
  <c r="I4054" i="14"/>
  <c r="H4054" i="14"/>
  <c r="G4054" i="14"/>
  <c r="F4054" i="14"/>
  <c r="E4054" i="14"/>
  <c r="D4054" i="14"/>
  <c r="D4036" i="14"/>
  <c r="D4035" i="14"/>
  <c r="D4013" i="14"/>
  <c r="M4012" i="14"/>
  <c r="L4012" i="14"/>
  <c r="K4012" i="14"/>
  <c r="J4012" i="14"/>
  <c r="I4012" i="14"/>
  <c r="H4012" i="14"/>
  <c r="G4012" i="14"/>
  <c r="F4012" i="14"/>
  <c r="E4012" i="14"/>
  <c r="D4012" i="14"/>
  <c r="M4011" i="14"/>
  <c r="L4011" i="14"/>
  <c r="K4011" i="14"/>
  <c r="J4011" i="14"/>
  <c r="I4011" i="14"/>
  <c r="H4011" i="14"/>
  <c r="G4011" i="14"/>
  <c r="F4011" i="14"/>
  <c r="E4011" i="14"/>
  <c r="M4009" i="14"/>
  <c r="M4010" i="14" s="1"/>
  <c r="L4009" i="14"/>
  <c r="L4010" i="14" s="1"/>
  <c r="K4009" i="14"/>
  <c r="K4010" i="14" s="1"/>
  <c r="J4009" i="14"/>
  <c r="J4010" i="14" s="1"/>
  <c r="I4009" i="14"/>
  <c r="I4010" i="14" s="1"/>
  <c r="H4009" i="14"/>
  <c r="H4010" i="14" s="1"/>
  <c r="G4009" i="14"/>
  <c r="G4010" i="14" s="1"/>
  <c r="F4009" i="14"/>
  <c r="F4010" i="14" s="1"/>
  <c r="E4009" i="14"/>
  <c r="E4010" i="14" s="1"/>
  <c r="D4009" i="14"/>
  <c r="D4010" i="14" s="1"/>
  <c r="D4011" i="14" s="1"/>
  <c r="M4008" i="14"/>
  <c r="L4008" i="14"/>
  <c r="K4008" i="14"/>
  <c r="J4008" i="14"/>
  <c r="I4008" i="14"/>
  <c r="H4008" i="14"/>
  <c r="G4008" i="14"/>
  <c r="F4008" i="14"/>
  <c r="E4008" i="14"/>
  <c r="D4008" i="14"/>
  <c r="D3990" i="14"/>
  <c r="D3989" i="14"/>
  <c r="D3967" i="14"/>
  <c r="M3966" i="14"/>
  <c r="L3966" i="14"/>
  <c r="K3966" i="14"/>
  <c r="J3966" i="14"/>
  <c r="I3966" i="14"/>
  <c r="H3966" i="14"/>
  <c r="G3966" i="14"/>
  <c r="F3966" i="14"/>
  <c r="E3966" i="14"/>
  <c r="D3966" i="14"/>
  <c r="M3965" i="14"/>
  <c r="L3965" i="14"/>
  <c r="K3965" i="14"/>
  <c r="J3965" i="14"/>
  <c r="I3965" i="14"/>
  <c r="H3965" i="14"/>
  <c r="G3965" i="14"/>
  <c r="F3965" i="14"/>
  <c r="E3965" i="14"/>
  <c r="M3963" i="14"/>
  <c r="M3964" i="14" s="1"/>
  <c r="L3963" i="14"/>
  <c r="L3964" i="14" s="1"/>
  <c r="K3963" i="14"/>
  <c r="K3964" i="14" s="1"/>
  <c r="J3963" i="14"/>
  <c r="J3964" i="14" s="1"/>
  <c r="I3963" i="14"/>
  <c r="I3964" i="14" s="1"/>
  <c r="H3963" i="14"/>
  <c r="H3964" i="14" s="1"/>
  <c r="G3963" i="14"/>
  <c r="G3964" i="14" s="1"/>
  <c r="F3963" i="14"/>
  <c r="F3964" i="14" s="1"/>
  <c r="E3963" i="14"/>
  <c r="E3964" i="14" s="1"/>
  <c r="D3963" i="14"/>
  <c r="D3964" i="14" s="1"/>
  <c r="D3965" i="14" s="1"/>
  <c r="M3962" i="14"/>
  <c r="L3962" i="14"/>
  <c r="K3962" i="14"/>
  <c r="J3962" i="14"/>
  <c r="I3962" i="14"/>
  <c r="H3962" i="14"/>
  <c r="G3962" i="14"/>
  <c r="F3962" i="14"/>
  <c r="E3962" i="14"/>
  <c r="D3962" i="14"/>
  <c r="D3944" i="14"/>
  <c r="D3943" i="14"/>
  <c r="D3921" i="14"/>
  <c r="M3920" i="14"/>
  <c r="L3920" i="14"/>
  <c r="K3920" i="14"/>
  <c r="J3920" i="14"/>
  <c r="I3920" i="14"/>
  <c r="H3920" i="14"/>
  <c r="G3920" i="14"/>
  <c r="F3920" i="14"/>
  <c r="E3920" i="14"/>
  <c r="D3920" i="14"/>
  <c r="M3919" i="14"/>
  <c r="L3919" i="14"/>
  <c r="K3919" i="14"/>
  <c r="J3919" i="14"/>
  <c r="I3919" i="14"/>
  <c r="H3919" i="14"/>
  <c r="G3919" i="14"/>
  <c r="F3919" i="14"/>
  <c r="E3919" i="14"/>
  <c r="M3917" i="14"/>
  <c r="M3918" i="14" s="1"/>
  <c r="L3917" i="14"/>
  <c r="L3918" i="14" s="1"/>
  <c r="K3917" i="14"/>
  <c r="K3918" i="14" s="1"/>
  <c r="J3917" i="14"/>
  <c r="J3918" i="14" s="1"/>
  <c r="I3917" i="14"/>
  <c r="I3918" i="14" s="1"/>
  <c r="H3917" i="14"/>
  <c r="H3918" i="14" s="1"/>
  <c r="G3917" i="14"/>
  <c r="G3918" i="14" s="1"/>
  <c r="F3917" i="14"/>
  <c r="F3918" i="14" s="1"/>
  <c r="E3917" i="14"/>
  <c r="E3918" i="14" s="1"/>
  <c r="D3917" i="14"/>
  <c r="D3918" i="14" s="1"/>
  <c r="D3919" i="14" s="1"/>
  <c r="M3916" i="14"/>
  <c r="L3916" i="14"/>
  <c r="K3916" i="14"/>
  <c r="J3916" i="14"/>
  <c r="I3916" i="14"/>
  <c r="H3916" i="14"/>
  <c r="G3916" i="14"/>
  <c r="F3916" i="14"/>
  <c r="E3916" i="14"/>
  <c r="D3916" i="14"/>
  <c r="D3898" i="14"/>
  <c r="D3897" i="14"/>
  <c r="D3875" i="14"/>
  <c r="M3874" i="14"/>
  <c r="L3874" i="14"/>
  <c r="K3874" i="14"/>
  <c r="J3874" i="14"/>
  <c r="I3874" i="14"/>
  <c r="H3874" i="14"/>
  <c r="G3874" i="14"/>
  <c r="F3874" i="14"/>
  <c r="E3874" i="14"/>
  <c r="D3874" i="14"/>
  <c r="M3873" i="14"/>
  <c r="L3873" i="14"/>
  <c r="K3873" i="14"/>
  <c r="J3873" i="14"/>
  <c r="I3873" i="14"/>
  <c r="H3873" i="14"/>
  <c r="G3873" i="14"/>
  <c r="F3873" i="14"/>
  <c r="E3873" i="14"/>
  <c r="M3871" i="14"/>
  <c r="M3872" i="14" s="1"/>
  <c r="L3871" i="14"/>
  <c r="L3872" i="14" s="1"/>
  <c r="K3871" i="14"/>
  <c r="K3872" i="14" s="1"/>
  <c r="J3871" i="14"/>
  <c r="J3872" i="14" s="1"/>
  <c r="I3871" i="14"/>
  <c r="I3872" i="14" s="1"/>
  <c r="H3871" i="14"/>
  <c r="H3872" i="14" s="1"/>
  <c r="G3871" i="14"/>
  <c r="G3872" i="14" s="1"/>
  <c r="F3871" i="14"/>
  <c r="F3872" i="14" s="1"/>
  <c r="E3871" i="14"/>
  <c r="E3872" i="14" s="1"/>
  <c r="D3871" i="14"/>
  <c r="D3872" i="14" s="1"/>
  <c r="D3873" i="14" s="1"/>
  <c r="M3870" i="14"/>
  <c r="L3870" i="14"/>
  <c r="K3870" i="14"/>
  <c r="J3870" i="14"/>
  <c r="I3870" i="14"/>
  <c r="H3870" i="14"/>
  <c r="G3870" i="14"/>
  <c r="F3870" i="14"/>
  <c r="E3870" i="14"/>
  <c r="D3870" i="14"/>
  <c r="D3852" i="14"/>
  <c r="D3851" i="14"/>
  <c r="D3829" i="14"/>
  <c r="M3828" i="14"/>
  <c r="L3828" i="14"/>
  <c r="K3828" i="14"/>
  <c r="J3828" i="14"/>
  <c r="I3828" i="14"/>
  <c r="H3828" i="14"/>
  <c r="G3828" i="14"/>
  <c r="F3828" i="14"/>
  <c r="E3828" i="14"/>
  <c r="D3828" i="14"/>
  <c r="M3827" i="14"/>
  <c r="L3827" i="14"/>
  <c r="K3827" i="14"/>
  <c r="J3827" i="14"/>
  <c r="I3827" i="14"/>
  <c r="H3827" i="14"/>
  <c r="G3827" i="14"/>
  <c r="F3827" i="14"/>
  <c r="E3827" i="14"/>
  <c r="M3825" i="14"/>
  <c r="M3826" i="14" s="1"/>
  <c r="L3825" i="14"/>
  <c r="L3826" i="14" s="1"/>
  <c r="K3825" i="14"/>
  <c r="K3826" i="14" s="1"/>
  <c r="J3825" i="14"/>
  <c r="J3826" i="14" s="1"/>
  <c r="I3825" i="14"/>
  <c r="I3826" i="14" s="1"/>
  <c r="H3825" i="14"/>
  <c r="H3826" i="14" s="1"/>
  <c r="G3825" i="14"/>
  <c r="G3826" i="14" s="1"/>
  <c r="F3825" i="14"/>
  <c r="F3826" i="14" s="1"/>
  <c r="E3825" i="14"/>
  <c r="E3826" i="14" s="1"/>
  <c r="D3825" i="14"/>
  <c r="D3826" i="14" s="1"/>
  <c r="D3827" i="14" s="1"/>
  <c r="M3824" i="14"/>
  <c r="L3824" i="14"/>
  <c r="K3824" i="14"/>
  <c r="J3824" i="14"/>
  <c r="I3824" i="14"/>
  <c r="H3824" i="14"/>
  <c r="G3824" i="14"/>
  <c r="F3824" i="14"/>
  <c r="E3824" i="14"/>
  <c r="D3824" i="14"/>
  <c r="D3806" i="14"/>
  <c r="D3805" i="14"/>
  <c r="D3783" i="14"/>
  <c r="D3784" i="14" s="1"/>
  <c r="M3782" i="14"/>
  <c r="L3782" i="14"/>
  <c r="K3782" i="14"/>
  <c r="J3782" i="14"/>
  <c r="I3782" i="14"/>
  <c r="H3782" i="14"/>
  <c r="G3782" i="14"/>
  <c r="F3782" i="14"/>
  <c r="E3782" i="14"/>
  <c r="D3782" i="14"/>
  <c r="M3781" i="14"/>
  <c r="L3781" i="14"/>
  <c r="K3781" i="14"/>
  <c r="J3781" i="14"/>
  <c r="I3781" i="14"/>
  <c r="H3781" i="14"/>
  <c r="G3781" i="14"/>
  <c r="F3781" i="14"/>
  <c r="E3781" i="14"/>
  <c r="M3779" i="14"/>
  <c r="M3780" i="14" s="1"/>
  <c r="L3779" i="14"/>
  <c r="L3780" i="14" s="1"/>
  <c r="K3779" i="14"/>
  <c r="K3780" i="14" s="1"/>
  <c r="J3779" i="14"/>
  <c r="J3780" i="14" s="1"/>
  <c r="I3779" i="14"/>
  <c r="I3780" i="14" s="1"/>
  <c r="H3779" i="14"/>
  <c r="H3780" i="14" s="1"/>
  <c r="G3779" i="14"/>
  <c r="G3780" i="14" s="1"/>
  <c r="F3779" i="14"/>
  <c r="F3780" i="14" s="1"/>
  <c r="E3779" i="14"/>
  <c r="E3780" i="14" s="1"/>
  <c r="D3779" i="14"/>
  <c r="D3780" i="14" s="1"/>
  <c r="D3781" i="14" s="1"/>
  <c r="M3778" i="14"/>
  <c r="L3778" i="14"/>
  <c r="K3778" i="14"/>
  <c r="J3778" i="14"/>
  <c r="I3778" i="14"/>
  <c r="H3778" i="14"/>
  <c r="G3778" i="14"/>
  <c r="F3778" i="14"/>
  <c r="E3778" i="14"/>
  <c r="D3778" i="14"/>
  <c r="D3760" i="14"/>
  <c r="D3759" i="14"/>
  <c r="D3737" i="14"/>
  <c r="M3736" i="14"/>
  <c r="L3736" i="14"/>
  <c r="K3736" i="14"/>
  <c r="J3736" i="14"/>
  <c r="I3736" i="14"/>
  <c r="H3736" i="14"/>
  <c r="G3736" i="14"/>
  <c r="F3736" i="14"/>
  <c r="E3736" i="14"/>
  <c r="D3736" i="14"/>
  <c r="M3735" i="14"/>
  <c r="L3735" i="14"/>
  <c r="K3735" i="14"/>
  <c r="J3735" i="14"/>
  <c r="I3735" i="14"/>
  <c r="H3735" i="14"/>
  <c r="G3735" i="14"/>
  <c r="F3735" i="14"/>
  <c r="E3735" i="14"/>
  <c r="M3733" i="14"/>
  <c r="M3734" i="14" s="1"/>
  <c r="L3733" i="14"/>
  <c r="L3734" i="14" s="1"/>
  <c r="K3733" i="14"/>
  <c r="K3734" i="14" s="1"/>
  <c r="J3733" i="14"/>
  <c r="J3734" i="14" s="1"/>
  <c r="I3733" i="14"/>
  <c r="I3734" i="14" s="1"/>
  <c r="H3733" i="14"/>
  <c r="H3734" i="14" s="1"/>
  <c r="G3733" i="14"/>
  <c r="G3734" i="14" s="1"/>
  <c r="F3733" i="14"/>
  <c r="F3734" i="14" s="1"/>
  <c r="E3733" i="14"/>
  <c r="E3734" i="14" s="1"/>
  <c r="D3733" i="14"/>
  <c r="D3734" i="14" s="1"/>
  <c r="D3735" i="14" s="1"/>
  <c r="M3732" i="14"/>
  <c r="L3732" i="14"/>
  <c r="K3732" i="14"/>
  <c r="J3732" i="14"/>
  <c r="I3732" i="14"/>
  <c r="H3732" i="14"/>
  <c r="G3732" i="14"/>
  <c r="F3732" i="14"/>
  <c r="E3732" i="14"/>
  <c r="D3732" i="14"/>
  <c r="D3714" i="14"/>
  <c r="D3713" i="14"/>
  <c r="D3691" i="14"/>
  <c r="M3690" i="14"/>
  <c r="L3690" i="14"/>
  <c r="K3690" i="14"/>
  <c r="J3690" i="14"/>
  <c r="I3690" i="14"/>
  <c r="H3690" i="14"/>
  <c r="G3690" i="14"/>
  <c r="F3690" i="14"/>
  <c r="E3690" i="14"/>
  <c r="D3690" i="14"/>
  <c r="M3689" i="14"/>
  <c r="L3689" i="14"/>
  <c r="K3689" i="14"/>
  <c r="J3689" i="14"/>
  <c r="I3689" i="14"/>
  <c r="H3689" i="14"/>
  <c r="G3689" i="14"/>
  <c r="F3689" i="14"/>
  <c r="E3689" i="14"/>
  <c r="M3687" i="14"/>
  <c r="M3688" i="14" s="1"/>
  <c r="L3687" i="14"/>
  <c r="L3688" i="14" s="1"/>
  <c r="K3687" i="14"/>
  <c r="K3688" i="14" s="1"/>
  <c r="J3687" i="14"/>
  <c r="J3688" i="14" s="1"/>
  <c r="I3687" i="14"/>
  <c r="I3688" i="14" s="1"/>
  <c r="H3687" i="14"/>
  <c r="H3688" i="14" s="1"/>
  <c r="G3687" i="14"/>
  <c r="G3688" i="14" s="1"/>
  <c r="F3687" i="14"/>
  <c r="F3688" i="14" s="1"/>
  <c r="E3687" i="14"/>
  <c r="E3688" i="14" s="1"/>
  <c r="D3687" i="14"/>
  <c r="D3688" i="14" s="1"/>
  <c r="D3689" i="14" s="1"/>
  <c r="M3686" i="14"/>
  <c r="L3686" i="14"/>
  <c r="K3686" i="14"/>
  <c r="J3686" i="14"/>
  <c r="I3686" i="14"/>
  <c r="H3686" i="14"/>
  <c r="G3686" i="14"/>
  <c r="F3686" i="14"/>
  <c r="E3686" i="14"/>
  <c r="D3686" i="14"/>
  <c r="D3668" i="14"/>
  <c r="D3667" i="14"/>
  <c r="D3645" i="14"/>
  <c r="M3644" i="14"/>
  <c r="L3644" i="14"/>
  <c r="K3644" i="14"/>
  <c r="J3644" i="14"/>
  <c r="I3644" i="14"/>
  <c r="H3644" i="14"/>
  <c r="G3644" i="14"/>
  <c r="F3644" i="14"/>
  <c r="E3644" i="14"/>
  <c r="D3644" i="14"/>
  <c r="M3643" i="14"/>
  <c r="L3643" i="14"/>
  <c r="K3643" i="14"/>
  <c r="J3643" i="14"/>
  <c r="I3643" i="14"/>
  <c r="H3643" i="14"/>
  <c r="G3643" i="14"/>
  <c r="F3643" i="14"/>
  <c r="E3643" i="14"/>
  <c r="M3641" i="14"/>
  <c r="M3642" i="14" s="1"/>
  <c r="L3641" i="14"/>
  <c r="L3642" i="14" s="1"/>
  <c r="K3641" i="14"/>
  <c r="K3642" i="14" s="1"/>
  <c r="J3641" i="14"/>
  <c r="J3642" i="14" s="1"/>
  <c r="I3641" i="14"/>
  <c r="I3642" i="14" s="1"/>
  <c r="H3641" i="14"/>
  <c r="H3642" i="14" s="1"/>
  <c r="G3641" i="14"/>
  <c r="G3642" i="14" s="1"/>
  <c r="F3641" i="14"/>
  <c r="F3642" i="14" s="1"/>
  <c r="E3641" i="14"/>
  <c r="E3642" i="14" s="1"/>
  <c r="D3641" i="14"/>
  <c r="D3642" i="14" s="1"/>
  <c r="D3643" i="14" s="1"/>
  <c r="M3640" i="14"/>
  <c r="L3640" i="14"/>
  <c r="K3640" i="14"/>
  <c r="J3640" i="14"/>
  <c r="I3640" i="14"/>
  <c r="H3640" i="14"/>
  <c r="G3640" i="14"/>
  <c r="F3640" i="14"/>
  <c r="E3640" i="14"/>
  <c r="D3640" i="14"/>
  <c r="D3622" i="14"/>
  <c r="D3621" i="14"/>
  <c r="D3599" i="14"/>
  <c r="M3598" i="14"/>
  <c r="L3598" i="14"/>
  <c r="K3598" i="14"/>
  <c r="J3598" i="14"/>
  <c r="I3598" i="14"/>
  <c r="H3598" i="14"/>
  <c r="G3598" i="14"/>
  <c r="F3598" i="14"/>
  <c r="E3598" i="14"/>
  <c r="D3598" i="14"/>
  <c r="M3597" i="14"/>
  <c r="L3597" i="14"/>
  <c r="K3597" i="14"/>
  <c r="J3597" i="14"/>
  <c r="I3597" i="14"/>
  <c r="H3597" i="14"/>
  <c r="G3597" i="14"/>
  <c r="F3597" i="14"/>
  <c r="E3597" i="14"/>
  <c r="M3595" i="14"/>
  <c r="M3596" i="14" s="1"/>
  <c r="L3595" i="14"/>
  <c r="L3596" i="14" s="1"/>
  <c r="K3595" i="14"/>
  <c r="K3596" i="14" s="1"/>
  <c r="J3595" i="14"/>
  <c r="J3596" i="14" s="1"/>
  <c r="I3595" i="14"/>
  <c r="I3596" i="14" s="1"/>
  <c r="H3595" i="14"/>
  <c r="H3596" i="14" s="1"/>
  <c r="G3595" i="14"/>
  <c r="G3596" i="14" s="1"/>
  <c r="F3595" i="14"/>
  <c r="F3596" i="14" s="1"/>
  <c r="E3595" i="14"/>
  <c r="E3596" i="14" s="1"/>
  <c r="D3595" i="14"/>
  <c r="D3596" i="14" s="1"/>
  <c r="D3597" i="14" s="1"/>
  <c r="M3594" i="14"/>
  <c r="L3594" i="14"/>
  <c r="K3594" i="14"/>
  <c r="J3594" i="14"/>
  <c r="I3594" i="14"/>
  <c r="H3594" i="14"/>
  <c r="G3594" i="14"/>
  <c r="F3594" i="14"/>
  <c r="E3594" i="14"/>
  <c r="D3594" i="14"/>
  <c r="D3576" i="14"/>
  <c r="D3575" i="14"/>
  <c r="D3553" i="14"/>
  <c r="M3552" i="14"/>
  <c r="L3552" i="14"/>
  <c r="K3552" i="14"/>
  <c r="J3552" i="14"/>
  <c r="I3552" i="14"/>
  <c r="H3552" i="14"/>
  <c r="G3552" i="14"/>
  <c r="F3552" i="14"/>
  <c r="E3552" i="14"/>
  <c r="D3552" i="14"/>
  <c r="M3551" i="14"/>
  <c r="L3551" i="14"/>
  <c r="K3551" i="14"/>
  <c r="J3551" i="14"/>
  <c r="I3551" i="14"/>
  <c r="H3551" i="14"/>
  <c r="G3551" i="14"/>
  <c r="F3551" i="14"/>
  <c r="E3551" i="14"/>
  <c r="M3549" i="14"/>
  <c r="M3550" i="14" s="1"/>
  <c r="L3549" i="14"/>
  <c r="L3550" i="14" s="1"/>
  <c r="K3549" i="14"/>
  <c r="K3550" i="14" s="1"/>
  <c r="J3549" i="14"/>
  <c r="J3550" i="14" s="1"/>
  <c r="I3549" i="14"/>
  <c r="I3550" i="14" s="1"/>
  <c r="H3549" i="14"/>
  <c r="H3550" i="14" s="1"/>
  <c r="G3549" i="14"/>
  <c r="G3550" i="14" s="1"/>
  <c r="F3549" i="14"/>
  <c r="F3550" i="14" s="1"/>
  <c r="E3549" i="14"/>
  <c r="E3550" i="14" s="1"/>
  <c r="D3549" i="14"/>
  <c r="D3550" i="14" s="1"/>
  <c r="D3551" i="14" s="1"/>
  <c r="M3548" i="14"/>
  <c r="L3548" i="14"/>
  <c r="K3548" i="14"/>
  <c r="J3548" i="14"/>
  <c r="I3548" i="14"/>
  <c r="H3548" i="14"/>
  <c r="G3548" i="14"/>
  <c r="F3548" i="14"/>
  <c r="E3548" i="14"/>
  <c r="D3548" i="14"/>
  <c r="D3530" i="14"/>
  <c r="D3529" i="14"/>
  <c r="D3507" i="14"/>
  <c r="M3506" i="14"/>
  <c r="L3506" i="14"/>
  <c r="K3506" i="14"/>
  <c r="J3506" i="14"/>
  <c r="I3506" i="14"/>
  <c r="H3506" i="14"/>
  <c r="G3506" i="14"/>
  <c r="F3506" i="14"/>
  <c r="E3506" i="14"/>
  <c r="D3506" i="14"/>
  <c r="M3505" i="14"/>
  <c r="L3505" i="14"/>
  <c r="K3505" i="14"/>
  <c r="J3505" i="14"/>
  <c r="I3505" i="14"/>
  <c r="H3505" i="14"/>
  <c r="G3505" i="14"/>
  <c r="F3505" i="14"/>
  <c r="E3505" i="14"/>
  <c r="M3503" i="14"/>
  <c r="M3504" i="14" s="1"/>
  <c r="L3503" i="14"/>
  <c r="L3504" i="14" s="1"/>
  <c r="K3503" i="14"/>
  <c r="K3504" i="14" s="1"/>
  <c r="J3503" i="14"/>
  <c r="J3504" i="14" s="1"/>
  <c r="I3503" i="14"/>
  <c r="I3504" i="14" s="1"/>
  <c r="H3503" i="14"/>
  <c r="H3504" i="14" s="1"/>
  <c r="G3503" i="14"/>
  <c r="G3504" i="14" s="1"/>
  <c r="F3503" i="14"/>
  <c r="F3504" i="14" s="1"/>
  <c r="E3503" i="14"/>
  <c r="E3504" i="14" s="1"/>
  <c r="D3503" i="14"/>
  <c r="D3504" i="14" s="1"/>
  <c r="D3505" i="14" s="1"/>
  <c r="M3502" i="14"/>
  <c r="L3502" i="14"/>
  <c r="K3502" i="14"/>
  <c r="J3502" i="14"/>
  <c r="I3502" i="14"/>
  <c r="H3502" i="14"/>
  <c r="G3502" i="14"/>
  <c r="F3502" i="14"/>
  <c r="E3502" i="14"/>
  <c r="D3502" i="14"/>
  <c r="D3484" i="14"/>
  <c r="D3483" i="14"/>
  <c r="D3461" i="14"/>
  <c r="D3462" i="14" s="1"/>
  <c r="M3460" i="14"/>
  <c r="L3460" i="14"/>
  <c r="K3460" i="14"/>
  <c r="J3460" i="14"/>
  <c r="I3460" i="14"/>
  <c r="H3460" i="14"/>
  <c r="G3460" i="14"/>
  <c r="F3460" i="14"/>
  <c r="E3460" i="14"/>
  <c r="D3460" i="14"/>
  <c r="M3459" i="14"/>
  <c r="L3459" i="14"/>
  <c r="K3459" i="14"/>
  <c r="J3459" i="14"/>
  <c r="I3459" i="14"/>
  <c r="H3459" i="14"/>
  <c r="G3459" i="14"/>
  <c r="F3459" i="14"/>
  <c r="E3459" i="14"/>
  <c r="M3457" i="14"/>
  <c r="M3458" i="14" s="1"/>
  <c r="L3457" i="14"/>
  <c r="L3458" i="14" s="1"/>
  <c r="K3457" i="14"/>
  <c r="K3458" i="14" s="1"/>
  <c r="J3457" i="14"/>
  <c r="J3458" i="14" s="1"/>
  <c r="I3457" i="14"/>
  <c r="I3458" i="14" s="1"/>
  <c r="H3457" i="14"/>
  <c r="H3458" i="14" s="1"/>
  <c r="G3457" i="14"/>
  <c r="G3458" i="14" s="1"/>
  <c r="F3457" i="14"/>
  <c r="F3458" i="14" s="1"/>
  <c r="E3457" i="14"/>
  <c r="E3458" i="14" s="1"/>
  <c r="D3457" i="14"/>
  <c r="D3458" i="14" s="1"/>
  <c r="D3459" i="14" s="1"/>
  <c r="M3456" i="14"/>
  <c r="L3456" i="14"/>
  <c r="K3456" i="14"/>
  <c r="J3456" i="14"/>
  <c r="I3456" i="14"/>
  <c r="H3456" i="14"/>
  <c r="G3456" i="14"/>
  <c r="F3456" i="14"/>
  <c r="E3456" i="14"/>
  <c r="D3456" i="14"/>
  <c r="D3438" i="14"/>
  <c r="D3437" i="14"/>
  <c r="D3415" i="14"/>
  <c r="M3414" i="14"/>
  <c r="L3414" i="14"/>
  <c r="K3414" i="14"/>
  <c r="J3414" i="14"/>
  <c r="I3414" i="14"/>
  <c r="H3414" i="14"/>
  <c r="G3414" i="14"/>
  <c r="F3414" i="14"/>
  <c r="E3414" i="14"/>
  <c r="D3414" i="14"/>
  <c r="M3413" i="14"/>
  <c r="L3413" i="14"/>
  <c r="K3413" i="14"/>
  <c r="J3413" i="14"/>
  <c r="I3413" i="14"/>
  <c r="H3413" i="14"/>
  <c r="G3413" i="14"/>
  <c r="F3413" i="14"/>
  <c r="E3413" i="14"/>
  <c r="M3411" i="14"/>
  <c r="M3412" i="14" s="1"/>
  <c r="L3411" i="14"/>
  <c r="L3412" i="14" s="1"/>
  <c r="K3411" i="14"/>
  <c r="K3412" i="14" s="1"/>
  <c r="J3411" i="14"/>
  <c r="J3412" i="14" s="1"/>
  <c r="I3411" i="14"/>
  <c r="I3412" i="14" s="1"/>
  <c r="H3411" i="14"/>
  <c r="H3412" i="14" s="1"/>
  <c r="G3411" i="14"/>
  <c r="G3412" i="14" s="1"/>
  <c r="F3411" i="14"/>
  <c r="F3412" i="14" s="1"/>
  <c r="E3411" i="14"/>
  <c r="E3412" i="14" s="1"/>
  <c r="D3411" i="14"/>
  <c r="D3412" i="14" s="1"/>
  <c r="D3413" i="14" s="1"/>
  <c r="M3410" i="14"/>
  <c r="L3410" i="14"/>
  <c r="K3410" i="14"/>
  <c r="J3410" i="14"/>
  <c r="I3410" i="14"/>
  <c r="H3410" i="14"/>
  <c r="G3410" i="14"/>
  <c r="F3410" i="14"/>
  <c r="E3410" i="14"/>
  <c r="D3410" i="14"/>
  <c r="D3392" i="14"/>
  <c r="D3391" i="14"/>
  <c r="D3369" i="14"/>
  <c r="M3368" i="14"/>
  <c r="L3368" i="14"/>
  <c r="K3368" i="14"/>
  <c r="J3368" i="14"/>
  <c r="I3368" i="14"/>
  <c r="H3368" i="14"/>
  <c r="G3368" i="14"/>
  <c r="F3368" i="14"/>
  <c r="E3368" i="14"/>
  <c r="D3368" i="14"/>
  <c r="M3367" i="14"/>
  <c r="L3367" i="14"/>
  <c r="K3367" i="14"/>
  <c r="J3367" i="14"/>
  <c r="I3367" i="14"/>
  <c r="H3367" i="14"/>
  <c r="G3367" i="14"/>
  <c r="F3367" i="14"/>
  <c r="E3367" i="14"/>
  <c r="M3365" i="14"/>
  <c r="M3366" i="14" s="1"/>
  <c r="L3365" i="14"/>
  <c r="L3366" i="14" s="1"/>
  <c r="K3365" i="14"/>
  <c r="K3366" i="14" s="1"/>
  <c r="J3365" i="14"/>
  <c r="J3366" i="14" s="1"/>
  <c r="I3365" i="14"/>
  <c r="I3366" i="14" s="1"/>
  <c r="H3365" i="14"/>
  <c r="H3366" i="14" s="1"/>
  <c r="G3365" i="14"/>
  <c r="G3366" i="14" s="1"/>
  <c r="F3365" i="14"/>
  <c r="F3366" i="14" s="1"/>
  <c r="E3365" i="14"/>
  <c r="E3366" i="14" s="1"/>
  <c r="D3365" i="14"/>
  <c r="D3366" i="14" s="1"/>
  <c r="D3367" i="14" s="1"/>
  <c r="M3364" i="14"/>
  <c r="L3364" i="14"/>
  <c r="K3364" i="14"/>
  <c r="J3364" i="14"/>
  <c r="I3364" i="14"/>
  <c r="H3364" i="14"/>
  <c r="G3364" i="14"/>
  <c r="F3364" i="14"/>
  <c r="E3364" i="14"/>
  <c r="D3364" i="14"/>
  <c r="D3346" i="14"/>
  <c r="D3345" i="14"/>
  <c r="D3323" i="14"/>
  <c r="M3322" i="14"/>
  <c r="L3322" i="14"/>
  <c r="K3322" i="14"/>
  <c r="J3322" i="14"/>
  <c r="I3322" i="14"/>
  <c r="H3322" i="14"/>
  <c r="G3322" i="14"/>
  <c r="F3322" i="14"/>
  <c r="E3322" i="14"/>
  <c r="D3322" i="14"/>
  <c r="M3321" i="14"/>
  <c r="L3321" i="14"/>
  <c r="K3321" i="14"/>
  <c r="J3321" i="14"/>
  <c r="I3321" i="14"/>
  <c r="H3321" i="14"/>
  <c r="G3321" i="14"/>
  <c r="F3321" i="14"/>
  <c r="E3321" i="14"/>
  <c r="M3319" i="14"/>
  <c r="M3320" i="14" s="1"/>
  <c r="L3319" i="14"/>
  <c r="L3320" i="14" s="1"/>
  <c r="K3319" i="14"/>
  <c r="K3320" i="14" s="1"/>
  <c r="J3319" i="14"/>
  <c r="J3320" i="14" s="1"/>
  <c r="I3319" i="14"/>
  <c r="I3320" i="14" s="1"/>
  <c r="H3319" i="14"/>
  <c r="H3320" i="14" s="1"/>
  <c r="G3319" i="14"/>
  <c r="G3320" i="14" s="1"/>
  <c r="F3319" i="14"/>
  <c r="F3320" i="14" s="1"/>
  <c r="E3319" i="14"/>
  <c r="E3320" i="14" s="1"/>
  <c r="D3319" i="14"/>
  <c r="D3320" i="14" s="1"/>
  <c r="D3321" i="14" s="1"/>
  <c r="M3318" i="14"/>
  <c r="L3318" i="14"/>
  <c r="K3318" i="14"/>
  <c r="J3318" i="14"/>
  <c r="I3318" i="14"/>
  <c r="H3318" i="14"/>
  <c r="G3318" i="14"/>
  <c r="F3318" i="14"/>
  <c r="E3318" i="14"/>
  <c r="D3318" i="14"/>
  <c r="D3300" i="14"/>
  <c r="D3299" i="14"/>
  <c r="D3277" i="14"/>
  <c r="M3276" i="14"/>
  <c r="L3276" i="14"/>
  <c r="K3276" i="14"/>
  <c r="J3276" i="14"/>
  <c r="I3276" i="14"/>
  <c r="H3276" i="14"/>
  <c r="G3276" i="14"/>
  <c r="F3276" i="14"/>
  <c r="E3276" i="14"/>
  <c r="D3276" i="14"/>
  <c r="M3275" i="14"/>
  <c r="L3275" i="14"/>
  <c r="K3275" i="14"/>
  <c r="J3275" i="14"/>
  <c r="I3275" i="14"/>
  <c r="H3275" i="14"/>
  <c r="G3275" i="14"/>
  <c r="F3275" i="14"/>
  <c r="E3275" i="14"/>
  <c r="M3273" i="14"/>
  <c r="M3274" i="14" s="1"/>
  <c r="L3273" i="14"/>
  <c r="L3274" i="14" s="1"/>
  <c r="K3273" i="14"/>
  <c r="K3274" i="14" s="1"/>
  <c r="J3273" i="14"/>
  <c r="J3274" i="14" s="1"/>
  <c r="I3273" i="14"/>
  <c r="I3274" i="14" s="1"/>
  <c r="H3273" i="14"/>
  <c r="H3274" i="14" s="1"/>
  <c r="G3273" i="14"/>
  <c r="G3274" i="14" s="1"/>
  <c r="F3273" i="14"/>
  <c r="F3274" i="14" s="1"/>
  <c r="E3273" i="14"/>
  <c r="E3274" i="14" s="1"/>
  <c r="D3273" i="14"/>
  <c r="D3274" i="14" s="1"/>
  <c r="D3275" i="14" s="1"/>
  <c r="M3272" i="14"/>
  <c r="L3272" i="14"/>
  <c r="K3272" i="14"/>
  <c r="J3272" i="14"/>
  <c r="I3272" i="14"/>
  <c r="H3272" i="14"/>
  <c r="G3272" i="14"/>
  <c r="F3272" i="14"/>
  <c r="E3272" i="14"/>
  <c r="D3272" i="14"/>
  <c r="D3254" i="14"/>
  <c r="D3253" i="14"/>
  <c r="D3231" i="14"/>
  <c r="M3230" i="14"/>
  <c r="L3230" i="14"/>
  <c r="K3230" i="14"/>
  <c r="J3230" i="14"/>
  <c r="I3230" i="14"/>
  <c r="H3230" i="14"/>
  <c r="G3230" i="14"/>
  <c r="F3230" i="14"/>
  <c r="E3230" i="14"/>
  <c r="D3230" i="14"/>
  <c r="M3229" i="14"/>
  <c r="L3229" i="14"/>
  <c r="K3229" i="14"/>
  <c r="J3229" i="14"/>
  <c r="I3229" i="14"/>
  <c r="H3229" i="14"/>
  <c r="G3229" i="14"/>
  <c r="F3229" i="14"/>
  <c r="E3229" i="14"/>
  <c r="M3227" i="14"/>
  <c r="M3228" i="14" s="1"/>
  <c r="L3227" i="14"/>
  <c r="L3228" i="14" s="1"/>
  <c r="K3227" i="14"/>
  <c r="K3228" i="14" s="1"/>
  <c r="J3227" i="14"/>
  <c r="J3228" i="14" s="1"/>
  <c r="I3227" i="14"/>
  <c r="I3228" i="14" s="1"/>
  <c r="H3227" i="14"/>
  <c r="H3228" i="14" s="1"/>
  <c r="G3227" i="14"/>
  <c r="G3228" i="14" s="1"/>
  <c r="F3227" i="14"/>
  <c r="F3228" i="14" s="1"/>
  <c r="E3227" i="14"/>
  <c r="E3228" i="14" s="1"/>
  <c r="D3227" i="14"/>
  <c r="D3228" i="14" s="1"/>
  <c r="D3229" i="14" s="1"/>
  <c r="M3226" i="14"/>
  <c r="L3226" i="14"/>
  <c r="K3226" i="14"/>
  <c r="J3226" i="14"/>
  <c r="I3226" i="14"/>
  <c r="H3226" i="14"/>
  <c r="G3226" i="14"/>
  <c r="F3226" i="14"/>
  <c r="E3226" i="14"/>
  <c r="D3226" i="14"/>
  <c r="D3208" i="14"/>
  <c r="D3207" i="14"/>
  <c r="D3185" i="14"/>
  <c r="M3184" i="14"/>
  <c r="L3184" i="14"/>
  <c r="K3184" i="14"/>
  <c r="J3184" i="14"/>
  <c r="I3184" i="14"/>
  <c r="H3184" i="14"/>
  <c r="G3184" i="14"/>
  <c r="F3184" i="14"/>
  <c r="E3184" i="14"/>
  <c r="D3184" i="14"/>
  <c r="M3183" i="14"/>
  <c r="L3183" i="14"/>
  <c r="K3183" i="14"/>
  <c r="J3183" i="14"/>
  <c r="I3183" i="14"/>
  <c r="H3183" i="14"/>
  <c r="G3183" i="14"/>
  <c r="F3183" i="14"/>
  <c r="E3183" i="14"/>
  <c r="M3181" i="14"/>
  <c r="M3182" i="14" s="1"/>
  <c r="L3181" i="14"/>
  <c r="L3182" i="14" s="1"/>
  <c r="K3181" i="14"/>
  <c r="K3182" i="14" s="1"/>
  <c r="J3181" i="14"/>
  <c r="J3182" i="14" s="1"/>
  <c r="I3181" i="14"/>
  <c r="I3182" i="14" s="1"/>
  <c r="H3181" i="14"/>
  <c r="H3182" i="14" s="1"/>
  <c r="G3181" i="14"/>
  <c r="G3182" i="14" s="1"/>
  <c r="F3181" i="14"/>
  <c r="F3182" i="14" s="1"/>
  <c r="E3181" i="14"/>
  <c r="E3182" i="14" s="1"/>
  <c r="D3181" i="14"/>
  <c r="D3182" i="14" s="1"/>
  <c r="D3183" i="14" s="1"/>
  <c r="M3180" i="14"/>
  <c r="L3180" i="14"/>
  <c r="K3180" i="14"/>
  <c r="J3180" i="14"/>
  <c r="I3180" i="14"/>
  <c r="H3180" i="14"/>
  <c r="G3180" i="14"/>
  <c r="F3180" i="14"/>
  <c r="E3180" i="14"/>
  <c r="D3180" i="14"/>
  <c r="D3162" i="14"/>
  <c r="D3161" i="14"/>
  <c r="D3139" i="14"/>
  <c r="D3140" i="14" s="1"/>
  <c r="M3138" i="14"/>
  <c r="L3138" i="14"/>
  <c r="K3138" i="14"/>
  <c r="J3138" i="14"/>
  <c r="I3138" i="14"/>
  <c r="H3138" i="14"/>
  <c r="G3138" i="14"/>
  <c r="F3138" i="14"/>
  <c r="E3138" i="14"/>
  <c r="D3138" i="14"/>
  <c r="M3137" i="14"/>
  <c r="L3137" i="14"/>
  <c r="K3137" i="14"/>
  <c r="J3137" i="14"/>
  <c r="I3137" i="14"/>
  <c r="H3137" i="14"/>
  <c r="G3137" i="14"/>
  <c r="F3137" i="14"/>
  <c r="E3137" i="14"/>
  <c r="M3135" i="14"/>
  <c r="M3136" i="14" s="1"/>
  <c r="L3135" i="14"/>
  <c r="L3136" i="14" s="1"/>
  <c r="K3135" i="14"/>
  <c r="K3136" i="14" s="1"/>
  <c r="J3135" i="14"/>
  <c r="J3136" i="14" s="1"/>
  <c r="I3135" i="14"/>
  <c r="I3136" i="14" s="1"/>
  <c r="H3135" i="14"/>
  <c r="H3136" i="14" s="1"/>
  <c r="G3135" i="14"/>
  <c r="G3136" i="14" s="1"/>
  <c r="F3135" i="14"/>
  <c r="F3136" i="14" s="1"/>
  <c r="E3135" i="14"/>
  <c r="E3136" i="14" s="1"/>
  <c r="D3135" i="14"/>
  <c r="D3136" i="14" s="1"/>
  <c r="D3137" i="14" s="1"/>
  <c r="M3134" i="14"/>
  <c r="L3134" i="14"/>
  <c r="K3134" i="14"/>
  <c r="J3134" i="14"/>
  <c r="I3134" i="14"/>
  <c r="H3134" i="14"/>
  <c r="G3134" i="14"/>
  <c r="F3134" i="14"/>
  <c r="E3134" i="14"/>
  <c r="D3134" i="14"/>
  <c r="D3116" i="14"/>
  <c r="D3115" i="14"/>
  <c r="D3093" i="14"/>
  <c r="M3092" i="14"/>
  <c r="L3092" i="14"/>
  <c r="K3092" i="14"/>
  <c r="J3092" i="14"/>
  <c r="I3092" i="14"/>
  <c r="H3092" i="14"/>
  <c r="G3092" i="14"/>
  <c r="F3092" i="14"/>
  <c r="E3092" i="14"/>
  <c r="D3092" i="14"/>
  <c r="M3091" i="14"/>
  <c r="L3091" i="14"/>
  <c r="K3091" i="14"/>
  <c r="J3091" i="14"/>
  <c r="I3091" i="14"/>
  <c r="H3091" i="14"/>
  <c r="G3091" i="14"/>
  <c r="F3091" i="14"/>
  <c r="E3091" i="14"/>
  <c r="M3089" i="14"/>
  <c r="M3090" i="14" s="1"/>
  <c r="L3089" i="14"/>
  <c r="L3090" i="14" s="1"/>
  <c r="K3089" i="14"/>
  <c r="K3090" i="14" s="1"/>
  <c r="J3089" i="14"/>
  <c r="J3090" i="14" s="1"/>
  <c r="I3089" i="14"/>
  <c r="I3090" i="14" s="1"/>
  <c r="H3089" i="14"/>
  <c r="H3090" i="14" s="1"/>
  <c r="G3089" i="14"/>
  <c r="G3090" i="14" s="1"/>
  <c r="F3089" i="14"/>
  <c r="F3090" i="14" s="1"/>
  <c r="E3089" i="14"/>
  <c r="E3090" i="14" s="1"/>
  <c r="D3089" i="14"/>
  <c r="D3090" i="14" s="1"/>
  <c r="D3091" i="14" s="1"/>
  <c r="M3088" i="14"/>
  <c r="L3088" i="14"/>
  <c r="K3088" i="14"/>
  <c r="J3088" i="14"/>
  <c r="I3088" i="14"/>
  <c r="H3088" i="14"/>
  <c r="G3088" i="14"/>
  <c r="F3088" i="14"/>
  <c r="E3088" i="14"/>
  <c r="D3088" i="14"/>
  <c r="D3070" i="14"/>
  <c r="D3069" i="14"/>
  <c r="D3047" i="14"/>
  <c r="M3046" i="14"/>
  <c r="L3046" i="14"/>
  <c r="K3046" i="14"/>
  <c r="J3046" i="14"/>
  <c r="I3046" i="14"/>
  <c r="H3046" i="14"/>
  <c r="G3046" i="14"/>
  <c r="F3046" i="14"/>
  <c r="E3046" i="14"/>
  <c r="D3046" i="14"/>
  <c r="M3045" i="14"/>
  <c r="L3045" i="14"/>
  <c r="K3045" i="14"/>
  <c r="J3045" i="14"/>
  <c r="I3045" i="14"/>
  <c r="H3045" i="14"/>
  <c r="G3045" i="14"/>
  <c r="F3045" i="14"/>
  <c r="E3045" i="14"/>
  <c r="M3043" i="14"/>
  <c r="M3044" i="14" s="1"/>
  <c r="L3043" i="14"/>
  <c r="L3044" i="14" s="1"/>
  <c r="K3043" i="14"/>
  <c r="K3044" i="14" s="1"/>
  <c r="J3043" i="14"/>
  <c r="J3044" i="14" s="1"/>
  <c r="I3043" i="14"/>
  <c r="I3044" i="14" s="1"/>
  <c r="H3043" i="14"/>
  <c r="H3044" i="14" s="1"/>
  <c r="G3043" i="14"/>
  <c r="G3044" i="14" s="1"/>
  <c r="F3043" i="14"/>
  <c r="F3044" i="14" s="1"/>
  <c r="E3043" i="14"/>
  <c r="E3044" i="14" s="1"/>
  <c r="D3043" i="14"/>
  <c r="D3044" i="14" s="1"/>
  <c r="D3045" i="14" s="1"/>
  <c r="M3042" i="14"/>
  <c r="L3042" i="14"/>
  <c r="K3042" i="14"/>
  <c r="J3042" i="14"/>
  <c r="I3042" i="14"/>
  <c r="H3042" i="14"/>
  <c r="G3042" i="14"/>
  <c r="F3042" i="14"/>
  <c r="E3042" i="14"/>
  <c r="D3042" i="14"/>
  <c r="D3024" i="14"/>
  <c r="D3023" i="14"/>
  <c r="D3001" i="14"/>
  <c r="M3000" i="14"/>
  <c r="L3000" i="14"/>
  <c r="K3000" i="14"/>
  <c r="J3000" i="14"/>
  <c r="I3000" i="14"/>
  <c r="H3000" i="14"/>
  <c r="G3000" i="14"/>
  <c r="F3000" i="14"/>
  <c r="E3000" i="14"/>
  <c r="D3000" i="14"/>
  <c r="M2999" i="14"/>
  <c r="L2999" i="14"/>
  <c r="K2999" i="14"/>
  <c r="J2999" i="14"/>
  <c r="I2999" i="14"/>
  <c r="H2999" i="14"/>
  <c r="G2999" i="14"/>
  <c r="F2999" i="14"/>
  <c r="E2999" i="14"/>
  <c r="M2997" i="14"/>
  <c r="M2998" i="14" s="1"/>
  <c r="L2997" i="14"/>
  <c r="L2998" i="14" s="1"/>
  <c r="K2997" i="14"/>
  <c r="K2998" i="14" s="1"/>
  <c r="J2997" i="14"/>
  <c r="J2998" i="14" s="1"/>
  <c r="I2997" i="14"/>
  <c r="I2998" i="14" s="1"/>
  <c r="H2997" i="14"/>
  <c r="H2998" i="14" s="1"/>
  <c r="G2997" i="14"/>
  <c r="G2998" i="14" s="1"/>
  <c r="F2997" i="14"/>
  <c r="F2998" i="14" s="1"/>
  <c r="E2997" i="14"/>
  <c r="E2998" i="14" s="1"/>
  <c r="D2997" i="14"/>
  <c r="D2998" i="14" s="1"/>
  <c r="D2999" i="14" s="1"/>
  <c r="M2996" i="14"/>
  <c r="L2996" i="14"/>
  <c r="K2996" i="14"/>
  <c r="J2996" i="14"/>
  <c r="I2996" i="14"/>
  <c r="H2996" i="14"/>
  <c r="G2996" i="14"/>
  <c r="F2996" i="14"/>
  <c r="E2996" i="14"/>
  <c r="D2996" i="14"/>
  <c r="D2978" i="14"/>
  <c r="D2977" i="14"/>
  <c r="D2955" i="14"/>
  <c r="M2954" i="14"/>
  <c r="L2954" i="14"/>
  <c r="K2954" i="14"/>
  <c r="J2954" i="14"/>
  <c r="I2954" i="14"/>
  <c r="H2954" i="14"/>
  <c r="G2954" i="14"/>
  <c r="F2954" i="14"/>
  <c r="E2954" i="14"/>
  <c r="D2954" i="14"/>
  <c r="M2953" i="14"/>
  <c r="L2953" i="14"/>
  <c r="K2953" i="14"/>
  <c r="J2953" i="14"/>
  <c r="I2953" i="14"/>
  <c r="H2953" i="14"/>
  <c r="G2953" i="14"/>
  <c r="F2953" i="14"/>
  <c r="E2953" i="14"/>
  <c r="M2951" i="14"/>
  <c r="M2952" i="14" s="1"/>
  <c r="L2951" i="14"/>
  <c r="L2952" i="14" s="1"/>
  <c r="K2951" i="14"/>
  <c r="K2952" i="14" s="1"/>
  <c r="J2951" i="14"/>
  <c r="J2952" i="14" s="1"/>
  <c r="I2951" i="14"/>
  <c r="I2952" i="14" s="1"/>
  <c r="H2951" i="14"/>
  <c r="H2952" i="14" s="1"/>
  <c r="G2951" i="14"/>
  <c r="G2952" i="14" s="1"/>
  <c r="F2951" i="14"/>
  <c r="F2952" i="14" s="1"/>
  <c r="E2951" i="14"/>
  <c r="E2952" i="14" s="1"/>
  <c r="D2951" i="14"/>
  <c r="D2952" i="14" s="1"/>
  <c r="D2953" i="14" s="1"/>
  <c r="M2950" i="14"/>
  <c r="L2950" i="14"/>
  <c r="K2950" i="14"/>
  <c r="J2950" i="14"/>
  <c r="I2950" i="14"/>
  <c r="H2950" i="14"/>
  <c r="G2950" i="14"/>
  <c r="F2950" i="14"/>
  <c r="E2950" i="14"/>
  <c r="D2950" i="14"/>
  <c r="D2932" i="14"/>
  <c r="C69" i="15" s="1"/>
  <c r="D2931" i="14"/>
  <c r="B69" i="15" s="1"/>
  <c r="D2909" i="14"/>
  <c r="M2908" i="14"/>
  <c r="L2908" i="14"/>
  <c r="K2908" i="14"/>
  <c r="J2908" i="14"/>
  <c r="I2908" i="14"/>
  <c r="H2908" i="14"/>
  <c r="G2908" i="14"/>
  <c r="F2908" i="14"/>
  <c r="E2908" i="14"/>
  <c r="D2908" i="14"/>
  <c r="M2907" i="14"/>
  <c r="L2907" i="14"/>
  <c r="K2907" i="14"/>
  <c r="J2907" i="14"/>
  <c r="I2907" i="14"/>
  <c r="H2907" i="14"/>
  <c r="G2907" i="14"/>
  <c r="F2907" i="14"/>
  <c r="E2907" i="14"/>
  <c r="M2905" i="14"/>
  <c r="M2906" i="14" s="1"/>
  <c r="L2905" i="14"/>
  <c r="L2906" i="14" s="1"/>
  <c r="K2905" i="14"/>
  <c r="K2906" i="14" s="1"/>
  <c r="J2905" i="14"/>
  <c r="J2906" i="14" s="1"/>
  <c r="I2905" i="14"/>
  <c r="I2906" i="14" s="1"/>
  <c r="H2905" i="14"/>
  <c r="H2906" i="14" s="1"/>
  <c r="G2905" i="14"/>
  <c r="G2906" i="14" s="1"/>
  <c r="F2905" i="14"/>
  <c r="F2906" i="14" s="1"/>
  <c r="E2905" i="14"/>
  <c r="E2906" i="14" s="1"/>
  <c r="D2905" i="14"/>
  <c r="D2906" i="14" s="1"/>
  <c r="D2907" i="14" s="1"/>
  <c r="M2904" i="14"/>
  <c r="L2904" i="14"/>
  <c r="K2904" i="14"/>
  <c r="J2904" i="14"/>
  <c r="I2904" i="14"/>
  <c r="H2904" i="14"/>
  <c r="G2904" i="14"/>
  <c r="F2904" i="14"/>
  <c r="E2904" i="14"/>
  <c r="D2904" i="14"/>
  <c r="D2886" i="14"/>
  <c r="C68" i="15" s="1"/>
  <c r="D2885" i="14"/>
  <c r="D2863" i="14"/>
  <c r="M2862" i="14"/>
  <c r="L2862" i="14"/>
  <c r="M2863" i="14" s="1"/>
  <c r="K2862" i="14"/>
  <c r="L2863" i="14" s="1"/>
  <c r="J2862" i="14"/>
  <c r="K2863" i="14" s="1"/>
  <c r="I2862" i="14"/>
  <c r="J2863" i="14" s="1"/>
  <c r="H2862" i="14"/>
  <c r="I2863" i="14" s="1"/>
  <c r="G2862" i="14"/>
  <c r="F2862" i="14"/>
  <c r="E2862" i="14"/>
  <c r="D2862" i="14"/>
  <c r="M2861" i="14"/>
  <c r="L2861" i="14"/>
  <c r="K2861" i="14"/>
  <c r="J2861" i="14"/>
  <c r="I2861" i="14"/>
  <c r="H2861" i="14"/>
  <c r="G2861" i="14"/>
  <c r="F2861" i="14"/>
  <c r="E2861" i="14"/>
  <c r="M2859" i="14"/>
  <c r="M2860" i="14" s="1"/>
  <c r="L2859" i="14"/>
  <c r="L2860" i="14" s="1"/>
  <c r="K2859" i="14"/>
  <c r="K2860" i="14" s="1"/>
  <c r="J2859" i="14"/>
  <c r="J2860" i="14" s="1"/>
  <c r="I2859" i="14"/>
  <c r="I2860" i="14" s="1"/>
  <c r="H2859" i="14"/>
  <c r="H2860" i="14" s="1"/>
  <c r="G2859" i="14"/>
  <c r="G2860" i="14" s="1"/>
  <c r="F2859" i="14"/>
  <c r="F2860" i="14" s="1"/>
  <c r="E2859" i="14"/>
  <c r="E2860" i="14" s="1"/>
  <c r="D2859" i="14"/>
  <c r="D2860" i="14" s="1"/>
  <c r="D2861" i="14" s="1"/>
  <c r="M2858" i="14"/>
  <c r="L2858" i="14"/>
  <c r="K2858" i="14"/>
  <c r="J2858" i="14"/>
  <c r="I2858" i="14"/>
  <c r="H2858" i="14"/>
  <c r="G2858" i="14"/>
  <c r="F2858" i="14"/>
  <c r="E2858" i="14"/>
  <c r="D2858" i="14"/>
  <c r="D2840" i="14"/>
  <c r="D2839" i="14"/>
  <c r="D2817" i="14"/>
  <c r="D2818" i="14" s="1"/>
  <c r="M2816" i="14"/>
  <c r="L2816" i="14"/>
  <c r="K2816" i="14"/>
  <c r="J2816" i="14"/>
  <c r="I2816" i="14"/>
  <c r="H2816" i="14"/>
  <c r="G2816" i="14"/>
  <c r="F2816" i="14"/>
  <c r="E2816" i="14"/>
  <c r="D2816" i="14"/>
  <c r="M2815" i="14"/>
  <c r="L2815" i="14"/>
  <c r="K2815" i="14"/>
  <c r="J2815" i="14"/>
  <c r="I2815" i="14"/>
  <c r="H2815" i="14"/>
  <c r="G2815" i="14"/>
  <c r="F2815" i="14"/>
  <c r="E2815" i="14"/>
  <c r="M2813" i="14"/>
  <c r="M2814" i="14" s="1"/>
  <c r="L2813" i="14"/>
  <c r="L2814" i="14" s="1"/>
  <c r="K2813" i="14"/>
  <c r="K2814" i="14" s="1"/>
  <c r="J2813" i="14"/>
  <c r="J2814" i="14" s="1"/>
  <c r="I2813" i="14"/>
  <c r="I2814" i="14" s="1"/>
  <c r="H2813" i="14"/>
  <c r="H2814" i="14" s="1"/>
  <c r="G2813" i="14"/>
  <c r="G2814" i="14" s="1"/>
  <c r="F2813" i="14"/>
  <c r="F2814" i="14" s="1"/>
  <c r="E2813" i="14"/>
  <c r="E2814" i="14" s="1"/>
  <c r="D2813" i="14"/>
  <c r="D2814" i="14" s="1"/>
  <c r="D2815" i="14" s="1"/>
  <c r="M2812" i="14"/>
  <c r="L2812" i="14"/>
  <c r="K2812" i="14"/>
  <c r="J2812" i="14"/>
  <c r="I2812" i="14"/>
  <c r="H2812" i="14"/>
  <c r="G2812" i="14"/>
  <c r="F2812" i="14"/>
  <c r="E2812" i="14"/>
  <c r="D2812" i="14"/>
  <c r="D2794" i="14"/>
  <c r="D2793" i="14"/>
  <c r="D2771" i="14"/>
  <c r="M2770" i="14"/>
  <c r="L2770" i="14"/>
  <c r="K2770" i="14"/>
  <c r="J2770" i="14"/>
  <c r="I2770" i="14"/>
  <c r="H2770" i="14"/>
  <c r="G2770" i="14"/>
  <c r="F2770" i="14"/>
  <c r="E2770" i="14"/>
  <c r="D2770" i="14"/>
  <c r="M2769" i="14"/>
  <c r="L2769" i="14"/>
  <c r="K2769" i="14"/>
  <c r="J2769" i="14"/>
  <c r="I2769" i="14"/>
  <c r="H2769" i="14"/>
  <c r="G2769" i="14"/>
  <c r="F2769" i="14"/>
  <c r="E2769" i="14"/>
  <c r="M2767" i="14"/>
  <c r="M2768" i="14" s="1"/>
  <c r="L2767" i="14"/>
  <c r="L2768" i="14" s="1"/>
  <c r="K2767" i="14"/>
  <c r="K2768" i="14" s="1"/>
  <c r="J2767" i="14"/>
  <c r="J2768" i="14" s="1"/>
  <c r="I2767" i="14"/>
  <c r="I2768" i="14" s="1"/>
  <c r="H2767" i="14"/>
  <c r="H2768" i="14" s="1"/>
  <c r="G2767" i="14"/>
  <c r="G2768" i="14" s="1"/>
  <c r="F2767" i="14"/>
  <c r="F2768" i="14" s="1"/>
  <c r="E2767" i="14"/>
  <c r="E2768" i="14" s="1"/>
  <c r="D2767" i="14"/>
  <c r="D2768" i="14" s="1"/>
  <c r="D2769" i="14" s="1"/>
  <c r="M2766" i="14"/>
  <c r="L2766" i="14"/>
  <c r="K2766" i="14"/>
  <c r="J2766" i="14"/>
  <c r="I2766" i="14"/>
  <c r="H2766" i="14"/>
  <c r="G2766" i="14"/>
  <c r="F2766" i="14"/>
  <c r="E2766" i="14"/>
  <c r="D2766" i="14"/>
  <c r="D2748" i="14"/>
  <c r="D2747" i="14"/>
  <c r="D2725" i="14"/>
  <c r="M2724" i="14"/>
  <c r="L2724" i="14"/>
  <c r="K2724" i="14"/>
  <c r="J2724" i="14"/>
  <c r="I2724" i="14"/>
  <c r="H2724" i="14"/>
  <c r="G2724" i="14"/>
  <c r="F2724" i="14"/>
  <c r="E2724" i="14"/>
  <c r="D2724" i="14"/>
  <c r="M2723" i="14"/>
  <c r="L2723" i="14"/>
  <c r="K2723" i="14"/>
  <c r="J2723" i="14"/>
  <c r="I2723" i="14"/>
  <c r="H2723" i="14"/>
  <c r="G2723" i="14"/>
  <c r="F2723" i="14"/>
  <c r="E2723" i="14"/>
  <c r="M2721" i="14"/>
  <c r="M2722" i="14" s="1"/>
  <c r="L2721" i="14"/>
  <c r="L2722" i="14" s="1"/>
  <c r="K2721" i="14"/>
  <c r="K2722" i="14" s="1"/>
  <c r="J2721" i="14"/>
  <c r="J2722" i="14" s="1"/>
  <c r="I2721" i="14"/>
  <c r="I2722" i="14" s="1"/>
  <c r="H2721" i="14"/>
  <c r="H2722" i="14" s="1"/>
  <c r="G2721" i="14"/>
  <c r="G2722" i="14" s="1"/>
  <c r="F2721" i="14"/>
  <c r="F2722" i="14" s="1"/>
  <c r="E2721" i="14"/>
  <c r="E2722" i="14" s="1"/>
  <c r="D2721" i="14"/>
  <c r="D2722" i="14" s="1"/>
  <c r="D2723" i="14" s="1"/>
  <c r="M2720" i="14"/>
  <c r="L2720" i="14"/>
  <c r="K2720" i="14"/>
  <c r="J2720" i="14"/>
  <c r="I2720" i="14"/>
  <c r="H2720" i="14"/>
  <c r="G2720" i="14"/>
  <c r="F2720" i="14"/>
  <c r="E2720" i="14"/>
  <c r="D2720" i="14"/>
  <c r="D2702" i="14"/>
  <c r="D2701" i="14"/>
  <c r="D2679" i="14"/>
  <c r="M2678" i="14"/>
  <c r="L2678" i="14"/>
  <c r="K2678" i="14"/>
  <c r="J2678" i="14"/>
  <c r="I2678" i="14"/>
  <c r="H2678" i="14"/>
  <c r="G2678" i="14"/>
  <c r="F2678" i="14"/>
  <c r="E2678" i="14"/>
  <c r="D2678" i="14"/>
  <c r="M2677" i="14"/>
  <c r="L2677" i="14"/>
  <c r="K2677" i="14"/>
  <c r="J2677" i="14"/>
  <c r="I2677" i="14"/>
  <c r="H2677" i="14"/>
  <c r="G2677" i="14"/>
  <c r="F2677" i="14"/>
  <c r="E2677" i="14"/>
  <c r="M2675" i="14"/>
  <c r="M2676" i="14" s="1"/>
  <c r="L2675" i="14"/>
  <c r="L2676" i="14" s="1"/>
  <c r="K2675" i="14"/>
  <c r="K2676" i="14" s="1"/>
  <c r="J2675" i="14"/>
  <c r="J2676" i="14" s="1"/>
  <c r="I2675" i="14"/>
  <c r="I2676" i="14" s="1"/>
  <c r="H2675" i="14"/>
  <c r="H2676" i="14" s="1"/>
  <c r="G2675" i="14"/>
  <c r="G2676" i="14" s="1"/>
  <c r="F2675" i="14"/>
  <c r="F2676" i="14" s="1"/>
  <c r="E2675" i="14"/>
  <c r="E2676" i="14" s="1"/>
  <c r="D2675" i="14"/>
  <c r="D2676" i="14" s="1"/>
  <c r="D2677" i="14" s="1"/>
  <c r="M2674" i="14"/>
  <c r="L2674" i="14"/>
  <c r="K2674" i="14"/>
  <c r="J2674" i="14"/>
  <c r="I2674" i="14"/>
  <c r="H2674" i="14"/>
  <c r="G2674" i="14"/>
  <c r="F2674" i="14"/>
  <c r="E2674" i="14"/>
  <c r="D2674" i="14"/>
  <c r="D2656" i="14"/>
  <c r="D2655" i="14"/>
  <c r="D2633" i="14"/>
  <c r="M2632" i="14"/>
  <c r="L2632" i="14"/>
  <c r="K2632" i="14"/>
  <c r="J2632" i="14"/>
  <c r="I2632" i="14"/>
  <c r="H2632" i="14"/>
  <c r="G2632" i="14"/>
  <c r="F2632" i="14"/>
  <c r="E2632" i="14"/>
  <c r="D2632" i="14"/>
  <c r="M2631" i="14"/>
  <c r="L2631" i="14"/>
  <c r="K2631" i="14"/>
  <c r="J2631" i="14"/>
  <c r="I2631" i="14"/>
  <c r="H2631" i="14"/>
  <c r="G2631" i="14"/>
  <c r="F2631" i="14"/>
  <c r="E2631" i="14"/>
  <c r="M2629" i="14"/>
  <c r="M2630" i="14" s="1"/>
  <c r="L2629" i="14"/>
  <c r="L2630" i="14" s="1"/>
  <c r="K2629" i="14"/>
  <c r="K2630" i="14" s="1"/>
  <c r="J2629" i="14"/>
  <c r="J2630" i="14" s="1"/>
  <c r="I2629" i="14"/>
  <c r="I2630" i="14" s="1"/>
  <c r="H2629" i="14"/>
  <c r="H2630" i="14" s="1"/>
  <c r="G2629" i="14"/>
  <c r="G2630" i="14" s="1"/>
  <c r="F2629" i="14"/>
  <c r="F2630" i="14" s="1"/>
  <c r="E2629" i="14"/>
  <c r="E2630" i="14" s="1"/>
  <c r="D2629" i="14"/>
  <c r="D2630" i="14" s="1"/>
  <c r="D2631" i="14" s="1"/>
  <c r="M2628" i="14"/>
  <c r="L2628" i="14"/>
  <c r="K2628" i="14"/>
  <c r="J2628" i="14"/>
  <c r="I2628" i="14"/>
  <c r="H2628" i="14"/>
  <c r="G2628" i="14"/>
  <c r="F2628" i="14"/>
  <c r="E2628" i="14"/>
  <c r="D2628" i="14"/>
  <c r="D2610" i="14"/>
  <c r="D2609" i="14"/>
  <c r="D2587" i="14"/>
  <c r="M2586" i="14"/>
  <c r="L2586" i="14"/>
  <c r="K2586" i="14"/>
  <c r="J2586" i="14"/>
  <c r="I2586" i="14"/>
  <c r="H2586" i="14"/>
  <c r="G2586" i="14"/>
  <c r="F2586" i="14"/>
  <c r="E2586" i="14"/>
  <c r="D2586" i="14"/>
  <c r="M2585" i="14"/>
  <c r="L2585" i="14"/>
  <c r="K2585" i="14"/>
  <c r="J2585" i="14"/>
  <c r="I2585" i="14"/>
  <c r="H2585" i="14"/>
  <c r="G2585" i="14"/>
  <c r="F2585" i="14"/>
  <c r="E2585" i="14"/>
  <c r="M2583" i="14"/>
  <c r="M2584" i="14" s="1"/>
  <c r="L2583" i="14"/>
  <c r="L2584" i="14" s="1"/>
  <c r="K2583" i="14"/>
  <c r="K2584" i="14" s="1"/>
  <c r="J2583" i="14"/>
  <c r="J2584" i="14" s="1"/>
  <c r="I2583" i="14"/>
  <c r="I2584" i="14" s="1"/>
  <c r="H2583" i="14"/>
  <c r="H2584" i="14" s="1"/>
  <c r="G2583" i="14"/>
  <c r="G2584" i="14" s="1"/>
  <c r="F2583" i="14"/>
  <c r="F2584" i="14" s="1"/>
  <c r="E2583" i="14"/>
  <c r="E2584" i="14" s="1"/>
  <c r="D2583" i="14"/>
  <c r="D2584" i="14" s="1"/>
  <c r="D2585" i="14" s="1"/>
  <c r="M2582" i="14"/>
  <c r="L2582" i="14"/>
  <c r="K2582" i="14"/>
  <c r="J2582" i="14"/>
  <c r="I2582" i="14"/>
  <c r="H2582" i="14"/>
  <c r="G2582" i="14"/>
  <c r="F2582" i="14"/>
  <c r="E2582" i="14"/>
  <c r="D2582" i="14"/>
  <c r="D2564" i="14"/>
  <c r="D2563" i="14"/>
  <c r="D2541" i="14"/>
  <c r="M2540" i="14"/>
  <c r="L2540" i="14"/>
  <c r="K2540" i="14"/>
  <c r="J2540" i="14"/>
  <c r="I2540" i="14"/>
  <c r="H2540" i="14"/>
  <c r="G2540" i="14"/>
  <c r="F2540" i="14"/>
  <c r="E2540" i="14"/>
  <c r="D2540" i="14"/>
  <c r="M2539" i="14"/>
  <c r="L2539" i="14"/>
  <c r="K2539" i="14"/>
  <c r="J2539" i="14"/>
  <c r="I2539" i="14"/>
  <c r="H2539" i="14"/>
  <c r="G2539" i="14"/>
  <c r="F2539" i="14"/>
  <c r="E2539" i="14"/>
  <c r="M2537" i="14"/>
  <c r="M2538" i="14" s="1"/>
  <c r="L2537" i="14"/>
  <c r="L2538" i="14" s="1"/>
  <c r="K2537" i="14"/>
  <c r="K2538" i="14" s="1"/>
  <c r="J2537" i="14"/>
  <c r="J2538" i="14" s="1"/>
  <c r="I2537" i="14"/>
  <c r="I2538" i="14" s="1"/>
  <c r="H2537" i="14"/>
  <c r="H2538" i="14" s="1"/>
  <c r="G2537" i="14"/>
  <c r="G2538" i="14" s="1"/>
  <c r="F2537" i="14"/>
  <c r="F2538" i="14" s="1"/>
  <c r="E2537" i="14"/>
  <c r="E2538" i="14" s="1"/>
  <c r="D2537" i="14"/>
  <c r="D2538" i="14" s="1"/>
  <c r="D2539" i="14" s="1"/>
  <c r="M2536" i="14"/>
  <c r="L2536" i="14"/>
  <c r="K2536" i="14"/>
  <c r="J2536" i="14"/>
  <c r="I2536" i="14"/>
  <c r="H2536" i="14"/>
  <c r="G2536" i="14"/>
  <c r="F2536" i="14"/>
  <c r="E2536" i="14"/>
  <c r="D2536" i="14"/>
  <c r="D2518" i="14"/>
  <c r="D2517" i="14"/>
  <c r="D2495" i="14"/>
  <c r="D2496" i="14" s="1"/>
  <c r="M2494" i="14"/>
  <c r="L2494" i="14"/>
  <c r="K2494" i="14"/>
  <c r="J2494" i="14"/>
  <c r="I2494" i="14"/>
  <c r="H2494" i="14"/>
  <c r="G2494" i="14"/>
  <c r="F2494" i="14"/>
  <c r="E2494" i="14"/>
  <c r="D2494" i="14"/>
  <c r="M2493" i="14"/>
  <c r="L2493" i="14"/>
  <c r="K2493" i="14"/>
  <c r="J2493" i="14"/>
  <c r="I2493" i="14"/>
  <c r="H2493" i="14"/>
  <c r="G2493" i="14"/>
  <c r="F2493" i="14"/>
  <c r="E2493" i="14"/>
  <c r="M2491" i="14"/>
  <c r="M2492" i="14" s="1"/>
  <c r="L2491" i="14"/>
  <c r="L2492" i="14" s="1"/>
  <c r="K2491" i="14"/>
  <c r="K2492" i="14" s="1"/>
  <c r="J2491" i="14"/>
  <c r="J2492" i="14" s="1"/>
  <c r="I2491" i="14"/>
  <c r="I2492" i="14" s="1"/>
  <c r="H2491" i="14"/>
  <c r="H2492" i="14" s="1"/>
  <c r="G2491" i="14"/>
  <c r="G2492" i="14" s="1"/>
  <c r="F2491" i="14"/>
  <c r="F2492" i="14" s="1"/>
  <c r="E2491" i="14"/>
  <c r="E2492" i="14" s="1"/>
  <c r="D2491" i="14"/>
  <c r="D2492" i="14" s="1"/>
  <c r="D2493" i="14" s="1"/>
  <c r="M2490" i="14"/>
  <c r="L2490" i="14"/>
  <c r="K2490" i="14"/>
  <c r="J2490" i="14"/>
  <c r="I2490" i="14"/>
  <c r="H2490" i="14"/>
  <c r="G2490" i="14"/>
  <c r="F2490" i="14"/>
  <c r="E2490" i="14"/>
  <c r="D2490" i="14"/>
  <c r="D2472" i="14"/>
  <c r="D2471" i="14"/>
  <c r="D2449" i="14"/>
  <c r="M2448" i="14"/>
  <c r="L2448" i="14"/>
  <c r="K2448" i="14"/>
  <c r="J2448" i="14"/>
  <c r="I2448" i="14"/>
  <c r="H2448" i="14"/>
  <c r="G2448" i="14"/>
  <c r="F2448" i="14"/>
  <c r="E2448" i="14"/>
  <c r="D2448" i="14"/>
  <c r="M2447" i="14"/>
  <c r="L2447" i="14"/>
  <c r="K2447" i="14"/>
  <c r="J2447" i="14"/>
  <c r="I2447" i="14"/>
  <c r="H2447" i="14"/>
  <c r="G2447" i="14"/>
  <c r="F2447" i="14"/>
  <c r="E2447" i="14"/>
  <c r="M2445" i="14"/>
  <c r="M2446" i="14" s="1"/>
  <c r="L2445" i="14"/>
  <c r="L2446" i="14" s="1"/>
  <c r="K2445" i="14"/>
  <c r="K2446" i="14" s="1"/>
  <c r="J2445" i="14"/>
  <c r="J2446" i="14" s="1"/>
  <c r="I2445" i="14"/>
  <c r="I2446" i="14" s="1"/>
  <c r="H2445" i="14"/>
  <c r="H2446" i="14" s="1"/>
  <c r="G2445" i="14"/>
  <c r="G2446" i="14" s="1"/>
  <c r="F2445" i="14"/>
  <c r="F2446" i="14" s="1"/>
  <c r="E2445" i="14"/>
  <c r="E2446" i="14" s="1"/>
  <c r="D2445" i="14"/>
  <c r="D2446" i="14" s="1"/>
  <c r="D2447" i="14" s="1"/>
  <c r="M2444" i="14"/>
  <c r="L2444" i="14"/>
  <c r="K2444" i="14"/>
  <c r="J2444" i="14"/>
  <c r="I2444" i="14"/>
  <c r="H2444" i="14"/>
  <c r="G2444" i="14"/>
  <c r="F2444" i="14"/>
  <c r="E2444" i="14"/>
  <c r="D2444" i="14"/>
  <c r="D2426" i="14"/>
  <c r="D2425" i="14"/>
  <c r="D2403" i="14"/>
  <c r="M2402" i="14"/>
  <c r="L2402" i="14"/>
  <c r="K2402" i="14"/>
  <c r="J2402" i="14"/>
  <c r="I2402" i="14"/>
  <c r="H2402" i="14"/>
  <c r="G2402" i="14"/>
  <c r="F2402" i="14"/>
  <c r="E2402" i="14"/>
  <c r="D2402" i="14"/>
  <c r="M2401" i="14"/>
  <c r="L2401" i="14"/>
  <c r="K2401" i="14"/>
  <c r="J2401" i="14"/>
  <c r="I2401" i="14"/>
  <c r="H2401" i="14"/>
  <c r="G2401" i="14"/>
  <c r="F2401" i="14"/>
  <c r="E2401" i="14"/>
  <c r="M2399" i="14"/>
  <c r="M2400" i="14" s="1"/>
  <c r="L2399" i="14"/>
  <c r="L2400" i="14" s="1"/>
  <c r="K2399" i="14"/>
  <c r="K2400" i="14" s="1"/>
  <c r="J2399" i="14"/>
  <c r="J2400" i="14" s="1"/>
  <c r="I2399" i="14"/>
  <c r="I2400" i="14" s="1"/>
  <c r="H2399" i="14"/>
  <c r="H2400" i="14" s="1"/>
  <c r="G2399" i="14"/>
  <c r="G2400" i="14" s="1"/>
  <c r="F2399" i="14"/>
  <c r="F2400" i="14" s="1"/>
  <c r="E2399" i="14"/>
  <c r="E2400" i="14" s="1"/>
  <c r="D2399" i="14"/>
  <c r="D2400" i="14" s="1"/>
  <c r="D2401" i="14" s="1"/>
  <c r="M2398" i="14"/>
  <c r="L2398" i="14"/>
  <c r="K2398" i="14"/>
  <c r="J2398" i="14"/>
  <c r="I2398" i="14"/>
  <c r="H2398" i="14"/>
  <c r="G2398" i="14"/>
  <c r="F2398" i="14"/>
  <c r="E2398" i="14"/>
  <c r="D2398" i="14"/>
  <c r="D2380" i="14"/>
  <c r="D2379" i="14"/>
  <c r="D2357" i="14"/>
  <c r="M2356" i="14"/>
  <c r="L2356" i="14"/>
  <c r="K2356" i="14"/>
  <c r="J2356" i="14"/>
  <c r="I2356" i="14"/>
  <c r="H2356" i="14"/>
  <c r="G2356" i="14"/>
  <c r="F2356" i="14"/>
  <c r="E2356" i="14"/>
  <c r="D2356" i="14"/>
  <c r="M2355" i="14"/>
  <c r="L2355" i="14"/>
  <c r="K2355" i="14"/>
  <c r="J2355" i="14"/>
  <c r="I2355" i="14"/>
  <c r="H2355" i="14"/>
  <c r="G2355" i="14"/>
  <c r="F2355" i="14"/>
  <c r="E2355" i="14"/>
  <c r="M2353" i="14"/>
  <c r="M2354" i="14" s="1"/>
  <c r="L2353" i="14"/>
  <c r="L2354" i="14" s="1"/>
  <c r="K2353" i="14"/>
  <c r="K2354" i="14" s="1"/>
  <c r="J2353" i="14"/>
  <c r="J2354" i="14" s="1"/>
  <c r="I2353" i="14"/>
  <c r="I2354" i="14" s="1"/>
  <c r="H2353" i="14"/>
  <c r="H2354" i="14" s="1"/>
  <c r="G2353" i="14"/>
  <c r="G2354" i="14" s="1"/>
  <c r="F2353" i="14"/>
  <c r="F2354" i="14" s="1"/>
  <c r="E2353" i="14"/>
  <c r="E2354" i="14" s="1"/>
  <c r="D2353" i="14"/>
  <c r="D2354" i="14" s="1"/>
  <c r="D2355" i="14" s="1"/>
  <c r="M2352" i="14"/>
  <c r="L2352" i="14"/>
  <c r="K2352" i="14"/>
  <c r="J2352" i="14"/>
  <c r="I2352" i="14"/>
  <c r="H2352" i="14"/>
  <c r="G2352" i="14"/>
  <c r="F2352" i="14"/>
  <c r="E2352" i="14"/>
  <c r="D2352" i="14"/>
  <c r="D2334" i="14"/>
  <c r="D2333" i="14"/>
  <c r="D2311" i="14"/>
  <c r="M2310" i="14"/>
  <c r="L2310" i="14"/>
  <c r="K2310" i="14"/>
  <c r="J2310" i="14"/>
  <c r="I2310" i="14"/>
  <c r="H2310" i="14"/>
  <c r="G2310" i="14"/>
  <c r="F2310" i="14"/>
  <c r="E2310" i="14"/>
  <c r="D2310" i="14"/>
  <c r="M2309" i="14"/>
  <c r="L2309" i="14"/>
  <c r="K2309" i="14"/>
  <c r="J2309" i="14"/>
  <c r="I2309" i="14"/>
  <c r="H2309" i="14"/>
  <c r="G2309" i="14"/>
  <c r="F2309" i="14"/>
  <c r="E2309" i="14"/>
  <c r="M2307" i="14"/>
  <c r="M2308" i="14" s="1"/>
  <c r="L2307" i="14"/>
  <c r="L2308" i="14" s="1"/>
  <c r="K2307" i="14"/>
  <c r="K2308" i="14" s="1"/>
  <c r="J2307" i="14"/>
  <c r="J2308" i="14" s="1"/>
  <c r="I2307" i="14"/>
  <c r="I2308" i="14" s="1"/>
  <c r="H2307" i="14"/>
  <c r="H2308" i="14" s="1"/>
  <c r="G2307" i="14"/>
  <c r="G2308" i="14" s="1"/>
  <c r="F2307" i="14"/>
  <c r="F2308" i="14" s="1"/>
  <c r="E2307" i="14"/>
  <c r="E2308" i="14" s="1"/>
  <c r="D2307" i="14"/>
  <c r="D2308" i="14" s="1"/>
  <c r="D2309" i="14" s="1"/>
  <c r="M2306" i="14"/>
  <c r="L2306" i="14"/>
  <c r="K2306" i="14"/>
  <c r="J2306" i="14"/>
  <c r="I2306" i="14"/>
  <c r="H2306" i="14"/>
  <c r="G2306" i="14"/>
  <c r="F2306" i="14"/>
  <c r="E2306" i="14"/>
  <c r="D2306" i="14"/>
  <c r="D2288" i="14"/>
  <c r="D2287" i="14"/>
  <c r="D2265" i="14"/>
  <c r="M2264" i="14"/>
  <c r="L2264" i="14"/>
  <c r="K2264" i="14"/>
  <c r="J2264" i="14"/>
  <c r="I2264" i="14"/>
  <c r="H2264" i="14"/>
  <c r="G2264" i="14"/>
  <c r="F2264" i="14"/>
  <c r="E2264" i="14"/>
  <c r="D2264" i="14"/>
  <c r="M2263" i="14"/>
  <c r="L2263" i="14"/>
  <c r="K2263" i="14"/>
  <c r="J2263" i="14"/>
  <c r="I2263" i="14"/>
  <c r="H2263" i="14"/>
  <c r="G2263" i="14"/>
  <c r="F2263" i="14"/>
  <c r="E2263" i="14"/>
  <c r="M2261" i="14"/>
  <c r="M2262" i="14" s="1"/>
  <c r="L2261" i="14"/>
  <c r="L2262" i="14" s="1"/>
  <c r="K2261" i="14"/>
  <c r="K2262" i="14" s="1"/>
  <c r="J2261" i="14"/>
  <c r="J2262" i="14" s="1"/>
  <c r="I2261" i="14"/>
  <c r="I2262" i="14" s="1"/>
  <c r="H2261" i="14"/>
  <c r="H2262" i="14" s="1"/>
  <c r="G2261" i="14"/>
  <c r="G2262" i="14" s="1"/>
  <c r="F2261" i="14"/>
  <c r="F2262" i="14" s="1"/>
  <c r="E2261" i="14"/>
  <c r="E2262" i="14" s="1"/>
  <c r="D2261" i="14"/>
  <c r="D2262" i="14" s="1"/>
  <c r="D2263" i="14" s="1"/>
  <c r="M2260" i="14"/>
  <c r="L2260" i="14"/>
  <c r="K2260" i="14"/>
  <c r="J2260" i="14"/>
  <c r="I2260" i="14"/>
  <c r="H2260" i="14"/>
  <c r="G2260" i="14"/>
  <c r="F2260" i="14"/>
  <c r="E2260" i="14"/>
  <c r="D2260" i="14"/>
  <c r="D2242" i="14"/>
  <c r="D2241" i="14"/>
  <c r="D2219" i="14"/>
  <c r="M2218" i="14"/>
  <c r="L2218" i="14"/>
  <c r="K2218" i="14"/>
  <c r="J2218" i="14"/>
  <c r="I2218" i="14"/>
  <c r="J2219" i="14" s="1"/>
  <c r="J2220" i="14" s="1"/>
  <c r="J2223" i="14" s="1"/>
  <c r="H2218" i="14"/>
  <c r="G2218" i="14"/>
  <c r="F2218" i="14"/>
  <c r="E2218" i="14"/>
  <c r="D2218" i="14"/>
  <c r="M2217" i="14"/>
  <c r="L2217" i="14"/>
  <c r="K2217" i="14"/>
  <c r="J2217" i="14"/>
  <c r="I2217" i="14"/>
  <c r="H2217" i="14"/>
  <c r="G2217" i="14"/>
  <c r="F2217" i="14"/>
  <c r="E2217" i="14"/>
  <c r="M2215" i="14"/>
  <c r="M2216" i="14" s="1"/>
  <c r="L2215" i="14"/>
  <c r="L2216" i="14" s="1"/>
  <c r="K2215" i="14"/>
  <c r="K2216" i="14" s="1"/>
  <c r="J2215" i="14"/>
  <c r="J2216" i="14" s="1"/>
  <c r="I2215" i="14"/>
  <c r="I2216" i="14" s="1"/>
  <c r="H2215" i="14"/>
  <c r="H2216" i="14" s="1"/>
  <c r="G2215" i="14"/>
  <c r="G2216" i="14" s="1"/>
  <c r="F2215" i="14"/>
  <c r="F2216" i="14" s="1"/>
  <c r="E2215" i="14"/>
  <c r="E2216" i="14" s="1"/>
  <c r="D2215" i="14"/>
  <c r="D2216" i="14" s="1"/>
  <c r="D2217" i="14" s="1"/>
  <c r="M2214" i="14"/>
  <c r="L2214" i="14"/>
  <c r="K2214" i="14"/>
  <c r="J2214" i="14"/>
  <c r="I2214" i="14"/>
  <c r="H2214" i="14"/>
  <c r="G2214" i="14"/>
  <c r="F2214" i="14"/>
  <c r="E2214" i="14"/>
  <c r="D2214" i="14"/>
  <c r="D2196" i="14"/>
  <c r="D2195" i="14"/>
  <c r="D2173" i="14"/>
  <c r="D2174" i="14" s="1"/>
  <c r="M2172" i="14"/>
  <c r="L2172" i="14"/>
  <c r="K2172" i="14"/>
  <c r="J2172" i="14"/>
  <c r="I2172" i="14"/>
  <c r="H2172" i="14"/>
  <c r="G2172" i="14"/>
  <c r="F2172" i="14"/>
  <c r="E2172" i="14"/>
  <c r="D2172" i="14"/>
  <c r="M2171" i="14"/>
  <c r="L2171" i="14"/>
  <c r="K2171" i="14"/>
  <c r="J2171" i="14"/>
  <c r="I2171" i="14"/>
  <c r="H2171" i="14"/>
  <c r="G2171" i="14"/>
  <c r="F2171" i="14"/>
  <c r="E2171" i="14"/>
  <c r="M2169" i="14"/>
  <c r="M2170" i="14" s="1"/>
  <c r="L2169" i="14"/>
  <c r="L2170" i="14" s="1"/>
  <c r="K2169" i="14"/>
  <c r="K2170" i="14" s="1"/>
  <c r="J2169" i="14"/>
  <c r="J2170" i="14" s="1"/>
  <c r="I2169" i="14"/>
  <c r="I2170" i="14" s="1"/>
  <c r="H2169" i="14"/>
  <c r="H2170" i="14" s="1"/>
  <c r="G2169" i="14"/>
  <c r="G2170" i="14" s="1"/>
  <c r="F2169" i="14"/>
  <c r="F2170" i="14" s="1"/>
  <c r="E2169" i="14"/>
  <c r="E2170" i="14" s="1"/>
  <c r="D2169" i="14"/>
  <c r="D2170" i="14" s="1"/>
  <c r="D2171" i="14" s="1"/>
  <c r="M2168" i="14"/>
  <c r="L2168" i="14"/>
  <c r="K2168" i="14"/>
  <c r="J2168" i="14"/>
  <c r="I2168" i="14"/>
  <c r="H2168" i="14"/>
  <c r="G2168" i="14"/>
  <c r="F2168" i="14"/>
  <c r="E2168" i="14"/>
  <c r="D2168" i="14"/>
  <c r="D2150" i="14"/>
  <c r="D2149" i="14"/>
  <c r="D2127" i="14"/>
  <c r="M2126" i="14"/>
  <c r="L2126" i="14"/>
  <c r="K2126" i="14"/>
  <c r="J2126" i="14"/>
  <c r="I2126" i="14"/>
  <c r="H2126" i="14"/>
  <c r="G2126" i="14"/>
  <c r="F2126" i="14"/>
  <c r="E2126" i="14"/>
  <c r="D2126" i="14"/>
  <c r="M2125" i="14"/>
  <c r="L2125" i="14"/>
  <c r="K2125" i="14"/>
  <c r="J2125" i="14"/>
  <c r="I2125" i="14"/>
  <c r="H2125" i="14"/>
  <c r="G2125" i="14"/>
  <c r="F2125" i="14"/>
  <c r="E2125" i="14"/>
  <c r="M2123" i="14"/>
  <c r="M2124" i="14" s="1"/>
  <c r="L2123" i="14"/>
  <c r="L2124" i="14" s="1"/>
  <c r="K2123" i="14"/>
  <c r="K2124" i="14" s="1"/>
  <c r="J2123" i="14"/>
  <c r="J2124" i="14" s="1"/>
  <c r="I2123" i="14"/>
  <c r="I2124" i="14" s="1"/>
  <c r="H2123" i="14"/>
  <c r="H2124" i="14" s="1"/>
  <c r="G2123" i="14"/>
  <c r="G2124" i="14" s="1"/>
  <c r="F2123" i="14"/>
  <c r="F2124" i="14" s="1"/>
  <c r="E2123" i="14"/>
  <c r="E2124" i="14" s="1"/>
  <c r="D2123" i="14"/>
  <c r="D2124" i="14" s="1"/>
  <c r="D2125" i="14" s="1"/>
  <c r="M2122" i="14"/>
  <c r="L2122" i="14"/>
  <c r="K2122" i="14"/>
  <c r="J2122" i="14"/>
  <c r="I2122" i="14"/>
  <c r="H2122" i="14"/>
  <c r="G2122" i="14"/>
  <c r="F2122" i="14"/>
  <c r="E2122" i="14"/>
  <c r="D2122" i="14"/>
  <c r="D2104" i="14"/>
  <c r="C51" i="15" s="1"/>
  <c r="D2103" i="14"/>
  <c r="B51" i="15" s="1"/>
  <c r="D2081" i="14"/>
  <c r="M2080" i="14"/>
  <c r="L2080" i="14"/>
  <c r="K2080" i="14"/>
  <c r="J2080" i="14"/>
  <c r="I2080" i="14"/>
  <c r="H2080" i="14"/>
  <c r="G2080" i="14"/>
  <c r="F2080" i="14"/>
  <c r="E2080" i="14"/>
  <c r="D2080" i="14"/>
  <c r="M2079" i="14"/>
  <c r="L2079" i="14"/>
  <c r="K2079" i="14"/>
  <c r="J2079" i="14"/>
  <c r="I2079" i="14"/>
  <c r="H2079" i="14"/>
  <c r="G2079" i="14"/>
  <c r="F2079" i="14"/>
  <c r="E2079" i="14"/>
  <c r="M2077" i="14"/>
  <c r="M2078" i="14" s="1"/>
  <c r="L2077" i="14"/>
  <c r="L2078" i="14" s="1"/>
  <c r="K2077" i="14"/>
  <c r="K2078" i="14" s="1"/>
  <c r="J2077" i="14"/>
  <c r="J2078" i="14" s="1"/>
  <c r="I2077" i="14"/>
  <c r="I2078" i="14" s="1"/>
  <c r="H2077" i="14"/>
  <c r="H2078" i="14" s="1"/>
  <c r="G2077" i="14"/>
  <c r="G2078" i="14" s="1"/>
  <c r="F2077" i="14"/>
  <c r="F2078" i="14" s="1"/>
  <c r="E2077" i="14"/>
  <c r="E2078" i="14" s="1"/>
  <c r="D2077" i="14"/>
  <c r="D2078" i="14" s="1"/>
  <c r="D2079" i="14" s="1"/>
  <c r="M2076" i="14"/>
  <c r="L2076" i="14"/>
  <c r="K2076" i="14"/>
  <c r="J2076" i="14"/>
  <c r="I2076" i="14"/>
  <c r="H2076" i="14"/>
  <c r="G2076" i="14"/>
  <c r="F2076" i="14"/>
  <c r="E2076" i="14"/>
  <c r="D2076" i="14"/>
  <c r="D2058" i="14"/>
  <c r="C50" i="15" s="1"/>
  <c r="D2057" i="14"/>
  <c r="B50" i="15" s="1"/>
  <c r="D2035" i="14"/>
  <c r="M2034" i="14"/>
  <c r="L2034" i="14"/>
  <c r="K2034" i="14"/>
  <c r="J2034" i="14"/>
  <c r="I2034" i="14"/>
  <c r="H2034" i="14"/>
  <c r="G2034" i="14"/>
  <c r="F2034" i="14"/>
  <c r="E2034" i="14"/>
  <c r="D2034" i="14"/>
  <c r="M2033" i="14"/>
  <c r="L2033" i="14"/>
  <c r="K2033" i="14"/>
  <c r="J2033" i="14"/>
  <c r="I2033" i="14"/>
  <c r="H2033" i="14"/>
  <c r="G2033" i="14"/>
  <c r="F2033" i="14"/>
  <c r="E2033" i="14"/>
  <c r="M2031" i="14"/>
  <c r="M2032" i="14" s="1"/>
  <c r="L2031" i="14"/>
  <c r="L2032" i="14" s="1"/>
  <c r="K2031" i="14"/>
  <c r="K2032" i="14" s="1"/>
  <c r="J2031" i="14"/>
  <c r="J2032" i="14" s="1"/>
  <c r="I2031" i="14"/>
  <c r="I2032" i="14" s="1"/>
  <c r="H2031" i="14"/>
  <c r="H2032" i="14" s="1"/>
  <c r="G2031" i="14"/>
  <c r="G2032" i="14" s="1"/>
  <c r="F2031" i="14"/>
  <c r="F2032" i="14" s="1"/>
  <c r="E2031" i="14"/>
  <c r="E2032" i="14" s="1"/>
  <c r="D2031" i="14"/>
  <c r="D2032" i="14" s="1"/>
  <c r="D2033" i="14" s="1"/>
  <c r="M2030" i="14"/>
  <c r="L2030" i="14"/>
  <c r="K2030" i="14"/>
  <c r="J2030" i="14"/>
  <c r="I2030" i="14"/>
  <c r="H2030" i="14"/>
  <c r="G2030" i="14"/>
  <c r="F2030" i="14"/>
  <c r="E2030" i="14"/>
  <c r="D2030" i="14"/>
  <c r="D2012" i="14"/>
  <c r="C49" i="15" s="1"/>
  <c r="D2011" i="14"/>
  <c r="B49" i="15" s="1"/>
  <c r="D1989" i="14"/>
  <c r="M1988" i="14"/>
  <c r="L1988" i="14"/>
  <c r="K1988" i="14"/>
  <c r="J1988" i="14"/>
  <c r="I1988" i="14"/>
  <c r="H1988" i="14"/>
  <c r="G1988" i="14"/>
  <c r="F1988" i="14"/>
  <c r="E1988" i="14"/>
  <c r="D1988" i="14"/>
  <c r="M1987" i="14"/>
  <c r="L1987" i="14"/>
  <c r="K1987" i="14"/>
  <c r="J1987" i="14"/>
  <c r="I1987" i="14"/>
  <c r="H1987" i="14"/>
  <c r="G1987" i="14"/>
  <c r="F1987" i="14"/>
  <c r="E1987" i="14"/>
  <c r="M1985" i="14"/>
  <c r="M1986" i="14" s="1"/>
  <c r="L1985" i="14"/>
  <c r="L1986" i="14" s="1"/>
  <c r="K1985" i="14"/>
  <c r="K1986" i="14" s="1"/>
  <c r="J1985" i="14"/>
  <c r="J1986" i="14" s="1"/>
  <c r="I1985" i="14"/>
  <c r="I1986" i="14" s="1"/>
  <c r="H1985" i="14"/>
  <c r="H1986" i="14" s="1"/>
  <c r="G1985" i="14"/>
  <c r="G1986" i="14" s="1"/>
  <c r="F1985" i="14"/>
  <c r="F1986" i="14" s="1"/>
  <c r="E1985" i="14"/>
  <c r="E1986" i="14" s="1"/>
  <c r="D1985" i="14"/>
  <c r="D1986" i="14" s="1"/>
  <c r="D1987" i="14" s="1"/>
  <c r="M1984" i="14"/>
  <c r="L1984" i="14"/>
  <c r="K1984" i="14"/>
  <c r="J1984" i="14"/>
  <c r="I1984" i="14"/>
  <c r="H1984" i="14"/>
  <c r="G1984" i="14"/>
  <c r="F1984" i="14"/>
  <c r="E1984" i="14"/>
  <c r="D1984" i="14"/>
  <c r="D1966" i="14"/>
  <c r="C48" i="15" s="1"/>
  <c r="D1965" i="14"/>
  <c r="B48" i="15" s="1"/>
  <c r="D1943" i="14"/>
  <c r="M1942" i="14"/>
  <c r="L1942" i="14"/>
  <c r="K1942" i="14"/>
  <c r="J1942" i="14"/>
  <c r="I1942" i="14"/>
  <c r="H1942" i="14"/>
  <c r="G1942" i="14"/>
  <c r="F1942" i="14"/>
  <c r="E1942" i="14"/>
  <c r="D1942" i="14"/>
  <c r="M1941" i="14"/>
  <c r="L1941" i="14"/>
  <c r="K1941" i="14"/>
  <c r="J1941" i="14"/>
  <c r="I1941" i="14"/>
  <c r="H1941" i="14"/>
  <c r="G1941" i="14"/>
  <c r="F1941" i="14"/>
  <c r="E1941" i="14"/>
  <c r="M1939" i="14"/>
  <c r="M1940" i="14" s="1"/>
  <c r="L1939" i="14"/>
  <c r="L1940" i="14" s="1"/>
  <c r="K1939" i="14"/>
  <c r="K1940" i="14" s="1"/>
  <c r="J1939" i="14"/>
  <c r="J1940" i="14" s="1"/>
  <c r="I1939" i="14"/>
  <c r="I1940" i="14" s="1"/>
  <c r="H1939" i="14"/>
  <c r="H1940" i="14" s="1"/>
  <c r="G1939" i="14"/>
  <c r="G1940" i="14" s="1"/>
  <c r="F1939" i="14"/>
  <c r="F1940" i="14" s="1"/>
  <c r="E1939" i="14"/>
  <c r="E1940" i="14" s="1"/>
  <c r="D1939" i="14"/>
  <c r="D1940" i="14" s="1"/>
  <c r="D1941" i="14" s="1"/>
  <c r="M1938" i="14"/>
  <c r="L1938" i="14"/>
  <c r="K1938" i="14"/>
  <c r="J1938" i="14"/>
  <c r="I1938" i="14"/>
  <c r="H1938" i="14"/>
  <c r="G1938" i="14"/>
  <c r="F1938" i="14"/>
  <c r="E1938" i="14"/>
  <c r="D1938" i="14"/>
  <c r="D1920" i="14"/>
  <c r="C47" i="15" s="1"/>
  <c r="D1919" i="14"/>
  <c r="B47" i="15" s="1"/>
  <c r="D1897" i="14"/>
  <c r="M1896" i="14"/>
  <c r="L1896" i="14"/>
  <c r="K1896" i="14"/>
  <c r="J1896" i="14"/>
  <c r="I1896" i="14"/>
  <c r="H1896" i="14"/>
  <c r="G1896" i="14"/>
  <c r="F1896" i="14"/>
  <c r="E1896" i="14"/>
  <c r="D1896" i="14"/>
  <c r="M1895" i="14"/>
  <c r="L1895" i="14"/>
  <c r="K1895" i="14"/>
  <c r="J1895" i="14"/>
  <c r="I1895" i="14"/>
  <c r="H1895" i="14"/>
  <c r="G1895" i="14"/>
  <c r="F1895" i="14"/>
  <c r="E1895" i="14"/>
  <c r="M1893" i="14"/>
  <c r="M1894" i="14" s="1"/>
  <c r="L1893" i="14"/>
  <c r="L1894" i="14" s="1"/>
  <c r="K1893" i="14"/>
  <c r="K1894" i="14" s="1"/>
  <c r="J1893" i="14"/>
  <c r="J1894" i="14" s="1"/>
  <c r="I1893" i="14"/>
  <c r="I1894" i="14" s="1"/>
  <c r="H1893" i="14"/>
  <c r="H1894" i="14" s="1"/>
  <c r="G1893" i="14"/>
  <c r="G1894" i="14" s="1"/>
  <c r="F1893" i="14"/>
  <c r="F1894" i="14" s="1"/>
  <c r="E1893" i="14"/>
  <c r="E1894" i="14" s="1"/>
  <c r="D1893" i="14"/>
  <c r="D1894" i="14" s="1"/>
  <c r="D1895" i="14" s="1"/>
  <c r="M1892" i="14"/>
  <c r="L1892" i="14"/>
  <c r="K1892" i="14"/>
  <c r="J1892" i="14"/>
  <c r="I1892" i="14"/>
  <c r="H1892" i="14"/>
  <c r="G1892" i="14"/>
  <c r="F1892" i="14"/>
  <c r="E1892" i="14"/>
  <c r="D1892" i="14"/>
  <c r="D1874" i="14"/>
  <c r="C46" i="15" s="1"/>
  <c r="D1873" i="14"/>
  <c r="B46" i="15" s="1"/>
  <c r="D1851" i="14"/>
  <c r="M1850" i="14"/>
  <c r="L1850" i="14"/>
  <c r="K1850" i="14"/>
  <c r="J1850" i="14"/>
  <c r="I1850" i="14"/>
  <c r="H1850" i="14"/>
  <c r="G1850" i="14"/>
  <c r="F1850" i="14"/>
  <c r="E1850" i="14"/>
  <c r="D1850" i="14"/>
  <c r="M1849" i="14"/>
  <c r="L1849" i="14"/>
  <c r="K1849" i="14"/>
  <c r="J1849" i="14"/>
  <c r="I1849" i="14"/>
  <c r="H1849" i="14"/>
  <c r="G1849" i="14"/>
  <c r="F1849" i="14"/>
  <c r="E1849" i="14"/>
  <c r="M1847" i="14"/>
  <c r="M1848" i="14" s="1"/>
  <c r="L1847" i="14"/>
  <c r="L1848" i="14" s="1"/>
  <c r="K1847" i="14"/>
  <c r="K1848" i="14" s="1"/>
  <c r="J1847" i="14"/>
  <c r="J1848" i="14" s="1"/>
  <c r="I1847" i="14"/>
  <c r="I1848" i="14" s="1"/>
  <c r="H1847" i="14"/>
  <c r="H1848" i="14" s="1"/>
  <c r="G1847" i="14"/>
  <c r="G1848" i="14" s="1"/>
  <c r="F1847" i="14"/>
  <c r="F1848" i="14" s="1"/>
  <c r="E1847" i="14"/>
  <c r="E1848" i="14" s="1"/>
  <c r="D1847" i="14"/>
  <c r="D1848" i="14" s="1"/>
  <c r="D1849" i="14" s="1"/>
  <c r="M1846" i="14"/>
  <c r="L1846" i="14"/>
  <c r="K1846" i="14"/>
  <c r="J1846" i="14"/>
  <c r="I1846" i="14"/>
  <c r="H1846" i="14"/>
  <c r="G1846" i="14"/>
  <c r="F1846" i="14"/>
  <c r="E1846" i="14"/>
  <c r="D1846" i="14"/>
  <c r="D1828" i="14"/>
  <c r="C45" i="15" s="1"/>
  <c r="D1827" i="14"/>
  <c r="B45" i="15" s="1"/>
  <c r="D1805" i="14"/>
  <c r="M1804" i="14"/>
  <c r="L1804" i="14"/>
  <c r="K1804" i="14"/>
  <c r="J1804" i="14"/>
  <c r="I1804" i="14"/>
  <c r="H1804" i="14"/>
  <c r="G1804" i="14"/>
  <c r="F1804" i="14"/>
  <c r="E1804" i="14"/>
  <c r="D1804" i="14"/>
  <c r="M1803" i="14"/>
  <c r="L1803" i="14"/>
  <c r="K1803" i="14"/>
  <c r="J1803" i="14"/>
  <c r="I1803" i="14"/>
  <c r="H1803" i="14"/>
  <c r="G1803" i="14"/>
  <c r="F1803" i="14"/>
  <c r="E1803" i="14"/>
  <c r="M1801" i="14"/>
  <c r="M1802" i="14" s="1"/>
  <c r="L1801" i="14"/>
  <c r="L1802" i="14" s="1"/>
  <c r="K1801" i="14"/>
  <c r="K1802" i="14" s="1"/>
  <c r="J1801" i="14"/>
  <c r="J1802" i="14" s="1"/>
  <c r="I1801" i="14"/>
  <c r="I1802" i="14" s="1"/>
  <c r="H1801" i="14"/>
  <c r="H1802" i="14" s="1"/>
  <c r="G1801" i="14"/>
  <c r="G1802" i="14" s="1"/>
  <c r="F1801" i="14"/>
  <c r="F1802" i="14" s="1"/>
  <c r="E1801" i="14"/>
  <c r="E1802" i="14" s="1"/>
  <c r="D1801" i="14"/>
  <c r="D1802" i="14" s="1"/>
  <c r="D1803" i="14" s="1"/>
  <c r="M1800" i="14"/>
  <c r="L1800" i="14"/>
  <c r="K1800" i="14"/>
  <c r="J1800" i="14"/>
  <c r="I1800" i="14"/>
  <c r="H1800" i="14"/>
  <c r="G1800" i="14"/>
  <c r="F1800" i="14"/>
  <c r="E1800" i="14"/>
  <c r="D1800" i="14"/>
  <c r="D1782" i="14"/>
  <c r="C44" i="15" s="1"/>
  <c r="D1781" i="14"/>
  <c r="B44" i="15" s="1"/>
  <c r="D1759" i="14"/>
  <c r="M1758" i="14"/>
  <c r="L1758" i="14"/>
  <c r="K1758" i="14"/>
  <c r="J1758" i="14"/>
  <c r="I1758" i="14"/>
  <c r="H1758" i="14"/>
  <c r="G1758" i="14"/>
  <c r="F1758" i="14"/>
  <c r="E1758" i="14"/>
  <c r="D1758" i="14"/>
  <c r="M1757" i="14"/>
  <c r="L1757" i="14"/>
  <c r="K1757" i="14"/>
  <c r="J1757" i="14"/>
  <c r="I1757" i="14"/>
  <c r="H1757" i="14"/>
  <c r="G1757" i="14"/>
  <c r="F1757" i="14"/>
  <c r="E1757" i="14"/>
  <c r="M1755" i="14"/>
  <c r="M1756" i="14" s="1"/>
  <c r="L1755" i="14"/>
  <c r="L1756" i="14" s="1"/>
  <c r="K1755" i="14"/>
  <c r="K1756" i="14" s="1"/>
  <c r="J1755" i="14"/>
  <c r="J1756" i="14" s="1"/>
  <c r="I1755" i="14"/>
  <c r="I1756" i="14" s="1"/>
  <c r="H1755" i="14"/>
  <c r="H1756" i="14" s="1"/>
  <c r="G1755" i="14"/>
  <c r="G1756" i="14" s="1"/>
  <c r="F1755" i="14"/>
  <c r="F1756" i="14" s="1"/>
  <c r="E1755" i="14"/>
  <c r="E1756" i="14" s="1"/>
  <c r="D1755" i="14"/>
  <c r="D1756" i="14" s="1"/>
  <c r="D1757" i="14" s="1"/>
  <c r="M1754" i="14"/>
  <c r="L1754" i="14"/>
  <c r="K1754" i="14"/>
  <c r="J1754" i="14"/>
  <c r="I1754" i="14"/>
  <c r="H1754" i="14"/>
  <c r="G1754" i="14"/>
  <c r="F1754" i="14"/>
  <c r="E1754" i="14"/>
  <c r="D1754" i="14"/>
  <c r="D1736" i="14"/>
  <c r="C43" i="15" s="1"/>
  <c r="D1735" i="14"/>
  <c r="B43" i="15" s="1"/>
  <c r="D1713" i="14"/>
  <c r="M1712" i="14"/>
  <c r="L1712" i="14"/>
  <c r="K1712" i="14"/>
  <c r="J1712" i="14"/>
  <c r="I1712" i="14"/>
  <c r="H1712" i="14"/>
  <c r="G1712" i="14"/>
  <c r="F1712" i="14"/>
  <c r="E1712" i="14"/>
  <c r="D1712" i="14"/>
  <c r="M1711" i="14"/>
  <c r="L1711" i="14"/>
  <c r="K1711" i="14"/>
  <c r="J1711" i="14"/>
  <c r="I1711" i="14"/>
  <c r="H1711" i="14"/>
  <c r="G1711" i="14"/>
  <c r="F1711" i="14"/>
  <c r="E1711" i="14"/>
  <c r="M1709" i="14"/>
  <c r="M1710" i="14" s="1"/>
  <c r="L1709" i="14"/>
  <c r="L1710" i="14" s="1"/>
  <c r="K1709" i="14"/>
  <c r="K1710" i="14" s="1"/>
  <c r="J1709" i="14"/>
  <c r="J1710" i="14" s="1"/>
  <c r="I1709" i="14"/>
  <c r="I1710" i="14" s="1"/>
  <c r="H1709" i="14"/>
  <c r="H1710" i="14" s="1"/>
  <c r="G1709" i="14"/>
  <c r="G1710" i="14" s="1"/>
  <c r="F1709" i="14"/>
  <c r="F1710" i="14" s="1"/>
  <c r="E1709" i="14"/>
  <c r="E1710" i="14" s="1"/>
  <c r="D1709" i="14"/>
  <c r="D1710" i="14" s="1"/>
  <c r="D1711" i="14" s="1"/>
  <c r="M1708" i="14"/>
  <c r="L1708" i="14"/>
  <c r="K1708" i="14"/>
  <c r="J1708" i="14"/>
  <c r="I1708" i="14"/>
  <c r="H1708" i="14"/>
  <c r="G1708" i="14"/>
  <c r="F1708" i="14"/>
  <c r="E1708" i="14"/>
  <c r="D1708" i="14"/>
  <c r="D1690" i="14"/>
  <c r="C42" i="15" s="1"/>
  <c r="D1689" i="14"/>
  <c r="B42" i="15" s="1"/>
  <c r="D1667" i="14"/>
  <c r="M1666" i="14"/>
  <c r="L1666" i="14"/>
  <c r="K1666" i="14"/>
  <c r="J1666" i="14"/>
  <c r="I1666" i="14"/>
  <c r="H1666" i="14"/>
  <c r="G1666" i="14"/>
  <c r="F1666" i="14"/>
  <c r="E1666" i="14"/>
  <c r="D1666" i="14"/>
  <c r="M1665" i="14"/>
  <c r="L1665" i="14"/>
  <c r="K1665" i="14"/>
  <c r="J1665" i="14"/>
  <c r="I1665" i="14"/>
  <c r="H1665" i="14"/>
  <c r="G1665" i="14"/>
  <c r="F1665" i="14"/>
  <c r="E1665" i="14"/>
  <c r="M1663" i="14"/>
  <c r="M1664" i="14" s="1"/>
  <c r="L1663" i="14"/>
  <c r="L1664" i="14" s="1"/>
  <c r="K1663" i="14"/>
  <c r="K1664" i="14" s="1"/>
  <c r="J1663" i="14"/>
  <c r="J1664" i="14" s="1"/>
  <c r="I1663" i="14"/>
  <c r="I1664" i="14" s="1"/>
  <c r="H1663" i="14"/>
  <c r="H1664" i="14" s="1"/>
  <c r="G1663" i="14"/>
  <c r="G1664" i="14" s="1"/>
  <c r="F1663" i="14"/>
  <c r="F1664" i="14" s="1"/>
  <c r="E1663" i="14"/>
  <c r="E1664" i="14" s="1"/>
  <c r="D1663" i="14"/>
  <c r="D1664" i="14" s="1"/>
  <c r="D1665" i="14" s="1"/>
  <c r="M1662" i="14"/>
  <c r="L1662" i="14"/>
  <c r="K1662" i="14"/>
  <c r="J1662" i="14"/>
  <c r="I1662" i="14"/>
  <c r="H1662" i="14"/>
  <c r="G1662" i="14"/>
  <c r="F1662" i="14"/>
  <c r="E1662" i="14"/>
  <c r="D1662" i="14"/>
  <c r="D1644" i="14"/>
  <c r="C41" i="15" s="1"/>
  <c r="D1643" i="14"/>
  <c r="B41" i="15" s="1"/>
  <c r="D1621" i="14"/>
  <c r="M1620" i="14"/>
  <c r="L1620" i="14"/>
  <c r="K1620" i="14"/>
  <c r="J1620" i="14"/>
  <c r="I1620" i="14"/>
  <c r="H1620" i="14"/>
  <c r="G1620" i="14"/>
  <c r="F1620" i="14"/>
  <c r="E1620" i="14"/>
  <c r="D1620" i="14"/>
  <c r="M1619" i="14"/>
  <c r="L1619" i="14"/>
  <c r="K1619" i="14"/>
  <c r="J1619" i="14"/>
  <c r="I1619" i="14"/>
  <c r="H1619" i="14"/>
  <c r="G1619" i="14"/>
  <c r="F1619" i="14"/>
  <c r="E1619" i="14"/>
  <c r="M1617" i="14"/>
  <c r="M1618" i="14" s="1"/>
  <c r="L1617" i="14"/>
  <c r="L1618" i="14" s="1"/>
  <c r="K1617" i="14"/>
  <c r="K1618" i="14" s="1"/>
  <c r="J1617" i="14"/>
  <c r="J1618" i="14" s="1"/>
  <c r="I1617" i="14"/>
  <c r="I1618" i="14" s="1"/>
  <c r="H1617" i="14"/>
  <c r="H1618" i="14" s="1"/>
  <c r="G1617" i="14"/>
  <c r="G1618" i="14" s="1"/>
  <c r="F1617" i="14"/>
  <c r="F1618" i="14" s="1"/>
  <c r="E1617" i="14"/>
  <c r="E1618" i="14" s="1"/>
  <c r="D1617" i="14"/>
  <c r="D1618" i="14" s="1"/>
  <c r="D1619" i="14" s="1"/>
  <c r="M1616" i="14"/>
  <c r="L1616" i="14"/>
  <c r="K1616" i="14"/>
  <c r="J1616" i="14"/>
  <c r="I1616" i="14"/>
  <c r="H1616" i="14"/>
  <c r="G1616" i="14"/>
  <c r="F1616" i="14"/>
  <c r="E1616" i="14"/>
  <c r="D1616" i="14"/>
  <c r="D1598" i="14"/>
  <c r="C40" i="15" s="1"/>
  <c r="D1597" i="14"/>
  <c r="B40" i="15" s="1"/>
  <c r="D1575" i="14"/>
  <c r="M1574" i="14"/>
  <c r="L1574" i="14"/>
  <c r="K1574" i="14"/>
  <c r="J1574" i="14"/>
  <c r="I1574" i="14"/>
  <c r="H1574" i="14"/>
  <c r="G1574" i="14"/>
  <c r="F1574" i="14"/>
  <c r="E1574" i="14"/>
  <c r="D1574" i="14"/>
  <c r="M1573" i="14"/>
  <c r="L1573" i="14"/>
  <c r="K1573" i="14"/>
  <c r="J1573" i="14"/>
  <c r="I1573" i="14"/>
  <c r="H1573" i="14"/>
  <c r="G1573" i="14"/>
  <c r="F1573" i="14"/>
  <c r="E1573" i="14"/>
  <c r="M1571" i="14"/>
  <c r="M1572" i="14" s="1"/>
  <c r="L1571" i="14"/>
  <c r="L1572" i="14" s="1"/>
  <c r="K1571" i="14"/>
  <c r="K1572" i="14" s="1"/>
  <c r="J1571" i="14"/>
  <c r="J1572" i="14" s="1"/>
  <c r="I1571" i="14"/>
  <c r="I1572" i="14" s="1"/>
  <c r="H1571" i="14"/>
  <c r="H1572" i="14" s="1"/>
  <c r="G1571" i="14"/>
  <c r="G1572" i="14" s="1"/>
  <c r="F1571" i="14"/>
  <c r="F1572" i="14" s="1"/>
  <c r="E1571" i="14"/>
  <c r="E1572" i="14" s="1"/>
  <c r="D1571" i="14"/>
  <c r="D1572" i="14" s="1"/>
  <c r="D1573" i="14" s="1"/>
  <c r="M1570" i="14"/>
  <c r="L1570" i="14"/>
  <c r="K1570" i="14"/>
  <c r="J1570" i="14"/>
  <c r="I1570" i="14"/>
  <c r="H1570" i="14"/>
  <c r="G1570" i="14"/>
  <c r="F1570" i="14"/>
  <c r="E1570" i="14"/>
  <c r="D1570" i="14"/>
  <c r="D1552" i="14"/>
  <c r="C39" i="15" s="1"/>
  <c r="D1551" i="14"/>
  <c r="B39" i="15" s="1"/>
  <c r="D1529" i="14"/>
  <c r="D1530" i="14" s="1"/>
  <c r="D1533" i="14" s="1"/>
  <c r="M1528" i="14"/>
  <c r="L1528" i="14"/>
  <c r="K1528" i="14"/>
  <c r="J1528" i="14"/>
  <c r="I1528" i="14"/>
  <c r="H1528" i="14"/>
  <c r="G1528" i="14"/>
  <c r="F1528" i="14"/>
  <c r="E1528" i="14"/>
  <c r="D1528" i="14"/>
  <c r="M1527" i="14"/>
  <c r="L1527" i="14"/>
  <c r="K1527" i="14"/>
  <c r="J1527" i="14"/>
  <c r="I1527" i="14"/>
  <c r="H1527" i="14"/>
  <c r="G1527" i="14"/>
  <c r="F1527" i="14"/>
  <c r="E1527" i="14"/>
  <c r="M1525" i="14"/>
  <c r="M1526" i="14" s="1"/>
  <c r="L1525" i="14"/>
  <c r="L1526" i="14" s="1"/>
  <c r="K1525" i="14"/>
  <c r="K1526" i="14" s="1"/>
  <c r="J1525" i="14"/>
  <c r="J1526" i="14" s="1"/>
  <c r="I1525" i="14"/>
  <c r="I1526" i="14" s="1"/>
  <c r="H1525" i="14"/>
  <c r="H1526" i="14" s="1"/>
  <c r="G1525" i="14"/>
  <c r="G1526" i="14" s="1"/>
  <c r="F1525" i="14"/>
  <c r="F1526" i="14" s="1"/>
  <c r="E1525" i="14"/>
  <c r="E1526" i="14" s="1"/>
  <c r="D1525" i="14"/>
  <c r="D1526" i="14" s="1"/>
  <c r="D1527" i="14" s="1"/>
  <c r="M1524" i="14"/>
  <c r="L1524" i="14"/>
  <c r="K1524" i="14"/>
  <c r="J1524" i="14"/>
  <c r="I1524" i="14"/>
  <c r="H1524" i="14"/>
  <c r="G1524" i="14"/>
  <c r="F1524" i="14"/>
  <c r="E1524" i="14"/>
  <c r="D1524" i="14"/>
  <c r="D1506" i="14"/>
  <c r="C38" i="15" s="1"/>
  <c r="D1505" i="14"/>
  <c r="B38" i="15" s="1"/>
  <c r="D1483" i="14"/>
  <c r="M1482" i="14"/>
  <c r="L1482" i="14"/>
  <c r="K1482" i="14"/>
  <c r="J1482" i="14"/>
  <c r="I1482" i="14"/>
  <c r="H1482" i="14"/>
  <c r="G1482" i="14"/>
  <c r="F1482" i="14"/>
  <c r="E1482" i="14"/>
  <c r="D1482" i="14"/>
  <c r="M1481" i="14"/>
  <c r="L1481" i="14"/>
  <c r="K1481" i="14"/>
  <c r="J1481" i="14"/>
  <c r="I1481" i="14"/>
  <c r="H1481" i="14"/>
  <c r="G1481" i="14"/>
  <c r="F1481" i="14"/>
  <c r="E1481" i="14"/>
  <c r="M1479" i="14"/>
  <c r="M1480" i="14" s="1"/>
  <c r="L1479" i="14"/>
  <c r="L1480" i="14" s="1"/>
  <c r="K1479" i="14"/>
  <c r="K1480" i="14" s="1"/>
  <c r="J1479" i="14"/>
  <c r="J1480" i="14" s="1"/>
  <c r="I1479" i="14"/>
  <c r="I1480" i="14" s="1"/>
  <c r="H1479" i="14"/>
  <c r="H1480" i="14" s="1"/>
  <c r="G1479" i="14"/>
  <c r="G1480" i="14" s="1"/>
  <c r="F1479" i="14"/>
  <c r="F1480" i="14" s="1"/>
  <c r="E1479" i="14"/>
  <c r="E1480" i="14" s="1"/>
  <c r="D1479" i="14"/>
  <c r="D1480" i="14" s="1"/>
  <c r="D1481" i="14" s="1"/>
  <c r="M1478" i="14"/>
  <c r="L1478" i="14"/>
  <c r="K1478" i="14"/>
  <c r="J1478" i="14"/>
  <c r="I1478" i="14"/>
  <c r="H1478" i="14"/>
  <c r="G1478" i="14"/>
  <c r="F1478" i="14"/>
  <c r="E1478" i="14"/>
  <c r="D1478" i="14"/>
  <c r="D1460" i="14"/>
  <c r="C37" i="15" s="1"/>
  <c r="D1459" i="14"/>
  <c r="B37" i="15" s="1"/>
  <c r="D1437" i="14"/>
  <c r="M1436" i="14"/>
  <c r="L1436" i="14"/>
  <c r="K1436" i="14"/>
  <c r="J1436" i="14"/>
  <c r="I1436" i="14"/>
  <c r="H1436" i="14"/>
  <c r="G1436" i="14"/>
  <c r="F1436" i="14"/>
  <c r="E1436" i="14"/>
  <c r="D1436" i="14"/>
  <c r="M1435" i="14"/>
  <c r="L1435" i="14"/>
  <c r="K1435" i="14"/>
  <c r="J1435" i="14"/>
  <c r="I1435" i="14"/>
  <c r="H1435" i="14"/>
  <c r="G1435" i="14"/>
  <c r="F1435" i="14"/>
  <c r="E1435" i="14"/>
  <c r="M1433" i="14"/>
  <c r="M1434" i="14" s="1"/>
  <c r="L1433" i="14"/>
  <c r="L1434" i="14" s="1"/>
  <c r="K1433" i="14"/>
  <c r="K1434" i="14" s="1"/>
  <c r="J1433" i="14"/>
  <c r="J1434" i="14" s="1"/>
  <c r="I1433" i="14"/>
  <c r="I1434" i="14" s="1"/>
  <c r="H1433" i="14"/>
  <c r="H1434" i="14" s="1"/>
  <c r="G1433" i="14"/>
  <c r="G1434" i="14" s="1"/>
  <c r="F1433" i="14"/>
  <c r="F1434" i="14" s="1"/>
  <c r="E1433" i="14"/>
  <c r="E1434" i="14" s="1"/>
  <c r="D1433" i="14"/>
  <c r="D1434" i="14" s="1"/>
  <c r="D1435" i="14" s="1"/>
  <c r="M1432" i="14"/>
  <c r="L1432" i="14"/>
  <c r="K1432" i="14"/>
  <c r="J1432" i="14"/>
  <c r="I1432" i="14"/>
  <c r="H1432" i="14"/>
  <c r="G1432" i="14"/>
  <c r="F1432" i="14"/>
  <c r="E1432" i="14"/>
  <c r="D1432" i="14"/>
  <c r="D1414" i="14"/>
  <c r="C36" i="15" s="1"/>
  <c r="D1413" i="14"/>
  <c r="B36" i="15" s="1"/>
  <c r="D1391" i="14"/>
  <c r="M1390" i="14"/>
  <c r="L1390" i="14"/>
  <c r="K1390" i="14"/>
  <c r="J1390" i="14"/>
  <c r="I1390" i="14"/>
  <c r="H1390" i="14"/>
  <c r="G1390" i="14"/>
  <c r="F1390" i="14"/>
  <c r="E1390" i="14"/>
  <c r="D1390" i="14"/>
  <c r="M1389" i="14"/>
  <c r="L1389" i="14"/>
  <c r="K1389" i="14"/>
  <c r="J1389" i="14"/>
  <c r="I1389" i="14"/>
  <c r="H1389" i="14"/>
  <c r="G1389" i="14"/>
  <c r="F1389" i="14"/>
  <c r="E1389" i="14"/>
  <c r="M1387" i="14"/>
  <c r="M1388" i="14" s="1"/>
  <c r="L1387" i="14"/>
  <c r="L1388" i="14" s="1"/>
  <c r="K1387" i="14"/>
  <c r="K1388" i="14" s="1"/>
  <c r="J1387" i="14"/>
  <c r="J1388" i="14" s="1"/>
  <c r="I1387" i="14"/>
  <c r="I1388" i="14" s="1"/>
  <c r="H1387" i="14"/>
  <c r="H1388" i="14" s="1"/>
  <c r="G1387" i="14"/>
  <c r="G1388" i="14" s="1"/>
  <c r="F1387" i="14"/>
  <c r="F1388" i="14" s="1"/>
  <c r="E1387" i="14"/>
  <c r="E1388" i="14" s="1"/>
  <c r="D1387" i="14"/>
  <c r="D1388" i="14" s="1"/>
  <c r="D1389" i="14" s="1"/>
  <c r="M1386" i="14"/>
  <c r="L1386" i="14"/>
  <c r="K1386" i="14"/>
  <c r="J1386" i="14"/>
  <c r="I1386" i="14"/>
  <c r="H1386" i="14"/>
  <c r="G1386" i="14"/>
  <c r="F1386" i="14"/>
  <c r="E1386" i="14"/>
  <c r="D1386" i="14"/>
  <c r="D1368" i="14"/>
  <c r="C35" i="15" s="1"/>
  <c r="D1367" i="14"/>
  <c r="B35" i="15" s="1"/>
  <c r="D1345" i="14"/>
  <c r="M1344" i="14"/>
  <c r="L1344" i="14"/>
  <c r="K1344" i="14"/>
  <c r="J1344" i="14"/>
  <c r="I1344" i="14"/>
  <c r="H1344" i="14"/>
  <c r="G1344" i="14"/>
  <c r="F1344" i="14"/>
  <c r="E1344" i="14"/>
  <c r="D1344" i="14"/>
  <c r="M1343" i="14"/>
  <c r="L1343" i="14"/>
  <c r="K1343" i="14"/>
  <c r="J1343" i="14"/>
  <c r="I1343" i="14"/>
  <c r="H1343" i="14"/>
  <c r="G1343" i="14"/>
  <c r="F1343" i="14"/>
  <c r="E1343" i="14"/>
  <c r="M1341" i="14"/>
  <c r="M1342" i="14" s="1"/>
  <c r="L1341" i="14"/>
  <c r="L1342" i="14" s="1"/>
  <c r="K1341" i="14"/>
  <c r="K1342" i="14" s="1"/>
  <c r="J1341" i="14"/>
  <c r="J1342" i="14" s="1"/>
  <c r="I1341" i="14"/>
  <c r="I1342" i="14" s="1"/>
  <c r="H1341" i="14"/>
  <c r="H1342" i="14" s="1"/>
  <c r="G1341" i="14"/>
  <c r="G1342" i="14" s="1"/>
  <c r="F1341" i="14"/>
  <c r="F1342" i="14" s="1"/>
  <c r="E1341" i="14"/>
  <c r="E1342" i="14" s="1"/>
  <c r="D1341" i="14"/>
  <c r="D1342" i="14" s="1"/>
  <c r="D1343" i="14" s="1"/>
  <c r="M1340" i="14"/>
  <c r="L1340" i="14"/>
  <c r="K1340" i="14"/>
  <c r="J1340" i="14"/>
  <c r="I1340" i="14"/>
  <c r="H1340" i="14"/>
  <c r="G1340" i="14"/>
  <c r="F1340" i="14"/>
  <c r="E1340" i="14"/>
  <c r="D1340" i="14"/>
  <c r="D1322" i="14"/>
  <c r="C34" i="15" s="1"/>
  <c r="D1321" i="14"/>
  <c r="B34" i="15" s="1"/>
  <c r="D1299" i="14"/>
  <c r="M1298" i="14"/>
  <c r="L1298" i="14"/>
  <c r="K1298" i="14"/>
  <c r="J1298" i="14"/>
  <c r="I1298" i="14"/>
  <c r="H1298" i="14"/>
  <c r="G1298" i="14"/>
  <c r="F1298" i="14"/>
  <c r="E1298" i="14"/>
  <c r="D1298" i="14"/>
  <c r="M1297" i="14"/>
  <c r="L1297" i="14"/>
  <c r="K1297" i="14"/>
  <c r="J1297" i="14"/>
  <c r="I1297" i="14"/>
  <c r="H1297" i="14"/>
  <c r="G1297" i="14"/>
  <c r="F1297" i="14"/>
  <c r="E1297" i="14"/>
  <c r="M1295" i="14"/>
  <c r="M1296" i="14" s="1"/>
  <c r="L1295" i="14"/>
  <c r="L1296" i="14" s="1"/>
  <c r="K1295" i="14"/>
  <c r="K1296" i="14" s="1"/>
  <c r="J1295" i="14"/>
  <c r="J1296" i="14" s="1"/>
  <c r="I1295" i="14"/>
  <c r="I1296" i="14" s="1"/>
  <c r="H1295" i="14"/>
  <c r="H1296" i="14" s="1"/>
  <c r="G1295" i="14"/>
  <c r="G1296" i="14" s="1"/>
  <c r="F1295" i="14"/>
  <c r="F1296" i="14" s="1"/>
  <c r="E1295" i="14"/>
  <c r="E1296" i="14" s="1"/>
  <c r="D1295" i="14"/>
  <c r="D1296" i="14" s="1"/>
  <c r="D1297" i="14" s="1"/>
  <c r="M1294" i="14"/>
  <c r="L1294" i="14"/>
  <c r="K1294" i="14"/>
  <c r="J1294" i="14"/>
  <c r="I1294" i="14"/>
  <c r="H1294" i="14"/>
  <c r="G1294" i="14"/>
  <c r="F1294" i="14"/>
  <c r="E1294" i="14"/>
  <c r="D1294" i="14"/>
  <c r="D1276" i="14"/>
  <c r="C33" i="15" s="1"/>
  <c r="D1275" i="14"/>
  <c r="B33" i="15" s="1"/>
  <c r="D1253" i="14"/>
  <c r="M1252" i="14"/>
  <c r="L1252" i="14"/>
  <c r="K1252" i="14"/>
  <c r="J1252" i="14"/>
  <c r="I1252" i="14"/>
  <c r="H1252" i="14"/>
  <c r="G1252" i="14"/>
  <c r="F1252" i="14"/>
  <c r="E1252" i="14"/>
  <c r="D1252" i="14"/>
  <c r="M1251" i="14"/>
  <c r="L1251" i="14"/>
  <c r="K1251" i="14"/>
  <c r="J1251" i="14"/>
  <c r="I1251" i="14"/>
  <c r="H1251" i="14"/>
  <c r="G1251" i="14"/>
  <c r="F1251" i="14"/>
  <c r="E1251" i="14"/>
  <c r="M1249" i="14"/>
  <c r="M1250" i="14" s="1"/>
  <c r="L1249" i="14"/>
  <c r="L1250" i="14" s="1"/>
  <c r="K1249" i="14"/>
  <c r="K1250" i="14" s="1"/>
  <c r="J1249" i="14"/>
  <c r="J1250" i="14" s="1"/>
  <c r="I1249" i="14"/>
  <c r="I1250" i="14" s="1"/>
  <c r="H1249" i="14"/>
  <c r="H1250" i="14" s="1"/>
  <c r="G1249" i="14"/>
  <c r="G1250" i="14" s="1"/>
  <c r="F1249" i="14"/>
  <c r="F1250" i="14" s="1"/>
  <c r="E1249" i="14"/>
  <c r="E1250" i="14" s="1"/>
  <c r="D1249" i="14"/>
  <c r="D1250" i="14" s="1"/>
  <c r="D1251" i="14" s="1"/>
  <c r="M1248" i="14"/>
  <c r="L1248" i="14"/>
  <c r="K1248" i="14"/>
  <c r="J1248" i="14"/>
  <c r="I1248" i="14"/>
  <c r="H1248" i="14"/>
  <c r="G1248" i="14"/>
  <c r="F1248" i="14"/>
  <c r="E1248" i="14"/>
  <c r="D1248" i="14"/>
  <c r="D1230" i="14"/>
  <c r="C32" i="15" s="1"/>
  <c r="D1229" i="14"/>
  <c r="B32" i="15" s="1"/>
  <c r="D1207" i="14"/>
  <c r="M1206" i="14"/>
  <c r="L1206" i="14"/>
  <c r="K1206" i="14"/>
  <c r="J1206" i="14"/>
  <c r="I1206" i="14"/>
  <c r="H1206" i="14"/>
  <c r="G1206" i="14"/>
  <c r="F1206" i="14"/>
  <c r="E1206" i="14"/>
  <c r="D1206" i="14"/>
  <c r="M1205" i="14"/>
  <c r="L1205" i="14"/>
  <c r="K1205" i="14"/>
  <c r="J1205" i="14"/>
  <c r="I1205" i="14"/>
  <c r="H1205" i="14"/>
  <c r="G1205" i="14"/>
  <c r="F1205" i="14"/>
  <c r="E1205" i="14"/>
  <c r="M1203" i="14"/>
  <c r="M1204" i="14" s="1"/>
  <c r="L1203" i="14"/>
  <c r="L1204" i="14" s="1"/>
  <c r="K1203" i="14"/>
  <c r="K1204" i="14" s="1"/>
  <c r="J1203" i="14"/>
  <c r="J1204" i="14" s="1"/>
  <c r="I1203" i="14"/>
  <c r="I1204" i="14" s="1"/>
  <c r="H1203" i="14"/>
  <c r="H1204" i="14" s="1"/>
  <c r="G1203" i="14"/>
  <c r="G1204" i="14" s="1"/>
  <c r="F1203" i="14"/>
  <c r="F1204" i="14" s="1"/>
  <c r="E1203" i="14"/>
  <c r="E1204" i="14" s="1"/>
  <c r="D1203" i="14"/>
  <c r="D1204" i="14" s="1"/>
  <c r="D1205" i="14" s="1"/>
  <c r="M1202" i="14"/>
  <c r="L1202" i="14"/>
  <c r="K1202" i="14"/>
  <c r="J1202" i="14"/>
  <c r="I1202" i="14"/>
  <c r="H1202" i="14"/>
  <c r="G1202" i="14"/>
  <c r="F1202" i="14"/>
  <c r="E1202" i="14"/>
  <c r="D1202" i="14"/>
  <c r="D1184" i="14"/>
  <c r="C31" i="15" s="1"/>
  <c r="D1183" i="14"/>
  <c r="B31" i="15" s="1"/>
  <c r="D1161" i="14"/>
  <c r="M1160" i="14"/>
  <c r="L1160" i="14"/>
  <c r="K1160" i="14"/>
  <c r="J1160" i="14"/>
  <c r="I1160" i="14"/>
  <c r="H1160" i="14"/>
  <c r="G1160" i="14"/>
  <c r="F1160" i="14"/>
  <c r="E1160" i="14"/>
  <c r="D1160" i="14"/>
  <c r="M1159" i="14"/>
  <c r="L1159" i="14"/>
  <c r="K1159" i="14"/>
  <c r="J1159" i="14"/>
  <c r="I1159" i="14"/>
  <c r="H1159" i="14"/>
  <c r="G1159" i="14"/>
  <c r="F1159" i="14"/>
  <c r="E1159" i="14"/>
  <c r="M1157" i="14"/>
  <c r="M1158" i="14" s="1"/>
  <c r="L1157" i="14"/>
  <c r="L1158" i="14" s="1"/>
  <c r="K1157" i="14"/>
  <c r="K1158" i="14" s="1"/>
  <c r="J1157" i="14"/>
  <c r="J1158" i="14" s="1"/>
  <c r="I1157" i="14"/>
  <c r="I1158" i="14" s="1"/>
  <c r="H1157" i="14"/>
  <c r="H1158" i="14" s="1"/>
  <c r="G1157" i="14"/>
  <c r="G1158" i="14" s="1"/>
  <c r="F1157" i="14"/>
  <c r="F1158" i="14" s="1"/>
  <c r="E1157" i="14"/>
  <c r="E1158" i="14" s="1"/>
  <c r="D1157" i="14"/>
  <c r="D1158" i="14" s="1"/>
  <c r="D1159" i="14" s="1"/>
  <c r="M1156" i="14"/>
  <c r="L1156" i="14"/>
  <c r="K1156" i="14"/>
  <c r="J1156" i="14"/>
  <c r="I1156" i="14"/>
  <c r="H1156" i="14"/>
  <c r="G1156" i="14"/>
  <c r="F1156" i="14"/>
  <c r="E1156" i="14"/>
  <c r="D1156" i="14"/>
  <c r="D1138" i="14"/>
  <c r="C30" i="15" s="1"/>
  <c r="D1137" i="14"/>
  <c r="B30" i="15" s="1"/>
  <c r="D1115" i="14"/>
  <c r="M1114" i="14"/>
  <c r="L1114" i="14"/>
  <c r="K1114" i="14"/>
  <c r="J1114" i="14"/>
  <c r="I1114" i="14"/>
  <c r="H1114" i="14"/>
  <c r="G1114" i="14"/>
  <c r="F1114" i="14"/>
  <c r="E1114" i="14"/>
  <c r="D1114" i="14"/>
  <c r="M1113" i="14"/>
  <c r="L1113" i="14"/>
  <c r="K1113" i="14"/>
  <c r="J1113" i="14"/>
  <c r="I1113" i="14"/>
  <c r="H1113" i="14"/>
  <c r="G1113" i="14"/>
  <c r="F1113" i="14"/>
  <c r="E1113" i="14"/>
  <c r="M1111" i="14"/>
  <c r="M1112" i="14" s="1"/>
  <c r="L1111" i="14"/>
  <c r="L1112" i="14" s="1"/>
  <c r="K1111" i="14"/>
  <c r="K1112" i="14" s="1"/>
  <c r="J1111" i="14"/>
  <c r="J1112" i="14" s="1"/>
  <c r="I1111" i="14"/>
  <c r="I1112" i="14" s="1"/>
  <c r="H1111" i="14"/>
  <c r="H1112" i="14" s="1"/>
  <c r="G1111" i="14"/>
  <c r="G1112" i="14" s="1"/>
  <c r="F1111" i="14"/>
  <c r="F1112" i="14" s="1"/>
  <c r="E1111" i="14"/>
  <c r="E1112" i="14" s="1"/>
  <c r="D1111" i="14"/>
  <c r="D1112" i="14" s="1"/>
  <c r="D1113" i="14" s="1"/>
  <c r="M1110" i="14"/>
  <c r="L1110" i="14"/>
  <c r="K1110" i="14"/>
  <c r="J1110" i="14"/>
  <c r="I1110" i="14"/>
  <c r="H1110" i="14"/>
  <c r="G1110" i="14"/>
  <c r="F1110" i="14"/>
  <c r="E1110" i="14"/>
  <c r="D1110" i="14"/>
  <c r="D1092" i="14"/>
  <c r="C29" i="15" s="1"/>
  <c r="D1091" i="14"/>
  <c r="B29" i="15" s="1"/>
  <c r="D1069" i="14"/>
  <c r="M1068" i="14"/>
  <c r="L1068" i="14"/>
  <c r="K1068" i="14"/>
  <c r="J1068" i="14"/>
  <c r="I1068" i="14"/>
  <c r="H1068" i="14"/>
  <c r="G1068" i="14"/>
  <c r="F1068" i="14"/>
  <c r="E1068" i="14"/>
  <c r="D1068" i="14"/>
  <c r="M1067" i="14"/>
  <c r="L1067" i="14"/>
  <c r="K1067" i="14"/>
  <c r="J1067" i="14"/>
  <c r="I1067" i="14"/>
  <c r="H1067" i="14"/>
  <c r="G1067" i="14"/>
  <c r="F1067" i="14"/>
  <c r="E1067" i="14"/>
  <c r="M1065" i="14"/>
  <c r="M1066" i="14" s="1"/>
  <c r="L1065" i="14"/>
  <c r="L1066" i="14" s="1"/>
  <c r="K1065" i="14"/>
  <c r="K1066" i="14" s="1"/>
  <c r="J1065" i="14"/>
  <c r="J1066" i="14" s="1"/>
  <c r="I1065" i="14"/>
  <c r="I1066" i="14" s="1"/>
  <c r="H1065" i="14"/>
  <c r="H1066" i="14" s="1"/>
  <c r="G1065" i="14"/>
  <c r="G1066" i="14" s="1"/>
  <c r="F1065" i="14"/>
  <c r="F1066" i="14" s="1"/>
  <c r="E1065" i="14"/>
  <c r="E1066" i="14" s="1"/>
  <c r="D1065" i="14"/>
  <c r="D1066" i="14" s="1"/>
  <c r="D1067" i="14" s="1"/>
  <c r="M1064" i="14"/>
  <c r="L1064" i="14"/>
  <c r="K1064" i="14"/>
  <c r="J1064" i="14"/>
  <c r="I1064" i="14"/>
  <c r="H1064" i="14"/>
  <c r="G1064" i="14"/>
  <c r="F1064" i="14"/>
  <c r="E1064" i="14"/>
  <c r="D1064" i="14"/>
  <c r="D1046" i="14"/>
  <c r="C28" i="15" s="1"/>
  <c r="D1045" i="14"/>
  <c r="B28" i="15" s="1"/>
  <c r="D1023" i="14"/>
  <c r="M1022" i="14"/>
  <c r="L1022" i="14"/>
  <c r="K1022" i="14"/>
  <c r="J1022" i="14"/>
  <c r="I1022" i="14"/>
  <c r="H1022" i="14"/>
  <c r="G1022" i="14"/>
  <c r="F1022" i="14"/>
  <c r="E1022" i="14"/>
  <c r="D1022" i="14"/>
  <c r="M1021" i="14"/>
  <c r="L1021" i="14"/>
  <c r="K1021" i="14"/>
  <c r="J1021" i="14"/>
  <c r="I1021" i="14"/>
  <c r="H1021" i="14"/>
  <c r="G1021" i="14"/>
  <c r="F1021" i="14"/>
  <c r="E1021" i="14"/>
  <c r="M1019" i="14"/>
  <c r="M1020" i="14" s="1"/>
  <c r="L1019" i="14"/>
  <c r="L1020" i="14" s="1"/>
  <c r="K1019" i="14"/>
  <c r="K1020" i="14" s="1"/>
  <c r="J1019" i="14"/>
  <c r="J1020" i="14" s="1"/>
  <c r="I1019" i="14"/>
  <c r="I1020" i="14" s="1"/>
  <c r="H1019" i="14"/>
  <c r="H1020" i="14" s="1"/>
  <c r="G1019" i="14"/>
  <c r="G1020" i="14" s="1"/>
  <c r="F1019" i="14"/>
  <c r="F1020" i="14" s="1"/>
  <c r="E1019" i="14"/>
  <c r="E1020" i="14" s="1"/>
  <c r="D1019" i="14"/>
  <c r="D1020" i="14" s="1"/>
  <c r="D1021" i="14" s="1"/>
  <c r="M1018" i="14"/>
  <c r="L1018" i="14"/>
  <c r="K1018" i="14"/>
  <c r="J1018" i="14"/>
  <c r="I1018" i="14"/>
  <c r="H1018" i="14"/>
  <c r="G1018" i="14"/>
  <c r="F1018" i="14"/>
  <c r="E1018" i="14"/>
  <c r="D1018" i="14"/>
  <c r="D1000" i="14"/>
  <c r="C27" i="15" s="1"/>
  <c r="D999" i="14"/>
  <c r="B27" i="15" s="1"/>
  <c r="D977" i="14"/>
  <c r="M976" i="14"/>
  <c r="L976" i="14"/>
  <c r="K976" i="14"/>
  <c r="J976" i="14"/>
  <c r="I976" i="14"/>
  <c r="H976" i="14"/>
  <c r="G976" i="14"/>
  <c r="F976" i="14"/>
  <c r="E976" i="14"/>
  <c r="D976" i="14"/>
  <c r="M975" i="14"/>
  <c r="L975" i="14"/>
  <c r="K975" i="14"/>
  <c r="J975" i="14"/>
  <c r="I975" i="14"/>
  <c r="H975" i="14"/>
  <c r="G975" i="14"/>
  <c r="F975" i="14"/>
  <c r="E975" i="14"/>
  <c r="M973" i="14"/>
  <c r="M974" i="14" s="1"/>
  <c r="L973" i="14"/>
  <c r="L974" i="14" s="1"/>
  <c r="K973" i="14"/>
  <c r="K974" i="14" s="1"/>
  <c r="J973" i="14"/>
  <c r="J974" i="14" s="1"/>
  <c r="I973" i="14"/>
  <c r="I974" i="14" s="1"/>
  <c r="H973" i="14"/>
  <c r="H974" i="14" s="1"/>
  <c r="G973" i="14"/>
  <c r="G974" i="14" s="1"/>
  <c r="F973" i="14"/>
  <c r="F974" i="14" s="1"/>
  <c r="E973" i="14"/>
  <c r="E974" i="14" s="1"/>
  <c r="D973" i="14"/>
  <c r="D974" i="14" s="1"/>
  <c r="D975" i="14" s="1"/>
  <c r="M972" i="14"/>
  <c r="L972" i="14"/>
  <c r="K972" i="14"/>
  <c r="J972" i="14"/>
  <c r="I972" i="14"/>
  <c r="H972" i="14"/>
  <c r="G972" i="14"/>
  <c r="F972" i="14"/>
  <c r="E972" i="14"/>
  <c r="D972" i="14"/>
  <c r="D954" i="14"/>
  <c r="C26" i="15" s="1"/>
  <c r="D953" i="14"/>
  <c r="B26" i="15" s="1"/>
  <c r="D931" i="14"/>
  <c r="M930" i="14"/>
  <c r="L930" i="14"/>
  <c r="K930" i="14"/>
  <c r="J930" i="14"/>
  <c r="I930" i="14"/>
  <c r="H930" i="14"/>
  <c r="G930" i="14"/>
  <c r="F930" i="14"/>
  <c r="E930" i="14"/>
  <c r="D930" i="14"/>
  <c r="M929" i="14"/>
  <c r="L929" i="14"/>
  <c r="K929" i="14"/>
  <c r="J929" i="14"/>
  <c r="I929" i="14"/>
  <c r="H929" i="14"/>
  <c r="G929" i="14"/>
  <c r="F929" i="14"/>
  <c r="E929" i="14"/>
  <c r="M927" i="14"/>
  <c r="M928" i="14" s="1"/>
  <c r="L927" i="14"/>
  <c r="L928" i="14" s="1"/>
  <c r="K927" i="14"/>
  <c r="K928" i="14" s="1"/>
  <c r="J927" i="14"/>
  <c r="J928" i="14" s="1"/>
  <c r="I927" i="14"/>
  <c r="I928" i="14" s="1"/>
  <c r="H927" i="14"/>
  <c r="H928" i="14" s="1"/>
  <c r="G927" i="14"/>
  <c r="G928" i="14" s="1"/>
  <c r="F927" i="14"/>
  <c r="F928" i="14" s="1"/>
  <c r="E927" i="14"/>
  <c r="E928" i="14" s="1"/>
  <c r="D927" i="14"/>
  <c r="D928" i="14" s="1"/>
  <c r="D929" i="14" s="1"/>
  <c r="M926" i="14"/>
  <c r="L926" i="14"/>
  <c r="K926" i="14"/>
  <c r="J926" i="14"/>
  <c r="I926" i="14"/>
  <c r="H926" i="14"/>
  <c r="G926" i="14"/>
  <c r="F926" i="14"/>
  <c r="E926" i="14"/>
  <c r="D926" i="14"/>
  <c r="D908" i="14"/>
  <c r="C25" i="15" s="1"/>
  <c r="D907" i="14"/>
  <c r="B25" i="15" s="1"/>
  <c r="D885" i="14"/>
  <c r="M884" i="14"/>
  <c r="L884" i="14"/>
  <c r="K884" i="14"/>
  <c r="J884" i="14"/>
  <c r="I884" i="14"/>
  <c r="H884" i="14"/>
  <c r="G884" i="14"/>
  <c r="F884" i="14"/>
  <c r="E884" i="14"/>
  <c r="D884" i="14"/>
  <c r="M883" i="14"/>
  <c r="L883" i="14"/>
  <c r="K883" i="14"/>
  <c r="J883" i="14"/>
  <c r="I883" i="14"/>
  <c r="H883" i="14"/>
  <c r="G883" i="14"/>
  <c r="F883" i="14"/>
  <c r="E883" i="14"/>
  <c r="M881" i="14"/>
  <c r="M882" i="14" s="1"/>
  <c r="L881" i="14"/>
  <c r="L882" i="14" s="1"/>
  <c r="K881" i="14"/>
  <c r="K882" i="14" s="1"/>
  <c r="J881" i="14"/>
  <c r="J882" i="14" s="1"/>
  <c r="I881" i="14"/>
  <c r="I882" i="14" s="1"/>
  <c r="H881" i="14"/>
  <c r="H882" i="14" s="1"/>
  <c r="G881" i="14"/>
  <c r="G882" i="14" s="1"/>
  <c r="F881" i="14"/>
  <c r="F882" i="14" s="1"/>
  <c r="E881" i="14"/>
  <c r="E882" i="14" s="1"/>
  <c r="D881" i="14"/>
  <c r="D882" i="14" s="1"/>
  <c r="D883" i="14" s="1"/>
  <c r="M880" i="14"/>
  <c r="L880" i="14"/>
  <c r="K880" i="14"/>
  <c r="J880" i="14"/>
  <c r="I880" i="14"/>
  <c r="H880" i="14"/>
  <c r="G880" i="14"/>
  <c r="F880" i="14"/>
  <c r="E880" i="14"/>
  <c r="D880" i="14"/>
  <c r="D862" i="14"/>
  <c r="C24" i="15" s="1"/>
  <c r="D861" i="14"/>
  <c r="B24" i="15" s="1"/>
  <c r="D839" i="14"/>
  <c r="M838" i="14"/>
  <c r="L838" i="14"/>
  <c r="K838" i="14"/>
  <c r="J838" i="14"/>
  <c r="I838" i="14"/>
  <c r="H838" i="14"/>
  <c r="G838" i="14"/>
  <c r="F838" i="14"/>
  <c r="E838" i="14"/>
  <c r="D838" i="14"/>
  <c r="M837" i="14"/>
  <c r="L837" i="14"/>
  <c r="K837" i="14"/>
  <c r="J837" i="14"/>
  <c r="I837" i="14"/>
  <c r="H837" i="14"/>
  <c r="G837" i="14"/>
  <c r="F837" i="14"/>
  <c r="E837" i="14"/>
  <c r="M835" i="14"/>
  <c r="M836" i="14" s="1"/>
  <c r="L835" i="14"/>
  <c r="L836" i="14" s="1"/>
  <c r="K835" i="14"/>
  <c r="K836" i="14" s="1"/>
  <c r="J835" i="14"/>
  <c r="J836" i="14" s="1"/>
  <c r="I835" i="14"/>
  <c r="I836" i="14" s="1"/>
  <c r="H835" i="14"/>
  <c r="H836" i="14" s="1"/>
  <c r="G835" i="14"/>
  <c r="G836" i="14" s="1"/>
  <c r="F835" i="14"/>
  <c r="F836" i="14" s="1"/>
  <c r="E835" i="14"/>
  <c r="E836" i="14" s="1"/>
  <c r="D835" i="14"/>
  <c r="D836" i="14" s="1"/>
  <c r="D837" i="14" s="1"/>
  <c r="M834" i="14"/>
  <c r="L834" i="14"/>
  <c r="K834" i="14"/>
  <c r="J834" i="14"/>
  <c r="I834" i="14"/>
  <c r="H834" i="14"/>
  <c r="G834" i="14"/>
  <c r="F834" i="14"/>
  <c r="E834" i="14"/>
  <c r="D834" i="14"/>
  <c r="D816" i="14"/>
  <c r="C23" i="15" s="1"/>
  <c r="D815" i="14"/>
  <c r="B23" i="15" s="1"/>
  <c r="D793" i="14"/>
  <c r="M792" i="14"/>
  <c r="L792" i="14"/>
  <c r="K792" i="14"/>
  <c r="J792" i="14"/>
  <c r="I792" i="14"/>
  <c r="H792" i="14"/>
  <c r="G792" i="14"/>
  <c r="F792" i="14"/>
  <c r="E792" i="14"/>
  <c r="D792" i="14"/>
  <c r="M791" i="14"/>
  <c r="L791" i="14"/>
  <c r="K791" i="14"/>
  <c r="J791" i="14"/>
  <c r="I791" i="14"/>
  <c r="H791" i="14"/>
  <c r="G791" i="14"/>
  <c r="F791" i="14"/>
  <c r="E791" i="14"/>
  <c r="M789" i="14"/>
  <c r="M790" i="14" s="1"/>
  <c r="L789" i="14"/>
  <c r="L790" i="14" s="1"/>
  <c r="K789" i="14"/>
  <c r="K790" i="14" s="1"/>
  <c r="J789" i="14"/>
  <c r="J790" i="14" s="1"/>
  <c r="I789" i="14"/>
  <c r="I790" i="14" s="1"/>
  <c r="H789" i="14"/>
  <c r="H790" i="14" s="1"/>
  <c r="G789" i="14"/>
  <c r="G790" i="14" s="1"/>
  <c r="F789" i="14"/>
  <c r="F790" i="14" s="1"/>
  <c r="E789" i="14"/>
  <c r="E790" i="14" s="1"/>
  <c r="D789" i="14"/>
  <c r="D790" i="14" s="1"/>
  <c r="D791" i="14" s="1"/>
  <c r="M788" i="14"/>
  <c r="L788" i="14"/>
  <c r="K788" i="14"/>
  <c r="J788" i="14"/>
  <c r="I788" i="14"/>
  <c r="H788" i="14"/>
  <c r="G788" i="14"/>
  <c r="F788" i="14"/>
  <c r="E788" i="14"/>
  <c r="D788" i="14"/>
  <c r="D770" i="14"/>
  <c r="C22" i="15" s="1"/>
  <c r="D769" i="14"/>
  <c r="B22" i="15" s="1"/>
  <c r="D747" i="14"/>
  <c r="M746" i="14"/>
  <c r="L746" i="14"/>
  <c r="K746" i="14"/>
  <c r="J746" i="14"/>
  <c r="I746" i="14"/>
  <c r="H746" i="14"/>
  <c r="G746" i="14"/>
  <c r="F746" i="14"/>
  <c r="E746" i="14"/>
  <c r="D746" i="14"/>
  <c r="M745" i="14"/>
  <c r="L745" i="14"/>
  <c r="K745" i="14"/>
  <c r="J745" i="14"/>
  <c r="I745" i="14"/>
  <c r="H745" i="14"/>
  <c r="G745" i="14"/>
  <c r="F745" i="14"/>
  <c r="E745" i="14"/>
  <c r="M743" i="14"/>
  <c r="M744" i="14" s="1"/>
  <c r="L743" i="14"/>
  <c r="L744" i="14" s="1"/>
  <c r="K743" i="14"/>
  <c r="K744" i="14" s="1"/>
  <c r="J743" i="14"/>
  <c r="J744" i="14" s="1"/>
  <c r="I743" i="14"/>
  <c r="I744" i="14" s="1"/>
  <c r="H743" i="14"/>
  <c r="H744" i="14" s="1"/>
  <c r="G743" i="14"/>
  <c r="G744" i="14" s="1"/>
  <c r="F743" i="14"/>
  <c r="F744" i="14" s="1"/>
  <c r="E743" i="14"/>
  <c r="E744" i="14" s="1"/>
  <c r="D743" i="14"/>
  <c r="D744" i="14" s="1"/>
  <c r="D745" i="14" s="1"/>
  <c r="M742" i="14"/>
  <c r="L742" i="14"/>
  <c r="K742" i="14"/>
  <c r="J742" i="14"/>
  <c r="I742" i="14"/>
  <c r="H742" i="14"/>
  <c r="G742" i="14"/>
  <c r="F742" i="14"/>
  <c r="E742" i="14"/>
  <c r="D742" i="14"/>
  <c r="D724" i="14"/>
  <c r="C21" i="15" s="1"/>
  <c r="D723" i="14"/>
  <c r="B21" i="15" s="1"/>
  <c r="D701" i="14"/>
  <c r="M700" i="14"/>
  <c r="L700" i="14"/>
  <c r="K700" i="14"/>
  <c r="J700" i="14"/>
  <c r="I700" i="14"/>
  <c r="H700" i="14"/>
  <c r="G700" i="14"/>
  <c r="F700" i="14"/>
  <c r="E700" i="14"/>
  <c r="D700" i="14"/>
  <c r="M699" i="14"/>
  <c r="L699" i="14"/>
  <c r="K699" i="14"/>
  <c r="J699" i="14"/>
  <c r="I699" i="14"/>
  <c r="H699" i="14"/>
  <c r="G699" i="14"/>
  <c r="F699" i="14"/>
  <c r="E699" i="14"/>
  <c r="M697" i="14"/>
  <c r="M698" i="14" s="1"/>
  <c r="L697" i="14"/>
  <c r="L698" i="14" s="1"/>
  <c r="K697" i="14"/>
  <c r="K698" i="14" s="1"/>
  <c r="J697" i="14"/>
  <c r="J698" i="14" s="1"/>
  <c r="I697" i="14"/>
  <c r="I698" i="14" s="1"/>
  <c r="H697" i="14"/>
  <c r="H698" i="14" s="1"/>
  <c r="G697" i="14"/>
  <c r="G698" i="14" s="1"/>
  <c r="F697" i="14"/>
  <c r="F698" i="14" s="1"/>
  <c r="E697" i="14"/>
  <c r="E698" i="14" s="1"/>
  <c r="D697" i="14"/>
  <c r="D698" i="14" s="1"/>
  <c r="D699" i="14" s="1"/>
  <c r="M696" i="14"/>
  <c r="L696" i="14"/>
  <c r="K696" i="14"/>
  <c r="J696" i="14"/>
  <c r="I696" i="14"/>
  <c r="H696" i="14"/>
  <c r="G696" i="14"/>
  <c r="F696" i="14"/>
  <c r="E696" i="14"/>
  <c r="D696" i="14"/>
  <c r="D678" i="14"/>
  <c r="C20" i="15" s="1"/>
  <c r="D677" i="14"/>
  <c r="B20" i="15" s="1"/>
  <c r="D655" i="14"/>
  <c r="M654" i="14"/>
  <c r="L654" i="14"/>
  <c r="K654" i="14"/>
  <c r="J654" i="14"/>
  <c r="I654" i="14"/>
  <c r="H654" i="14"/>
  <c r="G654" i="14"/>
  <c r="F654" i="14"/>
  <c r="E654" i="14"/>
  <c r="D654" i="14"/>
  <c r="M653" i="14"/>
  <c r="L653" i="14"/>
  <c r="K653" i="14"/>
  <c r="J653" i="14"/>
  <c r="I653" i="14"/>
  <c r="H653" i="14"/>
  <c r="G653" i="14"/>
  <c r="F653" i="14"/>
  <c r="E653" i="14"/>
  <c r="M651" i="14"/>
  <c r="M652" i="14" s="1"/>
  <c r="L651" i="14"/>
  <c r="L652" i="14" s="1"/>
  <c r="K651" i="14"/>
  <c r="K652" i="14" s="1"/>
  <c r="J651" i="14"/>
  <c r="J652" i="14" s="1"/>
  <c r="I651" i="14"/>
  <c r="I652" i="14" s="1"/>
  <c r="H651" i="14"/>
  <c r="H652" i="14" s="1"/>
  <c r="G651" i="14"/>
  <c r="G652" i="14" s="1"/>
  <c r="F651" i="14"/>
  <c r="F652" i="14" s="1"/>
  <c r="E651" i="14"/>
  <c r="E652" i="14" s="1"/>
  <c r="D651" i="14"/>
  <c r="D652" i="14" s="1"/>
  <c r="D653" i="14" s="1"/>
  <c r="M650" i="14"/>
  <c r="L650" i="14"/>
  <c r="K650" i="14"/>
  <c r="J650" i="14"/>
  <c r="I650" i="14"/>
  <c r="H650" i="14"/>
  <c r="G650" i="14"/>
  <c r="F650" i="14"/>
  <c r="E650" i="14"/>
  <c r="D650" i="14"/>
  <c r="D632" i="14"/>
  <c r="C19" i="15" s="1"/>
  <c r="D631" i="14"/>
  <c r="B19" i="15" s="1"/>
  <c r="D609" i="14"/>
  <c r="M608" i="14"/>
  <c r="L608" i="14"/>
  <c r="K608" i="14"/>
  <c r="J608" i="14"/>
  <c r="I608" i="14"/>
  <c r="H608" i="14"/>
  <c r="G608" i="14"/>
  <c r="F608" i="14"/>
  <c r="E608" i="14"/>
  <c r="D608" i="14"/>
  <c r="M607" i="14"/>
  <c r="L607" i="14"/>
  <c r="K607" i="14"/>
  <c r="J607" i="14"/>
  <c r="I607" i="14"/>
  <c r="H607" i="14"/>
  <c r="G607" i="14"/>
  <c r="F607" i="14"/>
  <c r="E607" i="14"/>
  <c r="M605" i="14"/>
  <c r="M606" i="14" s="1"/>
  <c r="L605" i="14"/>
  <c r="L606" i="14" s="1"/>
  <c r="K605" i="14"/>
  <c r="K606" i="14" s="1"/>
  <c r="J605" i="14"/>
  <c r="J606" i="14" s="1"/>
  <c r="I605" i="14"/>
  <c r="I606" i="14" s="1"/>
  <c r="H605" i="14"/>
  <c r="H606" i="14" s="1"/>
  <c r="G605" i="14"/>
  <c r="G606" i="14" s="1"/>
  <c r="F605" i="14"/>
  <c r="F606" i="14" s="1"/>
  <c r="E605" i="14"/>
  <c r="E606" i="14" s="1"/>
  <c r="D605" i="14"/>
  <c r="D606" i="14" s="1"/>
  <c r="D607" i="14" s="1"/>
  <c r="M604" i="14"/>
  <c r="L604" i="14"/>
  <c r="K604" i="14"/>
  <c r="J604" i="14"/>
  <c r="I604" i="14"/>
  <c r="H604" i="14"/>
  <c r="G604" i="14"/>
  <c r="F604" i="14"/>
  <c r="E604" i="14"/>
  <c r="D604" i="14"/>
  <c r="D586" i="14"/>
  <c r="C18" i="15" s="1"/>
  <c r="D585" i="14"/>
  <c r="B18" i="15" s="1"/>
  <c r="D563" i="14"/>
  <c r="M562" i="14"/>
  <c r="L562" i="14"/>
  <c r="K562" i="14"/>
  <c r="J562" i="14"/>
  <c r="I562" i="14"/>
  <c r="H562" i="14"/>
  <c r="G562" i="14"/>
  <c r="F562" i="14"/>
  <c r="E562" i="14"/>
  <c r="D562" i="14"/>
  <c r="M561" i="14"/>
  <c r="L561" i="14"/>
  <c r="K561" i="14"/>
  <c r="J561" i="14"/>
  <c r="I561" i="14"/>
  <c r="H561" i="14"/>
  <c r="G561" i="14"/>
  <c r="F561" i="14"/>
  <c r="E561" i="14"/>
  <c r="M559" i="14"/>
  <c r="M560" i="14" s="1"/>
  <c r="L559" i="14"/>
  <c r="L560" i="14" s="1"/>
  <c r="K559" i="14"/>
  <c r="K560" i="14" s="1"/>
  <c r="J559" i="14"/>
  <c r="J560" i="14" s="1"/>
  <c r="I559" i="14"/>
  <c r="I560" i="14" s="1"/>
  <c r="H559" i="14"/>
  <c r="H560" i="14" s="1"/>
  <c r="G559" i="14"/>
  <c r="G560" i="14" s="1"/>
  <c r="F559" i="14"/>
  <c r="F560" i="14" s="1"/>
  <c r="E559" i="14"/>
  <c r="E560" i="14" s="1"/>
  <c r="D559" i="14"/>
  <c r="D560" i="14" s="1"/>
  <c r="D561" i="14" s="1"/>
  <c r="M558" i="14"/>
  <c r="L558" i="14"/>
  <c r="K558" i="14"/>
  <c r="J558" i="14"/>
  <c r="I558" i="14"/>
  <c r="H558" i="14"/>
  <c r="G558" i="14"/>
  <c r="F558" i="14"/>
  <c r="E558" i="14"/>
  <c r="D558" i="14"/>
  <c r="D540" i="14"/>
  <c r="C17" i="15" s="1"/>
  <c r="D539" i="14"/>
  <c r="B17" i="15" s="1"/>
  <c r="D517" i="14"/>
  <c r="M516" i="14"/>
  <c r="L516" i="14"/>
  <c r="K516" i="14"/>
  <c r="J516" i="14"/>
  <c r="I516" i="14"/>
  <c r="H516" i="14"/>
  <c r="G516" i="14"/>
  <c r="F516" i="14"/>
  <c r="E516" i="14"/>
  <c r="D516" i="14"/>
  <c r="M515" i="14"/>
  <c r="L515" i="14"/>
  <c r="K515" i="14"/>
  <c r="J515" i="14"/>
  <c r="I515" i="14"/>
  <c r="H515" i="14"/>
  <c r="G515" i="14"/>
  <c r="F515" i="14"/>
  <c r="E515" i="14"/>
  <c r="M513" i="14"/>
  <c r="M514" i="14" s="1"/>
  <c r="L513" i="14"/>
  <c r="L514" i="14" s="1"/>
  <c r="K513" i="14"/>
  <c r="K514" i="14" s="1"/>
  <c r="J513" i="14"/>
  <c r="J514" i="14" s="1"/>
  <c r="I513" i="14"/>
  <c r="I514" i="14" s="1"/>
  <c r="H513" i="14"/>
  <c r="H514" i="14" s="1"/>
  <c r="G513" i="14"/>
  <c r="G514" i="14" s="1"/>
  <c r="F513" i="14"/>
  <c r="F514" i="14" s="1"/>
  <c r="E513" i="14"/>
  <c r="E514" i="14" s="1"/>
  <c r="D513" i="14"/>
  <c r="D514" i="14" s="1"/>
  <c r="D515" i="14" s="1"/>
  <c r="M512" i="14"/>
  <c r="L512" i="14"/>
  <c r="K512" i="14"/>
  <c r="J512" i="14"/>
  <c r="I512" i="14"/>
  <c r="H512" i="14"/>
  <c r="G512" i="14"/>
  <c r="F512" i="14"/>
  <c r="E512" i="14"/>
  <c r="D512" i="14"/>
  <c r="D494" i="14"/>
  <c r="C16" i="15" s="1"/>
  <c r="D493" i="14"/>
  <c r="B16" i="15" s="1"/>
  <c r="D471" i="14"/>
  <c r="M470" i="14"/>
  <c r="L470" i="14"/>
  <c r="K470" i="14"/>
  <c r="J470" i="14"/>
  <c r="I470" i="14"/>
  <c r="H470" i="14"/>
  <c r="G470" i="14"/>
  <c r="F470" i="14"/>
  <c r="E470" i="14"/>
  <c r="D470" i="14"/>
  <c r="M469" i="14"/>
  <c r="L469" i="14"/>
  <c r="K469" i="14"/>
  <c r="J469" i="14"/>
  <c r="I469" i="14"/>
  <c r="H469" i="14"/>
  <c r="G469" i="14"/>
  <c r="F469" i="14"/>
  <c r="E469" i="14"/>
  <c r="M467" i="14"/>
  <c r="M468" i="14" s="1"/>
  <c r="L467" i="14"/>
  <c r="L468" i="14" s="1"/>
  <c r="K467" i="14"/>
  <c r="K468" i="14" s="1"/>
  <c r="J467" i="14"/>
  <c r="J468" i="14" s="1"/>
  <c r="I467" i="14"/>
  <c r="I468" i="14" s="1"/>
  <c r="H467" i="14"/>
  <c r="H468" i="14" s="1"/>
  <c r="G467" i="14"/>
  <c r="G468" i="14" s="1"/>
  <c r="F467" i="14"/>
  <c r="F468" i="14" s="1"/>
  <c r="E467" i="14"/>
  <c r="E468" i="14" s="1"/>
  <c r="D467" i="14"/>
  <c r="D468" i="14" s="1"/>
  <c r="D469" i="14" s="1"/>
  <c r="M466" i="14"/>
  <c r="L466" i="14"/>
  <c r="K466" i="14"/>
  <c r="J466" i="14"/>
  <c r="I466" i="14"/>
  <c r="H466" i="14"/>
  <c r="G466" i="14"/>
  <c r="F466" i="14"/>
  <c r="E466" i="14"/>
  <c r="D466" i="14"/>
  <c r="D448" i="14"/>
  <c r="C15" i="15" s="1"/>
  <c r="D447" i="14"/>
  <c r="B15" i="15" s="1"/>
  <c r="D425" i="14"/>
  <c r="M424" i="14"/>
  <c r="L424" i="14"/>
  <c r="K424" i="14"/>
  <c r="J424" i="14"/>
  <c r="I424" i="14"/>
  <c r="H424" i="14"/>
  <c r="G424" i="14"/>
  <c r="F424" i="14"/>
  <c r="E424" i="14"/>
  <c r="D424" i="14"/>
  <c r="M423" i="14"/>
  <c r="L423" i="14"/>
  <c r="K423" i="14"/>
  <c r="J423" i="14"/>
  <c r="I423" i="14"/>
  <c r="H423" i="14"/>
  <c r="G423" i="14"/>
  <c r="F423" i="14"/>
  <c r="E423" i="14"/>
  <c r="M421" i="14"/>
  <c r="M422" i="14" s="1"/>
  <c r="L421" i="14"/>
  <c r="L422" i="14" s="1"/>
  <c r="K421" i="14"/>
  <c r="K422" i="14" s="1"/>
  <c r="J421" i="14"/>
  <c r="J422" i="14" s="1"/>
  <c r="I421" i="14"/>
  <c r="I422" i="14" s="1"/>
  <c r="H421" i="14"/>
  <c r="H422" i="14" s="1"/>
  <c r="G421" i="14"/>
  <c r="G422" i="14" s="1"/>
  <c r="F421" i="14"/>
  <c r="F422" i="14" s="1"/>
  <c r="E421" i="14"/>
  <c r="E422" i="14" s="1"/>
  <c r="D421" i="14"/>
  <c r="D422" i="14" s="1"/>
  <c r="D423" i="14" s="1"/>
  <c r="M420" i="14"/>
  <c r="L420" i="14"/>
  <c r="K420" i="14"/>
  <c r="J420" i="14"/>
  <c r="I420" i="14"/>
  <c r="H420" i="14"/>
  <c r="G420" i="14"/>
  <c r="F420" i="14"/>
  <c r="E420" i="14"/>
  <c r="D420" i="14"/>
  <c r="D402" i="14"/>
  <c r="C14" i="15" s="1"/>
  <c r="D401" i="14"/>
  <c r="B14" i="15" s="1"/>
  <c r="D379" i="14"/>
  <c r="M378" i="14"/>
  <c r="L378" i="14"/>
  <c r="K378" i="14"/>
  <c r="J378" i="14"/>
  <c r="I378" i="14"/>
  <c r="H378" i="14"/>
  <c r="G378" i="14"/>
  <c r="F378" i="14"/>
  <c r="E378" i="14"/>
  <c r="D378" i="14"/>
  <c r="M377" i="14"/>
  <c r="L377" i="14"/>
  <c r="K377" i="14"/>
  <c r="J377" i="14"/>
  <c r="I377" i="14"/>
  <c r="H377" i="14"/>
  <c r="G377" i="14"/>
  <c r="F377" i="14"/>
  <c r="E377" i="14"/>
  <c r="M375" i="14"/>
  <c r="M376" i="14" s="1"/>
  <c r="L375" i="14"/>
  <c r="L376" i="14" s="1"/>
  <c r="K375" i="14"/>
  <c r="K376" i="14" s="1"/>
  <c r="J375" i="14"/>
  <c r="J376" i="14" s="1"/>
  <c r="I375" i="14"/>
  <c r="I376" i="14" s="1"/>
  <c r="H375" i="14"/>
  <c r="H376" i="14" s="1"/>
  <c r="G375" i="14"/>
  <c r="G376" i="14" s="1"/>
  <c r="F375" i="14"/>
  <c r="F376" i="14" s="1"/>
  <c r="E375" i="14"/>
  <c r="E376" i="14" s="1"/>
  <c r="D375" i="14"/>
  <c r="D376" i="14" s="1"/>
  <c r="D377" i="14" s="1"/>
  <c r="M374" i="14"/>
  <c r="L374" i="14"/>
  <c r="K374" i="14"/>
  <c r="J374" i="14"/>
  <c r="I374" i="14"/>
  <c r="H374" i="14"/>
  <c r="G374" i="14"/>
  <c r="F374" i="14"/>
  <c r="E374" i="14"/>
  <c r="D374" i="14"/>
  <c r="D356" i="14"/>
  <c r="C13" i="15" s="1"/>
  <c r="D355" i="14"/>
  <c r="D333" i="14"/>
  <c r="M332" i="14"/>
  <c r="L332" i="14"/>
  <c r="M333" i="14" s="1"/>
  <c r="K332" i="14"/>
  <c r="L333" i="14" s="1"/>
  <c r="J332" i="14"/>
  <c r="K333" i="14" s="1"/>
  <c r="I332" i="14"/>
  <c r="J333" i="14" s="1"/>
  <c r="H332" i="14"/>
  <c r="I333" i="14" s="1"/>
  <c r="G332" i="14"/>
  <c r="H333" i="14" s="1"/>
  <c r="F332" i="14"/>
  <c r="G333" i="14" s="1"/>
  <c r="E332" i="14"/>
  <c r="F333" i="14" s="1"/>
  <c r="D332" i="14"/>
  <c r="M331" i="14"/>
  <c r="L331" i="14"/>
  <c r="K331" i="14"/>
  <c r="J331" i="14"/>
  <c r="I331" i="14"/>
  <c r="H331" i="14"/>
  <c r="G331" i="14"/>
  <c r="F331" i="14"/>
  <c r="E331" i="14"/>
  <c r="M329" i="14"/>
  <c r="M330" i="14" s="1"/>
  <c r="L329" i="14"/>
  <c r="L330" i="14" s="1"/>
  <c r="K329" i="14"/>
  <c r="K330" i="14" s="1"/>
  <c r="J329" i="14"/>
  <c r="J330" i="14" s="1"/>
  <c r="I329" i="14"/>
  <c r="I330" i="14" s="1"/>
  <c r="H329" i="14"/>
  <c r="H330" i="14" s="1"/>
  <c r="G329" i="14"/>
  <c r="G330" i="14" s="1"/>
  <c r="F329" i="14"/>
  <c r="F330" i="14" s="1"/>
  <c r="E329" i="14"/>
  <c r="E330" i="14" s="1"/>
  <c r="D329" i="14"/>
  <c r="D330" i="14" s="1"/>
  <c r="D331" i="14" s="1"/>
  <c r="M328" i="14"/>
  <c r="L328" i="14"/>
  <c r="K328" i="14"/>
  <c r="J328" i="14"/>
  <c r="I328" i="14"/>
  <c r="H328" i="14"/>
  <c r="G328" i="14"/>
  <c r="F328" i="14"/>
  <c r="E328" i="14"/>
  <c r="D328" i="14"/>
  <c r="D310" i="14"/>
  <c r="C12" i="15" s="1"/>
  <c r="D309" i="14"/>
  <c r="B12" i="15" s="1"/>
  <c r="D287" i="14"/>
  <c r="M286" i="14"/>
  <c r="L286" i="14"/>
  <c r="K286" i="14"/>
  <c r="J286" i="14"/>
  <c r="I286" i="14"/>
  <c r="H286" i="14"/>
  <c r="G286" i="14"/>
  <c r="F286" i="14"/>
  <c r="E286" i="14"/>
  <c r="D286" i="14"/>
  <c r="M285" i="14"/>
  <c r="L285" i="14"/>
  <c r="K285" i="14"/>
  <c r="J285" i="14"/>
  <c r="I285" i="14"/>
  <c r="H285" i="14"/>
  <c r="G285" i="14"/>
  <c r="F285" i="14"/>
  <c r="E285" i="14"/>
  <c r="M283" i="14"/>
  <c r="M284" i="14" s="1"/>
  <c r="L283" i="14"/>
  <c r="L284" i="14" s="1"/>
  <c r="K283" i="14"/>
  <c r="K284" i="14" s="1"/>
  <c r="J283" i="14"/>
  <c r="J284" i="14" s="1"/>
  <c r="I283" i="14"/>
  <c r="I284" i="14" s="1"/>
  <c r="H283" i="14"/>
  <c r="H284" i="14" s="1"/>
  <c r="G283" i="14"/>
  <c r="G284" i="14" s="1"/>
  <c r="F283" i="14"/>
  <c r="F284" i="14" s="1"/>
  <c r="E283" i="14"/>
  <c r="E284" i="14" s="1"/>
  <c r="D283" i="14"/>
  <c r="D284" i="14" s="1"/>
  <c r="D285" i="14" s="1"/>
  <c r="M282" i="14"/>
  <c r="L282" i="14"/>
  <c r="K282" i="14"/>
  <c r="J282" i="14"/>
  <c r="I282" i="14"/>
  <c r="H282" i="14"/>
  <c r="G282" i="14"/>
  <c r="F282" i="14"/>
  <c r="E282" i="14"/>
  <c r="D282" i="14"/>
  <c r="D264" i="14"/>
  <c r="C11" i="15" s="1"/>
  <c r="D263" i="14"/>
  <c r="B11" i="15" s="1"/>
  <c r="D241" i="14"/>
  <c r="M240" i="14"/>
  <c r="L240" i="14"/>
  <c r="K240" i="14"/>
  <c r="J240" i="14"/>
  <c r="I240" i="14"/>
  <c r="H240" i="14"/>
  <c r="G240" i="14"/>
  <c r="F240" i="14"/>
  <c r="E240" i="14"/>
  <c r="D240" i="14"/>
  <c r="M239" i="14"/>
  <c r="L239" i="14"/>
  <c r="K239" i="14"/>
  <c r="J239" i="14"/>
  <c r="I239" i="14"/>
  <c r="H239" i="14"/>
  <c r="G239" i="14"/>
  <c r="F239" i="14"/>
  <c r="E239" i="14"/>
  <c r="M237" i="14"/>
  <c r="M238" i="14" s="1"/>
  <c r="L237" i="14"/>
  <c r="L238" i="14" s="1"/>
  <c r="K237" i="14"/>
  <c r="K238" i="14" s="1"/>
  <c r="J237" i="14"/>
  <c r="J238" i="14" s="1"/>
  <c r="I237" i="14"/>
  <c r="I238" i="14" s="1"/>
  <c r="H237" i="14"/>
  <c r="H238" i="14" s="1"/>
  <c r="G237" i="14"/>
  <c r="G238" i="14" s="1"/>
  <c r="F237" i="14"/>
  <c r="F238" i="14" s="1"/>
  <c r="E237" i="14"/>
  <c r="E238" i="14" s="1"/>
  <c r="D237" i="14"/>
  <c r="D238" i="14" s="1"/>
  <c r="D239" i="14" s="1"/>
  <c r="M236" i="14"/>
  <c r="L236" i="14"/>
  <c r="K236" i="14"/>
  <c r="J236" i="14"/>
  <c r="I236" i="14"/>
  <c r="H236" i="14"/>
  <c r="G236" i="14"/>
  <c r="F236" i="14"/>
  <c r="E236" i="14"/>
  <c r="D236" i="14"/>
  <c r="D218" i="14"/>
  <c r="C10" i="15" s="1"/>
  <c r="D217" i="14"/>
  <c r="B10" i="15" s="1"/>
  <c r="D195" i="14"/>
  <c r="M194" i="14"/>
  <c r="L194" i="14"/>
  <c r="K194" i="14"/>
  <c r="J194" i="14"/>
  <c r="I194" i="14"/>
  <c r="H194" i="14"/>
  <c r="G194" i="14"/>
  <c r="F194" i="14"/>
  <c r="E194" i="14"/>
  <c r="D194" i="14"/>
  <c r="M193" i="14"/>
  <c r="L193" i="14"/>
  <c r="K193" i="14"/>
  <c r="J193" i="14"/>
  <c r="I193" i="14"/>
  <c r="H193" i="14"/>
  <c r="G193" i="14"/>
  <c r="F193" i="14"/>
  <c r="E193" i="14"/>
  <c r="M191" i="14"/>
  <c r="M192" i="14" s="1"/>
  <c r="L191" i="14"/>
  <c r="L192" i="14" s="1"/>
  <c r="K191" i="14"/>
  <c r="K192" i="14" s="1"/>
  <c r="J191" i="14"/>
  <c r="J192" i="14" s="1"/>
  <c r="I191" i="14"/>
  <c r="I192" i="14" s="1"/>
  <c r="H191" i="14"/>
  <c r="H192" i="14" s="1"/>
  <c r="G191" i="14"/>
  <c r="G192" i="14" s="1"/>
  <c r="F191" i="14"/>
  <c r="F192" i="14" s="1"/>
  <c r="E191" i="14"/>
  <c r="E192" i="14" s="1"/>
  <c r="D191" i="14"/>
  <c r="D192" i="14" s="1"/>
  <c r="D193" i="14" s="1"/>
  <c r="M190" i="14"/>
  <c r="L190" i="14"/>
  <c r="K190" i="14"/>
  <c r="J190" i="14"/>
  <c r="I190" i="14"/>
  <c r="H190" i="14"/>
  <c r="G190" i="14"/>
  <c r="F190" i="14"/>
  <c r="E190" i="14"/>
  <c r="D190" i="14"/>
  <c r="D172" i="14"/>
  <c r="C9" i="15" s="1"/>
  <c r="D171" i="14"/>
  <c r="B9" i="15" s="1"/>
  <c r="D149" i="14"/>
  <c r="D150" i="14" s="1"/>
  <c r="M148" i="14"/>
  <c r="L148" i="14"/>
  <c r="K148" i="14"/>
  <c r="J148" i="14"/>
  <c r="I148" i="14"/>
  <c r="H148" i="14"/>
  <c r="G148" i="14"/>
  <c r="F148" i="14"/>
  <c r="E148" i="14"/>
  <c r="D148" i="14"/>
  <c r="M147" i="14"/>
  <c r="L147" i="14"/>
  <c r="K147" i="14"/>
  <c r="J147" i="14"/>
  <c r="I147" i="14"/>
  <c r="H147" i="14"/>
  <c r="G147" i="14"/>
  <c r="F147" i="14"/>
  <c r="E147" i="14"/>
  <c r="M145" i="14"/>
  <c r="M146" i="14" s="1"/>
  <c r="L145" i="14"/>
  <c r="L146" i="14" s="1"/>
  <c r="K145" i="14"/>
  <c r="K146" i="14" s="1"/>
  <c r="J145" i="14"/>
  <c r="J146" i="14" s="1"/>
  <c r="I145" i="14"/>
  <c r="I146" i="14" s="1"/>
  <c r="H145" i="14"/>
  <c r="H146" i="14" s="1"/>
  <c r="G145" i="14"/>
  <c r="G146" i="14" s="1"/>
  <c r="F145" i="14"/>
  <c r="F146" i="14" s="1"/>
  <c r="E145" i="14"/>
  <c r="E146" i="14" s="1"/>
  <c r="D145" i="14"/>
  <c r="D146" i="14" s="1"/>
  <c r="D147" i="14" s="1"/>
  <c r="M144" i="14"/>
  <c r="L144" i="14"/>
  <c r="K144" i="14"/>
  <c r="J144" i="14"/>
  <c r="I144" i="14"/>
  <c r="H144" i="14"/>
  <c r="G144" i="14"/>
  <c r="F144" i="14"/>
  <c r="E144" i="14"/>
  <c r="D144" i="14"/>
  <c r="D126" i="14"/>
  <c r="C8" i="15" s="1"/>
  <c r="D125" i="14"/>
  <c r="B8" i="15" s="1"/>
  <c r="D103" i="14"/>
  <c r="M102" i="14"/>
  <c r="L102" i="14"/>
  <c r="K102" i="14"/>
  <c r="J102" i="14"/>
  <c r="I102" i="14"/>
  <c r="H102" i="14"/>
  <c r="G102" i="14"/>
  <c r="F102" i="14"/>
  <c r="E102" i="14"/>
  <c r="D102" i="14"/>
  <c r="M101" i="14"/>
  <c r="L101" i="14"/>
  <c r="K101" i="14"/>
  <c r="J101" i="14"/>
  <c r="I101" i="14"/>
  <c r="H101" i="14"/>
  <c r="G101" i="14"/>
  <c r="F101" i="14"/>
  <c r="E101" i="14"/>
  <c r="M99" i="14"/>
  <c r="M100" i="14" s="1"/>
  <c r="L99" i="14"/>
  <c r="L100" i="14" s="1"/>
  <c r="K99" i="14"/>
  <c r="K100" i="14" s="1"/>
  <c r="J99" i="14"/>
  <c r="J100" i="14" s="1"/>
  <c r="I99" i="14"/>
  <c r="I100" i="14" s="1"/>
  <c r="H99" i="14"/>
  <c r="H100" i="14" s="1"/>
  <c r="G99" i="14"/>
  <c r="G100" i="14" s="1"/>
  <c r="F99" i="14"/>
  <c r="F100" i="14" s="1"/>
  <c r="E99" i="14"/>
  <c r="E100" i="14" s="1"/>
  <c r="D99" i="14"/>
  <c r="D100" i="14" s="1"/>
  <c r="D101" i="14" s="1"/>
  <c r="M98" i="14"/>
  <c r="L98" i="14"/>
  <c r="K98" i="14"/>
  <c r="J98" i="14"/>
  <c r="I98" i="14"/>
  <c r="H98" i="14"/>
  <c r="G98" i="14"/>
  <c r="F98" i="14"/>
  <c r="E98" i="14"/>
  <c r="D98" i="14"/>
  <c r="D80" i="14"/>
  <c r="C7" i="15" s="1"/>
  <c r="D79" i="14"/>
  <c r="B7" i="15" s="1"/>
  <c r="D57" i="14"/>
  <c r="M56" i="14"/>
  <c r="L56" i="14"/>
  <c r="K56" i="14"/>
  <c r="J56" i="14"/>
  <c r="I56" i="14"/>
  <c r="H56" i="14"/>
  <c r="G56" i="14"/>
  <c r="F56" i="14"/>
  <c r="E56" i="14"/>
  <c r="D56" i="14"/>
  <c r="M55" i="14"/>
  <c r="L55" i="14"/>
  <c r="K55" i="14"/>
  <c r="J55" i="14"/>
  <c r="I55" i="14"/>
  <c r="H55" i="14"/>
  <c r="G55" i="14"/>
  <c r="F55" i="14"/>
  <c r="E55" i="14"/>
  <c r="M53" i="14"/>
  <c r="M54" i="14" s="1"/>
  <c r="L53" i="14"/>
  <c r="L54" i="14" s="1"/>
  <c r="K53" i="14"/>
  <c r="K54" i="14" s="1"/>
  <c r="J53" i="14"/>
  <c r="J54" i="14" s="1"/>
  <c r="I53" i="14"/>
  <c r="I54" i="14" s="1"/>
  <c r="H53" i="14"/>
  <c r="H54" i="14" s="1"/>
  <c r="G53" i="14"/>
  <c r="G54" i="14" s="1"/>
  <c r="F53" i="14"/>
  <c r="F54" i="14" s="1"/>
  <c r="E53" i="14"/>
  <c r="E54" i="14" s="1"/>
  <c r="D53" i="14"/>
  <c r="D54" i="14" s="1"/>
  <c r="D55" i="14" s="1"/>
  <c r="M52" i="14"/>
  <c r="L52" i="14"/>
  <c r="K52" i="14"/>
  <c r="J52" i="14"/>
  <c r="I52" i="14"/>
  <c r="H52" i="14"/>
  <c r="G52" i="14"/>
  <c r="F52" i="14"/>
  <c r="E52" i="14"/>
  <c r="D52" i="14"/>
  <c r="D34" i="14"/>
  <c r="C6" i="15" s="1"/>
  <c r="D33" i="14"/>
  <c r="D11" i="14"/>
  <c r="M10" i="14"/>
  <c r="L10" i="14"/>
  <c r="K10" i="14"/>
  <c r="J10" i="14"/>
  <c r="I10" i="14"/>
  <c r="H10" i="14"/>
  <c r="G10" i="14"/>
  <c r="F10" i="14"/>
  <c r="E10" i="14"/>
  <c r="D10" i="14"/>
  <c r="M9" i="14"/>
  <c r="L9" i="14"/>
  <c r="K9" i="14"/>
  <c r="J9" i="14"/>
  <c r="I9" i="14"/>
  <c r="H9" i="14"/>
  <c r="G9" i="14"/>
  <c r="F9" i="14"/>
  <c r="E9" i="14"/>
  <c r="M7" i="14"/>
  <c r="M8" i="14" s="1"/>
  <c r="L7" i="14"/>
  <c r="L8" i="14" s="1"/>
  <c r="K7" i="14"/>
  <c r="K8" i="14" s="1"/>
  <c r="J7" i="14"/>
  <c r="J8" i="14" s="1"/>
  <c r="I7" i="14"/>
  <c r="I8" i="14" s="1"/>
  <c r="H7" i="14"/>
  <c r="H8" i="14" s="1"/>
  <c r="G7" i="14"/>
  <c r="G8" i="14" s="1"/>
  <c r="F7" i="14"/>
  <c r="F8" i="14" s="1"/>
  <c r="E7" i="14"/>
  <c r="E8" i="14" s="1"/>
  <c r="D7" i="14"/>
  <c r="D8" i="14" s="1"/>
  <c r="D9" i="14" s="1"/>
  <c r="M6" i="14"/>
  <c r="L6" i="14"/>
  <c r="K6" i="14"/>
  <c r="J6" i="14"/>
  <c r="I6" i="14"/>
  <c r="H6" i="14"/>
  <c r="G6" i="14"/>
  <c r="F6" i="14"/>
  <c r="E6" i="14"/>
  <c r="D6" i="14"/>
  <c r="A3" i="14"/>
  <c r="A3" i="13"/>
  <c r="A3" i="12"/>
  <c r="H41" i="11"/>
  <c r="H40" i="11"/>
  <c r="H39" i="11"/>
  <c r="H38" i="11"/>
  <c r="H37" i="11"/>
  <c r="H36" i="11"/>
  <c r="H35" i="11"/>
  <c r="H34" i="11"/>
  <c r="H33" i="11"/>
  <c r="H32" i="11"/>
  <c r="H31" i="11"/>
  <c r="H30" i="11"/>
  <c r="H29" i="11"/>
  <c r="H28" i="11"/>
  <c r="H27" i="11"/>
  <c r="H26" i="11"/>
  <c r="D22" i="11"/>
  <c r="D21" i="11"/>
  <c r="H17" i="11"/>
  <c r="D17" i="11"/>
  <c r="O17" i="11" s="1"/>
  <c r="H16" i="11"/>
  <c r="D16" i="11"/>
  <c r="O16" i="11" s="1"/>
  <c r="H14" i="11"/>
  <c r="G14" i="11"/>
  <c r="I14" i="11" s="1"/>
  <c r="J12" i="11"/>
  <c r="D12" i="11"/>
  <c r="K11" i="11"/>
  <c r="H10" i="11"/>
  <c r="J8" i="11"/>
  <c r="F8" i="11"/>
  <c r="E8" i="11"/>
  <c r="N8" i="11" s="1"/>
  <c r="D8" i="11"/>
  <c r="G8" i="11" s="1"/>
  <c r="K8" i="11" s="1"/>
  <c r="J7" i="11"/>
  <c r="H7" i="11"/>
  <c r="F7" i="11"/>
  <c r="E7" i="11"/>
  <c r="N7" i="11" s="1"/>
  <c r="D7" i="11"/>
  <c r="G7" i="11" s="1"/>
  <c r="J6" i="11"/>
  <c r="H6" i="11"/>
  <c r="F6" i="11"/>
  <c r="E6" i="11"/>
  <c r="N6" i="11" s="1"/>
  <c r="D6" i="11"/>
  <c r="G6" i="11" s="1"/>
  <c r="A3" i="11"/>
  <c r="C21" i="10"/>
  <c r="C20" i="10"/>
  <c r="C19" i="10"/>
  <c r="C18" i="10"/>
  <c r="C17" i="10"/>
  <c r="C16" i="10"/>
  <c r="C15" i="10"/>
  <c r="C14" i="10"/>
  <c r="C13" i="10"/>
  <c r="C12" i="10"/>
  <c r="C11" i="10"/>
  <c r="C10" i="10"/>
  <c r="C9" i="10"/>
  <c r="C8" i="10"/>
  <c r="C7" i="10"/>
  <c r="C6" i="10"/>
  <c r="A3" i="10"/>
  <c r="E17" i="9"/>
  <c r="B17" i="9"/>
  <c r="E16" i="9"/>
  <c r="D16" i="9"/>
  <c r="B16" i="9"/>
  <c r="E15" i="9"/>
  <c r="B15" i="9"/>
  <c r="E14" i="9"/>
  <c r="D14" i="9"/>
  <c r="B14" i="9"/>
  <c r="E13" i="9"/>
  <c r="E12" i="9"/>
  <c r="D12" i="9"/>
  <c r="E11" i="9"/>
  <c r="E10" i="9"/>
  <c r="D10" i="9"/>
  <c r="E9" i="9"/>
  <c r="E8" i="9"/>
  <c r="D8" i="9"/>
  <c r="E7" i="9"/>
  <c r="E6" i="9"/>
  <c r="D6" i="9"/>
  <c r="A3" i="9"/>
  <c r="D68" i="8"/>
  <c r="C68" i="8"/>
  <c r="B68" i="8"/>
  <c r="D67" i="8"/>
  <c r="C67" i="8"/>
  <c r="B67" i="8"/>
  <c r="D66" i="8"/>
  <c r="C66" i="8"/>
  <c r="B66" i="8"/>
  <c r="D65" i="8"/>
  <c r="C65" i="8"/>
  <c r="B65" i="8"/>
  <c r="D64" i="8"/>
  <c r="C64" i="8"/>
  <c r="B64" i="8"/>
  <c r="D63" i="8"/>
  <c r="C63" i="8"/>
  <c r="B63" i="8"/>
  <c r="D62" i="8"/>
  <c r="C62" i="8"/>
  <c r="B62" i="8"/>
  <c r="D61" i="8"/>
  <c r="C61" i="8"/>
  <c r="B61" i="8"/>
  <c r="D60" i="8"/>
  <c r="C60" i="8"/>
  <c r="B60" i="8"/>
  <c r="D59" i="8"/>
  <c r="C59" i="8"/>
  <c r="B59" i="8"/>
  <c r="D58" i="8"/>
  <c r="C58" i="8"/>
  <c r="B58" i="8"/>
  <c r="D57" i="8"/>
  <c r="C57" i="8"/>
  <c r="B57" i="8"/>
  <c r="D53" i="8"/>
  <c r="C53" i="8"/>
  <c r="B53" i="8"/>
  <c r="D52" i="8"/>
  <c r="C52" i="8"/>
  <c r="B52" i="8"/>
  <c r="D51" i="8"/>
  <c r="C51" i="8"/>
  <c r="B51" i="8"/>
  <c r="D50" i="8"/>
  <c r="C50" i="8"/>
  <c r="B50" i="8"/>
  <c r="D49" i="8"/>
  <c r="C49" i="8"/>
  <c r="B49" i="8"/>
  <c r="D48" i="8"/>
  <c r="C48" i="8"/>
  <c r="B48" i="8"/>
  <c r="D47" i="8"/>
  <c r="C47" i="8"/>
  <c r="B47" i="8"/>
  <c r="D46" i="8"/>
  <c r="C46" i="8"/>
  <c r="B46" i="8"/>
  <c r="D45" i="8"/>
  <c r="C45" i="8"/>
  <c r="B45" i="8"/>
  <c r="D44" i="8"/>
  <c r="C44" i="8"/>
  <c r="B44" i="8"/>
  <c r="D43" i="8"/>
  <c r="C43" i="8"/>
  <c r="B43" i="8"/>
  <c r="D42" i="8"/>
  <c r="C42" i="8"/>
  <c r="B42" i="8"/>
  <c r="D41" i="8"/>
  <c r="C41" i="8"/>
  <c r="B41" i="8"/>
  <c r="D40" i="8"/>
  <c r="C40" i="8"/>
  <c r="B40" i="8"/>
  <c r="D39" i="8"/>
  <c r="C39" i="8"/>
  <c r="B39" i="8"/>
  <c r="D38" i="8"/>
  <c r="C38" i="8"/>
  <c r="B38" i="8"/>
  <c r="D37" i="8"/>
  <c r="C37" i="8"/>
  <c r="B37" i="8"/>
  <c r="D36" i="8"/>
  <c r="C36" i="8"/>
  <c r="B36" i="8"/>
  <c r="D35" i="8"/>
  <c r="C35" i="8"/>
  <c r="B35" i="8"/>
  <c r="D34" i="8"/>
  <c r="C34" i="8"/>
  <c r="B34" i="8"/>
  <c r="D33" i="8"/>
  <c r="C33" i="8"/>
  <c r="B33" i="8"/>
  <c r="D32" i="8"/>
  <c r="C32" i="8"/>
  <c r="B32" i="8"/>
  <c r="D31" i="8"/>
  <c r="C31" i="8"/>
  <c r="B31" i="8"/>
  <c r="D30" i="8"/>
  <c r="C30" i="8"/>
  <c r="B30" i="8"/>
  <c r="D29" i="8"/>
  <c r="C29" i="8"/>
  <c r="B29" i="8"/>
  <c r="D28" i="8"/>
  <c r="C28" i="8"/>
  <c r="B28" i="8"/>
  <c r="D27" i="8"/>
  <c r="C27" i="8"/>
  <c r="B27" i="8"/>
  <c r="D26" i="8"/>
  <c r="C26" i="8"/>
  <c r="B26" i="8"/>
  <c r="D25" i="8"/>
  <c r="C25" i="8"/>
  <c r="B25" i="8"/>
  <c r="D24" i="8"/>
  <c r="C24" i="8"/>
  <c r="B24" i="8"/>
  <c r="D23" i="8"/>
  <c r="C23" i="8"/>
  <c r="B23" i="8"/>
  <c r="D22" i="8"/>
  <c r="C22" i="8"/>
  <c r="B22" i="8"/>
  <c r="D21" i="8"/>
  <c r="C21" i="8"/>
  <c r="B21" i="8"/>
  <c r="D20" i="8"/>
  <c r="C20" i="8"/>
  <c r="B20" i="8"/>
  <c r="D19" i="8"/>
  <c r="C19" i="8"/>
  <c r="B19" i="8"/>
  <c r="D18" i="8"/>
  <c r="C18" i="8"/>
  <c r="B18" i="8"/>
  <c r="D17" i="8"/>
  <c r="C17" i="8"/>
  <c r="B17" i="8"/>
  <c r="D16" i="8"/>
  <c r="C16" i="8"/>
  <c r="B16" i="8"/>
  <c r="D15" i="8"/>
  <c r="C15" i="8"/>
  <c r="B15" i="8"/>
  <c r="D14" i="8"/>
  <c r="C14" i="8"/>
  <c r="B14" i="8"/>
  <c r="D13" i="8"/>
  <c r="C13" i="8"/>
  <c r="B13" i="8"/>
  <c r="D12" i="8"/>
  <c r="C12" i="8"/>
  <c r="B12" i="8"/>
  <c r="D11" i="8"/>
  <c r="C11" i="8"/>
  <c r="B11" i="8"/>
  <c r="D10" i="8"/>
  <c r="C10" i="8"/>
  <c r="B10" i="8"/>
  <c r="D9" i="8"/>
  <c r="C9" i="8"/>
  <c r="B9" i="8"/>
  <c r="D8" i="8"/>
  <c r="C8" i="8"/>
  <c r="B8" i="8"/>
  <c r="D7" i="8"/>
  <c r="C7" i="8"/>
  <c r="B7" i="8"/>
  <c r="D6" i="8"/>
  <c r="C6" i="8"/>
  <c r="B6" i="8"/>
  <c r="A3" i="8"/>
  <c r="C65" i="7"/>
  <c r="C64" i="7"/>
  <c r="C63" i="7"/>
  <c r="C62" i="7"/>
  <c r="C43" i="7"/>
  <c r="C42" i="7"/>
  <c r="C41" i="7"/>
  <c r="C40" i="7"/>
  <c r="C39" i="7"/>
  <c r="C38" i="7"/>
  <c r="C37" i="7"/>
  <c r="C31" i="7"/>
  <c r="C30" i="7"/>
  <c r="C25" i="7"/>
  <c r="C16" i="7"/>
  <c r="C17" i="7" s="1"/>
  <c r="C15" i="7"/>
  <c r="C11" i="7"/>
  <c r="C8" i="7"/>
  <c r="C7" i="7"/>
  <c r="C6" i="7"/>
  <c r="C13" i="7" s="1"/>
  <c r="A3" i="7"/>
  <c r="D5140" i="6"/>
  <c r="D5139" i="6"/>
  <c r="D5117" i="6"/>
  <c r="M5116" i="6"/>
  <c r="L5116" i="6"/>
  <c r="K5116" i="6"/>
  <c r="J5116" i="6"/>
  <c r="I5116" i="6"/>
  <c r="H5116" i="6"/>
  <c r="G5116" i="6"/>
  <c r="F5116" i="6"/>
  <c r="E5116" i="6"/>
  <c r="D5116" i="6"/>
  <c r="M5115" i="6"/>
  <c r="L5115" i="6"/>
  <c r="K5115" i="6"/>
  <c r="J5115" i="6"/>
  <c r="I5115" i="6"/>
  <c r="H5115" i="6"/>
  <c r="G5115" i="6"/>
  <c r="F5115" i="6"/>
  <c r="E5115" i="6"/>
  <c r="M5113" i="6"/>
  <c r="M5114" i="6" s="1"/>
  <c r="L5113" i="6"/>
  <c r="L5114" i="6" s="1"/>
  <c r="K5113" i="6"/>
  <c r="K5114" i="6" s="1"/>
  <c r="J5113" i="6"/>
  <c r="J5114" i="6" s="1"/>
  <c r="I5113" i="6"/>
  <c r="I5114" i="6" s="1"/>
  <c r="H5113" i="6"/>
  <c r="H5114" i="6" s="1"/>
  <c r="G5113" i="6"/>
  <c r="G5114" i="6" s="1"/>
  <c r="F5113" i="6"/>
  <c r="F5114" i="6" s="1"/>
  <c r="E5113" i="6"/>
  <c r="E5114" i="6" s="1"/>
  <c r="D5113" i="6"/>
  <c r="D5114" i="6" s="1"/>
  <c r="D5115" i="6" s="1"/>
  <c r="M5112" i="6"/>
  <c r="L5112" i="6"/>
  <c r="K5112" i="6"/>
  <c r="J5112" i="6"/>
  <c r="I5112" i="6"/>
  <c r="H5112" i="6"/>
  <c r="G5112" i="6"/>
  <c r="F5112" i="6"/>
  <c r="E5112" i="6"/>
  <c r="D5112" i="6"/>
  <c r="D5094" i="6"/>
  <c r="D5093" i="6"/>
  <c r="D5071" i="6"/>
  <c r="M5070" i="6"/>
  <c r="L5070" i="6"/>
  <c r="K5070" i="6"/>
  <c r="J5070" i="6"/>
  <c r="I5070" i="6"/>
  <c r="H5070" i="6"/>
  <c r="G5070" i="6"/>
  <c r="F5070" i="6"/>
  <c r="E5070" i="6"/>
  <c r="D5070" i="6"/>
  <c r="M5069" i="6"/>
  <c r="L5069" i="6"/>
  <c r="K5069" i="6"/>
  <c r="J5069" i="6"/>
  <c r="I5069" i="6"/>
  <c r="H5069" i="6"/>
  <c r="G5069" i="6"/>
  <c r="F5069" i="6"/>
  <c r="E5069" i="6"/>
  <c r="M5067" i="6"/>
  <c r="M5068" i="6" s="1"/>
  <c r="L5067" i="6"/>
  <c r="L5068" i="6" s="1"/>
  <c r="K5067" i="6"/>
  <c r="K5068" i="6" s="1"/>
  <c r="J5067" i="6"/>
  <c r="J5068" i="6" s="1"/>
  <c r="I5067" i="6"/>
  <c r="I5068" i="6" s="1"/>
  <c r="H5067" i="6"/>
  <c r="H5068" i="6" s="1"/>
  <c r="G5067" i="6"/>
  <c r="G5068" i="6" s="1"/>
  <c r="F5067" i="6"/>
  <c r="F5068" i="6" s="1"/>
  <c r="E5067" i="6"/>
  <c r="E5068" i="6" s="1"/>
  <c r="D5067" i="6"/>
  <c r="D5068" i="6" s="1"/>
  <c r="D5069" i="6" s="1"/>
  <c r="M5066" i="6"/>
  <c r="L5066" i="6"/>
  <c r="K5066" i="6"/>
  <c r="J5066" i="6"/>
  <c r="I5066" i="6"/>
  <c r="H5066" i="6"/>
  <c r="G5066" i="6"/>
  <c r="F5066" i="6"/>
  <c r="E5066" i="6"/>
  <c r="D5066" i="6"/>
  <c r="D5048" i="6"/>
  <c r="D5047" i="6"/>
  <c r="D5025" i="6"/>
  <c r="M5024" i="6"/>
  <c r="L5024" i="6"/>
  <c r="K5024" i="6"/>
  <c r="J5024" i="6"/>
  <c r="I5024" i="6"/>
  <c r="H5024" i="6"/>
  <c r="G5024" i="6"/>
  <c r="F5024" i="6"/>
  <c r="E5024" i="6"/>
  <c r="D5024" i="6"/>
  <c r="M5023" i="6"/>
  <c r="L5023" i="6"/>
  <c r="K5023" i="6"/>
  <c r="J5023" i="6"/>
  <c r="I5023" i="6"/>
  <c r="H5023" i="6"/>
  <c r="G5023" i="6"/>
  <c r="F5023" i="6"/>
  <c r="E5023" i="6"/>
  <c r="M5021" i="6"/>
  <c r="M5022" i="6" s="1"/>
  <c r="L5021" i="6"/>
  <c r="L5022" i="6" s="1"/>
  <c r="K5021" i="6"/>
  <c r="K5022" i="6" s="1"/>
  <c r="J5021" i="6"/>
  <c r="J5022" i="6" s="1"/>
  <c r="I5021" i="6"/>
  <c r="I5022" i="6" s="1"/>
  <c r="H5021" i="6"/>
  <c r="H5022" i="6" s="1"/>
  <c r="G5021" i="6"/>
  <c r="G5022" i="6" s="1"/>
  <c r="F5021" i="6"/>
  <c r="F5022" i="6" s="1"/>
  <c r="E5021" i="6"/>
  <c r="E5022" i="6" s="1"/>
  <c r="D5021" i="6"/>
  <c r="D5022" i="6" s="1"/>
  <c r="D5023" i="6" s="1"/>
  <c r="M5020" i="6"/>
  <c r="L5020" i="6"/>
  <c r="K5020" i="6"/>
  <c r="J5020" i="6"/>
  <c r="I5020" i="6"/>
  <c r="H5020" i="6"/>
  <c r="G5020" i="6"/>
  <c r="F5020" i="6"/>
  <c r="E5020" i="6"/>
  <c r="D5020" i="6"/>
  <c r="D5002" i="6"/>
  <c r="D5001" i="6"/>
  <c r="D4979" i="6"/>
  <c r="M4978" i="6"/>
  <c r="L4978" i="6"/>
  <c r="K4978" i="6"/>
  <c r="J4978" i="6"/>
  <c r="I4978" i="6"/>
  <c r="H4978" i="6"/>
  <c r="G4978" i="6"/>
  <c r="F4978" i="6"/>
  <c r="E4978" i="6"/>
  <c r="D4978" i="6"/>
  <c r="M4977" i="6"/>
  <c r="L4977" i="6"/>
  <c r="K4977" i="6"/>
  <c r="J4977" i="6"/>
  <c r="I4977" i="6"/>
  <c r="H4977" i="6"/>
  <c r="G4977" i="6"/>
  <c r="F4977" i="6"/>
  <c r="E4977" i="6"/>
  <c r="M4975" i="6"/>
  <c r="M4976" i="6" s="1"/>
  <c r="L4975" i="6"/>
  <c r="L4976" i="6" s="1"/>
  <c r="K4975" i="6"/>
  <c r="K4976" i="6" s="1"/>
  <c r="J4975" i="6"/>
  <c r="J4976" i="6" s="1"/>
  <c r="I4975" i="6"/>
  <c r="I4976" i="6" s="1"/>
  <c r="H4975" i="6"/>
  <c r="H4976" i="6" s="1"/>
  <c r="G4975" i="6"/>
  <c r="G4976" i="6" s="1"/>
  <c r="F4975" i="6"/>
  <c r="F4976" i="6" s="1"/>
  <c r="E4975" i="6"/>
  <c r="E4976" i="6" s="1"/>
  <c r="D4975" i="6"/>
  <c r="D4976" i="6" s="1"/>
  <c r="D4977" i="6" s="1"/>
  <c r="M4974" i="6"/>
  <c r="L4974" i="6"/>
  <c r="K4974" i="6"/>
  <c r="J4974" i="6"/>
  <c r="I4974" i="6"/>
  <c r="H4974" i="6"/>
  <c r="G4974" i="6"/>
  <c r="F4974" i="6"/>
  <c r="E4974" i="6"/>
  <c r="D4974" i="6"/>
  <c r="D4956" i="6"/>
  <c r="D4955" i="6"/>
  <c r="D4933" i="6"/>
  <c r="M4932" i="6"/>
  <c r="L4932" i="6"/>
  <c r="K4932" i="6"/>
  <c r="J4932" i="6"/>
  <c r="I4932" i="6"/>
  <c r="H4932" i="6"/>
  <c r="G4932" i="6"/>
  <c r="F4932" i="6"/>
  <c r="E4932" i="6"/>
  <c r="D4932" i="6"/>
  <c r="M4931" i="6"/>
  <c r="L4931" i="6"/>
  <c r="K4931" i="6"/>
  <c r="J4931" i="6"/>
  <c r="I4931" i="6"/>
  <c r="H4931" i="6"/>
  <c r="G4931" i="6"/>
  <c r="F4931" i="6"/>
  <c r="E4931" i="6"/>
  <c r="M4929" i="6"/>
  <c r="M4930" i="6" s="1"/>
  <c r="L4929" i="6"/>
  <c r="L4930" i="6" s="1"/>
  <c r="K4929" i="6"/>
  <c r="K4930" i="6" s="1"/>
  <c r="J4929" i="6"/>
  <c r="J4930" i="6" s="1"/>
  <c r="I4929" i="6"/>
  <c r="I4930" i="6" s="1"/>
  <c r="H4929" i="6"/>
  <c r="H4930" i="6" s="1"/>
  <c r="G4929" i="6"/>
  <c r="G4930" i="6" s="1"/>
  <c r="F4929" i="6"/>
  <c r="F4930" i="6" s="1"/>
  <c r="E4929" i="6"/>
  <c r="E4930" i="6" s="1"/>
  <c r="D4929" i="6"/>
  <c r="D4930" i="6" s="1"/>
  <c r="D4931" i="6" s="1"/>
  <c r="M4928" i="6"/>
  <c r="L4928" i="6"/>
  <c r="K4928" i="6"/>
  <c r="J4928" i="6"/>
  <c r="I4928" i="6"/>
  <c r="H4928" i="6"/>
  <c r="G4928" i="6"/>
  <c r="F4928" i="6"/>
  <c r="E4928" i="6"/>
  <c r="D4928" i="6"/>
  <c r="D4910" i="6"/>
  <c r="D4909" i="6"/>
  <c r="D4887" i="6"/>
  <c r="M4886" i="6"/>
  <c r="L4886" i="6"/>
  <c r="K4886" i="6"/>
  <c r="J4886" i="6"/>
  <c r="I4886" i="6"/>
  <c r="H4886" i="6"/>
  <c r="G4886" i="6"/>
  <c r="F4886" i="6"/>
  <c r="E4886" i="6"/>
  <c r="D4886" i="6"/>
  <c r="M4885" i="6"/>
  <c r="L4885" i="6"/>
  <c r="K4885" i="6"/>
  <c r="J4885" i="6"/>
  <c r="I4885" i="6"/>
  <c r="H4885" i="6"/>
  <c r="G4885" i="6"/>
  <c r="F4885" i="6"/>
  <c r="E4885" i="6"/>
  <c r="M4883" i="6"/>
  <c r="M4884" i="6" s="1"/>
  <c r="L4883" i="6"/>
  <c r="L4884" i="6" s="1"/>
  <c r="K4883" i="6"/>
  <c r="K4884" i="6" s="1"/>
  <c r="J4883" i="6"/>
  <c r="J4884" i="6" s="1"/>
  <c r="I4883" i="6"/>
  <c r="I4884" i="6" s="1"/>
  <c r="H4883" i="6"/>
  <c r="H4884" i="6" s="1"/>
  <c r="G4883" i="6"/>
  <c r="G4884" i="6" s="1"/>
  <c r="F4883" i="6"/>
  <c r="F4884" i="6" s="1"/>
  <c r="E4883" i="6"/>
  <c r="E4884" i="6" s="1"/>
  <c r="D4883" i="6"/>
  <c r="D4884" i="6" s="1"/>
  <c r="D4885" i="6" s="1"/>
  <c r="M4882" i="6"/>
  <c r="L4882" i="6"/>
  <c r="K4882" i="6"/>
  <c r="J4882" i="6"/>
  <c r="I4882" i="6"/>
  <c r="H4882" i="6"/>
  <c r="G4882" i="6"/>
  <c r="F4882" i="6"/>
  <c r="E4882" i="6"/>
  <c r="D4882" i="6"/>
  <c r="D4864" i="6"/>
  <c r="D4863" i="6"/>
  <c r="D4841" i="6"/>
  <c r="M4840" i="6"/>
  <c r="L4840" i="6"/>
  <c r="K4840" i="6"/>
  <c r="J4840" i="6"/>
  <c r="I4840" i="6"/>
  <c r="H4840" i="6"/>
  <c r="G4840" i="6"/>
  <c r="F4840" i="6"/>
  <c r="E4840" i="6"/>
  <c r="D4840" i="6"/>
  <c r="M4839" i="6"/>
  <c r="L4839" i="6"/>
  <c r="K4839" i="6"/>
  <c r="J4839" i="6"/>
  <c r="I4839" i="6"/>
  <c r="H4839" i="6"/>
  <c r="G4839" i="6"/>
  <c r="F4839" i="6"/>
  <c r="E4839" i="6"/>
  <c r="M4837" i="6"/>
  <c r="M4838" i="6" s="1"/>
  <c r="L4837" i="6"/>
  <c r="L4838" i="6" s="1"/>
  <c r="K4837" i="6"/>
  <c r="K4838" i="6" s="1"/>
  <c r="J4837" i="6"/>
  <c r="J4838" i="6" s="1"/>
  <c r="I4837" i="6"/>
  <c r="I4838" i="6" s="1"/>
  <c r="H4837" i="6"/>
  <c r="H4838" i="6" s="1"/>
  <c r="G4837" i="6"/>
  <c r="G4838" i="6" s="1"/>
  <c r="F4837" i="6"/>
  <c r="F4838" i="6" s="1"/>
  <c r="E4837" i="6"/>
  <c r="E4838" i="6" s="1"/>
  <c r="D4837" i="6"/>
  <c r="D4838" i="6" s="1"/>
  <c r="D4839" i="6" s="1"/>
  <c r="M4836" i="6"/>
  <c r="L4836" i="6"/>
  <c r="K4836" i="6"/>
  <c r="J4836" i="6"/>
  <c r="I4836" i="6"/>
  <c r="H4836" i="6"/>
  <c r="G4836" i="6"/>
  <c r="F4836" i="6"/>
  <c r="E4836" i="6"/>
  <c r="D4836" i="6"/>
  <c r="D4818" i="6"/>
  <c r="D4817" i="6"/>
  <c r="D4795" i="6"/>
  <c r="M4794" i="6"/>
  <c r="L4794" i="6"/>
  <c r="K4794" i="6"/>
  <c r="J4794" i="6"/>
  <c r="I4794" i="6"/>
  <c r="H4794" i="6"/>
  <c r="G4794" i="6"/>
  <c r="F4794" i="6"/>
  <c r="E4794" i="6"/>
  <c r="D4794" i="6"/>
  <c r="M4793" i="6"/>
  <c r="L4793" i="6"/>
  <c r="K4793" i="6"/>
  <c r="J4793" i="6"/>
  <c r="I4793" i="6"/>
  <c r="H4793" i="6"/>
  <c r="G4793" i="6"/>
  <c r="F4793" i="6"/>
  <c r="E4793" i="6"/>
  <c r="M4791" i="6"/>
  <c r="M4792" i="6" s="1"/>
  <c r="L4791" i="6"/>
  <c r="L4792" i="6" s="1"/>
  <c r="K4791" i="6"/>
  <c r="K4792" i="6" s="1"/>
  <c r="J4791" i="6"/>
  <c r="J4792" i="6" s="1"/>
  <c r="I4791" i="6"/>
  <c r="I4792" i="6" s="1"/>
  <c r="H4791" i="6"/>
  <c r="H4792" i="6" s="1"/>
  <c r="G4791" i="6"/>
  <c r="G4792" i="6" s="1"/>
  <c r="F4791" i="6"/>
  <c r="F4792" i="6" s="1"/>
  <c r="E4791" i="6"/>
  <c r="E4792" i="6" s="1"/>
  <c r="D4791" i="6"/>
  <c r="D4792" i="6" s="1"/>
  <c r="D4793" i="6" s="1"/>
  <c r="M4790" i="6"/>
  <c r="L4790" i="6"/>
  <c r="K4790" i="6"/>
  <c r="J4790" i="6"/>
  <c r="I4790" i="6"/>
  <c r="H4790" i="6"/>
  <c r="G4790" i="6"/>
  <c r="F4790" i="6"/>
  <c r="E4790" i="6"/>
  <c r="D4790" i="6"/>
  <c r="D4772" i="6"/>
  <c r="D4771" i="6"/>
  <c r="D4749" i="6"/>
  <c r="M4748" i="6"/>
  <c r="L4748" i="6"/>
  <c r="K4748" i="6"/>
  <c r="J4748" i="6"/>
  <c r="I4748" i="6"/>
  <c r="H4748" i="6"/>
  <c r="G4748" i="6"/>
  <c r="F4748" i="6"/>
  <c r="E4748" i="6"/>
  <c r="D4748" i="6"/>
  <c r="M4747" i="6"/>
  <c r="L4747" i="6"/>
  <c r="K4747" i="6"/>
  <c r="J4747" i="6"/>
  <c r="I4747" i="6"/>
  <c r="H4747" i="6"/>
  <c r="G4747" i="6"/>
  <c r="F4747" i="6"/>
  <c r="E4747" i="6"/>
  <c r="M4745" i="6"/>
  <c r="M4746" i="6" s="1"/>
  <c r="L4745" i="6"/>
  <c r="L4746" i="6" s="1"/>
  <c r="K4745" i="6"/>
  <c r="K4746" i="6" s="1"/>
  <c r="J4745" i="6"/>
  <c r="J4746" i="6" s="1"/>
  <c r="I4745" i="6"/>
  <c r="I4746" i="6" s="1"/>
  <c r="H4745" i="6"/>
  <c r="H4746" i="6" s="1"/>
  <c r="G4745" i="6"/>
  <c r="G4746" i="6" s="1"/>
  <c r="F4745" i="6"/>
  <c r="F4746" i="6" s="1"/>
  <c r="E4745" i="6"/>
  <c r="E4746" i="6" s="1"/>
  <c r="D4745" i="6"/>
  <c r="D4746" i="6" s="1"/>
  <c r="D4747" i="6" s="1"/>
  <c r="M4744" i="6"/>
  <c r="L4744" i="6"/>
  <c r="K4744" i="6"/>
  <c r="J4744" i="6"/>
  <c r="I4744" i="6"/>
  <c r="H4744" i="6"/>
  <c r="G4744" i="6"/>
  <c r="F4744" i="6"/>
  <c r="E4744" i="6"/>
  <c r="D4744" i="6"/>
  <c r="D4726" i="6"/>
  <c r="D4725" i="6"/>
  <c r="D4703" i="6"/>
  <c r="M4702" i="6"/>
  <c r="L4702" i="6"/>
  <c r="M4703" i="6" s="1"/>
  <c r="K4702" i="6"/>
  <c r="L4703" i="6" s="1"/>
  <c r="J4702" i="6"/>
  <c r="K4703" i="6" s="1"/>
  <c r="I4702" i="6"/>
  <c r="J4703" i="6" s="1"/>
  <c r="H4702" i="6"/>
  <c r="I4703" i="6" s="1"/>
  <c r="G4702" i="6"/>
  <c r="H4703" i="6" s="1"/>
  <c r="F4702" i="6"/>
  <c r="G4703" i="6" s="1"/>
  <c r="E4702" i="6"/>
  <c r="F4703" i="6" s="1"/>
  <c r="D4702" i="6"/>
  <c r="E4703" i="6" s="1"/>
  <c r="M4701" i="6"/>
  <c r="L4701" i="6"/>
  <c r="K4701" i="6"/>
  <c r="J4701" i="6"/>
  <c r="I4701" i="6"/>
  <c r="H4701" i="6"/>
  <c r="G4701" i="6"/>
  <c r="F4701" i="6"/>
  <c r="E4701" i="6"/>
  <c r="M4699" i="6"/>
  <c r="M4700" i="6" s="1"/>
  <c r="L4699" i="6"/>
  <c r="L4700" i="6" s="1"/>
  <c r="K4699" i="6"/>
  <c r="K4700" i="6" s="1"/>
  <c r="J4699" i="6"/>
  <c r="J4700" i="6" s="1"/>
  <c r="I4699" i="6"/>
  <c r="I4700" i="6" s="1"/>
  <c r="H4699" i="6"/>
  <c r="H4700" i="6" s="1"/>
  <c r="G4699" i="6"/>
  <c r="G4700" i="6" s="1"/>
  <c r="F4699" i="6"/>
  <c r="F4700" i="6" s="1"/>
  <c r="E4699" i="6"/>
  <c r="E4700" i="6" s="1"/>
  <c r="D4699" i="6"/>
  <c r="D4700" i="6" s="1"/>
  <c r="D4701" i="6" s="1"/>
  <c r="M4698" i="6"/>
  <c r="L4698" i="6"/>
  <c r="K4698" i="6"/>
  <c r="J4698" i="6"/>
  <c r="I4698" i="6"/>
  <c r="H4698" i="6"/>
  <c r="G4698" i="6"/>
  <c r="F4698" i="6"/>
  <c r="E4698" i="6"/>
  <c r="D4698" i="6"/>
  <c r="D4680" i="6"/>
  <c r="D4679" i="6"/>
  <c r="D4657" i="6"/>
  <c r="M4656" i="6"/>
  <c r="L4656" i="6"/>
  <c r="K4656" i="6"/>
  <c r="J4656" i="6"/>
  <c r="I4656" i="6"/>
  <c r="H4656" i="6"/>
  <c r="G4656" i="6"/>
  <c r="F4656" i="6"/>
  <c r="E4656" i="6"/>
  <c r="D4656" i="6"/>
  <c r="M4655" i="6"/>
  <c r="L4655" i="6"/>
  <c r="K4655" i="6"/>
  <c r="J4655" i="6"/>
  <c r="I4655" i="6"/>
  <c r="H4655" i="6"/>
  <c r="G4655" i="6"/>
  <c r="F4655" i="6"/>
  <c r="E4655" i="6"/>
  <c r="M4653" i="6"/>
  <c r="M4654" i="6" s="1"/>
  <c r="L4653" i="6"/>
  <c r="L4654" i="6" s="1"/>
  <c r="K4653" i="6"/>
  <c r="K4654" i="6" s="1"/>
  <c r="J4653" i="6"/>
  <c r="J4654" i="6" s="1"/>
  <c r="I4653" i="6"/>
  <c r="I4654" i="6" s="1"/>
  <c r="H4653" i="6"/>
  <c r="H4654" i="6" s="1"/>
  <c r="G4653" i="6"/>
  <c r="G4654" i="6" s="1"/>
  <c r="F4653" i="6"/>
  <c r="F4654" i="6" s="1"/>
  <c r="E4653" i="6"/>
  <c r="E4654" i="6" s="1"/>
  <c r="D4653" i="6"/>
  <c r="D4654" i="6" s="1"/>
  <c r="D4655" i="6" s="1"/>
  <c r="M4652" i="6"/>
  <c r="L4652" i="6"/>
  <c r="K4652" i="6"/>
  <c r="J4652" i="6"/>
  <c r="I4652" i="6"/>
  <c r="H4652" i="6"/>
  <c r="G4652" i="6"/>
  <c r="F4652" i="6"/>
  <c r="E4652" i="6"/>
  <c r="D4652" i="6"/>
  <c r="D4634" i="6"/>
  <c r="D4633" i="6"/>
  <c r="D4611" i="6"/>
  <c r="M4610" i="6"/>
  <c r="L4610" i="6"/>
  <c r="K4610" i="6"/>
  <c r="J4610" i="6"/>
  <c r="I4610" i="6"/>
  <c r="H4610" i="6"/>
  <c r="G4610" i="6"/>
  <c r="F4610" i="6"/>
  <c r="E4610" i="6"/>
  <c r="D4610" i="6"/>
  <c r="M4609" i="6"/>
  <c r="L4609" i="6"/>
  <c r="K4609" i="6"/>
  <c r="J4609" i="6"/>
  <c r="I4609" i="6"/>
  <c r="H4609" i="6"/>
  <c r="G4609" i="6"/>
  <c r="F4609" i="6"/>
  <c r="E4609" i="6"/>
  <c r="M4607" i="6"/>
  <c r="M4608" i="6" s="1"/>
  <c r="L4607" i="6"/>
  <c r="L4608" i="6" s="1"/>
  <c r="K4607" i="6"/>
  <c r="K4608" i="6" s="1"/>
  <c r="J4607" i="6"/>
  <c r="J4608" i="6" s="1"/>
  <c r="I4607" i="6"/>
  <c r="I4608" i="6" s="1"/>
  <c r="H4607" i="6"/>
  <c r="H4608" i="6" s="1"/>
  <c r="G4607" i="6"/>
  <c r="G4608" i="6" s="1"/>
  <c r="F4607" i="6"/>
  <c r="F4608" i="6" s="1"/>
  <c r="E4607" i="6"/>
  <c r="E4608" i="6" s="1"/>
  <c r="D4607" i="6"/>
  <c r="D4608" i="6" s="1"/>
  <c r="D4609" i="6" s="1"/>
  <c r="M4606" i="6"/>
  <c r="L4606" i="6"/>
  <c r="K4606" i="6"/>
  <c r="J4606" i="6"/>
  <c r="I4606" i="6"/>
  <c r="H4606" i="6"/>
  <c r="G4606" i="6"/>
  <c r="F4606" i="6"/>
  <c r="E4606" i="6"/>
  <c r="D4606" i="6"/>
  <c r="D4588" i="6"/>
  <c r="D4587" i="6"/>
  <c r="D4565" i="6"/>
  <c r="M4564" i="6"/>
  <c r="L4564" i="6"/>
  <c r="K4564" i="6"/>
  <c r="J4564" i="6"/>
  <c r="I4564" i="6"/>
  <c r="H4564" i="6"/>
  <c r="G4564" i="6"/>
  <c r="F4564" i="6"/>
  <c r="E4564" i="6"/>
  <c r="D4564" i="6"/>
  <c r="M4563" i="6"/>
  <c r="L4563" i="6"/>
  <c r="K4563" i="6"/>
  <c r="J4563" i="6"/>
  <c r="I4563" i="6"/>
  <c r="H4563" i="6"/>
  <c r="G4563" i="6"/>
  <c r="F4563" i="6"/>
  <c r="E4563" i="6"/>
  <c r="M4561" i="6"/>
  <c r="M4562" i="6" s="1"/>
  <c r="L4561" i="6"/>
  <c r="L4562" i="6" s="1"/>
  <c r="K4561" i="6"/>
  <c r="K4562" i="6" s="1"/>
  <c r="J4561" i="6"/>
  <c r="J4562" i="6" s="1"/>
  <c r="I4561" i="6"/>
  <c r="I4562" i="6" s="1"/>
  <c r="H4561" i="6"/>
  <c r="H4562" i="6" s="1"/>
  <c r="G4561" i="6"/>
  <c r="G4562" i="6" s="1"/>
  <c r="F4561" i="6"/>
  <c r="F4562" i="6" s="1"/>
  <c r="E4561" i="6"/>
  <c r="E4562" i="6" s="1"/>
  <c r="D4561" i="6"/>
  <c r="D4562" i="6" s="1"/>
  <c r="D4563" i="6" s="1"/>
  <c r="M4560" i="6"/>
  <c r="L4560" i="6"/>
  <c r="K4560" i="6"/>
  <c r="J4560" i="6"/>
  <c r="I4560" i="6"/>
  <c r="H4560" i="6"/>
  <c r="G4560" i="6"/>
  <c r="F4560" i="6"/>
  <c r="E4560" i="6"/>
  <c r="D4560" i="6"/>
  <c r="D4542" i="6"/>
  <c r="D4541" i="6"/>
  <c r="D4519" i="6"/>
  <c r="M4518" i="6"/>
  <c r="L4518" i="6"/>
  <c r="K4518" i="6"/>
  <c r="J4518" i="6"/>
  <c r="I4518" i="6"/>
  <c r="H4518" i="6"/>
  <c r="G4518" i="6"/>
  <c r="F4518" i="6"/>
  <c r="E4518" i="6"/>
  <c r="D4518" i="6"/>
  <c r="M4517" i="6"/>
  <c r="L4517" i="6"/>
  <c r="K4517" i="6"/>
  <c r="J4517" i="6"/>
  <c r="I4517" i="6"/>
  <c r="H4517" i="6"/>
  <c r="G4517" i="6"/>
  <c r="F4517" i="6"/>
  <c r="E4517" i="6"/>
  <c r="M4515" i="6"/>
  <c r="M4516" i="6" s="1"/>
  <c r="L4515" i="6"/>
  <c r="L4516" i="6" s="1"/>
  <c r="K4515" i="6"/>
  <c r="K4516" i="6" s="1"/>
  <c r="J4515" i="6"/>
  <c r="J4516" i="6" s="1"/>
  <c r="I4515" i="6"/>
  <c r="I4516" i="6" s="1"/>
  <c r="H4515" i="6"/>
  <c r="H4516" i="6" s="1"/>
  <c r="G4515" i="6"/>
  <c r="G4516" i="6" s="1"/>
  <c r="F4515" i="6"/>
  <c r="F4516" i="6" s="1"/>
  <c r="E4515" i="6"/>
  <c r="E4516" i="6" s="1"/>
  <c r="D4515" i="6"/>
  <c r="D4516" i="6" s="1"/>
  <c r="D4517" i="6" s="1"/>
  <c r="M4514" i="6"/>
  <c r="L4514" i="6"/>
  <c r="K4514" i="6"/>
  <c r="J4514" i="6"/>
  <c r="I4514" i="6"/>
  <c r="H4514" i="6"/>
  <c r="G4514" i="6"/>
  <c r="F4514" i="6"/>
  <c r="E4514" i="6"/>
  <c r="D4514" i="6"/>
  <c r="D4496" i="6"/>
  <c r="D4495" i="6"/>
  <c r="D4473" i="6"/>
  <c r="M4472" i="6"/>
  <c r="L4472" i="6"/>
  <c r="K4472" i="6"/>
  <c r="J4472" i="6"/>
  <c r="I4472" i="6"/>
  <c r="H4472" i="6"/>
  <c r="G4472" i="6"/>
  <c r="F4472" i="6"/>
  <c r="E4472" i="6"/>
  <c r="D4472" i="6"/>
  <c r="M4471" i="6"/>
  <c r="L4471" i="6"/>
  <c r="K4471" i="6"/>
  <c r="J4471" i="6"/>
  <c r="I4471" i="6"/>
  <c r="H4471" i="6"/>
  <c r="G4471" i="6"/>
  <c r="F4471" i="6"/>
  <c r="E4471" i="6"/>
  <c r="M4469" i="6"/>
  <c r="M4470" i="6" s="1"/>
  <c r="L4469" i="6"/>
  <c r="L4470" i="6" s="1"/>
  <c r="K4469" i="6"/>
  <c r="K4470" i="6" s="1"/>
  <c r="J4469" i="6"/>
  <c r="J4470" i="6" s="1"/>
  <c r="I4469" i="6"/>
  <c r="I4470" i="6" s="1"/>
  <c r="H4469" i="6"/>
  <c r="H4470" i="6" s="1"/>
  <c r="G4469" i="6"/>
  <c r="G4470" i="6" s="1"/>
  <c r="F4469" i="6"/>
  <c r="F4470" i="6" s="1"/>
  <c r="E4469" i="6"/>
  <c r="E4470" i="6" s="1"/>
  <c r="D4469" i="6"/>
  <c r="D4470" i="6" s="1"/>
  <c r="D4471" i="6" s="1"/>
  <c r="M4468" i="6"/>
  <c r="L4468" i="6"/>
  <c r="K4468" i="6"/>
  <c r="J4468" i="6"/>
  <c r="I4468" i="6"/>
  <c r="H4468" i="6"/>
  <c r="G4468" i="6"/>
  <c r="F4468" i="6"/>
  <c r="E4468" i="6"/>
  <c r="D4468" i="6"/>
  <c r="D4450" i="6"/>
  <c r="D4449" i="6"/>
  <c r="D4427" i="6"/>
  <c r="M4426" i="6"/>
  <c r="L4426" i="6"/>
  <c r="K4426" i="6"/>
  <c r="J4426" i="6"/>
  <c r="I4426" i="6"/>
  <c r="H4426" i="6"/>
  <c r="G4426" i="6"/>
  <c r="F4426" i="6"/>
  <c r="E4426" i="6"/>
  <c r="D4426" i="6"/>
  <c r="M4425" i="6"/>
  <c r="L4425" i="6"/>
  <c r="K4425" i="6"/>
  <c r="J4425" i="6"/>
  <c r="I4425" i="6"/>
  <c r="H4425" i="6"/>
  <c r="G4425" i="6"/>
  <c r="F4425" i="6"/>
  <c r="E4425" i="6"/>
  <c r="M4423" i="6"/>
  <c r="M4424" i="6" s="1"/>
  <c r="L4423" i="6"/>
  <c r="L4424" i="6" s="1"/>
  <c r="K4423" i="6"/>
  <c r="K4424" i="6" s="1"/>
  <c r="J4423" i="6"/>
  <c r="J4424" i="6" s="1"/>
  <c r="I4423" i="6"/>
  <c r="I4424" i="6" s="1"/>
  <c r="H4423" i="6"/>
  <c r="H4424" i="6" s="1"/>
  <c r="G4423" i="6"/>
  <c r="G4424" i="6" s="1"/>
  <c r="F4423" i="6"/>
  <c r="F4424" i="6" s="1"/>
  <c r="E4423" i="6"/>
  <c r="E4424" i="6" s="1"/>
  <c r="D4423" i="6"/>
  <c r="D4424" i="6" s="1"/>
  <c r="D4425" i="6" s="1"/>
  <c r="M4422" i="6"/>
  <c r="L4422" i="6"/>
  <c r="K4422" i="6"/>
  <c r="J4422" i="6"/>
  <c r="I4422" i="6"/>
  <c r="H4422" i="6"/>
  <c r="G4422" i="6"/>
  <c r="F4422" i="6"/>
  <c r="E4422" i="6"/>
  <c r="D4422" i="6"/>
  <c r="D4404" i="6"/>
  <c r="D4403" i="6"/>
  <c r="D4381" i="6"/>
  <c r="M4380" i="6"/>
  <c r="L4380" i="6"/>
  <c r="K4380" i="6"/>
  <c r="J4380" i="6"/>
  <c r="I4380" i="6"/>
  <c r="H4380" i="6"/>
  <c r="G4380" i="6"/>
  <c r="F4380" i="6"/>
  <c r="E4380" i="6"/>
  <c r="D4380" i="6"/>
  <c r="M4379" i="6"/>
  <c r="L4379" i="6"/>
  <c r="K4379" i="6"/>
  <c r="J4379" i="6"/>
  <c r="I4379" i="6"/>
  <c r="H4379" i="6"/>
  <c r="G4379" i="6"/>
  <c r="F4379" i="6"/>
  <c r="E4379" i="6"/>
  <c r="M4377" i="6"/>
  <c r="M4378" i="6" s="1"/>
  <c r="L4377" i="6"/>
  <c r="L4378" i="6" s="1"/>
  <c r="K4377" i="6"/>
  <c r="K4378" i="6" s="1"/>
  <c r="J4377" i="6"/>
  <c r="J4378" i="6" s="1"/>
  <c r="I4377" i="6"/>
  <c r="I4378" i="6" s="1"/>
  <c r="H4377" i="6"/>
  <c r="H4378" i="6" s="1"/>
  <c r="G4377" i="6"/>
  <c r="G4378" i="6" s="1"/>
  <c r="F4377" i="6"/>
  <c r="F4378" i="6" s="1"/>
  <c r="E4377" i="6"/>
  <c r="E4378" i="6" s="1"/>
  <c r="D4377" i="6"/>
  <c r="D4378" i="6" s="1"/>
  <c r="D4379" i="6" s="1"/>
  <c r="M4376" i="6"/>
  <c r="L4376" i="6"/>
  <c r="K4376" i="6"/>
  <c r="J4376" i="6"/>
  <c r="I4376" i="6"/>
  <c r="H4376" i="6"/>
  <c r="G4376" i="6"/>
  <c r="F4376" i="6"/>
  <c r="E4376" i="6"/>
  <c r="D4376" i="6"/>
  <c r="D4358" i="6"/>
  <c r="D4357" i="6"/>
  <c r="D4335" i="6"/>
  <c r="M4334" i="6"/>
  <c r="L4334" i="6"/>
  <c r="K4334" i="6"/>
  <c r="J4334" i="6"/>
  <c r="I4334" i="6"/>
  <c r="H4334" i="6"/>
  <c r="G4334" i="6"/>
  <c r="F4334" i="6"/>
  <c r="E4334" i="6"/>
  <c r="D4334" i="6"/>
  <c r="M4333" i="6"/>
  <c r="L4333" i="6"/>
  <c r="K4333" i="6"/>
  <c r="J4333" i="6"/>
  <c r="I4333" i="6"/>
  <c r="H4333" i="6"/>
  <c r="G4333" i="6"/>
  <c r="F4333" i="6"/>
  <c r="E4333" i="6"/>
  <c r="M4331" i="6"/>
  <c r="M4332" i="6" s="1"/>
  <c r="L4331" i="6"/>
  <c r="L4332" i="6" s="1"/>
  <c r="K4331" i="6"/>
  <c r="K4332" i="6" s="1"/>
  <c r="J4331" i="6"/>
  <c r="J4332" i="6" s="1"/>
  <c r="I4331" i="6"/>
  <c r="I4332" i="6" s="1"/>
  <c r="H4331" i="6"/>
  <c r="H4332" i="6" s="1"/>
  <c r="G4331" i="6"/>
  <c r="G4332" i="6" s="1"/>
  <c r="F4331" i="6"/>
  <c r="F4332" i="6" s="1"/>
  <c r="E4331" i="6"/>
  <c r="E4332" i="6" s="1"/>
  <c r="D4331" i="6"/>
  <c r="D4332" i="6" s="1"/>
  <c r="D4333" i="6" s="1"/>
  <c r="M4330" i="6"/>
  <c r="L4330" i="6"/>
  <c r="K4330" i="6"/>
  <c r="J4330" i="6"/>
  <c r="I4330" i="6"/>
  <c r="H4330" i="6"/>
  <c r="G4330" i="6"/>
  <c r="F4330" i="6"/>
  <c r="E4330" i="6"/>
  <c r="D4330" i="6"/>
  <c r="D4312" i="6"/>
  <c r="D4311" i="6"/>
  <c r="D4289" i="6"/>
  <c r="M4288" i="6"/>
  <c r="L4288" i="6"/>
  <c r="K4288" i="6"/>
  <c r="J4288" i="6"/>
  <c r="I4288" i="6"/>
  <c r="H4288" i="6"/>
  <c r="G4288" i="6"/>
  <c r="F4288" i="6"/>
  <c r="E4288" i="6"/>
  <c r="D4288" i="6"/>
  <c r="M4287" i="6"/>
  <c r="L4287" i="6"/>
  <c r="K4287" i="6"/>
  <c r="J4287" i="6"/>
  <c r="I4287" i="6"/>
  <c r="H4287" i="6"/>
  <c r="G4287" i="6"/>
  <c r="F4287" i="6"/>
  <c r="E4287" i="6"/>
  <c r="M4285" i="6"/>
  <c r="M4286" i="6" s="1"/>
  <c r="L4285" i="6"/>
  <c r="L4286" i="6" s="1"/>
  <c r="K4285" i="6"/>
  <c r="K4286" i="6" s="1"/>
  <c r="J4285" i="6"/>
  <c r="J4286" i="6" s="1"/>
  <c r="I4285" i="6"/>
  <c r="I4286" i="6" s="1"/>
  <c r="H4285" i="6"/>
  <c r="H4286" i="6" s="1"/>
  <c r="G4285" i="6"/>
  <c r="G4286" i="6" s="1"/>
  <c r="F4285" i="6"/>
  <c r="F4286" i="6" s="1"/>
  <c r="E4285" i="6"/>
  <c r="E4286" i="6" s="1"/>
  <c r="D4285" i="6"/>
  <c r="D4286" i="6" s="1"/>
  <c r="D4287" i="6" s="1"/>
  <c r="M4284" i="6"/>
  <c r="L4284" i="6"/>
  <c r="K4284" i="6"/>
  <c r="J4284" i="6"/>
  <c r="I4284" i="6"/>
  <c r="H4284" i="6"/>
  <c r="G4284" i="6"/>
  <c r="F4284" i="6"/>
  <c r="E4284" i="6"/>
  <c r="D4284" i="6"/>
  <c r="D4266" i="6"/>
  <c r="D4265" i="6"/>
  <c r="D4243" i="6"/>
  <c r="M4242" i="6"/>
  <c r="L4242" i="6"/>
  <c r="K4242" i="6"/>
  <c r="J4242" i="6"/>
  <c r="I4242" i="6"/>
  <c r="H4242" i="6"/>
  <c r="G4242" i="6"/>
  <c r="F4242" i="6"/>
  <c r="E4242" i="6"/>
  <c r="D4242" i="6"/>
  <c r="M4241" i="6"/>
  <c r="L4241" i="6"/>
  <c r="K4241" i="6"/>
  <c r="J4241" i="6"/>
  <c r="I4241" i="6"/>
  <c r="H4241" i="6"/>
  <c r="G4241" i="6"/>
  <c r="F4241" i="6"/>
  <c r="E4241" i="6"/>
  <c r="M4239" i="6"/>
  <c r="M4240" i="6" s="1"/>
  <c r="L4239" i="6"/>
  <c r="L4240" i="6" s="1"/>
  <c r="K4239" i="6"/>
  <c r="K4240" i="6" s="1"/>
  <c r="J4239" i="6"/>
  <c r="J4240" i="6" s="1"/>
  <c r="I4239" i="6"/>
  <c r="I4240" i="6" s="1"/>
  <c r="H4239" i="6"/>
  <c r="H4240" i="6" s="1"/>
  <c r="G4239" i="6"/>
  <c r="G4240" i="6" s="1"/>
  <c r="F4239" i="6"/>
  <c r="F4240" i="6" s="1"/>
  <c r="E4239" i="6"/>
  <c r="E4240" i="6" s="1"/>
  <c r="D4239" i="6"/>
  <c r="D4240" i="6" s="1"/>
  <c r="D4241" i="6" s="1"/>
  <c r="M4238" i="6"/>
  <c r="L4238" i="6"/>
  <c r="K4238" i="6"/>
  <c r="J4238" i="6"/>
  <c r="I4238" i="6"/>
  <c r="H4238" i="6"/>
  <c r="G4238" i="6"/>
  <c r="F4238" i="6"/>
  <c r="E4238" i="6"/>
  <c r="D4238" i="6"/>
  <c r="D4220" i="6"/>
  <c r="D4219" i="6"/>
  <c r="D4197" i="6"/>
  <c r="M4196" i="6"/>
  <c r="L4196" i="6"/>
  <c r="K4196" i="6"/>
  <c r="J4196" i="6"/>
  <c r="I4196" i="6"/>
  <c r="H4196" i="6"/>
  <c r="G4196" i="6"/>
  <c r="F4196" i="6"/>
  <c r="E4196" i="6"/>
  <c r="D4196" i="6"/>
  <c r="M4195" i="6"/>
  <c r="L4195" i="6"/>
  <c r="K4195" i="6"/>
  <c r="J4195" i="6"/>
  <c r="I4195" i="6"/>
  <c r="H4195" i="6"/>
  <c r="G4195" i="6"/>
  <c r="F4195" i="6"/>
  <c r="E4195" i="6"/>
  <c r="M4193" i="6"/>
  <c r="M4194" i="6" s="1"/>
  <c r="L4193" i="6"/>
  <c r="L4194" i="6" s="1"/>
  <c r="K4193" i="6"/>
  <c r="K4194" i="6" s="1"/>
  <c r="J4193" i="6"/>
  <c r="J4194" i="6" s="1"/>
  <c r="I4193" i="6"/>
  <c r="I4194" i="6" s="1"/>
  <c r="H4193" i="6"/>
  <c r="H4194" i="6" s="1"/>
  <c r="G4193" i="6"/>
  <c r="G4194" i="6" s="1"/>
  <c r="F4193" i="6"/>
  <c r="F4194" i="6" s="1"/>
  <c r="E4193" i="6"/>
  <c r="E4194" i="6" s="1"/>
  <c r="D4193" i="6"/>
  <c r="D4194" i="6" s="1"/>
  <c r="D4195" i="6" s="1"/>
  <c r="M4192" i="6"/>
  <c r="L4192" i="6"/>
  <c r="K4192" i="6"/>
  <c r="J4192" i="6"/>
  <c r="I4192" i="6"/>
  <c r="H4192" i="6"/>
  <c r="G4192" i="6"/>
  <c r="F4192" i="6"/>
  <c r="E4192" i="6"/>
  <c r="D4192" i="6"/>
  <c r="D4174" i="6"/>
  <c r="D4173" i="6"/>
  <c r="D4151" i="6"/>
  <c r="M4150" i="6"/>
  <c r="L4150" i="6"/>
  <c r="K4150" i="6"/>
  <c r="J4150" i="6"/>
  <c r="I4150" i="6"/>
  <c r="H4150" i="6"/>
  <c r="G4150" i="6"/>
  <c r="F4150" i="6"/>
  <c r="E4150" i="6"/>
  <c r="D4150" i="6"/>
  <c r="M4149" i="6"/>
  <c r="L4149" i="6"/>
  <c r="K4149" i="6"/>
  <c r="J4149" i="6"/>
  <c r="I4149" i="6"/>
  <c r="H4149" i="6"/>
  <c r="G4149" i="6"/>
  <c r="F4149" i="6"/>
  <c r="E4149" i="6"/>
  <c r="M4147" i="6"/>
  <c r="M4148" i="6" s="1"/>
  <c r="L4147" i="6"/>
  <c r="L4148" i="6" s="1"/>
  <c r="K4147" i="6"/>
  <c r="K4148" i="6" s="1"/>
  <c r="J4147" i="6"/>
  <c r="J4148" i="6" s="1"/>
  <c r="I4147" i="6"/>
  <c r="I4148" i="6" s="1"/>
  <c r="H4147" i="6"/>
  <c r="H4148" i="6" s="1"/>
  <c r="G4147" i="6"/>
  <c r="G4148" i="6" s="1"/>
  <c r="F4147" i="6"/>
  <c r="F4148" i="6" s="1"/>
  <c r="E4147" i="6"/>
  <c r="E4148" i="6" s="1"/>
  <c r="D4147" i="6"/>
  <c r="D4148" i="6" s="1"/>
  <c r="D4149" i="6" s="1"/>
  <c r="M4146" i="6"/>
  <c r="L4146" i="6"/>
  <c r="K4146" i="6"/>
  <c r="J4146" i="6"/>
  <c r="I4146" i="6"/>
  <c r="H4146" i="6"/>
  <c r="G4146" i="6"/>
  <c r="F4146" i="6"/>
  <c r="E4146" i="6"/>
  <c r="D4146" i="6"/>
  <c r="D4128" i="6"/>
  <c r="D4127" i="6"/>
  <c r="D4105" i="6"/>
  <c r="M4104" i="6"/>
  <c r="L4104" i="6"/>
  <c r="K4104" i="6"/>
  <c r="J4104" i="6"/>
  <c r="I4104" i="6"/>
  <c r="H4104" i="6"/>
  <c r="G4104" i="6"/>
  <c r="F4104" i="6"/>
  <c r="E4104" i="6"/>
  <c r="D4104" i="6"/>
  <c r="M4103" i="6"/>
  <c r="L4103" i="6"/>
  <c r="K4103" i="6"/>
  <c r="J4103" i="6"/>
  <c r="I4103" i="6"/>
  <c r="H4103" i="6"/>
  <c r="G4103" i="6"/>
  <c r="F4103" i="6"/>
  <c r="E4103" i="6"/>
  <c r="M4101" i="6"/>
  <c r="M4102" i="6" s="1"/>
  <c r="L4101" i="6"/>
  <c r="L4102" i="6" s="1"/>
  <c r="K4101" i="6"/>
  <c r="K4102" i="6" s="1"/>
  <c r="J4101" i="6"/>
  <c r="J4102" i="6" s="1"/>
  <c r="I4101" i="6"/>
  <c r="I4102" i="6" s="1"/>
  <c r="H4101" i="6"/>
  <c r="H4102" i="6" s="1"/>
  <c r="G4101" i="6"/>
  <c r="G4102" i="6" s="1"/>
  <c r="F4101" i="6"/>
  <c r="F4102" i="6" s="1"/>
  <c r="E4101" i="6"/>
  <c r="E4102" i="6" s="1"/>
  <c r="D4101" i="6"/>
  <c r="D4102" i="6" s="1"/>
  <c r="D4103" i="6" s="1"/>
  <c r="M4100" i="6"/>
  <c r="L4100" i="6"/>
  <c r="K4100" i="6"/>
  <c r="J4100" i="6"/>
  <c r="I4100" i="6"/>
  <c r="H4100" i="6"/>
  <c r="G4100" i="6"/>
  <c r="F4100" i="6"/>
  <c r="E4100" i="6"/>
  <c r="D4100" i="6"/>
  <c r="D4082" i="6"/>
  <c r="D4081" i="6"/>
  <c r="D4059" i="6"/>
  <c r="M4058" i="6"/>
  <c r="L4058" i="6"/>
  <c r="K4058" i="6"/>
  <c r="J4058" i="6"/>
  <c r="I4058" i="6"/>
  <c r="H4058" i="6"/>
  <c r="G4058" i="6"/>
  <c r="F4058" i="6"/>
  <c r="E4058" i="6"/>
  <c r="D4058" i="6"/>
  <c r="M4057" i="6"/>
  <c r="L4057" i="6"/>
  <c r="K4057" i="6"/>
  <c r="J4057" i="6"/>
  <c r="I4057" i="6"/>
  <c r="H4057" i="6"/>
  <c r="G4057" i="6"/>
  <c r="F4057" i="6"/>
  <c r="E4057" i="6"/>
  <c r="M4055" i="6"/>
  <c r="M4056" i="6" s="1"/>
  <c r="L4055" i="6"/>
  <c r="L4056" i="6" s="1"/>
  <c r="K4055" i="6"/>
  <c r="K4056" i="6" s="1"/>
  <c r="J4055" i="6"/>
  <c r="J4056" i="6" s="1"/>
  <c r="I4055" i="6"/>
  <c r="I4056" i="6" s="1"/>
  <c r="H4055" i="6"/>
  <c r="H4056" i="6" s="1"/>
  <c r="G4055" i="6"/>
  <c r="G4056" i="6" s="1"/>
  <c r="F4055" i="6"/>
  <c r="F4056" i="6" s="1"/>
  <c r="E4055" i="6"/>
  <c r="E4056" i="6" s="1"/>
  <c r="D4055" i="6"/>
  <c r="D4056" i="6" s="1"/>
  <c r="D4057" i="6" s="1"/>
  <c r="M4054" i="6"/>
  <c r="L4054" i="6"/>
  <c r="K4054" i="6"/>
  <c r="J4054" i="6"/>
  <c r="I4054" i="6"/>
  <c r="H4054" i="6"/>
  <c r="G4054" i="6"/>
  <c r="F4054" i="6"/>
  <c r="E4054" i="6"/>
  <c r="D4054" i="6"/>
  <c r="D4036" i="6"/>
  <c r="D4035" i="6"/>
  <c r="D4013" i="6"/>
  <c r="M4012" i="6"/>
  <c r="L4012" i="6"/>
  <c r="K4012" i="6"/>
  <c r="J4012" i="6"/>
  <c r="I4012" i="6"/>
  <c r="H4012" i="6"/>
  <c r="G4012" i="6"/>
  <c r="F4012" i="6"/>
  <c r="E4012" i="6"/>
  <c r="D4012" i="6"/>
  <c r="M4011" i="6"/>
  <c r="L4011" i="6"/>
  <c r="K4011" i="6"/>
  <c r="J4011" i="6"/>
  <c r="I4011" i="6"/>
  <c r="H4011" i="6"/>
  <c r="G4011" i="6"/>
  <c r="F4011" i="6"/>
  <c r="E4011" i="6"/>
  <c r="M4009" i="6"/>
  <c r="M4010" i="6" s="1"/>
  <c r="L4009" i="6"/>
  <c r="L4010" i="6" s="1"/>
  <c r="K4009" i="6"/>
  <c r="K4010" i="6" s="1"/>
  <c r="J4009" i="6"/>
  <c r="J4010" i="6" s="1"/>
  <c r="I4009" i="6"/>
  <c r="I4010" i="6" s="1"/>
  <c r="H4009" i="6"/>
  <c r="H4010" i="6" s="1"/>
  <c r="G4009" i="6"/>
  <c r="G4010" i="6" s="1"/>
  <c r="F4009" i="6"/>
  <c r="F4010" i="6" s="1"/>
  <c r="E4009" i="6"/>
  <c r="E4010" i="6" s="1"/>
  <c r="D4009" i="6"/>
  <c r="D4010" i="6" s="1"/>
  <c r="D4011" i="6" s="1"/>
  <c r="M4008" i="6"/>
  <c r="L4008" i="6"/>
  <c r="K4008" i="6"/>
  <c r="J4008" i="6"/>
  <c r="I4008" i="6"/>
  <c r="H4008" i="6"/>
  <c r="G4008" i="6"/>
  <c r="F4008" i="6"/>
  <c r="E4008" i="6"/>
  <c r="D4008" i="6"/>
  <c r="D3990" i="6"/>
  <c r="D3989" i="6"/>
  <c r="D3967" i="6"/>
  <c r="M3966" i="6"/>
  <c r="L3966" i="6"/>
  <c r="K3966" i="6"/>
  <c r="J3966" i="6"/>
  <c r="I3966" i="6"/>
  <c r="H3966" i="6"/>
  <c r="G3966" i="6"/>
  <c r="F3966" i="6"/>
  <c r="E3966" i="6"/>
  <c r="D3966" i="6"/>
  <c r="M3965" i="6"/>
  <c r="L3965" i="6"/>
  <c r="K3965" i="6"/>
  <c r="J3965" i="6"/>
  <c r="I3965" i="6"/>
  <c r="H3965" i="6"/>
  <c r="G3965" i="6"/>
  <c r="F3965" i="6"/>
  <c r="E3965" i="6"/>
  <c r="M3963" i="6"/>
  <c r="M3964" i="6" s="1"/>
  <c r="L3963" i="6"/>
  <c r="L3964" i="6" s="1"/>
  <c r="K3963" i="6"/>
  <c r="K3964" i="6" s="1"/>
  <c r="J3963" i="6"/>
  <c r="J3964" i="6" s="1"/>
  <c r="I3963" i="6"/>
  <c r="I3964" i="6" s="1"/>
  <c r="H3963" i="6"/>
  <c r="H3964" i="6" s="1"/>
  <c r="G3963" i="6"/>
  <c r="G3964" i="6" s="1"/>
  <c r="F3963" i="6"/>
  <c r="F3964" i="6" s="1"/>
  <c r="E3963" i="6"/>
  <c r="E3964" i="6" s="1"/>
  <c r="D3963" i="6"/>
  <c r="D3964" i="6" s="1"/>
  <c r="D3965" i="6" s="1"/>
  <c r="M3962" i="6"/>
  <c r="L3962" i="6"/>
  <c r="K3962" i="6"/>
  <c r="J3962" i="6"/>
  <c r="I3962" i="6"/>
  <c r="H3962" i="6"/>
  <c r="G3962" i="6"/>
  <c r="F3962" i="6"/>
  <c r="E3962" i="6"/>
  <c r="D3962" i="6"/>
  <c r="D3944" i="6"/>
  <c r="D3943" i="6"/>
  <c r="D3921" i="6"/>
  <c r="M3920" i="6"/>
  <c r="L3920" i="6"/>
  <c r="K3920" i="6"/>
  <c r="J3920" i="6"/>
  <c r="I3920" i="6"/>
  <c r="H3920" i="6"/>
  <c r="G3920" i="6"/>
  <c r="F3920" i="6"/>
  <c r="E3920" i="6"/>
  <c r="D3920" i="6"/>
  <c r="M3919" i="6"/>
  <c r="L3919" i="6"/>
  <c r="K3919" i="6"/>
  <c r="J3919" i="6"/>
  <c r="I3919" i="6"/>
  <c r="H3919" i="6"/>
  <c r="G3919" i="6"/>
  <c r="F3919" i="6"/>
  <c r="E3919" i="6"/>
  <c r="M3917" i="6"/>
  <c r="M3918" i="6" s="1"/>
  <c r="L3917" i="6"/>
  <c r="L3918" i="6" s="1"/>
  <c r="K3917" i="6"/>
  <c r="K3918" i="6" s="1"/>
  <c r="J3917" i="6"/>
  <c r="J3918" i="6" s="1"/>
  <c r="I3917" i="6"/>
  <c r="I3918" i="6" s="1"/>
  <c r="H3917" i="6"/>
  <c r="H3918" i="6" s="1"/>
  <c r="G3917" i="6"/>
  <c r="G3918" i="6" s="1"/>
  <c r="F3917" i="6"/>
  <c r="F3918" i="6" s="1"/>
  <c r="E3917" i="6"/>
  <c r="E3918" i="6" s="1"/>
  <c r="D3917" i="6"/>
  <c r="D3918" i="6" s="1"/>
  <c r="D3919" i="6" s="1"/>
  <c r="M3916" i="6"/>
  <c r="L3916" i="6"/>
  <c r="K3916" i="6"/>
  <c r="J3916" i="6"/>
  <c r="I3916" i="6"/>
  <c r="H3916" i="6"/>
  <c r="G3916" i="6"/>
  <c r="F3916" i="6"/>
  <c r="E3916" i="6"/>
  <c r="D3916" i="6"/>
  <c r="D3898" i="6"/>
  <c r="D3897" i="6"/>
  <c r="D3875" i="6"/>
  <c r="M3874" i="6"/>
  <c r="L3874" i="6"/>
  <c r="K3874" i="6"/>
  <c r="J3874" i="6"/>
  <c r="I3874" i="6"/>
  <c r="H3874" i="6"/>
  <c r="G3874" i="6"/>
  <c r="F3874" i="6"/>
  <c r="E3874" i="6"/>
  <c r="D3874" i="6"/>
  <c r="M3873" i="6"/>
  <c r="L3873" i="6"/>
  <c r="K3873" i="6"/>
  <c r="J3873" i="6"/>
  <c r="I3873" i="6"/>
  <c r="H3873" i="6"/>
  <c r="G3873" i="6"/>
  <c r="F3873" i="6"/>
  <c r="E3873" i="6"/>
  <c r="M3871" i="6"/>
  <c r="M3872" i="6" s="1"/>
  <c r="L3871" i="6"/>
  <c r="L3872" i="6" s="1"/>
  <c r="K3871" i="6"/>
  <c r="K3872" i="6" s="1"/>
  <c r="J3871" i="6"/>
  <c r="J3872" i="6" s="1"/>
  <c r="I3871" i="6"/>
  <c r="I3872" i="6" s="1"/>
  <c r="H3871" i="6"/>
  <c r="H3872" i="6" s="1"/>
  <c r="G3871" i="6"/>
  <c r="G3872" i="6" s="1"/>
  <c r="F3871" i="6"/>
  <c r="F3872" i="6" s="1"/>
  <c r="E3871" i="6"/>
  <c r="E3872" i="6" s="1"/>
  <c r="D3871" i="6"/>
  <c r="D3872" i="6" s="1"/>
  <c r="D3873" i="6" s="1"/>
  <c r="M3870" i="6"/>
  <c r="L3870" i="6"/>
  <c r="K3870" i="6"/>
  <c r="J3870" i="6"/>
  <c r="I3870" i="6"/>
  <c r="H3870" i="6"/>
  <c r="G3870" i="6"/>
  <c r="F3870" i="6"/>
  <c r="E3870" i="6"/>
  <c r="D3870" i="6"/>
  <c r="D3852" i="6"/>
  <c r="D3851" i="6"/>
  <c r="D3829" i="6"/>
  <c r="M3828" i="6"/>
  <c r="L3828" i="6"/>
  <c r="K3828" i="6"/>
  <c r="J3828" i="6"/>
  <c r="I3828" i="6"/>
  <c r="H3828" i="6"/>
  <c r="G3828" i="6"/>
  <c r="F3828" i="6"/>
  <c r="E3828" i="6"/>
  <c r="D3828" i="6"/>
  <c r="M3827" i="6"/>
  <c r="L3827" i="6"/>
  <c r="K3827" i="6"/>
  <c r="J3827" i="6"/>
  <c r="I3827" i="6"/>
  <c r="H3827" i="6"/>
  <c r="G3827" i="6"/>
  <c r="F3827" i="6"/>
  <c r="E3827" i="6"/>
  <c r="M3825" i="6"/>
  <c r="M3826" i="6" s="1"/>
  <c r="L3825" i="6"/>
  <c r="L3826" i="6" s="1"/>
  <c r="K3825" i="6"/>
  <c r="K3826" i="6" s="1"/>
  <c r="J3825" i="6"/>
  <c r="J3826" i="6" s="1"/>
  <c r="I3825" i="6"/>
  <c r="I3826" i="6" s="1"/>
  <c r="H3825" i="6"/>
  <c r="H3826" i="6" s="1"/>
  <c r="G3825" i="6"/>
  <c r="G3826" i="6" s="1"/>
  <c r="F3825" i="6"/>
  <c r="F3826" i="6" s="1"/>
  <c r="E3825" i="6"/>
  <c r="E3826" i="6" s="1"/>
  <c r="D3825" i="6"/>
  <c r="D3826" i="6" s="1"/>
  <c r="D3827" i="6" s="1"/>
  <c r="M3824" i="6"/>
  <c r="L3824" i="6"/>
  <c r="K3824" i="6"/>
  <c r="J3824" i="6"/>
  <c r="I3824" i="6"/>
  <c r="H3824" i="6"/>
  <c r="G3824" i="6"/>
  <c r="F3824" i="6"/>
  <c r="E3824" i="6"/>
  <c r="D3824" i="6"/>
  <c r="D3806" i="6"/>
  <c r="D3805" i="6"/>
  <c r="D3783" i="6"/>
  <c r="M3782" i="6"/>
  <c r="L3782" i="6"/>
  <c r="K3782" i="6"/>
  <c r="J3782" i="6"/>
  <c r="I3782" i="6"/>
  <c r="H3782" i="6"/>
  <c r="G3782" i="6"/>
  <c r="F3782" i="6"/>
  <c r="E3782" i="6"/>
  <c r="D3782" i="6"/>
  <c r="M3781" i="6"/>
  <c r="L3781" i="6"/>
  <c r="K3781" i="6"/>
  <c r="J3781" i="6"/>
  <c r="I3781" i="6"/>
  <c r="H3781" i="6"/>
  <c r="G3781" i="6"/>
  <c r="F3781" i="6"/>
  <c r="E3781" i="6"/>
  <c r="M3779" i="6"/>
  <c r="M3780" i="6" s="1"/>
  <c r="L3779" i="6"/>
  <c r="L3780" i="6" s="1"/>
  <c r="K3779" i="6"/>
  <c r="K3780" i="6" s="1"/>
  <c r="J3779" i="6"/>
  <c r="J3780" i="6" s="1"/>
  <c r="I3779" i="6"/>
  <c r="I3780" i="6" s="1"/>
  <c r="H3779" i="6"/>
  <c r="H3780" i="6" s="1"/>
  <c r="G3779" i="6"/>
  <c r="G3780" i="6" s="1"/>
  <c r="F3779" i="6"/>
  <c r="F3780" i="6" s="1"/>
  <c r="E3779" i="6"/>
  <c r="E3780" i="6" s="1"/>
  <c r="D3779" i="6"/>
  <c r="D3780" i="6" s="1"/>
  <c r="D3781" i="6" s="1"/>
  <c r="M3778" i="6"/>
  <c r="L3778" i="6"/>
  <c r="K3778" i="6"/>
  <c r="J3778" i="6"/>
  <c r="I3778" i="6"/>
  <c r="H3778" i="6"/>
  <c r="G3778" i="6"/>
  <c r="F3778" i="6"/>
  <c r="E3778" i="6"/>
  <c r="D3778" i="6"/>
  <c r="D3760" i="6"/>
  <c r="D3759" i="6"/>
  <c r="D3737" i="6"/>
  <c r="M3736" i="6"/>
  <c r="L3736" i="6"/>
  <c r="K3736" i="6"/>
  <c r="J3736" i="6"/>
  <c r="I3736" i="6"/>
  <c r="H3736" i="6"/>
  <c r="G3736" i="6"/>
  <c r="F3736" i="6"/>
  <c r="E3736" i="6"/>
  <c r="D3736" i="6"/>
  <c r="M3735" i="6"/>
  <c r="L3735" i="6"/>
  <c r="K3735" i="6"/>
  <c r="J3735" i="6"/>
  <c r="I3735" i="6"/>
  <c r="H3735" i="6"/>
  <c r="G3735" i="6"/>
  <c r="F3735" i="6"/>
  <c r="E3735" i="6"/>
  <c r="M3733" i="6"/>
  <c r="M3734" i="6" s="1"/>
  <c r="L3733" i="6"/>
  <c r="L3734" i="6" s="1"/>
  <c r="K3733" i="6"/>
  <c r="K3734" i="6" s="1"/>
  <c r="J3733" i="6"/>
  <c r="J3734" i="6" s="1"/>
  <c r="I3733" i="6"/>
  <c r="I3734" i="6" s="1"/>
  <c r="H3733" i="6"/>
  <c r="H3734" i="6" s="1"/>
  <c r="G3733" i="6"/>
  <c r="G3734" i="6" s="1"/>
  <c r="F3733" i="6"/>
  <c r="F3734" i="6" s="1"/>
  <c r="E3733" i="6"/>
  <c r="E3734" i="6" s="1"/>
  <c r="D3733" i="6"/>
  <c r="D3734" i="6" s="1"/>
  <c r="D3735" i="6" s="1"/>
  <c r="M3732" i="6"/>
  <c r="L3732" i="6"/>
  <c r="K3732" i="6"/>
  <c r="J3732" i="6"/>
  <c r="I3732" i="6"/>
  <c r="H3732" i="6"/>
  <c r="G3732" i="6"/>
  <c r="F3732" i="6"/>
  <c r="E3732" i="6"/>
  <c r="D3732" i="6"/>
  <c r="D3714" i="6"/>
  <c r="D3713" i="6"/>
  <c r="D3691" i="6"/>
  <c r="M3690" i="6"/>
  <c r="L3690" i="6"/>
  <c r="K3690" i="6"/>
  <c r="J3690" i="6"/>
  <c r="I3690" i="6"/>
  <c r="H3690" i="6"/>
  <c r="G3690" i="6"/>
  <c r="F3690" i="6"/>
  <c r="E3690" i="6"/>
  <c r="D3690" i="6"/>
  <c r="M3689" i="6"/>
  <c r="L3689" i="6"/>
  <c r="K3689" i="6"/>
  <c r="J3689" i="6"/>
  <c r="I3689" i="6"/>
  <c r="H3689" i="6"/>
  <c r="G3689" i="6"/>
  <c r="F3689" i="6"/>
  <c r="E3689" i="6"/>
  <c r="M3687" i="6"/>
  <c r="M3688" i="6" s="1"/>
  <c r="L3687" i="6"/>
  <c r="L3688" i="6" s="1"/>
  <c r="K3687" i="6"/>
  <c r="K3688" i="6" s="1"/>
  <c r="J3687" i="6"/>
  <c r="J3688" i="6" s="1"/>
  <c r="I3687" i="6"/>
  <c r="I3688" i="6" s="1"/>
  <c r="H3687" i="6"/>
  <c r="H3688" i="6" s="1"/>
  <c r="G3687" i="6"/>
  <c r="G3688" i="6" s="1"/>
  <c r="F3687" i="6"/>
  <c r="F3688" i="6" s="1"/>
  <c r="E3687" i="6"/>
  <c r="E3688" i="6" s="1"/>
  <c r="D3687" i="6"/>
  <c r="D3688" i="6" s="1"/>
  <c r="D3689" i="6" s="1"/>
  <c r="M3686" i="6"/>
  <c r="L3686" i="6"/>
  <c r="K3686" i="6"/>
  <c r="J3686" i="6"/>
  <c r="I3686" i="6"/>
  <c r="H3686" i="6"/>
  <c r="G3686" i="6"/>
  <c r="F3686" i="6"/>
  <c r="E3686" i="6"/>
  <c r="D3686" i="6"/>
  <c r="D3668" i="6"/>
  <c r="D3667" i="6"/>
  <c r="D3645" i="6"/>
  <c r="M3644" i="6"/>
  <c r="L3644" i="6"/>
  <c r="K3644" i="6"/>
  <c r="J3644" i="6"/>
  <c r="I3644" i="6"/>
  <c r="H3644" i="6"/>
  <c r="G3644" i="6"/>
  <c r="F3644" i="6"/>
  <c r="E3644" i="6"/>
  <c r="D3644" i="6"/>
  <c r="M3643" i="6"/>
  <c r="L3643" i="6"/>
  <c r="K3643" i="6"/>
  <c r="J3643" i="6"/>
  <c r="I3643" i="6"/>
  <c r="H3643" i="6"/>
  <c r="G3643" i="6"/>
  <c r="F3643" i="6"/>
  <c r="E3643" i="6"/>
  <c r="M3641" i="6"/>
  <c r="M3642" i="6" s="1"/>
  <c r="L3641" i="6"/>
  <c r="L3642" i="6" s="1"/>
  <c r="K3641" i="6"/>
  <c r="K3642" i="6" s="1"/>
  <c r="J3641" i="6"/>
  <c r="J3642" i="6" s="1"/>
  <c r="I3641" i="6"/>
  <c r="I3642" i="6" s="1"/>
  <c r="H3641" i="6"/>
  <c r="H3642" i="6" s="1"/>
  <c r="G3641" i="6"/>
  <c r="G3642" i="6" s="1"/>
  <c r="F3641" i="6"/>
  <c r="F3642" i="6" s="1"/>
  <c r="E3641" i="6"/>
  <c r="E3642" i="6" s="1"/>
  <c r="D3641" i="6"/>
  <c r="D3642" i="6" s="1"/>
  <c r="D3643" i="6" s="1"/>
  <c r="M3640" i="6"/>
  <c r="L3640" i="6"/>
  <c r="K3640" i="6"/>
  <c r="J3640" i="6"/>
  <c r="I3640" i="6"/>
  <c r="H3640" i="6"/>
  <c r="G3640" i="6"/>
  <c r="F3640" i="6"/>
  <c r="E3640" i="6"/>
  <c r="D3640" i="6"/>
  <c r="D3622" i="6"/>
  <c r="D3621" i="6"/>
  <c r="D3599" i="6"/>
  <c r="M3598" i="6"/>
  <c r="L3598" i="6"/>
  <c r="K3598" i="6"/>
  <c r="J3598" i="6"/>
  <c r="I3598" i="6"/>
  <c r="H3598" i="6"/>
  <c r="G3598" i="6"/>
  <c r="F3598" i="6"/>
  <c r="E3598" i="6"/>
  <c r="D3598" i="6"/>
  <c r="M3597" i="6"/>
  <c r="L3597" i="6"/>
  <c r="K3597" i="6"/>
  <c r="J3597" i="6"/>
  <c r="I3597" i="6"/>
  <c r="H3597" i="6"/>
  <c r="G3597" i="6"/>
  <c r="F3597" i="6"/>
  <c r="E3597" i="6"/>
  <c r="M3595" i="6"/>
  <c r="M3596" i="6" s="1"/>
  <c r="L3595" i="6"/>
  <c r="L3596" i="6" s="1"/>
  <c r="K3595" i="6"/>
  <c r="K3596" i="6" s="1"/>
  <c r="J3595" i="6"/>
  <c r="J3596" i="6" s="1"/>
  <c r="I3595" i="6"/>
  <c r="I3596" i="6" s="1"/>
  <c r="H3595" i="6"/>
  <c r="H3596" i="6" s="1"/>
  <c r="G3595" i="6"/>
  <c r="G3596" i="6" s="1"/>
  <c r="F3595" i="6"/>
  <c r="F3596" i="6" s="1"/>
  <c r="E3595" i="6"/>
  <c r="E3596" i="6" s="1"/>
  <c r="D3595" i="6"/>
  <c r="D3596" i="6" s="1"/>
  <c r="D3597" i="6" s="1"/>
  <c r="M3594" i="6"/>
  <c r="L3594" i="6"/>
  <c r="K3594" i="6"/>
  <c r="J3594" i="6"/>
  <c r="I3594" i="6"/>
  <c r="H3594" i="6"/>
  <c r="G3594" i="6"/>
  <c r="F3594" i="6"/>
  <c r="E3594" i="6"/>
  <c r="D3594" i="6"/>
  <c r="D3576" i="6"/>
  <c r="D3575" i="6"/>
  <c r="D3553" i="6"/>
  <c r="M3552" i="6"/>
  <c r="L3552" i="6"/>
  <c r="K3552" i="6"/>
  <c r="J3552" i="6"/>
  <c r="I3552" i="6"/>
  <c r="H3552" i="6"/>
  <c r="G3552" i="6"/>
  <c r="F3552" i="6"/>
  <c r="E3552" i="6"/>
  <c r="D3552" i="6"/>
  <c r="M3551" i="6"/>
  <c r="L3551" i="6"/>
  <c r="K3551" i="6"/>
  <c r="J3551" i="6"/>
  <c r="I3551" i="6"/>
  <c r="H3551" i="6"/>
  <c r="G3551" i="6"/>
  <c r="F3551" i="6"/>
  <c r="E3551" i="6"/>
  <c r="M3549" i="6"/>
  <c r="M3550" i="6" s="1"/>
  <c r="L3549" i="6"/>
  <c r="L3550" i="6" s="1"/>
  <c r="K3549" i="6"/>
  <c r="K3550" i="6" s="1"/>
  <c r="J3549" i="6"/>
  <c r="J3550" i="6" s="1"/>
  <c r="I3549" i="6"/>
  <c r="I3550" i="6" s="1"/>
  <c r="H3549" i="6"/>
  <c r="H3550" i="6" s="1"/>
  <c r="G3549" i="6"/>
  <c r="G3550" i="6" s="1"/>
  <c r="F3549" i="6"/>
  <c r="F3550" i="6" s="1"/>
  <c r="E3549" i="6"/>
  <c r="E3550" i="6" s="1"/>
  <c r="D3549" i="6"/>
  <c r="D3550" i="6" s="1"/>
  <c r="D3551" i="6" s="1"/>
  <c r="M3548" i="6"/>
  <c r="L3548" i="6"/>
  <c r="K3548" i="6"/>
  <c r="J3548" i="6"/>
  <c r="I3548" i="6"/>
  <c r="H3548" i="6"/>
  <c r="G3548" i="6"/>
  <c r="F3548" i="6"/>
  <c r="E3548" i="6"/>
  <c r="D3548" i="6"/>
  <c r="D3530" i="6"/>
  <c r="D3529" i="6"/>
  <c r="D3507" i="6"/>
  <c r="M3506" i="6"/>
  <c r="L3506" i="6"/>
  <c r="K3506" i="6"/>
  <c r="J3506" i="6"/>
  <c r="I3506" i="6"/>
  <c r="H3506" i="6"/>
  <c r="G3506" i="6"/>
  <c r="F3506" i="6"/>
  <c r="E3506" i="6"/>
  <c r="D3506" i="6"/>
  <c r="M3505" i="6"/>
  <c r="L3505" i="6"/>
  <c r="K3505" i="6"/>
  <c r="J3505" i="6"/>
  <c r="I3505" i="6"/>
  <c r="H3505" i="6"/>
  <c r="G3505" i="6"/>
  <c r="F3505" i="6"/>
  <c r="E3505" i="6"/>
  <c r="M3503" i="6"/>
  <c r="M3504" i="6" s="1"/>
  <c r="L3503" i="6"/>
  <c r="L3504" i="6" s="1"/>
  <c r="K3503" i="6"/>
  <c r="K3504" i="6" s="1"/>
  <c r="J3503" i="6"/>
  <c r="J3504" i="6" s="1"/>
  <c r="I3503" i="6"/>
  <c r="I3504" i="6" s="1"/>
  <c r="H3503" i="6"/>
  <c r="H3504" i="6" s="1"/>
  <c r="G3503" i="6"/>
  <c r="G3504" i="6" s="1"/>
  <c r="F3503" i="6"/>
  <c r="F3504" i="6" s="1"/>
  <c r="E3503" i="6"/>
  <c r="E3504" i="6" s="1"/>
  <c r="D3503" i="6"/>
  <c r="D3504" i="6" s="1"/>
  <c r="D3505" i="6" s="1"/>
  <c r="M3502" i="6"/>
  <c r="L3502" i="6"/>
  <c r="K3502" i="6"/>
  <c r="J3502" i="6"/>
  <c r="I3502" i="6"/>
  <c r="H3502" i="6"/>
  <c r="G3502" i="6"/>
  <c r="F3502" i="6"/>
  <c r="E3502" i="6"/>
  <c r="D3502" i="6"/>
  <c r="D3484" i="6"/>
  <c r="D3483" i="6"/>
  <c r="D3461" i="6"/>
  <c r="M3460" i="6"/>
  <c r="L3460" i="6"/>
  <c r="K3460" i="6"/>
  <c r="J3460" i="6"/>
  <c r="I3460" i="6"/>
  <c r="H3460" i="6"/>
  <c r="G3460" i="6"/>
  <c r="F3460" i="6"/>
  <c r="E3460" i="6"/>
  <c r="D3460" i="6"/>
  <c r="M3459" i="6"/>
  <c r="L3459" i="6"/>
  <c r="K3459" i="6"/>
  <c r="J3459" i="6"/>
  <c r="I3459" i="6"/>
  <c r="H3459" i="6"/>
  <c r="G3459" i="6"/>
  <c r="F3459" i="6"/>
  <c r="E3459" i="6"/>
  <c r="M3457" i="6"/>
  <c r="M3458" i="6" s="1"/>
  <c r="L3457" i="6"/>
  <c r="L3458" i="6" s="1"/>
  <c r="K3457" i="6"/>
  <c r="K3458" i="6" s="1"/>
  <c r="J3457" i="6"/>
  <c r="J3458" i="6" s="1"/>
  <c r="I3457" i="6"/>
  <c r="I3458" i="6" s="1"/>
  <c r="H3457" i="6"/>
  <c r="H3458" i="6" s="1"/>
  <c r="G3457" i="6"/>
  <c r="G3458" i="6" s="1"/>
  <c r="F3457" i="6"/>
  <c r="F3458" i="6" s="1"/>
  <c r="E3457" i="6"/>
  <c r="E3458" i="6" s="1"/>
  <c r="D3457" i="6"/>
  <c r="D3458" i="6" s="1"/>
  <c r="D3459" i="6" s="1"/>
  <c r="M3456" i="6"/>
  <c r="L3456" i="6"/>
  <c r="K3456" i="6"/>
  <c r="J3456" i="6"/>
  <c r="I3456" i="6"/>
  <c r="H3456" i="6"/>
  <c r="G3456" i="6"/>
  <c r="F3456" i="6"/>
  <c r="E3456" i="6"/>
  <c r="D3456" i="6"/>
  <c r="D3438" i="6"/>
  <c r="D3437" i="6"/>
  <c r="D3415" i="6"/>
  <c r="M3414" i="6"/>
  <c r="L3414" i="6"/>
  <c r="K3414" i="6"/>
  <c r="J3414" i="6"/>
  <c r="I3414" i="6"/>
  <c r="H3414" i="6"/>
  <c r="G3414" i="6"/>
  <c r="F3414" i="6"/>
  <c r="E3414" i="6"/>
  <c r="D3414" i="6"/>
  <c r="M3413" i="6"/>
  <c r="L3413" i="6"/>
  <c r="K3413" i="6"/>
  <c r="J3413" i="6"/>
  <c r="I3413" i="6"/>
  <c r="H3413" i="6"/>
  <c r="G3413" i="6"/>
  <c r="F3413" i="6"/>
  <c r="E3413" i="6"/>
  <c r="M3411" i="6"/>
  <c r="M3412" i="6" s="1"/>
  <c r="L3411" i="6"/>
  <c r="L3412" i="6" s="1"/>
  <c r="K3411" i="6"/>
  <c r="K3412" i="6" s="1"/>
  <c r="J3411" i="6"/>
  <c r="J3412" i="6" s="1"/>
  <c r="I3411" i="6"/>
  <c r="I3412" i="6" s="1"/>
  <c r="H3411" i="6"/>
  <c r="H3412" i="6" s="1"/>
  <c r="G3411" i="6"/>
  <c r="G3412" i="6" s="1"/>
  <c r="F3411" i="6"/>
  <c r="F3412" i="6" s="1"/>
  <c r="E3411" i="6"/>
  <c r="E3412" i="6" s="1"/>
  <c r="D3411" i="6"/>
  <c r="D3412" i="6" s="1"/>
  <c r="D3413" i="6" s="1"/>
  <c r="M3410" i="6"/>
  <c r="L3410" i="6"/>
  <c r="K3410" i="6"/>
  <c r="J3410" i="6"/>
  <c r="I3410" i="6"/>
  <c r="H3410" i="6"/>
  <c r="G3410" i="6"/>
  <c r="F3410" i="6"/>
  <c r="E3410" i="6"/>
  <c r="D3410" i="6"/>
  <c r="D3392" i="6"/>
  <c r="D3391" i="6"/>
  <c r="D3369" i="6"/>
  <c r="M3368" i="6"/>
  <c r="L3368" i="6"/>
  <c r="K3368" i="6"/>
  <c r="J3368" i="6"/>
  <c r="I3368" i="6"/>
  <c r="H3368" i="6"/>
  <c r="G3368" i="6"/>
  <c r="F3368" i="6"/>
  <c r="E3368" i="6"/>
  <c r="D3368" i="6"/>
  <c r="M3367" i="6"/>
  <c r="L3367" i="6"/>
  <c r="K3367" i="6"/>
  <c r="J3367" i="6"/>
  <c r="I3367" i="6"/>
  <c r="H3367" i="6"/>
  <c r="G3367" i="6"/>
  <c r="F3367" i="6"/>
  <c r="E3367" i="6"/>
  <c r="M3365" i="6"/>
  <c r="M3366" i="6" s="1"/>
  <c r="L3365" i="6"/>
  <c r="L3366" i="6" s="1"/>
  <c r="K3365" i="6"/>
  <c r="K3366" i="6" s="1"/>
  <c r="J3365" i="6"/>
  <c r="J3366" i="6" s="1"/>
  <c r="I3365" i="6"/>
  <c r="I3366" i="6" s="1"/>
  <c r="H3365" i="6"/>
  <c r="H3366" i="6" s="1"/>
  <c r="G3365" i="6"/>
  <c r="G3366" i="6" s="1"/>
  <c r="F3365" i="6"/>
  <c r="F3366" i="6" s="1"/>
  <c r="E3365" i="6"/>
  <c r="E3366" i="6" s="1"/>
  <c r="D3365" i="6"/>
  <c r="D3366" i="6" s="1"/>
  <c r="D3367" i="6" s="1"/>
  <c r="M3364" i="6"/>
  <c r="L3364" i="6"/>
  <c r="K3364" i="6"/>
  <c r="J3364" i="6"/>
  <c r="I3364" i="6"/>
  <c r="H3364" i="6"/>
  <c r="G3364" i="6"/>
  <c r="F3364" i="6"/>
  <c r="E3364" i="6"/>
  <c r="D3364" i="6"/>
  <c r="D3346" i="6"/>
  <c r="D3345" i="6"/>
  <c r="D3323" i="6"/>
  <c r="M3322" i="6"/>
  <c r="L3322" i="6"/>
  <c r="K3322" i="6"/>
  <c r="J3322" i="6"/>
  <c r="I3322" i="6"/>
  <c r="H3322" i="6"/>
  <c r="G3322" i="6"/>
  <c r="F3322" i="6"/>
  <c r="E3322" i="6"/>
  <c r="D3322" i="6"/>
  <c r="M3321" i="6"/>
  <c r="L3321" i="6"/>
  <c r="K3321" i="6"/>
  <c r="J3321" i="6"/>
  <c r="I3321" i="6"/>
  <c r="H3321" i="6"/>
  <c r="G3321" i="6"/>
  <c r="F3321" i="6"/>
  <c r="E3321" i="6"/>
  <c r="M3319" i="6"/>
  <c r="M3320" i="6" s="1"/>
  <c r="L3319" i="6"/>
  <c r="L3320" i="6" s="1"/>
  <c r="K3319" i="6"/>
  <c r="K3320" i="6" s="1"/>
  <c r="J3319" i="6"/>
  <c r="J3320" i="6" s="1"/>
  <c r="I3319" i="6"/>
  <c r="I3320" i="6" s="1"/>
  <c r="H3319" i="6"/>
  <c r="H3320" i="6" s="1"/>
  <c r="G3319" i="6"/>
  <c r="G3320" i="6" s="1"/>
  <c r="F3319" i="6"/>
  <c r="F3320" i="6" s="1"/>
  <c r="E3319" i="6"/>
  <c r="E3320" i="6" s="1"/>
  <c r="D3319" i="6"/>
  <c r="D3320" i="6" s="1"/>
  <c r="D3321" i="6" s="1"/>
  <c r="M3318" i="6"/>
  <c r="L3318" i="6"/>
  <c r="K3318" i="6"/>
  <c r="J3318" i="6"/>
  <c r="I3318" i="6"/>
  <c r="H3318" i="6"/>
  <c r="G3318" i="6"/>
  <c r="F3318" i="6"/>
  <c r="E3318" i="6"/>
  <c r="D3318" i="6"/>
  <c r="D3300" i="6"/>
  <c r="D3299" i="6"/>
  <c r="D3277" i="6"/>
  <c r="M3276" i="6"/>
  <c r="L3276" i="6"/>
  <c r="K3276" i="6"/>
  <c r="J3276" i="6"/>
  <c r="I3276" i="6"/>
  <c r="H3276" i="6"/>
  <c r="G3276" i="6"/>
  <c r="F3276" i="6"/>
  <c r="E3276" i="6"/>
  <c r="D3276" i="6"/>
  <c r="M3275" i="6"/>
  <c r="L3275" i="6"/>
  <c r="K3275" i="6"/>
  <c r="J3275" i="6"/>
  <c r="I3275" i="6"/>
  <c r="H3275" i="6"/>
  <c r="G3275" i="6"/>
  <c r="F3275" i="6"/>
  <c r="E3275" i="6"/>
  <c r="M3273" i="6"/>
  <c r="M3274" i="6" s="1"/>
  <c r="L3273" i="6"/>
  <c r="L3274" i="6" s="1"/>
  <c r="K3273" i="6"/>
  <c r="K3274" i="6" s="1"/>
  <c r="J3273" i="6"/>
  <c r="J3274" i="6" s="1"/>
  <c r="I3273" i="6"/>
  <c r="I3274" i="6" s="1"/>
  <c r="H3273" i="6"/>
  <c r="H3274" i="6" s="1"/>
  <c r="G3273" i="6"/>
  <c r="G3274" i="6" s="1"/>
  <c r="F3273" i="6"/>
  <c r="F3274" i="6" s="1"/>
  <c r="E3273" i="6"/>
  <c r="E3274" i="6" s="1"/>
  <c r="D3273" i="6"/>
  <c r="D3274" i="6" s="1"/>
  <c r="D3275" i="6" s="1"/>
  <c r="M3272" i="6"/>
  <c r="L3272" i="6"/>
  <c r="K3272" i="6"/>
  <c r="J3272" i="6"/>
  <c r="I3272" i="6"/>
  <c r="H3272" i="6"/>
  <c r="G3272" i="6"/>
  <c r="F3272" i="6"/>
  <c r="E3272" i="6"/>
  <c r="D3272" i="6"/>
  <c r="D3254" i="6"/>
  <c r="D3253" i="6"/>
  <c r="D3231" i="6"/>
  <c r="M3230" i="6"/>
  <c r="L3230" i="6"/>
  <c r="K3230" i="6"/>
  <c r="J3230" i="6"/>
  <c r="I3230" i="6"/>
  <c r="H3230" i="6"/>
  <c r="G3230" i="6"/>
  <c r="F3230" i="6"/>
  <c r="E3230" i="6"/>
  <c r="D3230" i="6"/>
  <c r="M3229" i="6"/>
  <c r="L3229" i="6"/>
  <c r="K3229" i="6"/>
  <c r="J3229" i="6"/>
  <c r="I3229" i="6"/>
  <c r="H3229" i="6"/>
  <c r="G3229" i="6"/>
  <c r="F3229" i="6"/>
  <c r="E3229" i="6"/>
  <c r="M3227" i="6"/>
  <c r="M3228" i="6" s="1"/>
  <c r="L3227" i="6"/>
  <c r="L3228" i="6" s="1"/>
  <c r="K3227" i="6"/>
  <c r="K3228" i="6" s="1"/>
  <c r="J3227" i="6"/>
  <c r="J3228" i="6" s="1"/>
  <c r="I3227" i="6"/>
  <c r="I3228" i="6" s="1"/>
  <c r="H3227" i="6"/>
  <c r="H3228" i="6" s="1"/>
  <c r="G3227" i="6"/>
  <c r="G3228" i="6" s="1"/>
  <c r="F3227" i="6"/>
  <c r="F3228" i="6" s="1"/>
  <c r="E3227" i="6"/>
  <c r="E3228" i="6" s="1"/>
  <c r="D3227" i="6"/>
  <c r="D3228" i="6" s="1"/>
  <c r="D3229" i="6" s="1"/>
  <c r="M3226" i="6"/>
  <c r="L3226" i="6"/>
  <c r="K3226" i="6"/>
  <c r="J3226" i="6"/>
  <c r="I3226" i="6"/>
  <c r="H3226" i="6"/>
  <c r="G3226" i="6"/>
  <c r="F3226" i="6"/>
  <c r="E3226" i="6"/>
  <c r="D3226" i="6"/>
  <c r="D3208" i="6"/>
  <c r="D3207" i="6"/>
  <c r="D3185" i="6"/>
  <c r="M3184" i="6"/>
  <c r="L3184" i="6"/>
  <c r="K3184" i="6"/>
  <c r="L3185" i="6" s="1"/>
  <c r="L3186" i="6" s="1"/>
  <c r="L3189" i="6" s="1"/>
  <c r="J3184" i="6"/>
  <c r="I3184" i="6"/>
  <c r="H3184" i="6"/>
  <c r="G3184" i="6"/>
  <c r="F3184" i="6"/>
  <c r="E3184" i="6"/>
  <c r="D3184" i="6"/>
  <c r="M3183" i="6"/>
  <c r="L3183" i="6"/>
  <c r="K3183" i="6"/>
  <c r="J3183" i="6"/>
  <c r="I3183" i="6"/>
  <c r="H3183" i="6"/>
  <c r="G3183" i="6"/>
  <c r="F3183" i="6"/>
  <c r="E3183" i="6"/>
  <c r="M3181" i="6"/>
  <c r="M3182" i="6" s="1"/>
  <c r="L3181" i="6"/>
  <c r="L3182" i="6" s="1"/>
  <c r="K3181" i="6"/>
  <c r="K3182" i="6" s="1"/>
  <c r="J3181" i="6"/>
  <c r="J3182" i="6" s="1"/>
  <c r="I3181" i="6"/>
  <c r="I3182" i="6" s="1"/>
  <c r="H3181" i="6"/>
  <c r="H3182" i="6" s="1"/>
  <c r="G3181" i="6"/>
  <c r="G3182" i="6" s="1"/>
  <c r="F3181" i="6"/>
  <c r="F3182" i="6" s="1"/>
  <c r="E3181" i="6"/>
  <c r="E3182" i="6" s="1"/>
  <c r="D3181" i="6"/>
  <c r="D3182" i="6" s="1"/>
  <c r="D3183" i="6" s="1"/>
  <c r="M3180" i="6"/>
  <c r="L3180" i="6"/>
  <c r="K3180" i="6"/>
  <c r="J3180" i="6"/>
  <c r="I3180" i="6"/>
  <c r="H3180" i="6"/>
  <c r="G3180" i="6"/>
  <c r="F3180" i="6"/>
  <c r="E3180" i="6"/>
  <c r="D3180" i="6"/>
  <c r="D3162" i="6"/>
  <c r="D3161" i="6"/>
  <c r="D3139" i="6"/>
  <c r="M3138" i="6"/>
  <c r="L3138" i="6"/>
  <c r="K3138" i="6"/>
  <c r="J3138" i="6"/>
  <c r="I3138" i="6"/>
  <c r="H3138" i="6"/>
  <c r="G3138" i="6"/>
  <c r="F3138" i="6"/>
  <c r="E3138" i="6"/>
  <c r="D3138" i="6"/>
  <c r="M3137" i="6"/>
  <c r="L3137" i="6"/>
  <c r="K3137" i="6"/>
  <c r="J3137" i="6"/>
  <c r="I3137" i="6"/>
  <c r="H3137" i="6"/>
  <c r="G3137" i="6"/>
  <c r="F3137" i="6"/>
  <c r="E3137" i="6"/>
  <c r="M3135" i="6"/>
  <c r="M3136" i="6" s="1"/>
  <c r="L3135" i="6"/>
  <c r="L3136" i="6" s="1"/>
  <c r="K3135" i="6"/>
  <c r="K3136" i="6" s="1"/>
  <c r="J3135" i="6"/>
  <c r="J3136" i="6" s="1"/>
  <c r="I3135" i="6"/>
  <c r="I3136" i="6" s="1"/>
  <c r="H3135" i="6"/>
  <c r="H3136" i="6" s="1"/>
  <c r="G3135" i="6"/>
  <c r="G3136" i="6" s="1"/>
  <c r="F3135" i="6"/>
  <c r="F3136" i="6" s="1"/>
  <c r="E3135" i="6"/>
  <c r="E3136" i="6" s="1"/>
  <c r="D3135" i="6"/>
  <c r="D3136" i="6" s="1"/>
  <c r="D3137" i="6" s="1"/>
  <c r="M3134" i="6"/>
  <c r="L3134" i="6"/>
  <c r="K3134" i="6"/>
  <c r="J3134" i="6"/>
  <c r="I3134" i="6"/>
  <c r="H3134" i="6"/>
  <c r="G3134" i="6"/>
  <c r="F3134" i="6"/>
  <c r="E3134" i="6"/>
  <c r="D3134" i="6"/>
  <c r="D3116" i="6"/>
  <c r="D3115" i="6"/>
  <c r="D3093" i="6"/>
  <c r="M3092" i="6"/>
  <c r="L3092" i="6"/>
  <c r="K3092" i="6"/>
  <c r="J3092" i="6"/>
  <c r="I3092" i="6"/>
  <c r="H3092" i="6"/>
  <c r="G3092" i="6"/>
  <c r="F3092" i="6"/>
  <c r="E3092" i="6"/>
  <c r="D3092" i="6"/>
  <c r="M3091" i="6"/>
  <c r="L3091" i="6"/>
  <c r="K3091" i="6"/>
  <c r="J3091" i="6"/>
  <c r="I3091" i="6"/>
  <c r="H3091" i="6"/>
  <c r="G3091" i="6"/>
  <c r="F3091" i="6"/>
  <c r="E3091" i="6"/>
  <c r="M3089" i="6"/>
  <c r="M3090" i="6" s="1"/>
  <c r="L3089" i="6"/>
  <c r="L3090" i="6" s="1"/>
  <c r="K3089" i="6"/>
  <c r="K3090" i="6" s="1"/>
  <c r="J3089" i="6"/>
  <c r="J3090" i="6" s="1"/>
  <c r="I3089" i="6"/>
  <c r="I3090" i="6" s="1"/>
  <c r="H3089" i="6"/>
  <c r="H3090" i="6" s="1"/>
  <c r="G3089" i="6"/>
  <c r="G3090" i="6" s="1"/>
  <c r="F3089" i="6"/>
  <c r="F3090" i="6" s="1"/>
  <c r="E3089" i="6"/>
  <c r="E3090" i="6" s="1"/>
  <c r="D3089" i="6"/>
  <c r="D3090" i="6" s="1"/>
  <c r="D3091" i="6" s="1"/>
  <c r="M3088" i="6"/>
  <c r="L3088" i="6"/>
  <c r="K3088" i="6"/>
  <c r="J3088" i="6"/>
  <c r="I3088" i="6"/>
  <c r="H3088" i="6"/>
  <c r="G3088" i="6"/>
  <c r="F3088" i="6"/>
  <c r="E3088" i="6"/>
  <c r="D3088" i="6"/>
  <c r="D3070" i="6"/>
  <c r="D3069" i="6"/>
  <c r="D3047" i="6"/>
  <c r="M3046" i="6"/>
  <c r="L3046" i="6"/>
  <c r="K3046" i="6"/>
  <c r="J3046" i="6"/>
  <c r="I3046" i="6"/>
  <c r="H3046" i="6"/>
  <c r="G3046" i="6"/>
  <c r="F3046" i="6"/>
  <c r="E3046" i="6"/>
  <c r="D3046" i="6"/>
  <c r="M3045" i="6"/>
  <c r="L3045" i="6"/>
  <c r="K3045" i="6"/>
  <c r="J3045" i="6"/>
  <c r="I3045" i="6"/>
  <c r="H3045" i="6"/>
  <c r="G3045" i="6"/>
  <c r="F3045" i="6"/>
  <c r="E3045" i="6"/>
  <c r="M3043" i="6"/>
  <c r="M3044" i="6" s="1"/>
  <c r="L3043" i="6"/>
  <c r="L3044" i="6" s="1"/>
  <c r="K3043" i="6"/>
  <c r="K3044" i="6" s="1"/>
  <c r="J3043" i="6"/>
  <c r="J3044" i="6" s="1"/>
  <c r="I3043" i="6"/>
  <c r="I3044" i="6" s="1"/>
  <c r="H3043" i="6"/>
  <c r="H3044" i="6" s="1"/>
  <c r="G3043" i="6"/>
  <c r="G3044" i="6" s="1"/>
  <c r="F3043" i="6"/>
  <c r="F3044" i="6" s="1"/>
  <c r="E3043" i="6"/>
  <c r="E3044" i="6" s="1"/>
  <c r="D3043" i="6"/>
  <c r="D3044" i="6" s="1"/>
  <c r="D3045" i="6" s="1"/>
  <c r="M3042" i="6"/>
  <c r="L3042" i="6"/>
  <c r="K3042" i="6"/>
  <c r="J3042" i="6"/>
  <c r="I3042" i="6"/>
  <c r="H3042" i="6"/>
  <c r="G3042" i="6"/>
  <c r="F3042" i="6"/>
  <c r="E3042" i="6"/>
  <c r="D3042" i="6"/>
  <c r="D3024" i="6"/>
  <c r="D3023" i="6"/>
  <c r="D3001" i="6"/>
  <c r="M3000" i="6"/>
  <c r="L3000" i="6"/>
  <c r="K3000" i="6"/>
  <c r="J3000" i="6"/>
  <c r="I3000" i="6"/>
  <c r="H3000" i="6"/>
  <c r="G3000" i="6"/>
  <c r="F3000" i="6"/>
  <c r="E3000" i="6"/>
  <c r="D3000" i="6"/>
  <c r="M2999" i="6"/>
  <c r="L2999" i="6"/>
  <c r="K2999" i="6"/>
  <c r="J2999" i="6"/>
  <c r="I2999" i="6"/>
  <c r="H2999" i="6"/>
  <c r="G2999" i="6"/>
  <c r="F2999" i="6"/>
  <c r="E2999" i="6"/>
  <c r="M2997" i="6"/>
  <c r="M2998" i="6" s="1"/>
  <c r="L2997" i="6"/>
  <c r="L2998" i="6" s="1"/>
  <c r="K2997" i="6"/>
  <c r="K2998" i="6" s="1"/>
  <c r="J2997" i="6"/>
  <c r="J2998" i="6" s="1"/>
  <c r="I2997" i="6"/>
  <c r="I2998" i="6" s="1"/>
  <c r="H2997" i="6"/>
  <c r="H2998" i="6" s="1"/>
  <c r="G2997" i="6"/>
  <c r="G2998" i="6" s="1"/>
  <c r="F2997" i="6"/>
  <c r="F2998" i="6" s="1"/>
  <c r="E2997" i="6"/>
  <c r="E2998" i="6" s="1"/>
  <c r="D2997" i="6"/>
  <c r="D2998" i="6" s="1"/>
  <c r="D2999" i="6" s="1"/>
  <c r="M2996" i="6"/>
  <c r="L2996" i="6"/>
  <c r="K2996" i="6"/>
  <c r="J2996" i="6"/>
  <c r="I2996" i="6"/>
  <c r="H2996" i="6"/>
  <c r="G2996" i="6"/>
  <c r="F2996" i="6"/>
  <c r="E2996" i="6"/>
  <c r="D2996" i="6"/>
  <c r="D2978" i="6"/>
  <c r="D2977" i="6"/>
  <c r="D2955" i="6"/>
  <c r="M2954" i="6"/>
  <c r="L2954" i="6"/>
  <c r="K2954" i="6"/>
  <c r="J2954" i="6"/>
  <c r="I2954" i="6"/>
  <c r="H2954" i="6"/>
  <c r="G2954" i="6"/>
  <c r="F2954" i="6"/>
  <c r="E2954" i="6"/>
  <c r="D2954" i="6"/>
  <c r="M2953" i="6"/>
  <c r="L2953" i="6"/>
  <c r="K2953" i="6"/>
  <c r="J2953" i="6"/>
  <c r="I2953" i="6"/>
  <c r="H2953" i="6"/>
  <c r="G2953" i="6"/>
  <c r="F2953" i="6"/>
  <c r="E2953" i="6"/>
  <c r="M2951" i="6"/>
  <c r="M2952" i="6" s="1"/>
  <c r="L2951" i="6"/>
  <c r="L2952" i="6" s="1"/>
  <c r="K2951" i="6"/>
  <c r="K2952" i="6" s="1"/>
  <c r="J2951" i="6"/>
  <c r="J2952" i="6" s="1"/>
  <c r="I2951" i="6"/>
  <c r="I2952" i="6" s="1"/>
  <c r="H2951" i="6"/>
  <c r="H2952" i="6" s="1"/>
  <c r="G2951" i="6"/>
  <c r="G2952" i="6" s="1"/>
  <c r="F2951" i="6"/>
  <c r="F2952" i="6" s="1"/>
  <c r="E2951" i="6"/>
  <c r="E2952" i="6" s="1"/>
  <c r="D2951" i="6"/>
  <c r="D2952" i="6" s="1"/>
  <c r="D2953" i="6" s="1"/>
  <c r="M2950" i="6"/>
  <c r="L2950" i="6"/>
  <c r="K2950" i="6"/>
  <c r="J2950" i="6"/>
  <c r="I2950" i="6"/>
  <c r="H2950" i="6"/>
  <c r="G2950" i="6"/>
  <c r="F2950" i="6"/>
  <c r="E2950" i="6"/>
  <c r="D2950" i="6"/>
  <c r="D2932" i="6"/>
  <c r="D2931" i="6"/>
  <c r="D2909" i="6"/>
  <c r="M2908" i="6"/>
  <c r="L2908" i="6"/>
  <c r="K2908" i="6"/>
  <c r="J2908" i="6"/>
  <c r="I2908" i="6"/>
  <c r="H2908" i="6"/>
  <c r="G2908" i="6"/>
  <c r="F2908" i="6"/>
  <c r="E2908" i="6"/>
  <c r="D2908" i="6"/>
  <c r="M2907" i="6"/>
  <c r="L2907" i="6"/>
  <c r="K2907" i="6"/>
  <c r="J2907" i="6"/>
  <c r="I2907" i="6"/>
  <c r="H2907" i="6"/>
  <c r="G2907" i="6"/>
  <c r="F2907" i="6"/>
  <c r="E2907" i="6"/>
  <c r="M2905" i="6"/>
  <c r="M2906" i="6" s="1"/>
  <c r="L2905" i="6"/>
  <c r="L2906" i="6" s="1"/>
  <c r="K2905" i="6"/>
  <c r="K2906" i="6" s="1"/>
  <c r="J2905" i="6"/>
  <c r="J2906" i="6" s="1"/>
  <c r="I2905" i="6"/>
  <c r="I2906" i="6" s="1"/>
  <c r="H2905" i="6"/>
  <c r="H2906" i="6" s="1"/>
  <c r="G2905" i="6"/>
  <c r="G2906" i="6" s="1"/>
  <c r="F2905" i="6"/>
  <c r="F2906" i="6" s="1"/>
  <c r="E2905" i="6"/>
  <c r="E2906" i="6" s="1"/>
  <c r="D2905" i="6"/>
  <c r="D2906" i="6" s="1"/>
  <c r="D2907" i="6" s="1"/>
  <c r="M2904" i="6"/>
  <c r="L2904" i="6"/>
  <c r="K2904" i="6"/>
  <c r="J2904" i="6"/>
  <c r="I2904" i="6"/>
  <c r="H2904" i="6"/>
  <c r="G2904" i="6"/>
  <c r="F2904" i="6"/>
  <c r="E2904" i="6"/>
  <c r="D2904" i="6"/>
  <c r="D2886" i="6"/>
  <c r="D2885" i="6"/>
  <c r="D2863" i="6"/>
  <c r="M2862" i="6"/>
  <c r="L2862" i="6"/>
  <c r="K2862" i="6"/>
  <c r="J2862" i="6"/>
  <c r="I2862" i="6"/>
  <c r="H2862" i="6"/>
  <c r="G2862" i="6"/>
  <c r="F2862" i="6"/>
  <c r="E2862" i="6"/>
  <c r="D2862" i="6"/>
  <c r="M2861" i="6"/>
  <c r="L2861" i="6"/>
  <c r="K2861" i="6"/>
  <c r="J2861" i="6"/>
  <c r="I2861" i="6"/>
  <c r="H2861" i="6"/>
  <c r="G2861" i="6"/>
  <c r="F2861" i="6"/>
  <c r="E2861" i="6"/>
  <c r="M2859" i="6"/>
  <c r="M2860" i="6" s="1"/>
  <c r="L2859" i="6"/>
  <c r="L2860" i="6" s="1"/>
  <c r="K2859" i="6"/>
  <c r="K2860" i="6" s="1"/>
  <c r="J2859" i="6"/>
  <c r="J2860" i="6" s="1"/>
  <c r="I2859" i="6"/>
  <c r="I2860" i="6" s="1"/>
  <c r="H2859" i="6"/>
  <c r="H2860" i="6" s="1"/>
  <c r="G2859" i="6"/>
  <c r="G2860" i="6" s="1"/>
  <c r="F2859" i="6"/>
  <c r="F2860" i="6" s="1"/>
  <c r="E2859" i="6"/>
  <c r="E2860" i="6" s="1"/>
  <c r="D2859" i="6"/>
  <c r="D2860" i="6" s="1"/>
  <c r="D2861" i="6" s="1"/>
  <c r="M2858" i="6"/>
  <c r="L2858" i="6"/>
  <c r="K2858" i="6"/>
  <c r="J2858" i="6"/>
  <c r="I2858" i="6"/>
  <c r="H2858" i="6"/>
  <c r="G2858" i="6"/>
  <c r="F2858" i="6"/>
  <c r="E2858" i="6"/>
  <c r="D2858" i="6"/>
  <c r="D2840" i="6"/>
  <c r="D2839" i="6"/>
  <c r="D2817" i="6"/>
  <c r="M2816" i="6"/>
  <c r="L2816" i="6"/>
  <c r="K2816" i="6"/>
  <c r="J2816" i="6"/>
  <c r="I2816" i="6"/>
  <c r="H2816" i="6"/>
  <c r="G2816" i="6"/>
  <c r="F2816" i="6"/>
  <c r="E2816" i="6"/>
  <c r="D2816" i="6"/>
  <c r="M2815" i="6"/>
  <c r="L2815" i="6"/>
  <c r="K2815" i="6"/>
  <c r="J2815" i="6"/>
  <c r="I2815" i="6"/>
  <c r="H2815" i="6"/>
  <c r="G2815" i="6"/>
  <c r="F2815" i="6"/>
  <c r="E2815" i="6"/>
  <c r="M2813" i="6"/>
  <c r="M2814" i="6" s="1"/>
  <c r="L2813" i="6"/>
  <c r="L2814" i="6" s="1"/>
  <c r="K2813" i="6"/>
  <c r="K2814" i="6" s="1"/>
  <c r="J2813" i="6"/>
  <c r="J2814" i="6" s="1"/>
  <c r="I2813" i="6"/>
  <c r="I2814" i="6" s="1"/>
  <c r="H2813" i="6"/>
  <c r="H2814" i="6" s="1"/>
  <c r="G2813" i="6"/>
  <c r="G2814" i="6" s="1"/>
  <c r="F2813" i="6"/>
  <c r="F2814" i="6" s="1"/>
  <c r="E2813" i="6"/>
  <c r="E2814" i="6" s="1"/>
  <c r="D2813" i="6"/>
  <c r="D2814" i="6" s="1"/>
  <c r="D2815" i="6" s="1"/>
  <c r="M2812" i="6"/>
  <c r="L2812" i="6"/>
  <c r="K2812" i="6"/>
  <c r="J2812" i="6"/>
  <c r="I2812" i="6"/>
  <c r="H2812" i="6"/>
  <c r="G2812" i="6"/>
  <c r="F2812" i="6"/>
  <c r="E2812" i="6"/>
  <c r="D2812" i="6"/>
  <c r="D2794" i="6"/>
  <c r="D2793" i="6"/>
  <c r="D2771" i="6"/>
  <c r="M2770" i="6"/>
  <c r="L2770" i="6"/>
  <c r="K2770" i="6"/>
  <c r="J2770" i="6"/>
  <c r="I2770" i="6"/>
  <c r="H2770" i="6"/>
  <c r="G2770" i="6"/>
  <c r="F2770" i="6"/>
  <c r="E2770" i="6"/>
  <c r="D2770" i="6"/>
  <c r="M2769" i="6"/>
  <c r="L2769" i="6"/>
  <c r="K2769" i="6"/>
  <c r="J2769" i="6"/>
  <c r="I2769" i="6"/>
  <c r="H2769" i="6"/>
  <c r="G2769" i="6"/>
  <c r="F2769" i="6"/>
  <c r="E2769" i="6"/>
  <c r="M2767" i="6"/>
  <c r="M2768" i="6" s="1"/>
  <c r="L2767" i="6"/>
  <c r="L2768" i="6" s="1"/>
  <c r="K2767" i="6"/>
  <c r="K2768" i="6" s="1"/>
  <c r="J2767" i="6"/>
  <c r="J2768" i="6" s="1"/>
  <c r="I2767" i="6"/>
  <c r="I2768" i="6" s="1"/>
  <c r="H2767" i="6"/>
  <c r="H2768" i="6" s="1"/>
  <c r="G2767" i="6"/>
  <c r="G2768" i="6" s="1"/>
  <c r="F2767" i="6"/>
  <c r="F2768" i="6" s="1"/>
  <c r="E2767" i="6"/>
  <c r="E2768" i="6" s="1"/>
  <c r="D2767" i="6"/>
  <c r="D2768" i="6" s="1"/>
  <c r="D2769" i="6" s="1"/>
  <c r="M2766" i="6"/>
  <c r="L2766" i="6"/>
  <c r="K2766" i="6"/>
  <c r="J2766" i="6"/>
  <c r="I2766" i="6"/>
  <c r="H2766" i="6"/>
  <c r="G2766" i="6"/>
  <c r="F2766" i="6"/>
  <c r="E2766" i="6"/>
  <c r="D2766" i="6"/>
  <c r="D2748" i="6"/>
  <c r="D2747" i="6"/>
  <c r="D2725" i="6"/>
  <c r="M2724" i="6"/>
  <c r="L2724" i="6"/>
  <c r="K2724" i="6"/>
  <c r="J2724" i="6"/>
  <c r="I2724" i="6"/>
  <c r="H2724" i="6"/>
  <c r="G2724" i="6"/>
  <c r="F2724" i="6"/>
  <c r="E2724" i="6"/>
  <c r="D2724" i="6"/>
  <c r="M2723" i="6"/>
  <c r="L2723" i="6"/>
  <c r="K2723" i="6"/>
  <c r="J2723" i="6"/>
  <c r="I2723" i="6"/>
  <c r="H2723" i="6"/>
  <c r="G2723" i="6"/>
  <c r="F2723" i="6"/>
  <c r="E2723" i="6"/>
  <c r="M2721" i="6"/>
  <c r="M2722" i="6" s="1"/>
  <c r="L2721" i="6"/>
  <c r="L2722" i="6" s="1"/>
  <c r="K2721" i="6"/>
  <c r="K2722" i="6" s="1"/>
  <c r="J2721" i="6"/>
  <c r="J2722" i="6" s="1"/>
  <c r="I2721" i="6"/>
  <c r="I2722" i="6" s="1"/>
  <c r="H2721" i="6"/>
  <c r="H2722" i="6" s="1"/>
  <c r="G2721" i="6"/>
  <c r="G2722" i="6" s="1"/>
  <c r="F2721" i="6"/>
  <c r="F2722" i="6" s="1"/>
  <c r="E2721" i="6"/>
  <c r="E2722" i="6" s="1"/>
  <c r="D2721" i="6"/>
  <c r="D2722" i="6" s="1"/>
  <c r="D2723" i="6" s="1"/>
  <c r="M2720" i="6"/>
  <c r="L2720" i="6"/>
  <c r="K2720" i="6"/>
  <c r="J2720" i="6"/>
  <c r="I2720" i="6"/>
  <c r="H2720" i="6"/>
  <c r="G2720" i="6"/>
  <c r="F2720" i="6"/>
  <c r="E2720" i="6"/>
  <c r="D2720" i="6"/>
  <c r="D2702" i="6"/>
  <c r="D2701" i="6"/>
  <c r="D2679" i="6"/>
  <c r="M2678" i="6"/>
  <c r="L2678" i="6"/>
  <c r="K2678" i="6"/>
  <c r="J2678" i="6"/>
  <c r="I2678" i="6"/>
  <c r="H2678" i="6"/>
  <c r="G2678" i="6"/>
  <c r="F2678" i="6"/>
  <c r="E2678" i="6"/>
  <c r="D2678" i="6"/>
  <c r="M2677" i="6"/>
  <c r="L2677" i="6"/>
  <c r="K2677" i="6"/>
  <c r="J2677" i="6"/>
  <c r="I2677" i="6"/>
  <c r="H2677" i="6"/>
  <c r="G2677" i="6"/>
  <c r="F2677" i="6"/>
  <c r="E2677" i="6"/>
  <c r="M2675" i="6"/>
  <c r="M2676" i="6" s="1"/>
  <c r="L2675" i="6"/>
  <c r="L2676" i="6" s="1"/>
  <c r="K2675" i="6"/>
  <c r="K2676" i="6" s="1"/>
  <c r="J2675" i="6"/>
  <c r="J2676" i="6" s="1"/>
  <c r="I2675" i="6"/>
  <c r="I2676" i="6" s="1"/>
  <c r="H2675" i="6"/>
  <c r="H2676" i="6" s="1"/>
  <c r="G2675" i="6"/>
  <c r="G2676" i="6" s="1"/>
  <c r="F2675" i="6"/>
  <c r="F2676" i="6" s="1"/>
  <c r="E2675" i="6"/>
  <c r="E2676" i="6" s="1"/>
  <c r="D2675" i="6"/>
  <c r="D2676" i="6" s="1"/>
  <c r="D2677" i="6" s="1"/>
  <c r="M2674" i="6"/>
  <c r="L2674" i="6"/>
  <c r="K2674" i="6"/>
  <c r="J2674" i="6"/>
  <c r="I2674" i="6"/>
  <c r="H2674" i="6"/>
  <c r="G2674" i="6"/>
  <c r="F2674" i="6"/>
  <c r="E2674" i="6"/>
  <c r="D2674" i="6"/>
  <c r="D2656" i="6"/>
  <c r="D2655" i="6"/>
  <c r="D2633" i="6"/>
  <c r="M2632" i="6"/>
  <c r="L2632" i="6"/>
  <c r="K2632" i="6"/>
  <c r="J2632" i="6"/>
  <c r="I2632" i="6"/>
  <c r="H2632" i="6"/>
  <c r="G2632" i="6"/>
  <c r="F2632" i="6"/>
  <c r="E2632" i="6"/>
  <c r="D2632" i="6"/>
  <c r="M2631" i="6"/>
  <c r="L2631" i="6"/>
  <c r="K2631" i="6"/>
  <c r="J2631" i="6"/>
  <c r="I2631" i="6"/>
  <c r="H2631" i="6"/>
  <c r="G2631" i="6"/>
  <c r="F2631" i="6"/>
  <c r="E2631" i="6"/>
  <c r="M2629" i="6"/>
  <c r="M2630" i="6" s="1"/>
  <c r="L2629" i="6"/>
  <c r="L2630" i="6" s="1"/>
  <c r="K2629" i="6"/>
  <c r="K2630" i="6" s="1"/>
  <c r="J2629" i="6"/>
  <c r="J2630" i="6" s="1"/>
  <c r="I2629" i="6"/>
  <c r="I2630" i="6" s="1"/>
  <c r="H2629" i="6"/>
  <c r="H2630" i="6" s="1"/>
  <c r="G2629" i="6"/>
  <c r="G2630" i="6" s="1"/>
  <c r="F2629" i="6"/>
  <c r="F2630" i="6" s="1"/>
  <c r="E2629" i="6"/>
  <c r="E2630" i="6" s="1"/>
  <c r="D2629" i="6"/>
  <c r="D2630" i="6" s="1"/>
  <c r="D2631" i="6" s="1"/>
  <c r="M2628" i="6"/>
  <c r="L2628" i="6"/>
  <c r="K2628" i="6"/>
  <c r="J2628" i="6"/>
  <c r="I2628" i="6"/>
  <c r="H2628" i="6"/>
  <c r="G2628" i="6"/>
  <c r="F2628" i="6"/>
  <c r="E2628" i="6"/>
  <c r="D2628" i="6"/>
  <c r="D2610" i="6"/>
  <c r="D2609" i="6"/>
  <c r="D2587" i="6"/>
  <c r="M2586" i="6"/>
  <c r="L2586" i="6"/>
  <c r="K2586" i="6"/>
  <c r="J2586" i="6"/>
  <c r="I2586" i="6"/>
  <c r="H2586" i="6"/>
  <c r="G2586" i="6"/>
  <c r="F2586" i="6"/>
  <c r="E2586" i="6"/>
  <c r="D2586" i="6"/>
  <c r="M2585" i="6"/>
  <c r="L2585" i="6"/>
  <c r="K2585" i="6"/>
  <c r="J2585" i="6"/>
  <c r="I2585" i="6"/>
  <c r="H2585" i="6"/>
  <c r="G2585" i="6"/>
  <c r="F2585" i="6"/>
  <c r="E2585" i="6"/>
  <c r="M2583" i="6"/>
  <c r="M2584" i="6" s="1"/>
  <c r="L2583" i="6"/>
  <c r="L2584" i="6" s="1"/>
  <c r="K2583" i="6"/>
  <c r="K2584" i="6" s="1"/>
  <c r="J2583" i="6"/>
  <c r="J2584" i="6" s="1"/>
  <c r="I2583" i="6"/>
  <c r="I2584" i="6" s="1"/>
  <c r="H2583" i="6"/>
  <c r="H2584" i="6" s="1"/>
  <c r="G2583" i="6"/>
  <c r="G2584" i="6" s="1"/>
  <c r="F2583" i="6"/>
  <c r="F2584" i="6" s="1"/>
  <c r="E2583" i="6"/>
  <c r="E2584" i="6" s="1"/>
  <c r="D2583" i="6"/>
  <c r="D2584" i="6" s="1"/>
  <c r="D2585" i="6" s="1"/>
  <c r="M2582" i="6"/>
  <c r="L2582" i="6"/>
  <c r="K2582" i="6"/>
  <c r="J2582" i="6"/>
  <c r="I2582" i="6"/>
  <c r="H2582" i="6"/>
  <c r="G2582" i="6"/>
  <c r="F2582" i="6"/>
  <c r="E2582" i="6"/>
  <c r="D2582" i="6"/>
  <c r="D2564" i="6"/>
  <c r="D2563" i="6"/>
  <c r="D2541" i="6"/>
  <c r="M2540" i="6"/>
  <c r="L2540" i="6"/>
  <c r="K2540" i="6"/>
  <c r="J2540" i="6"/>
  <c r="I2540" i="6"/>
  <c r="H2540" i="6"/>
  <c r="G2540" i="6"/>
  <c r="F2540" i="6"/>
  <c r="E2540" i="6"/>
  <c r="D2540" i="6"/>
  <c r="M2539" i="6"/>
  <c r="L2539" i="6"/>
  <c r="K2539" i="6"/>
  <c r="J2539" i="6"/>
  <c r="I2539" i="6"/>
  <c r="H2539" i="6"/>
  <c r="G2539" i="6"/>
  <c r="F2539" i="6"/>
  <c r="E2539" i="6"/>
  <c r="M2537" i="6"/>
  <c r="M2538" i="6" s="1"/>
  <c r="L2537" i="6"/>
  <c r="L2538" i="6" s="1"/>
  <c r="K2537" i="6"/>
  <c r="K2538" i="6" s="1"/>
  <c r="J2537" i="6"/>
  <c r="J2538" i="6" s="1"/>
  <c r="I2537" i="6"/>
  <c r="I2538" i="6" s="1"/>
  <c r="H2537" i="6"/>
  <c r="H2538" i="6" s="1"/>
  <c r="G2537" i="6"/>
  <c r="G2538" i="6" s="1"/>
  <c r="F2537" i="6"/>
  <c r="F2538" i="6" s="1"/>
  <c r="E2537" i="6"/>
  <c r="E2538" i="6" s="1"/>
  <c r="D2537" i="6"/>
  <c r="D2538" i="6" s="1"/>
  <c r="D2539" i="6" s="1"/>
  <c r="M2536" i="6"/>
  <c r="L2536" i="6"/>
  <c r="K2536" i="6"/>
  <c r="J2536" i="6"/>
  <c r="I2536" i="6"/>
  <c r="H2536" i="6"/>
  <c r="G2536" i="6"/>
  <c r="F2536" i="6"/>
  <c r="E2536" i="6"/>
  <c r="D2536" i="6"/>
  <c r="D2518" i="6"/>
  <c r="D2517" i="6"/>
  <c r="D2495" i="6"/>
  <c r="M2494" i="6"/>
  <c r="L2494" i="6"/>
  <c r="K2494" i="6"/>
  <c r="J2494" i="6"/>
  <c r="I2494" i="6"/>
  <c r="H2494" i="6"/>
  <c r="G2494" i="6"/>
  <c r="F2494" i="6"/>
  <c r="E2494" i="6"/>
  <c r="D2494" i="6"/>
  <c r="M2493" i="6"/>
  <c r="L2493" i="6"/>
  <c r="K2493" i="6"/>
  <c r="J2493" i="6"/>
  <c r="I2493" i="6"/>
  <c r="H2493" i="6"/>
  <c r="G2493" i="6"/>
  <c r="F2493" i="6"/>
  <c r="E2493" i="6"/>
  <c r="M2491" i="6"/>
  <c r="M2492" i="6" s="1"/>
  <c r="L2491" i="6"/>
  <c r="L2492" i="6" s="1"/>
  <c r="K2491" i="6"/>
  <c r="K2492" i="6" s="1"/>
  <c r="J2491" i="6"/>
  <c r="J2492" i="6" s="1"/>
  <c r="I2491" i="6"/>
  <c r="I2492" i="6" s="1"/>
  <c r="H2491" i="6"/>
  <c r="H2492" i="6" s="1"/>
  <c r="G2491" i="6"/>
  <c r="G2492" i="6" s="1"/>
  <c r="F2491" i="6"/>
  <c r="F2492" i="6" s="1"/>
  <c r="E2491" i="6"/>
  <c r="E2492" i="6" s="1"/>
  <c r="D2491" i="6"/>
  <c r="D2492" i="6" s="1"/>
  <c r="D2493" i="6" s="1"/>
  <c r="M2490" i="6"/>
  <c r="L2490" i="6"/>
  <c r="K2490" i="6"/>
  <c r="J2490" i="6"/>
  <c r="I2490" i="6"/>
  <c r="H2490" i="6"/>
  <c r="G2490" i="6"/>
  <c r="F2490" i="6"/>
  <c r="E2490" i="6"/>
  <c r="D2490" i="6"/>
  <c r="D2472" i="6"/>
  <c r="D2471" i="6"/>
  <c r="D2449" i="6"/>
  <c r="M2448" i="6"/>
  <c r="L2448" i="6"/>
  <c r="K2448" i="6"/>
  <c r="J2448" i="6"/>
  <c r="I2448" i="6"/>
  <c r="H2448" i="6"/>
  <c r="G2448" i="6"/>
  <c r="F2448" i="6"/>
  <c r="E2448" i="6"/>
  <c r="D2448" i="6"/>
  <c r="M2447" i="6"/>
  <c r="L2447" i="6"/>
  <c r="K2447" i="6"/>
  <c r="J2447" i="6"/>
  <c r="I2447" i="6"/>
  <c r="H2447" i="6"/>
  <c r="G2447" i="6"/>
  <c r="F2447" i="6"/>
  <c r="E2447" i="6"/>
  <c r="M2445" i="6"/>
  <c r="M2446" i="6" s="1"/>
  <c r="L2445" i="6"/>
  <c r="L2446" i="6" s="1"/>
  <c r="K2445" i="6"/>
  <c r="K2446" i="6" s="1"/>
  <c r="J2445" i="6"/>
  <c r="J2446" i="6" s="1"/>
  <c r="I2445" i="6"/>
  <c r="I2446" i="6" s="1"/>
  <c r="H2445" i="6"/>
  <c r="H2446" i="6" s="1"/>
  <c r="G2445" i="6"/>
  <c r="G2446" i="6" s="1"/>
  <c r="F2445" i="6"/>
  <c r="F2446" i="6" s="1"/>
  <c r="E2445" i="6"/>
  <c r="E2446" i="6" s="1"/>
  <c r="D2445" i="6"/>
  <c r="D2446" i="6" s="1"/>
  <c r="D2447" i="6" s="1"/>
  <c r="M2444" i="6"/>
  <c r="L2444" i="6"/>
  <c r="K2444" i="6"/>
  <c r="J2444" i="6"/>
  <c r="I2444" i="6"/>
  <c r="H2444" i="6"/>
  <c r="G2444" i="6"/>
  <c r="F2444" i="6"/>
  <c r="E2444" i="6"/>
  <c r="D2444" i="6"/>
  <c r="D2426" i="6"/>
  <c r="D2425" i="6"/>
  <c r="D2403" i="6"/>
  <c r="M2402" i="6"/>
  <c r="L2402" i="6"/>
  <c r="K2402" i="6"/>
  <c r="J2402" i="6"/>
  <c r="I2402" i="6"/>
  <c r="H2402" i="6"/>
  <c r="G2402" i="6"/>
  <c r="F2402" i="6"/>
  <c r="E2402" i="6"/>
  <c r="D2402" i="6"/>
  <c r="M2401" i="6"/>
  <c r="L2401" i="6"/>
  <c r="K2401" i="6"/>
  <c r="J2401" i="6"/>
  <c r="I2401" i="6"/>
  <c r="H2401" i="6"/>
  <c r="G2401" i="6"/>
  <c r="F2401" i="6"/>
  <c r="E2401" i="6"/>
  <c r="M2399" i="6"/>
  <c r="M2400" i="6" s="1"/>
  <c r="L2399" i="6"/>
  <c r="L2400" i="6" s="1"/>
  <c r="K2399" i="6"/>
  <c r="K2400" i="6" s="1"/>
  <c r="J2399" i="6"/>
  <c r="J2400" i="6" s="1"/>
  <c r="I2399" i="6"/>
  <c r="I2400" i="6" s="1"/>
  <c r="H2399" i="6"/>
  <c r="H2400" i="6" s="1"/>
  <c r="G2399" i="6"/>
  <c r="G2400" i="6" s="1"/>
  <c r="F2399" i="6"/>
  <c r="F2400" i="6" s="1"/>
  <c r="E2399" i="6"/>
  <c r="E2400" i="6" s="1"/>
  <c r="D2399" i="6"/>
  <c r="D2400" i="6" s="1"/>
  <c r="D2401" i="6" s="1"/>
  <c r="M2398" i="6"/>
  <c r="L2398" i="6"/>
  <c r="K2398" i="6"/>
  <c r="J2398" i="6"/>
  <c r="I2398" i="6"/>
  <c r="H2398" i="6"/>
  <c r="G2398" i="6"/>
  <c r="F2398" i="6"/>
  <c r="E2398" i="6"/>
  <c r="D2398" i="6"/>
  <c r="D2380" i="6"/>
  <c r="D2379" i="6"/>
  <c r="D2357" i="6"/>
  <c r="M2356" i="6"/>
  <c r="L2356" i="6"/>
  <c r="K2356" i="6"/>
  <c r="J2356" i="6"/>
  <c r="I2356" i="6"/>
  <c r="H2356" i="6"/>
  <c r="G2356" i="6"/>
  <c r="F2356" i="6"/>
  <c r="E2356" i="6"/>
  <c r="D2356" i="6"/>
  <c r="M2355" i="6"/>
  <c r="L2355" i="6"/>
  <c r="K2355" i="6"/>
  <c r="J2355" i="6"/>
  <c r="I2355" i="6"/>
  <c r="H2355" i="6"/>
  <c r="G2355" i="6"/>
  <c r="F2355" i="6"/>
  <c r="E2355" i="6"/>
  <c r="M2353" i="6"/>
  <c r="M2354" i="6" s="1"/>
  <c r="L2353" i="6"/>
  <c r="L2354" i="6" s="1"/>
  <c r="K2353" i="6"/>
  <c r="K2354" i="6" s="1"/>
  <c r="J2353" i="6"/>
  <c r="J2354" i="6" s="1"/>
  <c r="I2353" i="6"/>
  <c r="I2354" i="6" s="1"/>
  <c r="H2353" i="6"/>
  <c r="H2354" i="6" s="1"/>
  <c r="G2353" i="6"/>
  <c r="G2354" i="6" s="1"/>
  <c r="F2353" i="6"/>
  <c r="F2354" i="6" s="1"/>
  <c r="E2353" i="6"/>
  <c r="E2354" i="6" s="1"/>
  <c r="D2353" i="6"/>
  <c r="D2354" i="6" s="1"/>
  <c r="D2355" i="6" s="1"/>
  <c r="M2352" i="6"/>
  <c r="L2352" i="6"/>
  <c r="K2352" i="6"/>
  <c r="J2352" i="6"/>
  <c r="I2352" i="6"/>
  <c r="H2352" i="6"/>
  <c r="G2352" i="6"/>
  <c r="F2352" i="6"/>
  <c r="E2352" i="6"/>
  <c r="D2352" i="6"/>
  <c r="D2334" i="6"/>
  <c r="D2333" i="6"/>
  <c r="D2311" i="6"/>
  <c r="M2310" i="6"/>
  <c r="L2310" i="6"/>
  <c r="K2310" i="6"/>
  <c r="J2310" i="6"/>
  <c r="I2310" i="6"/>
  <c r="H2310" i="6"/>
  <c r="G2310" i="6"/>
  <c r="F2310" i="6"/>
  <c r="E2310" i="6"/>
  <c r="D2310" i="6"/>
  <c r="M2309" i="6"/>
  <c r="L2309" i="6"/>
  <c r="K2309" i="6"/>
  <c r="J2309" i="6"/>
  <c r="I2309" i="6"/>
  <c r="H2309" i="6"/>
  <c r="G2309" i="6"/>
  <c r="F2309" i="6"/>
  <c r="E2309" i="6"/>
  <c r="M2307" i="6"/>
  <c r="M2308" i="6" s="1"/>
  <c r="L2307" i="6"/>
  <c r="L2308" i="6" s="1"/>
  <c r="K2307" i="6"/>
  <c r="K2308" i="6" s="1"/>
  <c r="J2307" i="6"/>
  <c r="J2308" i="6" s="1"/>
  <c r="I2307" i="6"/>
  <c r="I2308" i="6" s="1"/>
  <c r="H2307" i="6"/>
  <c r="H2308" i="6" s="1"/>
  <c r="G2307" i="6"/>
  <c r="G2308" i="6" s="1"/>
  <c r="F2307" i="6"/>
  <c r="F2308" i="6" s="1"/>
  <c r="E2307" i="6"/>
  <c r="E2308" i="6" s="1"/>
  <c r="D2307" i="6"/>
  <c r="D2308" i="6" s="1"/>
  <c r="D2309" i="6" s="1"/>
  <c r="M2306" i="6"/>
  <c r="L2306" i="6"/>
  <c r="K2306" i="6"/>
  <c r="J2306" i="6"/>
  <c r="I2306" i="6"/>
  <c r="H2306" i="6"/>
  <c r="G2306" i="6"/>
  <c r="F2306" i="6"/>
  <c r="E2306" i="6"/>
  <c r="D2306" i="6"/>
  <c r="D2288" i="6"/>
  <c r="D2287" i="6"/>
  <c r="D2265" i="6"/>
  <c r="M2264" i="6"/>
  <c r="L2264" i="6"/>
  <c r="K2264" i="6"/>
  <c r="J2264" i="6"/>
  <c r="I2264" i="6"/>
  <c r="H2264" i="6"/>
  <c r="G2264" i="6"/>
  <c r="F2264" i="6"/>
  <c r="E2264" i="6"/>
  <c r="D2264" i="6"/>
  <c r="M2263" i="6"/>
  <c r="L2263" i="6"/>
  <c r="K2263" i="6"/>
  <c r="J2263" i="6"/>
  <c r="I2263" i="6"/>
  <c r="H2263" i="6"/>
  <c r="G2263" i="6"/>
  <c r="F2263" i="6"/>
  <c r="E2263" i="6"/>
  <c r="M2261" i="6"/>
  <c r="M2262" i="6" s="1"/>
  <c r="L2261" i="6"/>
  <c r="L2262" i="6" s="1"/>
  <c r="K2261" i="6"/>
  <c r="K2262" i="6" s="1"/>
  <c r="J2261" i="6"/>
  <c r="J2262" i="6" s="1"/>
  <c r="I2261" i="6"/>
  <c r="I2262" i="6" s="1"/>
  <c r="H2261" i="6"/>
  <c r="H2262" i="6" s="1"/>
  <c r="G2261" i="6"/>
  <c r="G2262" i="6" s="1"/>
  <c r="F2261" i="6"/>
  <c r="F2262" i="6" s="1"/>
  <c r="E2261" i="6"/>
  <c r="E2262" i="6" s="1"/>
  <c r="D2261" i="6"/>
  <c r="D2262" i="6" s="1"/>
  <c r="D2263" i="6" s="1"/>
  <c r="M2260" i="6"/>
  <c r="L2260" i="6"/>
  <c r="K2260" i="6"/>
  <c r="J2260" i="6"/>
  <c r="I2260" i="6"/>
  <c r="H2260" i="6"/>
  <c r="G2260" i="6"/>
  <c r="F2260" i="6"/>
  <c r="E2260" i="6"/>
  <c r="D2260" i="6"/>
  <c r="D2242" i="6"/>
  <c r="D2241" i="6"/>
  <c r="D2219" i="6"/>
  <c r="M2218" i="6"/>
  <c r="L2218" i="6"/>
  <c r="K2218" i="6"/>
  <c r="J2218" i="6"/>
  <c r="I2218" i="6"/>
  <c r="H2218" i="6"/>
  <c r="G2218" i="6"/>
  <c r="F2218" i="6"/>
  <c r="E2218" i="6"/>
  <c r="D2218" i="6"/>
  <c r="M2217" i="6"/>
  <c r="L2217" i="6"/>
  <c r="K2217" i="6"/>
  <c r="J2217" i="6"/>
  <c r="I2217" i="6"/>
  <c r="H2217" i="6"/>
  <c r="G2217" i="6"/>
  <c r="F2217" i="6"/>
  <c r="E2217" i="6"/>
  <c r="M2215" i="6"/>
  <c r="M2216" i="6" s="1"/>
  <c r="L2215" i="6"/>
  <c r="L2216" i="6" s="1"/>
  <c r="K2215" i="6"/>
  <c r="K2216" i="6" s="1"/>
  <c r="J2215" i="6"/>
  <c r="J2216" i="6" s="1"/>
  <c r="I2215" i="6"/>
  <c r="I2216" i="6" s="1"/>
  <c r="H2215" i="6"/>
  <c r="H2216" i="6" s="1"/>
  <c r="G2215" i="6"/>
  <c r="G2216" i="6" s="1"/>
  <c r="F2215" i="6"/>
  <c r="F2216" i="6" s="1"/>
  <c r="E2215" i="6"/>
  <c r="E2216" i="6" s="1"/>
  <c r="D2215" i="6"/>
  <c r="D2216" i="6" s="1"/>
  <c r="D2217" i="6" s="1"/>
  <c r="M2214" i="6"/>
  <c r="L2214" i="6"/>
  <c r="K2214" i="6"/>
  <c r="J2214" i="6"/>
  <c r="I2214" i="6"/>
  <c r="H2214" i="6"/>
  <c r="G2214" i="6"/>
  <c r="F2214" i="6"/>
  <c r="E2214" i="6"/>
  <c r="D2214" i="6"/>
  <c r="D2196" i="6"/>
  <c r="D2195" i="6"/>
  <c r="D2173" i="6"/>
  <c r="M2172" i="6"/>
  <c r="L2172" i="6"/>
  <c r="M2173" i="6" s="1"/>
  <c r="K2172" i="6"/>
  <c r="L2173" i="6" s="1"/>
  <c r="J2172" i="6"/>
  <c r="K2173" i="6" s="1"/>
  <c r="I2172" i="6"/>
  <c r="J2173" i="6" s="1"/>
  <c r="H2172" i="6"/>
  <c r="I2173" i="6" s="1"/>
  <c r="G2172" i="6"/>
  <c r="H2173" i="6" s="1"/>
  <c r="F2172" i="6"/>
  <c r="G2173" i="6" s="1"/>
  <c r="E2172" i="6"/>
  <c r="F2173" i="6" s="1"/>
  <c r="D2172" i="6"/>
  <c r="M2171" i="6"/>
  <c r="L2171" i="6"/>
  <c r="K2171" i="6"/>
  <c r="J2171" i="6"/>
  <c r="I2171" i="6"/>
  <c r="H2171" i="6"/>
  <c r="G2171" i="6"/>
  <c r="F2171" i="6"/>
  <c r="E2171" i="6"/>
  <c r="M2169" i="6"/>
  <c r="M2170" i="6" s="1"/>
  <c r="L2169" i="6"/>
  <c r="L2170" i="6" s="1"/>
  <c r="K2169" i="6"/>
  <c r="K2170" i="6" s="1"/>
  <c r="J2169" i="6"/>
  <c r="J2170" i="6" s="1"/>
  <c r="I2169" i="6"/>
  <c r="I2170" i="6" s="1"/>
  <c r="H2169" i="6"/>
  <c r="H2170" i="6" s="1"/>
  <c r="G2169" i="6"/>
  <c r="G2170" i="6" s="1"/>
  <c r="F2169" i="6"/>
  <c r="F2170" i="6" s="1"/>
  <c r="E2169" i="6"/>
  <c r="E2170" i="6" s="1"/>
  <c r="D2169" i="6"/>
  <c r="D2170" i="6" s="1"/>
  <c r="D2171" i="6" s="1"/>
  <c r="M2168" i="6"/>
  <c r="L2168" i="6"/>
  <c r="K2168" i="6"/>
  <c r="J2168" i="6"/>
  <c r="I2168" i="6"/>
  <c r="H2168" i="6"/>
  <c r="G2168" i="6"/>
  <c r="F2168" i="6"/>
  <c r="E2168" i="6"/>
  <c r="D2168" i="6"/>
  <c r="D2150" i="6"/>
  <c r="D2149" i="6"/>
  <c r="D2127" i="6"/>
  <c r="M2126" i="6"/>
  <c r="L2126" i="6"/>
  <c r="K2126" i="6"/>
  <c r="J2126" i="6"/>
  <c r="I2126" i="6"/>
  <c r="H2126" i="6"/>
  <c r="G2126" i="6"/>
  <c r="F2126" i="6"/>
  <c r="E2126" i="6"/>
  <c r="D2126" i="6"/>
  <c r="M2125" i="6"/>
  <c r="L2125" i="6"/>
  <c r="K2125" i="6"/>
  <c r="J2125" i="6"/>
  <c r="I2125" i="6"/>
  <c r="H2125" i="6"/>
  <c r="G2125" i="6"/>
  <c r="F2125" i="6"/>
  <c r="E2125" i="6"/>
  <c r="M2123" i="6"/>
  <c r="M2124" i="6" s="1"/>
  <c r="L2123" i="6"/>
  <c r="L2124" i="6" s="1"/>
  <c r="K2123" i="6"/>
  <c r="K2124" i="6" s="1"/>
  <c r="J2123" i="6"/>
  <c r="J2124" i="6" s="1"/>
  <c r="I2123" i="6"/>
  <c r="I2124" i="6" s="1"/>
  <c r="H2123" i="6"/>
  <c r="H2124" i="6" s="1"/>
  <c r="G2123" i="6"/>
  <c r="G2124" i="6" s="1"/>
  <c r="F2123" i="6"/>
  <c r="F2124" i="6" s="1"/>
  <c r="E2123" i="6"/>
  <c r="E2124" i="6" s="1"/>
  <c r="D2123" i="6"/>
  <c r="D2124" i="6" s="1"/>
  <c r="D2125" i="6" s="1"/>
  <c r="M2122" i="6"/>
  <c r="L2122" i="6"/>
  <c r="K2122" i="6"/>
  <c r="J2122" i="6"/>
  <c r="I2122" i="6"/>
  <c r="H2122" i="6"/>
  <c r="G2122" i="6"/>
  <c r="F2122" i="6"/>
  <c r="E2122" i="6"/>
  <c r="D2122" i="6"/>
  <c r="D2104" i="6"/>
  <c r="D2103" i="6"/>
  <c r="D2081" i="6"/>
  <c r="M2080" i="6"/>
  <c r="L2080" i="6"/>
  <c r="K2080" i="6"/>
  <c r="J2080" i="6"/>
  <c r="I2080" i="6"/>
  <c r="H2080" i="6"/>
  <c r="G2080" i="6"/>
  <c r="F2080" i="6"/>
  <c r="E2080" i="6"/>
  <c r="D2080" i="6"/>
  <c r="M2079" i="6"/>
  <c r="L2079" i="6"/>
  <c r="K2079" i="6"/>
  <c r="J2079" i="6"/>
  <c r="I2079" i="6"/>
  <c r="H2079" i="6"/>
  <c r="G2079" i="6"/>
  <c r="F2079" i="6"/>
  <c r="E2079" i="6"/>
  <c r="M2077" i="6"/>
  <c r="M2078" i="6" s="1"/>
  <c r="L2077" i="6"/>
  <c r="L2078" i="6" s="1"/>
  <c r="K2077" i="6"/>
  <c r="K2078" i="6" s="1"/>
  <c r="J2077" i="6"/>
  <c r="J2078" i="6" s="1"/>
  <c r="I2077" i="6"/>
  <c r="I2078" i="6" s="1"/>
  <c r="H2077" i="6"/>
  <c r="H2078" i="6" s="1"/>
  <c r="G2077" i="6"/>
  <c r="G2078" i="6" s="1"/>
  <c r="F2077" i="6"/>
  <c r="F2078" i="6" s="1"/>
  <c r="E2077" i="6"/>
  <c r="E2078" i="6" s="1"/>
  <c r="D2077" i="6"/>
  <c r="D2078" i="6" s="1"/>
  <c r="D2079" i="6" s="1"/>
  <c r="M2076" i="6"/>
  <c r="L2076" i="6"/>
  <c r="K2076" i="6"/>
  <c r="J2076" i="6"/>
  <c r="I2076" i="6"/>
  <c r="H2076" i="6"/>
  <c r="G2076" i="6"/>
  <c r="F2076" i="6"/>
  <c r="E2076" i="6"/>
  <c r="D2076" i="6"/>
  <c r="D2058" i="6"/>
  <c r="D2057" i="6"/>
  <c r="D2035" i="6"/>
  <c r="M2034" i="6"/>
  <c r="L2034" i="6"/>
  <c r="K2034" i="6"/>
  <c r="J2034" i="6"/>
  <c r="I2034" i="6"/>
  <c r="H2034" i="6"/>
  <c r="G2034" i="6"/>
  <c r="F2034" i="6"/>
  <c r="E2034" i="6"/>
  <c r="D2034" i="6"/>
  <c r="M2033" i="6"/>
  <c r="L2033" i="6"/>
  <c r="K2033" i="6"/>
  <c r="J2033" i="6"/>
  <c r="I2033" i="6"/>
  <c r="H2033" i="6"/>
  <c r="G2033" i="6"/>
  <c r="F2033" i="6"/>
  <c r="E2033" i="6"/>
  <c r="M2031" i="6"/>
  <c r="M2032" i="6" s="1"/>
  <c r="L2031" i="6"/>
  <c r="L2032" i="6" s="1"/>
  <c r="K2031" i="6"/>
  <c r="K2032" i="6" s="1"/>
  <c r="J2031" i="6"/>
  <c r="J2032" i="6" s="1"/>
  <c r="I2031" i="6"/>
  <c r="I2032" i="6" s="1"/>
  <c r="H2031" i="6"/>
  <c r="H2032" i="6" s="1"/>
  <c r="G2031" i="6"/>
  <c r="G2032" i="6" s="1"/>
  <c r="F2031" i="6"/>
  <c r="F2032" i="6" s="1"/>
  <c r="E2031" i="6"/>
  <c r="E2032" i="6" s="1"/>
  <c r="D2031" i="6"/>
  <c r="D2032" i="6" s="1"/>
  <c r="D2033" i="6" s="1"/>
  <c r="M2030" i="6"/>
  <c r="L2030" i="6"/>
  <c r="K2030" i="6"/>
  <c r="J2030" i="6"/>
  <c r="I2030" i="6"/>
  <c r="H2030" i="6"/>
  <c r="G2030" i="6"/>
  <c r="F2030" i="6"/>
  <c r="E2030" i="6"/>
  <c r="D2030" i="6"/>
  <c r="D2012" i="6"/>
  <c r="D2011" i="6"/>
  <c r="D1989" i="6"/>
  <c r="M1988" i="6"/>
  <c r="L1988" i="6"/>
  <c r="K1988" i="6"/>
  <c r="J1988" i="6"/>
  <c r="I1988" i="6"/>
  <c r="H1988" i="6"/>
  <c r="G1988" i="6"/>
  <c r="F1988" i="6"/>
  <c r="E1988" i="6"/>
  <c r="D1988" i="6"/>
  <c r="M1987" i="6"/>
  <c r="L1987" i="6"/>
  <c r="K1987" i="6"/>
  <c r="J1987" i="6"/>
  <c r="I1987" i="6"/>
  <c r="H1987" i="6"/>
  <c r="G1987" i="6"/>
  <c r="F1987" i="6"/>
  <c r="E1987" i="6"/>
  <c r="M1985" i="6"/>
  <c r="M1986" i="6" s="1"/>
  <c r="L1985" i="6"/>
  <c r="L1986" i="6" s="1"/>
  <c r="K1985" i="6"/>
  <c r="K1986" i="6" s="1"/>
  <c r="J1985" i="6"/>
  <c r="J1986" i="6" s="1"/>
  <c r="I1985" i="6"/>
  <c r="I1986" i="6" s="1"/>
  <c r="H1985" i="6"/>
  <c r="H1986" i="6" s="1"/>
  <c r="G1985" i="6"/>
  <c r="G1986" i="6" s="1"/>
  <c r="F1985" i="6"/>
  <c r="F1986" i="6" s="1"/>
  <c r="E1985" i="6"/>
  <c r="E1986" i="6" s="1"/>
  <c r="D1985" i="6"/>
  <c r="D1986" i="6" s="1"/>
  <c r="D1987" i="6" s="1"/>
  <c r="M1984" i="6"/>
  <c r="L1984" i="6"/>
  <c r="K1984" i="6"/>
  <c r="J1984" i="6"/>
  <c r="I1984" i="6"/>
  <c r="H1984" i="6"/>
  <c r="G1984" i="6"/>
  <c r="F1984" i="6"/>
  <c r="E1984" i="6"/>
  <c r="D1984" i="6"/>
  <c r="D1966" i="6"/>
  <c r="D1965" i="6"/>
  <c r="D1943" i="6"/>
  <c r="M1942" i="6"/>
  <c r="L1942" i="6"/>
  <c r="K1942" i="6"/>
  <c r="J1942" i="6"/>
  <c r="I1942" i="6"/>
  <c r="H1942" i="6"/>
  <c r="G1942" i="6"/>
  <c r="F1942" i="6"/>
  <c r="E1942" i="6"/>
  <c r="D1942" i="6"/>
  <c r="M1941" i="6"/>
  <c r="L1941" i="6"/>
  <c r="K1941" i="6"/>
  <c r="J1941" i="6"/>
  <c r="I1941" i="6"/>
  <c r="H1941" i="6"/>
  <c r="G1941" i="6"/>
  <c r="F1941" i="6"/>
  <c r="E1941" i="6"/>
  <c r="M1939" i="6"/>
  <c r="M1940" i="6" s="1"/>
  <c r="L1939" i="6"/>
  <c r="L1940" i="6" s="1"/>
  <c r="K1939" i="6"/>
  <c r="K1940" i="6" s="1"/>
  <c r="J1939" i="6"/>
  <c r="J1940" i="6" s="1"/>
  <c r="I1939" i="6"/>
  <c r="I1940" i="6" s="1"/>
  <c r="H1939" i="6"/>
  <c r="H1940" i="6" s="1"/>
  <c r="G1939" i="6"/>
  <c r="G1940" i="6" s="1"/>
  <c r="F1939" i="6"/>
  <c r="F1940" i="6" s="1"/>
  <c r="E1939" i="6"/>
  <c r="E1940" i="6" s="1"/>
  <c r="D1939" i="6"/>
  <c r="D1940" i="6" s="1"/>
  <c r="D1941" i="6" s="1"/>
  <c r="M1938" i="6"/>
  <c r="L1938" i="6"/>
  <c r="K1938" i="6"/>
  <c r="J1938" i="6"/>
  <c r="I1938" i="6"/>
  <c r="H1938" i="6"/>
  <c r="G1938" i="6"/>
  <c r="F1938" i="6"/>
  <c r="E1938" i="6"/>
  <c r="D1938" i="6"/>
  <c r="D1920" i="6"/>
  <c r="D1919" i="6"/>
  <c r="D1897" i="6"/>
  <c r="M1896" i="6"/>
  <c r="L1896" i="6"/>
  <c r="K1896" i="6"/>
  <c r="J1896" i="6"/>
  <c r="I1896" i="6"/>
  <c r="H1896" i="6"/>
  <c r="G1896" i="6"/>
  <c r="F1896" i="6"/>
  <c r="E1896" i="6"/>
  <c r="D1896" i="6"/>
  <c r="M1895" i="6"/>
  <c r="L1895" i="6"/>
  <c r="K1895" i="6"/>
  <c r="J1895" i="6"/>
  <c r="I1895" i="6"/>
  <c r="H1895" i="6"/>
  <c r="G1895" i="6"/>
  <c r="F1895" i="6"/>
  <c r="E1895" i="6"/>
  <c r="M1893" i="6"/>
  <c r="M1894" i="6" s="1"/>
  <c r="L1893" i="6"/>
  <c r="L1894" i="6" s="1"/>
  <c r="K1893" i="6"/>
  <c r="K1894" i="6" s="1"/>
  <c r="J1893" i="6"/>
  <c r="J1894" i="6" s="1"/>
  <c r="I1893" i="6"/>
  <c r="I1894" i="6" s="1"/>
  <c r="H1893" i="6"/>
  <c r="H1894" i="6" s="1"/>
  <c r="G1893" i="6"/>
  <c r="G1894" i="6" s="1"/>
  <c r="F1893" i="6"/>
  <c r="F1894" i="6" s="1"/>
  <c r="E1893" i="6"/>
  <c r="E1894" i="6" s="1"/>
  <c r="D1893" i="6"/>
  <c r="D1894" i="6" s="1"/>
  <c r="D1895" i="6" s="1"/>
  <c r="M1892" i="6"/>
  <c r="L1892" i="6"/>
  <c r="K1892" i="6"/>
  <c r="J1892" i="6"/>
  <c r="I1892" i="6"/>
  <c r="H1892" i="6"/>
  <c r="G1892" i="6"/>
  <c r="F1892" i="6"/>
  <c r="E1892" i="6"/>
  <c r="D1892" i="6"/>
  <c r="D1874" i="6"/>
  <c r="D1873" i="6"/>
  <c r="D1851" i="6"/>
  <c r="M1850" i="6"/>
  <c r="L1850" i="6"/>
  <c r="K1850" i="6"/>
  <c r="J1850" i="6"/>
  <c r="I1850" i="6"/>
  <c r="H1850" i="6"/>
  <c r="G1850" i="6"/>
  <c r="F1850" i="6"/>
  <c r="E1850" i="6"/>
  <c r="D1850" i="6"/>
  <c r="M1849" i="6"/>
  <c r="L1849" i="6"/>
  <c r="K1849" i="6"/>
  <c r="J1849" i="6"/>
  <c r="I1849" i="6"/>
  <c r="H1849" i="6"/>
  <c r="G1849" i="6"/>
  <c r="F1849" i="6"/>
  <c r="E1849" i="6"/>
  <c r="M1847" i="6"/>
  <c r="M1848" i="6" s="1"/>
  <c r="L1847" i="6"/>
  <c r="L1848" i="6" s="1"/>
  <c r="K1847" i="6"/>
  <c r="K1848" i="6" s="1"/>
  <c r="J1847" i="6"/>
  <c r="J1848" i="6" s="1"/>
  <c r="I1847" i="6"/>
  <c r="I1848" i="6" s="1"/>
  <c r="H1847" i="6"/>
  <c r="H1848" i="6" s="1"/>
  <c r="G1847" i="6"/>
  <c r="G1848" i="6" s="1"/>
  <c r="F1847" i="6"/>
  <c r="F1848" i="6" s="1"/>
  <c r="E1847" i="6"/>
  <c r="E1848" i="6" s="1"/>
  <c r="D1847" i="6"/>
  <c r="D1848" i="6" s="1"/>
  <c r="D1849" i="6" s="1"/>
  <c r="M1846" i="6"/>
  <c r="L1846" i="6"/>
  <c r="K1846" i="6"/>
  <c r="J1846" i="6"/>
  <c r="I1846" i="6"/>
  <c r="H1846" i="6"/>
  <c r="G1846" i="6"/>
  <c r="F1846" i="6"/>
  <c r="E1846" i="6"/>
  <c r="D1846" i="6"/>
  <c r="D1828" i="6"/>
  <c r="D1827" i="6"/>
  <c r="D1805" i="6"/>
  <c r="M1804" i="6"/>
  <c r="L1804" i="6"/>
  <c r="K1804" i="6"/>
  <c r="J1804" i="6"/>
  <c r="I1804" i="6"/>
  <c r="H1804" i="6"/>
  <c r="G1804" i="6"/>
  <c r="F1804" i="6"/>
  <c r="E1804" i="6"/>
  <c r="D1804" i="6"/>
  <c r="M1803" i="6"/>
  <c r="L1803" i="6"/>
  <c r="K1803" i="6"/>
  <c r="J1803" i="6"/>
  <c r="I1803" i="6"/>
  <c r="H1803" i="6"/>
  <c r="G1803" i="6"/>
  <c r="F1803" i="6"/>
  <c r="E1803" i="6"/>
  <c r="M1801" i="6"/>
  <c r="M1802" i="6" s="1"/>
  <c r="L1801" i="6"/>
  <c r="L1802" i="6" s="1"/>
  <c r="K1801" i="6"/>
  <c r="K1802" i="6" s="1"/>
  <c r="J1801" i="6"/>
  <c r="J1802" i="6" s="1"/>
  <c r="I1801" i="6"/>
  <c r="I1802" i="6" s="1"/>
  <c r="H1801" i="6"/>
  <c r="H1802" i="6" s="1"/>
  <c r="G1801" i="6"/>
  <c r="G1802" i="6" s="1"/>
  <c r="F1801" i="6"/>
  <c r="F1802" i="6" s="1"/>
  <c r="E1801" i="6"/>
  <c r="E1802" i="6" s="1"/>
  <c r="D1801" i="6"/>
  <c r="D1802" i="6" s="1"/>
  <c r="D1803" i="6" s="1"/>
  <c r="M1800" i="6"/>
  <c r="L1800" i="6"/>
  <c r="K1800" i="6"/>
  <c r="J1800" i="6"/>
  <c r="I1800" i="6"/>
  <c r="H1800" i="6"/>
  <c r="G1800" i="6"/>
  <c r="F1800" i="6"/>
  <c r="E1800" i="6"/>
  <c r="D1800" i="6"/>
  <c r="D1782" i="6"/>
  <c r="D1781" i="6"/>
  <c r="D1759" i="6"/>
  <c r="M1758" i="6"/>
  <c r="L1758" i="6"/>
  <c r="K1758" i="6"/>
  <c r="J1758" i="6"/>
  <c r="I1758" i="6"/>
  <c r="H1758" i="6"/>
  <c r="G1758" i="6"/>
  <c r="F1758" i="6"/>
  <c r="E1758" i="6"/>
  <c r="D1758" i="6"/>
  <c r="M1757" i="6"/>
  <c r="L1757" i="6"/>
  <c r="K1757" i="6"/>
  <c r="J1757" i="6"/>
  <c r="I1757" i="6"/>
  <c r="H1757" i="6"/>
  <c r="G1757" i="6"/>
  <c r="F1757" i="6"/>
  <c r="E1757" i="6"/>
  <c r="M1755" i="6"/>
  <c r="M1756" i="6" s="1"/>
  <c r="L1755" i="6"/>
  <c r="L1756" i="6" s="1"/>
  <c r="K1755" i="6"/>
  <c r="K1756" i="6" s="1"/>
  <c r="J1755" i="6"/>
  <c r="J1756" i="6" s="1"/>
  <c r="I1755" i="6"/>
  <c r="I1756" i="6" s="1"/>
  <c r="H1755" i="6"/>
  <c r="H1756" i="6" s="1"/>
  <c r="G1755" i="6"/>
  <c r="G1756" i="6" s="1"/>
  <c r="F1755" i="6"/>
  <c r="F1756" i="6" s="1"/>
  <c r="E1755" i="6"/>
  <c r="E1756" i="6" s="1"/>
  <c r="D1755" i="6"/>
  <c r="D1756" i="6" s="1"/>
  <c r="D1757" i="6" s="1"/>
  <c r="M1754" i="6"/>
  <c r="L1754" i="6"/>
  <c r="K1754" i="6"/>
  <c r="J1754" i="6"/>
  <c r="I1754" i="6"/>
  <c r="H1754" i="6"/>
  <c r="G1754" i="6"/>
  <c r="F1754" i="6"/>
  <c r="E1754" i="6"/>
  <c r="D1754" i="6"/>
  <c r="D1736" i="6"/>
  <c r="D1735" i="6"/>
  <c r="D1713" i="6"/>
  <c r="M1712" i="6"/>
  <c r="L1712" i="6"/>
  <c r="K1712" i="6"/>
  <c r="J1712" i="6"/>
  <c r="I1712" i="6"/>
  <c r="H1712" i="6"/>
  <c r="G1712" i="6"/>
  <c r="F1712" i="6"/>
  <c r="E1712" i="6"/>
  <c r="D1712" i="6"/>
  <c r="M1711" i="6"/>
  <c r="L1711" i="6"/>
  <c r="K1711" i="6"/>
  <c r="J1711" i="6"/>
  <c r="I1711" i="6"/>
  <c r="H1711" i="6"/>
  <c r="G1711" i="6"/>
  <c r="F1711" i="6"/>
  <c r="E1711" i="6"/>
  <c r="M1709" i="6"/>
  <c r="M1710" i="6" s="1"/>
  <c r="L1709" i="6"/>
  <c r="L1710" i="6" s="1"/>
  <c r="K1709" i="6"/>
  <c r="K1710" i="6" s="1"/>
  <c r="J1709" i="6"/>
  <c r="J1710" i="6" s="1"/>
  <c r="I1709" i="6"/>
  <c r="I1710" i="6" s="1"/>
  <c r="H1709" i="6"/>
  <c r="H1710" i="6" s="1"/>
  <c r="G1709" i="6"/>
  <c r="G1710" i="6" s="1"/>
  <c r="F1709" i="6"/>
  <c r="F1710" i="6" s="1"/>
  <c r="E1709" i="6"/>
  <c r="E1710" i="6" s="1"/>
  <c r="D1709" i="6"/>
  <c r="D1710" i="6" s="1"/>
  <c r="D1711" i="6" s="1"/>
  <c r="M1708" i="6"/>
  <c r="L1708" i="6"/>
  <c r="K1708" i="6"/>
  <c r="J1708" i="6"/>
  <c r="I1708" i="6"/>
  <c r="H1708" i="6"/>
  <c r="G1708" i="6"/>
  <c r="F1708" i="6"/>
  <c r="E1708" i="6"/>
  <c r="D1708" i="6"/>
  <c r="D1690" i="6"/>
  <c r="D1689" i="6"/>
  <c r="D1667" i="6"/>
  <c r="M1666" i="6"/>
  <c r="L1666" i="6"/>
  <c r="K1666" i="6"/>
  <c r="J1666" i="6"/>
  <c r="I1666" i="6"/>
  <c r="H1666" i="6"/>
  <c r="G1666" i="6"/>
  <c r="F1666" i="6"/>
  <c r="E1666" i="6"/>
  <c r="D1666" i="6"/>
  <c r="M1665" i="6"/>
  <c r="L1665" i="6"/>
  <c r="K1665" i="6"/>
  <c r="J1665" i="6"/>
  <c r="I1665" i="6"/>
  <c r="H1665" i="6"/>
  <c r="G1665" i="6"/>
  <c r="F1665" i="6"/>
  <c r="E1665" i="6"/>
  <c r="M1663" i="6"/>
  <c r="M1664" i="6" s="1"/>
  <c r="L1663" i="6"/>
  <c r="L1664" i="6" s="1"/>
  <c r="K1663" i="6"/>
  <c r="K1664" i="6" s="1"/>
  <c r="J1663" i="6"/>
  <c r="J1664" i="6" s="1"/>
  <c r="I1663" i="6"/>
  <c r="I1664" i="6" s="1"/>
  <c r="H1663" i="6"/>
  <c r="H1664" i="6" s="1"/>
  <c r="G1663" i="6"/>
  <c r="G1664" i="6" s="1"/>
  <c r="F1663" i="6"/>
  <c r="F1664" i="6" s="1"/>
  <c r="E1663" i="6"/>
  <c r="E1664" i="6" s="1"/>
  <c r="D1663" i="6"/>
  <c r="D1664" i="6" s="1"/>
  <c r="D1665" i="6" s="1"/>
  <c r="M1662" i="6"/>
  <c r="L1662" i="6"/>
  <c r="K1662" i="6"/>
  <c r="J1662" i="6"/>
  <c r="I1662" i="6"/>
  <c r="H1662" i="6"/>
  <c r="G1662" i="6"/>
  <c r="F1662" i="6"/>
  <c r="E1662" i="6"/>
  <c r="D1662" i="6"/>
  <c r="D1644" i="6"/>
  <c r="D1643" i="6"/>
  <c r="D1621" i="6"/>
  <c r="M1620" i="6"/>
  <c r="L1620" i="6"/>
  <c r="K1620" i="6"/>
  <c r="J1620" i="6"/>
  <c r="I1620" i="6"/>
  <c r="H1620" i="6"/>
  <c r="G1620" i="6"/>
  <c r="F1620" i="6"/>
  <c r="E1620" i="6"/>
  <c r="D1620" i="6"/>
  <c r="M1619" i="6"/>
  <c r="L1619" i="6"/>
  <c r="K1619" i="6"/>
  <c r="J1619" i="6"/>
  <c r="I1619" i="6"/>
  <c r="H1619" i="6"/>
  <c r="G1619" i="6"/>
  <c r="F1619" i="6"/>
  <c r="E1619" i="6"/>
  <c r="M1617" i="6"/>
  <c r="M1618" i="6" s="1"/>
  <c r="L1617" i="6"/>
  <c r="L1618" i="6" s="1"/>
  <c r="K1617" i="6"/>
  <c r="K1618" i="6" s="1"/>
  <c r="J1617" i="6"/>
  <c r="J1618" i="6" s="1"/>
  <c r="I1617" i="6"/>
  <c r="I1618" i="6" s="1"/>
  <c r="H1617" i="6"/>
  <c r="H1618" i="6" s="1"/>
  <c r="G1617" i="6"/>
  <c r="G1618" i="6" s="1"/>
  <c r="F1617" i="6"/>
  <c r="F1618" i="6" s="1"/>
  <c r="E1617" i="6"/>
  <c r="E1618" i="6" s="1"/>
  <c r="D1617" i="6"/>
  <c r="D1618" i="6" s="1"/>
  <c r="D1619" i="6" s="1"/>
  <c r="M1616" i="6"/>
  <c r="L1616" i="6"/>
  <c r="K1616" i="6"/>
  <c r="J1616" i="6"/>
  <c r="I1616" i="6"/>
  <c r="H1616" i="6"/>
  <c r="G1616" i="6"/>
  <c r="F1616" i="6"/>
  <c r="E1616" i="6"/>
  <c r="D1616" i="6"/>
  <c r="D1598" i="6"/>
  <c r="D1597" i="6"/>
  <c r="D1575" i="6"/>
  <c r="M1574" i="6"/>
  <c r="L1574" i="6"/>
  <c r="K1574" i="6"/>
  <c r="J1574" i="6"/>
  <c r="I1574" i="6"/>
  <c r="H1574" i="6"/>
  <c r="G1574" i="6"/>
  <c r="F1574" i="6"/>
  <c r="E1574" i="6"/>
  <c r="D1574" i="6"/>
  <c r="M1573" i="6"/>
  <c r="L1573" i="6"/>
  <c r="K1573" i="6"/>
  <c r="J1573" i="6"/>
  <c r="I1573" i="6"/>
  <c r="H1573" i="6"/>
  <c r="G1573" i="6"/>
  <c r="F1573" i="6"/>
  <c r="E1573" i="6"/>
  <c r="M1571" i="6"/>
  <c r="M1572" i="6" s="1"/>
  <c r="L1571" i="6"/>
  <c r="L1572" i="6" s="1"/>
  <c r="K1571" i="6"/>
  <c r="K1572" i="6" s="1"/>
  <c r="J1571" i="6"/>
  <c r="J1572" i="6" s="1"/>
  <c r="I1571" i="6"/>
  <c r="I1572" i="6" s="1"/>
  <c r="H1571" i="6"/>
  <c r="H1572" i="6" s="1"/>
  <c r="G1571" i="6"/>
  <c r="G1572" i="6" s="1"/>
  <c r="F1571" i="6"/>
  <c r="F1572" i="6" s="1"/>
  <c r="E1571" i="6"/>
  <c r="E1572" i="6" s="1"/>
  <c r="D1571" i="6"/>
  <c r="D1572" i="6" s="1"/>
  <c r="D1573" i="6" s="1"/>
  <c r="M1570" i="6"/>
  <c r="L1570" i="6"/>
  <c r="K1570" i="6"/>
  <c r="J1570" i="6"/>
  <c r="I1570" i="6"/>
  <c r="H1570" i="6"/>
  <c r="G1570" i="6"/>
  <c r="F1570" i="6"/>
  <c r="E1570" i="6"/>
  <c r="D1570" i="6"/>
  <c r="D1552" i="6"/>
  <c r="D1551" i="6"/>
  <c r="D1529" i="6"/>
  <c r="M1528" i="6"/>
  <c r="L1528" i="6"/>
  <c r="K1528" i="6"/>
  <c r="J1528" i="6"/>
  <c r="I1528" i="6"/>
  <c r="H1528" i="6"/>
  <c r="G1528" i="6"/>
  <c r="F1528" i="6"/>
  <c r="E1528" i="6"/>
  <c r="D1528" i="6"/>
  <c r="M1527" i="6"/>
  <c r="L1527" i="6"/>
  <c r="K1527" i="6"/>
  <c r="J1527" i="6"/>
  <c r="I1527" i="6"/>
  <c r="H1527" i="6"/>
  <c r="G1527" i="6"/>
  <c r="F1527" i="6"/>
  <c r="E1527" i="6"/>
  <c r="M1525" i="6"/>
  <c r="M1526" i="6" s="1"/>
  <c r="L1525" i="6"/>
  <c r="L1526" i="6" s="1"/>
  <c r="K1525" i="6"/>
  <c r="K1526" i="6" s="1"/>
  <c r="J1525" i="6"/>
  <c r="J1526" i="6" s="1"/>
  <c r="I1525" i="6"/>
  <c r="I1526" i="6" s="1"/>
  <c r="H1525" i="6"/>
  <c r="H1526" i="6" s="1"/>
  <c r="G1525" i="6"/>
  <c r="G1526" i="6" s="1"/>
  <c r="F1525" i="6"/>
  <c r="F1526" i="6" s="1"/>
  <c r="E1525" i="6"/>
  <c r="E1526" i="6" s="1"/>
  <c r="D1525" i="6"/>
  <c r="D1526" i="6" s="1"/>
  <c r="D1527" i="6" s="1"/>
  <c r="M1524" i="6"/>
  <c r="L1524" i="6"/>
  <c r="K1524" i="6"/>
  <c r="J1524" i="6"/>
  <c r="I1524" i="6"/>
  <c r="H1524" i="6"/>
  <c r="G1524" i="6"/>
  <c r="F1524" i="6"/>
  <c r="E1524" i="6"/>
  <c r="D1524" i="6"/>
  <c r="D1506" i="6"/>
  <c r="D1505" i="6"/>
  <c r="D1483" i="6"/>
  <c r="M1482" i="6"/>
  <c r="L1482" i="6"/>
  <c r="K1482" i="6"/>
  <c r="J1482" i="6"/>
  <c r="I1482" i="6"/>
  <c r="H1482" i="6"/>
  <c r="G1482" i="6"/>
  <c r="F1482" i="6"/>
  <c r="E1482" i="6"/>
  <c r="D1482" i="6"/>
  <c r="M1481" i="6"/>
  <c r="L1481" i="6"/>
  <c r="K1481" i="6"/>
  <c r="J1481" i="6"/>
  <c r="I1481" i="6"/>
  <c r="H1481" i="6"/>
  <c r="G1481" i="6"/>
  <c r="F1481" i="6"/>
  <c r="E1481" i="6"/>
  <c r="M1479" i="6"/>
  <c r="M1480" i="6" s="1"/>
  <c r="L1479" i="6"/>
  <c r="L1480" i="6" s="1"/>
  <c r="K1479" i="6"/>
  <c r="K1480" i="6" s="1"/>
  <c r="J1479" i="6"/>
  <c r="J1480" i="6" s="1"/>
  <c r="I1479" i="6"/>
  <c r="I1480" i="6" s="1"/>
  <c r="H1479" i="6"/>
  <c r="H1480" i="6" s="1"/>
  <c r="G1479" i="6"/>
  <c r="G1480" i="6" s="1"/>
  <c r="F1479" i="6"/>
  <c r="F1480" i="6" s="1"/>
  <c r="E1479" i="6"/>
  <c r="E1480" i="6" s="1"/>
  <c r="D1479" i="6"/>
  <c r="D1480" i="6" s="1"/>
  <c r="D1481" i="6" s="1"/>
  <c r="M1478" i="6"/>
  <c r="L1478" i="6"/>
  <c r="K1478" i="6"/>
  <c r="J1478" i="6"/>
  <c r="I1478" i="6"/>
  <c r="H1478" i="6"/>
  <c r="G1478" i="6"/>
  <c r="F1478" i="6"/>
  <c r="E1478" i="6"/>
  <c r="D1478" i="6"/>
  <c r="D1460" i="6"/>
  <c r="D1459" i="6"/>
  <c r="D1437" i="6"/>
  <c r="M1436" i="6"/>
  <c r="L1436" i="6"/>
  <c r="K1436" i="6"/>
  <c r="J1436" i="6"/>
  <c r="I1436" i="6"/>
  <c r="H1436" i="6"/>
  <c r="G1436" i="6"/>
  <c r="F1436" i="6"/>
  <c r="E1436" i="6"/>
  <c r="D1436" i="6"/>
  <c r="M1435" i="6"/>
  <c r="L1435" i="6"/>
  <c r="K1435" i="6"/>
  <c r="J1435" i="6"/>
  <c r="I1435" i="6"/>
  <c r="H1435" i="6"/>
  <c r="G1435" i="6"/>
  <c r="F1435" i="6"/>
  <c r="E1435" i="6"/>
  <c r="M1433" i="6"/>
  <c r="M1434" i="6" s="1"/>
  <c r="L1433" i="6"/>
  <c r="L1434" i="6" s="1"/>
  <c r="K1433" i="6"/>
  <c r="K1434" i="6" s="1"/>
  <c r="J1433" i="6"/>
  <c r="J1434" i="6" s="1"/>
  <c r="I1433" i="6"/>
  <c r="I1434" i="6" s="1"/>
  <c r="H1433" i="6"/>
  <c r="H1434" i="6" s="1"/>
  <c r="G1433" i="6"/>
  <c r="G1434" i="6" s="1"/>
  <c r="F1433" i="6"/>
  <c r="F1434" i="6" s="1"/>
  <c r="E1433" i="6"/>
  <c r="E1434" i="6" s="1"/>
  <c r="D1433" i="6"/>
  <c r="D1434" i="6" s="1"/>
  <c r="D1435" i="6" s="1"/>
  <c r="M1432" i="6"/>
  <c r="L1432" i="6"/>
  <c r="K1432" i="6"/>
  <c r="J1432" i="6"/>
  <c r="I1432" i="6"/>
  <c r="H1432" i="6"/>
  <c r="G1432" i="6"/>
  <c r="F1432" i="6"/>
  <c r="E1432" i="6"/>
  <c r="D1432" i="6"/>
  <c r="D1414" i="6"/>
  <c r="D1413" i="6"/>
  <c r="D1391" i="6"/>
  <c r="M1390" i="6"/>
  <c r="L1390" i="6"/>
  <c r="K1390" i="6"/>
  <c r="J1390" i="6"/>
  <c r="I1390" i="6"/>
  <c r="H1390" i="6"/>
  <c r="G1390" i="6"/>
  <c r="F1390" i="6"/>
  <c r="E1390" i="6"/>
  <c r="D1390" i="6"/>
  <c r="M1389" i="6"/>
  <c r="L1389" i="6"/>
  <c r="K1389" i="6"/>
  <c r="J1389" i="6"/>
  <c r="I1389" i="6"/>
  <c r="H1389" i="6"/>
  <c r="G1389" i="6"/>
  <c r="F1389" i="6"/>
  <c r="E1389" i="6"/>
  <c r="M1387" i="6"/>
  <c r="M1388" i="6" s="1"/>
  <c r="L1387" i="6"/>
  <c r="L1388" i="6" s="1"/>
  <c r="K1387" i="6"/>
  <c r="K1388" i="6" s="1"/>
  <c r="J1387" i="6"/>
  <c r="J1388" i="6" s="1"/>
  <c r="I1387" i="6"/>
  <c r="I1388" i="6" s="1"/>
  <c r="H1387" i="6"/>
  <c r="H1388" i="6" s="1"/>
  <c r="G1387" i="6"/>
  <c r="G1388" i="6" s="1"/>
  <c r="F1387" i="6"/>
  <c r="F1388" i="6" s="1"/>
  <c r="E1387" i="6"/>
  <c r="E1388" i="6" s="1"/>
  <c r="D1387" i="6"/>
  <c r="D1388" i="6" s="1"/>
  <c r="D1389" i="6" s="1"/>
  <c r="M1386" i="6"/>
  <c r="L1386" i="6"/>
  <c r="K1386" i="6"/>
  <c r="J1386" i="6"/>
  <c r="I1386" i="6"/>
  <c r="H1386" i="6"/>
  <c r="G1386" i="6"/>
  <c r="F1386" i="6"/>
  <c r="E1386" i="6"/>
  <c r="D1386" i="6"/>
  <c r="D1368" i="6"/>
  <c r="D1367" i="6"/>
  <c r="D1345" i="6"/>
  <c r="M1344" i="6"/>
  <c r="L1344" i="6"/>
  <c r="K1344" i="6"/>
  <c r="J1344" i="6"/>
  <c r="I1344" i="6"/>
  <c r="H1344" i="6"/>
  <c r="G1344" i="6"/>
  <c r="F1344" i="6"/>
  <c r="E1344" i="6"/>
  <c r="D1344" i="6"/>
  <c r="M1343" i="6"/>
  <c r="L1343" i="6"/>
  <c r="K1343" i="6"/>
  <c r="J1343" i="6"/>
  <c r="I1343" i="6"/>
  <c r="H1343" i="6"/>
  <c r="G1343" i="6"/>
  <c r="F1343" i="6"/>
  <c r="E1343" i="6"/>
  <c r="M1341" i="6"/>
  <c r="M1342" i="6" s="1"/>
  <c r="L1341" i="6"/>
  <c r="L1342" i="6" s="1"/>
  <c r="K1341" i="6"/>
  <c r="K1342" i="6" s="1"/>
  <c r="J1341" i="6"/>
  <c r="J1342" i="6" s="1"/>
  <c r="I1341" i="6"/>
  <c r="I1342" i="6" s="1"/>
  <c r="H1341" i="6"/>
  <c r="H1342" i="6" s="1"/>
  <c r="G1341" i="6"/>
  <c r="G1342" i="6" s="1"/>
  <c r="F1341" i="6"/>
  <c r="F1342" i="6" s="1"/>
  <c r="E1341" i="6"/>
  <c r="E1342" i="6" s="1"/>
  <c r="D1341" i="6"/>
  <c r="D1342" i="6" s="1"/>
  <c r="D1343" i="6" s="1"/>
  <c r="M1340" i="6"/>
  <c r="L1340" i="6"/>
  <c r="K1340" i="6"/>
  <c r="J1340" i="6"/>
  <c r="I1340" i="6"/>
  <c r="H1340" i="6"/>
  <c r="G1340" i="6"/>
  <c r="F1340" i="6"/>
  <c r="E1340" i="6"/>
  <c r="D1340" i="6"/>
  <c r="D1322" i="6"/>
  <c r="D1321" i="6"/>
  <c r="D1299" i="6"/>
  <c r="M1298" i="6"/>
  <c r="L1298" i="6"/>
  <c r="K1298" i="6"/>
  <c r="J1298" i="6"/>
  <c r="I1298" i="6"/>
  <c r="H1298" i="6"/>
  <c r="G1298" i="6"/>
  <c r="F1298" i="6"/>
  <c r="E1298" i="6"/>
  <c r="D1298" i="6"/>
  <c r="M1297" i="6"/>
  <c r="L1297" i="6"/>
  <c r="K1297" i="6"/>
  <c r="J1297" i="6"/>
  <c r="I1297" i="6"/>
  <c r="H1297" i="6"/>
  <c r="G1297" i="6"/>
  <c r="F1297" i="6"/>
  <c r="E1297" i="6"/>
  <c r="M1295" i="6"/>
  <c r="M1296" i="6" s="1"/>
  <c r="L1295" i="6"/>
  <c r="L1296" i="6" s="1"/>
  <c r="K1295" i="6"/>
  <c r="K1296" i="6" s="1"/>
  <c r="J1295" i="6"/>
  <c r="J1296" i="6" s="1"/>
  <c r="I1295" i="6"/>
  <c r="I1296" i="6" s="1"/>
  <c r="H1295" i="6"/>
  <c r="H1296" i="6" s="1"/>
  <c r="G1295" i="6"/>
  <c r="G1296" i="6" s="1"/>
  <c r="F1295" i="6"/>
  <c r="F1296" i="6" s="1"/>
  <c r="E1295" i="6"/>
  <c r="E1296" i="6" s="1"/>
  <c r="D1295" i="6"/>
  <c r="D1296" i="6" s="1"/>
  <c r="D1297" i="6" s="1"/>
  <c r="M1294" i="6"/>
  <c r="L1294" i="6"/>
  <c r="K1294" i="6"/>
  <c r="J1294" i="6"/>
  <c r="I1294" i="6"/>
  <c r="H1294" i="6"/>
  <c r="G1294" i="6"/>
  <c r="F1294" i="6"/>
  <c r="E1294" i="6"/>
  <c r="D1294" i="6"/>
  <c r="D1276" i="6"/>
  <c r="D1275" i="6"/>
  <c r="D1253" i="6"/>
  <c r="M1252" i="6"/>
  <c r="L1252" i="6"/>
  <c r="K1252" i="6"/>
  <c r="J1252" i="6"/>
  <c r="I1252" i="6"/>
  <c r="H1252" i="6"/>
  <c r="G1252" i="6"/>
  <c r="F1252" i="6"/>
  <c r="E1252" i="6"/>
  <c r="D1252" i="6"/>
  <c r="M1251" i="6"/>
  <c r="L1251" i="6"/>
  <c r="K1251" i="6"/>
  <c r="J1251" i="6"/>
  <c r="I1251" i="6"/>
  <c r="H1251" i="6"/>
  <c r="G1251" i="6"/>
  <c r="F1251" i="6"/>
  <c r="E1251" i="6"/>
  <c r="M1249" i="6"/>
  <c r="M1250" i="6" s="1"/>
  <c r="L1249" i="6"/>
  <c r="L1250" i="6" s="1"/>
  <c r="K1249" i="6"/>
  <c r="K1250" i="6" s="1"/>
  <c r="J1249" i="6"/>
  <c r="J1250" i="6" s="1"/>
  <c r="I1249" i="6"/>
  <c r="I1250" i="6" s="1"/>
  <c r="H1249" i="6"/>
  <c r="H1250" i="6" s="1"/>
  <c r="G1249" i="6"/>
  <c r="G1250" i="6" s="1"/>
  <c r="F1249" i="6"/>
  <c r="F1250" i="6" s="1"/>
  <c r="E1249" i="6"/>
  <c r="E1250" i="6" s="1"/>
  <c r="D1249" i="6"/>
  <c r="D1250" i="6" s="1"/>
  <c r="D1251" i="6" s="1"/>
  <c r="M1248" i="6"/>
  <c r="L1248" i="6"/>
  <c r="K1248" i="6"/>
  <c r="J1248" i="6"/>
  <c r="I1248" i="6"/>
  <c r="H1248" i="6"/>
  <c r="G1248" i="6"/>
  <c r="F1248" i="6"/>
  <c r="E1248" i="6"/>
  <c r="D1248" i="6"/>
  <c r="D1230" i="6"/>
  <c r="D1229" i="6"/>
  <c r="D1207" i="6"/>
  <c r="M1206" i="6"/>
  <c r="L1206" i="6"/>
  <c r="K1206" i="6"/>
  <c r="J1206" i="6"/>
  <c r="I1206" i="6"/>
  <c r="H1206" i="6"/>
  <c r="G1206" i="6"/>
  <c r="F1206" i="6"/>
  <c r="E1206" i="6"/>
  <c r="D1206" i="6"/>
  <c r="M1205" i="6"/>
  <c r="L1205" i="6"/>
  <c r="K1205" i="6"/>
  <c r="J1205" i="6"/>
  <c r="I1205" i="6"/>
  <c r="H1205" i="6"/>
  <c r="G1205" i="6"/>
  <c r="F1205" i="6"/>
  <c r="E1205" i="6"/>
  <c r="M1203" i="6"/>
  <c r="M1204" i="6" s="1"/>
  <c r="L1203" i="6"/>
  <c r="L1204" i="6" s="1"/>
  <c r="K1203" i="6"/>
  <c r="K1204" i="6" s="1"/>
  <c r="J1203" i="6"/>
  <c r="J1204" i="6" s="1"/>
  <c r="I1203" i="6"/>
  <c r="I1204" i="6" s="1"/>
  <c r="H1203" i="6"/>
  <c r="H1204" i="6" s="1"/>
  <c r="G1203" i="6"/>
  <c r="G1204" i="6" s="1"/>
  <c r="F1203" i="6"/>
  <c r="F1204" i="6" s="1"/>
  <c r="E1203" i="6"/>
  <c r="E1204" i="6" s="1"/>
  <c r="D1203" i="6"/>
  <c r="D1204" i="6" s="1"/>
  <c r="D1205" i="6" s="1"/>
  <c r="M1202" i="6"/>
  <c r="L1202" i="6"/>
  <c r="K1202" i="6"/>
  <c r="J1202" i="6"/>
  <c r="I1202" i="6"/>
  <c r="H1202" i="6"/>
  <c r="G1202" i="6"/>
  <c r="F1202" i="6"/>
  <c r="E1202" i="6"/>
  <c r="D1202" i="6"/>
  <c r="D1184" i="6"/>
  <c r="D1183" i="6"/>
  <c r="D1161" i="6"/>
  <c r="M1160" i="6"/>
  <c r="L1160" i="6"/>
  <c r="K1160" i="6"/>
  <c r="J1160" i="6"/>
  <c r="I1160" i="6"/>
  <c r="H1160" i="6"/>
  <c r="G1160" i="6"/>
  <c r="F1160" i="6"/>
  <c r="E1160" i="6"/>
  <c r="D1160" i="6"/>
  <c r="M1159" i="6"/>
  <c r="L1159" i="6"/>
  <c r="K1159" i="6"/>
  <c r="J1159" i="6"/>
  <c r="I1159" i="6"/>
  <c r="H1159" i="6"/>
  <c r="G1159" i="6"/>
  <c r="F1159" i="6"/>
  <c r="E1159" i="6"/>
  <c r="M1157" i="6"/>
  <c r="M1158" i="6" s="1"/>
  <c r="L1157" i="6"/>
  <c r="L1158" i="6" s="1"/>
  <c r="K1157" i="6"/>
  <c r="K1158" i="6" s="1"/>
  <c r="J1157" i="6"/>
  <c r="J1158" i="6" s="1"/>
  <c r="I1157" i="6"/>
  <c r="I1158" i="6" s="1"/>
  <c r="H1157" i="6"/>
  <c r="H1158" i="6" s="1"/>
  <c r="G1157" i="6"/>
  <c r="G1158" i="6" s="1"/>
  <c r="F1157" i="6"/>
  <c r="F1158" i="6" s="1"/>
  <c r="E1157" i="6"/>
  <c r="E1158" i="6" s="1"/>
  <c r="D1157" i="6"/>
  <c r="D1158" i="6" s="1"/>
  <c r="D1159" i="6" s="1"/>
  <c r="M1156" i="6"/>
  <c r="L1156" i="6"/>
  <c r="K1156" i="6"/>
  <c r="J1156" i="6"/>
  <c r="I1156" i="6"/>
  <c r="H1156" i="6"/>
  <c r="G1156" i="6"/>
  <c r="F1156" i="6"/>
  <c r="E1156" i="6"/>
  <c r="D1156" i="6"/>
  <c r="D1138" i="6"/>
  <c r="D1137" i="6"/>
  <c r="D1115" i="6"/>
  <c r="M1114" i="6"/>
  <c r="L1114" i="6"/>
  <c r="K1114" i="6"/>
  <c r="J1114" i="6"/>
  <c r="I1114" i="6"/>
  <c r="H1114" i="6"/>
  <c r="G1114" i="6"/>
  <c r="F1114" i="6"/>
  <c r="E1114" i="6"/>
  <c r="D1114" i="6"/>
  <c r="M1113" i="6"/>
  <c r="L1113" i="6"/>
  <c r="K1113" i="6"/>
  <c r="J1113" i="6"/>
  <c r="I1113" i="6"/>
  <c r="H1113" i="6"/>
  <c r="G1113" i="6"/>
  <c r="F1113" i="6"/>
  <c r="E1113" i="6"/>
  <c r="M1111" i="6"/>
  <c r="M1112" i="6" s="1"/>
  <c r="L1111" i="6"/>
  <c r="L1112" i="6" s="1"/>
  <c r="K1111" i="6"/>
  <c r="K1112" i="6" s="1"/>
  <c r="J1111" i="6"/>
  <c r="J1112" i="6" s="1"/>
  <c r="I1111" i="6"/>
  <c r="I1112" i="6" s="1"/>
  <c r="H1111" i="6"/>
  <c r="H1112" i="6" s="1"/>
  <c r="G1111" i="6"/>
  <c r="G1112" i="6" s="1"/>
  <c r="F1111" i="6"/>
  <c r="F1112" i="6" s="1"/>
  <c r="E1111" i="6"/>
  <c r="E1112" i="6" s="1"/>
  <c r="D1111" i="6"/>
  <c r="D1112" i="6" s="1"/>
  <c r="D1113" i="6" s="1"/>
  <c r="M1110" i="6"/>
  <c r="L1110" i="6"/>
  <c r="K1110" i="6"/>
  <c r="J1110" i="6"/>
  <c r="I1110" i="6"/>
  <c r="H1110" i="6"/>
  <c r="G1110" i="6"/>
  <c r="F1110" i="6"/>
  <c r="E1110" i="6"/>
  <c r="D1110" i="6"/>
  <c r="D1092" i="6"/>
  <c r="D1091" i="6"/>
  <c r="D1069" i="6"/>
  <c r="M1068" i="6"/>
  <c r="L1068" i="6"/>
  <c r="K1068" i="6"/>
  <c r="J1068" i="6"/>
  <c r="I1068" i="6"/>
  <c r="H1068" i="6"/>
  <c r="G1068" i="6"/>
  <c r="F1068" i="6"/>
  <c r="E1068" i="6"/>
  <c r="D1068" i="6"/>
  <c r="M1067" i="6"/>
  <c r="L1067" i="6"/>
  <c r="K1067" i="6"/>
  <c r="J1067" i="6"/>
  <c r="I1067" i="6"/>
  <c r="H1067" i="6"/>
  <c r="G1067" i="6"/>
  <c r="F1067" i="6"/>
  <c r="E1067" i="6"/>
  <c r="M1065" i="6"/>
  <c r="M1066" i="6" s="1"/>
  <c r="L1065" i="6"/>
  <c r="L1066" i="6" s="1"/>
  <c r="K1065" i="6"/>
  <c r="K1066" i="6" s="1"/>
  <c r="J1065" i="6"/>
  <c r="J1066" i="6" s="1"/>
  <c r="I1065" i="6"/>
  <c r="I1066" i="6" s="1"/>
  <c r="H1065" i="6"/>
  <c r="H1066" i="6" s="1"/>
  <c r="G1065" i="6"/>
  <c r="G1066" i="6" s="1"/>
  <c r="F1065" i="6"/>
  <c r="F1066" i="6" s="1"/>
  <c r="E1065" i="6"/>
  <c r="E1066" i="6" s="1"/>
  <c r="D1065" i="6"/>
  <c r="D1066" i="6" s="1"/>
  <c r="D1067" i="6" s="1"/>
  <c r="M1064" i="6"/>
  <c r="L1064" i="6"/>
  <c r="K1064" i="6"/>
  <c r="J1064" i="6"/>
  <c r="I1064" i="6"/>
  <c r="H1064" i="6"/>
  <c r="G1064" i="6"/>
  <c r="F1064" i="6"/>
  <c r="E1064" i="6"/>
  <c r="D1064" i="6"/>
  <c r="D1046" i="6"/>
  <c r="D1045" i="6"/>
  <c r="D1023" i="6"/>
  <c r="M1022" i="6"/>
  <c r="L1022" i="6"/>
  <c r="K1022" i="6"/>
  <c r="J1022" i="6"/>
  <c r="I1022" i="6"/>
  <c r="H1022" i="6"/>
  <c r="G1022" i="6"/>
  <c r="F1022" i="6"/>
  <c r="E1022" i="6"/>
  <c r="D1022" i="6"/>
  <c r="M1021" i="6"/>
  <c r="L1021" i="6"/>
  <c r="K1021" i="6"/>
  <c r="J1021" i="6"/>
  <c r="I1021" i="6"/>
  <c r="H1021" i="6"/>
  <c r="G1021" i="6"/>
  <c r="F1021" i="6"/>
  <c r="E1021" i="6"/>
  <c r="M1019" i="6"/>
  <c r="M1020" i="6" s="1"/>
  <c r="L1019" i="6"/>
  <c r="L1020" i="6" s="1"/>
  <c r="K1019" i="6"/>
  <c r="K1020" i="6" s="1"/>
  <c r="J1019" i="6"/>
  <c r="J1020" i="6" s="1"/>
  <c r="I1019" i="6"/>
  <c r="I1020" i="6" s="1"/>
  <c r="H1019" i="6"/>
  <c r="H1020" i="6" s="1"/>
  <c r="G1019" i="6"/>
  <c r="G1020" i="6" s="1"/>
  <c r="F1019" i="6"/>
  <c r="F1020" i="6" s="1"/>
  <c r="E1019" i="6"/>
  <c r="E1020" i="6" s="1"/>
  <c r="D1019" i="6"/>
  <c r="D1020" i="6" s="1"/>
  <c r="D1021" i="6" s="1"/>
  <c r="M1018" i="6"/>
  <c r="L1018" i="6"/>
  <c r="K1018" i="6"/>
  <c r="J1018" i="6"/>
  <c r="I1018" i="6"/>
  <c r="H1018" i="6"/>
  <c r="G1018" i="6"/>
  <c r="F1018" i="6"/>
  <c r="E1018" i="6"/>
  <c r="D1018" i="6"/>
  <c r="D1000" i="6"/>
  <c r="D999" i="6"/>
  <c r="D977" i="6"/>
  <c r="M976" i="6"/>
  <c r="L976" i="6"/>
  <c r="K976" i="6"/>
  <c r="J976" i="6"/>
  <c r="I976" i="6"/>
  <c r="H976" i="6"/>
  <c r="G976" i="6"/>
  <c r="F976" i="6"/>
  <c r="E976" i="6"/>
  <c r="D976" i="6"/>
  <c r="M975" i="6"/>
  <c r="L975" i="6"/>
  <c r="K975" i="6"/>
  <c r="J975" i="6"/>
  <c r="I975" i="6"/>
  <c r="H975" i="6"/>
  <c r="G975" i="6"/>
  <c r="F975" i="6"/>
  <c r="E975" i="6"/>
  <c r="M973" i="6"/>
  <c r="M974" i="6" s="1"/>
  <c r="L973" i="6"/>
  <c r="L974" i="6" s="1"/>
  <c r="K973" i="6"/>
  <c r="K974" i="6" s="1"/>
  <c r="J973" i="6"/>
  <c r="J974" i="6" s="1"/>
  <c r="I973" i="6"/>
  <c r="I974" i="6" s="1"/>
  <c r="H973" i="6"/>
  <c r="H974" i="6" s="1"/>
  <c r="G973" i="6"/>
  <c r="G974" i="6" s="1"/>
  <c r="F973" i="6"/>
  <c r="F974" i="6" s="1"/>
  <c r="E973" i="6"/>
  <c r="E974" i="6" s="1"/>
  <c r="D973" i="6"/>
  <c r="D974" i="6" s="1"/>
  <c r="D975" i="6" s="1"/>
  <c r="M972" i="6"/>
  <c r="L972" i="6"/>
  <c r="K972" i="6"/>
  <c r="J972" i="6"/>
  <c r="I972" i="6"/>
  <c r="H972" i="6"/>
  <c r="G972" i="6"/>
  <c r="F972" i="6"/>
  <c r="E972" i="6"/>
  <c r="D972" i="6"/>
  <c r="D954" i="6"/>
  <c r="D953" i="6"/>
  <c r="D931" i="6"/>
  <c r="M930" i="6"/>
  <c r="L930" i="6"/>
  <c r="K930" i="6"/>
  <c r="J930" i="6"/>
  <c r="I930" i="6"/>
  <c r="H930" i="6"/>
  <c r="G930" i="6"/>
  <c r="F930" i="6"/>
  <c r="E930" i="6"/>
  <c r="D930" i="6"/>
  <c r="M929" i="6"/>
  <c r="L929" i="6"/>
  <c r="K929" i="6"/>
  <c r="J929" i="6"/>
  <c r="I929" i="6"/>
  <c r="H929" i="6"/>
  <c r="G929" i="6"/>
  <c r="F929" i="6"/>
  <c r="E929" i="6"/>
  <c r="M927" i="6"/>
  <c r="M928" i="6" s="1"/>
  <c r="L927" i="6"/>
  <c r="L928" i="6" s="1"/>
  <c r="K927" i="6"/>
  <c r="K928" i="6" s="1"/>
  <c r="J927" i="6"/>
  <c r="J928" i="6" s="1"/>
  <c r="I927" i="6"/>
  <c r="I928" i="6" s="1"/>
  <c r="H927" i="6"/>
  <c r="H928" i="6" s="1"/>
  <c r="G927" i="6"/>
  <c r="G928" i="6" s="1"/>
  <c r="F927" i="6"/>
  <c r="F928" i="6" s="1"/>
  <c r="E927" i="6"/>
  <c r="E928" i="6" s="1"/>
  <c r="D927" i="6"/>
  <c r="D928" i="6" s="1"/>
  <c r="D929" i="6" s="1"/>
  <c r="M926" i="6"/>
  <c r="L926" i="6"/>
  <c r="K926" i="6"/>
  <c r="J926" i="6"/>
  <c r="I926" i="6"/>
  <c r="H926" i="6"/>
  <c r="G926" i="6"/>
  <c r="F926" i="6"/>
  <c r="E926" i="6"/>
  <c r="D926" i="6"/>
  <c r="D908" i="6"/>
  <c r="D907" i="6"/>
  <c r="D885" i="6"/>
  <c r="M884" i="6"/>
  <c r="L884" i="6"/>
  <c r="K884" i="6"/>
  <c r="J884" i="6"/>
  <c r="I884" i="6"/>
  <c r="H884" i="6"/>
  <c r="G884" i="6"/>
  <c r="F884" i="6"/>
  <c r="E884" i="6"/>
  <c r="D884" i="6"/>
  <c r="M883" i="6"/>
  <c r="L883" i="6"/>
  <c r="K883" i="6"/>
  <c r="J883" i="6"/>
  <c r="I883" i="6"/>
  <c r="H883" i="6"/>
  <c r="G883" i="6"/>
  <c r="F883" i="6"/>
  <c r="E883" i="6"/>
  <c r="M881" i="6"/>
  <c r="M882" i="6" s="1"/>
  <c r="L881" i="6"/>
  <c r="L882" i="6" s="1"/>
  <c r="K881" i="6"/>
  <c r="K882" i="6" s="1"/>
  <c r="J881" i="6"/>
  <c r="J882" i="6" s="1"/>
  <c r="I881" i="6"/>
  <c r="I882" i="6" s="1"/>
  <c r="H881" i="6"/>
  <c r="H882" i="6" s="1"/>
  <c r="G881" i="6"/>
  <c r="G882" i="6" s="1"/>
  <c r="F881" i="6"/>
  <c r="F882" i="6" s="1"/>
  <c r="E881" i="6"/>
  <c r="E882" i="6" s="1"/>
  <c r="D881" i="6"/>
  <c r="D882" i="6" s="1"/>
  <c r="D883" i="6" s="1"/>
  <c r="M880" i="6"/>
  <c r="L880" i="6"/>
  <c r="K880" i="6"/>
  <c r="J880" i="6"/>
  <c r="I880" i="6"/>
  <c r="H880" i="6"/>
  <c r="G880" i="6"/>
  <c r="F880" i="6"/>
  <c r="E880" i="6"/>
  <c r="D880" i="6"/>
  <c r="D862" i="6"/>
  <c r="D861" i="6"/>
  <c r="D839" i="6"/>
  <c r="M838" i="6"/>
  <c r="L838" i="6"/>
  <c r="K838" i="6"/>
  <c r="J838" i="6"/>
  <c r="I838" i="6"/>
  <c r="H838" i="6"/>
  <c r="G838" i="6"/>
  <c r="F838" i="6"/>
  <c r="E838" i="6"/>
  <c r="D838" i="6"/>
  <c r="M837" i="6"/>
  <c r="L837" i="6"/>
  <c r="K837" i="6"/>
  <c r="J837" i="6"/>
  <c r="I837" i="6"/>
  <c r="H837" i="6"/>
  <c r="G837" i="6"/>
  <c r="F837" i="6"/>
  <c r="E837" i="6"/>
  <c r="M835" i="6"/>
  <c r="M836" i="6" s="1"/>
  <c r="L835" i="6"/>
  <c r="L836" i="6" s="1"/>
  <c r="K835" i="6"/>
  <c r="K836" i="6" s="1"/>
  <c r="J835" i="6"/>
  <c r="J836" i="6" s="1"/>
  <c r="I835" i="6"/>
  <c r="I836" i="6" s="1"/>
  <c r="H835" i="6"/>
  <c r="H836" i="6" s="1"/>
  <c r="G835" i="6"/>
  <c r="G836" i="6" s="1"/>
  <c r="F835" i="6"/>
  <c r="F836" i="6" s="1"/>
  <c r="E835" i="6"/>
  <c r="E836" i="6" s="1"/>
  <c r="D835" i="6"/>
  <c r="D836" i="6" s="1"/>
  <c r="D837" i="6" s="1"/>
  <c r="M834" i="6"/>
  <c r="L834" i="6"/>
  <c r="K834" i="6"/>
  <c r="J834" i="6"/>
  <c r="I834" i="6"/>
  <c r="H834" i="6"/>
  <c r="G834" i="6"/>
  <c r="F834" i="6"/>
  <c r="E834" i="6"/>
  <c r="D834" i="6"/>
  <c r="D816" i="6"/>
  <c r="D815" i="6"/>
  <c r="D793" i="6"/>
  <c r="M792" i="6"/>
  <c r="L792" i="6"/>
  <c r="K792" i="6"/>
  <c r="J792" i="6"/>
  <c r="I792" i="6"/>
  <c r="H792" i="6"/>
  <c r="G792" i="6"/>
  <c r="F792" i="6"/>
  <c r="E792" i="6"/>
  <c r="D792" i="6"/>
  <c r="M791" i="6"/>
  <c r="L791" i="6"/>
  <c r="K791" i="6"/>
  <c r="J791" i="6"/>
  <c r="I791" i="6"/>
  <c r="H791" i="6"/>
  <c r="G791" i="6"/>
  <c r="F791" i="6"/>
  <c r="E791" i="6"/>
  <c r="M789" i="6"/>
  <c r="M790" i="6" s="1"/>
  <c r="L789" i="6"/>
  <c r="L790" i="6" s="1"/>
  <c r="K789" i="6"/>
  <c r="K790" i="6" s="1"/>
  <c r="J789" i="6"/>
  <c r="J790" i="6" s="1"/>
  <c r="I789" i="6"/>
  <c r="I790" i="6" s="1"/>
  <c r="H789" i="6"/>
  <c r="H790" i="6" s="1"/>
  <c r="G789" i="6"/>
  <c r="G790" i="6" s="1"/>
  <c r="F789" i="6"/>
  <c r="F790" i="6" s="1"/>
  <c r="E789" i="6"/>
  <c r="E790" i="6" s="1"/>
  <c r="D789" i="6"/>
  <c r="D790" i="6" s="1"/>
  <c r="D791" i="6" s="1"/>
  <c r="M788" i="6"/>
  <c r="L788" i="6"/>
  <c r="K788" i="6"/>
  <c r="J788" i="6"/>
  <c r="I788" i="6"/>
  <c r="H788" i="6"/>
  <c r="G788" i="6"/>
  <c r="F788" i="6"/>
  <c r="E788" i="6"/>
  <c r="D788" i="6"/>
  <c r="D770" i="6"/>
  <c r="D769" i="6"/>
  <c r="D747" i="6"/>
  <c r="M746" i="6"/>
  <c r="L746" i="6"/>
  <c r="K746" i="6"/>
  <c r="J746" i="6"/>
  <c r="I746" i="6"/>
  <c r="H746" i="6"/>
  <c r="G746" i="6"/>
  <c r="F746" i="6"/>
  <c r="E746" i="6"/>
  <c r="D746" i="6"/>
  <c r="M745" i="6"/>
  <c r="L745" i="6"/>
  <c r="K745" i="6"/>
  <c r="J745" i="6"/>
  <c r="I745" i="6"/>
  <c r="H745" i="6"/>
  <c r="G745" i="6"/>
  <c r="F745" i="6"/>
  <c r="E745" i="6"/>
  <c r="M743" i="6"/>
  <c r="M744" i="6" s="1"/>
  <c r="L743" i="6"/>
  <c r="L744" i="6" s="1"/>
  <c r="K743" i="6"/>
  <c r="K744" i="6" s="1"/>
  <c r="J743" i="6"/>
  <c r="J744" i="6" s="1"/>
  <c r="I743" i="6"/>
  <c r="I744" i="6" s="1"/>
  <c r="H743" i="6"/>
  <c r="H744" i="6" s="1"/>
  <c r="G743" i="6"/>
  <c r="G744" i="6" s="1"/>
  <c r="F743" i="6"/>
  <c r="F744" i="6" s="1"/>
  <c r="E743" i="6"/>
  <c r="E744" i="6" s="1"/>
  <c r="D743" i="6"/>
  <c r="D744" i="6" s="1"/>
  <c r="D745" i="6" s="1"/>
  <c r="M742" i="6"/>
  <c r="L742" i="6"/>
  <c r="K742" i="6"/>
  <c r="J742" i="6"/>
  <c r="I742" i="6"/>
  <c r="H742" i="6"/>
  <c r="G742" i="6"/>
  <c r="F742" i="6"/>
  <c r="E742" i="6"/>
  <c r="D742" i="6"/>
  <c r="D724" i="6"/>
  <c r="D723" i="6"/>
  <c r="D701" i="6"/>
  <c r="M700" i="6"/>
  <c r="L700" i="6"/>
  <c r="K700" i="6"/>
  <c r="J700" i="6"/>
  <c r="I700" i="6"/>
  <c r="H700" i="6"/>
  <c r="G700" i="6"/>
  <c r="F700" i="6"/>
  <c r="E700" i="6"/>
  <c r="D700" i="6"/>
  <c r="M699" i="6"/>
  <c r="L699" i="6"/>
  <c r="K699" i="6"/>
  <c r="J699" i="6"/>
  <c r="I699" i="6"/>
  <c r="H699" i="6"/>
  <c r="G699" i="6"/>
  <c r="F699" i="6"/>
  <c r="E699" i="6"/>
  <c r="M697" i="6"/>
  <c r="M698" i="6" s="1"/>
  <c r="L697" i="6"/>
  <c r="L698" i="6" s="1"/>
  <c r="K697" i="6"/>
  <c r="K698" i="6" s="1"/>
  <c r="J697" i="6"/>
  <c r="J698" i="6" s="1"/>
  <c r="I697" i="6"/>
  <c r="I698" i="6" s="1"/>
  <c r="H697" i="6"/>
  <c r="H698" i="6" s="1"/>
  <c r="G697" i="6"/>
  <c r="G698" i="6" s="1"/>
  <c r="F697" i="6"/>
  <c r="F698" i="6" s="1"/>
  <c r="E697" i="6"/>
  <c r="E698" i="6" s="1"/>
  <c r="D697" i="6"/>
  <c r="D698" i="6" s="1"/>
  <c r="D699" i="6" s="1"/>
  <c r="M696" i="6"/>
  <c r="L696" i="6"/>
  <c r="K696" i="6"/>
  <c r="J696" i="6"/>
  <c r="I696" i="6"/>
  <c r="H696" i="6"/>
  <c r="G696" i="6"/>
  <c r="F696" i="6"/>
  <c r="E696" i="6"/>
  <c r="D696" i="6"/>
  <c r="D678" i="6"/>
  <c r="D677" i="6"/>
  <c r="D655" i="6"/>
  <c r="M654" i="6"/>
  <c r="L654" i="6"/>
  <c r="K654" i="6"/>
  <c r="J654" i="6"/>
  <c r="I654" i="6"/>
  <c r="H654" i="6"/>
  <c r="G654" i="6"/>
  <c r="F654" i="6"/>
  <c r="G655" i="6" s="1"/>
  <c r="G656" i="6" s="1"/>
  <c r="E654" i="6"/>
  <c r="D654" i="6"/>
  <c r="M653" i="6"/>
  <c r="L653" i="6"/>
  <c r="K653" i="6"/>
  <c r="J653" i="6"/>
  <c r="I653" i="6"/>
  <c r="H653" i="6"/>
  <c r="G653" i="6"/>
  <c r="F653" i="6"/>
  <c r="E653" i="6"/>
  <c r="M651" i="6"/>
  <c r="M652" i="6" s="1"/>
  <c r="L651" i="6"/>
  <c r="L652" i="6" s="1"/>
  <c r="K651" i="6"/>
  <c r="K652" i="6" s="1"/>
  <c r="J651" i="6"/>
  <c r="J652" i="6" s="1"/>
  <c r="I651" i="6"/>
  <c r="I652" i="6" s="1"/>
  <c r="H651" i="6"/>
  <c r="H652" i="6" s="1"/>
  <c r="G651" i="6"/>
  <c r="G652" i="6" s="1"/>
  <c r="F651" i="6"/>
  <c r="F652" i="6" s="1"/>
  <c r="E651" i="6"/>
  <c r="E652" i="6" s="1"/>
  <c r="D651" i="6"/>
  <c r="D652" i="6" s="1"/>
  <c r="D653" i="6" s="1"/>
  <c r="M650" i="6"/>
  <c r="L650" i="6"/>
  <c r="K650" i="6"/>
  <c r="J650" i="6"/>
  <c r="I650" i="6"/>
  <c r="H650" i="6"/>
  <c r="G650" i="6"/>
  <c r="F650" i="6"/>
  <c r="E650" i="6"/>
  <c r="D650" i="6"/>
  <c r="D632" i="6"/>
  <c r="D631" i="6"/>
  <c r="D609" i="6"/>
  <c r="M608" i="6"/>
  <c r="L608" i="6"/>
  <c r="K608" i="6"/>
  <c r="J608" i="6"/>
  <c r="I608" i="6"/>
  <c r="H608" i="6"/>
  <c r="G608" i="6"/>
  <c r="F608" i="6"/>
  <c r="E608" i="6"/>
  <c r="D608" i="6"/>
  <c r="M607" i="6"/>
  <c r="L607" i="6"/>
  <c r="K607" i="6"/>
  <c r="J607" i="6"/>
  <c r="I607" i="6"/>
  <c r="H607" i="6"/>
  <c r="G607" i="6"/>
  <c r="F607" i="6"/>
  <c r="E607" i="6"/>
  <c r="M605" i="6"/>
  <c r="M606" i="6" s="1"/>
  <c r="L605" i="6"/>
  <c r="L606" i="6" s="1"/>
  <c r="K605" i="6"/>
  <c r="K606" i="6" s="1"/>
  <c r="J605" i="6"/>
  <c r="J606" i="6" s="1"/>
  <c r="I605" i="6"/>
  <c r="I606" i="6" s="1"/>
  <c r="H605" i="6"/>
  <c r="H606" i="6" s="1"/>
  <c r="G605" i="6"/>
  <c r="G606" i="6" s="1"/>
  <c r="F605" i="6"/>
  <c r="F606" i="6" s="1"/>
  <c r="E605" i="6"/>
  <c r="E606" i="6" s="1"/>
  <c r="D605" i="6"/>
  <c r="D606" i="6" s="1"/>
  <c r="D607" i="6" s="1"/>
  <c r="M604" i="6"/>
  <c r="L604" i="6"/>
  <c r="K604" i="6"/>
  <c r="J604" i="6"/>
  <c r="I604" i="6"/>
  <c r="H604" i="6"/>
  <c r="G604" i="6"/>
  <c r="F604" i="6"/>
  <c r="E604" i="6"/>
  <c r="D604" i="6"/>
  <c r="D586" i="6"/>
  <c r="D585" i="6"/>
  <c r="D563" i="6"/>
  <c r="M562" i="6"/>
  <c r="L562" i="6"/>
  <c r="K562" i="6"/>
  <c r="J562" i="6"/>
  <c r="I562" i="6"/>
  <c r="H562" i="6"/>
  <c r="G562" i="6"/>
  <c r="F562" i="6"/>
  <c r="E562" i="6"/>
  <c r="D562" i="6"/>
  <c r="M561" i="6"/>
  <c r="L561" i="6"/>
  <c r="K561" i="6"/>
  <c r="J561" i="6"/>
  <c r="I561" i="6"/>
  <c r="H561" i="6"/>
  <c r="G561" i="6"/>
  <c r="F561" i="6"/>
  <c r="E561" i="6"/>
  <c r="M559" i="6"/>
  <c r="M560" i="6" s="1"/>
  <c r="L559" i="6"/>
  <c r="L560" i="6" s="1"/>
  <c r="K559" i="6"/>
  <c r="K560" i="6" s="1"/>
  <c r="J559" i="6"/>
  <c r="J560" i="6" s="1"/>
  <c r="I559" i="6"/>
  <c r="I560" i="6" s="1"/>
  <c r="H559" i="6"/>
  <c r="H560" i="6" s="1"/>
  <c r="G559" i="6"/>
  <c r="G560" i="6" s="1"/>
  <c r="F559" i="6"/>
  <c r="F560" i="6" s="1"/>
  <c r="E559" i="6"/>
  <c r="E560" i="6" s="1"/>
  <c r="D559" i="6"/>
  <c r="D560" i="6" s="1"/>
  <c r="D561" i="6" s="1"/>
  <c r="M558" i="6"/>
  <c r="L558" i="6"/>
  <c r="K558" i="6"/>
  <c r="J558" i="6"/>
  <c r="I558" i="6"/>
  <c r="H558" i="6"/>
  <c r="G558" i="6"/>
  <c r="F558" i="6"/>
  <c r="E558" i="6"/>
  <c r="D558" i="6"/>
  <c r="D540" i="6"/>
  <c r="D539" i="6"/>
  <c r="D517" i="6"/>
  <c r="M516" i="6"/>
  <c r="L516" i="6"/>
  <c r="K516" i="6"/>
  <c r="J516" i="6"/>
  <c r="I516" i="6"/>
  <c r="H516" i="6"/>
  <c r="G516" i="6"/>
  <c r="F516" i="6"/>
  <c r="E516" i="6"/>
  <c r="D516" i="6"/>
  <c r="M515" i="6"/>
  <c r="L515" i="6"/>
  <c r="K515" i="6"/>
  <c r="J515" i="6"/>
  <c r="I515" i="6"/>
  <c r="H515" i="6"/>
  <c r="G515" i="6"/>
  <c r="F515" i="6"/>
  <c r="E515" i="6"/>
  <c r="M513" i="6"/>
  <c r="M514" i="6" s="1"/>
  <c r="L513" i="6"/>
  <c r="L514" i="6" s="1"/>
  <c r="K513" i="6"/>
  <c r="K514" i="6" s="1"/>
  <c r="J513" i="6"/>
  <c r="J514" i="6" s="1"/>
  <c r="I513" i="6"/>
  <c r="I514" i="6" s="1"/>
  <c r="H513" i="6"/>
  <c r="H514" i="6" s="1"/>
  <c r="G513" i="6"/>
  <c r="G514" i="6" s="1"/>
  <c r="F513" i="6"/>
  <c r="F514" i="6" s="1"/>
  <c r="E513" i="6"/>
  <c r="E514" i="6" s="1"/>
  <c r="D513" i="6"/>
  <c r="D514" i="6" s="1"/>
  <c r="D515" i="6" s="1"/>
  <c r="M512" i="6"/>
  <c r="L512" i="6"/>
  <c r="K512" i="6"/>
  <c r="J512" i="6"/>
  <c r="I512" i="6"/>
  <c r="H512" i="6"/>
  <c r="G512" i="6"/>
  <c r="F512" i="6"/>
  <c r="E512" i="6"/>
  <c r="D512" i="6"/>
  <c r="D494" i="6"/>
  <c r="D493" i="6"/>
  <c r="D471" i="6"/>
  <c r="M470" i="6"/>
  <c r="L470" i="6"/>
  <c r="K470" i="6"/>
  <c r="J470" i="6"/>
  <c r="I470" i="6"/>
  <c r="H470" i="6"/>
  <c r="G470" i="6"/>
  <c r="F470" i="6"/>
  <c r="E470" i="6"/>
  <c r="D470" i="6"/>
  <c r="M469" i="6"/>
  <c r="L469" i="6"/>
  <c r="K469" i="6"/>
  <c r="J469" i="6"/>
  <c r="I469" i="6"/>
  <c r="H469" i="6"/>
  <c r="G469" i="6"/>
  <c r="F469" i="6"/>
  <c r="E469" i="6"/>
  <c r="M467" i="6"/>
  <c r="M468" i="6" s="1"/>
  <c r="L467" i="6"/>
  <c r="L468" i="6" s="1"/>
  <c r="K467" i="6"/>
  <c r="K468" i="6" s="1"/>
  <c r="J467" i="6"/>
  <c r="J468" i="6" s="1"/>
  <c r="I467" i="6"/>
  <c r="I468" i="6" s="1"/>
  <c r="H467" i="6"/>
  <c r="H468" i="6" s="1"/>
  <c r="G467" i="6"/>
  <c r="G468" i="6" s="1"/>
  <c r="F467" i="6"/>
  <c r="F468" i="6" s="1"/>
  <c r="E467" i="6"/>
  <c r="E468" i="6" s="1"/>
  <c r="D467" i="6"/>
  <c r="D468" i="6" s="1"/>
  <c r="D469" i="6" s="1"/>
  <c r="M466" i="6"/>
  <c r="L466" i="6"/>
  <c r="K466" i="6"/>
  <c r="J466" i="6"/>
  <c r="I466" i="6"/>
  <c r="H466" i="6"/>
  <c r="G466" i="6"/>
  <c r="F466" i="6"/>
  <c r="E466" i="6"/>
  <c r="D466" i="6"/>
  <c r="D448" i="6"/>
  <c r="D447" i="6"/>
  <c r="D425" i="6"/>
  <c r="M424" i="6"/>
  <c r="L424" i="6"/>
  <c r="K424" i="6"/>
  <c r="J424" i="6"/>
  <c r="I424" i="6"/>
  <c r="H424" i="6"/>
  <c r="G424" i="6"/>
  <c r="F424" i="6"/>
  <c r="E424" i="6"/>
  <c r="D424" i="6"/>
  <c r="M423" i="6"/>
  <c r="L423" i="6"/>
  <c r="K423" i="6"/>
  <c r="J423" i="6"/>
  <c r="I423" i="6"/>
  <c r="H423" i="6"/>
  <c r="G423" i="6"/>
  <c r="F423" i="6"/>
  <c r="E423" i="6"/>
  <c r="M421" i="6"/>
  <c r="M422" i="6" s="1"/>
  <c r="L421" i="6"/>
  <c r="L422" i="6" s="1"/>
  <c r="K421" i="6"/>
  <c r="K422" i="6" s="1"/>
  <c r="J421" i="6"/>
  <c r="J422" i="6" s="1"/>
  <c r="I421" i="6"/>
  <c r="I422" i="6" s="1"/>
  <c r="H421" i="6"/>
  <c r="H422" i="6" s="1"/>
  <c r="G421" i="6"/>
  <c r="G422" i="6" s="1"/>
  <c r="F421" i="6"/>
  <c r="F422" i="6" s="1"/>
  <c r="E421" i="6"/>
  <c r="E422" i="6" s="1"/>
  <c r="D421" i="6"/>
  <c r="D422" i="6" s="1"/>
  <c r="D423" i="6" s="1"/>
  <c r="M420" i="6"/>
  <c r="L420" i="6"/>
  <c r="K420" i="6"/>
  <c r="J420" i="6"/>
  <c r="I420" i="6"/>
  <c r="H420" i="6"/>
  <c r="G420" i="6"/>
  <c r="F420" i="6"/>
  <c r="E420" i="6"/>
  <c r="D420" i="6"/>
  <c r="D402" i="6"/>
  <c r="D401" i="6"/>
  <c r="D379" i="6"/>
  <c r="M378" i="6"/>
  <c r="L378" i="6"/>
  <c r="K378" i="6"/>
  <c r="J378" i="6"/>
  <c r="I378" i="6"/>
  <c r="H378" i="6"/>
  <c r="G378" i="6"/>
  <c r="F378" i="6"/>
  <c r="E378" i="6"/>
  <c r="D378" i="6"/>
  <c r="M377" i="6"/>
  <c r="L377" i="6"/>
  <c r="K377" i="6"/>
  <c r="J377" i="6"/>
  <c r="I377" i="6"/>
  <c r="H377" i="6"/>
  <c r="G377" i="6"/>
  <c r="F377" i="6"/>
  <c r="E377" i="6"/>
  <c r="M375" i="6"/>
  <c r="M376" i="6" s="1"/>
  <c r="L375" i="6"/>
  <c r="L376" i="6" s="1"/>
  <c r="K375" i="6"/>
  <c r="K376" i="6" s="1"/>
  <c r="J375" i="6"/>
  <c r="J376" i="6" s="1"/>
  <c r="I375" i="6"/>
  <c r="I376" i="6" s="1"/>
  <c r="H375" i="6"/>
  <c r="H376" i="6" s="1"/>
  <c r="G375" i="6"/>
  <c r="G376" i="6" s="1"/>
  <c r="F375" i="6"/>
  <c r="F376" i="6" s="1"/>
  <c r="E375" i="6"/>
  <c r="E376" i="6" s="1"/>
  <c r="D375" i="6"/>
  <c r="D376" i="6" s="1"/>
  <c r="D377" i="6" s="1"/>
  <c r="M374" i="6"/>
  <c r="L374" i="6"/>
  <c r="K374" i="6"/>
  <c r="J374" i="6"/>
  <c r="I374" i="6"/>
  <c r="H374" i="6"/>
  <c r="G374" i="6"/>
  <c r="F374" i="6"/>
  <c r="E374" i="6"/>
  <c r="D374" i="6"/>
  <c r="D356" i="6"/>
  <c r="D355" i="6"/>
  <c r="D333" i="6"/>
  <c r="M332" i="6"/>
  <c r="L332" i="6"/>
  <c r="K332" i="6"/>
  <c r="J332" i="6"/>
  <c r="I332" i="6"/>
  <c r="H332" i="6"/>
  <c r="G332" i="6"/>
  <c r="F332" i="6"/>
  <c r="E332" i="6"/>
  <c r="D332" i="6"/>
  <c r="M331" i="6"/>
  <c r="L331" i="6"/>
  <c r="K331" i="6"/>
  <c r="J331" i="6"/>
  <c r="I331" i="6"/>
  <c r="H331" i="6"/>
  <c r="G331" i="6"/>
  <c r="F331" i="6"/>
  <c r="E331" i="6"/>
  <c r="M329" i="6"/>
  <c r="M330" i="6" s="1"/>
  <c r="L329" i="6"/>
  <c r="L330" i="6" s="1"/>
  <c r="K329" i="6"/>
  <c r="K330" i="6" s="1"/>
  <c r="J329" i="6"/>
  <c r="J330" i="6" s="1"/>
  <c r="I329" i="6"/>
  <c r="I330" i="6" s="1"/>
  <c r="H329" i="6"/>
  <c r="H330" i="6" s="1"/>
  <c r="G329" i="6"/>
  <c r="G330" i="6" s="1"/>
  <c r="F329" i="6"/>
  <c r="F330" i="6" s="1"/>
  <c r="E329" i="6"/>
  <c r="E330" i="6" s="1"/>
  <c r="D329" i="6"/>
  <c r="D330" i="6" s="1"/>
  <c r="D331" i="6" s="1"/>
  <c r="M328" i="6"/>
  <c r="L328" i="6"/>
  <c r="K328" i="6"/>
  <c r="J328" i="6"/>
  <c r="I328" i="6"/>
  <c r="H328" i="6"/>
  <c r="G328" i="6"/>
  <c r="F328" i="6"/>
  <c r="E328" i="6"/>
  <c r="D328" i="6"/>
  <c r="D310" i="6"/>
  <c r="D309" i="6"/>
  <c r="D287" i="6"/>
  <c r="M286" i="6"/>
  <c r="L286" i="6"/>
  <c r="K286" i="6"/>
  <c r="J286" i="6"/>
  <c r="I286" i="6"/>
  <c r="H286" i="6"/>
  <c r="G286" i="6"/>
  <c r="F286" i="6"/>
  <c r="E286" i="6"/>
  <c r="D286" i="6"/>
  <c r="M285" i="6"/>
  <c r="L285" i="6"/>
  <c r="K285" i="6"/>
  <c r="J285" i="6"/>
  <c r="I285" i="6"/>
  <c r="H285" i="6"/>
  <c r="G285" i="6"/>
  <c r="F285" i="6"/>
  <c r="E285" i="6"/>
  <c r="M283" i="6"/>
  <c r="M284" i="6" s="1"/>
  <c r="L283" i="6"/>
  <c r="L284" i="6" s="1"/>
  <c r="K283" i="6"/>
  <c r="K284" i="6" s="1"/>
  <c r="J283" i="6"/>
  <c r="J284" i="6" s="1"/>
  <c r="I283" i="6"/>
  <c r="I284" i="6" s="1"/>
  <c r="H283" i="6"/>
  <c r="H284" i="6" s="1"/>
  <c r="G283" i="6"/>
  <c r="G284" i="6" s="1"/>
  <c r="F283" i="6"/>
  <c r="F284" i="6" s="1"/>
  <c r="E283" i="6"/>
  <c r="E284" i="6" s="1"/>
  <c r="D283" i="6"/>
  <c r="D284" i="6" s="1"/>
  <c r="D285" i="6" s="1"/>
  <c r="M282" i="6"/>
  <c r="L282" i="6"/>
  <c r="K282" i="6"/>
  <c r="J282" i="6"/>
  <c r="I282" i="6"/>
  <c r="H282" i="6"/>
  <c r="G282" i="6"/>
  <c r="F282" i="6"/>
  <c r="E282" i="6"/>
  <c r="D282" i="6"/>
  <c r="D264" i="6"/>
  <c r="D263" i="6"/>
  <c r="D241" i="6"/>
  <c r="M240" i="6"/>
  <c r="L240" i="6"/>
  <c r="K240" i="6"/>
  <c r="J240" i="6"/>
  <c r="I240" i="6"/>
  <c r="H240" i="6"/>
  <c r="G240" i="6"/>
  <c r="F240" i="6"/>
  <c r="E240" i="6"/>
  <c r="D240" i="6"/>
  <c r="M239" i="6"/>
  <c r="L239" i="6"/>
  <c r="K239" i="6"/>
  <c r="J239" i="6"/>
  <c r="I239" i="6"/>
  <c r="H239" i="6"/>
  <c r="G239" i="6"/>
  <c r="F239" i="6"/>
  <c r="E239" i="6"/>
  <c r="M237" i="6"/>
  <c r="M238" i="6" s="1"/>
  <c r="L237" i="6"/>
  <c r="L238" i="6" s="1"/>
  <c r="K237" i="6"/>
  <c r="K238" i="6" s="1"/>
  <c r="J237" i="6"/>
  <c r="J238" i="6" s="1"/>
  <c r="I237" i="6"/>
  <c r="I238" i="6" s="1"/>
  <c r="H237" i="6"/>
  <c r="H238" i="6" s="1"/>
  <c r="G237" i="6"/>
  <c r="G238" i="6" s="1"/>
  <c r="F237" i="6"/>
  <c r="F238" i="6" s="1"/>
  <c r="E237" i="6"/>
  <c r="E238" i="6" s="1"/>
  <c r="D237" i="6"/>
  <c r="D238" i="6" s="1"/>
  <c r="D239" i="6" s="1"/>
  <c r="M236" i="6"/>
  <c r="L236" i="6"/>
  <c r="K236" i="6"/>
  <c r="J236" i="6"/>
  <c r="I236" i="6"/>
  <c r="H236" i="6"/>
  <c r="G236" i="6"/>
  <c r="F236" i="6"/>
  <c r="E236" i="6"/>
  <c r="D236" i="6"/>
  <c r="D218" i="6"/>
  <c r="D217" i="6"/>
  <c r="D195" i="6"/>
  <c r="M194" i="6"/>
  <c r="L194" i="6"/>
  <c r="K194" i="6"/>
  <c r="J194" i="6"/>
  <c r="I194" i="6"/>
  <c r="H194" i="6"/>
  <c r="G194" i="6"/>
  <c r="F194" i="6"/>
  <c r="E194" i="6"/>
  <c r="D194" i="6"/>
  <c r="M193" i="6"/>
  <c r="L193" i="6"/>
  <c r="K193" i="6"/>
  <c r="J193" i="6"/>
  <c r="I193" i="6"/>
  <c r="H193" i="6"/>
  <c r="G193" i="6"/>
  <c r="F193" i="6"/>
  <c r="E193" i="6"/>
  <c r="M191" i="6"/>
  <c r="M192" i="6" s="1"/>
  <c r="L191" i="6"/>
  <c r="L192" i="6" s="1"/>
  <c r="K191" i="6"/>
  <c r="K192" i="6" s="1"/>
  <c r="J191" i="6"/>
  <c r="J192" i="6" s="1"/>
  <c r="I191" i="6"/>
  <c r="I192" i="6" s="1"/>
  <c r="H191" i="6"/>
  <c r="H192" i="6" s="1"/>
  <c r="G191" i="6"/>
  <c r="G192" i="6" s="1"/>
  <c r="F191" i="6"/>
  <c r="F192" i="6" s="1"/>
  <c r="E191" i="6"/>
  <c r="E192" i="6" s="1"/>
  <c r="D191" i="6"/>
  <c r="D192" i="6" s="1"/>
  <c r="D193" i="6" s="1"/>
  <c r="M190" i="6"/>
  <c r="L190" i="6"/>
  <c r="K190" i="6"/>
  <c r="J190" i="6"/>
  <c r="I190" i="6"/>
  <c r="H190" i="6"/>
  <c r="G190" i="6"/>
  <c r="F190" i="6"/>
  <c r="E190" i="6"/>
  <c r="D190" i="6"/>
  <c r="D172" i="6"/>
  <c r="D171" i="6"/>
  <c r="D149" i="6"/>
  <c r="M148" i="6"/>
  <c r="L148" i="6"/>
  <c r="K148" i="6"/>
  <c r="J148" i="6"/>
  <c r="I148" i="6"/>
  <c r="H148" i="6"/>
  <c r="G148" i="6"/>
  <c r="F148" i="6"/>
  <c r="E148" i="6"/>
  <c r="D148" i="6"/>
  <c r="M147" i="6"/>
  <c r="L147" i="6"/>
  <c r="K147" i="6"/>
  <c r="J147" i="6"/>
  <c r="I147" i="6"/>
  <c r="H147" i="6"/>
  <c r="G147" i="6"/>
  <c r="F147" i="6"/>
  <c r="E147" i="6"/>
  <c r="M145" i="6"/>
  <c r="M146" i="6" s="1"/>
  <c r="L145" i="6"/>
  <c r="L146" i="6" s="1"/>
  <c r="K145" i="6"/>
  <c r="K146" i="6" s="1"/>
  <c r="J145" i="6"/>
  <c r="J146" i="6" s="1"/>
  <c r="I145" i="6"/>
  <c r="I146" i="6" s="1"/>
  <c r="H145" i="6"/>
  <c r="H146" i="6" s="1"/>
  <c r="G145" i="6"/>
  <c r="G146" i="6" s="1"/>
  <c r="F145" i="6"/>
  <c r="F146" i="6" s="1"/>
  <c r="E145" i="6"/>
  <c r="E146" i="6" s="1"/>
  <c r="D145" i="6"/>
  <c r="D146" i="6" s="1"/>
  <c r="D147" i="6" s="1"/>
  <c r="M144" i="6"/>
  <c r="L144" i="6"/>
  <c r="K144" i="6"/>
  <c r="J144" i="6"/>
  <c r="I144" i="6"/>
  <c r="H144" i="6"/>
  <c r="G144" i="6"/>
  <c r="F144" i="6"/>
  <c r="E144" i="6"/>
  <c r="D144" i="6"/>
  <c r="D126" i="6"/>
  <c r="D125" i="6"/>
  <c r="D103" i="6"/>
  <c r="M102" i="6"/>
  <c r="L102" i="6"/>
  <c r="K102" i="6"/>
  <c r="J102" i="6"/>
  <c r="I102" i="6"/>
  <c r="H102" i="6"/>
  <c r="G102" i="6"/>
  <c r="F102" i="6"/>
  <c r="E102" i="6"/>
  <c r="D102" i="6"/>
  <c r="M101" i="6"/>
  <c r="L101" i="6"/>
  <c r="K101" i="6"/>
  <c r="J101" i="6"/>
  <c r="I101" i="6"/>
  <c r="H101" i="6"/>
  <c r="G101" i="6"/>
  <c r="F101" i="6"/>
  <c r="E101" i="6"/>
  <c r="M99" i="6"/>
  <c r="M100" i="6" s="1"/>
  <c r="L99" i="6"/>
  <c r="L100" i="6" s="1"/>
  <c r="K99" i="6"/>
  <c r="K100" i="6" s="1"/>
  <c r="J99" i="6"/>
  <c r="J100" i="6" s="1"/>
  <c r="I99" i="6"/>
  <c r="I100" i="6" s="1"/>
  <c r="H99" i="6"/>
  <c r="H100" i="6" s="1"/>
  <c r="G99" i="6"/>
  <c r="G100" i="6" s="1"/>
  <c r="F99" i="6"/>
  <c r="F100" i="6" s="1"/>
  <c r="E99" i="6"/>
  <c r="E100" i="6" s="1"/>
  <c r="D99" i="6"/>
  <c r="D100" i="6" s="1"/>
  <c r="D101" i="6" s="1"/>
  <c r="M98" i="6"/>
  <c r="L98" i="6"/>
  <c r="K98" i="6"/>
  <c r="J98" i="6"/>
  <c r="I98" i="6"/>
  <c r="H98" i="6"/>
  <c r="G98" i="6"/>
  <c r="F98" i="6"/>
  <c r="E98" i="6"/>
  <c r="D98" i="6"/>
  <c r="D80" i="6"/>
  <c r="D79" i="6"/>
  <c r="D57" i="6"/>
  <c r="M56" i="6"/>
  <c r="L56" i="6"/>
  <c r="K56" i="6"/>
  <c r="J56" i="6"/>
  <c r="I56" i="6"/>
  <c r="H56" i="6"/>
  <c r="G56" i="6"/>
  <c r="F56" i="6"/>
  <c r="E56" i="6"/>
  <c r="D56" i="6"/>
  <c r="M55" i="6"/>
  <c r="L55" i="6"/>
  <c r="K55" i="6"/>
  <c r="J55" i="6"/>
  <c r="I55" i="6"/>
  <c r="H55" i="6"/>
  <c r="G55" i="6"/>
  <c r="F55" i="6"/>
  <c r="E55" i="6"/>
  <c r="M53" i="6"/>
  <c r="M54" i="6" s="1"/>
  <c r="L53" i="6"/>
  <c r="L54" i="6" s="1"/>
  <c r="K53" i="6"/>
  <c r="K54" i="6" s="1"/>
  <c r="J53" i="6"/>
  <c r="J54" i="6" s="1"/>
  <c r="I53" i="6"/>
  <c r="I54" i="6" s="1"/>
  <c r="H53" i="6"/>
  <c r="H54" i="6" s="1"/>
  <c r="G53" i="6"/>
  <c r="G54" i="6" s="1"/>
  <c r="F53" i="6"/>
  <c r="F54" i="6" s="1"/>
  <c r="E53" i="6"/>
  <c r="E54" i="6" s="1"/>
  <c r="D53" i="6"/>
  <c r="D54" i="6" s="1"/>
  <c r="D55" i="6" s="1"/>
  <c r="M52" i="6"/>
  <c r="L52" i="6"/>
  <c r="K52" i="6"/>
  <c r="J52" i="6"/>
  <c r="I52" i="6"/>
  <c r="H52" i="6"/>
  <c r="G52" i="6"/>
  <c r="F52" i="6"/>
  <c r="E52" i="6"/>
  <c r="D52" i="6"/>
  <c r="D34" i="6"/>
  <c r="D33" i="6"/>
  <c r="D11" i="6"/>
  <c r="M10" i="6"/>
  <c r="L10" i="6"/>
  <c r="K10" i="6"/>
  <c r="J10" i="6"/>
  <c r="I10" i="6"/>
  <c r="H10" i="6"/>
  <c r="G10" i="6"/>
  <c r="F10" i="6"/>
  <c r="E10" i="6"/>
  <c r="D10" i="6"/>
  <c r="M9" i="6"/>
  <c r="L9" i="6"/>
  <c r="K9" i="6"/>
  <c r="J9" i="6"/>
  <c r="I9" i="6"/>
  <c r="H9" i="6"/>
  <c r="G9" i="6"/>
  <c r="F9" i="6"/>
  <c r="E9" i="6"/>
  <c r="M7" i="6"/>
  <c r="M8" i="6" s="1"/>
  <c r="L7" i="6"/>
  <c r="L8" i="6" s="1"/>
  <c r="K7" i="6"/>
  <c r="K8" i="6" s="1"/>
  <c r="J7" i="6"/>
  <c r="J8" i="6" s="1"/>
  <c r="I7" i="6"/>
  <c r="I8" i="6" s="1"/>
  <c r="H7" i="6"/>
  <c r="H8" i="6" s="1"/>
  <c r="G7" i="6"/>
  <c r="G8" i="6" s="1"/>
  <c r="F7" i="6"/>
  <c r="F8" i="6" s="1"/>
  <c r="E7" i="6"/>
  <c r="E8" i="6" s="1"/>
  <c r="D7" i="6"/>
  <c r="D8" i="6" s="1"/>
  <c r="D9" i="6" s="1"/>
  <c r="M6" i="6"/>
  <c r="L6" i="6"/>
  <c r="K6" i="6"/>
  <c r="J6" i="6"/>
  <c r="I6" i="6"/>
  <c r="H6" i="6"/>
  <c r="G6" i="6"/>
  <c r="F6" i="6"/>
  <c r="E6" i="6"/>
  <c r="D6" i="6"/>
  <c r="A3" i="6"/>
  <c r="D30" i="5"/>
  <c r="C9" i="7" s="1"/>
  <c r="D26" i="5"/>
  <c r="D23" i="5"/>
  <c r="D22" i="5"/>
  <c r="D24" i="5" s="1"/>
  <c r="D20" i="5"/>
  <c r="D18" i="5"/>
  <c r="D17" i="5"/>
  <c r="D19" i="5" s="1"/>
  <c r="D16" i="5"/>
  <c r="D12" i="5"/>
  <c r="D11" i="5"/>
  <c r="D15" i="5" s="1"/>
  <c r="C45" i="7" s="1"/>
  <c r="D8" i="5"/>
  <c r="D28" i="5" s="1"/>
  <c r="D7" i="5"/>
  <c r="D6" i="5"/>
  <c r="A3" i="5"/>
  <c r="D32" i="4"/>
  <c r="E32" i="4" s="1"/>
  <c r="D31" i="4"/>
  <c r="E31" i="4" s="1"/>
  <c r="H21" i="4"/>
  <c r="G21" i="4"/>
  <c r="M21" i="4" s="1"/>
  <c r="H20" i="4"/>
  <c r="G20" i="4"/>
  <c r="M20" i="4" s="1"/>
  <c r="H19" i="4"/>
  <c r="G19" i="4"/>
  <c r="M19" i="4" s="1"/>
  <c r="F19" i="4"/>
  <c r="H18" i="4"/>
  <c r="G18" i="4"/>
  <c r="M18" i="4" s="1"/>
  <c r="F18" i="4"/>
  <c r="D18" i="4"/>
  <c r="E18" i="4" s="1"/>
  <c r="H17" i="4"/>
  <c r="G17" i="4"/>
  <c r="M17" i="4" s="1"/>
  <c r="D17" i="4"/>
  <c r="H16" i="4"/>
  <c r="G16" i="4"/>
  <c r="M16" i="4" s="1"/>
  <c r="D16" i="4"/>
  <c r="H15" i="4"/>
  <c r="G15" i="4"/>
  <c r="M15" i="4" s="1"/>
  <c r="D15" i="4"/>
  <c r="H14" i="4"/>
  <c r="G14" i="4"/>
  <c r="M14" i="4" s="1"/>
  <c r="F14" i="4"/>
  <c r="H13" i="4"/>
  <c r="G13" i="4"/>
  <c r="M13" i="4" s="1"/>
  <c r="H12" i="4"/>
  <c r="G12" i="4"/>
  <c r="M12" i="4" s="1"/>
  <c r="H11" i="4"/>
  <c r="G11" i="4"/>
  <c r="M11" i="4" s="1"/>
  <c r="F11" i="4"/>
  <c r="H10" i="4"/>
  <c r="G10" i="4"/>
  <c r="M10" i="4" s="1"/>
  <c r="F10" i="4"/>
  <c r="H9" i="4"/>
  <c r="G9" i="4"/>
  <c r="M9" i="4" s="1"/>
  <c r="E9" i="4"/>
  <c r="D9" i="4"/>
  <c r="F9" i="4" s="1"/>
  <c r="H8" i="4"/>
  <c r="G8" i="4"/>
  <c r="M8" i="4" s="1"/>
  <c r="E8" i="4"/>
  <c r="D8" i="4"/>
  <c r="F8" i="4" s="1"/>
  <c r="H7" i="4"/>
  <c r="G7" i="4"/>
  <c r="M7" i="4" s="1"/>
  <c r="E7" i="4"/>
  <c r="D7" i="4"/>
  <c r="F7" i="4" s="1"/>
  <c r="P6" i="4"/>
  <c r="J6" i="4"/>
  <c r="H6" i="4"/>
  <c r="G6" i="4"/>
  <c r="M6" i="4" s="1"/>
  <c r="E6" i="4"/>
  <c r="D6" i="4"/>
  <c r="F6" i="4" s="1"/>
  <c r="A3" i="4"/>
  <c r="A3" i="3"/>
  <c r="D63" i="2"/>
  <c r="C63" i="2"/>
  <c r="B63" i="2"/>
  <c r="E62" i="2"/>
  <c r="D62" i="2"/>
  <c r="C62" i="2"/>
  <c r="D61" i="2"/>
  <c r="C61" i="2"/>
  <c r="B61" i="2"/>
  <c r="H60" i="2"/>
  <c r="B115" i="19" s="1"/>
  <c r="D32" i="2"/>
  <c r="D31" i="2"/>
  <c r="D30" i="2"/>
  <c r="C13" i="2"/>
  <c r="D12" i="2"/>
  <c r="C9" i="2"/>
  <c r="C8" i="2"/>
  <c r="C7" i="2"/>
  <c r="C6" i="2"/>
  <c r="A3" i="2"/>
  <c r="A32" i="1"/>
  <c r="A31" i="1"/>
  <c r="A30" i="1"/>
  <c r="A29" i="1"/>
  <c r="A3" i="1"/>
  <c r="C1" i="1"/>
  <c r="D104" i="16" l="1"/>
  <c r="D107" i="16" s="1"/>
  <c r="D58" i="16"/>
  <c r="D61" i="16" s="1"/>
  <c r="D12" i="16"/>
  <c r="D15" i="16" s="1"/>
  <c r="D4244" i="14"/>
  <c r="D4247" i="14" s="1"/>
  <c r="D4198" i="14"/>
  <c r="D4201" i="14" s="1"/>
  <c r="D2358" i="6"/>
  <c r="D2361" i="6" s="1"/>
  <c r="D2266" i="6"/>
  <c r="D2269" i="6" s="1"/>
  <c r="D2036" i="6"/>
  <c r="D2039" i="6" s="1"/>
  <c r="D1990" i="6"/>
  <c r="D1993" i="6" s="1"/>
  <c r="D1576" i="6"/>
  <c r="D1579" i="6" s="1"/>
  <c r="D1484" i="6"/>
  <c r="D1487" i="6" s="1"/>
  <c r="D1346" i="6"/>
  <c r="D1349" i="6" s="1"/>
  <c r="D656" i="6"/>
  <c r="D659" i="6" s="1"/>
  <c r="D4382" i="14"/>
  <c r="D4385" i="14" s="1"/>
  <c r="D4336" i="14"/>
  <c r="D4339" i="14" s="1"/>
  <c r="D4290" i="14"/>
  <c r="D4293" i="14" s="1"/>
  <c r="D4152" i="14"/>
  <c r="D4155" i="14" s="1"/>
  <c r="D564" i="14"/>
  <c r="D567" i="14" s="1"/>
  <c r="D5118" i="6"/>
  <c r="D5121" i="6" s="1"/>
  <c r="D2174" i="6"/>
  <c r="D2177" i="6" s="1"/>
  <c r="D4106" i="14"/>
  <c r="D4109" i="14" s="1"/>
  <c r="D4060" i="14"/>
  <c r="D4063" i="14" s="1"/>
  <c r="D4014" i="14"/>
  <c r="D4017" i="14" s="1"/>
  <c r="D3968" i="14"/>
  <c r="D3971" i="14" s="1"/>
  <c r="D3922" i="14"/>
  <c r="D3925" i="14" s="1"/>
  <c r="D3876" i="14"/>
  <c r="D3879" i="14" s="1"/>
  <c r="D3830" i="14"/>
  <c r="D3833" i="14" s="1"/>
  <c r="D610" i="14"/>
  <c r="D613" i="14" s="1"/>
  <c r="D518" i="14"/>
  <c r="D521" i="14" s="1"/>
  <c r="C20" i="7"/>
  <c r="D1668" i="6"/>
  <c r="D1671" i="6" s="1"/>
  <c r="D1116" i="6"/>
  <c r="D1119" i="6" s="1"/>
  <c r="D3738" i="14"/>
  <c r="D3741" i="14" s="1"/>
  <c r="D3692" i="14"/>
  <c r="D3695" i="14" s="1"/>
  <c r="D3646" i="14"/>
  <c r="D3649" i="14" s="1"/>
  <c r="D3600" i="14"/>
  <c r="D3603" i="14" s="1"/>
  <c r="D3554" i="14"/>
  <c r="D3557" i="14" s="1"/>
  <c r="D3508" i="14"/>
  <c r="D3511" i="14" s="1"/>
  <c r="D1070" i="14"/>
  <c r="D1073" i="14" s="1"/>
  <c r="D886" i="14"/>
  <c r="D889" i="14" s="1"/>
  <c r="D4934" i="6"/>
  <c r="D4937" i="6" s="1"/>
  <c r="D2634" i="6"/>
  <c r="D2637" i="6" s="1"/>
  <c r="D2588" i="6"/>
  <c r="D2591" i="6" s="1"/>
  <c r="D564" i="6"/>
  <c r="D567" i="6" s="1"/>
  <c r="D3416" i="14"/>
  <c r="D3419" i="14" s="1"/>
  <c r="D3370" i="14"/>
  <c r="D3373" i="14" s="1"/>
  <c r="D3324" i="14"/>
  <c r="D3327" i="14" s="1"/>
  <c r="D3278" i="14"/>
  <c r="D3281" i="14" s="1"/>
  <c r="D3232" i="14"/>
  <c r="D3235" i="14" s="1"/>
  <c r="D3186" i="14"/>
  <c r="D3189" i="14" s="1"/>
  <c r="D932" i="14"/>
  <c r="D935" i="14" s="1"/>
  <c r="D4796" i="6"/>
  <c r="D4799" i="6" s="1"/>
  <c r="D1944" i="6"/>
  <c r="D1947" i="6" s="1"/>
  <c r="D3094" i="14"/>
  <c r="D3097" i="14" s="1"/>
  <c r="D3048" i="14"/>
  <c r="D3051" i="14" s="1"/>
  <c r="D3002" i="14"/>
  <c r="D3005" i="14" s="1"/>
  <c r="D2956" i="14"/>
  <c r="D2959" i="14" s="1"/>
  <c r="D2910" i="14"/>
  <c r="D2913" i="14" s="1"/>
  <c r="D2864" i="14"/>
  <c r="D2867" i="14" s="1"/>
  <c r="D1852" i="14"/>
  <c r="D1855" i="14" s="1"/>
  <c r="D1806" i="14"/>
  <c r="D1809" i="14" s="1"/>
  <c r="D1714" i="14"/>
  <c r="D1717" i="14" s="1"/>
  <c r="D1576" i="14"/>
  <c r="D1579" i="14" s="1"/>
  <c r="D1162" i="14"/>
  <c r="D1165" i="14" s="1"/>
  <c r="D104" i="14"/>
  <c r="D107" i="14" s="1"/>
  <c r="D12" i="14"/>
  <c r="D15" i="14" s="1"/>
  <c r="D1024" i="6"/>
  <c r="D1027" i="6" s="1"/>
  <c r="D748" i="6"/>
  <c r="D751" i="6" s="1"/>
  <c r="D2772" i="14"/>
  <c r="D2775" i="14" s="1"/>
  <c r="D2726" i="14"/>
  <c r="D2729" i="14" s="1"/>
  <c r="D2680" i="14"/>
  <c r="D2683" i="14" s="1"/>
  <c r="D2634" i="14"/>
  <c r="D2637" i="14" s="1"/>
  <c r="D2588" i="14"/>
  <c r="D2591" i="14" s="1"/>
  <c r="D2542" i="14"/>
  <c r="D2545" i="14" s="1"/>
  <c r="D1760" i="14"/>
  <c r="D1763" i="14" s="1"/>
  <c r="D1622" i="14"/>
  <c r="D1625" i="14" s="1"/>
  <c r="D1254" i="14"/>
  <c r="D1257" i="14" s="1"/>
  <c r="D1116" i="14"/>
  <c r="D1119" i="14" s="1"/>
  <c r="D1024" i="14"/>
  <c r="D1027" i="14" s="1"/>
  <c r="D840" i="14"/>
  <c r="D843" i="14" s="1"/>
  <c r="D426" i="14"/>
  <c r="D429" i="14" s="1"/>
  <c r="D58" i="14"/>
  <c r="D61" i="14" s="1"/>
  <c r="D2496" i="6"/>
  <c r="D2499" i="6" s="1"/>
  <c r="D2450" i="14"/>
  <c r="D2453" i="14" s="1"/>
  <c r="D2404" i="14"/>
  <c r="D2407" i="14" s="1"/>
  <c r="D2358" i="14"/>
  <c r="D2361" i="14" s="1"/>
  <c r="D2312" i="14"/>
  <c r="D2315" i="14" s="1"/>
  <c r="D2266" i="14"/>
  <c r="D2269" i="14" s="1"/>
  <c r="D2220" i="14"/>
  <c r="D2223" i="14" s="1"/>
  <c r="D2128" i="14"/>
  <c r="D2131" i="14" s="1"/>
  <c r="D2082" i="14"/>
  <c r="D2085" i="14" s="1"/>
  <c r="D2036" i="14"/>
  <c r="D2039" i="14" s="1"/>
  <c r="D1990" i="14"/>
  <c r="D1993" i="14" s="1"/>
  <c r="D1944" i="14"/>
  <c r="D1947" i="14" s="1"/>
  <c r="D1898" i="14"/>
  <c r="D1901" i="14" s="1"/>
  <c r="D1300" i="14"/>
  <c r="D1303" i="14" s="1"/>
  <c r="D1208" i="14"/>
  <c r="D1211" i="14" s="1"/>
  <c r="D4980" i="6"/>
  <c r="D4983" i="6" s="1"/>
  <c r="D2450" i="6"/>
  <c r="D2453" i="6" s="1"/>
  <c r="D1852" i="6"/>
  <c r="D1855" i="6" s="1"/>
  <c r="D1668" i="14"/>
  <c r="D1671" i="14" s="1"/>
  <c r="D656" i="14"/>
  <c r="D659" i="14" s="1"/>
  <c r="D4888" i="6"/>
  <c r="D4891" i="6" s="1"/>
  <c r="D1806" i="6"/>
  <c r="D1809" i="6" s="1"/>
  <c r="D1438" i="6"/>
  <c r="D1441" i="6" s="1"/>
  <c r="D1254" i="6"/>
  <c r="D1257" i="6" s="1"/>
  <c r="D1162" i="6"/>
  <c r="D1165" i="6" s="1"/>
  <c r="D518" i="6"/>
  <c r="D521" i="6" s="1"/>
  <c r="D1484" i="14"/>
  <c r="D1487" i="14" s="1"/>
  <c r="D1438" i="14"/>
  <c r="D1441" i="14" s="1"/>
  <c r="D1392" i="14"/>
  <c r="D1395" i="14" s="1"/>
  <c r="D1346" i="14"/>
  <c r="D1349" i="14" s="1"/>
  <c r="D978" i="14"/>
  <c r="D981" i="14" s="1"/>
  <c r="D794" i="14"/>
  <c r="D797" i="14" s="1"/>
  <c r="D748" i="14"/>
  <c r="D751" i="14" s="1"/>
  <c r="D702" i="14"/>
  <c r="D705" i="14" s="1"/>
  <c r="D472" i="14"/>
  <c r="D475" i="14" s="1"/>
  <c r="D334" i="14"/>
  <c r="D337" i="14" s="1"/>
  <c r="D5072" i="6"/>
  <c r="D5075" i="6" s="1"/>
  <c r="D5026" i="6"/>
  <c r="D5029" i="6" s="1"/>
  <c r="D4842" i="6"/>
  <c r="D4845" i="6" s="1"/>
  <c r="D4750" i="6"/>
  <c r="D4753" i="6" s="1"/>
  <c r="D2542" i="6"/>
  <c r="D2545" i="6" s="1"/>
  <c r="D1898" i="6"/>
  <c r="D1901" i="6" s="1"/>
  <c r="D978" i="6"/>
  <c r="D981" i="6" s="1"/>
  <c r="D702" i="6"/>
  <c r="D705" i="6" s="1"/>
  <c r="D380" i="14"/>
  <c r="D383" i="14" s="1"/>
  <c r="D288" i="14"/>
  <c r="D291" i="14" s="1"/>
  <c r="D242" i="14"/>
  <c r="D245" i="14" s="1"/>
  <c r="D196" i="14"/>
  <c r="D199" i="14" s="1"/>
  <c r="D2680" i="6"/>
  <c r="D2683" i="6" s="1"/>
  <c r="D2404" i="6"/>
  <c r="D2407" i="6" s="1"/>
  <c r="D2220" i="6"/>
  <c r="D2223" i="6" s="1"/>
  <c r="D1760" i="6"/>
  <c r="D1763" i="6" s="1"/>
  <c r="D1714" i="6"/>
  <c r="D1717" i="6" s="1"/>
  <c r="D1622" i="6"/>
  <c r="D1625" i="6" s="1"/>
  <c r="D1300" i="6"/>
  <c r="D1303" i="6" s="1"/>
  <c r="D1208" i="6"/>
  <c r="D1211" i="6" s="1"/>
  <c r="D886" i="6"/>
  <c r="D889" i="6" s="1"/>
  <c r="D610" i="6"/>
  <c r="D613" i="6" s="1"/>
  <c r="D1070" i="6"/>
  <c r="D1073" i="6" s="1"/>
  <c r="D4658" i="6"/>
  <c r="D4661" i="6" s="1"/>
  <c r="D4612" i="6"/>
  <c r="D4615" i="6" s="1"/>
  <c r="D4566" i="6"/>
  <c r="D4569" i="6" s="1"/>
  <c r="D4520" i="6"/>
  <c r="D4523" i="6" s="1"/>
  <c r="D4474" i="6"/>
  <c r="D4477" i="6" s="1"/>
  <c r="D4428" i="6"/>
  <c r="D4431" i="6" s="1"/>
  <c r="D4382" i="6"/>
  <c r="D4385" i="6" s="1"/>
  <c r="D4336" i="6"/>
  <c r="D4339" i="6" s="1"/>
  <c r="D4290" i="6"/>
  <c r="D4293" i="6" s="1"/>
  <c r="D4244" i="6"/>
  <c r="D4247" i="6" s="1"/>
  <c r="D4198" i="6"/>
  <c r="D4201" i="6" s="1"/>
  <c r="D4152" i="6"/>
  <c r="D4155" i="6" s="1"/>
  <c r="D4106" i="6"/>
  <c r="D4109" i="6" s="1"/>
  <c r="D4060" i="6"/>
  <c r="D4063" i="6" s="1"/>
  <c r="D4014" i="6"/>
  <c r="D4017" i="6" s="1"/>
  <c r="D3968" i="6"/>
  <c r="D3971" i="6" s="1"/>
  <c r="D3922" i="6"/>
  <c r="D3925" i="6" s="1"/>
  <c r="D3876" i="6"/>
  <c r="D3879" i="6" s="1"/>
  <c r="D3830" i="6"/>
  <c r="D3833" i="6" s="1"/>
  <c r="D3784" i="6"/>
  <c r="D3787" i="6" s="1"/>
  <c r="D3738" i="6"/>
  <c r="D3741" i="6" s="1"/>
  <c r="D3692" i="6"/>
  <c r="D3695" i="6" s="1"/>
  <c r="D3646" i="6"/>
  <c r="D3649" i="6" s="1"/>
  <c r="D3600" i="6"/>
  <c r="D3603" i="6" s="1"/>
  <c r="D3554" i="6"/>
  <c r="D3557" i="6" s="1"/>
  <c r="D3508" i="6"/>
  <c r="D3511" i="6" s="1"/>
  <c r="D3462" i="6"/>
  <c r="D3465" i="6" s="1"/>
  <c r="D3416" i="6"/>
  <c r="D3419" i="6" s="1"/>
  <c r="D3370" i="6"/>
  <c r="D3373" i="6" s="1"/>
  <c r="D3324" i="6"/>
  <c r="D3327" i="6" s="1"/>
  <c r="D3278" i="6"/>
  <c r="D3281" i="6" s="1"/>
  <c r="D3232" i="6"/>
  <c r="D3235" i="6" s="1"/>
  <c r="D3186" i="6"/>
  <c r="D3189" i="6" s="1"/>
  <c r="D3140" i="6"/>
  <c r="D3143" i="6" s="1"/>
  <c r="D3094" i="6"/>
  <c r="D3097" i="6" s="1"/>
  <c r="D3048" i="6"/>
  <c r="D3051" i="6" s="1"/>
  <c r="D3002" i="6"/>
  <c r="D3005" i="6" s="1"/>
  <c r="D2956" i="6"/>
  <c r="D2959" i="6" s="1"/>
  <c r="D2910" i="6"/>
  <c r="D2913" i="6" s="1"/>
  <c r="D2864" i="6"/>
  <c r="D2867" i="6" s="1"/>
  <c r="D2818" i="6"/>
  <c r="D2821" i="6" s="1"/>
  <c r="D2772" i="6"/>
  <c r="D2775" i="6" s="1"/>
  <c r="D2726" i="6"/>
  <c r="D2729" i="6" s="1"/>
  <c r="D2312" i="6"/>
  <c r="D2315" i="6" s="1"/>
  <c r="D2128" i="6"/>
  <c r="D2131" i="6" s="1"/>
  <c r="D2082" i="6"/>
  <c r="D2085" i="6" s="1"/>
  <c r="D932" i="6"/>
  <c r="D935" i="6" s="1"/>
  <c r="D794" i="6"/>
  <c r="D797" i="6" s="1"/>
  <c r="D472" i="6"/>
  <c r="D475" i="6" s="1"/>
  <c r="D426" i="6"/>
  <c r="D429" i="6" s="1"/>
  <c r="D380" i="6"/>
  <c r="D383" i="6" s="1"/>
  <c r="D334" i="6"/>
  <c r="D337" i="6" s="1"/>
  <c r="D288" i="6"/>
  <c r="D291" i="6" s="1"/>
  <c r="D242" i="6"/>
  <c r="D245" i="6" s="1"/>
  <c r="D196" i="6"/>
  <c r="D199" i="6" s="1"/>
  <c r="D150" i="6"/>
  <c r="D153" i="6" s="1"/>
  <c r="D104" i="6"/>
  <c r="D107" i="6" s="1"/>
  <c r="D58" i="6"/>
  <c r="D61" i="6" s="1"/>
  <c r="D12" i="6"/>
  <c r="D15" i="6" s="1"/>
  <c r="D21" i="5"/>
  <c r="N6" i="4"/>
  <c r="D1530" i="6"/>
  <c r="D1533" i="6" s="1"/>
  <c r="D1392" i="6"/>
  <c r="D1395" i="6" s="1"/>
  <c r="D840" i="6"/>
  <c r="D843" i="6" s="1"/>
  <c r="G659" i="6"/>
  <c r="E333" i="14"/>
  <c r="D335" i="14"/>
  <c r="D4704" i="6"/>
  <c r="D4705" i="6"/>
  <c r="E2173" i="6"/>
  <c r="D2175" i="6"/>
  <c r="D2181" i="6" s="1"/>
  <c r="D138" i="16"/>
  <c r="D129" i="16"/>
  <c r="M103" i="16"/>
  <c r="L103" i="16"/>
  <c r="K103" i="16"/>
  <c r="J103" i="16"/>
  <c r="I103" i="16"/>
  <c r="H103" i="16"/>
  <c r="G103" i="16"/>
  <c r="F103" i="16"/>
  <c r="D105" i="16"/>
  <c r="E103" i="16"/>
  <c r="D92" i="16"/>
  <c r="D83" i="16"/>
  <c r="M57" i="16"/>
  <c r="L57" i="16"/>
  <c r="K57" i="16"/>
  <c r="J57" i="16"/>
  <c r="I57" i="16"/>
  <c r="H57" i="16"/>
  <c r="G57" i="16"/>
  <c r="F57" i="16"/>
  <c r="D59" i="16"/>
  <c r="E57" i="16"/>
  <c r="D46" i="16"/>
  <c r="D37" i="16"/>
  <c r="M11" i="16"/>
  <c r="L11" i="16"/>
  <c r="K11" i="16"/>
  <c r="J11" i="16"/>
  <c r="I11" i="16"/>
  <c r="H11" i="16"/>
  <c r="G11" i="16"/>
  <c r="F11" i="16"/>
  <c r="E11" i="16"/>
  <c r="D13" i="16"/>
  <c r="D4407" i="14"/>
  <c r="M4381" i="14"/>
  <c r="L4381" i="14"/>
  <c r="K4381" i="14"/>
  <c r="J4381" i="14"/>
  <c r="I4381" i="14"/>
  <c r="H4381" i="14"/>
  <c r="G4381" i="14"/>
  <c r="F4381" i="14"/>
  <c r="E4381" i="14"/>
  <c r="D4383" i="14"/>
  <c r="D4361" i="14"/>
  <c r="M4335" i="14"/>
  <c r="L4335" i="14"/>
  <c r="K4335" i="14"/>
  <c r="J4335" i="14"/>
  <c r="I4335" i="14"/>
  <c r="H4335" i="14"/>
  <c r="G4335" i="14"/>
  <c r="F4335" i="14"/>
  <c r="D4337" i="14"/>
  <c r="E4335" i="14"/>
  <c r="D4315" i="14"/>
  <c r="M4289" i="14"/>
  <c r="L4289" i="14"/>
  <c r="K4289" i="14"/>
  <c r="J4289" i="14"/>
  <c r="I4289" i="14"/>
  <c r="H4289" i="14"/>
  <c r="G4289" i="14"/>
  <c r="F4289" i="14"/>
  <c r="D4291" i="14"/>
  <c r="E4289" i="14"/>
  <c r="D4269" i="14"/>
  <c r="M4243" i="14"/>
  <c r="L4243" i="14"/>
  <c r="K4243" i="14"/>
  <c r="J4243" i="14"/>
  <c r="I4243" i="14"/>
  <c r="H4243" i="14"/>
  <c r="G4243" i="14"/>
  <c r="F4243" i="14"/>
  <c r="E4243" i="14"/>
  <c r="D4245" i="14"/>
  <c r="D4223" i="14"/>
  <c r="M4197" i="14"/>
  <c r="L4197" i="14"/>
  <c r="K4197" i="14"/>
  <c r="J4197" i="14"/>
  <c r="I4197" i="14"/>
  <c r="H4197" i="14"/>
  <c r="G4197" i="14"/>
  <c r="F4197" i="14"/>
  <c r="D4199" i="14"/>
  <c r="E4197" i="14"/>
  <c r="D4177" i="14"/>
  <c r="M4151" i="14"/>
  <c r="L4151" i="14"/>
  <c r="K4151" i="14"/>
  <c r="J4151" i="14"/>
  <c r="I4151" i="14"/>
  <c r="H4151" i="14"/>
  <c r="G4151" i="14"/>
  <c r="F4151" i="14"/>
  <c r="E4151" i="14"/>
  <c r="D4153" i="14"/>
  <c r="D4131" i="14"/>
  <c r="M4105" i="14"/>
  <c r="L4105" i="14"/>
  <c r="K4105" i="14"/>
  <c r="J4105" i="14"/>
  <c r="I4105" i="14"/>
  <c r="H4105" i="14"/>
  <c r="G4105" i="14"/>
  <c r="F4105" i="14"/>
  <c r="D4107" i="14"/>
  <c r="E4105" i="14"/>
  <c r="D4085" i="14"/>
  <c r="M4059" i="14"/>
  <c r="L4059" i="14"/>
  <c r="K4059" i="14"/>
  <c r="J4059" i="14"/>
  <c r="I4059" i="14"/>
  <c r="H4059" i="14"/>
  <c r="G4059" i="14"/>
  <c r="F4059" i="14"/>
  <c r="D4061" i="14"/>
  <c r="E4059" i="14"/>
  <c r="D4039" i="14"/>
  <c r="M4013" i="14"/>
  <c r="L4013" i="14"/>
  <c r="K4013" i="14"/>
  <c r="J4013" i="14"/>
  <c r="I4013" i="14"/>
  <c r="H4013" i="14"/>
  <c r="G4013" i="14"/>
  <c r="F4013" i="14"/>
  <c r="D4015" i="14"/>
  <c r="E4013" i="14"/>
  <c r="D3993" i="14"/>
  <c r="M3967" i="14"/>
  <c r="L3967" i="14"/>
  <c r="K3967" i="14"/>
  <c r="J3967" i="14"/>
  <c r="I3967" i="14"/>
  <c r="H3967" i="14"/>
  <c r="G3967" i="14"/>
  <c r="F3967" i="14"/>
  <c r="D3969" i="14"/>
  <c r="E3967" i="14"/>
  <c r="D3947" i="14"/>
  <c r="M3921" i="14"/>
  <c r="L3921" i="14"/>
  <c r="K3921" i="14"/>
  <c r="J3921" i="14"/>
  <c r="I3921" i="14"/>
  <c r="H3921" i="14"/>
  <c r="G3921" i="14"/>
  <c r="F3921" i="14"/>
  <c r="E3921" i="14"/>
  <c r="D3923" i="14"/>
  <c r="D3901" i="14"/>
  <c r="M3875" i="14"/>
  <c r="L3875" i="14"/>
  <c r="K3875" i="14"/>
  <c r="J3875" i="14"/>
  <c r="I3875" i="14"/>
  <c r="H3875" i="14"/>
  <c r="G3875" i="14"/>
  <c r="F3875" i="14"/>
  <c r="D3877" i="14"/>
  <c r="E3875" i="14"/>
  <c r="D3855" i="14"/>
  <c r="M3829" i="14"/>
  <c r="L3829" i="14"/>
  <c r="K3829" i="14"/>
  <c r="J3829" i="14"/>
  <c r="I3829" i="14"/>
  <c r="H3829" i="14"/>
  <c r="G3829" i="14"/>
  <c r="F3829" i="14"/>
  <c r="E3829" i="14"/>
  <c r="D3831" i="14"/>
  <c r="D3809" i="14"/>
  <c r="M3783" i="14"/>
  <c r="L3783" i="14"/>
  <c r="K3783" i="14"/>
  <c r="J3783" i="14"/>
  <c r="I3783" i="14"/>
  <c r="H3783" i="14"/>
  <c r="G3783" i="14"/>
  <c r="F3783" i="14"/>
  <c r="E3783" i="14"/>
  <c r="D3785" i="14"/>
  <c r="D3763" i="14"/>
  <c r="M3737" i="14"/>
  <c r="L3737" i="14"/>
  <c r="K3737" i="14"/>
  <c r="J3737" i="14"/>
  <c r="I3737" i="14"/>
  <c r="H3737" i="14"/>
  <c r="G3737" i="14"/>
  <c r="F3737" i="14"/>
  <c r="D3739" i="14"/>
  <c r="E3737" i="14"/>
  <c r="D3717" i="14"/>
  <c r="M3691" i="14"/>
  <c r="L3691" i="14"/>
  <c r="K3691" i="14"/>
  <c r="J3691" i="14"/>
  <c r="I3691" i="14"/>
  <c r="H3691" i="14"/>
  <c r="G3691" i="14"/>
  <c r="F3691" i="14"/>
  <c r="E3691" i="14"/>
  <c r="D3693" i="14"/>
  <c r="D3671" i="14"/>
  <c r="M3645" i="14"/>
  <c r="L3645" i="14"/>
  <c r="K3645" i="14"/>
  <c r="J3645" i="14"/>
  <c r="I3645" i="14"/>
  <c r="H3645" i="14"/>
  <c r="G3645" i="14"/>
  <c r="F3645" i="14"/>
  <c r="D3647" i="14"/>
  <c r="E3645" i="14"/>
  <c r="D3625" i="14"/>
  <c r="M3599" i="14"/>
  <c r="L3599" i="14"/>
  <c r="K3599" i="14"/>
  <c r="J3599" i="14"/>
  <c r="I3599" i="14"/>
  <c r="H3599" i="14"/>
  <c r="G3599" i="14"/>
  <c r="F3599" i="14"/>
  <c r="D3601" i="14"/>
  <c r="E3599" i="14"/>
  <c r="D3579" i="14"/>
  <c r="M3553" i="14"/>
  <c r="L3553" i="14"/>
  <c r="K3553" i="14"/>
  <c r="J3553" i="14"/>
  <c r="I3553" i="14"/>
  <c r="H3553" i="14"/>
  <c r="G3553" i="14"/>
  <c r="F3553" i="14"/>
  <c r="E3553" i="14"/>
  <c r="D3555" i="14"/>
  <c r="D3533" i="14"/>
  <c r="M3507" i="14"/>
  <c r="L3507" i="14"/>
  <c r="K3507" i="14"/>
  <c r="J3507" i="14"/>
  <c r="I3507" i="14"/>
  <c r="H3507" i="14"/>
  <c r="G3507" i="14"/>
  <c r="F3507" i="14"/>
  <c r="D3509" i="14"/>
  <c r="E3507" i="14"/>
  <c r="D3487" i="14"/>
  <c r="M3461" i="14"/>
  <c r="L3461" i="14"/>
  <c r="K3461" i="14"/>
  <c r="J3461" i="14"/>
  <c r="I3461" i="14"/>
  <c r="H3461" i="14"/>
  <c r="G3461" i="14"/>
  <c r="F3461" i="14"/>
  <c r="E3461" i="14"/>
  <c r="D3463" i="14"/>
  <c r="D3441" i="14"/>
  <c r="M3415" i="14"/>
  <c r="L3415" i="14"/>
  <c r="K3415" i="14"/>
  <c r="J3415" i="14"/>
  <c r="I3415" i="14"/>
  <c r="H3415" i="14"/>
  <c r="G3415" i="14"/>
  <c r="F3415" i="14"/>
  <c r="D3417" i="14"/>
  <c r="E3415" i="14"/>
  <c r="D3395" i="14"/>
  <c r="M3369" i="14"/>
  <c r="L3369" i="14"/>
  <c r="K3369" i="14"/>
  <c r="J3369" i="14"/>
  <c r="I3369" i="14"/>
  <c r="H3369" i="14"/>
  <c r="G3369" i="14"/>
  <c r="F3369" i="14"/>
  <c r="D3371" i="14"/>
  <c r="E3369" i="14"/>
  <c r="D3349" i="14"/>
  <c r="M3323" i="14"/>
  <c r="L3323" i="14"/>
  <c r="K3323" i="14"/>
  <c r="J3323" i="14"/>
  <c r="I3323" i="14"/>
  <c r="H3323" i="14"/>
  <c r="G3323" i="14"/>
  <c r="F3323" i="14"/>
  <c r="E3323" i="14"/>
  <c r="D3325" i="14"/>
  <c r="D3303" i="14"/>
  <c r="M3277" i="14"/>
  <c r="L3277" i="14"/>
  <c r="K3277" i="14"/>
  <c r="J3277" i="14"/>
  <c r="I3277" i="14"/>
  <c r="H3277" i="14"/>
  <c r="G3277" i="14"/>
  <c r="F3277" i="14"/>
  <c r="E3277" i="14"/>
  <c r="D3279" i="14"/>
  <c r="D3257" i="14"/>
  <c r="M3231" i="14"/>
  <c r="L3231" i="14"/>
  <c r="K3231" i="14"/>
  <c r="J3231" i="14"/>
  <c r="I3231" i="14"/>
  <c r="H3231" i="14"/>
  <c r="G3231" i="14"/>
  <c r="F3231" i="14"/>
  <c r="E3231" i="14"/>
  <c r="D3233" i="14"/>
  <c r="D3211" i="14"/>
  <c r="M3185" i="14"/>
  <c r="L3185" i="14"/>
  <c r="K3185" i="14"/>
  <c r="J3185" i="14"/>
  <c r="I3185" i="14"/>
  <c r="H3185" i="14"/>
  <c r="G3185" i="14"/>
  <c r="F3185" i="14"/>
  <c r="E3185" i="14"/>
  <c r="D3187" i="14"/>
  <c r="D3165" i="14"/>
  <c r="M3139" i="14"/>
  <c r="L3139" i="14"/>
  <c r="K3139" i="14"/>
  <c r="J3139" i="14"/>
  <c r="I3139" i="14"/>
  <c r="H3139" i="14"/>
  <c r="G3139" i="14"/>
  <c r="F3139" i="14"/>
  <c r="E3139" i="14"/>
  <c r="D3141" i="14"/>
  <c r="D3119" i="14"/>
  <c r="M3093" i="14"/>
  <c r="L3093" i="14"/>
  <c r="K3093" i="14"/>
  <c r="J3093" i="14"/>
  <c r="I3093" i="14"/>
  <c r="H3093" i="14"/>
  <c r="G3093" i="14"/>
  <c r="F3093" i="14"/>
  <c r="E3093" i="14"/>
  <c r="D3095" i="14"/>
  <c r="D3073" i="14"/>
  <c r="M3047" i="14"/>
  <c r="L3047" i="14"/>
  <c r="K3047" i="14"/>
  <c r="J3047" i="14"/>
  <c r="I3047" i="14"/>
  <c r="H3047" i="14"/>
  <c r="G3047" i="14"/>
  <c r="F3047" i="14"/>
  <c r="E3047" i="14"/>
  <c r="D3049" i="14"/>
  <c r="D3027" i="14"/>
  <c r="M3001" i="14"/>
  <c r="L3001" i="14"/>
  <c r="K3001" i="14"/>
  <c r="J3001" i="14"/>
  <c r="I3001" i="14"/>
  <c r="H3001" i="14"/>
  <c r="G3001" i="14"/>
  <c r="F3001" i="14"/>
  <c r="E3001" i="14"/>
  <c r="D3003" i="14"/>
  <c r="D2981" i="14"/>
  <c r="M2955" i="14"/>
  <c r="L2955" i="14"/>
  <c r="K2955" i="14"/>
  <c r="J2955" i="14"/>
  <c r="I2955" i="14"/>
  <c r="H2955" i="14"/>
  <c r="G2955" i="14"/>
  <c r="F2955" i="14"/>
  <c r="E2955" i="14"/>
  <c r="D2957" i="14"/>
  <c r="D2935" i="14"/>
  <c r="M2909" i="14"/>
  <c r="L2909" i="14"/>
  <c r="K2909" i="14"/>
  <c r="J2909" i="14"/>
  <c r="I2909" i="14"/>
  <c r="H2909" i="14"/>
  <c r="G2909" i="14"/>
  <c r="F2909" i="14"/>
  <c r="E2909" i="14"/>
  <c r="D2911" i="14"/>
  <c r="D2889" i="14"/>
  <c r="B68" i="15"/>
  <c r="M2864" i="14"/>
  <c r="M2867" i="14" s="1"/>
  <c r="M2865" i="14"/>
  <c r="L2864" i="14"/>
  <c r="L2867" i="14" s="1"/>
  <c r="L2865" i="14"/>
  <c r="K2864" i="14"/>
  <c r="K2867" i="14" s="1"/>
  <c r="K2865" i="14"/>
  <c r="J2864" i="14"/>
  <c r="J2867" i="14" s="1"/>
  <c r="J2865" i="14"/>
  <c r="I2864" i="14"/>
  <c r="I2867" i="14" s="1"/>
  <c r="I2865" i="14"/>
  <c r="H2863" i="14"/>
  <c r="G2863" i="14"/>
  <c r="F2863" i="14"/>
  <c r="E2863" i="14"/>
  <c r="D2865" i="14"/>
  <c r="D2843" i="14"/>
  <c r="M2817" i="14"/>
  <c r="L2817" i="14"/>
  <c r="K2817" i="14"/>
  <c r="J2817" i="14"/>
  <c r="I2817" i="14"/>
  <c r="H2817" i="14"/>
  <c r="G2817" i="14"/>
  <c r="F2817" i="14"/>
  <c r="D2819" i="14"/>
  <c r="E2817" i="14"/>
  <c r="D2797" i="14"/>
  <c r="M2771" i="14"/>
  <c r="L2771" i="14"/>
  <c r="K2771" i="14"/>
  <c r="J2771" i="14"/>
  <c r="I2771" i="14"/>
  <c r="H2771" i="14"/>
  <c r="G2771" i="14"/>
  <c r="F2771" i="14"/>
  <c r="E2771" i="14"/>
  <c r="D2773" i="14"/>
  <c r="D2751" i="14"/>
  <c r="M2725" i="14"/>
  <c r="L2725" i="14"/>
  <c r="K2725" i="14"/>
  <c r="J2725" i="14"/>
  <c r="I2725" i="14"/>
  <c r="H2725" i="14"/>
  <c r="G2725" i="14"/>
  <c r="F2725" i="14"/>
  <c r="E2725" i="14"/>
  <c r="D2727" i="14"/>
  <c r="D2705" i="14"/>
  <c r="M2679" i="14"/>
  <c r="L2679" i="14"/>
  <c r="K2679" i="14"/>
  <c r="J2679" i="14"/>
  <c r="I2679" i="14"/>
  <c r="H2679" i="14"/>
  <c r="G2679" i="14"/>
  <c r="F2679" i="14"/>
  <c r="E2679" i="14"/>
  <c r="D2681" i="14"/>
  <c r="D2659" i="14"/>
  <c r="M2633" i="14"/>
  <c r="L2633" i="14"/>
  <c r="K2633" i="14"/>
  <c r="J2633" i="14"/>
  <c r="I2633" i="14"/>
  <c r="H2633" i="14"/>
  <c r="G2633" i="14"/>
  <c r="F2633" i="14"/>
  <c r="D2635" i="14"/>
  <c r="E2633" i="14"/>
  <c r="D2613" i="14"/>
  <c r="M2587" i="14"/>
  <c r="L2587" i="14"/>
  <c r="K2587" i="14"/>
  <c r="J2587" i="14"/>
  <c r="I2587" i="14"/>
  <c r="H2587" i="14"/>
  <c r="G2587" i="14"/>
  <c r="F2587" i="14"/>
  <c r="E2587" i="14"/>
  <c r="D2589" i="14"/>
  <c r="D2567" i="14"/>
  <c r="M2541" i="14"/>
  <c r="L2541" i="14"/>
  <c r="K2541" i="14"/>
  <c r="J2541" i="14"/>
  <c r="I2541" i="14"/>
  <c r="H2541" i="14"/>
  <c r="G2541" i="14"/>
  <c r="F2541" i="14"/>
  <c r="D2543" i="14"/>
  <c r="E2541" i="14"/>
  <c r="D2521" i="14"/>
  <c r="M2495" i="14"/>
  <c r="L2495" i="14"/>
  <c r="K2495" i="14"/>
  <c r="J2495" i="14"/>
  <c r="I2495" i="14"/>
  <c r="H2495" i="14"/>
  <c r="G2495" i="14"/>
  <c r="F2495" i="14"/>
  <c r="E2495" i="14"/>
  <c r="D2497" i="14"/>
  <c r="D2475" i="14"/>
  <c r="M2449" i="14"/>
  <c r="L2449" i="14"/>
  <c r="K2449" i="14"/>
  <c r="J2449" i="14"/>
  <c r="I2449" i="14"/>
  <c r="H2449" i="14"/>
  <c r="G2449" i="14"/>
  <c r="F2449" i="14"/>
  <c r="D2451" i="14"/>
  <c r="E2449" i="14"/>
  <c r="D2429" i="14"/>
  <c r="M2403" i="14"/>
  <c r="L2403" i="14"/>
  <c r="K2403" i="14"/>
  <c r="J2403" i="14"/>
  <c r="I2403" i="14"/>
  <c r="H2403" i="14"/>
  <c r="G2403" i="14"/>
  <c r="F2403" i="14"/>
  <c r="D2405" i="14"/>
  <c r="E2403" i="14"/>
  <c r="D2383" i="14"/>
  <c r="M2357" i="14"/>
  <c r="L2357" i="14"/>
  <c r="K2357" i="14"/>
  <c r="J2357" i="14"/>
  <c r="I2357" i="14"/>
  <c r="H2357" i="14"/>
  <c r="G2357" i="14"/>
  <c r="F2357" i="14"/>
  <c r="E2357" i="14"/>
  <c r="D2359" i="14"/>
  <c r="D2337" i="14"/>
  <c r="M2311" i="14"/>
  <c r="L2311" i="14"/>
  <c r="K2311" i="14"/>
  <c r="J2311" i="14"/>
  <c r="I2311" i="14"/>
  <c r="H2311" i="14"/>
  <c r="G2311" i="14"/>
  <c r="F2311" i="14"/>
  <c r="E2311" i="14"/>
  <c r="D2313" i="14"/>
  <c r="D2291" i="14"/>
  <c r="M2265" i="14"/>
  <c r="L2265" i="14"/>
  <c r="K2265" i="14"/>
  <c r="J2265" i="14"/>
  <c r="I2265" i="14"/>
  <c r="H2265" i="14"/>
  <c r="G2265" i="14"/>
  <c r="F2265" i="14"/>
  <c r="D2267" i="14"/>
  <c r="E2265" i="14"/>
  <c r="D2245" i="14"/>
  <c r="M2219" i="14"/>
  <c r="L2219" i="14"/>
  <c r="J2221" i="14"/>
  <c r="K2219" i="14"/>
  <c r="I2219" i="14"/>
  <c r="H2219" i="14"/>
  <c r="G2219" i="14"/>
  <c r="F2219" i="14"/>
  <c r="E2219" i="14"/>
  <c r="D2221" i="14"/>
  <c r="D2199" i="14"/>
  <c r="M2173" i="14"/>
  <c r="L2173" i="14"/>
  <c r="K2173" i="14"/>
  <c r="J2173" i="14"/>
  <c r="I2173" i="14"/>
  <c r="H2173" i="14"/>
  <c r="G2173" i="14"/>
  <c r="F2173" i="14"/>
  <c r="E2173" i="14"/>
  <c r="D2175" i="14"/>
  <c r="D2153" i="14"/>
  <c r="M2127" i="14"/>
  <c r="L2127" i="14"/>
  <c r="K2127" i="14"/>
  <c r="J2127" i="14"/>
  <c r="I2127" i="14"/>
  <c r="H2127" i="14"/>
  <c r="G2127" i="14"/>
  <c r="F2127" i="14"/>
  <c r="E2127" i="14"/>
  <c r="D2129" i="14"/>
  <c r="D2107" i="14"/>
  <c r="M2081" i="14"/>
  <c r="L2081" i="14"/>
  <c r="K2081" i="14"/>
  <c r="J2081" i="14"/>
  <c r="I2081" i="14"/>
  <c r="H2081" i="14"/>
  <c r="G2081" i="14"/>
  <c r="F2081" i="14"/>
  <c r="D2083" i="14"/>
  <c r="E2081" i="14"/>
  <c r="D2061" i="14"/>
  <c r="M2035" i="14"/>
  <c r="L2035" i="14"/>
  <c r="K2035" i="14"/>
  <c r="J2035" i="14"/>
  <c r="I2035" i="14"/>
  <c r="H2035" i="14"/>
  <c r="G2035" i="14"/>
  <c r="F2035" i="14"/>
  <c r="E2035" i="14"/>
  <c r="D2037" i="14"/>
  <c r="D2015" i="14"/>
  <c r="M1989" i="14"/>
  <c r="L1989" i="14"/>
  <c r="K1989" i="14"/>
  <c r="J1989" i="14"/>
  <c r="I1989" i="14"/>
  <c r="H1989" i="14"/>
  <c r="G1989" i="14"/>
  <c r="F1989" i="14"/>
  <c r="D1991" i="14"/>
  <c r="E1989" i="14"/>
  <c r="D1969" i="14"/>
  <c r="M1943" i="14"/>
  <c r="L1943" i="14"/>
  <c r="K1943" i="14"/>
  <c r="J1943" i="14"/>
  <c r="I1943" i="14"/>
  <c r="H1943" i="14"/>
  <c r="G1943" i="14"/>
  <c r="F1943" i="14"/>
  <c r="D1945" i="14"/>
  <c r="E1943" i="14"/>
  <c r="D1923" i="14"/>
  <c r="M1897" i="14"/>
  <c r="L1897" i="14"/>
  <c r="K1897" i="14"/>
  <c r="J1897" i="14"/>
  <c r="I1897" i="14"/>
  <c r="H1897" i="14"/>
  <c r="G1897" i="14"/>
  <c r="F1897" i="14"/>
  <c r="E1897" i="14"/>
  <c r="D1899" i="14"/>
  <c r="D1877" i="14"/>
  <c r="M1851" i="14"/>
  <c r="L1851" i="14"/>
  <c r="K1851" i="14"/>
  <c r="J1851" i="14"/>
  <c r="I1851" i="14"/>
  <c r="H1851" i="14"/>
  <c r="G1851" i="14"/>
  <c r="F1851" i="14"/>
  <c r="D1853" i="14"/>
  <c r="E1851" i="14"/>
  <c r="D1831" i="14"/>
  <c r="M1805" i="14"/>
  <c r="L1805" i="14"/>
  <c r="K1805" i="14"/>
  <c r="J1805" i="14"/>
  <c r="I1805" i="14"/>
  <c r="H1805" i="14"/>
  <c r="G1805" i="14"/>
  <c r="F1805" i="14"/>
  <c r="D1807" i="14"/>
  <c r="E1805" i="14"/>
  <c r="D1785" i="14"/>
  <c r="M1759" i="14"/>
  <c r="L1759" i="14"/>
  <c r="K1759" i="14"/>
  <c r="J1759" i="14"/>
  <c r="I1759" i="14"/>
  <c r="H1759" i="14"/>
  <c r="G1759" i="14"/>
  <c r="F1759" i="14"/>
  <c r="D1761" i="14"/>
  <c r="E1759" i="14"/>
  <c r="D1739" i="14"/>
  <c r="M1713" i="14"/>
  <c r="L1713" i="14"/>
  <c r="K1713" i="14"/>
  <c r="J1713" i="14"/>
  <c r="I1713" i="14"/>
  <c r="H1713" i="14"/>
  <c r="G1713" i="14"/>
  <c r="F1713" i="14"/>
  <c r="E1713" i="14"/>
  <c r="D1715" i="14"/>
  <c r="D1693" i="14"/>
  <c r="M1667" i="14"/>
  <c r="L1667" i="14"/>
  <c r="K1667" i="14"/>
  <c r="J1667" i="14"/>
  <c r="I1667" i="14"/>
  <c r="H1667" i="14"/>
  <c r="G1667" i="14"/>
  <c r="F1667" i="14"/>
  <c r="E1667" i="14"/>
  <c r="D1669" i="14"/>
  <c r="D1647" i="14"/>
  <c r="M1621" i="14"/>
  <c r="L1621" i="14"/>
  <c r="K1621" i="14"/>
  <c r="J1621" i="14"/>
  <c r="I1621" i="14"/>
  <c r="H1621" i="14"/>
  <c r="G1621" i="14"/>
  <c r="F1621" i="14"/>
  <c r="D1623" i="14"/>
  <c r="E1621" i="14"/>
  <c r="D1601" i="14"/>
  <c r="M1575" i="14"/>
  <c r="L1575" i="14"/>
  <c r="K1575" i="14"/>
  <c r="J1575" i="14"/>
  <c r="I1575" i="14"/>
  <c r="H1575" i="14"/>
  <c r="G1575" i="14"/>
  <c r="F1575" i="14"/>
  <c r="E1575" i="14"/>
  <c r="D1577" i="14"/>
  <c r="D1555" i="14"/>
  <c r="M1529" i="14"/>
  <c r="L1529" i="14"/>
  <c r="K1529" i="14"/>
  <c r="J1529" i="14"/>
  <c r="I1529" i="14"/>
  <c r="H1529" i="14"/>
  <c r="G1529" i="14"/>
  <c r="F1529" i="14"/>
  <c r="E1529" i="14"/>
  <c r="D1531" i="14"/>
  <c r="D1509" i="14"/>
  <c r="M1483" i="14"/>
  <c r="L1483" i="14"/>
  <c r="K1483" i="14"/>
  <c r="J1483" i="14"/>
  <c r="I1483" i="14"/>
  <c r="H1483" i="14"/>
  <c r="G1483" i="14"/>
  <c r="F1483" i="14"/>
  <c r="D1485" i="14"/>
  <c r="E1483" i="14"/>
  <c r="D1463" i="14"/>
  <c r="M1437" i="14"/>
  <c r="L1437" i="14"/>
  <c r="K1437" i="14"/>
  <c r="J1437" i="14"/>
  <c r="I1437" i="14"/>
  <c r="H1437" i="14"/>
  <c r="G1437" i="14"/>
  <c r="F1437" i="14"/>
  <c r="E1437" i="14"/>
  <c r="D1439" i="14"/>
  <c r="D1417" i="14"/>
  <c r="M1391" i="14"/>
  <c r="L1391" i="14"/>
  <c r="K1391" i="14"/>
  <c r="J1391" i="14"/>
  <c r="I1391" i="14"/>
  <c r="H1391" i="14"/>
  <c r="G1391" i="14"/>
  <c r="F1391" i="14"/>
  <c r="E1391" i="14"/>
  <c r="D1393" i="14"/>
  <c r="D1371" i="14"/>
  <c r="M1345" i="14"/>
  <c r="L1345" i="14"/>
  <c r="K1345" i="14"/>
  <c r="J1345" i="14"/>
  <c r="I1345" i="14"/>
  <c r="H1345" i="14"/>
  <c r="G1345" i="14"/>
  <c r="F1345" i="14"/>
  <c r="E1345" i="14"/>
  <c r="D1347" i="14"/>
  <c r="D1325" i="14"/>
  <c r="M1299" i="14"/>
  <c r="L1299" i="14"/>
  <c r="K1299" i="14"/>
  <c r="J1299" i="14"/>
  <c r="I1299" i="14"/>
  <c r="H1299" i="14"/>
  <c r="G1299" i="14"/>
  <c r="F1299" i="14"/>
  <c r="E1299" i="14"/>
  <c r="D1301" i="14"/>
  <c r="D1279" i="14"/>
  <c r="M1253" i="14"/>
  <c r="L1253" i="14"/>
  <c r="K1253" i="14"/>
  <c r="J1253" i="14"/>
  <c r="I1253" i="14"/>
  <c r="H1253" i="14"/>
  <c r="G1253" i="14"/>
  <c r="F1253" i="14"/>
  <c r="E1253" i="14"/>
  <c r="D1255" i="14"/>
  <c r="D1233" i="14"/>
  <c r="M1207" i="14"/>
  <c r="L1207" i="14"/>
  <c r="K1207" i="14"/>
  <c r="J1207" i="14"/>
  <c r="I1207" i="14"/>
  <c r="H1207" i="14"/>
  <c r="G1207" i="14"/>
  <c r="F1207" i="14"/>
  <c r="D1209" i="14"/>
  <c r="E1207" i="14"/>
  <c r="D1187" i="14"/>
  <c r="M1161" i="14"/>
  <c r="L1161" i="14"/>
  <c r="K1161" i="14"/>
  <c r="J1161" i="14"/>
  <c r="I1161" i="14"/>
  <c r="H1161" i="14"/>
  <c r="G1161" i="14"/>
  <c r="F1161" i="14"/>
  <c r="D1163" i="14"/>
  <c r="E1161" i="14"/>
  <c r="D1141" i="14"/>
  <c r="M1115" i="14"/>
  <c r="L1115" i="14"/>
  <c r="K1115" i="14"/>
  <c r="J1115" i="14"/>
  <c r="I1115" i="14"/>
  <c r="H1115" i="14"/>
  <c r="G1115" i="14"/>
  <c r="F1115" i="14"/>
  <c r="D1117" i="14"/>
  <c r="E1115" i="14"/>
  <c r="D1095" i="14"/>
  <c r="M1069" i="14"/>
  <c r="L1069" i="14"/>
  <c r="K1069" i="14"/>
  <c r="J1069" i="14"/>
  <c r="I1069" i="14"/>
  <c r="H1069" i="14"/>
  <c r="G1069" i="14"/>
  <c r="F1069" i="14"/>
  <c r="D1071" i="14"/>
  <c r="E1069" i="14"/>
  <c r="D1049" i="14"/>
  <c r="M1023" i="14"/>
  <c r="L1023" i="14"/>
  <c r="K1023" i="14"/>
  <c r="J1023" i="14"/>
  <c r="I1023" i="14"/>
  <c r="H1023" i="14"/>
  <c r="G1023" i="14"/>
  <c r="F1023" i="14"/>
  <c r="D1025" i="14"/>
  <c r="E1023" i="14"/>
  <c r="D1003" i="14"/>
  <c r="M977" i="14"/>
  <c r="L977" i="14"/>
  <c r="K977" i="14"/>
  <c r="J977" i="14"/>
  <c r="I977" i="14"/>
  <c r="H977" i="14"/>
  <c r="G977" i="14"/>
  <c r="F977" i="14"/>
  <c r="D979" i="14"/>
  <c r="E977" i="14"/>
  <c r="D957" i="14"/>
  <c r="M931" i="14"/>
  <c r="L931" i="14"/>
  <c r="K931" i="14"/>
  <c r="J931" i="14"/>
  <c r="I931" i="14"/>
  <c r="H931" i="14"/>
  <c r="G931" i="14"/>
  <c r="F931" i="14"/>
  <c r="D933" i="14"/>
  <c r="E931" i="14"/>
  <c r="D911" i="14"/>
  <c r="M885" i="14"/>
  <c r="L885" i="14"/>
  <c r="K885" i="14"/>
  <c r="J885" i="14"/>
  <c r="I885" i="14"/>
  <c r="H885" i="14"/>
  <c r="G885" i="14"/>
  <c r="F885" i="14"/>
  <c r="D887" i="14"/>
  <c r="E885" i="14"/>
  <c r="D865" i="14"/>
  <c r="M839" i="14"/>
  <c r="L839" i="14"/>
  <c r="K839" i="14"/>
  <c r="J839" i="14"/>
  <c r="I839" i="14"/>
  <c r="H839" i="14"/>
  <c r="G839" i="14"/>
  <c r="F839" i="14"/>
  <c r="D841" i="14"/>
  <c r="E839" i="14"/>
  <c r="D819" i="14"/>
  <c r="M793" i="14"/>
  <c r="L793" i="14"/>
  <c r="K793" i="14"/>
  <c r="J793" i="14"/>
  <c r="I793" i="14"/>
  <c r="H793" i="14"/>
  <c r="G793" i="14"/>
  <c r="F793" i="14"/>
  <c r="D795" i="14"/>
  <c r="E793" i="14"/>
  <c r="D773" i="14"/>
  <c r="M747" i="14"/>
  <c r="L747" i="14"/>
  <c r="K747" i="14"/>
  <c r="J747" i="14"/>
  <c r="I747" i="14"/>
  <c r="H747" i="14"/>
  <c r="G747" i="14"/>
  <c r="F747" i="14"/>
  <c r="D749" i="14"/>
  <c r="E747" i="14"/>
  <c r="D727" i="14"/>
  <c r="M701" i="14"/>
  <c r="L701" i="14"/>
  <c r="K701" i="14"/>
  <c r="J701" i="14"/>
  <c r="I701" i="14"/>
  <c r="H701" i="14"/>
  <c r="G701" i="14"/>
  <c r="F701" i="14"/>
  <c r="D703" i="14"/>
  <c r="E701" i="14"/>
  <c r="D681" i="14"/>
  <c r="M655" i="14"/>
  <c r="L655" i="14"/>
  <c r="K655" i="14"/>
  <c r="J655" i="14"/>
  <c r="I655" i="14"/>
  <c r="H655" i="14"/>
  <c r="G655" i="14"/>
  <c r="F655" i="14"/>
  <c r="D657" i="14"/>
  <c r="E655" i="14"/>
  <c r="D635" i="14"/>
  <c r="M609" i="14"/>
  <c r="L609" i="14"/>
  <c r="K609" i="14"/>
  <c r="J609" i="14"/>
  <c r="I609" i="14"/>
  <c r="H609" i="14"/>
  <c r="G609" i="14"/>
  <c r="F609" i="14"/>
  <c r="D611" i="14"/>
  <c r="E609" i="14"/>
  <c r="D589" i="14"/>
  <c r="M563" i="14"/>
  <c r="L563" i="14"/>
  <c r="K563" i="14"/>
  <c r="J563" i="14"/>
  <c r="I563" i="14"/>
  <c r="H563" i="14"/>
  <c r="G563" i="14"/>
  <c r="F563" i="14"/>
  <c r="D565" i="14"/>
  <c r="E563" i="14"/>
  <c r="D543" i="14"/>
  <c r="M517" i="14"/>
  <c r="L517" i="14"/>
  <c r="K517" i="14"/>
  <c r="J517" i="14"/>
  <c r="I517" i="14"/>
  <c r="H517" i="14"/>
  <c r="G517" i="14"/>
  <c r="F517" i="14"/>
  <c r="E517" i="14"/>
  <c r="D519" i="14"/>
  <c r="D497" i="14"/>
  <c r="M471" i="14"/>
  <c r="L471" i="14"/>
  <c r="K471" i="14"/>
  <c r="J471" i="14"/>
  <c r="I471" i="14"/>
  <c r="H471" i="14"/>
  <c r="G471" i="14"/>
  <c r="F471" i="14"/>
  <c r="E471" i="14"/>
  <c r="D473" i="14"/>
  <c r="D451" i="14"/>
  <c r="M425" i="14"/>
  <c r="L425" i="14"/>
  <c r="K425" i="14"/>
  <c r="J425" i="14"/>
  <c r="I425" i="14"/>
  <c r="H425" i="14"/>
  <c r="G425" i="14"/>
  <c r="F425" i="14"/>
  <c r="E425" i="14"/>
  <c r="D427" i="14"/>
  <c r="D405" i="14"/>
  <c r="M379" i="14"/>
  <c r="L379" i="14"/>
  <c r="K379" i="14"/>
  <c r="J379" i="14"/>
  <c r="I379" i="14"/>
  <c r="H379" i="14"/>
  <c r="G379" i="14"/>
  <c r="F379" i="14"/>
  <c r="D381" i="14"/>
  <c r="E379" i="14"/>
  <c r="B13" i="15"/>
  <c r="D359" i="14"/>
  <c r="D341" i="14"/>
  <c r="M334" i="14"/>
  <c r="M337" i="14" s="1"/>
  <c r="M335" i="14"/>
  <c r="L334" i="14"/>
  <c r="L337" i="14" s="1"/>
  <c r="L335" i="14"/>
  <c r="K334" i="14"/>
  <c r="K337" i="14" s="1"/>
  <c r="K335" i="14"/>
  <c r="J334" i="14"/>
  <c r="J337" i="14" s="1"/>
  <c r="J335" i="14"/>
  <c r="I334" i="14"/>
  <c r="I337" i="14" s="1"/>
  <c r="I335" i="14"/>
  <c r="H334" i="14"/>
  <c r="H337" i="14" s="1"/>
  <c r="H335" i="14"/>
  <c r="G334" i="14"/>
  <c r="G337" i="14" s="1"/>
  <c r="G335" i="14"/>
  <c r="F334" i="14"/>
  <c r="F337" i="14" s="1"/>
  <c r="F335" i="14"/>
  <c r="E334" i="14"/>
  <c r="E337" i="14" s="1"/>
  <c r="E335" i="14"/>
  <c r="D313" i="14"/>
  <c r="M287" i="14"/>
  <c r="L287" i="14"/>
  <c r="K287" i="14"/>
  <c r="J287" i="14"/>
  <c r="I287" i="14"/>
  <c r="H287" i="14"/>
  <c r="G287" i="14"/>
  <c r="F287" i="14"/>
  <c r="E287" i="14"/>
  <c r="D289" i="14"/>
  <c r="D267" i="14"/>
  <c r="M241" i="14"/>
  <c r="L241" i="14"/>
  <c r="K241" i="14"/>
  <c r="J241" i="14"/>
  <c r="I241" i="14"/>
  <c r="H241" i="14"/>
  <c r="G241" i="14"/>
  <c r="F241" i="14"/>
  <c r="D243" i="14"/>
  <c r="E241" i="14"/>
  <c r="D221" i="14"/>
  <c r="M195" i="14"/>
  <c r="L195" i="14"/>
  <c r="K195" i="14"/>
  <c r="J195" i="14"/>
  <c r="I195" i="14"/>
  <c r="H195" i="14"/>
  <c r="G195" i="14"/>
  <c r="F195" i="14"/>
  <c r="E195" i="14"/>
  <c r="D197" i="14"/>
  <c r="D175" i="14"/>
  <c r="M149" i="14"/>
  <c r="L149" i="14"/>
  <c r="K149" i="14"/>
  <c r="J149" i="14"/>
  <c r="I149" i="14"/>
  <c r="H149" i="14"/>
  <c r="G149" i="14"/>
  <c r="F149" i="14"/>
  <c r="D151" i="14"/>
  <c r="E149" i="14"/>
  <c r="D129" i="14"/>
  <c r="M103" i="14"/>
  <c r="L103" i="14"/>
  <c r="K103" i="14"/>
  <c r="J103" i="14"/>
  <c r="I103" i="14"/>
  <c r="H103" i="14"/>
  <c r="G103" i="14"/>
  <c r="F103" i="14"/>
  <c r="D105" i="14"/>
  <c r="E103" i="14"/>
  <c r="D83" i="14"/>
  <c r="M57" i="14"/>
  <c r="L57" i="14"/>
  <c r="K57" i="14"/>
  <c r="J57" i="14"/>
  <c r="I57" i="14"/>
  <c r="H57" i="14"/>
  <c r="G57" i="14"/>
  <c r="F57" i="14"/>
  <c r="E57" i="14"/>
  <c r="D59" i="14"/>
  <c r="B6" i="15"/>
  <c r="D37" i="14"/>
  <c r="M11" i="14"/>
  <c r="L11" i="14"/>
  <c r="K11" i="14"/>
  <c r="J11" i="14"/>
  <c r="I11" i="14"/>
  <c r="H11" i="14"/>
  <c r="G11" i="14"/>
  <c r="F11" i="14"/>
  <c r="E11" i="14"/>
  <c r="D13" i="14"/>
  <c r="I7" i="11"/>
  <c r="K7" i="11"/>
  <c r="I6" i="11"/>
  <c r="K6" i="11"/>
  <c r="I10" i="11"/>
  <c r="C44" i="7"/>
  <c r="D33" i="2" s="1"/>
  <c r="C52" i="7"/>
  <c r="C48" i="7"/>
  <c r="C67" i="7"/>
  <c r="C56" i="7"/>
  <c r="C46" i="7"/>
  <c r="C47" i="7" s="1"/>
  <c r="C22" i="7"/>
  <c r="C23" i="7"/>
  <c r="C10" i="7"/>
  <c r="C18" i="7"/>
  <c r="C19" i="7" s="1"/>
  <c r="C32" i="7"/>
  <c r="C14" i="7"/>
  <c r="C12" i="7"/>
  <c r="C28" i="7" s="1"/>
  <c r="F58" i="8"/>
  <c r="F68" i="8"/>
  <c r="F67" i="8"/>
  <c r="F66" i="8"/>
  <c r="F65" i="8"/>
  <c r="F64" i="8"/>
  <c r="F63" i="8"/>
  <c r="F62" i="8"/>
  <c r="F61" i="8"/>
  <c r="F60" i="8"/>
  <c r="F59" i="8"/>
  <c r="F57"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C33" i="7"/>
  <c r="D5143" i="6"/>
  <c r="M5117" i="6"/>
  <c r="L5117" i="6"/>
  <c r="K5117" i="6"/>
  <c r="J5117" i="6"/>
  <c r="I5117" i="6"/>
  <c r="H5117" i="6"/>
  <c r="G5117" i="6"/>
  <c r="F5117" i="6"/>
  <c r="E5117" i="6"/>
  <c r="D5119" i="6"/>
  <c r="D5097" i="6"/>
  <c r="M5071" i="6"/>
  <c r="L5071" i="6"/>
  <c r="K5071" i="6"/>
  <c r="J5071" i="6"/>
  <c r="I5071" i="6"/>
  <c r="H5071" i="6"/>
  <c r="G5071" i="6"/>
  <c r="F5071" i="6"/>
  <c r="E5071" i="6"/>
  <c r="D5073" i="6"/>
  <c r="D5051" i="6"/>
  <c r="M5025" i="6"/>
  <c r="L5025" i="6"/>
  <c r="K5025" i="6"/>
  <c r="J5025" i="6"/>
  <c r="I5025" i="6"/>
  <c r="H5025" i="6"/>
  <c r="G5025" i="6"/>
  <c r="F5025" i="6"/>
  <c r="D5027" i="6"/>
  <c r="E5025" i="6"/>
  <c r="D5005" i="6"/>
  <c r="M4979" i="6"/>
  <c r="L4979" i="6"/>
  <c r="K4979" i="6"/>
  <c r="J4979" i="6"/>
  <c r="I4979" i="6"/>
  <c r="H4979" i="6"/>
  <c r="G4979" i="6"/>
  <c r="F4979" i="6"/>
  <c r="D4981" i="6"/>
  <c r="E4979" i="6"/>
  <c r="D4959" i="6"/>
  <c r="M4933" i="6"/>
  <c r="L4933" i="6"/>
  <c r="K4933" i="6"/>
  <c r="J4933" i="6"/>
  <c r="I4933" i="6"/>
  <c r="H4933" i="6"/>
  <c r="G4933" i="6"/>
  <c r="F4933" i="6"/>
  <c r="E4933" i="6"/>
  <c r="D4935" i="6"/>
  <c r="D4913" i="6"/>
  <c r="M4887" i="6"/>
  <c r="L4887" i="6"/>
  <c r="K4887" i="6"/>
  <c r="J4887" i="6"/>
  <c r="I4887" i="6"/>
  <c r="H4887" i="6"/>
  <c r="G4887" i="6"/>
  <c r="F4887" i="6"/>
  <c r="E4887" i="6"/>
  <c r="D4889" i="6"/>
  <c r="D4867" i="6"/>
  <c r="M4841" i="6"/>
  <c r="L4841" i="6"/>
  <c r="K4841" i="6"/>
  <c r="J4841" i="6"/>
  <c r="I4841" i="6"/>
  <c r="H4841" i="6"/>
  <c r="G4841" i="6"/>
  <c r="F4841" i="6"/>
  <c r="D4843" i="6"/>
  <c r="E4841" i="6"/>
  <c r="D4821" i="6"/>
  <c r="M4795" i="6"/>
  <c r="L4795" i="6"/>
  <c r="K4795" i="6"/>
  <c r="J4795" i="6"/>
  <c r="I4795" i="6"/>
  <c r="H4795" i="6"/>
  <c r="G4795" i="6"/>
  <c r="F4795" i="6"/>
  <c r="E4795" i="6"/>
  <c r="D4797" i="6"/>
  <c r="D4775" i="6"/>
  <c r="M4749" i="6"/>
  <c r="L4749" i="6"/>
  <c r="K4749" i="6"/>
  <c r="J4749" i="6"/>
  <c r="I4749" i="6"/>
  <c r="H4749" i="6"/>
  <c r="G4749" i="6"/>
  <c r="F4749" i="6"/>
  <c r="D4751" i="6"/>
  <c r="E4749" i="6"/>
  <c r="D4729" i="6"/>
  <c r="M4704" i="6"/>
  <c r="M4707" i="6" s="1"/>
  <c r="M4705" i="6"/>
  <c r="L4704" i="6"/>
  <c r="L4707" i="6" s="1"/>
  <c r="L4705" i="6"/>
  <c r="K4705" i="6"/>
  <c r="K4704" i="6"/>
  <c r="K4707" i="6" s="1"/>
  <c r="J4705" i="6"/>
  <c r="J4704" i="6"/>
  <c r="J4707" i="6" s="1"/>
  <c r="I4704" i="6"/>
  <c r="I4707" i="6" s="1"/>
  <c r="I4705" i="6"/>
  <c r="H4704" i="6"/>
  <c r="H4707" i="6" s="1"/>
  <c r="H4705" i="6"/>
  <c r="G4704" i="6"/>
  <c r="G4707" i="6" s="1"/>
  <c r="G4705" i="6"/>
  <c r="F4704" i="6"/>
  <c r="F4707" i="6" s="1"/>
  <c r="F4705" i="6"/>
  <c r="E4704" i="6"/>
  <c r="E4707" i="6" s="1"/>
  <c r="E4705" i="6"/>
  <c r="D4683" i="6"/>
  <c r="M4657" i="6"/>
  <c r="L4657" i="6"/>
  <c r="K4657" i="6"/>
  <c r="J4657" i="6"/>
  <c r="I4657" i="6"/>
  <c r="H4657" i="6"/>
  <c r="G4657" i="6"/>
  <c r="F4657" i="6"/>
  <c r="E4657" i="6"/>
  <c r="D4659" i="6"/>
  <c r="D4637" i="6"/>
  <c r="M4611" i="6"/>
  <c r="L4611" i="6"/>
  <c r="K4611" i="6"/>
  <c r="J4611" i="6"/>
  <c r="I4611" i="6"/>
  <c r="H4611" i="6"/>
  <c r="G4611" i="6"/>
  <c r="F4611" i="6"/>
  <c r="D4613" i="6"/>
  <c r="E4611" i="6"/>
  <c r="D4591" i="6"/>
  <c r="M4565" i="6"/>
  <c r="L4565" i="6"/>
  <c r="K4565" i="6"/>
  <c r="J4565" i="6"/>
  <c r="I4565" i="6"/>
  <c r="H4565" i="6"/>
  <c r="G4565" i="6"/>
  <c r="F4565" i="6"/>
  <c r="D4567" i="6"/>
  <c r="E4565" i="6"/>
  <c r="D4545" i="6"/>
  <c r="M4519" i="6"/>
  <c r="L4519" i="6"/>
  <c r="K4519" i="6"/>
  <c r="J4519" i="6"/>
  <c r="I4519" i="6"/>
  <c r="H4519" i="6"/>
  <c r="G4519" i="6"/>
  <c r="F4519" i="6"/>
  <c r="E4519" i="6"/>
  <c r="D4521" i="6"/>
  <c r="D4499" i="6"/>
  <c r="M4473" i="6"/>
  <c r="L4473" i="6"/>
  <c r="K4473" i="6"/>
  <c r="J4473" i="6"/>
  <c r="I4473" i="6"/>
  <c r="H4473" i="6"/>
  <c r="G4473" i="6"/>
  <c r="F4473" i="6"/>
  <c r="E4473" i="6"/>
  <c r="D4475" i="6"/>
  <c r="D4453" i="6"/>
  <c r="M4427" i="6"/>
  <c r="L4427" i="6"/>
  <c r="K4427" i="6"/>
  <c r="J4427" i="6"/>
  <c r="I4427" i="6"/>
  <c r="H4427" i="6"/>
  <c r="G4427" i="6"/>
  <c r="F4427" i="6"/>
  <c r="E4427" i="6"/>
  <c r="D4429" i="6"/>
  <c r="D4407" i="6"/>
  <c r="M4381" i="6"/>
  <c r="L4381" i="6"/>
  <c r="K4381" i="6"/>
  <c r="J4381" i="6"/>
  <c r="I4381" i="6"/>
  <c r="H4381" i="6"/>
  <c r="G4381" i="6"/>
  <c r="F4381" i="6"/>
  <c r="D4383" i="6"/>
  <c r="E4381" i="6"/>
  <c r="D4361" i="6"/>
  <c r="M4335" i="6"/>
  <c r="L4335" i="6"/>
  <c r="K4335" i="6"/>
  <c r="J4335" i="6"/>
  <c r="I4335" i="6"/>
  <c r="H4335" i="6"/>
  <c r="G4335" i="6"/>
  <c r="F4335" i="6"/>
  <c r="D4337" i="6"/>
  <c r="E4335" i="6"/>
  <c r="D4315" i="6"/>
  <c r="M4289" i="6"/>
  <c r="L4289" i="6"/>
  <c r="K4289" i="6"/>
  <c r="J4289" i="6"/>
  <c r="I4289" i="6"/>
  <c r="H4289" i="6"/>
  <c r="G4289" i="6"/>
  <c r="F4289" i="6"/>
  <c r="D4291" i="6"/>
  <c r="E4289" i="6"/>
  <c r="D4269" i="6"/>
  <c r="M4243" i="6"/>
  <c r="L4243" i="6"/>
  <c r="K4243" i="6"/>
  <c r="J4243" i="6"/>
  <c r="I4243" i="6"/>
  <c r="H4243" i="6"/>
  <c r="G4243" i="6"/>
  <c r="F4243" i="6"/>
  <c r="D4245" i="6"/>
  <c r="E4243" i="6"/>
  <c r="D4223" i="6"/>
  <c r="M4197" i="6"/>
  <c r="L4197" i="6"/>
  <c r="K4197" i="6"/>
  <c r="J4197" i="6"/>
  <c r="I4197" i="6"/>
  <c r="H4197" i="6"/>
  <c r="G4197" i="6"/>
  <c r="F4197" i="6"/>
  <c r="E4197" i="6"/>
  <c r="D4199" i="6"/>
  <c r="D4177" i="6"/>
  <c r="M4151" i="6"/>
  <c r="L4151" i="6"/>
  <c r="K4151" i="6"/>
  <c r="J4151" i="6"/>
  <c r="I4151" i="6"/>
  <c r="H4151" i="6"/>
  <c r="G4151" i="6"/>
  <c r="F4151" i="6"/>
  <c r="D4153" i="6"/>
  <c r="E4151" i="6"/>
  <c r="D4131" i="6"/>
  <c r="M4105" i="6"/>
  <c r="L4105" i="6"/>
  <c r="K4105" i="6"/>
  <c r="J4105" i="6"/>
  <c r="I4105" i="6"/>
  <c r="H4105" i="6"/>
  <c r="G4105" i="6"/>
  <c r="F4105" i="6"/>
  <c r="D4107" i="6"/>
  <c r="E4105" i="6"/>
  <c r="D4085" i="6"/>
  <c r="M4059" i="6"/>
  <c r="L4059" i="6"/>
  <c r="K4059" i="6"/>
  <c r="J4059" i="6"/>
  <c r="I4059" i="6"/>
  <c r="H4059" i="6"/>
  <c r="G4059" i="6"/>
  <c r="F4059" i="6"/>
  <c r="D4061" i="6"/>
  <c r="E4059" i="6"/>
  <c r="D4039" i="6"/>
  <c r="M4013" i="6"/>
  <c r="L4013" i="6"/>
  <c r="K4013" i="6"/>
  <c r="J4013" i="6"/>
  <c r="I4013" i="6"/>
  <c r="H4013" i="6"/>
  <c r="G4013" i="6"/>
  <c r="F4013" i="6"/>
  <c r="E4013" i="6"/>
  <c r="D4015" i="6"/>
  <c r="D3993" i="6"/>
  <c r="M3967" i="6"/>
  <c r="L3967" i="6"/>
  <c r="K3967" i="6"/>
  <c r="J3967" i="6"/>
  <c r="I3967" i="6"/>
  <c r="H3967" i="6"/>
  <c r="G3967" i="6"/>
  <c r="F3967" i="6"/>
  <c r="D3969" i="6"/>
  <c r="E3967" i="6"/>
  <c r="D3947" i="6"/>
  <c r="M3921" i="6"/>
  <c r="L3921" i="6"/>
  <c r="K3921" i="6"/>
  <c r="J3921" i="6"/>
  <c r="I3921" i="6"/>
  <c r="H3921" i="6"/>
  <c r="G3921" i="6"/>
  <c r="F3921" i="6"/>
  <c r="E3921" i="6"/>
  <c r="D3923" i="6"/>
  <c r="D3901" i="6"/>
  <c r="M3875" i="6"/>
  <c r="L3875" i="6"/>
  <c r="K3875" i="6"/>
  <c r="J3875" i="6"/>
  <c r="I3875" i="6"/>
  <c r="H3875" i="6"/>
  <c r="G3875" i="6"/>
  <c r="F3875" i="6"/>
  <c r="D3877" i="6"/>
  <c r="E3875" i="6"/>
  <c r="D3855" i="6"/>
  <c r="M3829" i="6"/>
  <c r="L3829" i="6"/>
  <c r="K3829" i="6"/>
  <c r="J3829" i="6"/>
  <c r="I3829" i="6"/>
  <c r="H3829" i="6"/>
  <c r="G3829" i="6"/>
  <c r="F3829" i="6"/>
  <c r="D3831" i="6"/>
  <c r="E3829" i="6"/>
  <c r="D3809" i="6"/>
  <c r="M3783" i="6"/>
  <c r="L3783" i="6"/>
  <c r="K3783" i="6"/>
  <c r="J3783" i="6"/>
  <c r="I3783" i="6"/>
  <c r="H3783" i="6"/>
  <c r="G3783" i="6"/>
  <c r="F3783" i="6"/>
  <c r="E3783" i="6"/>
  <c r="D3785" i="6"/>
  <c r="D3763" i="6"/>
  <c r="M3737" i="6"/>
  <c r="L3737" i="6"/>
  <c r="K3737" i="6"/>
  <c r="J3737" i="6"/>
  <c r="I3737" i="6"/>
  <c r="H3737" i="6"/>
  <c r="G3737" i="6"/>
  <c r="F3737" i="6"/>
  <c r="E3737" i="6"/>
  <c r="D3739" i="6"/>
  <c r="D3717" i="6"/>
  <c r="M3691" i="6"/>
  <c r="L3691" i="6"/>
  <c r="K3691" i="6"/>
  <c r="J3691" i="6"/>
  <c r="I3691" i="6"/>
  <c r="H3691" i="6"/>
  <c r="G3691" i="6"/>
  <c r="F3691" i="6"/>
  <c r="E3691" i="6"/>
  <c r="D3693" i="6"/>
  <c r="D3671" i="6"/>
  <c r="M3645" i="6"/>
  <c r="L3645" i="6"/>
  <c r="K3645" i="6"/>
  <c r="J3645" i="6"/>
  <c r="I3645" i="6"/>
  <c r="H3645" i="6"/>
  <c r="G3645" i="6"/>
  <c r="F3645" i="6"/>
  <c r="E3645" i="6"/>
  <c r="D3647" i="6"/>
  <c r="D3625" i="6"/>
  <c r="M3599" i="6"/>
  <c r="L3599" i="6"/>
  <c r="K3599" i="6"/>
  <c r="J3599" i="6"/>
  <c r="I3599" i="6"/>
  <c r="H3599" i="6"/>
  <c r="G3599" i="6"/>
  <c r="F3599" i="6"/>
  <c r="D3601" i="6"/>
  <c r="E3599" i="6"/>
  <c r="D3579" i="6"/>
  <c r="M3553" i="6"/>
  <c r="L3553" i="6"/>
  <c r="K3553" i="6"/>
  <c r="J3553" i="6"/>
  <c r="I3553" i="6"/>
  <c r="H3553" i="6"/>
  <c r="G3553" i="6"/>
  <c r="F3553" i="6"/>
  <c r="D3555" i="6"/>
  <c r="E3553" i="6"/>
  <c r="D3533" i="6"/>
  <c r="M3507" i="6"/>
  <c r="L3507" i="6"/>
  <c r="K3507" i="6"/>
  <c r="J3507" i="6"/>
  <c r="I3507" i="6"/>
  <c r="H3507" i="6"/>
  <c r="G3507" i="6"/>
  <c r="F3507" i="6"/>
  <c r="D3509" i="6"/>
  <c r="E3507" i="6"/>
  <c r="D3487" i="6"/>
  <c r="M3461" i="6"/>
  <c r="L3461" i="6"/>
  <c r="K3461" i="6"/>
  <c r="J3461" i="6"/>
  <c r="I3461" i="6"/>
  <c r="H3461" i="6"/>
  <c r="G3461" i="6"/>
  <c r="F3461" i="6"/>
  <c r="D3463" i="6"/>
  <c r="E3461" i="6"/>
  <c r="D3441" i="6"/>
  <c r="M3415" i="6"/>
  <c r="L3415" i="6"/>
  <c r="K3415" i="6"/>
  <c r="J3415" i="6"/>
  <c r="I3415" i="6"/>
  <c r="H3415" i="6"/>
  <c r="G3415" i="6"/>
  <c r="F3415" i="6"/>
  <c r="E3415" i="6"/>
  <c r="D3417" i="6"/>
  <c r="D3395" i="6"/>
  <c r="M3369" i="6"/>
  <c r="L3369" i="6"/>
  <c r="K3369" i="6"/>
  <c r="J3369" i="6"/>
  <c r="I3369" i="6"/>
  <c r="H3369" i="6"/>
  <c r="G3369" i="6"/>
  <c r="F3369" i="6"/>
  <c r="D3371" i="6"/>
  <c r="E3369" i="6"/>
  <c r="D3349" i="6"/>
  <c r="M3323" i="6"/>
  <c r="L3323" i="6"/>
  <c r="K3323" i="6"/>
  <c r="J3323" i="6"/>
  <c r="I3323" i="6"/>
  <c r="H3323" i="6"/>
  <c r="G3323" i="6"/>
  <c r="F3323" i="6"/>
  <c r="D3325" i="6"/>
  <c r="E3323" i="6"/>
  <c r="D3303" i="6"/>
  <c r="M3277" i="6"/>
  <c r="L3277" i="6"/>
  <c r="K3277" i="6"/>
  <c r="J3277" i="6"/>
  <c r="I3277" i="6"/>
  <c r="H3277" i="6"/>
  <c r="G3277" i="6"/>
  <c r="F3277" i="6"/>
  <c r="D3279" i="6"/>
  <c r="E3277" i="6"/>
  <c r="D3257" i="6"/>
  <c r="M3231" i="6"/>
  <c r="L3231" i="6"/>
  <c r="K3231" i="6"/>
  <c r="J3231" i="6"/>
  <c r="I3231" i="6"/>
  <c r="H3231" i="6"/>
  <c r="G3231" i="6"/>
  <c r="F3231" i="6"/>
  <c r="E3231" i="6"/>
  <c r="D3233" i="6"/>
  <c r="D3211" i="6"/>
  <c r="M3185" i="6"/>
  <c r="L3187" i="6"/>
  <c r="K3185" i="6"/>
  <c r="J3185" i="6"/>
  <c r="I3185" i="6"/>
  <c r="H3185" i="6"/>
  <c r="G3185" i="6"/>
  <c r="F3185" i="6"/>
  <c r="E3185" i="6"/>
  <c r="D3187" i="6"/>
  <c r="D3165" i="6"/>
  <c r="M3139" i="6"/>
  <c r="L3139" i="6"/>
  <c r="K3139" i="6"/>
  <c r="J3139" i="6"/>
  <c r="I3139" i="6"/>
  <c r="H3139" i="6"/>
  <c r="G3139" i="6"/>
  <c r="F3139" i="6"/>
  <c r="E3139" i="6"/>
  <c r="D3141" i="6"/>
  <c r="D3119" i="6"/>
  <c r="M3093" i="6"/>
  <c r="L3093" i="6"/>
  <c r="K3093" i="6"/>
  <c r="J3093" i="6"/>
  <c r="I3093" i="6"/>
  <c r="H3093" i="6"/>
  <c r="G3093" i="6"/>
  <c r="F3093" i="6"/>
  <c r="E3093" i="6"/>
  <c r="D3095" i="6"/>
  <c r="D3073" i="6"/>
  <c r="M3047" i="6"/>
  <c r="L3047" i="6"/>
  <c r="K3047" i="6"/>
  <c r="J3047" i="6"/>
  <c r="I3047" i="6"/>
  <c r="H3047" i="6"/>
  <c r="G3047" i="6"/>
  <c r="F3047" i="6"/>
  <c r="D3049" i="6"/>
  <c r="E3047" i="6"/>
  <c r="D3027" i="6"/>
  <c r="M3001" i="6"/>
  <c r="L3001" i="6"/>
  <c r="K3001" i="6"/>
  <c r="J3001" i="6"/>
  <c r="I3001" i="6"/>
  <c r="H3001" i="6"/>
  <c r="G3001" i="6"/>
  <c r="F3001" i="6"/>
  <c r="D3003" i="6"/>
  <c r="E3001" i="6"/>
  <c r="D2981" i="6"/>
  <c r="M2955" i="6"/>
  <c r="L2955" i="6"/>
  <c r="K2955" i="6"/>
  <c r="J2955" i="6"/>
  <c r="I2955" i="6"/>
  <c r="H2955" i="6"/>
  <c r="G2955" i="6"/>
  <c r="F2955" i="6"/>
  <c r="D2957" i="6"/>
  <c r="E2955" i="6"/>
  <c r="D2935" i="6"/>
  <c r="M2909" i="6"/>
  <c r="L2909" i="6"/>
  <c r="K2909" i="6"/>
  <c r="J2909" i="6"/>
  <c r="I2909" i="6"/>
  <c r="H2909" i="6"/>
  <c r="G2909" i="6"/>
  <c r="F2909" i="6"/>
  <c r="D2911" i="6"/>
  <c r="E2909" i="6"/>
  <c r="D2889" i="6"/>
  <c r="M2863" i="6"/>
  <c r="L2863" i="6"/>
  <c r="K2863" i="6"/>
  <c r="J2863" i="6"/>
  <c r="I2863" i="6"/>
  <c r="H2863" i="6"/>
  <c r="G2863" i="6"/>
  <c r="F2863" i="6"/>
  <c r="D2865" i="6"/>
  <c r="E2863" i="6"/>
  <c r="D2843" i="6"/>
  <c r="M2817" i="6"/>
  <c r="L2817" i="6"/>
  <c r="K2817" i="6"/>
  <c r="J2817" i="6"/>
  <c r="I2817" i="6"/>
  <c r="H2817" i="6"/>
  <c r="G2817" i="6"/>
  <c r="F2817" i="6"/>
  <c r="D2819" i="6"/>
  <c r="E2817" i="6"/>
  <c r="D2797" i="6"/>
  <c r="M2771" i="6"/>
  <c r="L2771" i="6"/>
  <c r="K2771" i="6"/>
  <c r="J2771" i="6"/>
  <c r="I2771" i="6"/>
  <c r="H2771" i="6"/>
  <c r="G2771" i="6"/>
  <c r="F2771" i="6"/>
  <c r="E2771" i="6"/>
  <c r="D2773" i="6"/>
  <c r="D2751" i="6"/>
  <c r="M2725" i="6"/>
  <c r="L2725" i="6"/>
  <c r="K2725" i="6"/>
  <c r="J2725" i="6"/>
  <c r="I2725" i="6"/>
  <c r="H2725" i="6"/>
  <c r="G2725" i="6"/>
  <c r="F2725" i="6"/>
  <c r="E2725" i="6"/>
  <c r="D2727" i="6"/>
  <c r="D2705" i="6"/>
  <c r="M2679" i="6"/>
  <c r="L2679" i="6"/>
  <c r="K2679" i="6"/>
  <c r="J2679" i="6"/>
  <c r="I2679" i="6"/>
  <c r="H2679" i="6"/>
  <c r="G2679" i="6"/>
  <c r="F2679" i="6"/>
  <c r="D2681" i="6"/>
  <c r="E2679" i="6"/>
  <c r="D2659" i="6"/>
  <c r="M2633" i="6"/>
  <c r="L2633" i="6"/>
  <c r="K2633" i="6"/>
  <c r="J2633" i="6"/>
  <c r="I2633" i="6"/>
  <c r="H2633" i="6"/>
  <c r="G2633" i="6"/>
  <c r="F2633" i="6"/>
  <c r="E2633" i="6"/>
  <c r="D2635" i="6"/>
  <c r="D2613" i="6"/>
  <c r="M2587" i="6"/>
  <c r="L2587" i="6"/>
  <c r="K2587" i="6"/>
  <c r="J2587" i="6"/>
  <c r="I2587" i="6"/>
  <c r="H2587" i="6"/>
  <c r="G2587" i="6"/>
  <c r="F2587" i="6"/>
  <c r="D2589" i="6"/>
  <c r="E2587" i="6"/>
  <c r="D2567" i="6"/>
  <c r="M2541" i="6"/>
  <c r="L2541" i="6"/>
  <c r="K2541" i="6"/>
  <c r="J2541" i="6"/>
  <c r="I2541" i="6"/>
  <c r="H2541" i="6"/>
  <c r="G2541" i="6"/>
  <c r="F2541" i="6"/>
  <c r="E2541" i="6"/>
  <c r="D2543" i="6"/>
  <c r="D2521" i="6"/>
  <c r="M2495" i="6"/>
  <c r="L2495" i="6"/>
  <c r="K2495" i="6"/>
  <c r="J2495" i="6"/>
  <c r="I2495" i="6"/>
  <c r="H2495" i="6"/>
  <c r="G2495" i="6"/>
  <c r="F2495" i="6"/>
  <c r="D2497" i="6"/>
  <c r="E2495" i="6"/>
  <c r="D2475" i="6"/>
  <c r="M2449" i="6"/>
  <c r="L2449" i="6"/>
  <c r="K2449" i="6"/>
  <c r="J2449" i="6"/>
  <c r="I2449" i="6"/>
  <c r="H2449" i="6"/>
  <c r="G2449" i="6"/>
  <c r="F2449" i="6"/>
  <c r="E2449" i="6"/>
  <c r="D2451" i="6"/>
  <c r="D2429" i="6"/>
  <c r="M2403" i="6"/>
  <c r="L2403" i="6"/>
  <c r="K2403" i="6"/>
  <c r="J2403" i="6"/>
  <c r="I2403" i="6"/>
  <c r="H2403" i="6"/>
  <c r="G2403" i="6"/>
  <c r="F2403" i="6"/>
  <c r="D2405" i="6"/>
  <c r="E2403" i="6"/>
  <c r="D2383" i="6"/>
  <c r="M2357" i="6"/>
  <c r="L2357" i="6"/>
  <c r="K2357" i="6"/>
  <c r="J2357" i="6"/>
  <c r="I2357" i="6"/>
  <c r="H2357" i="6"/>
  <c r="G2357" i="6"/>
  <c r="F2357" i="6"/>
  <c r="E2357" i="6"/>
  <c r="D2359" i="6"/>
  <c r="D2337" i="6"/>
  <c r="M2311" i="6"/>
  <c r="L2311" i="6"/>
  <c r="K2311" i="6"/>
  <c r="J2311" i="6"/>
  <c r="I2311" i="6"/>
  <c r="H2311" i="6"/>
  <c r="G2311" i="6"/>
  <c r="F2311" i="6"/>
  <c r="E2311" i="6"/>
  <c r="D2313" i="6"/>
  <c r="D2291" i="6"/>
  <c r="M2265" i="6"/>
  <c r="L2265" i="6"/>
  <c r="K2265" i="6"/>
  <c r="J2265" i="6"/>
  <c r="I2265" i="6"/>
  <c r="H2265" i="6"/>
  <c r="G2265" i="6"/>
  <c r="F2265" i="6"/>
  <c r="D2267" i="6"/>
  <c r="E2265" i="6"/>
  <c r="D2245" i="6"/>
  <c r="M2219" i="6"/>
  <c r="L2219" i="6"/>
  <c r="K2219" i="6"/>
  <c r="J2219" i="6"/>
  <c r="I2219" i="6"/>
  <c r="H2219" i="6"/>
  <c r="G2219" i="6"/>
  <c r="F2219" i="6"/>
  <c r="E2219" i="6"/>
  <c r="D2221" i="6"/>
  <c r="D2199" i="6"/>
  <c r="M2174" i="6"/>
  <c r="M2177" i="6" s="1"/>
  <c r="M2175" i="6"/>
  <c r="L2174" i="6"/>
  <c r="L2177" i="6" s="1"/>
  <c r="L2175" i="6"/>
  <c r="K2174" i="6"/>
  <c r="K2177" i="6" s="1"/>
  <c r="K2175" i="6"/>
  <c r="J2174" i="6"/>
  <c r="J2177" i="6" s="1"/>
  <c r="J2175" i="6"/>
  <c r="I2174" i="6"/>
  <c r="I2177" i="6" s="1"/>
  <c r="I2175" i="6"/>
  <c r="H2174" i="6"/>
  <c r="H2177" i="6" s="1"/>
  <c r="H2175" i="6"/>
  <c r="G2174" i="6"/>
  <c r="G2177" i="6" s="1"/>
  <c r="G2175" i="6"/>
  <c r="F2174" i="6"/>
  <c r="F2177" i="6" s="1"/>
  <c r="F2175" i="6"/>
  <c r="E2174" i="6"/>
  <c r="E2177" i="6" s="1"/>
  <c r="E2175" i="6"/>
  <c r="D2153" i="6"/>
  <c r="M2127" i="6"/>
  <c r="L2127" i="6"/>
  <c r="K2127" i="6"/>
  <c r="J2127" i="6"/>
  <c r="I2127" i="6"/>
  <c r="H2127" i="6"/>
  <c r="G2127" i="6"/>
  <c r="F2127" i="6"/>
  <c r="D2129" i="6"/>
  <c r="E2127" i="6"/>
  <c r="D2107" i="6"/>
  <c r="M2081" i="6"/>
  <c r="L2081" i="6"/>
  <c r="K2081" i="6"/>
  <c r="J2081" i="6"/>
  <c r="I2081" i="6"/>
  <c r="H2081" i="6"/>
  <c r="G2081" i="6"/>
  <c r="F2081" i="6"/>
  <c r="D2083" i="6"/>
  <c r="E2081" i="6"/>
  <c r="D2061" i="6"/>
  <c r="M2035" i="6"/>
  <c r="L2035" i="6"/>
  <c r="K2035" i="6"/>
  <c r="J2035" i="6"/>
  <c r="I2035" i="6"/>
  <c r="H2035" i="6"/>
  <c r="G2035" i="6"/>
  <c r="F2035" i="6"/>
  <c r="E2035" i="6"/>
  <c r="D2037" i="6"/>
  <c r="D2015" i="6"/>
  <c r="M1989" i="6"/>
  <c r="L1989" i="6"/>
  <c r="K1989" i="6"/>
  <c r="J1989" i="6"/>
  <c r="I1989" i="6"/>
  <c r="H1989" i="6"/>
  <c r="G1989" i="6"/>
  <c r="F1989" i="6"/>
  <c r="E1989" i="6"/>
  <c r="D1991" i="6"/>
  <c r="D1969" i="6"/>
  <c r="M1943" i="6"/>
  <c r="L1943" i="6"/>
  <c r="K1943" i="6"/>
  <c r="J1943" i="6"/>
  <c r="I1943" i="6"/>
  <c r="H1943" i="6"/>
  <c r="G1943" i="6"/>
  <c r="F1943" i="6"/>
  <c r="E1943" i="6"/>
  <c r="D1945" i="6"/>
  <c r="D1923" i="6"/>
  <c r="M1897" i="6"/>
  <c r="L1897" i="6"/>
  <c r="K1897" i="6"/>
  <c r="J1897" i="6"/>
  <c r="I1897" i="6"/>
  <c r="H1897" i="6"/>
  <c r="G1897" i="6"/>
  <c r="F1897" i="6"/>
  <c r="E1897" i="6"/>
  <c r="D1899" i="6"/>
  <c r="D1877" i="6"/>
  <c r="M1851" i="6"/>
  <c r="L1851" i="6"/>
  <c r="K1851" i="6"/>
  <c r="J1851" i="6"/>
  <c r="I1851" i="6"/>
  <c r="H1851" i="6"/>
  <c r="G1851" i="6"/>
  <c r="F1851" i="6"/>
  <c r="D1853" i="6"/>
  <c r="E1851" i="6"/>
  <c r="D1831" i="6"/>
  <c r="M1805" i="6"/>
  <c r="L1805" i="6"/>
  <c r="K1805" i="6"/>
  <c r="J1805" i="6"/>
  <c r="I1805" i="6"/>
  <c r="H1805" i="6"/>
  <c r="G1805" i="6"/>
  <c r="F1805" i="6"/>
  <c r="D1807" i="6"/>
  <c r="E1805" i="6"/>
  <c r="D1785" i="6"/>
  <c r="M1759" i="6"/>
  <c r="L1759" i="6"/>
  <c r="K1759" i="6"/>
  <c r="J1759" i="6"/>
  <c r="I1759" i="6"/>
  <c r="H1759" i="6"/>
  <c r="G1759" i="6"/>
  <c r="F1759" i="6"/>
  <c r="D1761" i="6"/>
  <c r="E1759" i="6"/>
  <c r="D1739" i="6"/>
  <c r="M1713" i="6"/>
  <c r="L1713" i="6"/>
  <c r="K1713" i="6"/>
  <c r="J1713" i="6"/>
  <c r="I1713" i="6"/>
  <c r="H1713" i="6"/>
  <c r="G1713" i="6"/>
  <c r="F1713" i="6"/>
  <c r="E1713" i="6"/>
  <c r="D1715" i="6"/>
  <c r="D1693" i="6"/>
  <c r="M1667" i="6"/>
  <c r="L1667" i="6"/>
  <c r="K1667" i="6"/>
  <c r="J1667" i="6"/>
  <c r="I1667" i="6"/>
  <c r="H1667" i="6"/>
  <c r="G1667" i="6"/>
  <c r="F1667" i="6"/>
  <c r="E1667" i="6"/>
  <c r="D1669" i="6"/>
  <c r="D1647" i="6"/>
  <c r="M1621" i="6"/>
  <c r="L1621" i="6"/>
  <c r="K1621" i="6"/>
  <c r="J1621" i="6"/>
  <c r="I1621" i="6"/>
  <c r="H1621" i="6"/>
  <c r="G1621" i="6"/>
  <c r="F1621" i="6"/>
  <c r="E1621" i="6"/>
  <c r="D1623" i="6"/>
  <c r="D1601" i="6"/>
  <c r="M1575" i="6"/>
  <c r="L1575" i="6"/>
  <c r="K1575" i="6"/>
  <c r="J1575" i="6"/>
  <c r="I1575" i="6"/>
  <c r="H1575" i="6"/>
  <c r="G1575" i="6"/>
  <c r="F1575" i="6"/>
  <c r="E1575" i="6"/>
  <c r="D1577" i="6"/>
  <c r="D1555" i="6"/>
  <c r="M1529" i="6"/>
  <c r="L1529" i="6"/>
  <c r="K1529" i="6"/>
  <c r="J1529" i="6"/>
  <c r="I1529" i="6"/>
  <c r="H1529" i="6"/>
  <c r="G1529" i="6"/>
  <c r="F1529" i="6"/>
  <c r="D1531" i="6"/>
  <c r="E1529" i="6"/>
  <c r="D1509" i="6"/>
  <c r="M1483" i="6"/>
  <c r="L1483" i="6"/>
  <c r="K1483" i="6"/>
  <c r="J1483" i="6"/>
  <c r="I1483" i="6"/>
  <c r="H1483" i="6"/>
  <c r="G1483" i="6"/>
  <c r="F1483" i="6"/>
  <c r="D1485" i="6"/>
  <c r="E1483" i="6"/>
  <c r="D1463" i="6"/>
  <c r="M1437" i="6"/>
  <c r="L1437" i="6"/>
  <c r="K1437" i="6"/>
  <c r="J1437" i="6"/>
  <c r="I1437" i="6"/>
  <c r="H1437" i="6"/>
  <c r="G1437" i="6"/>
  <c r="F1437" i="6"/>
  <c r="E1437" i="6"/>
  <c r="D1439" i="6"/>
  <c r="D1417" i="6"/>
  <c r="M1391" i="6"/>
  <c r="L1391" i="6"/>
  <c r="K1391" i="6"/>
  <c r="J1391" i="6"/>
  <c r="I1391" i="6"/>
  <c r="H1391" i="6"/>
  <c r="G1391" i="6"/>
  <c r="F1391" i="6"/>
  <c r="D1393" i="6"/>
  <c r="E1391" i="6"/>
  <c r="D1371" i="6"/>
  <c r="M1345" i="6"/>
  <c r="L1345" i="6"/>
  <c r="K1347" i="6"/>
  <c r="K1345" i="6"/>
  <c r="K1346" i="6" s="1"/>
  <c r="K1349" i="6" s="1"/>
  <c r="J1345" i="6"/>
  <c r="I1345" i="6"/>
  <c r="H1345" i="6"/>
  <c r="G1345" i="6"/>
  <c r="F1345" i="6"/>
  <c r="E1345" i="6"/>
  <c r="D1347" i="6"/>
  <c r="D1325" i="6"/>
  <c r="M1299" i="6"/>
  <c r="L1299" i="6"/>
  <c r="K1299" i="6"/>
  <c r="J1299" i="6"/>
  <c r="I1299" i="6"/>
  <c r="H1299" i="6"/>
  <c r="G1299" i="6"/>
  <c r="F1299" i="6"/>
  <c r="D1301" i="6"/>
  <c r="E1299" i="6"/>
  <c r="D1279" i="6"/>
  <c r="M1253" i="6"/>
  <c r="L1253" i="6"/>
  <c r="K1253" i="6"/>
  <c r="J1253" i="6"/>
  <c r="I1253" i="6"/>
  <c r="H1253" i="6"/>
  <c r="G1253" i="6"/>
  <c r="F1253" i="6"/>
  <c r="E1253" i="6"/>
  <c r="D1255" i="6"/>
  <c r="D1233" i="6"/>
  <c r="M1207" i="6"/>
  <c r="L1207" i="6"/>
  <c r="K1207" i="6"/>
  <c r="J1207" i="6"/>
  <c r="I1207" i="6"/>
  <c r="H1207" i="6"/>
  <c r="G1207" i="6"/>
  <c r="F1209" i="6"/>
  <c r="F1207" i="6"/>
  <c r="F1208" i="6" s="1"/>
  <c r="F1211" i="6" s="1"/>
  <c r="E1207" i="6"/>
  <c r="D1209" i="6"/>
  <c r="D1187" i="6"/>
  <c r="M1161" i="6"/>
  <c r="L1161" i="6"/>
  <c r="K1161" i="6"/>
  <c r="J1161" i="6"/>
  <c r="I1161" i="6"/>
  <c r="H1161" i="6"/>
  <c r="G1161" i="6"/>
  <c r="F1161" i="6"/>
  <c r="D1163" i="6"/>
  <c r="E1161" i="6"/>
  <c r="D1141" i="6"/>
  <c r="M1115" i="6"/>
  <c r="L1115" i="6"/>
  <c r="K1115" i="6"/>
  <c r="J1115" i="6"/>
  <c r="I1115" i="6"/>
  <c r="H1115" i="6"/>
  <c r="G1115" i="6"/>
  <c r="F1115" i="6"/>
  <c r="D1117" i="6"/>
  <c r="E1115" i="6"/>
  <c r="D1095" i="6"/>
  <c r="M1069" i="6"/>
  <c r="L1069" i="6"/>
  <c r="K1069" i="6"/>
  <c r="J1069" i="6"/>
  <c r="I1069" i="6"/>
  <c r="H1069" i="6"/>
  <c r="G1069" i="6"/>
  <c r="F1069" i="6"/>
  <c r="E1069" i="6"/>
  <c r="D1071" i="6"/>
  <c r="D1049" i="6"/>
  <c r="M1023" i="6"/>
  <c r="L1023" i="6"/>
  <c r="K1023" i="6"/>
  <c r="J1023" i="6"/>
  <c r="I1023" i="6"/>
  <c r="H1023" i="6"/>
  <c r="G1023" i="6"/>
  <c r="F1023" i="6"/>
  <c r="D1025" i="6"/>
  <c r="E1023" i="6"/>
  <c r="D1003" i="6"/>
  <c r="M977" i="6"/>
  <c r="L977" i="6"/>
  <c r="K977" i="6"/>
  <c r="J977" i="6"/>
  <c r="I977" i="6"/>
  <c r="H977" i="6"/>
  <c r="G977" i="6"/>
  <c r="F977" i="6"/>
  <c r="E977" i="6"/>
  <c r="D979" i="6"/>
  <c r="D957" i="6"/>
  <c r="M931" i="6"/>
  <c r="L931" i="6"/>
  <c r="K931" i="6"/>
  <c r="J931" i="6"/>
  <c r="I931" i="6"/>
  <c r="H931" i="6"/>
  <c r="G931" i="6"/>
  <c r="F931" i="6"/>
  <c r="E931" i="6"/>
  <c r="D933" i="6"/>
  <c r="D911" i="6"/>
  <c r="M885" i="6"/>
  <c r="L885" i="6"/>
  <c r="K885" i="6"/>
  <c r="J885" i="6"/>
  <c r="I885" i="6"/>
  <c r="H885" i="6"/>
  <c r="G885" i="6"/>
  <c r="F885" i="6"/>
  <c r="E885" i="6"/>
  <c r="D887" i="6"/>
  <c r="D865" i="6"/>
  <c r="M839" i="6"/>
  <c r="L839" i="6"/>
  <c r="K839" i="6"/>
  <c r="J839" i="6"/>
  <c r="I839" i="6"/>
  <c r="H839" i="6"/>
  <c r="G839" i="6"/>
  <c r="F839" i="6"/>
  <c r="D841" i="6"/>
  <c r="E839" i="6"/>
  <c r="D819" i="6"/>
  <c r="M793" i="6"/>
  <c r="L793" i="6"/>
  <c r="K793" i="6"/>
  <c r="J793" i="6"/>
  <c r="I793" i="6"/>
  <c r="H793" i="6"/>
  <c r="G793" i="6"/>
  <c r="F793" i="6"/>
  <c r="D795" i="6"/>
  <c r="E793" i="6"/>
  <c r="D773" i="6"/>
  <c r="M747" i="6"/>
  <c r="L747" i="6"/>
  <c r="K747" i="6"/>
  <c r="J747" i="6"/>
  <c r="I747" i="6"/>
  <c r="H747" i="6"/>
  <c r="G747" i="6"/>
  <c r="F747" i="6"/>
  <c r="E747" i="6"/>
  <c r="D749" i="6"/>
  <c r="D727" i="6"/>
  <c r="M701" i="6"/>
  <c r="L701" i="6"/>
  <c r="K701" i="6"/>
  <c r="J701" i="6"/>
  <c r="I701" i="6"/>
  <c r="H701" i="6"/>
  <c r="G701" i="6"/>
  <c r="F701" i="6"/>
  <c r="D703" i="6"/>
  <c r="E701" i="6"/>
  <c r="D681" i="6"/>
  <c r="M655" i="6"/>
  <c r="L655" i="6"/>
  <c r="K655" i="6"/>
  <c r="J655" i="6"/>
  <c r="I655" i="6"/>
  <c r="G657" i="6"/>
  <c r="H655" i="6"/>
  <c r="F655" i="6"/>
  <c r="E655" i="6"/>
  <c r="D657" i="6"/>
  <c r="D635" i="6"/>
  <c r="M609" i="6"/>
  <c r="L609" i="6"/>
  <c r="K609" i="6"/>
  <c r="J609" i="6"/>
  <c r="I609" i="6"/>
  <c r="H609" i="6"/>
  <c r="G609" i="6"/>
  <c r="F609" i="6"/>
  <c r="D611" i="6"/>
  <c r="E609" i="6"/>
  <c r="D589" i="6"/>
  <c r="M563" i="6"/>
  <c r="L563" i="6"/>
  <c r="K563" i="6"/>
  <c r="J563" i="6"/>
  <c r="I563" i="6"/>
  <c r="H563" i="6"/>
  <c r="G563" i="6"/>
  <c r="F563" i="6"/>
  <c r="D565" i="6"/>
  <c r="E563" i="6"/>
  <c r="D543" i="6"/>
  <c r="M517" i="6"/>
  <c r="L517" i="6"/>
  <c r="K517" i="6"/>
  <c r="J517" i="6"/>
  <c r="I517" i="6"/>
  <c r="H517" i="6"/>
  <c r="G517" i="6"/>
  <c r="F517" i="6"/>
  <c r="D519" i="6"/>
  <c r="E517" i="6"/>
  <c r="D497" i="6"/>
  <c r="M471" i="6"/>
  <c r="L471" i="6"/>
  <c r="K471" i="6"/>
  <c r="J471" i="6"/>
  <c r="I471" i="6"/>
  <c r="H471" i="6"/>
  <c r="G471" i="6"/>
  <c r="F471" i="6"/>
  <c r="E471" i="6"/>
  <c r="D473" i="6"/>
  <c r="D451" i="6"/>
  <c r="M425" i="6"/>
  <c r="L425" i="6"/>
  <c r="K425" i="6"/>
  <c r="J425" i="6"/>
  <c r="I425" i="6"/>
  <c r="H425" i="6"/>
  <c r="G425" i="6"/>
  <c r="F425" i="6"/>
  <c r="E425" i="6"/>
  <c r="D427" i="6"/>
  <c r="D405" i="6"/>
  <c r="M379" i="6"/>
  <c r="L379" i="6"/>
  <c r="K379" i="6"/>
  <c r="J379" i="6"/>
  <c r="I379" i="6"/>
  <c r="H379" i="6"/>
  <c r="G379" i="6"/>
  <c r="F379" i="6"/>
  <c r="E379" i="6"/>
  <c r="D381" i="6"/>
  <c r="D359" i="6"/>
  <c r="M333" i="6"/>
  <c r="L333" i="6"/>
  <c r="K333" i="6"/>
  <c r="J333" i="6"/>
  <c r="I333" i="6"/>
  <c r="H333" i="6"/>
  <c r="G333" i="6"/>
  <c r="F333" i="6"/>
  <c r="D335" i="6"/>
  <c r="E333" i="6"/>
  <c r="D313" i="6"/>
  <c r="M287" i="6"/>
  <c r="L287" i="6"/>
  <c r="K287" i="6"/>
  <c r="J287" i="6"/>
  <c r="I287" i="6"/>
  <c r="H287" i="6"/>
  <c r="G287" i="6"/>
  <c r="F287" i="6"/>
  <c r="D289" i="6"/>
  <c r="E287" i="6"/>
  <c r="D267" i="6"/>
  <c r="M241" i="6"/>
  <c r="L241" i="6"/>
  <c r="K241" i="6"/>
  <c r="J241" i="6"/>
  <c r="I241" i="6"/>
  <c r="H241" i="6"/>
  <c r="G241" i="6"/>
  <c r="F241" i="6"/>
  <c r="E241" i="6"/>
  <c r="D243" i="6"/>
  <c r="D221" i="6"/>
  <c r="M195" i="6"/>
  <c r="L195" i="6"/>
  <c r="K195" i="6"/>
  <c r="J195" i="6"/>
  <c r="I195" i="6"/>
  <c r="H195" i="6"/>
  <c r="G195" i="6"/>
  <c r="F195" i="6"/>
  <c r="D197" i="6"/>
  <c r="E195" i="6"/>
  <c r="D175" i="6"/>
  <c r="M149" i="6"/>
  <c r="L149" i="6"/>
  <c r="K149" i="6"/>
  <c r="J149" i="6"/>
  <c r="I149" i="6"/>
  <c r="H149" i="6"/>
  <c r="G149" i="6"/>
  <c r="F149" i="6"/>
  <c r="E149" i="6"/>
  <c r="D151" i="6"/>
  <c r="D129" i="6"/>
  <c r="M103" i="6"/>
  <c r="L103" i="6"/>
  <c r="K103" i="6"/>
  <c r="J103" i="6"/>
  <c r="I103" i="6"/>
  <c r="H103" i="6"/>
  <c r="G103" i="6"/>
  <c r="F103" i="6"/>
  <c r="D105" i="6"/>
  <c r="E103" i="6"/>
  <c r="D83" i="6"/>
  <c r="M57" i="6"/>
  <c r="L57" i="6"/>
  <c r="K57" i="6"/>
  <c r="J57" i="6"/>
  <c r="I57" i="6"/>
  <c r="H57" i="6"/>
  <c r="G57" i="6"/>
  <c r="F57" i="6"/>
  <c r="E57" i="6"/>
  <c r="D59" i="6"/>
  <c r="D37" i="6"/>
  <c r="M11" i="6"/>
  <c r="L11" i="6"/>
  <c r="K11" i="6"/>
  <c r="J11" i="6"/>
  <c r="I11" i="6"/>
  <c r="H11" i="6"/>
  <c r="G11" i="6"/>
  <c r="F11" i="6"/>
  <c r="D13" i="6"/>
  <c r="E11" i="6"/>
  <c r="C24" i="7"/>
  <c r="E24" i="7" s="1"/>
  <c r="C26" i="7"/>
  <c r="C27" i="7" s="1"/>
  <c r="D25" i="5"/>
  <c r="D27" i="5" s="1"/>
  <c r="C49" i="7"/>
  <c r="D9" i="5"/>
  <c r="D13" i="5" s="1"/>
  <c r="B6" i="9"/>
  <c r="B8" i="9"/>
  <c r="B9" i="9"/>
  <c r="B7" i="9"/>
  <c r="D10" i="5"/>
  <c r="I19" i="4"/>
  <c r="I18" i="4"/>
  <c r="I14" i="4"/>
  <c r="I11" i="4"/>
  <c r="I10" i="4"/>
  <c r="I9" i="4"/>
  <c r="D9" i="2"/>
  <c r="B32" i="1"/>
  <c r="I8" i="4"/>
  <c r="B31" i="1"/>
  <c r="D8" i="2"/>
  <c r="B30" i="1"/>
  <c r="D7" i="2"/>
  <c r="I7" i="4"/>
  <c r="D15" i="9"/>
  <c r="C15" i="9"/>
  <c r="F15" i="9" s="1"/>
  <c r="C14" i="9"/>
  <c r="F14" i="9" s="1"/>
  <c r="D13" i="9"/>
  <c r="C13" i="9"/>
  <c r="B13" i="9"/>
  <c r="F13" i="9" s="1"/>
  <c r="C12" i="9"/>
  <c r="B12" i="9"/>
  <c r="F12" i="9" s="1"/>
  <c r="D35" i="2" s="1"/>
  <c r="D11" i="9"/>
  <c r="C11" i="9"/>
  <c r="B11" i="9"/>
  <c r="F11" i="9" s="1"/>
  <c r="C10" i="9"/>
  <c r="B10" i="9"/>
  <c r="F10" i="9" s="1"/>
  <c r="D9" i="9"/>
  <c r="C9" i="9"/>
  <c r="C8" i="9"/>
  <c r="D7" i="9"/>
  <c r="C7" i="9"/>
  <c r="C6" i="9"/>
  <c r="C16" i="9"/>
  <c r="F16" i="9" s="1"/>
  <c r="J41" i="11"/>
  <c r="J21" i="4"/>
  <c r="N21" i="4" s="1"/>
  <c r="F21" i="4"/>
  <c r="F12" i="4"/>
  <c r="J20" i="4"/>
  <c r="N20" i="4" s="1"/>
  <c r="F20" i="4"/>
  <c r="J40" i="11"/>
  <c r="J39" i="11"/>
  <c r="J19" i="4"/>
  <c r="J8" i="4"/>
  <c r="J38" i="11"/>
  <c r="J7" i="4"/>
  <c r="J18" i="4"/>
  <c r="J37" i="11"/>
  <c r="J36" i="11"/>
  <c r="J35" i="11"/>
  <c r="J17" i="4"/>
  <c r="N17" i="4" s="1"/>
  <c r="F17" i="4"/>
  <c r="J34" i="11"/>
  <c r="J16" i="4"/>
  <c r="N16" i="4" s="1"/>
  <c r="F16" i="4"/>
  <c r="J33" i="11"/>
  <c r="J15" i="4"/>
  <c r="N15" i="4" s="1"/>
  <c r="F15" i="4"/>
  <c r="J32" i="11"/>
  <c r="J31" i="11"/>
  <c r="J14" i="4"/>
  <c r="J30" i="11"/>
  <c r="J29" i="11"/>
  <c r="J13" i="4"/>
  <c r="N13" i="4" s="1"/>
  <c r="F13" i="4"/>
  <c r="J28" i="11"/>
  <c r="J12" i="4"/>
  <c r="N12" i="4" s="1"/>
  <c r="J27" i="11"/>
  <c r="J26" i="11"/>
  <c r="J11" i="4"/>
  <c r="D17" i="9"/>
  <c r="C17" i="9"/>
  <c r="F17" i="9" s="1"/>
  <c r="J10" i="4"/>
  <c r="J9" i="4"/>
  <c r="I6" i="4"/>
  <c r="B29" i="1"/>
  <c r="D6" i="2"/>
  <c r="E61" i="2"/>
  <c r="B62" i="2"/>
  <c r="K6" i="4"/>
  <c r="D3143" i="14"/>
  <c r="D2499" i="14"/>
  <c r="D2177" i="14"/>
  <c r="D3787" i="14"/>
  <c r="D3465" i="14"/>
  <c r="D2821" i="14"/>
  <c r="D153" i="14"/>
  <c r="D4707" i="6"/>
  <c r="G24" i="8" l="1"/>
  <c r="G25" i="8"/>
  <c r="G26" i="8"/>
  <c r="G27" i="8"/>
  <c r="G28" i="8"/>
  <c r="G29" i="8"/>
  <c r="G30" i="8"/>
  <c r="G31" i="8"/>
  <c r="G68" i="8"/>
  <c r="G33" i="8"/>
  <c r="G34" i="8"/>
  <c r="G35" i="8"/>
  <c r="G36" i="8"/>
  <c r="G37" i="8"/>
  <c r="G38" i="8"/>
  <c r="G39" i="8"/>
  <c r="G40" i="8"/>
  <c r="G41" i="8"/>
  <c r="G42" i="8"/>
  <c r="G43" i="8"/>
  <c r="G45" i="8"/>
  <c r="G46" i="8"/>
  <c r="G47" i="8"/>
  <c r="G48" i="8"/>
  <c r="G49" i="8"/>
  <c r="G50" i="8"/>
  <c r="G51" i="8"/>
  <c r="G52" i="8"/>
  <c r="G53" i="8"/>
  <c r="G57" i="8"/>
  <c r="G58" i="8"/>
  <c r="G59" i="8"/>
  <c r="G60" i="8"/>
  <c r="G13" i="8"/>
  <c r="G62" i="8"/>
  <c r="G63" i="8"/>
  <c r="G64" i="8"/>
  <c r="G65" i="8"/>
  <c r="G66" i="8"/>
  <c r="G67" i="8"/>
  <c r="C21" i="7"/>
  <c r="G32" i="8"/>
  <c r="D62" i="7"/>
  <c r="G61" i="8"/>
  <c r="D63" i="7"/>
  <c r="D64" i="7"/>
  <c r="D65" i="7"/>
  <c r="G6" i="8"/>
  <c r="G7" i="8"/>
  <c r="G8" i="8"/>
  <c r="G9" i="8"/>
  <c r="G10" i="8"/>
  <c r="G11" i="8"/>
  <c r="G12" i="8"/>
  <c r="G14" i="8"/>
  <c r="G15" i="8"/>
  <c r="G16" i="8"/>
  <c r="G44" i="8"/>
  <c r="G17" i="8"/>
  <c r="G18" i="8"/>
  <c r="G19" i="8"/>
  <c r="G20" i="8"/>
  <c r="G21" i="8"/>
  <c r="G22" i="8"/>
  <c r="G23" i="8"/>
  <c r="K4706" i="6"/>
  <c r="D4711" i="6"/>
  <c r="I4244" i="14"/>
  <c r="I4247" i="14" s="1"/>
  <c r="I4245" i="14"/>
  <c r="K3278" i="14"/>
  <c r="K3281" i="14" s="1"/>
  <c r="K3279" i="14"/>
  <c r="E794" i="14"/>
  <c r="E797" i="14" s="1"/>
  <c r="E795" i="14"/>
  <c r="F748" i="14"/>
  <c r="F751" i="14" s="1"/>
  <c r="F749" i="14"/>
  <c r="F2910" i="6"/>
  <c r="F2913" i="6" s="1"/>
  <c r="F2911" i="6"/>
  <c r="E1162" i="6"/>
  <c r="E1165" i="6" s="1"/>
  <c r="E1163" i="6"/>
  <c r="D111" i="16"/>
  <c r="D65" i="16"/>
  <c r="D19" i="16"/>
  <c r="D4389" i="14"/>
  <c r="D4343" i="14"/>
  <c r="D4297" i="14"/>
  <c r="I4251" i="14"/>
  <c r="I4252" i="14"/>
  <c r="I4261" i="14"/>
  <c r="D4251" i="14"/>
  <c r="D4205" i="14"/>
  <c r="D4159" i="14"/>
  <c r="M4107" i="14"/>
  <c r="M4106" i="14"/>
  <c r="M4109" i="14" s="1"/>
  <c r="D4113" i="14"/>
  <c r="D4067" i="14"/>
  <c r="D4021" i="14"/>
  <c r="D3975" i="14"/>
  <c r="M3924" i="14"/>
  <c r="M3928" i="14" s="1"/>
  <c r="D3929" i="14"/>
  <c r="H3878" i="14"/>
  <c r="H3882" i="14" s="1"/>
  <c r="L3878" i="14"/>
  <c r="L3882" i="14" s="1"/>
  <c r="E3878" i="14"/>
  <c r="E3882" i="14" s="1"/>
  <c r="F3878" i="14"/>
  <c r="F3882" i="14" s="1"/>
  <c r="G3878" i="14"/>
  <c r="G3882" i="14" s="1"/>
  <c r="I3878" i="14"/>
  <c r="I3882" i="14" s="1"/>
  <c r="J3878" i="14"/>
  <c r="J3882" i="14" s="1"/>
  <c r="K3878" i="14"/>
  <c r="K3882" i="14" s="1"/>
  <c r="M3878" i="14"/>
  <c r="M3882" i="14" s="1"/>
  <c r="D3883" i="14"/>
  <c r="G3832" i="14"/>
  <c r="G3836" i="14" s="1"/>
  <c r="L3832" i="14"/>
  <c r="L3836" i="14" s="1"/>
  <c r="D3832" i="14"/>
  <c r="D3836" i="14" s="1"/>
  <c r="E3832" i="14"/>
  <c r="E3836" i="14" s="1"/>
  <c r="F3832" i="14"/>
  <c r="F3836" i="14" s="1"/>
  <c r="H3832" i="14"/>
  <c r="H3836" i="14" s="1"/>
  <c r="I3832" i="14"/>
  <c r="I3836" i="14" s="1"/>
  <c r="J3832" i="14"/>
  <c r="J3836" i="14" s="1"/>
  <c r="K3832" i="14"/>
  <c r="K3836" i="14" s="1"/>
  <c r="M3832" i="14"/>
  <c r="M3836" i="14" s="1"/>
  <c r="D3837" i="14"/>
  <c r="M3785" i="14"/>
  <c r="M3784" i="14"/>
  <c r="M3787" i="14" s="1"/>
  <c r="D3786" i="14"/>
  <c r="D3790" i="14" s="1"/>
  <c r="E3786" i="14"/>
  <c r="E3790" i="14" s="1"/>
  <c r="H3786" i="14"/>
  <c r="H3790" i="14" s="1"/>
  <c r="L3786" i="14"/>
  <c r="L3790" i="14" s="1"/>
  <c r="F3786" i="14"/>
  <c r="F3790" i="14" s="1"/>
  <c r="G3786" i="14"/>
  <c r="G3790" i="14" s="1"/>
  <c r="I3786" i="14"/>
  <c r="I3790" i="14" s="1"/>
  <c r="J3786" i="14"/>
  <c r="J3790" i="14" s="1"/>
  <c r="K3786" i="14"/>
  <c r="K3790" i="14" s="1"/>
  <c r="M3786" i="14"/>
  <c r="M3790" i="14" s="1"/>
  <c r="D3791" i="14"/>
  <c r="D3745" i="14"/>
  <c r="D3699" i="14"/>
  <c r="D3653" i="14"/>
  <c r="E3602" i="14"/>
  <c r="E3606" i="14" s="1"/>
  <c r="F3602" i="14"/>
  <c r="F3606" i="14" s="1"/>
  <c r="G3602" i="14"/>
  <c r="G3606" i="14" s="1"/>
  <c r="H3602" i="14"/>
  <c r="H3606" i="14" s="1"/>
  <c r="I3602" i="14"/>
  <c r="I3606" i="14" s="1"/>
  <c r="J3602" i="14"/>
  <c r="J3606" i="14" s="1"/>
  <c r="K3602" i="14"/>
  <c r="K3606" i="14" s="1"/>
  <c r="L3602" i="14"/>
  <c r="L3606" i="14" s="1"/>
  <c r="M3602" i="14"/>
  <c r="M3606" i="14" s="1"/>
  <c r="D3607" i="14"/>
  <c r="D3556" i="14"/>
  <c r="D3560" i="14" s="1"/>
  <c r="E3556" i="14"/>
  <c r="E3560" i="14" s="1"/>
  <c r="F3556" i="14"/>
  <c r="F3560" i="14" s="1"/>
  <c r="G3556" i="14"/>
  <c r="G3560" i="14" s="1"/>
  <c r="H3556" i="14"/>
  <c r="H3560" i="14" s="1"/>
  <c r="I3556" i="14"/>
  <c r="I3560" i="14" s="1"/>
  <c r="J3556" i="14"/>
  <c r="J3560" i="14" s="1"/>
  <c r="K3556" i="14"/>
  <c r="K3560" i="14" s="1"/>
  <c r="L3556" i="14"/>
  <c r="L3560" i="14" s="1"/>
  <c r="M3556" i="14"/>
  <c r="M3560" i="14" s="1"/>
  <c r="D3561" i="14"/>
  <c r="I3510" i="14"/>
  <c r="I3514" i="14" s="1"/>
  <c r="J3510" i="14"/>
  <c r="J3514" i="14" s="1"/>
  <c r="K3510" i="14"/>
  <c r="K3514" i="14" s="1"/>
  <c r="L3510" i="14"/>
  <c r="L3514" i="14" s="1"/>
  <c r="M3510" i="14"/>
  <c r="M3514" i="14" s="1"/>
  <c r="D3510" i="14"/>
  <c r="D3514" i="14" s="1"/>
  <c r="E3510" i="14"/>
  <c r="E3514" i="14" s="1"/>
  <c r="F3510" i="14"/>
  <c r="F3514" i="14" s="1"/>
  <c r="G3510" i="14"/>
  <c r="G3514" i="14" s="1"/>
  <c r="H3510" i="14"/>
  <c r="H3514" i="14" s="1"/>
  <c r="D3515" i="14"/>
  <c r="E3464" i="14"/>
  <c r="E3468" i="14" s="1"/>
  <c r="D3464" i="14"/>
  <c r="D3468" i="14" s="1"/>
  <c r="F3464" i="14"/>
  <c r="F3468" i="14" s="1"/>
  <c r="G3464" i="14"/>
  <c r="G3468" i="14" s="1"/>
  <c r="H3464" i="14"/>
  <c r="H3468" i="14" s="1"/>
  <c r="I3464" i="14"/>
  <c r="I3468" i="14" s="1"/>
  <c r="J3464" i="14"/>
  <c r="J3468" i="14" s="1"/>
  <c r="K3464" i="14"/>
  <c r="K3468" i="14" s="1"/>
  <c r="L3464" i="14"/>
  <c r="L3468" i="14" s="1"/>
  <c r="M3464" i="14"/>
  <c r="M3468" i="14" s="1"/>
  <c r="D3469" i="14"/>
  <c r="D3418" i="14"/>
  <c r="D3422" i="14" s="1"/>
  <c r="E3418" i="14"/>
  <c r="E3422" i="14" s="1"/>
  <c r="F3418" i="14"/>
  <c r="F3422" i="14" s="1"/>
  <c r="G3418" i="14"/>
  <c r="G3422" i="14" s="1"/>
  <c r="H3418" i="14"/>
  <c r="H3422" i="14" s="1"/>
  <c r="I3418" i="14"/>
  <c r="I3422" i="14" s="1"/>
  <c r="J3418" i="14"/>
  <c r="J3422" i="14" s="1"/>
  <c r="K3418" i="14"/>
  <c r="K3422" i="14" s="1"/>
  <c r="L3418" i="14"/>
  <c r="L3422" i="14" s="1"/>
  <c r="M3418" i="14"/>
  <c r="M3422" i="14" s="1"/>
  <c r="D3423" i="14"/>
  <c r="D3372" i="14"/>
  <c r="D3376" i="14" s="1"/>
  <c r="E3372" i="14"/>
  <c r="E3376" i="14" s="1"/>
  <c r="F3372" i="14"/>
  <c r="F3376" i="14" s="1"/>
  <c r="G3372" i="14"/>
  <c r="G3376" i="14" s="1"/>
  <c r="H3372" i="14"/>
  <c r="H3376" i="14" s="1"/>
  <c r="I3372" i="14"/>
  <c r="I3376" i="14" s="1"/>
  <c r="J3372" i="14"/>
  <c r="J3376" i="14" s="1"/>
  <c r="K3372" i="14"/>
  <c r="K3376" i="14" s="1"/>
  <c r="L3372" i="14"/>
  <c r="L3376" i="14" s="1"/>
  <c r="M3372" i="14"/>
  <c r="M3376" i="14" s="1"/>
  <c r="D3377" i="14"/>
  <c r="D3326" i="14"/>
  <c r="D3330" i="14" s="1"/>
  <c r="E3326" i="14"/>
  <c r="E3330" i="14" s="1"/>
  <c r="F3326" i="14"/>
  <c r="F3330" i="14" s="1"/>
  <c r="G3326" i="14"/>
  <c r="G3330" i="14" s="1"/>
  <c r="H3326" i="14"/>
  <c r="H3330" i="14" s="1"/>
  <c r="I3326" i="14"/>
  <c r="I3330" i="14" s="1"/>
  <c r="J3326" i="14"/>
  <c r="J3330" i="14" s="1"/>
  <c r="K3326" i="14"/>
  <c r="K3330" i="14" s="1"/>
  <c r="L3326" i="14"/>
  <c r="L3330" i="14" s="1"/>
  <c r="M3326" i="14"/>
  <c r="M3330" i="14" s="1"/>
  <c r="D3331" i="14"/>
  <c r="K3285" i="14"/>
  <c r="K3286" i="14"/>
  <c r="K3295" i="14"/>
  <c r="E3280" i="14"/>
  <c r="E3284" i="14" s="1"/>
  <c r="H3280" i="14"/>
  <c r="H3284" i="14" s="1"/>
  <c r="J3280" i="14"/>
  <c r="J3284" i="14" s="1"/>
  <c r="L3280" i="14"/>
  <c r="L3284" i="14" s="1"/>
  <c r="M3280" i="14"/>
  <c r="M3284" i="14" s="1"/>
  <c r="G3280" i="14"/>
  <c r="G3284" i="14" s="1"/>
  <c r="D3280" i="14"/>
  <c r="D3284" i="14" s="1"/>
  <c r="F3280" i="14"/>
  <c r="F3284" i="14" s="1"/>
  <c r="I3280" i="14"/>
  <c r="I3284" i="14" s="1"/>
  <c r="K3280" i="14"/>
  <c r="K3284" i="14" s="1"/>
  <c r="D3285" i="14"/>
  <c r="E3234" i="14"/>
  <c r="E3238" i="14" s="1"/>
  <c r="H3234" i="14"/>
  <c r="H3238" i="14" s="1"/>
  <c r="J3234" i="14"/>
  <c r="J3238" i="14" s="1"/>
  <c r="M3234" i="14"/>
  <c r="M3238" i="14" s="1"/>
  <c r="D3234" i="14"/>
  <c r="D3238" i="14" s="1"/>
  <c r="K3234" i="14"/>
  <c r="K3238" i="14" s="1"/>
  <c r="F3234" i="14"/>
  <c r="F3238" i="14" s="1"/>
  <c r="G3234" i="14"/>
  <c r="G3238" i="14" s="1"/>
  <c r="I3234" i="14"/>
  <c r="I3238" i="14" s="1"/>
  <c r="L3234" i="14"/>
  <c r="L3238" i="14" s="1"/>
  <c r="D3239" i="14"/>
  <c r="D3188" i="14"/>
  <c r="D3192" i="14" s="1"/>
  <c r="E3188" i="14"/>
  <c r="E3192" i="14" s="1"/>
  <c r="F3188" i="14"/>
  <c r="F3192" i="14" s="1"/>
  <c r="G3188" i="14"/>
  <c r="G3192" i="14" s="1"/>
  <c r="H3188" i="14"/>
  <c r="H3192" i="14" s="1"/>
  <c r="I3188" i="14"/>
  <c r="I3192" i="14" s="1"/>
  <c r="J3188" i="14"/>
  <c r="J3192" i="14" s="1"/>
  <c r="K3188" i="14"/>
  <c r="K3192" i="14" s="1"/>
  <c r="L3188" i="14"/>
  <c r="L3192" i="14" s="1"/>
  <c r="M3188" i="14"/>
  <c r="M3192" i="14" s="1"/>
  <c r="D3193" i="14"/>
  <c r="E3142" i="14"/>
  <c r="E3146" i="14" s="1"/>
  <c r="G3142" i="14"/>
  <c r="G3146" i="14" s="1"/>
  <c r="I3142" i="14"/>
  <c r="I3146" i="14" s="1"/>
  <c r="L3142" i="14"/>
  <c r="L3146" i="14" s="1"/>
  <c r="K3142" i="14"/>
  <c r="K3146" i="14" s="1"/>
  <c r="D3142" i="14"/>
  <c r="D3146" i="14" s="1"/>
  <c r="F3142" i="14"/>
  <c r="F3146" i="14" s="1"/>
  <c r="H3142" i="14"/>
  <c r="H3146" i="14" s="1"/>
  <c r="J3142" i="14"/>
  <c r="J3146" i="14" s="1"/>
  <c r="M3142" i="14"/>
  <c r="M3146" i="14" s="1"/>
  <c r="D3147" i="14"/>
  <c r="D3096" i="14"/>
  <c r="D3100" i="14" s="1"/>
  <c r="E3096" i="14"/>
  <c r="E3100" i="14" s="1"/>
  <c r="F3096" i="14"/>
  <c r="F3100" i="14" s="1"/>
  <c r="G3096" i="14"/>
  <c r="G3100" i="14" s="1"/>
  <c r="H3096" i="14"/>
  <c r="H3100" i="14" s="1"/>
  <c r="I3096" i="14"/>
  <c r="I3100" i="14" s="1"/>
  <c r="J3096" i="14"/>
  <c r="J3100" i="14" s="1"/>
  <c r="K3096" i="14"/>
  <c r="K3100" i="14" s="1"/>
  <c r="L3096" i="14"/>
  <c r="L3100" i="14" s="1"/>
  <c r="M3096" i="14"/>
  <c r="M3100" i="14" s="1"/>
  <c r="D3101" i="14"/>
  <c r="D3050" i="14"/>
  <c r="D3054" i="14" s="1"/>
  <c r="E3050" i="14"/>
  <c r="E3054" i="14" s="1"/>
  <c r="F3050" i="14"/>
  <c r="F3054" i="14" s="1"/>
  <c r="G3050" i="14"/>
  <c r="G3054" i="14" s="1"/>
  <c r="H3050" i="14"/>
  <c r="H3054" i="14" s="1"/>
  <c r="I3050" i="14"/>
  <c r="I3054" i="14" s="1"/>
  <c r="J3050" i="14"/>
  <c r="J3054" i="14" s="1"/>
  <c r="K3050" i="14"/>
  <c r="K3054" i="14" s="1"/>
  <c r="L3050" i="14"/>
  <c r="L3054" i="14" s="1"/>
  <c r="M3050" i="14"/>
  <c r="M3054" i="14" s="1"/>
  <c r="D3055" i="14"/>
  <c r="D3004" i="14"/>
  <c r="D3008" i="14" s="1"/>
  <c r="E3004" i="14"/>
  <c r="E3008" i="14" s="1"/>
  <c r="F3004" i="14"/>
  <c r="F3008" i="14" s="1"/>
  <c r="G3004" i="14"/>
  <c r="G3008" i="14" s="1"/>
  <c r="H3004" i="14"/>
  <c r="H3008" i="14" s="1"/>
  <c r="I3004" i="14"/>
  <c r="I3008" i="14" s="1"/>
  <c r="J3004" i="14"/>
  <c r="J3008" i="14" s="1"/>
  <c r="K3004" i="14"/>
  <c r="K3008" i="14" s="1"/>
  <c r="L3004" i="14"/>
  <c r="L3008" i="14" s="1"/>
  <c r="M3004" i="14"/>
  <c r="M3008" i="14" s="1"/>
  <c r="D3009" i="14"/>
  <c r="D2958" i="14"/>
  <c r="D2962" i="14" s="1"/>
  <c r="E2958" i="14"/>
  <c r="E2962" i="14" s="1"/>
  <c r="F2958" i="14"/>
  <c r="F2962" i="14" s="1"/>
  <c r="G2958" i="14"/>
  <c r="G2962" i="14" s="1"/>
  <c r="H2958" i="14"/>
  <c r="H2962" i="14" s="1"/>
  <c r="I2958" i="14"/>
  <c r="I2962" i="14" s="1"/>
  <c r="J2958" i="14"/>
  <c r="J2962" i="14" s="1"/>
  <c r="K2958" i="14"/>
  <c r="K2962" i="14" s="1"/>
  <c r="L2958" i="14"/>
  <c r="L2962" i="14" s="1"/>
  <c r="M2958" i="14"/>
  <c r="M2962" i="14" s="1"/>
  <c r="D2963" i="14"/>
  <c r="J2912" i="14"/>
  <c r="J2916" i="14" s="1"/>
  <c r="F2912" i="14"/>
  <c r="F2916" i="14" s="1"/>
  <c r="H2912" i="14"/>
  <c r="H2916" i="14" s="1"/>
  <c r="L2912" i="14"/>
  <c r="L2916" i="14" s="1"/>
  <c r="D2912" i="14"/>
  <c r="D2916" i="14" s="1"/>
  <c r="M2912" i="14"/>
  <c r="M2916" i="14" s="1"/>
  <c r="E2912" i="14"/>
  <c r="E2916" i="14" s="1"/>
  <c r="G2912" i="14"/>
  <c r="G2916" i="14" s="1"/>
  <c r="I2912" i="14"/>
  <c r="I2916" i="14" s="1"/>
  <c r="K2912" i="14"/>
  <c r="K2916" i="14" s="1"/>
  <c r="D2917" i="14"/>
  <c r="M2871" i="14"/>
  <c r="L2871" i="14"/>
  <c r="K2871" i="14"/>
  <c r="J2871" i="14"/>
  <c r="I2871" i="14"/>
  <c r="H2864" i="14"/>
  <c r="H2867" i="14" s="1"/>
  <c r="H2865" i="14"/>
  <c r="D2866" i="14"/>
  <c r="D2870" i="14" s="1"/>
  <c r="G2866" i="14"/>
  <c r="G2870" i="14" s="1"/>
  <c r="I2866" i="14"/>
  <c r="I2870" i="14" s="1"/>
  <c r="M2866" i="14"/>
  <c r="M2870" i="14" s="1"/>
  <c r="D2871" i="14"/>
  <c r="E2866" i="14"/>
  <c r="E2870" i="14" s="1"/>
  <c r="F2866" i="14"/>
  <c r="F2870" i="14" s="1"/>
  <c r="H2866" i="14"/>
  <c r="H2870" i="14" s="1"/>
  <c r="J2866" i="14"/>
  <c r="J2870" i="14" s="1"/>
  <c r="K2866" i="14"/>
  <c r="K2870" i="14" s="1"/>
  <c r="L2866" i="14"/>
  <c r="L2870" i="14" s="1"/>
  <c r="L2820" i="14"/>
  <c r="L2824" i="14" s="1"/>
  <c r="D2820" i="14"/>
  <c r="D2824" i="14" s="1"/>
  <c r="F2820" i="14"/>
  <c r="F2824" i="14" s="1"/>
  <c r="H2820" i="14"/>
  <c r="H2824" i="14" s="1"/>
  <c r="M2820" i="14"/>
  <c r="M2824" i="14" s="1"/>
  <c r="J2820" i="14"/>
  <c r="J2824" i="14" s="1"/>
  <c r="E2820" i="14"/>
  <c r="E2824" i="14" s="1"/>
  <c r="G2820" i="14"/>
  <c r="G2824" i="14" s="1"/>
  <c r="I2820" i="14"/>
  <c r="I2824" i="14" s="1"/>
  <c r="K2820" i="14"/>
  <c r="K2824" i="14" s="1"/>
  <c r="D2825" i="14"/>
  <c r="D2774" i="14"/>
  <c r="D2778" i="14" s="1"/>
  <c r="E2774" i="14"/>
  <c r="E2778" i="14" s="1"/>
  <c r="F2774" i="14"/>
  <c r="F2778" i="14" s="1"/>
  <c r="G2774" i="14"/>
  <c r="G2778" i="14" s="1"/>
  <c r="H2774" i="14"/>
  <c r="H2778" i="14" s="1"/>
  <c r="I2774" i="14"/>
  <c r="I2778" i="14" s="1"/>
  <c r="J2774" i="14"/>
  <c r="J2778" i="14" s="1"/>
  <c r="K2774" i="14"/>
  <c r="K2778" i="14" s="1"/>
  <c r="L2774" i="14"/>
  <c r="L2778" i="14" s="1"/>
  <c r="M2774" i="14"/>
  <c r="M2778" i="14" s="1"/>
  <c r="D2779" i="14"/>
  <c r="D2728" i="14"/>
  <c r="D2732" i="14" s="1"/>
  <c r="E2728" i="14"/>
  <c r="E2732" i="14" s="1"/>
  <c r="F2728" i="14"/>
  <c r="F2732" i="14" s="1"/>
  <c r="G2728" i="14"/>
  <c r="G2732" i="14" s="1"/>
  <c r="H2728" i="14"/>
  <c r="H2732" i="14" s="1"/>
  <c r="I2728" i="14"/>
  <c r="I2732" i="14" s="1"/>
  <c r="J2728" i="14"/>
  <c r="J2732" i="14" s="1"/>
  <c r="K2728" i="14"/>
  <c r="K2732" i="14" s="1"/>
  <c r="L2728" i="14"/>
  <c r="L2732" i="14" s="1"/>
  <c r="M2728" i="14"/>
  <c r="M2732" i="14" s="1"/>
  <c r="D2733" i="14"/>
  <c r="D2682" i="14"/>
  <c r="D2686" i="14" s="1"/>
  <c r="E2682" i="14"/>
  <c r="E2686" i="14" s="1"/>
  <c r="F2682" i="14"/>
  <c r="F2686" i="14" s="1"/>
  <c r="G2682" i="14"/>
  <c r="G2686" i="14" s="1"/>
  <c r="H2682" i="14"/>
  <c r="H2686" i="14" s="1"/>
  <c r="I2682" i="14"/>
  <c r="I2686" i="14" s="1"/>
  <c r="J2682" i="14"/>
  <c r="J2686" i="14" s="1"/>
  <c r="K2682" i="14"/>
  <c r="K2686" i="14" s="1"/>
  <c r="L2682" i="14"/>
  <c r="L2686" i="14" s="1"/>
  <c r="M2682" i="14"/>
  <c r="M2686" i="14" s="1"/>
  <c r="D2687" i="14"/>
  <c r="D2636" i="14"/>
  <c r="D2640" i="14" s="1"/>
  <c r="E2636" i="14"/>
  <c r="E2640" i="14" s="1"/>
  <c r="F2636" i="14"/>
  <c r="F2640" i="14" s="1"/>
  <c r="G2636" i="14"/>
  <c r="G2640" i="14" s="1"/>
  <c r="H2636" i="14"/>
  <c r="H2640" i="14" s="1"/>
  <c r="I2636" i="14"/>
  <c r="I2640" i="14" s="1"/>
  <c r="J2636" i="14"/>
  <c r="J2640" i="14" s="1"/>
  <c r="K2636" i="14"/>
  <c r="K2640" i="14" s="1"/>
  <c r="L2636" i="14"/>
  <c r="L2640" i="14" s="1"/>
  <c r="M2636" i="14"/>
  <c r="M2640" i="14" s="1"/>
  <c r="D2641" i="14"/>
  <c r="D2590" i="14"/>
  <c r="D2594" i="14" s="1"/>
  <c r="E2590" i="14"/>
  <c r="E2594" i="14" s="1"/>
  <c r="F2590" i="14"/>
  <c r="F2594" i="14" s="1"/>
  <c r="G2590" i="14"/>
  <c r="G2594" i="14" s="1"/>
  <c r="H2590" i="14"/>
  <c r="H2594" i="14" s="1"/>
  <c r="I2590" i="14"/>
  <c r="I2594" i="14" s="1"/>
  <c r="J2590" i="14"/>
  <c r="J2594" i="14" s="1"/>
  <c r="K2590" i="14"/>
  <c r="K2594" i="14" s="1"/>
  <c r="L2590" i="14"/>
  <c r="L2594" i="14" s="1"/>
  <c r="M2590" i="14"/>
  <c r="M2594" i="14" s="1"/>
  <c r="D2595" i="14"/>
  <c r="M2543" i="14"/>
  <c r="M2542" i="14"/>
  <c r="M2545" i="14" s="1"/>
  <c r="I2544" i="14"/>
  <c r="I2548" i="14" s="1"/>
  <c r="J2544" i="14"/>
  <c r="J2548" i="14" s="1"/>
  <c r="D2544" i="14"/>
  <c r="D2548" i="14" s="1"/>
  <c r="F2544" i="14"/>
  <c r="F2548" i="14" s="1"/>
  <c r="H2544" i="14"/>
  <c r="H2548" i="14" s="1"/>
  <c r="L2544" i="14"/>
  <c r="L2548" i="14" s="1"/>
  <c r="K2544" i="14"/>
  <c r="K2548" i="14" s="1"/>
  <c r="E2544" i="14"/>
  <c r="E2548" i="14" s="1"/>
  <c r="G2544" i="14"/>
  <c r="G2548" i="14" s="1"/>
  <c r="M2544" i="14"/>
  <c r="M2548" i="14" s="1"/>
  <c r="D2549" i="14"/>
  <c r="F2498" i="14"/>
  <c r="F2502" i="14" s="1"/>
  <c r="K2498" i="14"/>
  <c r="K2502" i="14" s="1"/>
  <c r="I2498" i="14"/>
  <c r="I2502" i="14" s="1"/>
  <c r="E2498" i="14"/>
  <c r="E2502" i="14" s="1"/>
  <c r="H2498" i="14"/>
  <c r="H2502" i="14" s="1"/>
  <c r="M2498" i="14"/>
  <c r="M2502" i="14" s="1"/>
  <c r="L2498" i="14"/>
  <c r="L2502" i="14" s="1"/>
  <c r="D2498" i="14"/>
  <c r="D2502" i="14" s="1"/>
  <c r="G2498" i="14"/>
  <c r="G2502" i="14" s="1"/>
  <c r="J2498" i="14"/>
  <c r="J2502" i="14" s="1"/>
  <c r="D2503" i="14"/>
  <c r="I2452" i="14"/>
  <c r="I2456" i="14" s="1"/>
  <c r="K2452" i="14"/>
  <c r="K2456" i="14" s="1"/>
  <c r="D2452" i="14"/>
  <c r="D2456" i="14" s="1"/>
  <c r="F2452" i="14"/>
  <c r="F2456" i="14" s="1"/>
  <c r="G2452" i="14"/>
  <c r="G2456" i="14" s="1"/>
  <c r="M2452" i="14"/>
  <c r="M2456" i="14" s="1"/>
  <c r="J2452" i="14"/>
  <c r="J2456" i="14" s="1"/>
  <c r="E2452" i="14"/>
  <c r="E2456" i="14" s="1"/>
  <c r="H2452" i="14"/>
  <c r="H2456" i="14" s="1"/>
  <c r="L2452" i="14"/>
  <c r="L2456" i="14" s="1"/>
  <c r="D2457" i="14"/>
  <c r="J2406" i="14"/>
  <c r="J2410" i="14" s="1"/>
  <c r="K2406" i="14"/>
  <c r="K2410" i="14" s="1"/>
  <c r="E2406" i="14"/>
  <c r="E2410" i="14" s="1"/>
  <c r="G2406" i="14"/>
  <c r="G2410" i="14" s="1"/>
  <c r="I2406" i="14"/>
  <c r="I2410" i="14" s="1"/>
  <c r="L2406" i="14"/>
  <c r="L2410" i="14" s="1"/>
  <c r="D2406" i="14"/>
  <c r="D2410" i="14" s="1"/>
  <c r="F2406" i="14"/>
  <c r="F2410" i="14" s="1"/>
  <c r="H2406" i="14"/>
  <c r="H2410" i="14" s="1"/>
  <c r="M2406" i="14"/>
  <c r="M2410" i="14" s="1"/>
  <c r="D2411" i="14"/>
  <c r="I2360" i="14"/>
  <c r="I2364" i="14" s="1"/>
  <c r="K2360" i="14"/>
  <c r="K2364" i="14" s="1"/>
  <c r="D2360" i="14"/>
  <c r="D2364" i="14" s="1"/>
  <c r="F2360" i="14"/>
  <c r="F2364" i="14" s="1"/>
  <c r="H2360" i="14"/>
  <c r="H2364" i="14" s="1"/>
  <c r="M2360" i="14"/>
  <c r="M2364" i="14" s="1"/>
  <c r="L2360" i="14"/>
  <c r="L2364" i="14" s="1"/>
  <c r="E2360" i="14"/>
  <c r="E2364" i="14" s="1"/>
  <c r="G2360" i="14"/>
  <c r="G2364" i="14" s="1"/>
  <c r="J2360" i="14"/>
  <c r="J2364" i="14" s="1"/>
  <c r="D2365" i="14"/>
  <c r="I2314" i="14"/>
  <c r="I2318" i="14" s="1"/>
  <c r="D2314" i="14"/>
  <c r="D2318" i="14" s="1"/>
  <c r="K2314" i="14"/>
  <c r="K2318" i="14" s="1"/>
  <c r="E2314" i="14"/>
  <c r="E2318" i="14" s="1"/>
  <c r="G2314" i="14"/>
  <c r="G2318" i="14" s="1"/>
  <c r="M2314" i="14"/>
  <c r="M2318" i="14" s="1"/>
  <c r="J2314" i="14"/>
  <c r="J2318" i="14" s="1"/>
  <c r="F2314" i="14"/>
  <c r="F2318" i="14" s="1"/>
  <c r="H2314" i="14"/>
  <c r="H2318" i="14" s="1"/>
  <c r="L2314" i="14"/>
  <c r="L2318" i="14" s="1"/>
  <c r="D2319" i="14"/>
  <c r="D2268" i="14"/>
  <c r="D2272" i="14" s="1"/>
  <c r="J2268" i="14"/>
  <c r="J2272" i="14" s="1"/>
  <c r="D2273" i="14"/>
  <c r="J2227" i="14"/>
  <c r="I2221" i="14"/>
  <c r="I2220" i="14"/>
  <c r="I2223" i="14" s="1"/>
  <c r="D2227" i="14"/>
  <c r="D2181" i="14"/>
  <c r="D2135" i="14"/>
  <c r="J2084" i="14"/>
  <c r="J2088" i="14" s="1"/>
  <c r="K2084" i="14"/>
  <c r="K2088" i="14" s="1"/>
  <c r="L2084" i="14"/>
  <c r="L2088" i="14" s="1"/>
  <c r="M2084" i="14"/>
  <c r="M2088" i="14" s="1"/>
  <c r="D2089" i="14"/>
  <c r="D2038" i="14"/>
  <c r="D2042" i="14" s="1"/>
  <c r="E2038" i="14"/>
  <c r="E2042" i="14" s="1"/>
  <c r="F2038" i="14"/>
  <c r="F2042" i="14" s="1"/>
  <c r="G2038" i="14"/>
  <c r="G2042" i="14" s="1"/>
  <c r="H2038" i="14"/>
  <c r="H2042" i="14" s="1"/>
  <c r="I2038" i="14"/>
  <c r="I2042" i="14" s="1"/>
  <c r="J2038" i="14"/>
  <c r="J2042" i="14" s="1"/>
  <c r="K2038" i="14"/>
  <c r="K2042" i="14" s="1"/>
  <c r="L2038" i="14"/>
  <c r="L2042" i="14" s="1"/>
  <c r="M2038" i="14"/>
  <c r="M2042" i="14" s="1"/>
  <c r="D2043" i="14"/>
  <c r="F1992" i="14"/>
  <c r="F1996" i="14" s="1"/>
  <c r="G1992" i="14"/>
  <c r="G1996" i="14" s="1"/>
  <c r="H1992" i="14"/>
  <c r="H1996" i="14" s="1"/>
  <c r="I1992" i="14"/>
  <c r="I1996" i="14" s="1"/>
  <c r="J1992" i="14"/>
  <c r="J1996" i="14" s="1"/>
  <c r="K1992" i="14"/>
  <c r="K1996" i="14" s="1"/>
  <c r="L1992" i="14"/>
  <c r="L1996" i="14" s="1"/>
  <c r="M1992" i="14"/>
  <c r="M1996" i="14" s="1"/>
  <c r="D1997" i="14"/>
  <c r="D1951" i="14"/>
  <c r="M1899" i="14"/>
  <c r="M1898" i="14"/>
  <c r="M1901" i="14" s="1"/>
  <c r="F1900" i="14"/>
  <c r="F1904" i="14" s="1"/>
  <c r="M1900" i="14"/>
  <c r="M1904" i="14" s="1"/>
  <c r="D1905" i="14"/>
  <c r="D1854" i="14"/>
  <c r="D1858" i="14" s="1"/>
  <c r="E1854" i="14"/>
  <c r="E1858" i="14" s="1"/>
  <c r="F1854" i="14"/>
  <c r="F1858" i="14" s="1"/>
  <c r="G1854" i="14"/>
  <c r="G1858" i="14" s="1"/>
  <c r="H1854" i="14"/>
  <c r="H1858" i="14" s="1"/>
  <c r="I1854" i="14"/>
  <c r="I1858" i="14" s="1"/>
  <c r="J1854" i="14"/>
  <c r="J1858" i="14" s="1"/>
  <c r="K1854" i="14"/>
  <c r="K1858" i="14" s="1"/>
  <c r="L1854" i="14"/>
  <c r="L1858" i="14" s="1"/>
  <c r="M1854" i="14"/>
  <c r="M1858" i="14" s="1"/>
  <c r="D1859" i="14"/>
  <c r="D1808" i="14"/>
  <c r="D1812" i="14" s="1"/>
  <c r="E1808" i="14"/>
  <c r="E1812" i="14" s="1"/>
  <c r="F1808" i="14"/>
  <c r="F1812" i="14" s="1"/>
  <c r="G1808" i="14"/>
  <c r="G1812" i="14" s="1"/>
  <c r="H1808" i="14"/>
  <c r="H1812" i="14" s="1"/>
  <c r="I1808" i="14"/>
  <c r="I1812" i="14" s="1"/>
  <c r="J1808" i="14"/>
  <c r="J1812" i="14" s="1"/>
  <c r="K1808" i="14"/>
  <c r="K1812" i="14" s="1"/>
  <c r="L1808" i="14"/>
  <c r="L1812" i="14" s="1"/>
  <c r="M1808" i="14"/>
  <c r="M1812" i="14" s="1"/>
  <c r="D1813" i="14"/>
  <c r="D1762" i="14"/>
  <c r="D1766" i="14" s="1"/>
  <c r="E1762" i="14"/>
  <c r="E1766" i="14" s="1"/>
  <c r="F1762" i="14"/>
  <c r="F1766" i="14" s="1"/>
  <c r="G1762" i="14"/>
  <c r="G1766" i="14" s="1"/>
  <c r="H1762" i="14"/>
  <c r="H1766" i="14" s="1"/>
  <c r="I1762" i="14"/>
  <c r="I1766" i="14" s="1"/>
  <c r="J1762" i="14"/>
  <c r="J1766" i="14" s="1"/>
  <c r="K1762" i="14"/>
  <c r="K1766" i="14" s="1"/>
  <c r="L1762" i="14"/>
  <c r="L1766" i="14" s="1"/>
  <c r="M1762" i="14"/>
  <c r="M1766" i="14" s="1"/>
  <c r="D1767" i="14"/>
  <c r="D1716" i="14"/>
  <c r="D1720" i="14" s="1"/>
  <c r="E1716" i="14"/>
  <c r="E1720" i="14" s="1"/>
  <c r="F1716" i="14"/>
  <c r="F1720" i="14" s="1"/>
  <c r="G1716" i="14"/>
  <c r="G1720" i="14" s="1"/>
  <c r="H1716" i="14"/>
  <c r="H1720" i="14" s="1"/>
  <c r="I1716" i="14"/>
  <c r="I1720" i="14" s="1"/>
  <c r="J1716" i="14"/>
  <c r="J1720" i="14" s="1"/>
  <c r="K1716" i="14"/>
  <c r="K1720" i="14" s="1"/>
  <c r="L1716" i="14"/>
  <c r="L1720" i="14" s="1"/>
  <c r="M1716" i="14"/>
  <c r="M1720" i="14" s="1"/>
  <c r="D1721" i="14"/>
  <c r="D1670" i="14"/>
  <c r="D1674" i="14" s="1"/>
  <c r="E1670" i="14"/>
  <c r="E1674" i="14" s="1"/>
  <c r="F1670" i="14"/>
  <c r="F1674" i="14" s="1"/>
  <c r="G1670" i="14"/>
  <c r="G1674" i="14" s="1"/>
  <c r="H1670" i="14"/>
  <c r="H1674" i="14" s="1"/>
  <c r="I1670" i="14"/>
  <c r="I1674" i="14" s="1"/>
  <c r="J1670" i="14"/>
  <c r="J1674" i="14" s="1"/>
  <c r="K1670" i="14"/>
  <c r="K1674" i="14" s="1"/>
  <c r="L1670" i="14"/>
  <c r="L1674" i="14" s="1"/>
  <c r="M1670" i="14"/>
  <c r="M1674" i="14" s="1"/>
  <c r="D1675" i="14"/>
  <c r="D1624" i="14"/>
  <c r="D1628" i="14" s="1"/>
  <c r="E1624" i="14"/>
  <c r="E1628" i="14" s="1"/>
  <c r="F1624" i="14"/>
  <c r="F1628" i="14" s="1"/>
  <c r="G1624" i="14"/>
  <c r="G1628" i="14" s="1"/>
  <c r="H1624" i="14"/>
  <c r="H1628" i="14" s="1"/>
  <c r="I1624" i="14"/>
  <c r="I1628" i="14" s="1"/>
  <c r="J1624" i="14"/>
  <c r="J1628" i="14" s="1"/>
  <c r="K1624" i="14"/>
  <c r="K1628" i="14" s="1"/>
  <c r="L1624" i="14"/>
  <c r="L1628" i="14" s="1"/>
  <c r="M1624" i="14"/>
  <c r="M1628" i="14" s="1"/>
  <c r="D1629" i="14"/>
  <c r="M1577" i="14"/>
  <c r="M1576" i="14"/>
  <c r="M1579" i="14" s="1"/>
  <c r="M1578" i="14"/>
  <c r="M1582" i="14" s="1"/>
  <c r="G1578" i="14"/>
  <c r="G1582" i="14" s="1"/>
  <c r="H1578" i="14"/>
  <c r="H1582" i="14" s="1"/>
  <c r="J1578" i="14"/>
  <c r="J1582" i="14" s="1"/>
  <c r="D1578" i="14"/>
  <c r="D1582" i="14" s="1"/>
  <c r="F1578" i="14"/>
  <c r="F1582" i="14" s="1"/>
  <c r="L1578" i="14"/>
  <c r="L1582" i="14" s="1"/>
  <c r="I1578" i="14"/>
  <c r="I1582" i="14" s="1"/>
  <c r="E1578" i="14"/>
  <c r="E1582" i="14" s="1"/>
  <c r="K1578" i="14"/>
  <c r="K1582" i="14" s="1"/>
  <c r="D1583" i="14"/>
  <c r="M1532" i="14"/>
  <c r="M1536" i="14" s="1"/>
  <c r="J1532" i="14"/>
  <c r="J1536" i="14" s="1"/>
  <c r="F1532" i="14"/>
  <c r="F1536" i="14" s="1"/>
  <c r="E1532" i="14"/>
  <c r="E1536" i="14" s="1"/>
  <c r="I1532" i="14"/>
  <c r="I1536" i="14" s="1"/>
  <c r="D1532" i="14"/>
  <c r="D1536" i="14" s="1"/>
  <c r="K1532" i="14"/>
  <c r="K1536" i="14" s="1"/>
  <c r="H1532" i="14"/>
  <c r="H1536" i="14" s="1"/>
  <c r="G1532" i="14"/>
  <c r="G1536" i="14" s="1"/>
  <c r="L1532" i="14"/>
  <c r="L1536" i="14" s="1"/>
  <c r="D1537" i="14"/>
  <c r="K1486" i="14"/>
  <c r="K1490" i="14" s="1"/>
  <c r="F1486" i="14"/>
  <c r="F1490" i="14" s="1"/>
  <c r="E1486" i="14"/>
  <c r="E1490" i="14" s="1"/>
  <c r="J1486" i="14"/>
  <c r="J1490" i="14" s="1"/>
  <c r="D1491" i="14"/>
  <c r="D1445" i="14"/>
  <c r="D1399" i="14"/>
  <c r="G1348" i="14"/>
  <c r="G1352" i="14" s="1"/>
  <c r="K1348" i="14"/>
  <c r="K1352" i="14" s="1"/>
  <c r="J1348" i="14"/>
  <c r="J1352" i="14" s="1"/>
  <c r="H1348" i="14"/>
  <c r="H1352" i="14" s="1"/>
  <c r="D1348" i="14"/>
  <c r="D1352" i="14" s="1"/>
  <c r="F1348" i="14"/>
  <c r="F1352" i="14" s="1"/>
  <c r="M1348" i="14"/>
  <c r="M1352" i="14" s="1"/>
  <c r="I1348" i="14"/>
  <c r="I1352" i="14" s="1"/>
  <c r="E1348" i="14"/>
  <c r="E1352" i="14" s="1"/>
  <c r="L1348" i="14"/>
  <c r="L1352" i="14" s="1"/>
  <c r="D1353" i="14"/>
  <c r="J1302" i="14"/>
  <c r="J1306" i="14" s="1"/>
  <c r="I1302" i="14"/>
  <c r="I1306" i="14" s="1"/>
  <c r="L1302" i="14"/>
  <c r="L1306" i="14" s="1"/>
  <c r="H1302" i="14"/>
  <c r="H1306" i="14" s="1"/>
  <c r="E1302" i="14"/>
  <c r="E1306" i="14" s="1"/>
  <c r="K1302" i="14"/>
  <c r="K1306" i="14" s="1"/>
  <c r="G1302" i="14"/>
  <c r="G1306" i="14" s="1"/>
  <c r="D1302" i="14"/>
  <c r="D1306" i="14" s="1"/>
  <c r="F1302" i="14"/>
  <c r="F1306" i="14" s="1"/>
  <c r="M1302" i="14"/>
  <c r="M1306" i="14" s="1"/>
  <c r="D1307" i="14"/>
  <c r="M1255" i="14"/>
  <c r="M1254" i="14"/>
  <c r="M1257" i="14" s="1"/>
  <c r="G1256" i="14"/>
  <c r="G1260" i="14" s="1"/>
  <c r="I1256" i="14"/>
  <c r="I1260" i="14" s="1"/>
  <c r="H1256" i="14"/>
  <c r="H1260" i="14" s="1"/>
  <c r="J1256" i="14"/>
  <c r="J1260" i="14" s="1"/>
  <c r="D1256" i="14"/>
  <c r="D1260" i="14" s="1"/>
  <c r="E1256" i="14"/>
  <c r="E1260" i="14" s="1"/>
  <c r="M1256" i="14"/>
  <c r="M1260" i="14" s="1"/>
  <c r="K1256" i="14"/>
  <c r="K1260" i="14" s="1"/>
  <c r="F1256" i="14"/>
  <c r="F1260" i="14" s="1"/>
  <c r="L1256" i="14"/>
  <c r="L1260" i="14" s="1"/>
  <c r="D1261" i="14"/>
  <c r="M1210" i="14"/>
  <c r="M1214" i="14" s="1"/>
  <c r="G1210" i="14"/>
  <c r="G1214" i="14" s="1"/>
  <c r="J1210" i="14"/>
  <c r="J1214" i="14" s="1"/>
  <c r="H1210" i="14"/>
  <c r="H1214" i="14" s="1"/>
  <c r="F1210" i="14"/>
  <c r="F1214" i="14" s="1"/>
  <c r="D1210" i="14"/>
  <c r="D1214" i="14" s="1"/>
  <c r="D1215" i="14"/>
  <c r="D1169" i="14"/>
  <c r="D1123" i="14"/>
  <c r="D1077" i="14"/>
  <c r="F1026" i="14"/>
  <c r="F1030" i="14" s="1"/>
  <c r="M1026" i="14"/>
  <c r="M1030" i="14" s="1"/>
  <c r="D1031" i="14"/>
  <c r="I980" i="14"/>
  <c r="I984" i="14" s="1"/>
  <c r="K980" i="14"/>
  <c r="K984" i="14" s="1"/>
  <c r="H980" i="14"/>
  <c r="H984" i="14" s="1"/>
  <c r="G980" i="14"/>
  <c r="G984" i="14" s="1"/>
  <c r="F980" i="14"/>
  <c r="F984" i="14" s="1"/>
  <c r="M980" i="14"/>
  <c r="M984" i="14" s="1"/>
  <c r="J980" i="14"/>
  <c r="J984" i="14" s="1"/>
  <c r="E980" i="14"/>
  <c r="E984" i="14" s="1"/>
  <c r="L980" i="14"/>
  <c r="L984" i="14" s="1"/>
  <c r="D980" i="14"/>
  <c r="D984" i="14" s="1"/>
  <c r="D985" i="14"/>
  <c r="J934" i="14"/>
  <c r="J938" i="14" s="1"/>
  <c r="K934" i="14"/>
  <c r="K938" i="14" s="1"/>
  <c r="H934" i="14"/>
  <c r="H938" i="14" s="1"/>
  <c r="G934" i="14"/>
  <c r="G938" i="14" s="1"/>
  <c r="D934" i="14"/>
  <c r="D938" i="14" s="1"/>
  <c r="F934" i="14"/>
  <c r="F938" i="14" s="1"/>
  <c r="M934" i="14"/>
  <c r="M938" i="14" s="1"/>
  <c r="I934" i="14"/>
  <c r="I938" i="14" s="1"/>
  <c r="E934" i="14"/>
  <c r="E938" i="14" s="1"/>
  <c r="L934" i="14"/>
  <c r="L938" i="14" s="1"/>
  <c r="D939" i="14"/>
  <c r="M888" i="14"/>
  <c r="M892" i="14" s="1"/>
  <c r="H888" i="14"/>
  <c r="H892" i="14" s="1"/>
  <c r="J888" i="14"/>
  <c r="J892" i="14" s="1"/>
  <c r="G888" i="14"/>
  <c r="G892" i="14" s="1"/>
  <c r="F888" i="14"/>
  <c r="F892" i="14" s="1"/>
  <c r="D888" i="14"/>
  <c r="D892" i="14" s="1"/>
  <c r="K888" i="14"/>
  <c r="K892" i="14" s="1"/>
  <c r="I888" i="14"/>
  <c r="I892" i="14" s="1"/>
  <c r="E888" i="14"/>
  <c r="E892" i="14" s="1"/>
  <c r="L888" i="14"/>
  <c r="L892" i="14" s="1"/>
  <c r="D893" i="14"/>
  <c r="H842" i="14"/>
  <c r="H846" i="14" s="1"/>
  <c r="D842" i="14"/>
  <c r="D846" i="14" s="1"/>
  <c r="I842" i="14"/>
  <c r="I846" i="14" s="1"/>
  <c r="J842" i="14"/>
  <c r="J846" i="14" s="1"/>
  <c r="G842" i="14"/>
  <c r="G846" i="14" s="1"/>
  <c r="F842" i="14"/>
  <c r="F846" i="14" s="1"/>
  <c r="M842" i="14"/>
  <c r="M846" i="14" s="1"/>
  <c r="K842" i="14"/>
  <c r="K846" i="14" s="1"/>
  <c r="E842" i="14"/>
  <c r="E846" i="14" s="1"/>
  <c r="L842" i="14"/>
  <c r="L846" i="14" s="1"/>
  <c r="D847" i="14"/>
  <c r="E801" i="14"/>
  <c r="D796" i="14"/>
  <c r="D800" i="14" s="1"/>
  <c r="K796" i="14"/>
  <c r="K800" i="14" s="1"/>
  <c r="G796" i="14"/>
  <c r="G800" i="14" s="1"/>
  <c r="M796" i="14"/>
  <c r="M800" i="14" s="1"/>
  <c r="J796" i="14"/>
  <c r="J800" i="14" s="1"/>
  <c r="F796" i="14"/>
  <c r="F800" i="14" s="1"/>
  <c r="I796" i="14"/>
  <c r="I800" i="14" s="1"/>
  <c r="L796" i="14"/>
  <c r="L800" i="14" s="1"/>
  <c r="E796" i="14"/>
  <c r="E800" i="14" s="1"/>
  <c r="H796" i="14"/>
  <c r="H800" i="14" s="1"/>
  <c r="D801" i="14"/>
  <c r="E802" i="14"/>
  <c r="E811" i="14"/>
  <c r="F755" i="14"/>
  <c r="F756" i="14"/>
  <c r="F765" i="14"/>
  <c r="E750" i="14"/>
  <c r="E754" i="14" s="1"/>
  <c r="I750" i="14"/>
  <c r="I754" i="14" s="1"/>
  <c r="K750" i="14"/>
  <c r="K754" i="14" s="1"/>
  <c r="H750" i="14"/>
  <c r="H754" i="14" s="1"/>
  <c r="D750" i="14"/>
  <c r="D754" i="14" s="1"/>
  <c r="G750" i="14"/>
  <c r="G754" i="14" s="1"/>
  <c r="M750" i="14"/>
  <c r="M754" i="14" s="1"/>
  <c r="L750" i="14"/>
  <c r="L754" i="14" s="1"/>
  <c r="F750" i="14"/>
  <c r="F754" i="14" s="1"/>
  <c r="J750" i="14"/>
  <c r="J754" i="14" s="1"/>
  <c r="D755" i="14"/>
  <c r="E704" i="14"/>
  <c r="E708" i="14" s="1"/>
  <c r="J704" i="14"/>
  <c r="J708" i="14" s="1"/>
  <c r="L704" i="14"/>
  <c r="L708" i="14" s="1"/>
  <c r="I704" i="14"/>
  <c r="I708" i="14" s="1"/>
  <c r="G704" i="14"/>
  <c r="G708" i="14" s="1"/>
  <c r="M704" i="14"/>
  <c r="M708" i="14" s="1"/>
  <c r="D704" i="14"/>
  <c r="D708" i="14" s="1"/>
  <c r="H704" i="14"/>
  <c r="H708" i="14" s="1"/>
  <c r="F704" i="14"/>
  <c r="F708" i="14" s="1"/>
  <c r="K704" i="14"/>
  <c r="K708" i="14" s="1"/>
  <c r="D709" i="14"/>
  <c r="D658" i="14"/>
  <c r="D662" i="14" s="1"/>
  <c r="F658" i="14"/>
  <c r="F662" i="14" s="1"/>
  <c r="G658" i="14"/>
  <c r="G662" i="14" s="1"/>
  <c r="I658" i="14"/>
  <c r="I662" i="14" s="1"/>
  <c r="K658" i="14"/>
  <c r="K662" i="14" s="1"/>
  <c r="M658" i="14"/>
  <c r="M662" i="14" s="1"/>
  <c r="E658" i="14"/>
  <c r="E662" i="14" s="1"/>
  <c r="H658" i="14"/>
  <c r="H662" i="14" s="1"/>
  <c r="J658" i="14"/>
  <c r="J662" i="14" s="1"/>
  <c r="L658" i="14"/>
  <c r="L662" i="14" s="1"/>
  <c r="D663" i="14"/>
  <c r="G612" i="14"/>
  <c r="G616" i="14" s="1"/>
  <c r="J612" i="14"/>
  <c r="J616" i="14" s="1"/>
  <c r="H612" i="14"/>
  <c r="H616" i="14" s="1"/>
  <c r="I612" i="14"/>
  <c r="I616" i="14" s="1"/>
  <c r="D612" i="14"/>
  <c r="D616" i="14" s="1"/>
  <c r="K612" i="14"/>
  <c r="K616" i="14" s="1"/>
  <c r="F612" i="14"/>
  <c r="F616" i="14" s="1"/>
  <c r="L612" i="14"/>
  <c r="L616" i="14" s="1"/>
  <c r="E612" i="14"/>
  <c r="E616" i="14" s="1"/>
  <c r="M612" i="14"/>
  <c r="M616" i="14" s="1"/>
  <c r="D617" i="14"/>
  <c r="M566" i="14"/>
  <c r="M570" i="14" s="1"/>
  <c r="G566" i="14"/>
  <c r="G570" i="14" s="1"/>
  <c r="F566" i="14"/>
  <c r="F570" i="14" s="1"/>
  <c r="H566" i="14"/>
  <c r="H570" i="14" s="1"/>
  <c r="L566" i="14"/>
  <c r="L570" i="14" s="1"/>
  <c r="K566" i="14"/>
  <c r="K570" i="14" s="1"/>
  <c r="E566" i="14"/>
  <c r="E570" i="14" s="1"/>
  <c r="I566" i="14"/>
  <c r="I570" i="14" s="1"/>
  <c r="D566" i="14"/>
  <c r="D570" i="14" s="1"/>
  <c r="J566" i="14"/>
  <c r="J570" i="14" s="1"/>
  <c r="D571" i="14"/>
  <c r="D520" i="14"/>
  <c r="H520" i="14"/>
  <c r="I520" i="14"/>
  <c r="F520" i="14"/>
  <c r="L520" i="14"/>
  <c r="G520" i="14"/>
  <c r="K520" i="14"/>
  <c r="E520" i="14"/>
  <c r="M520" i="14"/>
  <c r="D525" i="14"/>
  <c r="H474" i="14"/>
  <c r="I474" i="14"/>
  <c r="D474" i="14"/>
  <c r="J474" i="14"/>
  <c r="F474" i="14"/>
  <c r="F478" i="14" s="1"/>
  <c r="K474" i="14"/>
  <c r="K478" i="14" s="1"/>
  <c r="E474" i="14"/>
  <c r="E478" i="14" s="1"/>
  <c r="L474" i="14"/>
  <c r="L478" i="14" s="1"/>
  <c r="G474" i="14"/>
  <c r="G478" i="14" s="1"/>
  <c r="M474" i="14"/>
  <c r="M478" i="14" s="1"/>
  <c r="D479" i="14"/>
  <c r="G428" i="14"/>
  <c r="G432" i="14" s="1"/>
  <c r="I428" i="14"/>
  <c r="I432" i="14" s="1"/>
  <c r="H428" i="14"/>
  <c r="H432" i="14" s="1"/>
  <c r="K428" i="14"/>
  <c r="K432" i="14" s="1"/>
  <c r="E428" i="14"/>
  <c r="E432" i="14" s="1"/>
  <c r="J428" i="14"/>
  <c r="J432" i="14" s="1"/>
  <c r="D428" i="14"/>
  <c r="D432" i="14" s="1"/>
  <c r="M428" i="14"/>
  <c r="M432" i="14" s="1"/>
  <c r="F428" i="14"/>
  <c r="F432" i="14" s="1"/>
  <c r="L428" i="14"/>
  <c r="L432" i="14" s="1"/>
  <c r="D433" i="14"/>
  <c r="G382" i="14"/>
  <c r="G386" i="14" s="1"/>
  <c r="I382" i="14"/>
  <c r="I386" i="14" s="1"/>
  <c r="H382" i="14"/>
  <c r="H386" i="14" s="1"/>
  <c r="D382" i="14"/>
  <c r="D386" i="14" s="1"/>
  <c r="L382" i="14"/>
  <c r="L386" i="14" s="1"/>
  <c r="E382" i="14"/>
  <c r="E386" i="14" s="1"/>
  <c r="K382" i="14"/>
  <c r="K386" i="14" s="1"/>
  <c r="J382" i="14"/>
  <c r="J386" i="14" s="1"/>
  <c r="F382" i="14"/>
  <c r="F386" i="14" s="1"/>
  <c r="M382" i="14"/>
  <c r="M386" i="14" s="1"/>
  <c r="D387" i="14"/>
  <c r="M341" i="14"/>
  <c r="L341" i="14"/>
  <c r="K341" i="14"/>
  <c r="J341" i="14"/>
  <c r="I341" i="14"/>
  <c r="H341" i="14"/>
  <c r="G341" i="14"/>
  <c r="F341" i="14"/>
  <c r="E341" i="14"/>
  <c r="F290" i="14"/>
  <c r="F294" i="14" s="1"/>
  <c r="G290" i="14"/>
  <c r="G294" i="14" s="1"/>
  <c r="I290" i="14"/>
  <c r="I294" i="14" s="1"/>
  <c r="H290" i="14"/>
  <c r="H294" i="14" s="1"/>
  <c r="D290" i="14"/>
  <c r="D294" i="14" s="1"/>
  <c r="J290" i="14"/>
  <c r="J294" i="14" s="1"/>
  <c r="E290" i="14"/>
  <c r="E294" i="14" s="1"/>
  <c r="M290" i="14"/>
  <c r="M294" i="14" s="1"/>
  <c r="L290" i="14"/>
  <c r="L294" i="14" s="1"/>
  <c r="K290" i="14"/>
  <c r="K294" i="14" s="1"/>
  <c r="D295" i="14"/>
  <c r="I244" i="14"/>
  <c r="I248" i="14" s="1"/>
  <c r="H244" i="14"/>
  <c r="H248" i="14" s="1"/>
  <c r="G244" i="14"/>
  <c r="G248" i="14" s="1"/>
  <c r="M244" i="14"/>
  <c r="M248" i="14" s="1"/>
  <c r="E244" i="14"/>
  <c r="E248" i="14" s="1"/>
  <c r="K244" i="14"/>
  <c r="K248" i="14" s="1"/>
  <c r="F244" i="14"/>
  <c r="F248" i="14" s="1"/>
  <c r="L244" i="14"/>
  <c r="L248" i="14" s="1"/>
  <c r="D244" i="14"/>
  <c r="D248" i="14" s="1"/>
  <c r="J244" i="14"/>
  <c r="J248" i="14" s="1"/>
  <c r="D249" i="14"/>
  <c r="I198" i="14"/>
  <c r="I202" i="14" s="1"/>
  <c r="H198" i="14"/>
  <c r="H202" i="14" s="1"/>
  <c r="F198" i="14"/>
  <c r="F202" i="14" s="1"/>
  <c r="D198" i="14"/>
  <c r="D202" i="14" s="1"/>
  <c r="J198" i="14"/>
  <c r="J202" i="14" s="1"/>
  <c r="L198" i="14"/>
  <c r="L202" i="14" s="1"/>
  <c r="G198" i="14"/>
  <c r="G202" i="14" s="1"/>
  <c r="M198" i="14"/>
  <c r="M202" i="14" s="1"/>
  <c r="E198" i="14"/>
  <c r="E202" i="14" s="1"/>
  <c r="K198" i="14"/>
  <c r="K202" i="14" s="1"/>
  <c r="D203" i="14"/>
  <c r="I152" i="14"/>
  <c r="I156" i="14" s="1"/>
  <c r="F152" i="14"/>
  <c r="F156" i="14" s="1"/>
  <c r="E152" i="14"/>
  <c r="E156" i="14" s="1"/>
  <c r="D152" i="14"/>
  <c r="D156" i="14" s="1"/>
  <c r="K152" i="14"/>
  <c r="K156" i="14" s="1"/>
  <c r="G152" i="14"/>
  <c r="G156" i="14" s="1"/>
  <c r="L152" i="14"/>
  <c r="L156" i="14" s="1"/>
  <c r="J152" i="14"/>
  <c r="J156" i="14" s="1"/>
  <c r="H152" i="14"/>
  <c r="H156" i="14" s="1"/>
  <c r="M152" i="14"/>
  <c r="M156" i="14" s="1"/>
  <c r="D157" i="14"/>
  <c r="J106" i="14"/>
  <c r="J110" i="14" s="1"/>
  <c r="G106" i="14"/>
  <c r="G110" i="14" s="1"/>
  <c r="F106" i="14"/>
  <c r="F110" i="14" s="1"/>
  <c r="E106" i="14"/>
  <c r="E110" i="14" s="1"/>
  <c r="D106" i="14"/>
  <c r="D110" i="14" s="1"/>
  <c r="H106" i="14"/>
  <c r="H110" i="14" s="1"/>
  <c r="K106" i="14"/>
  <c r="K110" i="14" s="1"/>
  <c r="L106" i="14"/>
  <c r="L110" i="14" s="1"/>
  <c r="I106" i="14"/>
  <c r="I110" i="14" s="1"/>
  <c r="M106" i="14"/>
  <c r="M110" i="14" s="1"/>
  <c r="D111" i="14"/>
  <c r="J60" i="14"/>
  <c r="J64" i="14" s="1"/>
  <c r="I60" i="14"/>
  <c r="I64" i="14" s="1"/>
  <c r="H60" i="14"/>
  <c r="H64" i="14" s="1"/>
  <c r="E60" i="14"/>
  <c r="E64" i="14" s="1"/>
  <c r="D60" i="14"/>
  <c r="D64" i="14" s="1"/>
  <c r="G60" i="14"/>
  <c r="G64" i="14" s="1"/>
  <c r="M60" i="14"/>
  <c r="M64" i="14" s="1"/>
  <c r="K60" i="14"/>
  <c r="K64" i="14" s="1"/>
  <c r="F60" i="14"/>
  <c r="F64" i="14" s="1"/>
  <c r="L60" i="14"/>
  <c r="L64" i="14" s="1"/>
  <c r="D65" i="14"/>
  <c r="M13" i="14"/>
  <c r="M12" i="14"/>
  <c r="M15" i="14" s="1"/>
  <c r="L14" i="14"/>
  <c r="L18" i="14" s="1"/>
  <c r="K14" i="14"/>
  <c r="K18" i="14" s="1"/>
  <c r="D14" i="14"/>
  <c r="D18" i="14" s="1"/>
  <c r="J14" i="14"/>
  <c r="J18" i="14" s="1"/>
  <c r="I14" i="14"/>
  <c r="I18" i="14" s="1"/>
  <c r="H14" i="14"/>
  <c r="H18" i="14" s="1"/>
  <c r="E14" i="14"/>
  <c r="E18" i="14" s="1"/>
  <c r="F14" i="14"/>
  <c r="F18" i="14" s="1"/>
  <c r="G14" i="14"/>
  <c r="G18" i="14" s="1"/>
  <c r="M14" i="14"/>
  <c r="M18" i="14" s="1"/>
  <c r="D19" i="14"/>
  <c r="B82" i="19"/>
  <c r="F29" i="1"/>
  <c r="F30" i="1"/>
  <c r="F31" i="1"/>
  <c r="F32" i="1"/>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7" i="8"/>
  <c r="B86" i="19" s="1"/>
  <c r="E58" i="8"/>
  <c r="B88" i="19" s="1"/>
  <c r="E59" i="8"/>
  <c r="B90" i="19" s="1"/>
  <c r="E60" i="8"/>
  <c r="B92" i="19" s="1"/>
  <c r="E61" i="8"/>
  <c r="B94" i="19" s="1"/>
  <c r="E62" i="8"/>
  <c r="B96" i="19" s="1"/>
  <c r="E63" i="8"/>
  <c r="B98" i="19" s="1"/>
  <c r="E64" i="8"/>
  <c r="B100" i="19" s="1"/>
  <c r="E65" i="8"/>
  <c r="B102" i="19" s="1"/>
  <c r="E66" i="8"/>
  <c r="B104" i="19" s="1"/>
  <c r="E67" i="8"/>
  <c r="B106" i="19" s="1"/>
  <c r="E68" i="8"/>
  <c r="B108" i="19" s="1"/>
  <c r="H6" i="8"/>
  <c r="I6" i="8" s="1"/>
  <c r="H7" i="8"/>
  <c r="I7" i="8" s="1"/>
  <c r="H8" i="8"/>
  <c r="I8" i="8" s="1"/>
  <c r="H9" i="8"/>
  <c r="I9" i="8" s="1"/>
  <c r="H10" i="8"/>
  <c r="I10" i="8" s="1"/>
  <c r="H11" i="8"/>
  <c r="I11" i="8" s="1"/>
  <c r="H12" i="8"/>
  <c r="I12" i="8" s="1"/>
  <c r="H13" i="8"/>
  <c r="I13" i="8" s="1"/>
  <c r="H14" i="8"/>
  <c r="I14" i="8" s="1"/>
  <c r="H15" i="8"/>
  <c r="I15" i="8" s="1"/>
  <c r="H16" i="8"/>
  <c r="I16" i="8" s="1"/>
  <c r="H17" i="8"/>
  <c r="I17" i="8" s="1"/>
  <c r="H18" i="8"/>
  <c r="I18" i="8" s="1"/>
  <c r="H19" i="8"/>
  <c r="I19" i="8" s="1"/>
  <c r="H20" i="8"/>
  <c r="I20" i="8" s="1"/>
  <c r="H21" i="8"/>
  <c r="I21" i="8" s="1"/>
  <c r="H22" i="8"/>
  <c r="I22" i="8" s="1"/>
  <c r="H23" i="8"/>
  <c r="I23" i="8" s="1"/>
  <c r="H24" i="8"/>
  <c r="I24" i="8" s="1"/>
  <c r="H25" i="8"/>
  <c r="I25" i="8" s="1"/>
  <c r="H26" i="8"/>
  <c r="I26" i="8" s="1"/>
  <c r="H27" i="8"/>
  <c r="I27" i="8" s="1"/>
  <c r="H28" i="8"/>
  <c r="I28" i="8" s="1"/>
  <c r="H29" i="8"/>
  <c r="I29" i="8" s="1"/>
  <c r="H30" i="8"/>
  <c r="I30" i="8" s="1"/>
  <c r="H31" i="8"/>
  <c r="I31" i="8" s="1"/>
  <c r="H32" i="8"/>
  <c r="I32" i="8" s="1"/>
  <c r="H33" i="8"/>
  <c r="I33" i="8" s="1"/>
  <c r="H34" i="8"/>
  <c r="I34" i="8" s="1"/>
  <c r="H35" i="8"/>
  <c r="I35" i="8" s="1"/>
  <c r="H36" i="8"/>
  <c r="I36" i="8" s="1"/>
  <c r="H37" i="8"/>
  <c r="I37" i="8" s="1"/>
  <c r="H38" i="8"/>
  <c r="I38" i="8" s="1"/>
  <c r="H39" i="8"/>
  <c r="I39" i="8" s="1"/>
  <c r="H40" i="8"/>
  <c r="I40" i="8" s="1"/>
  <c r="H41" i="8"/>
  <c r="I41" i="8" s="1"/>
  <c r="H42" i="8"/>
  <c r="I42" i="8" s="1"/>
  <c r="H43" i="8"/>
  <c r="I43" i="8" s="1"/>
  <c r="H44" i="8"/>
  <c r="I44" i="8" s="1"/>
  <c r="H45" i="8"/>
  <c r="I45" i="8" s="1"/>
  <c r="H46" i="8"/>
  <c r="I46" i="8" s="1"/>
  <c r="H47" i="8"/>
  <c r="I47" i="8" s="1"/>
  <c r="H48" i="8"/>
  <c r="I48" i="8" s="1"/>
  <c r="H49" i="8"/>
  <c r="I49" i="8" s="1"/>
  <c r="H50" i="8"/>
  <c r="I50" i="8" s="1"/>
  <c r="H51" i="8"/>
  <c r="I51" i="8" s="1"/>
  <c r="H52" i="8"/>
  <c r="I52" i="8" s="1"/>
  <c r="H53" i="8"/>
  <c r="I53" i="8" s="1"/>
  <c r="H57" i="8"/>
  <c r="I57" i="8" s="1"/>
  <c r="H58" i="8"/>
  <c r="I58" i="8" s="1"/>
  <c r="H59" i="8"/>
  <c r="I59" i="8" s="1"/>
  <c r="H60" i="8"/>
  <c r="I60" i="8" s="1"/>
  <c r="H61" i="8"/>
  <c r="I61" i="8" s="1"/>
  <c r="H62" i="8"/>
  <c r="I62" i="8" s="1"/>
  <c r="H63" i="8"/>
  <c r="I63" i="8" s="1"/>
  <c r="H64" i="8"/>
  <c r="I64" i="8" s="1"/>
  <c r="H65" i="8"/>
  <c r="I65" i="8" s="1"/>
  <c r="H66" i="8"/>
  <c r="I66" i="8" s="1"/>
  <c r="H67" i="8"/>
  <c r="I67" i="8" s="1"/>
  <c r="H68" i="8"/>
  <c r="I68" i="8" s="1"/>
  <c r="L58" i="8"/>
  <c r="L68" i="8"/>
  <c r="L67" i="8"/>
  <c r="L66" i="8"/>
  <c r="L65" i="8"/>
  <c r="L64" i="8"/>
  <c r="L63" i="8"/>
  <c r="L62" i="8"/>
  <c r="L61" i="8"/>
  <c r="L60" i="8"/>
  <c r="L59" i="8"/>
  <c r="L57" i="8"/>
  <c r="L53" i="8"/>
  <c r="L52" i="8"/>
  <c r="L51" i="8"/>
  <c r="L50" i="8"/>
  <c r="L49" i="8"/>
  <c r="L48" i="8"/>
  <c r="L47" i="8"/>
  <c r="L46" i="8"/>
  <c r="L45" i="8"/>
  <c r="L44" i="8"/>
  <c r="L43" i="8"/>
  <c r="L42" i="8"/>
  <c r="L41" i="8"/>
  <c r="L40" i="8"/>
  <c r="L39" i="8"/>
  <c r="L38" i="8"/>
  <c r="L37" i="8"/>
  <c r="L36" i="8"/>
  <c r="L35" i="8"/>
  <c r="L34" i="8"/>
  <c r="L33" i="8"/>
  <c r="L32" i="8"/>
  <c r="L31" i="8"/>
  <c r="L30" i="8"/>
  <c r="L29" i="8"/>
  <c r="L28" i="8"/>
  <c r="L27" i="8"/>
  <c r="L26" i="8"/>
  <c r="L25" i="8"/>
  <c r="L24" i="8"/>
  <c r="L23" i="8"/>
  <c r="L22" i="8"/>
  <c r="L21" i="8"/>
  <c r="L20" i="8"/>
  <c r="L19" i="8"/>
  <c r="L18" i="8"/>
  <c r="L17" i="8"/>
  <c r="L16" i="8"/>
  <c r="L15" i="8"/>
  <c r="L14" i="8"/>
  <c r="L13" i="8"/>
  <c r="L12" i="8"/>
  <c r="L11" i="8"/>
  <c r="L10" i="8"/>
  <c r="L9" i="8"/>
  <c r="L8" i="8"/>
  <c r="L7" i="8"/>
  <c r="L6" i="8"/>
  <c r="D5120" i="6"/>
  <c r="D5124" i="6" s="1"/>
  <c r="E5120" i="6"/>
  <c r="E5124" i="6" s="1"/>
  <c r="F5120" i="6"/>
  <c r="F5124" i="6" s="1"/>
  <c r="G5120" i="6"/>
  <c r="G5124" i="6" s="1"/>
  <c r="H5120" i="6"/>
  <c r="H5124" i="6" s="1"/>
  <c r="I5120" i="6"/>
  <c r="I5124" i="6" s="1"/>
  <c r="J5120" i="6"/>
  <c r="J5124" i="6" s="1"/>
  <c r="K5120" i="6"/>
  <c r="K5124" i="6" s="1"/>
  <c r="L5120" i="6"/>
  <c r="L5124" i="6" s="1"/>
  <c r="M5120" i="6"/>
  <c r="M5124" i="6" s="1"/>
  <c r="D5125" i="6"/>
  <c r="H5074" i="6"/>
  <c r="H5078" i="6" s="1"/>
  <c r="I5074" i="6"/>
  <c r="I5078" i="6" s="1"/>
  <c r="J5074" i="6"/>
  <c r="J5078" i="6" s="1"/>
  <c r="K5074" i="6"/>
  <c r="K5078" i="6" s="1"/>
  <c r="L5074" i="6"/>
  <c r="L5078" i="6" s="1"/>
  <c r="M5074" i="6"/>
  <c r="M5078" i="6" s="1"/>
  <c r="D5079" i="6"/>
  <c r="F5028" i="6"/>
  <c r="F5032" i="6" s="1"/>
  <c r="H5028" i="6"/>
  <c r="H5032" i="6" s="1"/>
  <c r="L5028" i="6"/>
  <c r="L5032" i="6" s="1"/>
  <c r="D5033" i="6"/>
  <c r="D5028" i="6"/>
  <c r="D5032" i="6" s="1"/>
  <c r="G5028" i="6"/>
  <c r="G5032" i="6" s="1"/>
  <c r="I5028" i="6"/>
  <c r="I5032" i="6" s="1"/>
  <c r="K5028" i="6"/>
  <c r="K5032" i="6" s="1"/>
  <c r="M5028" i="6"/>
  <c r="M5032" i="6" s="1"/>
  <c r="E5028" i="6"/>
  <c r="E5032" i="6" s="1"/>
  <c r="J5028" i="6"/>
  <c r="J5032" i="6" s="1"/>
  <c r="D4982" i="6"/>
  <c r="D4986" i="6" s="1"/>
  <c r="E4982" i="6"/>
  <c r="E4986" i="6" s="1"/>
  <c r="F4982" i="6"/>
  <c r="F4986" i="6" s="1"/>
  <c r="G4982" i="6"/>
  <c r="G4986" i="6" s="1"/>
  <c r="H4982" i="6"/>
  <c r="H4986" i="6" s="1"/>
  <c r="I4982" i="6"/>
  <c r="I4986" i="6" s="1"/>
  <c r="J4982" i="6"/>
  <c r="J4986" i="6" s="1"/>
  <c r="K4982" i="6"/>
  <c r="K4986" i="6" s="1"/>
  <c r="L4982" i="6"/>
  <c r="L4986" i="6" s="1"/>
  <c r="M4982" i="6"/>
  <c r="M4986" i="6" s="1"/>
  <c r="D4987" i="6"/>
  <c r="D4936" i="6"/>
  <c r="D4940" i="6" s="1"/>
  <c r="E4936" i="6"/>
  <c r="E4940" i="6" s="1"/>
  <c r="F4936" i="6"/>
  <c r="F4940" i="6" s="1"/>
  <c r="G4936" i="6"/>
  <c r="G4940" i="6" s="1"/>
  <c r="H4936" i="6"/>
  <c r="H4940" i="6" s="1"/>
  <c r="I4936" i="6"/>
  <c r="I4940" i="6" s="1"/>
  <c r="J4936" i="6"/>
  <c r="J4940" i="6" s="1"/>
  <c r="K4936" i="6"/>
  <c r="K4940" i="6" s="1"/>
  <c r="L4936" i="6"/>
  <c r="L4940" i="6" s="1"/>
  <c r="M4936" i="6"/>
  <c r="M4940" i="6" s="1"/>
  <c r="D4941" i="6"/>
  <c r="E4890" i="6"/>
  <c r="E4894" i="6" s="1"/>
  <c r="G4890" i="6"/>
  <c r="G4894" i="6" s="1"/>
  <c r="I4890" i="6"/>
  <c r="I4894" i="6" s="1"/>
  <c r="K4890" i="6"/>
  <c r="K4894" i="6" s="1"/>
  <c r="M4890" i="6"/>
  <c r="M4894" i="6" s="1"/>
  <c r="D4890" i="6"/>
  <c r="D4894" i="6" s="1"/>
  <c r="F4890" i="6"/>
  <c r="F4894" i="6" s="1"/>
  <c r="H4890" i="6"/>
  <c r="H4894" i="6" s="1"/>
  <c r="J4890" i="6"/>
  <c r="J4894" i="6" s="1"/>
  <c r="L4890" i="6"/>
  <c r="L4894" i="6" s="1"/>
  <c r="D4895" i="6"/>
  <c r="E4844" i="6"/>
  <c r="E4848" i="6" s="1"/>
  <c r="D4849" i="6"/>
  <c r="D4803" i="6"/>
  <c r="M4752" i="6"/>
  <c r="M4756" i="6" s="1"/>
  <c r="D4752" i="6"/>
  <c r="D4756" i="6" s="1"/>
  <c r="F4752" i="6"/>
  <c r="F4756" i="6" s="1"/>
  <c r="H4752" i="6"/>
  <c r="H4756" i="6" s="1"/>
  <c r="J4752" i="6"/>
  <c r="J4756" i="6" s="1"/>
  <c r="L4752" i="6"/>
  <c r="L4756" i="6" s="1"/>
  <c r="D4757" i="6"/>
  <c r="M4711" i="6"/>
  <c r="L4711" i="6"/>
  <c r="K4711" i="6"/>
  <c r="K4712" i="6"/>
  <c r="K4721" i="6"/>
  <c r="J4711" i="6"/>
  <c r="J4712" i="6"/>
  <c r="J4721" i="6"/>
  <c r="I4711" i="6"/>
  <c r="H4711" i="6"/>
  <c r="G4711" i="6"/>
  <c r="F4711" i="6"/>
  <c r="E4711" i="6"/>
  <c r="M4660" i="6"/>
  <c r="M4664" i="6" s="1"/>
  <c r="D4660" i="6"/>
  <c r="D4664" i="6" s="1"/>
  <c r="F4660" i="6"/>
  <c r="F4664" i="6" s="1"/>
  <c r="H4660" i="6"/>
  <c r="H4664" i="6" s="1"/>
  <c r="J4660" i="6"/>
  <c r="J4664" i="6" s="1"/>
  <c r="L4660" i="6"/>
  <c r="L4664" i="6" s="1"/>
  <c r="E4660" i="6"/>
  <c r="E4664" i="6" s="1"/>
  <c r="G4660" i="6"/>
  <c r="G4664" i="6" s="1"/>
  <c r="I4660" i="6"/>
  <c r="I4664" i="6" s="1"/>
  <c r="K4660" i="6"/>
  <c r="K4664" i="6" s="1"/>
  <c r="D4665" i="6"/>
  <c r="E4614" i="6"/>
  <c r="E4618" i="6" s="1"/>
  <c r="G4614" i="6"/>
  <c r="G4618" i="6" s="1"/>
  <c r="I4614" i="6"/>
  <c r="I4618" i="6" s="1"/>
  <c r="J4614" i="6"/>
  <c r="J4618" i="6" s="1"/>
  <c r="L4614" i="6"/>
  <c r="L4618" i="6" s="1"/>
  <c r="D4614" i="6"/>
  <c r="D4618" i="6" s="1"/>
  <c r="F4614" i="6"/>
  <c r="F4618" i="6" s="1"/>
  <c r="H4614" i="6"/>
  <c r="H4618" i="6" s="1"/>
  <c r="K4614" i="6"/>
  <c r="K4618" i="6" s="1"/>
  <c r="M4614" i="6"/>
  <c r="M4618" i="6" s="1"/>
  <c r="D4619" i="6"/>
  <c r="E4568" i="6"/>
  <c r="E4572" i="6" s="1"/>
  <c r="G4568" i="6"/>
  <c r="G4572" i="6" s="1"/>
  <c r="I4568" i="6"/>
  <c r="I4572" i="6" s="1"/>
  <c r="K4568" i="6"/>
  <c r="K4572" i="6" s="1"/>
  <c r="M4568" i="6"/>
  <c r="M4572" i="6" s="1"/>
  <c r="D4568" i="6"/>
  <c r="D4572" i="6" s="1"/>
  <c r="F4568" i="6"/>
  <c r="F4572" i="6" s="1"/>
  <c r="H4568" i="6"/>
  <c r="H4572" i="6" s="1"/>
  <c r="J4568" i="6"/>
  <c r="J4572" i="6" s="1"/>
  <c r="L4568" i="6"/>
  <c r="L4572" i="6" s="1"/>
  <c r="D4573" i="6"/>
  <c r="E4522" i="6"/>
  <c r="E4526" i="6" s="1"/>
  <c r="G4522" i="6"/>
  <c r="G4526" i="6" s="1"/>
  <c r="I4522" i="6"/>
  <c r="I4526" i="6" s="1"/>
  <c r="K4522" i="6"/>
  <c r="K4526" i="6" s="1"/>
  <c r="M4522" i="6"/>
  <c r="M4526" i="6" s="1"/>
  <c r="D4522" i="6"/>
  <c r="D4526" i="6" s="1"/>
  <c r="F4522" i="6"/>
  <c r="F4526" i="6" s="1"/>
  <c r="H4522" i="6"/>
  <c r="H4526" i="6" s="1"/>
  <c r="J4522" i="6"/>
  <c r="J4526" i="6" s="1"/>
  <c r="L4522" i="6"/>
  <c r="L4526" i="6" s="1"/>
  <c r="D4527" i="6"/>
  <c r="E4476" i="6"/>
  <c r="E4480" i="6" s="1"/>
  <c r="G4476" i="6"/>
  <c r="G4480" i="6" s="1"/>
  <c r="H4476" i="6"/>
  <c r="H4480" i="6" s="1"/>
  <c r="J4476" i="6"/>
  <c r="J4480" i="6" s="1"/>
  <c r="L4476" i="6"/>
  <c r="L4480" i="6" s="1"/>
  <c r="D4476" i="6"/>
  <c r="D4480" i="6" s="1"/>
  <c r="F4476" i="6"/>
  <c r="F4480" i="6" s="1"/>
  <c r="I4476" i="6"/>
  <c r="I4480" i="6" s="1"/>
  <c r="K4476" i="6"/>
  <c r="K4480" i="6" s="1"/>
  <c r="M4476" i="6"/>
  <c r="M4480" i="6" s="1"/>
  <c r="D4481" i="6"/>
  <c r="D4430" i="6"/>
  <c r="D4434" i="6" s="1"/>
  <c r="F4430" i="6"/>
  <c r="F4434" i="6" s="1"/>
  <c r="H4430" i="6"/>
  <c r="H4434" i="6" s="1"/>
  <c r="J4430" i="6"/>
  <c r="J4434" i="6" s="1"/>
  <c r="L4430" i="6"/>
  <c r="L4434" i="6" s="1"/>
  <c r="E4430" i="6"/>
  <c r="E4434" i="6" s="1"/>
  <c r="G4430" i="6"/>
  <c r="G4434" i="6" s="1"/>
  <c r="D4435" i="6"/>
  <c r="M4383" i="6"/>
  <c r="M4382" i="6"/>
  <c r="M4385" i="6" s="1"/>
  <c r="D4389" i="6"/>
  <c r="D4343" i="6"/>
  <c r="D4297" i="6"/>
  <c r="D4251" i="6"/>
  <c r="D4205" i="6"/>
  <c r="D4159" i="6"/>
  <c r="D4113" i="6"/>
  <c r="M4061" i="6"/>
  <c r="M4060" i="6"/>
  <c r="M4063" i="6" s="1"/>
  <c r="D4067" i="6"/>
  <c r="F4016" i="6"/>
  <c r="F4020" i="6" s="1"/>
  <c r="J4016" i="6"/>
  <c r="J4020" i="6" s="1"/>
  <c r="G4016" i="6"/>
  <c r="G4020" i="6" s="1"/>
  <c r="L4016" i="6"/>
  <c r="L4020" i="6" s="1"/>
  <c r="D4021" i="6"/>
  <c r="D3970" i="6"/>
  <c r="D3974" i="6" s="1"/>
  <c r="L3970" i="6"/>
  <c r="L3974" i="6" s="1"/>
  <c r="E3970" i="6"/>
  <c r="E3974" i="6" s="1"/>
  <c r="I3970" i="6"/>
  <c r="I3974" i="6" s="1"/>
  <c r="H3970" i="6"/>
  <c r="H3974" i="6" s="1"/>
  <c r="F3970" i="6"/>
  <c r="F3974" i="6" s="1"/>
  <c r="K3970" i="6"/>
  <c r="K3974" i="6" s="1"/>
  <c r="M3970" i="6"/>
  <c r="M3974" i="6" s="1"/>
  <c r="G3970" i="6"/>
  <c r="G3974" i="6" s="1"/>
  <c r="J3970" i="6"/>
  <c r="J3974" i="6" s="1"/>
  <c r="D3975" i="6"/>
  <c r="E3924" i="6"/>
  <c r="E3928" i="6" s="1"/>
  <c r="J3924" i="6"/>
  <c r="J3928" i="6" s="1"/>
  <c r="H3924" i="6"/>
  <c r="H3928" i="6" s="1"/>
  <c r="L3924" i="6"/>
  <c r="L3928" i="6" s="1"/>
  <c r="F3924" i="6"/>
  <c r="F3928" i="6" s="1"/>
  <c r="G3924" i="6"/>
  <c r="G3928" i="6" s="1"/>
  <c r="K3924" i="6"/>
  <c r="K3928" i="6" s="1"/>
  <c r="D3924" i="6"/>
  <c r="D3928" i="6" s="1"/>
  <c r="I3924" i="6"/>
  <c r="I3928" i="6" s="1"/>
  <c r="M3924" i="6"/>
  <c r="M3928" i="6" s="1"/>
  <c r="D3929" i="6"/>
  <c r="D3878" i="6"/>
  <c r="D3882" i="6" s="1"/>
  <c r="K3878" i="6"/>
  <c r="K3882" i="6" s="1"/>
  <c r="I3878" i="6"/>
  <c r="I3882" i="6" s="1"/>
  <c r="E3878" i="6"/>
  <c r="E3882" i="6" s="1"/>
  <c r="M3878" i="6"/>
  <c r="M3882" i="6" s="1"/>
  <c r="G3878" i="6"/>
  <c r="G3882" i="6" s="1"/>
  <c r="J3878" i="6"/>
  <c r="J3882" i="6" s="1"/>
  <c r="H3878" i="6"/>
  <c r="H3882" i="6" s="1"/>
  <c r="F3878" i="6"/>
  <c r="F3882" i="6" s="1"/>
  <c r="L3878" i="6"/>
  <c r="L3882" i="6" s="1"/>
  <c r="D3883" i="6"/>
  <c r="D3832" i="6"/>
  <c r="D3836" i="6" s="1"/>
  <c r="K3832" i="6"/>
  <c r="K3836" i="6" s="1"/>
  <c r="G3832" i="6"/>
  <c r="G3836" i="6" s="1"/>
  <c r="H3832" i="6"/>
  <c r="H3836" i="6" s="1"/>
  <c r="E3832" i="6"/>
  <c r="E3836" i="6" s="1"/>
  <c r="F3832" i="6"/>
  <c r="F3836" i="6" s="1"/>
  <c r="M3832" i="6"/>
  <c r="M3836" i="6" s="1"/>
  <c r="L3832" i="6"/>
  <c r="L3836" i="6" s="1"/>
  <c r="J3832" i="6"/>
  <c r="J3836" i="6" s="1"/>
  <c r="I3832" i="6"/>
  <c r="I3836" i="6" s="1"/>
  <c r="D3837" i="6"/>
  <c r="F3786" i="6"/>
  <c r="F3790" i="6" s="1"/>
  <c r="J3786" i="6"/>
  <c r="J3790" i="6" s="1"/>
  <c r="H3786" i="6"/>
  <c r="H3790" i="6" s="1"/>
  <c r="K3786" i="6"/>
  <c r="K3790" i="6" s="1"/>
  <c r="D3786" i="6"/>
  <c r="D3790" i="6" s="1"/>
  <c r="G3786" i="6"/>
  <c r="G3790" i="6" s="1"/>
  <c r="L3786" i="6"/>
  <c r="L3790" i="6" s="1"/>
  <c r="I3786" i="6"/>
  <c r="I3790" i="6" s="1"/>
  <c r="E3786" i="6"/>
  <c r="E3790" i="6" s="1"/>
  <c r="M3786" i="6"/>
  <c r="M3790" i="6" s="1"/>
  <c r="D3791" i="6"/>
  <c r="M3739" i="6"/>
  <c r="M3738" i="6"/>
  <c r="M3741" i="6" s="1"/>
  <c r="L3740" i="6"/>
  <c r="L3744" i="6" s="1"/>
  <c r="K3740" i="6"/>
  <c r="K3744" i="6" s="1"/>
  <c r="I3740" i="6"/>
  <c r="I3744" i="6" s="1"/>
  <c r="H3740" i="6"/>
  <c r="H3744" i="6" s="1"/>
  <c r="M3740" i="6"/>
  <c r="M3744" i="6" s="1"/>
  <c r="F3740" i="6"/>
  <c r="F3744" i="6" s="1"/>
  <c r="D3740" i="6"/>
  <c r="D3744" i="6" s="1"/>
  <c r="E3740" i="6"/>
  <c r="E3744" i="6" s="1"/>
  <c r="J3740" i="6"/>
  <c r="J3744" i="6" s="1"/>
  <c r="G3740" i="6"/>
  <c r="G3744" i="6" s="1"/>
  <c r="D3745" i="6"/>
  <c r="M3694" i="6"/>
  <c r="M3698" i="6" s="1"/>
  <c r="I3694" i="6"/>
  <c r="I3698" i="6" s="1"/>
  <c r="L3694" i="6"/>
  <c r="L3698" i="6" s="1"/>
  <c r="J3694" i="6"/>
  <c r="J3698" i="6" s="1"/>
  <c r="K3694" i="6"/>
  <c r="K3698" i="6" s="1"/>
  <c r="G3694" i="6"/>
  <c r="G3698" i="6" s="1"/>
  <c r="E3694" i="6"/>
  <c r="E3698" i="6" s="1"/>
  <c r="D3694" i="6"/>
  <c r="D3698" i="6" s="1"/>
  <c r="H3694" i="6"/>
  <c r="H3698" i="6" s="1"/>
  <c r="F3694" i="6"/>
  <c r="F3698" i="6" s="1"/>
  <c r="D3699" i="6"/>
  <c r="F3648" i="6"/>
  <c r="F3652" i="6" s="1"/>
  <c r="K3648" i="6"/>
  <c r="K3652" i="6" s="1"/>
  <c r="H3648" i="6"/>
  <c r="H3652" i="6" s="1"/>
  <c r="L3648" i="6"/>
  <c r="L3652" i="6" s="1"/>
  <c r="I3648" i="6"/>
  <c r="I3652" i="6" s="1"/>
  <c r="E3648" i="6"/>
  <c r="E3652" i="6" s="1"/>
  <c r="D3648" i="6"/>
  <c r="D3652" i="6" s="1"/>
  <c r="M3648" i="6"/>
  <c r="M3652" i="6" s="1"/>
  <c r="J3648" i="6"/>
  <c r="J3652" i="6" s="1"/>
  <c r="G3648" i="6"/>
  <c r="G3652" i="6" s="1"/>
  <c r="D3653" i="6"/>
  <c r="D3607" i="6"/>
  <c r="D3561" i="6"/>
  <c r="D3515" i="6"/>
  <c r="D3469" i="6"/>
  <c r="D3423" i="6"/>
  <c r="D3377" i="6"/>
  <c r="D3331" i="6"/>
  <c r="I3280" i="6"/>
  <c r="I3284" i="6" s="1"/>
  <c r="J3280" i="6"/>
  <c r="J3284" i="6" s="1"/>
  <c r="K3280" i="6"/>
  <c r="K3284" i="6" s="1"/>
  <c r="L3280" i="6"/>
  <c r="L3284" i="6" s="1"/>
  <c r="M3280" i="6"/>
  <c r="M3284" i="6" s="1"/>
  <c r="D3285" i="6"/>
  <c r="D3234" i="6"/>
  <c r="D3238" i="6" s="1"/>
  <c r="E3234" i="6"/>
  <c r="E3238" i="6" s="1"/>
  <c r="F3234" i="6"/>
  <c r="F3238" i="6" s="1"/>
  <c r="G3234" i="6"/>
  <c r="G3238" i="6" s="1"/>
  <c r="H3234" i="6"/>
  <c r="H3238" i="6" s="1"/>
  <c r="I3234" i="6"/>
  <c r="I3238" i="6" s="1"/>
  <c r="J3234" i="6"/>
  <c r="J3238" i="6" s="1"/>
  <c r="K3234" i="6"/>
  <c r="K3238" i="6" s="1"/>
  <c r="L3234" i="6"/>
  <c r="L3238" i="6" s="1"/>
  <c r="M3234" i="6"/>
  <c r="M3238" i="6" s="1"/>
  <c r="D3239" i="6"/>
  <c r="L3193" i="6"/>
  <c r="K3187" i="6"/>
  <c r="K3186" i="6"/>
  <c r="K3189" i="6" s="1"/>
  <c r="D3188" i="6"/>
  <c r="D3192" i="6" s="1"/>
  <c r="E3188" i="6"/>
  <c r="E3192" i="6" s="1"/>
  <c r="F3188" i="6"/>
  <c r="F3192" i="6" s="1"/>
  <c r="G3188" i="6"/>
  <c r="G3192" i="6" s="1"/>
  <c r="H3188" i="6"/>
  <c r="H3192" i="6" s="1"/>
  <c r="I3188" i="6"/>
  <c r="I3192" i="6" s="1"/>
  <c r="J3188" i="6"/>
  <c r="J3192" i="6" s="1"/>
  <c r="K3188" i="6"/>
  <c r="K3192" i="6" s="1"/>
  <c r="L3188" i="6"/>
  <c r="L3192" i="6" s="1"/>
  <c r="M3188" i="6"/>
  <c r="M3192" i="6" s="1"/>
  <c r="D3193" i="6"/>
  <c r="D3142" i="6"/>
  <c r="D3146" i="6" s="1"/>
  <c r="E3142" i="6"/>
  <c r="E3146" i="6" s="1"/>
  <c r="F3142" i="6"/>
  <c r="F3146" i="6" s="1"/>
  <c r="G3142" i="6"/>
  <c r="G3146" i="6" s="1"/>
  <c r="H3142" i="6"/>
  <c r="H3146" i="6" s="1"/>
  <c r="I3142" i="6"/>
  <c r="I3146" i="6" s="1"/>
  <c r="J3142" i="6"/>
  <c r="J3146" i="6" s="1"/>
  <c r="K3142" i="6"/>
  <c r="K3146" i="6" s="1"/>
  <c r="L3142" i="6"/>
  <c r="L3146" i="6" s="1"/>
  <c r="M3142" i="6"/>
  <c r="M3146" i="6" s="1"/>
  <c r="D3147" i="6"/>
  <c r="H3096" i="6"/>
  <c r="H3100" i="6" s="1"/>
  <c r="D3096" i="6"/>
  <c r="D3100" i="6" s="1"/>
  <c r="E3096" i="6"/>
  <c r="E3100" i="6" s="1"/>
  <c r="F3096" i="6"/>
  <c r="F3100" i="6" s="1"/>
  <c r="G3096" i="6"/>
  <c r="G3100" i="6" s="1"/>
  <c r="I3096" i="6"/>
  <c r="I3100" i="6" s="1"/>
  <c r="J3096" i="6"/>
  <c r="J3100" i="6" s="1"/>
  <c r="K3096" i="6"/>
  <c r="K3100" i="6" s="1"/>
  <c r="L3096" i="6"/>
  <c r="L3100" i="6" s="1"/>
  <c r="M3096" i="6"/>
  <c r="M3100" i="6" s="1"/>
  <c r="D3101" i="6"/>
  <c r="D3050" i="6"/>
  <c r="D3054" i="6" s="1"/>
  <c r="E3050" i="6"/>
  <c r="E3054" i="6" s="1"/>
  <c r="F3050" i="6"/>
  <c r="F3054" i="6" s="1"/>
  <c r="G3050" i="6"/>
  <c r="G3054" i="6" s="1"/>
  <c r="H3050" i="6"/>
  <c r="H3054" i="6" s="1"/>
  <c r="I3050" i="6"/>
  <c r="I3054" i="6" s="1"/>
  <c r="J3050" i="6"/>
  <c r="J3054" i="6" s="1"/>
  <c r="K3050" i="6"/>
  <c r="K3054" i="6" s="1"/>
  <c r="L3050" i="6"/>
  <c r="L3054" i="6" s="1"/>
  <c r="M3050" i="6"/>
  <c r="M3054" i="6" s="1"/>
  <c r="D3055" i="6"/>
  <c r="D3004" i="6"/>
  <c r="D3008" i="6" s="1"/>
  <c r="E3004" i="6"/>
  <c r="E3008" i="6" s="1"/>
  <c r="F3004" i="6"/>
  <c r="F3008" i="6" s="1"/>
  <c r="G3004" i="6"/>
  <c r="G3008" i="6" s="1"/>
  <c r="H3004" i="6"/>
  <c r="H3008" i="6" s="1"/>
  <c r="I3004" i="6"/>
  <c r="I3008" i="6" s="1"/>
  <c r="J3004" i="6"/>
  <c r="J3008" i="6" s="1"/>
  <c r="K3004" i="6"/>
  <c r="K3008" i="6" s="1"/>
  <c r="L3004" i="6"/>
  <c r="L3008" i="6" s="1"/>
  <c r="M3004" i="6"/>
  <c r="M3008" i="6" s="1"/>
  <c r="D3009" i="6"/>
  <c r="D2958" i="6"/>
  <c r="D2962" i="6" s="1"/>
  <c r="E2958" i="6"/>
  <c r="E2962" i="6" s="1"/>
  <c r="F2958" i="6"/>
  <c r="F2962" i="6" s="1"/>
  <c r="G2958" i="6"/>
  <c r="G2962" i="6" s="1"/>
  <c r="H2958" i="6"/>
  <c r="H2962" i="6" s="1"/>
  <c r="I2958" i="6"/>
  <c r="I2962" i="6" s="1"/>
  <c r="J2958" i="6"/>
  <c r="J2962" i="6" s="1"/>
  <c r="K2958" i="6"/>
  <c r="K2962" i="6" s="1"/>
  <c r="L2958" i="6"/>
  <c r="L2962" i="6" s="1"/>
  <c r="M2958" i="6"/>
  <c r="M2962" i="6" s="1"/>
  <c r="D2963" i="6"/>
  <c r="F2917" i="6"/>
  <c r="F2927" i="6"/>
  <c r="F2918" i="6"/>
  <c r="D2912" i="6"/>
  <c r="D2916" i="6" s="1"/>
  <c r="E2912" i="6"/>
  <c r="E2916" i="6" s="1"/>
  <c r="F2912" i="6"/>
  <c r="F2916" i="6" s="1"/>
  <c r="G2912" i="6"/>
  <c r="G2916" i="6" s="1"/>
  <c r="H2912" i="6"/>
  <c r="H2916" i="6" s="1"/>
  <c r="I2912" i="6"/>
  <c r="I2916" i="6" s="1"/>
  <c r="J2912" i="6"/>
  <c r="J2916" i="6" s="1"/>
  <c r="K2912" i="6"/>
  <c r="K2916" i="6" s="1"/>
  <c r="L2912" i="6"/>
  <c r="L2916" i="6" s="1"/>
  <c r="M2912" i="6"/>
  <c r="M2916" i="6" s="1"/>
  <c r="D2917" i="6"/>
  <c r="D2866" i="6"/>
  <c r="D2870" i="6" s="1"/>
  <c r="E2866" i="6"/>
  <c r="E2870" i="6" s="1"/>
  <c r="F2866" i="6"/>
  <c r="F2870" i="6" s="1"/>
  <c r="G2866" i="6"/>
  <c r="G2870" i="6" s="1"/>
  <c r="H2866" i="6"/>
  <c r="H2870" i="6" s="1"/>
  <c r="I2866" i="6"/>
  <c r="I2870" i="6" s="1"/>
  <c r="J2866" i="6"/>
  <c r="J2870" i="6" s="1"/>
  <c r="K2866" i="6"/>
  <c r="K2870" i="6" s="1"/>
  <c r="L2866" i="6"/>
  <c r="L2870" i="6" s="1"/>
  <c r="M2866" i="6"/>
  <c r="M2870" i="6" s="1"/>
  <c r="D2871" i="6"/>
  <c r="D2820" i="6"/>
  <c r="D2824" i="6" s="1"/>
  <c r="E2820" i="6"/>
  <c r="E2824" i="6" s="1"/>
  <c r="F2820" i="6"/>
  <c r="F2824" i="6" s="1"/>
  <c r="G2820" i="6"/>
  <c r="G2824" i="6" s="1"/>
  <c r="H2820" i="6"/>
  <c r="H2824" i="6" s="1"/>
  <c r="I2820" i="6"/>
  <c r="I2824" i="6" s="1"/>
  <c r="J2820" i="6"/>
  <c r="J2824" i="6" s="1"/>
  <c r="K2820" i="6"/>
  <c r="K2824" i="6" s="1"/>
  <c r="D2825" i="6"/>
  <c r="D2779" i="6"/>
  <c r="D2733" i="6"/>
  <c r="D2687" i="6"/>
  <c r="D2641" i="6"/>
  <c r="D2595" i="6"/>
  <c r="D2549" i="6"/>
  <c r="D2503" i="6"/>
  <c r="F2452" i="6"/>
  <c r="F2456" i="6" s="1"/>
  <c r="M2452" i="6"/>
  <c r="M2456" i="6" s="1"/>
  <c r="D2457" i="6"/>
  <c r="K2406" i="6"/>
  <c r="K2410" i="6" s="1"/>
  <c r="I2406" i="6"/>
  <c r="I2410" i="6" s="1"/>
  <c r="H2406" i="6"/>
  <c r="H2410" i="6" s="1"/>
  <c r="M2406" i="6"/>
  <c r="M2410" i="6" s="1"/>
  <c r="D2406" i="6"/>
  <c r="D2410" i="6" s="1"/>
  <c r="L2406" i="6"/>
  <c r="L2410" i="6" s="1"/>
  <c r="E2406" i="6"/>
  <c r="E2410" i="6" s="1"/>
  <c r="F2406" i="6"/>
  <c r="F2410" i="6" s="1"/>
  <c r="J2406" i="6"/>
  <c r="J2410" i="6" s="1"/>
  <c r="G2406" i="6"/>
  <c r="G2410" i="6" s="1"/>
  <c r="D2411" i="6"/>
  <c r="K2360" i="6"/>
  <c r="K2364" i="6" s="1"/>
  <c r="G2360" i="6"/>
  <c r="G2364" i="6" s="1"/>
  <c r="E2360" i="6"/>
  <c r="E2364" i="6" s="1"/>
  <c r="D2360" i="6"/>
  <c r="D2364" i="6" s="1"/>
  <c r="L2360" i="6"/>
  <c r="L2364" i="6" s="1"/>
  <c r="M2360" i="6"/>
  <c r="M2364" i="6" s="1"/>
  <c r="F2360" i="6"/>
  <c r="F2364" i="6" s="1"/>
  <c r="H2360" i="6"/>
  <c r="H2364" i="6" s="1"/>
  <c r="I2360" i="6"/>
  <c r="I2364" i="6" s="1"/>
  <c r="J2360" i="6"/>
  <c r="J2364" i="6" s="1"/>
  <c r="D2365" i="6"/>
  <c r="H2314" i="6"/>
  <c r="H2318" i="6" s="1"/>
  <c r="I2314" i="6"/>
  <c r="I2318" i="6" s="1"/>
  <c r="D2314" i="6"/>
  <c r="D2318" i="6" s="1"/>
  <c r="L2314" i="6"/>
  <c r="L2318" i="6" s="1"/>
  <c r="M2314" i="6"/>
  <c r="M2318" i="6" s="1"/>
  <c r="G2314" i="6"/>
  <c r="G2318" i="6" s="1"/>
  <c r="E2314" i="6"/>
  <c r="E2318" i="6" s="1"/>
  <c r="J2314" i="6"/>
  <c r="J2318" i="6" s="1"/>
  <c r="F2314" i="6"/>
  <c r="F2318" i="6" s="1"/>
  <c r="K2314" i="6"/>
  <c r="K2318" i="6" s="1"/>
  <c r="D2319" i="6"/>
  <c r="H2268" i="6"/>
  <c r="H2272" i="6" s="1"/>
  <c r="G2268" i="6"/>
  <c r="G2272" i="6" s="1"/>
  <c r="I2268" i="6"/>
  <c r="I2272" i="6" s="1"/>
  <c r="F2268" i="6"/>
  <c r="F2272" i="6" s="1"/>
  <c r="E2268" i="6"/>
  <c r="E2272" i="6" s="1"/>
  <c r="J2268" i="6"/>
  <c r="J2272" i="6" s="1"/>
  <c r="M2268" i="6"/>
  <c r="M2272" i="6" s="1"/>
  <c r="K2268" i="6"/>
  <c r="K2272" i="6" s="1"/>
  <c r="D2268" i="6"/>
  <c r="D2272" i="6" s="1"/>
  <c r="L2268" i="6"/>
  <c r="L2272" i="6" s="1"/>
  <c r="D2273" i="6"/>
  <c r="D2222" i="6"/>
  <c r="D2226" i="6" s="1"/>
  <c r="H2222" i="6"/>
  <c r="H2226" i="6" s="1"/>
  <c r="M2222" i="6"/>
  <c r="M2226" i="6" s="1"/>
  <c r="E2222" i="6"/>
  <c r="E2226" i="6" s="1"/>
  <c r="J2222" i="6"/>
  <c r="J2226" i="6" s="1"/>
  <c r="I2222" i="6"/>
  <c r="I2226" i="6" s="1"/>
  <c r="G2222" i="6"/>
  <c r="G2226" i="6" s="1"/>
  <c r="L2222" i="6"/>
  <c r="L2226" i="6" s="1"/>
  <c r="F2222" i="6"/>
  <c r="F2226" i="6" s="1"/>
  <c r="K2222" i="6"/>
  <c r="K2226" i="6" s="1"/>
  <c r="D2227" i="6"/>
  <c r="M2181" i="6"/>
  <c r="L2181" i="6"/>
  <c r="K2181" i="6"/>
  <c r="J2181" i="6"/>
  <c r="I2181" i="6"/>
  <c r="H2181" i="6"/>
  <c r="G2181" i="6"/>
  <c r="F2181" i="6"/>
  <c r="E2181" i="6"/>
  <c r="D2135" i="6"/>
  <c r="D2089" i="6"/>
  <c r="D2043" i="6"/>
  <c r="D1997" i="6"/>
  <c r="D1951" i="6"/>
  <c r="D1905" i="6"/>
  <c r="M1853" i="6"/>
  <c r="M1852" i="6"/>
  <c r="M1855" i="6" s="1"/>
  <c r="D1859" i="6"/>
  <c r="D1813" i="6"/>
  <c r="D1767" i="6"/>
  <c r="D1721" i="6"/>
  <c r="D1675" i="6"/>
  <c r="D1629" i="6"/>
  <c r="D1578" i="6"/>
  <c r="D1582" i="6" s="1"/>
  <c r="I1578" i="6"/>
  <c r="I1582" i="6" s="1"/>
  <c r="H1578" i="6"/>
  <c r="H1582" i="6" s="1"/>
  <c r="M1578" i="6"/>
  <c r="M1582" i="6" s="1"/>
  <c r="G1578" i="6"/>
  <c r="G1582" i="6" s="1"/>
  <c r="J1578" i="6"/>
  <c r="J1582" i="6" s="1"/>
  <c r="D1583" i="6"/>
  <c r="M1531" i="6"/>
  <c r="M1530" i="6"/>
  <c r="M1533" i="6" s="1"/>
  <c r="D1532" i="6"/>
  <c r="D1536" i="6" s="1"/>
  <c r="F1532" i="6"/>
  <c r="F1536" i="6" s="1"/>
  <c r="I1532" i="6"/>
  <c r="I1536" i="6" s="1"/>
  <c r="E1532" i="6"/>
  <c r="E1536" i="6" s="1"/>
  <c r="J1532" i="6"/>
  <c r="J1536" i="6" s="1"/>
  <c r="L1532" i="6"/>
  <c r="L1536" i="6" s="1"/>
  <c r="G1532" i="6"/>
  <c r="G1536" i="6" s="1"/>
  <c r="M1532" i="6"/>
  <c r="M1536" i="6" s="1"/>
  <c r="H1532" i="6"/>
  <c r="H1536" i="6" s="1"/>
  <c r="K1532" i="6"/>
  <c r="K1536" i="6" s="1"/>
  <c r="D1537" i="6"/>
  <c r="D1486" i="6"/>
  <c r="D1490" i="6" s="1"/>
  <c r="E1486" i="6"/>
  <c r="E1490" i="6" s="1"/>
  <c r="F1486" i="6"/>
  <c r="F1490" i="6" s="1"/>
  <c r="G1486" i="6"/>
  <c r="G1490" i="6" s="1"/>
  <c r="H1486" i="6"/>
  <c r="H1490" i="6" s="1"/>
  <c r="I1486" i="6"/>
  <c r="I1490" i="6" s="1"/>
  <c r="J1486" i="6"/>
  <c r="J1490" i="6" s="1"/>
  <c r="K1486" i="6"/>
  <c r="K1490" i="6" s="1"/>
  <c r="L1486" i="6"/>
  <c r="L1490" i="6" s="1"/>
  <c r="M1486" i="6"/>
  <c r="M1490" i="6" s="1"/>
  <c r="D1491" i="6"/>
  <c r="D1440" i="6"/>
  <c r="D1444" i="6" s="1"/>
  <c r="E1440" i="6"/>
  <c r="E1444" i="6" s="1"/>
  <c r="F1440" i="6"/>
  <c r="F1444" i="6" s="1"/>
  <c r="G1440" i="6"/>
  <c r="G1444" i="6" s="1"/>
  <c r="H1440" i="6"/>
  <c r="H1444" i="6" s="1"/>
  <c r="I1440" i="6"/>
  <c r="I1444" i="6" s="1"/>
  <c r="J1440" i="6"/>
  <c r="J1444" i="6" s="1"/>
  <c r="K1440" i="6"/>
  <c r="K1444" i="6" s="1"/>
  <c r="L1440" i="6"/>
  <c r="L1444" i="6" s="1"/>
  <c r="M1440" i="6"/>
  <c r="M1444" i="6" s="1"/>
  <c r="D1445" i="6"/>
  <c r="D1394" i="6"/>
  <c r="D1398" i="6" s="1"/>
  <c r="E1394" i="6"/>
  <c r="E1398" i="6" s="1"/>
  <c r="F1394" i="6"/>
  <c r="F1398" i="6" s="1"/>
  <c r="G1394" i="6"/>
  <c r="G1398" i="6" s="1"/>
  <c r="H1394" i="6"/>
  <c r="H1398" i="6" s="1"/>
  <c r="I1394" i="6"/>
  <c r="I1398" i="6" s="1"/>
  <c r="J1394" i="6"/>
  <c r="J1398" i="6" s="1"/>
  <c r="K1394" i="6"/>
  <c r="K1398" i="6" s="1"/>
  <c r="L1394" i="6"/>
  <c r="L1398" i="6" s="1"/>
  <c r="D1399" i="6"/>
  <c r="K1353" i="6"/>
  <c r="K1354" i="6"/>
  <c r="K1363" i="6"/>
  <c r="D1353" i="6"/>
  <c r="E1302" i="6"/>
  <c r="E1306" i="6" s="1"/>
  <c r="F1302" i="6"/>
  <c r="F1306" i="6" s="1"/>
  <c r="G1302" i="6"/>
  <c r="G1306" i="6" s="1"/>
  <c r="H1302" i="6"/>
  <c r="H1306" i="6" s="1"/>
  <c r="I1302" i="6"/>
  <c r="I1306" i="6" s="1"/>
  <c r="J1302" i="6"/>
  <c r="J1306" i="6" s="1"/>
  <c r="K1302" i="6"/>
  <c r="K1306" i="6" s="1"/>
  <c r="L1302" i="6"/>
  <c r="L1306" i="6" s="1"/>
  <c r="M1302" i="6"/>
  <c r="M1306" i="6" s="1"/>
  <c r="D1307" i="6"/>
  <c r="D1256" i="6"/>
  <c r="D1260" i="6" s="1"/>
  <c r="E1256" i="6"/>
  <c r="E1260" i="6" s="1"/>
  <c r="F1256" i="6"/>
  <c r="F1260" i="6" s="1"/>
  <c r="G1256" i="6"/>
  <c r="G1260" i="6" s="1"/>
  <c r="H1256" i="6"/>
  <c r="H1260" i="6" s="1"/>
  <c r="I1256" i="6"/>
  <c r="I1260" i="6" s="1"/>
  <c r="J1256" i="6"/>
  <c r="J1260" i="6" s="1"/>
  <c r="K1256" i="6"/>
  <c r="K1260" i="6" s="1"/>
  <c r="L1256" i="6"/>
  <c r="L1260" i="6" s="1"/>
  <c r="M1256" i="6"/>
  <c r="M1260" i="6" s="1"/>
  <c r="D1261" i="6"/>
  <c r="M1209" i="6"/>
  <c r="M1208" i="6"/>
  <c r="M1211" i="6" s="1"/>
  <c r="F1215" i="6"/>
  <c r="F1216" i="6"/>
  <c r="F1225" i="6"/>
  <c r="D1210" i="6"/>
  <c r="D1214" i="6" s="1"/>
  <c r="E1210" i="6"/>
  <c r="E1214" i="6" s="1"/>
  <c r="F1210" i="6"/>
  <c r="F1214" i="6" s="1"/>
  <c r="G1210" i="6"/>
  <c r="G1214" i="6" s="1"/>
  <c r="H1210" i="6"/>
  <c r="H1214" i="6" s="1"/>
  <c r="I1210" i="6"/>
  <c r="I1214" i="6" s="1"/>
  <c r="J1210" i="6"/>
  <c r="J1214" i="6" s="1"/>
  <c r="K1210" i="6"/>
  <c r="K1214" i="6" s="1"/>
  <c r="L1210" i="6"/>
  <c r="L1214" i="6" s="1"/>
  <c r="M1210" i="6"/>
  <c r="M1214" i="6" s="1"/>
  <c r="D1215" i="6"/>
  <c r="E1169" i="6"/>
  <c r="M1164" i="6"/>
  <c r="M1168" i="6" s="1"/>
  <c r="D1164" i="6"/>
  <c r="D1168" i="6" s="1"/>
  <c r="E1164" i="6"/>
  <c r="E1168" i="6" s="1"/>
  <c r="F1164" i="6"/>
  <c r="F1168" i="6" s="1"/>
  <c r="G1164" i="6"/>
  <c r="G1168" i="6" s="1"/>
  <c r="H1164" i="6"/>
  <c r="H1168" i="6" s="1"/>
  <c r="I1164" i="6"/>
  <c r="I1168" i="6" s="1"/>
  <c r="J1164" i="6"/>
  <c r="J1168" i="6" s="1"/>
  <c r="K1164" i="6"/>
  <c r="K1168" i="6" s="1"/>
  <c r="L1164" i="6"/>
  <c r="L1168" i="6" s="1"/>
  <c r="D1169" i="6"/>
  <c r="E1170" i="6"/>
  <c r="E1179" i="6"/>
  <c r="D1118" i="6"/>
  <c r="D1122" i="6" s="1"/>
  <c r="E1118" i="6"/>
  <c r="E1122" i="6" s="1"/>
  <c r="F1118" i="6"/>
  <c r="F1122" i="6" s="1"/>
  <c r="G1118" i="6"/>
  <c r="G1122" i="6" s="1"/>
  <c r="H1118" i="6"/>
  <c r="H1122" i="6" s="1"/>
  <c r="I1118" i="6"/>
  <c r="I1122" i="6" s="1"/>
  <c r="J1118" i="6"/>
  <c r="J1122" i="6" s="1"/>
  <c r="K1118" i="6"/>
  <c r="K1122" i="6" s="1"/>
  <c r="L1118" i="6"/>
  <c r="L1122" i="6" s="1"/>
  <c r="M1118" i="6"/>
  <c r="M1122" i="6" s="1"/>
  <c r="D1123" i="6"/>
  <c r="D1072" i="6"/>
  <c r="D1076" i="6" s="1"/>
  <c r="E1072" i="6"/>
  <c r="E1076" i="6" s="1"/>
  <c r="F1072" i="6"/>
  <c r="F1076" i="6" s="1"/>
  <c r="G1072" i="6"/>
  <c r="G1076" i="6" s="1"/>
  <c r="H1072" i="6"/>
  <c r="H1076" i="6" s="1"/>
  <c r="I1072" i="6"/>
  <c r="I1076" i="6" s="1"/>
  <c r="J1072" i="6"/>
  <c r="J1076" i="6" s="1"/>
  <c r="K1072" i="6"/>
  <c r="K1076" i="6" s="1"/>
  <c r="L1072" i="6"/>
  <c r="L1076" i="6" s="1"/>
  <c r="M1072" i="6"/>
  <c r="M1076" i="6" s="1"/>
  <c r="D1077" i="6"/>
  <c r="D1026" i="6"/>
  <c r="D1030" i="6" s="1"/>
  <c r="E1026" i="6"/>
  <c r="E1030" i="6" s="1"/>
  <c r="F1026" i="6"/>
  <c r="F1030" i="6" s="1"/>
  <c r="G1026" i="6"/>
  <c r="G1030" i="6" s="1"/>
  <c r="H1026" i="6"/>
  <c r="H1030" i="6" s="1"/>
  <c r="I1026" i="6"/>
  <c r="I1030" i="6" s="1"/>
  <c r="J1026" i="6"/>
  <c r="J1030" i="6" s="1"/>
  <c r="K1026" i="6"/>
  <c r="K1030" i="6" s="1"/>
  <c r="L1026" i="6"/>
  <c r="L1030" i="6" s="1"/>
  <c r="M1026" i="6"/>
  <c r="M1030" i="6" s="1"/>
  <c r="D1031" i="6"/>
  <c r="D980" i="6"/>
  <c r="D984" i="6" s="1"/>
  <c r="E980" i="6"/>
  <c r="E984" i="6" s="1"/>
  <c r="F980" i="6"/>
  <c r="F984" i="6" s="1"/>
  <c r="G980" i="6"/>
  <c r="G984" i="6" s="1"/>
  <c r="H980" i="6"/>
  <c r="H984" i="6" s="1"/>
  <c r="I980" i="6"/>
  <c r="I984" i="6" s="1"/>
  <c r="J980" i="6"/>
  <c r="J984" i="6" s="1"/>
  <c r="K980" i="6"/>
  <c r="K984" i="6" s="1"/>
  <c r="L980" i="6"/>
  <c r="L984" i="6" s="1"/>
  <c r="M980" i="6"/>
  <c r="M984" i="6" s="1"/>
  <c r="D985" i="6"/>
  <c r="D934" i="6"/>
  <c r="D938" i="6" s="1"/>
  <c r="E934" i="6"/>
  <c r="E938" i="6" s="1"/>
  <c r="F934" i="6"/>
  <c r="F938" i="6" s="1"/>
  <c r="G934" i="6"/>
  <c r="G938" i="6" s="1"/>
  <c r="H934" i="6"/>
  <c r="H938" i="6" s="1"/>
  <c r="I934" i="6"/>
  <c r="I938" i="6" s="1"/>
  <c r="J934" i="6"/>
  <c r="J938" i="6" s="1"/>
  <c r="K934" i="6"/>
  <c r="K938" i="6" s="1"/>
  <c r="L934" i="6"/>
  <c r="L938" i="6" s="1"/>
  <c r="M934" i="6"/>
  <c r="M938" i="6" s="1"/>
  <c r="D939" i="6"/>
  <c r="M887" i="6"/>
  <c r="M886" i="6"/>
  <c r="M889" i="6" s="1"/>
  <c r="I888" i="6"/>
  <c r="I892" i="6" s="1"/>
  <c r="J888" i="6"/>
  <c r="J892" i="6" s="1"/>
  <c r="K888" i="6"/>
  <c r="K892" i="6" s="1"/>
  <c r="L888" i="6"/>
  <c r="L892" i="6" s="1"/>
  <c r="M888" i="6"/>
  <c r="M892" i="6" s="1"/>
  <c r="F888" i="6"/>
  <c r="F892" i="6" s="1"/>
  <c r="E888" i="6"/>
  <c r="E892" i="6" s="1"/>
  <c r="G888" i="6"/>
  <c r="G892" i="6" s="1"/>
  <c r="D893" i="6"/>
  <c r="M842" i="6"/>
  <c r="M846" i="6" s="1"/>
  <c r="F842" i="6"/>
  <c r="F846" i="6" s="1"/>
  <c r="I842" i="6"/>
  <c r="I846" i="6" s="1"/>
  <c r="L842" i="6"/>
  <c r="L846" i="6" s="1"/>
  <c r="G842" i="6"/>
  <c r="G846" i="6" s="1"/>
  <c r="D842" i="6"/>
  <c r="D846" i="6" s="1"/>
  <c r="H842" i="6"/>
  <c r="H846" i="6" s="1"/>
  <c r="E842" i="6"/>
  <c r="E846" i="6" s="1"/>
  <c r="K842" i="6"/>
  <c r="K846" i="6" s="1"/>
  <c r="J842" i="6"/>
  <c r="J846" i="6" s="1"/>
  <c r="D847" i="6"/>
  <c r="E796" i="6"/>
  <c r="L796" i="6"/>
  <c r="H796" i="6"/>
  <c r="K796" i="6"/>
  <c r="D796" i="6"/>
  <c r="I796" i="6"/>
  <c r="G796" i="6"/>
  <c r="M796" i="6"/>
  <c r="F796" i="6"/>
  <c r="J796" i="6"/>
  <c r="D801" i="6"/>
  <c r="G750" i="6"/>
  <c r="L750" i="6"/>
  <c r="I750" i="6"/>
  <c r="F750" i="6"/>
  <c r="J750" i="6"/>
  <c r="H750" i="6"/>
  <c r="D750" i="6"/>
  <c r="M750" i="6"/>
  <c r="E750" i="6"/>
  <c r="K750" i="6"/>
  <c r="D755" i="6"/>
  <c r="G704" i="6"/>
  <c r="G708" i="6" s="1"/>
  <c r="E704" i="6"/>
  <c r="E708" i="6" s="1"/>
  <c r="J704" i="6"/>
  <c r="J708" i="6" s="1"/>
  <c r="H704" i="6"/>
  <c r="H708" i="6" s="1"/>
  <c r="F704" i="6"/>
  <c r="F708" i="6" s="1"/>
  <c r="I704" i="6"/>
  <c r="I708" i="6" s="1"/>
  <c r="L704" i="6"/>
  <c r="L708" i="6" s="1"/>
  <c r="D704" i="6"/>
  <c r="D708" i="6" s="1"/>
  <c r="K704" i="6"/>
  <c r="K708" i="6" s="1"/>
  <c r="M704" i="6"/>
  <c r="M708" i="6" s="1"/>
  <c r="D709" i="6"/>
  <c r="G663" i="6"/>
  <c r="F656" i="6"/>
  <c r="F659" i="6" s="1"/>
  <c r="F657" i="6"/>
  <c r="L658" i="6"/>
  <c r="L662" i="6" s="1"/>
  <c r="E658" i="6"/>
  <c r="E662" i="6" s="1"/>
  <c r="J658" i="6"/>
  <c r="J662" i="6" s="1"/>
  <c r="H658" i="6"/>
  <c r="H662" i="6" s="1"/>
  <c r="K658" i="6"/>
  <c r="K662" i="6" s="1"/>
  <c r="D658" i="6"/>
  <c r="D662" i="6" s="1"/>
  <c r="I658" i="6"/>
  <c r="I662" i="6" s="1"/>
  <c r="G658" i="6"/>
  <c r="G662" i="6" s="1"/>
  <c r="F658" i="6"/>
  <c r="F662" i="6" s="1"/>
  <c r="M658" i="6"/>
  <c r="M662" i="6" s="1"/>
  <c r="D663" i="6"/>
  <c r="F612" i="6"/>
  <c r="F616" i="6" s="1"/>
  <c r="I612" i="6"/>
  <c r="I616" i="6" s="1"/>
  <c r="J612" i="6"/>
  <c r="J616" i="6" s="1"/>
  <c r="L612" i="6"/>
  <c r="L616" i="6" s="1"/>
  <c r="G612" i="6"/>
  <c r="G616" i="6" s="1"/>
  <c r="E612" i="6"/>
  <c r="E616" i="6" s="1"/>
  <c r="H612" i="6"/>
  <c r="H616" i="6" s="1"/>
  <c r="K612" i="6"/>
  <c r="K616" i="6" s="1"/>
  <c r="D612" i="6"/>
  <c r="D616" i="6" s="1"/>
  <c r="M612" i="6"/>
  <c r="M616" i="6" s="1"/>
  <c r="D617" i="6"/>
  <c r="D566" i="6"/>
  <c r="D570" i="6" s="1"/>
  <c r="F566" i="6"/>
  <c r="F570" i="6" s="1"/>
  <c r="M566" i="6"/>
  <c r="M570" i="6" s="1"/>
  <c r="H566" i="6"/>
  <c r="H570" i="6" s="1"/>
  <c r="I566" i="6"/>
  <c r="I570" i="6" s="1"/>
  <c r="L566" i="6"/>
  <c r="L570" i="6" s="1"/>
  <c r="E566" i="6"/>
  <c r="E570" i="6" s="1"/>
  <c r="K566" i="6"/>
  <c r="K570" i="6" s="1"/>
  <c r="G566" i="6"/>
  <c r="G570" i="6" s="1"/>
  <c r="J566" i="6"/>
  <c r="J570" i="6" s="1"/>
  <c r="D571" i="6"/>
  <c r="D520" i="6"/>
  <c r="D524" i="6" s="1"/>
  <c r="E520" i="6"/>
  <c r="E524" i="6" s="1"/>
  <c r="F520" i="6"/>
  <c r="F524" i="6" s="1"/>
  <c r="G520" i="6"/>
  <c r="G524" i="6" s="1"/>
  <c r="H520" i="6"/>
  <c r="H524" i="6" s="1"/>
  <c r="I520" i="6"/>
  <c r="I524" i="6" s="1"/>
  <c r="J520" i="6"/>
  <c r="J524" i="6" s="1"/>
  <c r="K520" i="6"/>
  <c r="K524" i="6" s="1"/>
  <c r="L520" i="6"/>
  <c r="L524" i="6" s="1"/>
  <c r="M520" i="6"/>
  <c r="M524" i="6" s="1"/>
  <c r="D525" i="6"/>
  <c r="D474" i="6"/>
  <c r="D478" i="6" s="1"/>
  <c r="E474" i="6"/>
  <c r="E478" i="6" s="1"/>
  <c r="F474" i="6"/>
  <c r="F478" i="6" s="1"/>
  <c r="G474" i="6"/>
  <c r="G478" i="6" s="1"/>
  <c r="H474" i="6"/>
  <c r="H478" i="6" s="1"/>
  <c r="I474" i="6"/>
  <c r="I478" i="6" s="1"/>
  <c r="J474" i="6"/>
  <c r="J478" i="6" s="1"/>
  <c r="K474" i="6"/>
  <c r="K478" i="6" s="1"/>
  <c r="L474" i="6"/>
  <c r="L478" i="6" s="1"/>
  <c r="M474" i="6"/>
  <c r="M478" i="6" s="1"/>
  <c r="D479" i="6"/>
  <c r="D428" i="6"/>
  <c r="E428" i="6"/>
  <c r="F428" i="6"/>
  <c r="G428" i="6"/>
  <c r="H428" i="6"/>
  <c r="I428" i="6"/>
  <c r="J428" i="6"/>
  <c r="K428" i="6"/>
  <c r="L428" i="6"/>
  <c r="M428" i="6"/>
  <c r="D433" i="6"/>
  <c r="D382" i="6"/>
  <c r="E382" i="6"/>
  <c r="F382" i="6"/>
  <c r="G382" i="6"/>
  <c r="H382" i="6"/>
  <c r="I382" i="6"/>
  <c r="J382" i="6"/>
  <c r="K382" i="6"/>
  <c r="L382" i="6"/>
  <c r="M382" i="6"/>
  <c r="D387" i="6"/>
  <c r="D336" i="6"/>
  <c r="D340" i="6" s="1"/>
  <c r="E336" i="6"/>
  <c r="E340" i="6" s="1"/>
  <c r="F336" i="6"/>
  <c r="F340" i="6" s="1"/>
  <c r="G336" i="6"/>
  <c r="G340" i="6" s="1"/>
  <c r="H336" i="6"/>
  <c r="H340" i="6" s="1"/>
  <c r="I336" i="6"/>
  <c r="I340" i="6" s="1"/>
  <c r="J336" i="6"/>
  <c r="J340" i="6" s="1"/>
  <c r="K336" i="6"/>
  <c r="K340" i="6" s="1"/>
  <c r="L336" i="6"/>
  <c r="L340" i="6" s="1"/>
  <c r="M336" i="6"/>
  <c r="M340" i="6" s="1"/>
  <c r="D341" i="6"/>
  <c r="D290" i="6"/>
  <c r="E290" i="6"/>
  <c r="F290" i="6"/>
  <c r="G290" i="6"/>
  <c r="H290" i="6"/>
  <c r="I290" i="6"/>
  <c r="J290" i="6"/>
  <c r="K290" i="6"/>
  <c r="L290" i="6"/>
  <c r="M290" i="6"/>
  <c r="D295" i="6"/>
  <c r="G244" i="6"/>
  <c r="D244" i="6"/>
  <c r="E244" i="6"/>
  <c r="F244" i="6"/>
  <c r="H244" i="6"/>
  <c r="I244" i="6"/>
  <c r="J244" i="6"/>
  <c r="K244" i="6"/>
  <c r="L244" i="6"/>
  <c r="M244" i="6"/>
  <c r="D249" i="6"/>
  <c r="D198" i="6"/>
  <c r="E198" i="6"/>
  <c r="F198" i="6"/>
  <c r="G198" i="6"/>
  <c r="H198" i="6"/>
  <c r="I198" i="6"/>
  <c r="J198" i="6"/>
  <c r="K198" i="6"/>
  <c r="L198" i="6"/>
  <c r="L202" i="6" s="1"/>
  <c r="M198" i="6"/>
  <c r="D203" i="6"/>
  <c r="D152" i="6"/>
  <c r="E152" i="6"/>
  <c r="F152" i="6"/>
  <c r="G152" i="6"/>
  <c r="H152" i="6"/>
  <c r="I152" i="6"/>
  <c r="J152" i="6"/>
  <c r="K152" i="6"/>
  <c r="L152" i="6"/>
  <c r="M152" i="6"/>
  <c r="D157" i="6"/>
  <c r="D106" i="6"/>
  <c r="E106" i="6"/>
  <c r="F106" i="6"/>
  <c r="G106" i="6"/>
  <c r="H106" i="6"/>
  <c r="I106" i="6"/>
  <c r="J106" i="6"/>
  <c r="K106" i="6"/>
  <c r="L106" i="6"/>
  <c r="M106" i="6"/>
  <c r="D111" i="6"/>
  <c r="D60" i="6"/>
  <c r="E60" i="6"/>
  <c r="F60" i="6"/>
  <c r="G60" i="6"/>
  <c r="H60" i="6"/>
  <c r="I60" i="6"/>
  <c r="J60" i="6"/>
  <c r="K60" i="6"/>
  <c r="L60" i="6"/>
  <c r="M60" i="6"/>
  <c r="D65" i="6"/>
  <c r="D14" i="6"/>
  <c r="E14" i="6"/>
  <c r="F14" i="6"/>
  <c r="G14" i="6"/>
  <c r="H14" i="6"/>
  <c r="I14" i="6"/>
  <c r="J14" i="6"/>
  <c r="K14" i="6"/>
  <c r="L14" i="6"/>
  <c r="M14" i="6"/>
  <c r="D19" i="6"/>
  <c r="C55" i="7"/>
  <c r="E55" i="7" s="1"/>
  <c r="C53" i="7"/>
  <c r="J6" i="8"/>
  <c r="K6" i="8" s="1"/>
  <c r="M6" i="8" s="1"/>
  <c r="J7" i="8"/>
  <c r="K7" i="8" s="1"/>
  <c r="M7" i="8" s="1"/>
  <c r="J8" i="8"/>
  <c r="K8" i="8" s="1"/>
  <c r="M8" i="8" s="1"/>
  <c r="D35" i="6"/>
  <c r="D173" i="6"/>
  <c r="D219" i="6"/>
  <c r="D265" i="6"/>
  <c r="D81" i="6"/>
  <c r="D403" i="6"/>
  <c r="D449" i="6"/>
  <c r="D127" i="6"/>
  <c r="D311" i="6"/>
  <c r="D771" i="6"/>
  <c r="D817" i="6"/>
  <c r="D863" i="6"/>
  <c r="D357" i="6"/>
  <c r="D587" i="6"/>
  <c r="D725" i="6"/>
  <c r="D909" i="6"/>
  <c r="D1047" i="6"/>
  <c r="D1093" i="6"/>
  <c r="D1139" i="6"/>
  <c r="D1185" i="6"/>
  <c r="D495" i="6"/>
  <c r="D955" i="6"/>
  <c r="D1001" i="6"/>
  <c r="D1277" i="6"/>
  <c r="D1369" i="6"/>
  <c r="D1415" i="6"/>
  <c r="D1461" i="6"/>
  <c r="D1507" i="6"/>
  <c r="D633" i="6"/>
  <c r="D1323" i="6"/>
  <c r="D1553" i="6"/>
  <c r="D1599" i="6"/>
  <c r="D1645" i="6"/>
  <c r="D1691" i="6"/>
  <c r="D1737" i="6"/>
  <c r="D1783" i="6"/>
  <c r="D1829" i="6"/>
  <c r="D1875" i="6"/>
  <c r="D1967" i="6"/>
  <c r="D2059" i="6"/>
  <c r="D2105" i="6"/>
  <c r="D2151" i="6"/>
  <c r="D2197" i="6"/>
  <c r="D2243" i="6"/>
  <c r="D2289" i="6"/>
  <c r="D2335" i="6"/>
  <c r="D2381" i="6"/>
  <c r="D2427" i="6"/>
  <c r="D2473" i="6"/>
  <c r="D541" i="6"/>
  <c r="D679" i="6"/>
  <c r="D1231" i="6"/>
  <c r="D1921" i="6"/>
  <c r="D2013" i="6"/>
  <c r="D2519" i="6"/>
  <c r="D2565" i="6"/>
  <c r="D2611" i="6"/>
  <c r="D2657" i="6"/>
  <c r="D2703" i="6"/>
  <c r="D2749" i="6"/>
  <c r="D2795" i="6"/>
  <c r="D2933" i="6"/>
  <c r="D4037" i="6"/>
  <c r="D3209" i="6"/>
  <c r="D3439" i="6"/>
  <c r="D3485" i="6"/>
  <c r="D3577" i="6"/>
  <c r="D3807" i="6"/>
  <c r="D4083" i="6"/>
  <c r="D4129" i="6"/>
  <c r="D4175" i="6"/>
  <c r="D4221" i="6"/>
  <c r="D4267" i="6"/>
  <c r="D4313" i="6"/>
  <c r="D4359" i="6"/>
  <c r="D3347" i="6"/>
  <c r="D3945" i="6"/>
  <c r="D4451" i="6"/>
  <c r="D4497" i="6"/>
  <c r="D4543" i="6"/>
  <c r="D4589" i="6"/>
  <c r="D4635" i="6"/>
  <c r="D4681" i="6"/>
  <c r="D2887" i="6"/>
  <c r="D3071" i="6"/>
  <c r="D4727" i="6"/>
  <c r="D4773" i="6"/>
  <c r="D4819" i="6"/>
  <c r="D4865" i="6"/>
  <c r="D4911" i="6"/>
  <c r="D4957" i="6"/>
  <c r="D5003" i="6"/>
  <c r="D3255" i="6"/>
  <c r="D3301" i="6"/>
  <c r="D3991" i="6"/>
  <c r="D5049" i="6"/>
  <c r="D5095" i="6"/>
  <c r="D5141" i="6"/>
  <c r="D3393" i="6"/>
  <c r="D4405" i="6"/>
  <c r="D35" i="14"/>
  <c r="D81" i="14"/>
  <c r="D127" i="14"/>
  <c r="D173" i="14"/>
  <c r="D219" i="14"/>
  <c r="D265" i="14"/>
  <c r="D311" i="14"/>
  <c r="D2979" i="6"/>
  <c r="D357" i="14"/>
  <c r="D403" i="14"/>
  <c r="D449" i="14"/>
  <c r="D495" i="14"/>
  <c r="D541" i="14"/>
  <c r="D587" i="14"/>
  <c r="D633" i="14"/>
  <c r="D3623" i="6"/>
  <c r="D679" i="14"/>
  <c r="D725" i="14"/>
  <c r="D771" i="14"/>
  <c r="D817" i="14"/>
  <c r="D863" i="14"/>
  <c r="D909" i="14"/>
  <c r="D955" i="14"/>
  <c r="D2841" i="6"/>
  <c r="D3025" i="6"/>
  <c r="D3117" i="6"/>
  <c r="D3163" i="6"/>
  <c r="D1001" i="14"/>
  <c r="D1047" i="14"/>
  <c r="D1093" i="14"/>
  <c r="D1139" i="14"/>
  <c r="D1185" i="14"/>
  <c r="D1231" i="14"/>
  <c r="D3899" i="6"/>
  <c r="D1461" i="14"/>
  <c r="D1507" i="14"/>
  <c r="D1553" i="14"/>
  <c r="D3531" i="6"/>
  <c r="D3669" i="6"/>
  <c r="D1277" i="14"/>
  <c r="D1323" i="14"/>
  <c r="D1369" i="14"/>
  <c r="D1415" i="14"/>
  <c r="D1599" i="14"/>
  <c r="D1645" i="14"/>
  <c r="D1691" i="14"/>
  <c r="D1737" i="14"/>
  <c r="D1783" i="14"/>
  <c r="D1829" i="14"/>
  <c r="D1875" i="14"/>
  <c r="D3715" i="6"/>
  <c r="D3761" i="6"/>
  <c r="D3853" i="6"/>
  <c r="D1921" i="14"/>
  <c r="D2013" i="14"/>
  <c r="D2059" i="14"/>
  <c r="D2105" i="14"/>
  <c r="D2151" i="14"/>
  <c r="D2197" i="14"/>
  <c r="D2243" i="14"/>
  <c r="D2289" i="14"/>
  <c r="D2335" i="14"/>
  <c r="D2381" i="14"/>
  <c r="D2427" i="14"/>
  <c r="D2473" i="14"/>
  <c r="D2519" i="14"/>
  <c r="D1967" i="14"/>
  <c r="D2565" i="14"/>
  <c r="D2611" i="14"/>
  <c r="D2657" i="14"/>
  <c r="D2703" i="14"/>
  <c r="D2749" i="14"/>
  <c r="D2795" i="14"/>
  <c r="D2841" i="14"/>
  <c r="D2933" i="14"/>
  <c r="D2979" i="14"/>
  <c r="D3025" i="14"/>
  <c r="D3071" i="14"/>
  <c r="D3117" i="14"/>
  <c r="D3163" i="14"/>
  <c r="D2887" i="14"/>
  <c r="D3209" i="14"/>
  <c r="D3485" i="14"/>
  <c r="D3255" i="14"/>
  <c r="D3301" i="14"/>
  <c r="D3347" i="14"/>
  <c r="D3393" i="14"/>
  <c r="D3439" i="14"/>
  <c r="D3531" i="14"/>
  <c r="D3577" i="14"/>
  <c r="D3623" i="14"/>
  <c r="D3669" i="14"/>
  <c r="D3715" i="14"/>
  <c r="D3761" i="14"/>
  <c r="D3899" i="14"/>
  <c r="D3945" i="14"/>
  <c r="D3991" i="14"/>
  <c r="D4037" i="14"/>
  <c r="D4083" i="14"/>
  <c r="D3807" i="14"/>
  <c r="D3853" i="14"/>
  <c r="D4129" i="14"/>
  <c r="D4175" i="14"/>
  <c r="D4221" i="14"/>
  <c r="D4267" i="14"/>
  <c r="D4313" i="14"/>
  <c r="D4359" i="14"/>
  <c r="D4405" i="14"/>
  <c r="D35" i="16"/>
  <c r="D81" i="16"/>
  <c r="D127" i="16"/>
  <c r="D14" i="5"/>
  <c r="C50" i="7"/>
  <c r="C51" i="7" s="1"/>
  <c r="D3711" i="6"/>
  <c r="D39" i="11"/>
  <c r="D3619" i="6"/>
  <c r="D3665" i="6"/>
  <c r="D3343" i="6"/>
  <c r="D38" i="11"/>
  <c r="D3389" i="6"/>
  <c r="D3435" i="6"/>
  <c r="D2239" i="6"/>
  <c r="D2285" i="6"/>
  <c r="D2331" i="6"/>
  <c r="D34" i="11"/>
  <c r="E12" i="2"/>
  <c r="D1411" i="6"/>
  <c r="D1457" i="6"/>
  <c r="D1503" i="6"/>
  <c r="D31" i="11"/>
  <c r="D1135" i="6"/>
  <c r="D1181" i="6"/>
  <c r="D1227" i="6"/>
  <c r="D30" i="11"/>
  <c r="D859" i="6"/>
  <c r="D951" i="6"/>
  <c r="D905" i="6"/>
  <c r="D4999" i="6"/>
  <c r="D5045" i="6"/>
  <c r="D29" i="11"/>
  <c r="D3481" i="14"/>
  <c r="D3343" i="14"/>
  <c r="D3389" i="14"/>
  <c r="D3435" i="14"/>
  <c r="D3527" i="14"/>
  <c r="D3573" i="14"/>
  <c r="D3619" i="14"/>
  <c r="D3665" i="14"/>
  <c r="D3711" i="14"/>
  <c r="D3757" i="14"/>
  <c r="D3895" i="14"/>
  <c r="D3941" i="14"/>
  <c r="D3987" i="14"/>
  <c r="D4033" i="14"/>
  <c r="D4079" i="14"/>
  <c r="D3803" i="14"/>
  <c r="D3849" i="14"/>
  <c r="D4125" i="14"/>
  <c r="D4171" i="14"/>
  <c r="D4217" i="14"/>
  <c r="D4263" i="14"/>
  <c r="D4309" i="14"/>
  <c r="D4355" i="14"/>
  <c r="D4401" i="14"/>
  <c r="C12" i="18"/>
  <c r="E9" i="2"/>
  <c r="D675" i="6"/>
  <c r="D583" i="6"/>
  <c r="D629" i="6"/>
  <c r="D4815" i="6"/>
  <c r="D4861" i="6"/>
  <c r="D28" i="11"/>
  <c r="D2239" i="14"/>
  <c r="D2285" i="14"/>
  <c r="D2331" i="14"/>
  <c r="D2377" i="14"/>
  <c r="D2423" i="14"/>
  <c r="D2469" i="14"/>
  <c r="D2515" i="14"/>
  <c r="D2561" i="14"/>
  <c r="D2607" i="14"/>
  <c r="D2653" i="14"/>
  <c r="D2699" i="14"/>
  <c r="D2745" i="14"/>
  <c r="D2791" i="14"/>
  <c r="D2837" i="14"/>
  <c r="D2883" i="14"/>
  <c r="D2929" i="14"/>
  <c r="D2975" i="14"/>
  <c r="D3021" i="14"/>
  <c r="D3067" i="14"/>
  <c r="D3113" i="14"/>
  <c r="D3159" i="14"/>
  <c r="D3205" i="14"/>
  <c r="D3251" i="14"/>
  <c r="D3297" i="14"/>
  <c r="C10" i="18"/>
  <c r="E8" i="2"/>
  <c r="D307" i="6"/>
  <c r="D399" i="6"/>
  <c r="D4631" i="6"/>
  <c r="D4677" i="6"/>
  <c r="D27" i="11"/>
  <c r="D1135" i="14"/>
  <c r="D1181" i="14"/>
  <c r="D1227" i="14"/>
  <c r="D1273" i="14"/>
  <c r="D1319" i="14"/>
  <c r="D1365" i="14"/>
  <c r="D1503" i="14"/>
  <c r="D1549" i="14"/>
  <c r="D1411" i="14"/>
  <c r="D1457" i="14"/>
  <c r="D1595" i="14"/>
  <c r="D1641" i="14"/>
  <c r="D1687" i="14"/>
  <c r="D1733" i="14"/>
  <c r="D1779" i="14"/>
  <c r="D1825" i="14"/>
  <c r="D1871" i="14"/>
  <c r="D1917" i="14"/>
  <c r="D1963" i="14"/>
  <c r="D2009" i="14"/>
  <c r="D2055" i="14"/>
  <c r="D2101" i="14"/>
  <c r="D2147" i="14"/>
  <c r="D2193" i="14"/>
  <c r="C8" i="18"/>
  <c r="E7" i="2"/>
  <c r="D353" i="6"/>
  <c r="B109" i="19"/>
  <c r="D36" i="2"/>
  <c r="I21" i="4"/>
  <c r="K21" i="4"/>
  <c r="I12" i="4"/>
  <c r="K12" i="4"/>
  <c r="D10" i="2"/>
  <c r="I20" i="4"/>
  <c r="K20" i="4"/>
  <c r="I17" i="4"/>
  <c r="K17" i="4"/>
  <c r="E17" i="4"/>
  <c r="I16" i="4"/>
  <c r="K16" i="4"/>
  <c r="E16" i="4"/>
  <c r="I15" i="4"/>
  <c r="K15" i="4"/>
  <c r="D13" i="2"/>
  <c r="E15" i="4"/>
  <c r="I13" i="4"/>
  <c r="K13" i="4"/>
  <c r="D11" i="2"/>
  <c r="D123" i="6"/>
  <c r="E6" i="2"/>
  <c r="D31" i="6"/>
  <c r="D77" i="6"/>
  <c r="D4447" i="6"/>
  <c r="D4493" i="6"/>
  <c r="D26" i="11"/>
  <c r="D31" i="14"/>
  <c r="D77" i="14"/>
  <c r="D123" i="14"/>
  <c r="D169" i="14"/>
  <c r="D215" i="14"/>
  <c r="D261" i="14"/>
  <c r="D307" i="14"/>
  <c r="D353" i="14"/>
  <c r="D399" i="14"/>
  <c r="D445" i="14"/>
  <c r="D491" i="14"/>
  <c r="D537" i="14"/>
  <c r="D583" i="14"/>
  <c r="D629" i="14"/>
  <c r="D675" i="14"/>
  <c r="D721" i="14"/>
  <c r="D767" i="14"/>
  <c r="D813" i="14"/>
  <c r="D859" i="14"/>
  <c r="D905" i="14"/>
  <c r="D951" i="14"/>
  <c r="D997" i="14"/>
  <c r="D1043" i="14"/>
  <c r="D1089" i="14"/>
  <c r="C6" i="18"/>
  <c r="D4539" i="6"/>
  <c r="D4585" i="6"/>
  <c r="C7" i="18"/>
  <c r="D169" i="6"/>
  <c r="D215" i="6"/>
  <c r="D261" i="6"/>
  <c r="F6" i="2"/>
  <c r="E63" i="2"/>
  <c r="D121" i="16"/>
  <c r="D112" i="16"/>
  <c r="D4353" i="14"/>
  <c r="D4344" i="14"/>
  <c r="D4307" i="14"/>
  <c r="D4298" i="14"/>
  <c r="D29" i="16"/>
  <c r="D20" i="16"/>
  <c r="D351" i="14"/>
  <c r="D342" i="14"/>
  <c r="D2191" i="6"/>
  <c r="D2182" i="6"/>
  <c r="D4721" i="6"/>
  <c r="D4712" i="6"/>
  <c r="D75" i="16"/>
  <c r="D66" i="16"/>
  <c r="F6" i="9"/>
  <c r="F8" i="9"/>
  <c r="F9" i="9"/>
  <c r="F7" i="9"/>
  <c r="M104" i="16"/>
  <c r="M107" i="16" s="1"/>
  <c r="M105" i="16"/>
  <c r="L104" i="16"/>
  <c r="L107" i="16" s="1"/>
  <c r="L105" i="16"/>
  <c r="K104" i="16"/>
  <c r="K107" i="16" s="1"/>
  <c r="K105" i="16"/>
  <c r="J104" i="16"/>
  <c r="J107" i="16" s="1"/>
  <c r="J105" i="16"/>
  <c r="I104" i="16"/>
  <c r="I107" i="16" s="1"/>
  <c r="I105" i="16"/>
  <c r="H104" i="16"/>
  <c r="H107" i="16" s="1"/>
  <c r="H105" i="16"/>
  <c r="G104" i="16"/>
  <c r="G107" i="16" s="1"/>
  <c r="G105" i="16"/>
  <c r="F104" i="16"/>
  <c r="F107" i="16" s="1"/>
  <c r="F105" i="16"/>
  <c r="E104" i="16"/>
  <c r="E107" i="16" s="1"/>
  <c r="E105" i="16"/>
  <c r="M58" i="16"/>
  <c r="M61" i="16" s="1"/>
  <c r="M59" i="16"/>
  <c r="L58" i="16"/>
  <c r="L61" i="16" s="1"/>
  <c r="L59" i="16"/>
  <c r="K58" i="16"/>
  <c r="K61" i="16" s="1"/>
  <c r="K59" i="16"/>
  <c r="J58" i="16"/>
  <c r="J61" i="16" s="1"/>
  <c r="J59" i="16"/>
  <c r="I58" i="16"/>
  <c r="I61" i="16" s="1"/>
  <c r="I59" i="16"/>
  <c r="H58" i="16"/>
  <c r="H61" i="16" s="1"/>
  <c r="H59" i="16"/>
  <c r="G58" i="16"/>
  <c r="G61" i="16" s="1"/>
  <c r="G59" i="16"/>
  <c r="F58" i="16"/>
  <c r="F61" i="16" s="1"/>
  <c r="F59" i="16"/>
  <c r="E58" i="16"/>
  <c r="E61" i="16" s="1"/>
  <c r="E59" i="16"/>
  <c r="M12" i="16"/>
  <c r="M15" i="16" s="1"/>
  <c r="M13" i="16"/>
  <c r="L12" i="16"/>
  <c r="L15" i="16" s="1"/>
  <c r="L13" i="16"/>
  <c r="K12" i="16"/>
  <c r="K15" i="16" s="1"/>
  <c r="K13" i="16"/>
  <c r="J12" i="16"/>
  <c r="J15" i="16" s="1"/>
  <c r="J13" i="16"/>
  <c r="I12" i="16"/>
  <c r="I15" i="16" s="1"/>
  <c r="I13" i="16"/>
  <c r="H12" i="16"/>
  <c r="H15" i="16" s="1"/>
  <c r="H13" i="16"/>
  <c r="G12" i="16"/>
  <c r="G15" i="16" s="1"/>
  <c r="G13" i="16"/>
  <c r="F12" i="16"/>
  <c r="F15" i="16" s="1"/>
  <c r="F13" i="16"/>
  <c r="E12" i="16"/>
  <c r="E15" i="16" s="1"/>
  <c r="E13" i="16"/>
  <c r="M4382" i="14"/>
  <c r="M4385" i="14" s="1"/>
  <c r="M4383" i="14"/>
  <c r="L4382" i="14"/>
  <c r="L4385" i="14" s="1"/>
  <c r="L4383" i="14"/>
  <c r="K4382" i="14"/>
  <c r="K4385" i="14" s="1"/>
  <c r="K4383" i="14"/>
  <c r="J4382" i="14"/>
  <c r="J4385" i="14" s="1"/>
  <c r="J4383" i="14"/>
  <c r="I4382" i="14"/>
  <c r="I4385" i="14" s="1"/>
  <c r="I4383" i="14"/>
  <c r="H4382" i="14"/>
  <c r="H4385" i="14" s="1"/>
  <c r="H4383" i="14"/>
  <c r="G4382" i="14"/>
  <c r="G4385" i="14" s="1"/>
  <c r="G4383" i="14"/>
  <c r="F4382" i="14"/>
  <c r="F4385" i="14" s="1"/>
  <c r="F4383" i="14"/>
  <c r="E4382" i="14"/>
  <c r="E4385" i="14" s="1"/>
  <c r="E4383" i="14"/>
  <c r="M4336" i="14"/>
  <c r="M4339" i="14" s="1"/>
  <c r="M4337" i="14"/>
  <c r="L4336" i="14"/>
  <c r="L4339" i="14" s="1"/>
  <c r="L4337" i="14"/>
  <c r="K4336" i="14"/>
  <c r="K4339" i="14" s="1"/>
  <c r="K4337" i="14"/>
  <c r="J4336" i="14"/>
  <c r="J4339" i="14" s="1"/>
  <c r="J4337" i="14"/>
  <c r="I4336" i="14"/>
  <c r="I4339" i="14" s="1"/>
  <c r="I4337" i="14"/>
  <c r="H4336" i="14"/>
  <c r="H4339" i="14" s="1"/>
  <c r="H4337" i="14"/>
  <c r="G4336" i="14"/>
  <c r="G4339" i="14" s="1"/>
  <c r="G4337" i="14"/>
  <c r="F4336" i="14"/>
  <c r="F4339" i="14" s="1"/>
  <c r="F4337" i="14"/>
  <c r="E4336" i="14"/>
  <c r="E4339" i="14" s="1"/>
  <c r="E4337" i="14"/>
  <c r="M4290" i="14"/>
  <c r="M4293" i="14" s="1"/>
  <c r="M4291" i="14"/>
  <c r="L4290" i="14"/>
  <c r="L4293" i="14" s="1"/>
  <c r="L4291" i="14"/>
  <c r="K4290" i="14"/>
  <c r="K4293" i="14" s="1"/>
  <c r="K4291" i="14"/>
  <c r="J4290" i="14"/>
  <c r="J4293" i="14" s="1"/>
  <c r="J4291" i="14"/>
  <c r="I4290" i="14"/>
  <c r="I4293" i="14" s="1"/>
  <c r="I4291" i="14"/>
  <c r="H4290" i="14"/>
  <c r="H4293" i="14" s="1"/>
  <c r="H4291" i="14"/>
  <c r="G4290" i="14"/>
  <c r="G4293" i="14" s="1"/>
  <c r="G4291" i="14"/>
  <c r="F4290" i="14"/>
  <c r="F4293" i="14" s="1"/>
  <c r="F4291" i="14"/>
  <c r="E4290" i="14"/>
  <c r="E4293" i="14" s="1"/>
  <c r="E4291" i="14"/>
  <c r="K4292" i="14" s="1"/>
  <c r="K4296" i="14" s="1"/>
  <c r="M4244" i="14"/>
  <c r="M4247" i="14" s="1"/>
  <c r="M4245" i="14"/>
  <c r="L4244" i="14"/>
  <c r="L4247" i="14" s="1"/>
  <c r="L4245" i="14"/>
  <c r="K4244" i="14"/>
  <c r="K4247" i="14" s="1"/>
  <c r="K4245" i="14"/>
  <c r="J4244" i="14"/>
  <c r="J4247" i="14" s="1"/>
  <c r="J4245" i="14"/>
  <c r="H4244" i="14"/>
  <c r="H4247" i="14" s="1"/>
  <c r="H4245" i="14"/>
  <c r="G4244" i="14"/>
  <c r="G4247" i="14" s="1"/>
  <c r="G4245" i="14"/>
  <c r="F4244" i="14"/>
  <c r="F4247" i="14" s="1"/>
  <c r="F4245" i="14"/>
  <c r="E4244" i="14"/>
  <c r="E4247" i="14" s="1"/>
  <c r="E4245" i="14"/>
  <c r="M4198" i="14"/>
  <c r="M4201" i="14" s="1"/>
  <c r="M4199" i="14"/>
  <c r="L4198" i="14"/>
  <c r="L4201" i="14" s="1"/>
  <c r="L4199" i="14"/>
  <c r="K4198" i="14"/>
  <c r="K4201" i="14" s="1"/>
  <c r="K4199" i="14"/>
  <c r="J4198" i="14"/>
  <c r="J4201" i="14" s="1"/>
  <c r="J4199" i="14"/>
  <c r="I4198" i="14"/>
  <c r="I4201" i="14" s="1"/>
  <c r="I4199" i="14"/>
  <c r="H4198" i="14"/>
  <c r="H4201" i="14" s="1"/>
  <c r="H4199" i="14"/>
  <c r="G4198" i="14"/>
  <c r="G4201" i="14" s="1"/>
  <c r="G4199" i="14"/>
  <c r="F4198" i="14"/>
  <c r="F4201" i="14" s="1"/>
  <c r="F4199" i="14"/>
  <c r="E4198" i="14"/>
  <c r="E4201" i="14" s="1"/>
  <c r="E4199" i="14"/>
  <c r="M4152" i="14"/>
  <c r="M4155" i="14" s="1"/>
  <c r="M4153" i="14"/>
  <c r="L4152" i="14"/>
  <c r="L4155" i="14" s="1"/>
  <c r="L4153" i="14"/>
  <c r="K4152" i="14"/>
  <c r="K4155" i="14" s="1"/>
  <c r="K4153" i="14"/>
  <c r="J4152" i="14"/>
  <c r="J4155" i="14" s="1"/>
  <c r="J4153" i="14"/>
  <c r="I4152" i="14"/>
  <c r="I4155" i="14" s="1"/>
  <c r="I4153" i="14"/>
  <c r="H4152" i="14"/>
  <c r="H4155" i="14" s="1"/>
  <c r="H4153" i="14"/>
  <c r="G4152" i="14"/>
  <c r="G4155" i="14" s="1"/>
  <c r="G4153" i="14"/>
  <c r="F4152" i="14"/>
  <c r="F4155" i="14" s="1"/>
  <c r="F4153" i="14"/>
  <c r="E4152" i="14"/>
  <c r="E4155" i="14" s="1"/>
  <c r="E4153" i="14"/>
  <c r="L4106" i="14"/>
  <c r="L4109" i="14" s="1"/>
  <c r="L4107" i="14"/>
  <c r="K4106" i="14"/>
  <c r="K4109" i="14" s="1"/>
  <c r="K4107" i="14"/>
  <c r="J4106" i="14"/>
  <c r="J4109" i="14" s="1"/>
  <c r="J4107" i="14"/>
  <c r="I4106" i="14"/>
  <c r="I4109" i="14" s="1"/>
  <c r="I4107" i="14"/>
  <c r="H4106" i="14"/>
  <c r="H4109" i="14" s="1"/>
  <c r="H4107" i="14"/>
  <c r="G4106" i="14"/>
  <c r="G4109" i="14" s="1"/>
  <c r="G4107" i="14"/>
  <c r="F4106" i="14"/>
  <c r="F4109" i="14" s="1"/>
  <c r="F4107" i="14"/>
  <c r="E4106" i="14"/>
  <c r="E4109" i="14" s="1"/>
  <c r="E4107" i="14"/>
  <c r="M4108" i="14" s="1"/>
  <c r="M4112" i="14" s="1"/>
  <c r="M4060" i="14"/>
  <c r="M4063" i="14" s="1"/>
  <c r="M4061" i="14"/>
  <c r="L4060" i="14"/>
  <c r="L4063" i="14" s="1"/>
  <c r="L4061" i="14"/>
  <c r="K4060" i="14"/>
  <c r="K4063" i="14" s="1"/>
  <c r="K4061" i="14"/>
  <c r="J4060" i="14"/>
  <c r="J4063" i="14" s="1"/>
  <c r="J4061" i="14"/>
  <c r="I4060" i="14"/>
  <c r="I4063" i="14" s="1"/>
  <c r="I4061" i="14"/>
  <c r="H4060" i="14"/>
  <c r="H4063" i="14" s="1"/>
  <c r="H4061" i="14"/>
  <c r="G4060" i="14"/>
  <c r="G4063" i="14" s="1"/>
  <c r="G4061" i="14"/>
  <c r="F4060" i="14"/>
  <c r="F4063" i="14" s="1"/>
  <c r="F4061" i="14"/>
  <c r="E4060" i="14"/>
  <c r="E4063" i="14" s="1"/>
  <c r="E4061" i="14"/>
  <c r="M4014" i="14"/>
  <c r="M4017" i="14" s="1"/>
  <c r="M4015" i="14"/>
  <c r="L4014" i="14"/>
  <c r="L4017" i="14" s="1"/>
  <c r="L4015" i="14"/>
  <c r="K4014" i="14"/>
  <c r="K4017" i="14" s="1"/>
  <c r="K4015" i="14"/>
  <c r="J4014" i="14"/>
  <c r="J4017" i="14" s="1"/>
  <c r="J4015" i="14"/>
  <c r="I4014" i="14"/>
  <c r="I4017" i="14" s="1"/>
  <c r="I4015" i="14"/>
  <c r="H4014" i="14"/>
  <c r="H4017" i="14" s="1"/>
  <c r="H4015" i="14"/>
  <c r="G4014" i="14"/>
  <c r="G4017" i="14" s="1"/>
  <c r="G4015" i="14"/>
  <c r="F4014" i="14"/>
  <c r="F4017" i="14" s="1"/>
  <c r="F4015" i="14"/>
  <c r="E4014" i="14"/>
  <c r="E4017" i="14" s="1"/>
  <c r="E4015" i="14"/>
  <c r="M3968" i="14"/>
  <c r="M3971" i="14" s="1"/>
  <c r="M3969" i="14"/>
  <c r="L3968" i="14"/>
  <c r="L3971" i="14" s="1"/>
  <c r="L3969" i="14"/>
  <c r="K3968" i="14"/>
  <c r="K3971" i="14" s="1"/>
  <c r="K3969" i="14"/>
  <c r="J3968" i="14"/>
  <c r="J3971" i="14" s="1"/>
  <c r="J3969" i="14"/>
  <c r="I3968" i="14"/>
  <c r="I3971" i="14" s="1"/>
  <c r="I3969" i="14"/>
  <c r="H3968" i="14"/>
  <c r="H3971" i="14" s="1"/>
  <c r="H3969" i="14"/>
  <c r="G3968" i="14"/>
  <c r="G3971" i="14" s="1"/>
  <c r="G3969" i="14"/>
  <c r="F3968" i="14"/>
  <c r="F3971" i="14" s="1"/>
  <c r="F3969" i="14"/>
  <c r="E3968" i="14"/>
  <c r="E3971" i="14" s="1"/>
  <c r="E3969" i="14"/>
  <c r="M3922" i="14"/>
  <c r="M3925" i="14" s="1"/>
  <c r="M3923" i="14"/>
  <c r="L3922" i="14"/>
  <c r="L3925" i="14" s="1"/>
  <c r="L3923" i="14"/>
  <c r="K3922" i="14"/>
  <c r="K3925" i="14" s="1"/>
  <c r="K3923" i="14"/>
  <c r="J3922" i="14"/>
  <c r="J3925" i="14" s="1"/>
  <c r="J3923" i="14"/>
  <c r="I3922" i="14"/>
  <c r="I3925" i="14" s="1"/>
  <c r="I3923" i="14"/>
  <c r="H3922" i="14"/>
  <c r="H3925" i="14" s="1"/>
  <c r="H3923" i="14"/>
  <c r="G3922" i="14"/>
  <c r="G3925" i="14" s="1"/>
  <c r="G3923" i="14"/>
  <c r="F3922" i="14"/>
  <c r="F3925" i="14" s="1"/>
  <c r="F3923" i="14"/>
  <c r="E3922" i="14"/>
  <c r="E3925" i="14" s="1"/>
  <c r="E3923" i="14"/>
  <c r="M3876" i="14"/>
  <c r="M3879" i="14" s="1"/>
  <c r="M3877" i="14"/>
  <c r="L3876" i="14"/>
  <c r="L3879" i="14" s="1"/>
  <c r="L3877" i="14"/>
  <c r="K3876" i="14"/>
  <c r="K3879" i="14" s="1"/>
  <c r="K3877" i="14"/>
  <c r="J3876" i="14"/>
  <c r="J3879" i="14" s="1"/>
  <c r="J3877" i="14"/>
  <c r="I3876" i="14"/>
  <c r="I3879" i="14" s="1"/>
  <c r="I3877" i="14"/>
  <c r="H3876" i="14"/>
  <c r="H3879" i="14" s="1"/>
  <c r="H3877" i="14"/>
  <c r="G3876" i="14"/>
  <c r="G3879" i="14" s="1"/>
  <c r="G3877" i="14"/>
  <c r="F3876" i="14"/>
  <c r="F3879" i="14" s="1"/>
  <c r="F3877" i="14"/>
  <c r="E3876" i="14"/>
  <c r="E3879" i="14" s="1"/>
  <c r="E3877" i="14"/>
  <c r="D3878" i="14" s="1"/>
  <c r="D3882" i="14" s="1"/>
  <c r="M3830" i="14"/>
  <c r="M3833" i="14" s="1"/>
  <c r="M3831" i="14"/>
  <c r="L3830" i="14"/>
  <c r="L3833" i="14" s="1"/>
  <c r="L3831" i="14"/>
  <c r="K3830" i="14"/>
  <c r="K3833" i="14" s="1"/>
  <c r="K3831" i="14"/>
  <c r="J3830" i="14"/>
  <c r="J3833" i="14" s="1"/>
  <c r="J3831" i="14"/>
  <c r="I3830" i="14"/>
  <c r="I3833" i="14" s="1"/>
  <c r="I3831" i="14"/>
  <c r="H3830" i="14"/>
  <c r="H3833" i="14" s="1"/>
  <c r="H3831" i="14"/>
  <c r="G3830" i="14"/>
  <c r="G3833" i="14" s="1"/>
  <c r="G3831" i="14"/>
  <c r="F3830" i="14"/>
  <c r="F3833" i="14" s="1"/>
  <c r="F3831" i="14"/>
  <c r="E3830" i="14"/>
  <c r="E3833" i="14" s="1"/>
  <c r="E3831" i="14"/>
  <c r="L3784" i="14"/>
  <c r="L3787" i="14" s="1"/>
  <c r="L3785" i="14"/>
  <c r="K3784" i="14"/>
  <c r="K3787" i="14" s="1"/>
  <c r="K3785" i="14"/>
  <c r="J3784" i="14"/>
  <c r="J3787" i="14" s="1"/>
  <c r="J3785" i="14"/>
  <c r="I3784" i="14"/>
  <c r="I3787" i="14" s="1"/>
  <c r="I3785" i="14"/>
  <c r="H3784" i="14"/>
  <c r="H3787" i="14" s="1"/>
  <c r="H3785" i="14"/>
  <c r="G3784" i="14"/>
  <c r="G3787" i="14" s="1"/>
  <c r="G3785" i="14"/>
  <c r="F3784" i="14"/>
  <c r="F3787" i="14" s="1"/>
  <c r="F3785" i="14"/>
  <c r="E3784" i="14"/>
  <c r="E3787" i="14" s="1"/>
  <c r="E3785" i="14"/>
  <c r="M3738" i="14"/>
  <c r="M3741" i="14" s="1"/>
  <c r="M3739" i="14"/>
  <c r="L3738" i="14"/>
  <c r="L3741" i="14" s="1"/>
  <c r="L3739" i="14"/>
  <c r="K3738" i="14"/>
  <c r="K3741" i="14" s="1"/>
  <c r="K3739" i="14"/>
  <c r="J3738" i="14"/>
  <c r="J3741" i="14" s="1"/>
  <c r="J3739" i="14"/>
  <c r="I3738" i="14"/>
  <c r="I3741" i="14" s="1"/>
  <c r="I3739" i="14"/>
  <c r="H3738" i="14"/>
  <c r="H3741" i="14" s="1"/>
  <c r="H3739" i="14"/>
  <c r="G3738" i="14"/>
  <c r="G3741" i="14" s="1"/>
  <c r="G3739" i="14"/>
  <c r="F3738" i="14"/>
  <c r="F3741" i="14" s="1"/>
  <c r="F3739" i="14"/>
  <c r="E3738" i="14"/>
  <c r="E3741" i="14" s="1"/>
  <c r="E3739" i="14"/>
  <c r="M3692" i="14"/>
  <c r="M3695" i="14" s="1"/>
  <c r="M3693" i="14"/>
  <c r="L3692" i="14"/>
  <c r="L3695" i="14" s="1"/>
  <c r="L3693" i="14"/>
  <c r="K3692" i="14"/>
  <c r="K3695" i="14" s="1"/>
  <c r="K3693" i="14"/>
  <c r="J3692" i="14"/>
  <c r="J3695" i="14" s="1"/>
  <c r="J3693" i="14"/>
  <c r="I3692" i="14"/>
  <c r="I3695" i="14" s="1"/>
  <c r="I3693" i="14"/>
  <c r="H3692" i="14"/>
  <c r="H3695" i="14" s="1"/>
  <c r="H3693" i="14"/>
  <c r="G3692" i="14"/>
  <c r="G3695" i="14" s="1"/>
  <c r="G3693" i="14"/>
  <c r="F3692" i="14"/>
  <c r="F3695" i="14" s="1"/>
  <c r="F3693" i="14"/>
  <c r="E3692" i="14"/>
  <c r="E3695" i="14" s="1"/>
  <c r="E3693" i="14"/>
  <c r="M3646" i="14"/>
  <c r="M3649" i="14" s="1"/>
  <c r="M3647" i="14"/>
  <c r="L3646" i="14"/>
  <c r="L3649" i="14" s="1"/>
  <c r="L3647" i="14"/>
  <c r="K3646" i="14"/>
  <c r="K3649" i="14" s="1"/>
  <c r="K3647" i="14"/>
  <c r="J3646" i="14"/>
  <c r="J3649" i="14" s="1"/>
  <c r="J3647" i="14"/>
  <c r="I3646" i="14"/>
  <c r="I3649" i="14" s="1"/>
  <c r="I3647" i="14"/>
  <c r="H3646" i="14"/>
  <c r="H3649" i="14" s="1"/>
  <c r="H3647" i="14"/>
  <c r="G3646" i="14"/>
  <c r="G3649" i="14" s="1"/>
  <c r="G3647" i="14"/>
  <c r="F3646" i="14"/>
  <c r="F3649" i="14" s="1"/>
  <c r="F3647" i="14"/>
  <c r="E3646" i="14"/>
  <c r="E3649" i="14" s="1"/>
  <c r="E3647" i="14"/>
  <c r="M3600" i="14"/>
  <c r="M3603" i="14" s="1"/>
  <c r="M3601" i="14"/>
  <c r="L3600" i="14"/>
  <c r="L3603" i="14" s="1"/>
  <c r="L3601" i="14"/>
  <c r="K3600" i="14"/>
  <c r="K3603" i="14" s="1"/>
  <c r="K3601" i="14"/>
  <c r="J3600" i="14"/>
  <c r="J3603" i="14" s="1"/>
  <c r="J3601" i="14"/>
  <c r="I3600" i="14"/>
  <c r="I3603" i="14" s="1"/>
  <c r="I3601" i="14"/>
  <c r="H3600" i="14"/>
  <c r="H3603" i="14" s="1"/>
  <c r="H3601" i="14"/>
  <c r="G3600" i="14"/>
  <c r="G3603" i="14" s="1"/>
  <c r="G3601" i="14"/>
  <c r="F3600" i="14"/>
  <c r="F3603" i="14" s="1"/>
  <c r="F3601" i="14"/>
  <c r="E3600" i="14"/>
  <c r="E3603" i="14" s="1"/>
  <c r="E3601" i="14"/>
  <c r="D3602" i="14" s="1"/>
  <c r="D3606" i="14" s="1"/>
  <c r="M3554" i="14"/>
  <c r="M3557" i="14" s="1"/>
  <c r="M3555" i="14"/>
  <c r="L3554" i="14"/>
  <c r="L3557" i="14" s="1"/>
  <c r="L3555" i="14"/>
  <c r="K3554" i="14"/>
  <c r="K3557" i="14" s="1"/>
  <c r="K3555" i="14"/>
  <c r="J3554" i="14"/>
  <c r="J3557" i="14" s="1"/>
  <c r="J3555" i="14"/>
  <c r="I3554" i="14"/>
  <c r="I3557" i="14" s="1"/>
  <c r="I3555" i="14"/>
  <c r="H3554" i="14"/>
  <c r="H3557" i="14" s="1"/>
  <c r="H3555" i="14"/>
  <c r="G3554" i="14"/>
  <c r="G3557" i="14" s="1"/>
  <c r="G3555" i="14"/>
  <c r="F3554" i="14"/>
  <c r="F3557" i="14" s="1"/>
  <c r="F3555" i="14"/>
  <c r="E3554" i="14"/>
  <c r="E3557" i="14" s="1"/>
  <c r="E3555" i="14"/>
  <c r="M3508" i="14"/>
  <c r="M3511" i="14" s="1"/>
  <c r="M3509" i="14"/>
  <c r="L3508" i="14"/>
  <c r="L3511" i="14" s="1"/>
  <c r="L3509" i="14"/>
  <c r="K3508" i="14"/>
  <c r="K3511" i="14" s="1"/>
  <c r="K3509" i="14"/>
  <c r="J3508" i="14"/>
  <c r="J3511" i="14" s="1"/>
  <c r="J3509" i="14"/>
  <c r="I3508" i="14"/>
  <c r="I3511" i="14" s="1"/>
  <c r="I3509" i="14"/>
  <c r="H3508" i="14"/>
  <c r="H3511" i="14" s="1"/>
  <c r="H3509" i="14"/>
  <c r="G3508" i="14"/>
  <c r="G3511" i="14" s="1"/>
  <c r="G3509" i="14"/>
  <c r="F3508" i="14"/>
  <c r="F3511" i="14" s="1"/>
  <c r="F3509" i="14"/>
  <c r="E3508" i="14"/>
  <c r="E3511" i="14" s="1"/>
  <c r="E3509" i="14"/>
  <c r="M3462" i="14"/>
  <c r="M3465" i="14" s="1"/>
  <c r="M3463" i="14"/>
  <c r="L3462" i="14"/>
  <c r="L3465" i="14" s="1"/>
  <c r="L3463" i="14"/>
  <c r="K3462" i="14"/>
  <c r="K3465" i="14" s="1"/>
  <c r="K3463" i="14"/>
  <c r="J3462" i="14"/>
  <c r="J3465" i="14" s="1"/>
  <c r="J3463" i="14"/>
  <c r="I3462" i="14"/>
  <c r="I3465" i="14" s="1"/>
  <c r="I3463" i="14"/>
  <c r="H3462" i="14"/>
  <c r="H3465" i="14" s="1"/>
  <c r="H3463" i="14"/>
  <c r="G3462" i="14"/>
  <c r="G3465" i="14" s="1"/>
  <c r="G3463" i="14"/>
  <c r="F3462" i="14"/>
  <c r="F3465" i="14" s="1"/>
  <c r="F3463" i="14"/>
  <c r="E3462" i="14"/>
  <c r="E3465" i="14" s="1"/>
  <c r="E3463" i="14"/>
  <c r="M3416" i="14"/>
  <c r="M3419" i="14" s="1"/>
  <c r="M3417" i="14"/>
  <c r="L3416" i="14"/>
  <c r="L3419" i="14" s="1"/>
  <c r="L3417" i="14"/>
  <c r="K3416" i="14"/>
  <c r="K3419" i="14" s="1"/>
  <c r="K3417" i="14"/>
  <c r="J3416" i="14"/>
  <c r="J3419" i="14" s="1"/>
  <c r="J3417" i="14"/>
  <c r="I3416" i="14"/>
  <c r="I3419" i="14" s="1"/>
  <c r="I3417" i="14"/>
  <c r="H3416" i="14"/>
  <c r="H3419" i="14" s="1"/>
  <c r="H3417" i="14"/>
  <c r="G3416" i="14"/>
  <c r="G3419" i="14" s="1"/>
  <c r="G3417" i="14"/>
  <c r="F3416" i="14"/>
  <c r="F3419" i="14" s="1"/>
  <c r="F3417" i="14"/>
  <c r="E3416" i="14"/>
  <c r="E3419" i="14" s="1"/>
  <c r="E3417" i="14"/>
  <c r="M3370" i="14"/>
  <c r="M3373" i="14" s="1"/>
  <c r="M3371" i="14"/>
  <c r="L3370" i="14"/>
  <c r="L3373" i="14" s="1"/>
  <c r="L3371" i="14"/>
  <c r="K3370" i="14"/>
  <c r="K3373" i="14" s="1"/>
  <c r="K3371" i="14"/>
  <c r="J3370" i="14"/>
  <c r="J3373" i="14" s="1"/>
  <c r="J3371" i="14"/>
  <c r="I3370" i="14"/>
  <c r="I3373" i="14" s="1"/>
  <c r="I3371" i="14"/>
  <c r="H3370" i="14"/>
  <c r="H3373" i="14" s="1"/>
  <c r="H3371" i="14"/>
  <c r="G3370" i="14"/>
  <c r="G3373" i="14" s="1"/>
  <c r="G3371" i="14"/>
  <c r="F3370" i="14"/>
  <c r="F3373" i="14" s="1"/>
  <c r="F3371" i="14"/>
  <c r="E3370" i="14"/>
  <c r="E3373" i="14" s="1"/>
  <c r="E3371" i="14"/>
  <c r="M3324" i="14"/>
  <c r="M3327" i="14" s="1"/>
  <c r="M3325" i="14"/>
  <c r="L3324" i="14"/>
  <c r="L3327" i="14" s="1"/>
  <c r="L3325" i="14"/>
  <c r="K3324" i="14"/>
  <c r="K3327" i="14" s="1"/>
  <c r="K3325" i="14"/>
  <c r="J3324" i="14"/>
  <c r="J3327" i="14" s="1"/>
  <c r="J3325" i="14"/>
  <c r="I3324" i="14"/>
  <c r="I3327" i="14" s="1"/>
  <c r="I3325" i="14"/>
  <c r="H3324" i="14"/>
  <c r="H3327" i="14" s="1"/>
  <c r="H3325" i="14"/>
  <c r="G3324" i="14"/>
  <c r="G3327" i="14" s="1"/>
  <c r="G3325" i="14"/>
  <c r="F3324" i="14"/>
  <c r="F3327" i="14" s="1"/>
  <c r="F3325" i="14"/>
  <c r="E3324" i="14"/>
  <c r="E3327" i="14" s="1"/>
  <c r="E3325" i="14"/>
  <c r="M3278" i="14"/>
  <c r="M3281" i="14" s="1"/>
  <c r="M3279" i="14"/>
  <c r="L3278" i="14"/>
  <c r="L3281" i="14" s="1"/>
  <c r="L3279" i="14"/>
  <c r="J3278" i="14"/>
  <c r="J3281" i="14" s="1"/>
  <c r="J3279" i="14"/>
  <c r="I3278" i="14"/>
  <c r="I3281" i="14" s="1"/>
  <c r="I3279" i="14"/>
  <c r="H3278" i="14"/>
  <c r="H3281" i="14" s="1"/>
  <c r="H3279" i="14"/>
  <c r="G3278" i="14"/>
  <c r="G3281" i="14" s="1"/>
  <c r="G3279" i="14"/>
  <c r="F3278" i="14"/>
  <c r="F3281" i="14" s="1"/>
  <c r="F3279" i="14"/>
  <c r="E3278" i="14"/>
  <c r="E3281" i="14" s="1"/>
  <c r="E3279" i="14"/>
  <c r="M3232" i="14"/>
  <c r="M3235" i="14" s="1"/>
  <c r="M3233" i="14"/>
  <c r="L3232" i="14"/>
  <c r="L3235" i="14" s="1"/>
  <c r="L3233" i="14"/>
  <c r="K3232" i="14"/>
  <c r="K3235" i="14" s="1"/>
  <c r="K3233" i="14"/>
  <c r="J3232" i="14"/>
  <c r="J3235" i="14" s="1"/>
  <c r="J3233" i="14"/>
  <c r="I3232" i="14"/>
  <c r="I3235" i="14" s="1"/>
  <c r="I3233" i="14"/>
  <c r="H3232" i="14"/>
  <c r="H3235" i="14" s="1"/>
  <c r="H3233" i="14"/>
  <c r="G3232" i="14"/>
  <c r="G3235" i="14" s="1"/>
  <c r="G3233" i="14"/>
  <c r="F3232" i="14"/>
  <c r="F3235" i="14" s="1"/>
  <c r="F3233" i="14"/>
  <c r="E3232" i="14"/>
  <c r="E3235" i="14" s="1"/>
  <c r="E3233" i="14"/>
  <c r="M3186" i="14"/>
  <c r="M3189" i="14" s="1"/>
  <c r="M3187" i="14"/>
  <c r="L3186" i="14"/>
  <c r="L3189" i="14" s="1"/>
  <c r="L3187" i="14"/>
  <c r="K3186" i="14"/>
  <c r="K3189" i="14" s="1"/>
  <c r="K3187" i="14"/>
  <c r="J3186" i="14"/>
  <c r="J3189" i="14" s="1"/>
  <c r="J3187" i="14"/>
  <c r="I3186" i="14"/>
  <c r="I3189" i="14" s="1"/>
  <c r="I3187" i="14"/>
  <c r="H3186" i="14"/>
  <c r="H3189" i="14" s="1"/>
  <c r="H3187" i="14"/>
  <c r="G3186" i="14"/>
  <c r="G3189" i="14" s="1"/>
  <c r="G3187" i="14"/>
  <c r="F3186" i="14"/>
  <c r="F3189" i="14" s="1"/>
  <c r="F3187" i="14"/>
  <c r="E3186" i="14"/>
  <c r="E3189" i="14" s="1"/>
  <c r="E3187" i="14"/>
  <c r="M3140" i="14"/>
  <c r="M3143" i="14" s="1"/>
  <c r="M3141" i="14"/>
  <c r="L3140" i="14"/>
  <c r="L3143" i="14" s="1"/>
  <c r="L3141" i="14"/>
  <c r="K3140" i="14"/>
  <c r="K3143" i="14" s="1"/>
  <c r="K3141" i="14"/>
  <c r="J3140" i="14"/>
  <c r="J3143" i="14" s="1"/>
  <c r="J3141" i="14"/>
  <c r="I3140" i="14"/>
  <c r="I3143" i="14" s="1"/>
  <c r="I3141" i="14"/>
  <c r="H3140" i="14"/>
  <c r="H3143" i="14" s="1"/>
  <c r="H3141" i="14"/>
  <c r="G3140" i="14"/>
  <c r="G3143" i="14" s="1"/>
  <c r="G3141" i="14"/>
  <c r="F3140" i="14"/>
  <c r="F3143" i="14" s="1"/>
  <c r="F3141" i="14"/>
  <c r="E3140" i="14"/>
  <c r="E3143" i="14" s="1"/>
  <c r="E3141" i="14"/>
  <c r="M3094" i="14"/>
  <c r="M3097" i="14" s="1"/>
  <c r="M3095" i="14"/>
  <c r="L3094" i="14"/>
  <c r="L3097" i="14" s="1"/>
  <c r="L3095" i="14"/>
  <c r="K3094" i="14"/>
  <c r="K3097" i="14" s="1"/>
  <c r="K3095" i="14"/>
  <c r="J3094" i="14"/>
  <c r="J3097" i="14" s="1"/>
  <c r="J3095" i="14"/>
  <c r="I3094" i="14"/>
  <c r="I3097" i="14" s="1"/>
  <c r="I3095" i="14"/>
  <c r="H3094" i="14"/>
  <c r="H3097" i="14" s="1"/>
  <c r="H3095" i="14"/>
  <c r="G3094" i="14"/>
  <c r="G3097" i="14" s="1"/>
  <c r="G3095" i="14"/>
  <c r="F3094" i="14"/>
  <c r="F3097" i="14" s="1"/>
  <c r="F3095" i="14"/>
  <c r="E3094" i="14"/>
  <c r="E3097" i="14" s="1"/>
  <c r="E3095" i="14"/>
  <c r="M3048" i="14"/>
  <c r="M3051" i="14" s="1"/>
  <c r="M3049" i="14"/>
  <c r="L3048" i="14"/>
  <c r="L3051" i="14" s="1"/>
  <c r="L3049" i="14"/>
  <c r="K3048" i="14"/>
  <c r="K3051" i="14" s="1"/>
  <c r="K3049" i="14"/>
  <c r="J3048" i="14"/>
  <c r="J3051" i="14" s="1"/>
  <c r="J3049" i="14"/>
  <c r="I3048" i="14"/>
  <c r="I3051" i="14" s="1"/>
  <c r="I3049" i="14"/>
  <c r="H3048" i="14"/>
  <c r="H3051" i="14" s="1"/>
  <c r="H3049" i="14"/>
  <c r="G3048" i="14"/>
  <c r="G3051" i="14" s="1"/>
  <c r="G3049" i="14"/>
  <c r="F3048" i="14"/>
  <c r="F3051" i="14" s="1"/>
  <c r="F3049" i="14"/>
  <c r="E3048" i="14"/>
  <c r="E3051" i="14" s="1"/>
  <c r="E3049" i="14"/>
  <c r="M3002" i="14"/>
  <c r="M3005" i="14" s="1"/>
  <c r="M3003" i="14"/>
  <c r="L3002" i="14"/>
  <c r="L3005" i="14" s="1"/>
  <c r="L3003" i="14"/>
  <c r="K3002" i="14"/>
  <c r="K3005" i="14" s="1"/>
  <c r="K3003" i="14"/>
  <c r="J3002" i="14"/>
  <c r="J3005" i="14" s="1"/>
  <c r="J3003" i="14"/>
  <c r="I3002" i="14"/>
  <c r="I3005" i="14" s="1"/>
  <c r="I3003" i="14"/>
  <c r="H3002" i="14"/>
  <c r="H3005" i="14" s="1"/>
  <c r="H3003" i="14"/>
  <c r="G3002" i="14"/>
  <c r="G3005" i="14" s="1"/>
  <c r="G3003" i="14"/>
  <c r="F3002" i="14"/>
  <c r="F3005" i="14" s="1"/>
  <c r="F3003" i="14"/>
  <c r="E3002" i="14"/>
  <c r="E3005" i="14" s="1"/>
  <c r="E3003" i="14"/>
  <c r="M2956" i="14"/>
  <c r="M2959" i="14" s="1"/>
  <c r="M2957" i="14"/>
  <c r="L2956" i="14"/>
  <c r="L2959" i="14" s="1"/>
  <c r="L2957" i="14"/>
  <c r="K2956" i="14"/>
  <c r="K2959" i="14" s="1"/>
  <c r="K2957" i="14"/>
  <c r="J2956" i="14"/>
  <c r="J2959" i="14" s="1"/>
  <c r="J2957" i="14"/>
  <c r="I2956" i="14"/>
  <c r="I2959" i="14" s="1"/>
  <c r="I2957" i="14"/>
  <c r="H2956" i="14"/>
  <c r="H2959" i="14" s="1"/>
  <c r="H2957" i="14"/>
  <c r="G2956" i="14"/>
  <c r="G2959" i="14" s="1"/>
  <c r="G2957" i="14"/>
  <c r="F2956" i="14"/>
  <c r="F2959" i="14" s="1"/>
  <c r="F2957" i="14"/>
  <c r="E2956" i="14"/>
  <c r="E2959" i="14" s="1"/>
  <c r="E2957" i="14"/>
  <c r="M2910" i="14"/>
  <c r="M2913" i="14" s="1"/>
  <c r="M2911" i="14"/>
  <c r="L2910" i="14"/>
  <c r="L2913" i="14" s="1"/>
  <c r="L2911" i="14"/>
  <c r="K2910" i="14"/>
  <c r="K2913" i="14" s="1"/>
  <c r="K2911" i="14"/>
  <c r="J2910" i="14"/>
  <c r="J2913" i="14" s="1"/>
  <c r="J2911" i="14"/>
  <c r="I2910" i="14"/>
  <c r="I2913" i="14" s="1"/>
  <c r="I2911" i="14"/>
  <c r="H2910" i="14"/>
  <c r="H2913" i="14" s="1"/>
  <c r="H2911" i="14"/>
  <c r="G2910" i="14"/>
  <c r="G2913" i="14" s="1"/>
  <c r="G2911" i="14"/>
  <c r="F2910" i="14"/>
  <c r="F2913" i="14" s="1"/>
  <c r="F2911" i="14"/>
  <c r="E2910" i="14"/>
  <c r="E2913" i="14" s="1"/>
  <c r="E2911" i="14"/>
  <c r="G2864" i="14"/>
  <c r="G2867" i="14" s="1"/>
  <c r="G2865" i="14"/>
  <c r="F2864" i="14"/>
  <c r="F2867" i="14" s="1"/>
  <c r="F2865" i="14"/>
  <c r="E2864" i="14"/>
  <c r="E2867" i="14" s="1"/>
  <c r="E2865" i="14"/>
  <c r="M2818" i="14"/>
  <c r="M2821" i="14" s="1"/>
  <c r="M2819" i="14"/>
  <c r="L2818" i="14"/>
  <c r="L2821" i="14" s="1"/>
  <c r="L2819" i="14"/>
  <c r="K2818" i="14"/>
  <c r="K2821" i="14" s="1"/>
  <c r="K2819" i="14"/>
  <c r="J2818" i="14"/>
  <c r="J2821" i="14" s="1"/>
  <c r="J2819" i="14"/>
  <c r="I2818" i="14"/>
  <c r="I2821" i="14" s="1"/>
  <c r="I2819" i="14"/>
  <c r="H2818" i="14"/>
  <c r="H2821" i="14" s="1"/>
  <c r="H2819" i="14"/>
  <c r="G2818" i="14"/>
  <c r="G2821" i="14" s="1"/>
  <c r="G2819" i="14"/>
  <c r="F2818" i="14"/>
  <c r="F2821" i="14" s="1"/>
  <c r="F2819" i="14"/>
  <c r="E2818" i="14"/>
  <c r="E2821" i="14" s="1"/>
  <c r="E2819" i="14"/>
  <c r="M2772" i="14"/>
  <c r="M2775" i="14" s="1"/>
  <c r="M2773" i="14"/>
  <c r="L2772" i="14"/>
  <c r="L2775" i="14" s="1"/>
  <c r="L2773" i="14"/>
  <c r="K2772" i="14"/>
  <c r="K2775" i="14" s="1"/>
  <c r="K2773" i="14"/>
  <c r="J2772" i="14"/>
  <c r="J2775" i="14" s="1"/>
  <c r="J2773" i="14"/>
  <c r="I2772" i="14"/>
  <c r="I2775" i="14" s="1"/>
  <c r="I2773" i="14"/>
  <c r="H2772" i="14"/>
  <c r="H2775" i="14" s="1"/>
  <c r="H2773" i="14"/>
  <c r="G2772" i="14"/>
  <c r="G2775" i="14" s="1"/>
  <c r="G2773" i="14"/>
  <c r="F2772" i="14"/>
  <c r="F2775" i="14" s="1"/>
  <c r="F2773" i="14"/>
  <c r="E2772" i="14"/>
  <c r="E2775" i="14" s="1"/>
  <c r="E2773" i="14"/>
  <c r="M2726" i="14"/>
  <c r="M2729" i="14" s="1"/>
  <c r="M2727" i="14"/>
  <c r="L2726" i="14"/>
  <c r="L2729" i="14" s="1"/>
  <c r="L2727" i="14"/>
  <c r="K2726" i="14"/>
  <c r="K2729" i="14" s="1"/>
  <c r="K2727" i="14"/>
  <c r="J2726" i="14"/>
  <c r="J2729" i="14" s="1"/>
  <c r="J2727" i="14"/>
  <c r="I2726" i="14"/>
  <c r="I2729" i="14" s="1"/>
  <c r="I2727" i="14"/>
  <c r="H2726" i="14"/>
  <c r="H2729" i="14" s="1"/>
  <c r="H2727" i="14"/>
  <c r="G2726" i="14"/>
  <c r="G2729" i="14" s="1"/>
  <c r="G2727" i="14"/>
  <c r="F2726" i="14"/>
  <c r="F2729" i="14" s="1"/>
  <c r="F2727" i="14"/>
  <c r="E2726" i="14"/>
  <c r="E2729" i="14" s="1"/>
  <c r="E2727" i="14"/>
  <c r="M2680" i="14"/>
  <c r="M2683" i="14" s="1"/>
  <c r="M2681" i="14"/>
  <c r="L2680" i="14"/>
  <c r="L2683" i="14" s="1"/>
  <c r="L2681" i="14"/>
  <c r="K2680" i="14"/>
  <c r="K2683" i="14" s="1"/>
  <c r="K2681" i="14"/>
  <c r="J2680" i="14"/>
  <c r="J2683" i="14" s="1"/>
  <c r="J2681" i="14"/>
  <c r="I2680" i="14"/>
  <c r="I2683" i="14" s="1"/>
  <c r="I2681" i="14"/>
  <c r="H2680" i="14"/>
  <c r="H2683" i="14" s="1"/>
  <c r="H2681" i="14"/>
  <c r="G2680" i="14"/>
  <c r="G2683" i="14" s="1"/>
  <c r="G2681" i="14"/>
  <c r="F2680" i="14"/>
  <c r="F2683" i="14" s="1"/>
  <c r="F2681" i="14"/>
  <c r="E2680" i="14"/>
  <c r="E2683" i="14" s="1"/>
  <c r="E2681" i="14"/>
  <c r="M2634" i="14"/>
  <c r="M2637" i="14" s="1"/>
  <c r="M2635" i="14"/>
  <c r="L2634" i="14"/>
  <c r="L2637" i="14" s="1"/>
  <c r="L2635" i="14"/>
  <c r="K2634" i="14"/>
  <c r="K2637" i="14" s="1"/>
  <c r="K2635" i="14"/>
  <c r="J2634" i="14"/>
  <c r="J2637" i="14" s="1"/>
  <c r="J2635" i="14"/>
  <c r="I2634" i="14"/>
  <c r="I2637" i="14" s="1"/>
  <c r="I2635" i="14"/>
  <c r="H2634" i="14"/>
  <c r="H2637" i="14" s="1"/>
  <c r="H2635" i="14"/>
  <c r="G2634" i="14"/>
  <c r="G2637" i="14" s="1"/>
  <c r="G2635" i="14"/>
  <c r="F2634" i="14"/>
  <c r="F2637" i="14" s="1"/>
  <c r="F2635" i="14"/>
  <c r="E2634" i="14"/>
  <c r="E2637" i="14" s="1"/>
  <c r="E2635" i="14"/>
  <c r="M2588" i="14"/>
  <c r="M2591" i="14" s="1"/>
  <c r="M2589" i="14"/>
  <c r="L2588" i="14"/>
  <c r="L2591" i="14" s="1"/>
  <c r="L2589" i="14"/>
  <c r="K2588" i="14"/>
  <c r="K2591" i="14" s="1"/>
  <c r="K2589" i="14"/>
  <c r="J2588" i="14"/>
  <c r="J2591" i="14" s="1"/>
  <c r="J2589" i="14"/>
  <c r="I2588" i="14"/>
  <c r="I2591" i="14" s="1"/>
  <c r="I2589" i="14"/>
  <c r="H2588" i="14"/>
  <c r="H2591" i="14" s="1"/>
  <c r="H2589" i="14"/>
  <c r="G2588" i="14"/>
  <c r="G2591" i="14" s="1"/>
  <c r="G2589" i="14"/>
  <c r="F2588" i="14"/>
  <c r="F2591" i="14" s="1"/>
  <c r="F2589" i="14"/>
  <c r="E2588" i="14"/>
  <c r="E2591" i="14" s="1"/>
  <c r="E2589" i="14"/>
  <c r="L2542" i="14"/>
  <c r="L2545" i="14" s="1"/>
  <c r="L2543" i="14"/>
  <c r="K2542" i="14"/>
  <c r="K2545" i="14" s="1"/>
  <c r="K2543" i="14"/>
  <c r="J2542" i="14"/>
  <c r="J2545" i="14" s="1"/>
  <c r="J2543" i="14"/>
  <c r="I2542" i="14"/>
  <c r="I2545" i="14" s="1"/>
  <c r="I2543" i="14"/>
  <c r="H2542" i="14"/>
  <c r="H2545" i="14" s="1"/>
  <c r="H2543" i="14"/>
  <c r="G2542" i="14"/>
  <c r="G2545" i="14" s="1"/>
  <c r="G2543" i="14"/>
  <c r="F2542" i="14"/>
  <c r="F2545" i="14" s="1"/>
  <c r="F2543" i="14"/>
  <c r="E2542" i="14"/>
  <c r="E2545" i="14" s="1"/>
  <c r="E2543" i="14"/>
  <c r="M2496" i="14"/>
  <c r="M2499" i="14" s="1"/>
  <c r="M2497" i="14"/>
  <c r="L2496" i="14"/>
  <c r="L2499" i="14" s="1"/>
  <c r="L2497" i="14"/>
  <c r="K2496" i="14"/>
  <c r="K2499" i="14" s="1"/>
  <c r="K2497" i="14"/>
  <c r="J2496" i="14"/>
  <c r="J2499" i="14" s="1"/>
  <c r="J2497" i="14"/>
  <c r="I2496" i="14"/>
  <c r="I2499" i="14" s="1"/>
  <c r="I2497" i="14"/>
  <c r="H2496" i="14"/>
  <c r="H2499" i="14" s="1"/>
  <c r="H2497" i="14"/>
  <c r="G2496" i="14"/>
  <c r="G2499" i="14" s="1"/>
  <c r="G2497" i="14"/>
  <c r="F2496" i="14"/>
  <c r="F2499" i="14" s="1"/>
  <c r="F2497" i="14"/>
  <c r="E2496" i="14"/>
  <c r="E2499" i="14" s="1"/>
  <c r="E2497" i="14"/>
  <c r="M2450" i="14"/>
  <c r="M2453" i="14" s="1"/>
  <c r="M2451" i="14"/>
  <c r="L2450" i="14"/>
  <c r="L2453" i="14" s="1"/>
  <c r="L2451" i="14"/>
  <c r="K2450" i="14"/>
  <c r="K2453" i="14" s="1"/>
  <c r="K2451" i="14"/>
  <c r="J2450" i="14"/>
  <c r="J2453" i="14" s="1"/>
  <c r="J2451" i="14"/>
  <c r="I2450" i="14"/>
  <c r="I2453" i="14" s="1"/>
  <c r="I2451" i="14"/>
  <c r="H2450" i="14"/>
  <c r="H2453" i="14" s="1"/>
  <c r="H2451" i="14"/>
  <c r="G2450" i="14"/>
  <c r="G2453" i="14" s="1"/>
  <c r="G2451" i="14"/>
  <c r="F2450" i="14"/>
  <c r="F2453" i="14" s="1"/>
  <c r="F2451" i="14"/>
  <c r="E2450" i="14"/>
  <c r="E2453" i="14" s="1"/>
  <c r="E2451" i="14"/>
  <c r="M2404" i="14"/>
  <c r="M2407" i="14" s="1"/>
  <c r="M2405" i="14"/>
  <c r="L2404" i="14"/>
  <c r="L2407" i="14" s="1"/>
  <c r="L2405" i="14"/>
  <c r="K2404" i="14"/>
  <c r="K2407" i="14" s="1"/>
  <c r="K2405" i="14"/>
  <c r="J2404" i="14"/>
  <c r="J2407" i="14" s="1"/>
  <c r="J2405" i="14"/>
  <c r="I2404" i="14"/>
  <c r="I2407" i="14" s="1"/>
  <c r="I2405" i="14"/>
  <c r="H2404" i="14"/>
  <c r="H2407" i="14" s="1"/>
  <c r="H2405" i="14"/>
  <c r="G2404" i="14"/>
  <c r="G2407" i="14" s="1"/>
  <c r="G2405" i="14"/>
  <c r="F2404" i="14"/>
  <c r="F2407" i="14" s="1"/>
  <c r="F2405" i="14"/>
  <c r="E2404" i="14"/>
  <c r="E2407" i="14" s="1"/>
  <c r="E2405" i="14"/>
  <c r="M2358" i="14"/>
  <c r="M2361" i="14" s="1"/>
  <c r="M2359" i="14"/>
  <c r="L2358" i="14"/>
  <c r="L2361" i="14" s="1"/>
  <c r="L2359" i="14"/>
  <c r="K2358" i="14"/>
  <c r="K2361" i="14" s="1"/>
  <c r="K2359" i="14"/>
  <c r="J2358" i="14"/>
  <c r="J2361" i="14" s="1"/>
  <c r="J2359" i="14"/>
  <c r="I2358" i="14"/>
  <c r="I2361" i="14" s="1"/>
  <c r="I2359" i="14"/>
  <c r="H2358" i="14"/>
  <c r="H2361" i="14" s="1"/>
  <c r="H2359" i="14"/>
  <c r="G2358" i="14"/>
  <c r="G2361" i="14" s="1"/>
  <c r="G2359" i="14"/>
  <c r="F2358" i="14"/>
  <c r="F2361" i="14" s="1"/>
  <c r="F2359" i="14"/>
  <c r="E2358" i="14"/>
  <c r="E2361" i="14" s="1"/>
  <c r="E2359" i="14"/>
  <c r="M2312" i="14"/>
  <c r="M2315" i="14" s="1"/>
  <c r="M2313" i="14"/>
  <c r="L2312" i="14"/>
  <c r="L2315" i="14" s="1"/>
  <c r="L2313" i="14"/>
  <c r="K2312" i="14"/>
  <c r="K2315" i="14" s="1"/>
  <c r="K2313" i="14"/>
  <c r="J2312" i="14"/>
  <c r="J2315" i="14" s="1"/>
  <c r="J2313" i="14"/>
  <c r="I2312" i="14"/>
  <c r="I2315" i="14" s="1"/>
  <c r="I2313" i="14"/>
  <c r="H2312" i="14"/>
  <c r="H2315" i="14" s="1"/>
  <c r="H2313" i="14"/>
  <c r="G2312" i="14"/>
  <c r="G2315" i="14" s="1"/>
  <c r="G2313" i="14"/>
  <c r="F2312" i="14"/>
  <c r="F2315" i="14" s="1"/>
  <c r="F2313" i="14"/>
  <c r="E2312" i="14"/>
  <c r="E2315" i="14" s="1"/>
  <c r="E2313" i="14"/>
  <c r="M2266" i="14"/>
  <c r="M2269" i="14" s="1"/>
  <c r="M2267" i="14"/>
  <c r="L2266" i="14"/>
  <c r="L2269" i="14" s="1"/>
  <c r="L2267" i="14"/>
  <c r="K2266" i="14"/>
  <c r="K2269" i="14" s="1"/>
  <c r="K2267" i="14"/>
  <c r="J2266" i="14"/>
  <c r="J2269" i="14" s="1"/>
  <c r="J2267" i="14"/>
  <c r="I2266" i="14"/>
  <c r="I2269" i="14" s="1"/>
  <c r="I2267" i="14"/>
  <c r="H2266" i="14"/>
  <c r="H2269" i="14" s="1"/>
  <c r="H2267" i="14"/>
  <c r="G2266" i="14"/>
  <c r="G2269" i="14" s="1"/>
  <c r="G2267" i="14"/>
  <c r="F2266" i="14"/>
  <c r="F2269" i="14" s="1"/>
  <c r="F2267" i="14"/>
  <c r="E2266" i="14"/>
  <c r="E2269" i="14" s="1"/>
  <c r="E2267" i="14"/>
  <c r="M2220" i="14"/>
  <c r="M2223" i="14" s="1"/>
  <c r="M2221" i="14"/>
  <c r="L2220" i="14"/>
  <c r="L2223" i="14" s="1"/>
  <c r="L2221" i="14"/>
  <c r="K2220" i="14"/>
  <c r="K2223" i="14" s="1"/>
  <c r="K2221" i="14"/>
  <c r="H2220" i="14"/>
  <c r="H2223" i="14" s="1"/>
  <c r="H2221" i="14"/>
  <c r="G2220" i="14"/>
  <c r="G2223" i="14" s="1"/>
  <c r="G2221" i="14"/>
  <c r="F2220" i="14"/>
  <c r="F2223" i="14" s="1"/>
  <c r="F2221" i="14"/>
  <c r="E2220" i="14"/>
  <c r="E2223" i="14" s="1"/>
  <c r="E2221" i="14"/>
  <c r="M2174" i="14"/>
  <c r="M2177" i="14" s="1"/>
  <c r="M2175" i="14"/>
  <c r="L2174" i="14"/>
  <c r="L2177" i="14" s="1"/>
  <c r="L2175" i="14"/>
  <c r="K2174" i="14"/>
  <c r="K2177" i="14" s="1"/>
  <c r="K2175" i="14"/>
  <c r="J2174" i="14"/>
  <c r="J2177" i="14" s="1"/>
  <c r="J2175" i="14"/>
  <c r="I2174" i="14"/>
  <c r="I2177" i="14" s="1"/>
  <c r="I2175" i="14"/>
  <c r="H2174" i="14"/>
  <c r="H2177" i="14" s="1"/>
  <c r="H2175" i="14"/>
  <c r="G2174" i="14"/>
  <c r="G2177" i="14" s="1"/>
  <c r="G2175" i="14"/>
  <c r="F2174" i="14"/>
  <c r="F2177" i="14" s="1"/>
  <c r="F2175" i="14"/>
  <c r="E2174" i="14"/>
  <c r="E2177" i="14" s="1"/>
  <c r="E2175" i="14"/>
  <c r="M2128" i="14"/>
  <c r="M2131" i="14" s="1"/>
  <c r="M2129" i="14"/>
  <c r="L2128" i="14"/>
  <c r="L2131" i="14" s="1"/>
  <c r="L2129" i="14"/>
  <c r="K2128" i="14"/>
  <c r="K2131" i="14" s="1"/>
  <c r="K2129" i="14"/>
  <c r="J2128" i="14"/>
  <c r="J2131" i="14" s="1"/>
  <c r="J2129" i="14"/>
  <c r="I2128" i="14"/>
  <c r="I2131" i="14" s="1"/>
  <c r="I2129" i="14"/>
  <c r="H2128" i="14"/>
  <c r="H2131" i="14" s="1"/>
  <c r="H2129" i="14"/>
  <c r="G2128" i="14"/>
  <c r="G2131" i="14" s="1"/>
  <c r="G2129" i="14"/>
  <c r="F2128" i="14"/>
  <c r="F2131" i="14" s="1"/>
  <c r="F2129" i="14"/>
  <c r="E2128" i="14"/>
  <c r="E2131" i="14" s="1"/>
  <c r="E2129" i="14"/>
  <c r="M2082" i="14"/>
  <c r="M2085" i="14" s="1"/>
  <c r="M2083" i="14"/>
  <c r="L2082" i="14"/>
  <c r="L2085" i="14" s="1"/>
  <c r="L2083" i="14"/>
  <c r="K2082" i="14"/>
  <c r="K2085" i="14" s="1"/>
  <c r="K2083" i="14"/>
  <c r="J2082" i="14"/>
  <c r="J2085" i="14" s="1"/>
  <c r="J2083" i="14"/>
  <c r="I2082" i="14"/>
  <c r="I2085" i="14" s="1"/>
  <c r="I2083" i="14"/>
  <c r="H2082" i="14"/>
  <c r="H2085" i="14" s="1"/>
  <c r="H2083" i="14"/>
  <c r="G2082" i="14"/>
  <c r="G2085" i="14" s="1"/>
  <c r="G2083" i="14"/>
  <c r="F2082" i="14"/>
  <c r="F2085" i="14" s="1"/>
  <c r="F2083" i="14"/>
  <c r="E2082" i="14"/>
  <c r="E2085" i="14" s="1"/>
  <c r="E2083" i="14"/>
  <c r="M2036" i="14"/>
  <c r="M2039" i="14" s="1"/>
  <c r="M2037" i="14"/>
  <c r="L2036" i="14"/>
  <c r="L2039" i="14" s="1"/>
  <c r="L2037" i="14"/>
  <c r="K2036" i="14"/>
  <c r="K2039" i="14" s="1"/>
  <c r="K2037" i="14"/>
  <c r="J2036" i="14"/>
  <c r="J2039" i="14" s="1"/>
  <c r="J2037" i="14"/>
  <c r="I2036" i="14"/>
  <c r="I2039" i="14" s="1"/>
  <c r="I2037" i="14"/>
  <c r="H2036" i="14"/>
  <c r="H2039" i="14" s="1"/>
  <c r="H2037" i="14"/>
  <c r="G2036" i="14"/>
  <c r="G2039" i="14" s="1"/>
  <c r="G2037" i="14"/>
  <c r="F2036" i="14"/>
  <c r="F2039" i="14" s="1"/>
  <c r="F2037" i="14"/>
  <c r="E2036" i="14"/>
  <c r="E2039" i="14" s="1"/>
  <c r="E2037" i="14"/>
  <c r="M1990" i="14"/>
  <c r="M1993" i="14" s="1"/>
  <c r="M1991" i="14"/>
  <c r="L1990" i="14"/>
  <c r="L1993" i="14" s="1"/>
  <c r="L1991" i="14"/>
  <c r="K1990" i="14"/>
  <c r="K1993" i="14" s="1"/>
  <c r="K1991" i="14"/>
  <c r="J1990" i="14"/>
  <c r="J1993" i="14" s="1"/>
  <c r="J1991" i="14"/>
  <c r="I1990" i="14"/>
  <c r="I1993" i="14" s="1"/>
  <c r="I1991" i="14"/>
  <c r="H1990" i="14"/>
  <c r="H1993" i="14" s="1"/>
  <c r="H1991" i="14"/>
  <c r="G1990" i="14"/>
  <c r="G1993" i="14" s="1"/>
  <c r="G1991" i="14"/>
  <c r="F1990" i="14"/>
  <c r="F1993" i="14" s="1"/>
  <c r="F1991" i="14"/>
  <c r="E1990" i="14"/>
  <c r="E1993" i="14" s="1"/>
  <c r="E1991" i="14"/>
  <c r="M1944" i="14"/>
  <c r="M1947" i="14" s="1"/>
  <c r="M1945" i="14"/>
  <c r="L1944" i="14"/>
  <c r="L1947" i="14" s="1"/>
  <c r="L1945" i="14"/>
  <c r="K1944" i="14"/>
  <c r="K1947" i="14" s="1"/>
  <c r="K1945" i="14"/>
  <c r="J1944" i="14"/>
  <c r="J1947" i="14" s="1"/>
  <c r="J1945" i="14"/>
  <c r="I1944" i="14"/>
  <c r="I1947" i="14" s="1"/>
  <c r="I1945" i="14"/>
  <c r="H1944" i="14"/>
  <c r="H1947" i="14" s="1"/>
  <c r="H1945" i="14"/>
  <c r="G1944" i="14"/>
  <c r="G1947" i="14" s="1"/>
  <c r="G1945" i="14"/>
  <c r="F1944" i="14"/>
  <c r="F1947" i="14" s="1"/>
  <c r="F1945" i="14"/>
  <c r="E1944" i="14"/>
  <c r="E1947" i="14" s="1"/>
  <c r="E1945" i="14"/>
  <c r="L1898" i="14"/>
  <c r="L1901" i="14" s="1"/>
  <c r="L1899" i="14"/>
  <c r="K1898" i="14"/>
  <c r="K1901" i="14" s="1"/>
  <c r="K1899" i="14"/>
  <c r="J1898" i="14"/>
  <c r="J1901" i="14" s="1"/>
  <c r="J1899" i="14"/>
  <c r="I1898" i="14"/>
  <c r="I1901" i="14" s="1"/>
  <c r="I1899" i="14"/>
  <c r="H1898" i="14"/>
  <c r="H1901" i="14" s="1"/>
  <c r="H1899" i="14"/>
  <c r="G1898" i="14"/>
  <c r="G1901" i="14" s="1"/>
  <c r="G1899" i="14"/>
  <c r="F1898" i="14"/>
  <c r="F1901" i="14" s="1"/>
  <c r="F1899" i="14"/>
  <c r="E1898" i="14"/>
  <c r="E1901" i="14" s="1"/>
  <c r="E1899" i="14"/>
  <c r="M1852" i="14"/>
  <c r="M1855" i="14" s="1"/>
  <c r="M1853" i="14"/>
  <c r="L1852" i="14"/>
  <c r="L1855" i="14" s="1"/>
  <c r="L1853" i="14"/>
  <c r="K1852" i="14"/>
  <c r="K1855" i="14" s="1"/>
  <c r="K1853" i="14"/>
  <c r="J1852" i="14"/>
  <c r="J1855" i="14" s="1"/>
  <c r="J1853" i="14"/>
  <c r="I1852" i="14"/>
  <c r="I1855" i="14" s="1"/>
  <c r="I1853" i="14"/>
  <c r="H1852" i="14"/>
  <c r="H1855" i="14" s="1"/>
  <c r="H1853" i="14"/>
  <c r="G1852" i="14"/>
  <c r="G1855" i="14" s="1"/>
  <c r="G1853" i="14"/>
  <c r="F1852" i="14"/>
  <c r="F1855" i="14" s="1"/>
  <c r="F1853" i="14"/>
  <c r="E1852" i="14"/>
  <c r="E1855" i="14" s="1"/>
  <c r="E1853" i="14"/>
  <c r="M1806" i="14"/>
  <c r="M1809" i="14" s="1"/>
  <c r="M1807" i="14"/>
  <c r="L1806" i="14"/>
  <c r="L1809" i="14" s="1"/>
  <c r="L1807" i="14"/>
  <c r="K1806" i="14"/>
  <c r="K1809" i="14" s="1"/>
  <c r="K1807" i="14"/>
  <c r="J1806" i="14"/>
  <c r="J1809" i="14" s="1"/>
  <c r="J1807" i="14"/>
  <c r="I1806" i="14"/>
  <c r="I1809" i="14" s="1"/>
  <c r="I1807" i="14"/>
  <c r="H1806" i="14"/>
  <c r="H1809" i="14" s="1"/>
  <c r="H1807" i="14"/>
  <c r="G1806" i="14"/>
  <c r="G1809" i="14" s="1"/>
  <c r="G1807" i="14"/>
  <c r="F1806" i="14"/>
  <c r="F1809" i="14" s="1"/>
  <c r="F1807" i="14"/>
  <c r="E1806" i="14"/>
  <c r="E1809" i="14" s="1"/>
  <c r="E1807" i="14"/>
  <c r="M1760" i="14"/>
  <c r="M1763" i="14" s="1"/>
  <c r="M1761" i="14"/>
  <c r="L1760" i="14"/>
  <c r="L1763" i="14" s="1"/>
  <c r="L1761" i="14"/>
  <c r="K1760" i="14"/>
  <c r="K1763" i="14" s="1"/>
  <c r="K1761" i="14"/>
  <c r="J1760" i="14"/>
  <c r="J1763" i="14" s="1"/>
  <c r="J1761" i="14"/>
  <c r="I1760" i="14"/>
  <c r="I1763" i="14" s="1"/>
  <c r="I1761" i="14"/>
  <c r="H1760" i="14"/>
  <c r="H1763" i="14" s="1"/>
  <c r="H1761" i="14"/>
  <c r="G1760" i="14"/>
  <c r="G1763" i="14" s="1"/>
  <c r="G1761" i="14"/>
  <c r="F1760" i="14"/>
  <c r="F1763" i="14" s="1"/>
  <c r="F1761" i="14"/>
  <c r="E1760" i="14"/>
  <c r="E1763" i="14" s="1"/>
  <c r="E1761" i="14"/>
  <c r="M1714" i="14"/>
  <c r="M1717" i="14" s="1"/>
  <c r="M1715" i="14"/>
  <c r="L1714" i="14"/>
  <c r="L1717" i="14" s="1"/>
  <c r="L1715" i="14"/>
  <c r="K1714" i="14"/>
  <c r="K1717" i="14" s="1"/>
  <c r="K1715" i="14"/>
  <c r="J1714" i="14"/>
  <c r="J1717" i="14" s="1"/>
  <c r="J1715" i="14"/>
  <c r="I1714" i="14"/>
  <c r="I1717" i="14" s="1"/>
  <c r="I1715" i="14"/>
  <c r="H1714" i="14"/>
  <c r="H1717" i="14" s="1"/>
  <c r="H1715" i="14"/>
  <c r="G1714" i="14"/>
  <c r="G1717" i="14" s="1"/>
  <c r="G1715" i="14"/>
  <c r="F1714" i="14"/>
  <c r="F1717" i="14" s="1"/>
  <c r="F1715" i="14"/>
  <c r="E1714" i="14"/>
  <c r="E1717" i="14" s="1"/>
  <c r="E1715" i="14"/>
  <c r="M1668" i="14"/>
  <c r="M1671" i="14" s="1"/>
  <c r="M1669" i="14"/>
  <c r="L1668" i="14"/>
  <c r="L1671" i="14" s="1"/>
  <c r="L1669" i="14"/>
  <c r="K1668" i="14"/>
  <c r="K1671" i="14" s="1"/>
  <c r="K1669" i="14"/>
  <c r="J1668" i="14"/>
  <c r="J1671" i="14" s="1"/>
  <c r="J1669" i="14"/>
  <c r="I1668" i="14"/>
  <c r="I1671" i="14" s="1"/>
  <c r="I1669" i="14"/>
  <c r="H1668" i="14"/>
  <c r="H1671" i="14" s="1"/>
  <c r="H1669" i="14"/>
  <c r="G1668" i="14"/>
  <c r="G1671" i="14" s="1"/>
  <c r="G1669" i="14"/>
  <c r="F1668" i="14"/>
  <c r="F1671" i="14" s="1"/>
  <c r="F1669" i="14"/>
  <c r="E1668" i="14"/>
  <c r="E1671" i="14" s="1"/>
  <c r="E1669" i="14"/>
  <c r="M1622" i="14"/>
  <c r="M1625" i="14" s="1"/>
  <c r="M1623" i="14"/>
  <c r="L1622" i="14"/>
  <c r="L1625" i="14" s="1"/>
  <c r="L1623" i="14"/>
  <c r="K1622" i="14"/>
  <c r="K1625" i="14" s="1"/>
  <c r="K1623" i="14"/>
  <c r="J1622" i="14"/>
  <c r="J1625" i="14" s="1"/>
  <c r="J1623" i="14"/>
  <c r="I1622" i="14"/>
  <c r="I1625" i="14" s="1"/>
  <c r="I1623" i="14"/>
  <c r="H1622" i="14"/>
  <c r="H1625" i="14" s="1"/>
  <c r="H1623" i="14"/>
  <c r="G1622" i="14"/>
  <c r="G1625" i="14" s="1"/>
  <c r="G1623" i="14"/>
  <c r="F1622" i="14"/>
  <c r="F1625" i="14" s="1"/>
  <c r="F1623" i="14"/>
  <c r="E1622" i="14"/>
  <c r="E1625" i="14" s="1"/>
  <c r="E1623" i="14"/>
  <c r="L1576" i="14"/>
  <c r="L1579" i="14" s="1"/>
  <c r="L1577" i="14"/>
  <c r="K1576" i="14"/>
  <c r="K1579" i="14" s="1"/>
  <c r="K1577" i="14"/>
  <c r="J1576" i="14"/>
  <c r="J1579" i="14" s="1"/>
  <c r="J1577" i="14"/>
  <c r="I1576" i="14"/>
  <c r="I1579" i="14" s="1"/>
  <c r="I1577" i="14"/>
  <c r="H1576" i="14"/>
  <c r="H1579" i="14" s="1"/>
  <c r="H1577" i="14"/>
  <c r="G1576" i="14"/>
  <c r="G1579" i="14" s="1"/>
  <c r="G1577" i="14"/>
  <c r="F1576" i="14"/>
  <c r="F1579" i="14" s="1"/>
  <c r="F1577" i="14"/>
  <c r="E1576" i="14"/>
  <c r="E1579" i="14" s="1"/>
  <c r="E1577" i="14"/>
  <c r="M1530" i="14"/>
  <c r="M1533" i="14" s="1"/>
  <c r="M1531" i="14"/>
  <c r="L1530" i="14"/>
  <c r="L1533" i="14" s="1"/>
  <c r="L1531" i="14"/>
  <c r="K1530" i="14"/>
  <c r="K1533" i="14" s="1"/>
  <c r="K1531" i="14"/>
  <c r="J1530" i="14"/>
  <c r="J1533" i="14" s="1"/>
  <c r="J1531" i="14"/>
  <c r="I1530" i="14"/>
  <c r="I1533" i="14" s="1"/>
  <c r="I1531" i="14"/>
  <c r="H1530" i="14"/>
  <c r="H1533" i="14" s="1"/>
  <c r="H1531" i="14"/>
  <c r="G1530" i="14"/>
  <c r="G1533" i="14" s="1"/>
  <c r="G1531" i="14"/>
  <c r="F1530" i="14"/>
  <c r="F1533" i="14" s="1"/>
  <c r="F1531" i="14"/>
  <c r="E1530" i="14"/>
  <c r="E1533" i="14" s="1"/>
  <c r="E1531" i="14"/>
  <c r="M1484" i="14"/>
  <c r="M1487" i="14" s="1"/>
  <c r="M1485" i="14"/>
  <c r="L1484" i="14"/>
  <c r="L1487" i="14" s="1"/>
  <c r="L1485" i="14"/>
  <c r="K1484" i="14"/>
  <c r="K1487" i="14" s="1"/>
  <c r="K1485" i="14"/>
  <c r="J1484" i="14"/>
  <c r="J1487" i="14" s="1"/>
  <c r="J1485" i="14"/>
  <c r="I1484" i="14"/>
  <c r="I1487" i="14" s="1"/>
  <c r="I1485" i="14"/>
  <c r="H1484" i="14"/>
  <c r="H1487" i="14" s="1"/>
  <c r="H1485" i="14"/>
  <c r="G1484" i="14"/>
  <c r="G1487" i="14" s="1"/>
  <c r="G1485" i="14"/>
  <c r="F1484" i="14"/>
  <c r="F1487" i="14" s="1"/>
  <c r="F1485" i="14"/>
  <c r="E1484" i="14"/>
  <c r="E1487" i="14" s="1"/>
  <c r="E1485" i="14"/>
  <c r="M1438" i="14"/>
  <c r="M1441" i="14" s="1"/>
  <c r="M1439" i="14"/>
  <c r="L1438" i="14"/>
  <c r="L1441" i="14" s="1"/>
  <c r="L1439" i="14"/>
  <c r="K1438" i="14"/>
  <c r="K1441" i="14" s="1"/>
  <c r="K1439" i="14"/>
  <c r="J1438" i="14"/>
  <c r="J1441" i="14" s="1"/>
  <c r="J1439" i="14"/>
  <c r="I1438" i="14"/>
  <c r="I1441" i="14" s="1"/>
  <c r="I1439" i="14"/>
  <c r="H1438" i="14"/>
  <c r="H1441" i="14" s="1"/>
  <c r="H1439" i="14"/>
  <c r="G1438" i="14"/>
  <c r="G1441" i="14" s="1"/>
  <c r="G1439" i="14"/>
  <c r="F1438" i="14"/>
  <c r="F1441" i="14" s="1"/>
  <c r="F1439" i="14"/>
  <c r="E1438" i="14"/>
  <c r="E1441" i="14" s="1"/>
  <c r="E1439" i="14"/>
  <c r="M1392" i="14"/>
  <c r="M1395" i="14" s="1"/>
  <c r="M1393" i="14"/>
  <c r="L1392" i="14"/>
  <c r="L1395" i="14" s="1"/>
  <c r="L1393" i="14"/>
  <c r="K1392" i="14"/>
  <c r="K1395" i="14" s="1"/>
  <c r="K1393" i="14"/>
  <c r="J1392" i="14"/>
  <c r="J1395" i="14" s="1"/>
  <c r="J1393" i="14"/>
  <c r="I1392" i="14"/>
  <c r="I1395" i="14" s="1"/>
  <c r="I1393" i="14"/>
  <c r="H1392" i="14"/>
  <c r="H1395" i="14" s="1"/>
  <c r="H1393" i="14"/>
  <c r="G1392" i="14"/>
  <c r="G1395" i="14" s="1"/>
  <c r="G1393" i="14"/>
  <c r="F1392" i="14"/>
  <c r="F1395" i="14" s="1"/>
  <c r="F1393" i="14"/>
  <c r="E1392" i="14"/>
  <c r="E1395" i="14" s="1"/>
  <c r="E1393" i="14"/>
  <c r="M1346" i="14"/>
  <c r="M1349" i="14" s="1"/>
  <c r="M1347" i="14"/>
  <c r="L1346" i="14"/>
  <c r="L1349" i="14" s="1"/>
  <c r="L1347" i="14"/>
  <c r="K1346" i="14"/>
  <c r="K1349" i="14" s="1"/>
  <c r="K1347" i="14"/>
  <c r="J1346" i="14"/>
  <c r="J1349" i="14" s="1"/>
  <c r="J1347" i="14"/>
  <c r="I1346" i="14"/>
  <c r="I1349" i="14" s="1"/>
  <c r="I1347" i="14"/>
  <c r="H1346" i="14"/>
  <c r="H1349" i="14" s="1"/>
  <c r="H1347" i="14"/>
  <c r="G1346" i="14"/>
  <c r="G1349" i="14" s="1"/>
  <c r="G1347" i="14"/>
  <c r="F1346" i="14"/>
  <c r="F1349" i="14" s="1"/>
  <c r="F1347" i="14"/>
  <c r="E1346" i="14"/>
  <c r="E1349" i="14" s="1"/>
  <c r="E1347" i="14"/>
  <c r="M1300" i="14"/>
  <c r="M1303" i="14" s="1"/>
  <c r="M1301" i="14"/>
  <c r="L1300" i="14"/>
  <c r="L1303" i="14" s="1"/>
  <c r="L1301" i="14"/>
  <c r="K1300" i="14"/>
  <c r="K1303" i="14" s="1"/>
  <c r="K1301" i="14"/>
  <c r="J1300" i="14"/>
  <c r="J1303" i="14" s="1"/>
  <c r="J1301" i="14"/>
  <c r="I1300" i="14"/>
  <c r="I1303" i="14" s="1"/>
  <c r="I1301" i="14"/>
  <c r="H1300" i="14"/>
  <c r="H1303" i="14" s="1"/>
  <c r="H1301" i="14"/>
  <c r="G1300" i="14"/>
  <c r="G1303" i="14" s="1"/>
  <c r="G1301" i="14"/>
  <c r="F1300" i="14"/>
  <c r="F1303" i="14" s="1"/>
  <c r="F1301" i="14"/>
  <c r="E1300" i="14"/>
  <c r="E1303" i="14" s="1"/>
  <c r="E1301" i="14"/>
  <c r="L1254" i="14"/>
  <c r="L1257" i="14" s="1"/>
  <c r="L1255" i="14"/>
  <c r="K1254" i="14"/>
  <c r="K1257" i="14" s="1"/>
  <c r="K1255" i="14"/>
  <c r="J1254" i="14"/>
  <c r="J1257" i="14" s="1"/>
  <c r="J1255" i="14"/>
  <c r="I1254" i="14"/>
  <c r="I1257" i="14" s="1"/>
  <c r="I1255" i="14"/>
  <c r="H1254" i="14"/>
  <c r="H1257" i="14" s="1"/>
  <c r="H1255" i="14"/>
  <c r="G1254" i="14"/>
  <c r="G1257" i="14" s="1"/>
  <c r="G1255" i="14"/>
  <c r="F1254" i="14"/>
  <c r="F1257" i="14" s="1"/>
  <c r="F1255" i="14"/>
  <c r="E1254" i="14"/>
  <c r="E1257" i="14" s="1"/>
  <c r="E1255" i="14"/>
  <c r="M1208" i="14"/>
  <c r="M1211" i="14" s="1"/>
  <c r="M1209" i="14"/>
  <c r="L1208" i="14"/>
  <c r="L1211" i="14" s="1"/>
  <c r="L1209" i="14"/>
  <c r="K1208" i="14"/>
  <c r="K1211" i="14" s="1"/>
  <c r="K1209" i="14"/>
  <c r="J1208" i="14"/>
  <c r="J1211" i="14" s="1"/>
  <c r="J1209" i="14"/>
  <c r="I1208" i="14"/>
  <c r="I1211" i="14" s="1"/>
  <c r="I1209" i="14"/>
  <c r="H1208" i="14"/>
  <c r="H1211" i="14" s="1"/>
  <c r="H1209" i="14"/>
  <c r="G1208" i="14"/>
  <c r="G1211" i="14" s="1"/>
  <c r="G1209" i="14"/>
  <c r="F1208" i="14"/>
  <c r="F1211" i="14" s="1"/>
  <c r="F1209" i="14"/>
  <c r="E1208" i="14"/>
  <c r="E1211" i="14" s="1"/>
  <c r="E1209" i="14"/>
  <c r="M1162" i="14"/>
  <c r="M1165" i="14" s="1"/>
  <c r="M1163" i="14"/>
  <c r="L1162" i="14"/>
  <c r="L1165" i="14" s="1"/>
  <c r="L1163" i="14"/>
  <c r="K1162" i="14"/>
  <c r="K1165" i="14" s="1"/>
  <c r="K1163" i="14"/>
  <c r="J1162" i="14"/>
  <c r="J1165" i="14" s="1"/>
  <c r="J1163" i="14"/>
  <c r="I1162" i="14"/>
  <c r="I1165" i="14" s="1"/>
  <c r="I1163" i="14"/>
  <c r="H1162" i="14"/>
  <c r="H1165" i="14" s="1"/>
  <c r="H1163" i="14"/>
  <c r="G1162" i="14"/>
  <c r="G1165" i="14" s="1"/>
  <c r="G1163" i="14"/>
  <c r="F1162" i="14"/>
  <c r="F1165" i="14" s="1"/>
  <c r="F1163" i="14"/>
  <c r="E1162" i="14"/>
  <c r="E1165" i="14" s="1"/>
  <c r="E1163" i="14"/>
  <c r="M1116" i="14"/>
  <c r="M1119" i="14" s="1"/>
  <c r="M1117" i="14"/>
  <c r="L1116" i="14"/>
  <c r="L1119" i="14" s="1"/>
  <c r="L1117" i="14"/>
  <c r="K1116" i="14"/>
  <c r="K1119" i="14" s="1"/>
  <c r="K1117" i="14"/>
  <c r="J1116" i="14"/>
  <c r="J1119" i="14" s="1"/>
  <c r="J1117" i="14"/>
  <c r="I1116" i="14"/>
  <c r="I1119" i="14" s="1"/>
  <c r="I1117" i="14"/>
  <c r="H1116" i="14"/>
  <c r="H1119" i="14" s="1"/>
  <c r="H1117" i="14"/>
  <c r="G1116" i="14"/>
  <c r="G1119" i="14" s="1"/>
  <c r="G1117" i="14"/>
  <c r="F1116" i="14"/>
  <c r="F1119" i="14" s="1"/>
  <c r="F1117" i="14"/>
  <c r="E1116" i="14"/>
  <c r="E1119" i="14" s="1"/>
  <c r="E1117" i="14"/>
  <c r="M1070" i="14"/>
  <c r="M1073" i="14" s="1"/>
  <c r="M1071" i="14"/>
  <c r="L1070" i="14"/>
  <c r="L1073" i="14" s="1"/>
  <c r="L1071" i="14"/>
  <c r="K1070" i="14"/>
  <c r="K1073" i="14" s="1"/>
  <c r="K1071" i="14"/>
  <c r="J1070" i="14"/>
  <c r="J1073" i="14" s="1"/>
  <c r="J1071" i="14"/>
  <c r="I1070" i="14"/>
  <c r="I1073" i="14" s="1"/>
  <c r="I1071" i="14"/>
  <c r="H1070" i="14"/>
  <c r="H1073" i="14" s="1"/>
  <c r="H1071" i="14"/>
  <c r="G1070" i="14"/>
  <c r="G1073" i="14" s="1"/>
  <c r="G1071" i="14"/>
  <c r="F1070" i="14"/>
  <c r="F1073" i="14" s="1"/>
  <c r="F1071" i="14"/>
  <c r="E1070" i="14"/>
  <c r="E1073" i="14" s="1"/>
  <c r="E1071" i="14"/>
  <c r="M1024" i="14"/>
  <c r="M1027" i="14" s="1"/>
  <c r="M1025" i="14"/>
  <c r="L1024" i="14"/>
  <c r="L1027" i="14" s="1"/>
  <c r="L1025" i="14"/>
  <c r="K1024" i="14"/>
  <c r="K1027" i="14" s="1"/>
  <c r="K1025" i="14"/>
  <c r="J1024" i="14"/>
  <c r="J1027" i="14" s="1"/>
  <c r="J1025" i="14"/>
  <c r="I1024" i="14"/>
  <c r="I1027" i="14" s="1"/>
  <c r="I1025" i="14"/>
  <c r="H1024" i="14"/>
  <c r="H1027" i="14" s="1"/>
  <c r="H1025" i="14"/>
  <c r="G1024" i="14"/>
  <c r="G1027" i="14" s="1"/>
  <c r="G1025" i="14"/>
  <c r="F1024" i="14"/>
  <c r="F1027" i="14" s="1"/>
  <c r="F1025" i="14"/>
  <c r="E1024" i="14"/>
  <c r="E1027" i="14" s="1"/>
  <c r="E1025" i="14"/>
  <c r="M978" i="14"/>
  <c r="M981" i="14" s="1"/>
  <c r="M979" i="14"/>
  <c r="L978" i="14"/>
  <c r="L981" i="14" s="1"/>
  <c r="L979" i="14"/>
  <c r="K978" i="14"/>
  <c r="K981" i="14" s="1"/>
  <c r="K979" i="14"/>
  <c r="J978" i="14"/>
  <c r="J981" i="14" s="1"/>
  <c r="J979" i="14"/>
  <c r="I978" i="14"/>
  <c r="I981" i="14" s="1"/>
  <c r="I979" i="14"/>
  <c r="H978" i="14"/>
  <c r="H981" i="14" s="1"/>
  <c r="H979" i="14"/>
  <c r="G978" i="14"/>
  <c r="G981" i="14" s="1"/>
  <c r="G979" i="14"/>
  <c r="F978" i="14"/>
  <c r="F981" i="14" s="1"/>
  <c r="F979" i="14"/>
  <c r="E978" i="14"/>
  <c r="E981" i="14" s="1"/>
  <c r="E979" i="14"/>
  <c r="M932" i="14"/>
  <c r="M935" i="14" s="1"/>
  <c r="M933" i="14"/>
  <c r="L932" i="14"/>
  <c r="L935" i="14" s="1"/>
  <c r="L933" i="14"/>
  <c r="K932" i="14"/>
  <c r="K935" i="14" s="1"/>
  <c r="K933" i="14"/>
  <c r="J932" i="14"/>
  <c r="J935" i="14" s="1"/>
  <c r="J933" i="14"/>
  <c r="I932" i="14"/>
  <c r="I935" i="14" s="1"/>
  <c r="I933" i="14"/>
  <c r="H932" i="14"/>
  <c r="H935" i="14" s="1"/>
  <c r="H933" i="14"/>
  <c r="G932" i="14"/>
  <c r="G935" i="14" s="1"/>
  <c r="G933" i="14"/>
  <c r="F932" i="14"/>
  <c r="F935" i="14" s="1"/>
  <c r="F933" i="14"/>
  <c r="E932" i="14"/>
  <c r="E935" i="14" s="1"/>
  <c r="E933" i="14"/>
  <c r="M886" i="14"/>
  <c r="M889" i="14" s="1"/>
  <c r="M887" i="14"/>
  <c r="L886" i="14"/>
  <c r="L889" i="14" s="1"/>
  <c r="L887" i="14"/>
  <c r="K886" i="14"/>
  <c r="K889" i="14" s="1"/>
  <c r="K887" i="14"/>
  <c r="J886" i="14"/>
  <c r="J889" i="14" s="1"/>
  <c r="J887" i="14"/>
  <c r="I886" i="14"/>
  <c r="I889" i="14" s="1"/>
  <c r="I887" i="14"/>
  <c r="H886" i="14"/>
  <c r="H889" i="14" s="1"/>
  <c r="H887" i="14"/>
  <c r="G886" i="14"/>
  <c r="G889" i="14" s="1"/>
  <c r="G887" i="14"/>
  <c r="F886" i="14"/>
  <c r="F889" i="14" s="1"/>
  <c r="F887" i="14"/>
  <c r="E886" i="14"/>
  <c r="E889" i="14" s="1"/>
  <c r="E887" i="14"/>
  <c r="M840" i="14"/>
  <c r="M843" i="14" s="1"/>
  <c r="M841" i="14"/>
  <c r="L840" i="14"/>
  <c r="L843" i="14" s="1"/>
  <c r="L841" i="14"/>
  <c r="K840" i="14"/>
  <c r="K843" i="14" s="1"/>
  <c r="K841" i="14"/>
  <c r="J840" i="14"/>
  <c r="J843" i="14" s="1"/>
  <c r="J841" i="14"/>
  <c r="I840" i="14"/>
  <c r="I843" i="14" s="1"/>
  <c r="I841" i="14"/>
  <c r="H840" i="14"/>
  <c r="H843" i="14" s="1"/>
  <c r="H841" i="14"/>
  <c r="G840" i="14"/>
  <c r="G843" i="14" s="1"/>
  <c r="G841" i="14"/>
  <c r="F840" i="14"/>
  <c r="F843" i="14" s="1"/>
  <c r="F841" i="14"/>
  <c r="E840" i="14"/>
  <c r="E843" i="14" s="1"/>
  <c r="E841" i="14"/>
  <c r="M794" i="14"/>
  <c r="M797" i="14" s="1"/>
  <c r="M795" i="14"/>
  <c r="L794" i="14"/>
  <c r="L797" i="14" s="1"/>
  <c r="L795" i="14"/>
  <c r="K794" i="14"/>
  <c r="K797" i="14" s="1"/>
  <c r="K795" i="14"/>
  <c r="J794" i="14"/>
  <c r="J797" i="14" s="1"/>
  <c r="J795" i="14"/>
  <c r="I794" i="14"/>
  <c r="I797" i="14" s="1"/>
  <c r="I795" i="14"/>
  <c r="H794" i="14"/>
  <c r="H797" i="14" s="1"/>
  <c r="H795" i="14"/>
  <c r="G794" i="14"/>
  <c r="G797" i="14" s="1"/>
  <c r="G795" i="14"/>
  <c r="F794" i="14"/>
  <c r="F797" i="14" s="1"/>
  <c r="F795" i="14"/>
  <c r="M748" i="14"/>
  <c r="M751" i="14" s="1"/>
  <c r="M749" i="14"/>
  <c r="L748" i="14"/>
  <c r="L751" i="14" s="1"/>
  <c r="L749" i="14"/>
  <c r="K748" i="14"/>
  <c r="K751" i="14" s="1"/>
  <c r="K749" i="14"/>
  <c r="J748" i="14"/>
  <c r="J751" i="14" s="1"/>
  <c r="J749" i="14"/>
  <c r="I748" i="14"/>
  <c r="I751" i="14" s="1"/>
  <c r="I749" i="14"/>
  <c r="H748" i="14"/>
  <c r="H751" i="14" s="1"/>
  <c r="H749" i="14"/>
  <c r="G748" i="14"/>
  <c r="G751" i="14" s="1"/>
  <c r="G749" i="14"/>
  <c r="E748" i="14"/>
  <c r="E751" i="14" s="1"/>
  <c r="E749" i="14"/>
  <c r="M702" i="14"/>
  <c r="M705" i="14" s="1"/>
  <c r="M703" i="14"/>
  <c r="L702" i="14"/>
  <c r="L705" i="14" s="1"/>
  <c r="L703" i="14"/>
  <c r="K702" i="14"/>
  <c r="K705" i="14" s="1"/>
  <c r="K703" i="14"/>
  <c r="J702" i="14"/>
  <c r="J705" i="14" s="1"/>
  <c r="J703" i="14"/>
  <c r="I702" i="14"/>
  <c r="I705" i="14" s="1"/>
  <c r="I703" i="14"/>
  <c r="H702" i="14"/>
  <c r="H705" i="14" s="1"/>
  <c r="H703" i="14"/>
  <c r="G702" i="14"/>
  <c r="G705" i="14" s="1"/>
  <c r="G703" i="14"/>
  <c r="F702" i="14"/>
  <c r="F705" i="14" s="1"/>
  <c r="F703" i="14"/>
  <c r="E702" i="14"/>
  <c r="E705" i="14" s="1"/>
  <c r="E703" i="14"/>
  <c r="M656" i="14"/>
  <c r="M659" i="14" s="1"/>
  <c r="M657" i="14"/>
  <c r="L656" i="14"/>
  <c r="L659" i="14" s="1"/>
  <c r="L657" i="14"/>
  <c r="K656" i="14"/>
  <c r="K659" i="14" s="1"/>
  <c r="K657" i="14"/>
  <c r="J656" i="14"/>
  <c r="J659" i="14" s="1"/>
  <c r="J657" i="14"/>
  <c r="I656" i="14"/>
  <c r="I659" i="14" s="1"/>
  <c r="I657" i="14"/>
  <c r="H656" i="14"/>
  <c r="H659" i="14" s="1"/>
  <c r="H657" i="14"/>
  <c r="G656" i="14"/>
  <c r="G659" i="14" s="1"/>
  <c r="G657" i="14"/>
  <c r="F656" i="14"/>
  <c r="F659" i="14" s="1"/>
  <c r="F657" i="14"/>
  <c r="E656" i="14"/>
  <c r="E659" i="14" s="1"/>
  <c r="E657" i="14"/>
  <c r="M610" i="14"/>
  <c r="M613" i="14" s="1"/>
  <c r="M611" i="14"/>
  <c r="L610" i="14"/>
  <c r="L613" i="14" s="1"/>
  <c r="L611" i="14"/>
  <c r="K610" i="14"/>
  <c r="K613" i="14" s="1"/>
  <c r="K611" i="14"/>
  <c r="J610" i="14"/>
  <c r="J613" i="14" s="1"/>
  <c r="J611" i="14"/>
  <c r="I610" i="14"/>
  <c r="I613" i="14" s="1"/>
  <c r="I611" i="14"/>
  <c r="H610" i="14"/>
  <c r="H613" i="14" s="1"/>
  <c r="H611" i="14"/>
  <c r="G610" i="14"/>
  <c r="G613" i="14" s="1"/>
  <c r="G611" i="14"/>
  <c r="F610" i="14"/>
  <c r="F613" i="14" s="1"/>
  <c r="F611" i="14"/>
  <c r="E610" i="14"/>
  <c r="E613" i="14" s="1"/>
  <c r="E611" i="14"/>
  <c r="M564" i="14"/>
  <c r="M567" i="14" s="1"/>
  <c r="M565" i="14"/>
  <c r="L564" i="14"/>
  <c r="L567" i="14" s="1"/>
  <c r="L565" i="14"/>
  <c r="K564" i="14"/>
  <c r="K567" i="14" s="1"/>
  <c r="K565" i="14"/>
  <c r="J564" i="14"/>
  <c r="J567" i="14" s="1"/>
  <c r="J565" i="14"/>
  <c r="I564" i="14"/>
  <c r="I567" i="14" s="1"/>
  <c r="I565" i="14"/>
  <c r="H564" i="14"/>
  <c r="H567" i="14" s="1"/>
  <c r="H565" i="14"/>
  <c r="G564" i="14"/>
  <c r="G567" i="14" s="1"/>
  <c r="G565" i="14"/>
  <c r="F564" i="14"/>
  <c r="F567" i="14" s="1"/>
  <c r="F565" i="14"/>
  <c r="E564" i="14"/>
  <c r="E567" i="14" s="1"/>
  <c r="E565" i="14"/>
  <c r="M518" i="14"/>
  <c r="M521" i="14" s="1"/>
  <c r="M519" i="14"/>
  <c r="L518" i="14"/>
  <c r="L521" i="14" s="1"/>
  <c r="L519" i="14"/>
  <c r="K518" i="14"/>
  <c r="K521" i="14" s="1"/>
  <c r="K519" i="14"/>
  <c r="J518" i="14"/>
  <c r="J521" i="14" s="1"/>
  <c r="J519" i="14"/>
  <c r="I518" i="14"/>
  <c r="I521" i="14" s="1"/>
  <c r="I519" i="14"/>
  <c r="H518" i="14"/>
  <c r="H521" i="14" s="1"/>
  <c r="H519" i="14"/>
  <c r="G518" i="14"/>
  <c r="G521" i="14" s="1"/>
  <c r="G519" i="14"/>
  <c r="F518" i="14"/>
  <c r="F521" i="14" s="1"/>
  <c r="F519" i="14"/>
  <c r="E518" i="14"/>
  <c r="E521" i="14" s="1"/>
  <c r="E519" i="14"/>
  <c r="J520" i="14" s="1"/>
  <c r="J524" i="14" s="1"/>
  <c r="M472" i="14"/>
  <c r="M475" i="14" s="1"/>
  <c r="M473" i="14"/>
  <c r="L472" i="14"/>
  <c r="L475" i="14" s="1"/>
  <c r="L473" i="14"/>
  <c r="K472" i="14"/>
  <c r="K475" i="14" s="1"/>
  <c r="K473" i="14"/>
  <c r="J472" i="14"/>
  <c r="J475" i="14" s="1"/>
  <c r="J473" i="14"/>
  <c r="I472" i="14"/>
  <c r="I475" i="14" s="1"/>
  <c r="I473" i="14"/>
  <c r="H472" i="14"/>
  <c r="H475" i="14" s="1"/>
  <c r="H473" i="14"/>
  <c r="G472" i="14"/>
  <c r="G475" i="14" s="1"/>
  <c r="G473" i="14"/>
  <c r="F472" i="14"/>
  <c r="F475" i="14" s="1"/>
  <c r="F473" i="14"/>
  <c r="E472" i="14"/>
  <c r="E475" i="14" s="1"/>
  <c r="E473" i="14"/>
  <c r="M426" i="14"/>
  <c r="M429" i="14" s="1"/>
  <c r="M427" i="14"/>
  <c r="L426" i="14"/>
  <c r="L429" i="14" s="1"/>
  <c r="L427" i="14"/>
  <c r="K426" i="14"/>
  <c r="K429" i="14" s="1"/>
  <c r="K427" i="14"/>
  <c r="J426" i="14"/>
  <c r="J429" i="14" s="1"/>
  <c r="J427" i="14"/>
  <c r="I426" i="14"/>
  <c r="I429" i="14" s="1"/>
  <c r="I427" i="14"/>
  <c r="H426" i="14"/>
  <c r="H429" i="14" s="1"/>
  <c r="H427" i="14"/>
  <c r="G426" i="14"/>
  <c r="G429" i="14" s="1"/>
  <c r="G427" i="14"/>
  <c r="F426" i="14"/>
  <c r="F429" i="14" s="1"/>
  <c r="F427" i="14"/>
  <c r="E426" i="14"/>
  <c r="E429" i="14" s="1"/>
  <c r="E427" i="14"/>
  <c r="M380" i="14"/>
  <c r="M383" i="14" s="1"/>
  <c r="M381" i="14"/>
  <c r="L380" i="14"/>
  <c r="L383" i="14" s="1"/>
  <c r="L381" i="14"/>
  <c r="K380" i="14"/>
  <c r="K383" i="14" s="1"/>
  <c r="K381" i="14"/>
  <c r="J380" i="14"/>
  <c r="J383" i="14" s="1"/>
  <c r="J381" i="14"/>
  <c r="I380" i="14"/>
  <c r="I383" i="14" s="1"/>
  <c r="I381" i="14"/>
  <c r="H380" i="14"/>
  <c r="H383" i="14" s="1"/>
  <c r="H381" i="14"/>
  <c r="G380" i="14"/>
  <c r="G383" i="14" s="1"/>
  <c r="G381" i="14"/>
  <c r="F380" i="14"/>
  <c r="F383" i="14" s="1"/>
  <c r="F381" i="14"/>
  <c r="E380" i="14"/>
  <c r="E383" i="14" s="1"/>
  <c r="E381" i="14"/>
  <c r="K336" i="14"/>
  <c r="G336" i="14"/>
  <c r="L336" i="14"/>
  <c r="D336" i="14"/>
  <c r="E336" i="14"/>
  <c r="F336" i="14"/>
  <c r="I336" i="14"/>
  <c r="J336" i="14"/>
  <c r="H336" i="14"/>
  <c r="H340" i="14" s="1"/>
  <c r="M336" i="14"/>
  <c r="M340" i="14" s="1"/>
  <c r="M288" i="14"/>
  <c r="M291" i="14" s="1"/>
  <c r="M289" i="14"/>
  <c r="L288" i="14"/>
  <c r="L291" i="14" s="1"/>
  <c r="L289" i="14"/>
  <c r="K288" i="14"/>
  <c r="K291" i="14" s="1"/>
  <c r="K289" i="14"/>
  <c r="J288" i="14"/>
  <c r="J291" i="14" s="1"/>
  <c r="J289" i="14"/>
  <c r="I288" i="14"/>
  <c r="I291" i="14" s="1"/>
  <c r="I289" i="14"/>
  <c r="H288" i="14"/>
  <c r="H291" i="14" s="1"/>
  <c r="H289" i="14"/>
  <c r="G288" i="14"/>
  <c r="G291" i="14" s="1"/>
  <c r="G289" i="14"/>
  <c r="F288" i="14"/>
  <c r="F291" i="14" s="1"/>
  <c r="F289" i="14"/>
  <c r="E288" i="14"/>
  <c r="E291" i="14" s="1"/>
  <c r="E289" i="14"/>
  <c r="M242" i="14"/>
  <c r="M245" i="14" s="1"/>
  <c r="M243" i="14"/>
  <c r="L242" i="14"/>
  <c r="L245" i="14" s="1"/>
  <c r="L243" i="14"/>
  <c r="K242" i="14"/>
  <c r="K245" i="14" s="1"/>
  <c r="K243" i="14"/>
  <c r="J242" i="14"/>
  <c r="J245" i="14" s="1"/>
  <c r="J243" i="14"/>
  <c r="I242" i="14"/>
  <c r="I245" i="14" s="1"/>
  <c r="I243" i="14"/>
  <c r="H242" i="14"/>
  <c r="H245" i="14" s="1"/>
  <c r="H243" i="14"/>
  <c r="G242" i="14"/>
  <c r="G245" i="14" s="1"/>
  <c r="G243" i="14"/>
  <c r="F242" i="14"/>
  <c r="F245" i="14" s="1"/>
  <c r="F243" i="14"/>
  <c r="E242" i="14"/>
  <c r="E245" i="14" s="1"/>
  <c r="E243" i="14"/>
  <c r="M196" i="14"/>
  <c r="M199" i="14" s="1"/>
  <c r="M197" i="14"/>
  <c r="L196" i="14"/>
  <c r="L199" i="14" s="1"/>
  <c r="L197" i="14"/>
  <c r="K196" i="14"/>
  <c r="K199" i="14" s="1"/>
  <c r="K197" i="14"/>
  <c r="J196" i="14"/>
  <c r="J199" i="14" s="1"/>
  <c r="J197" i="14"/>
  <c r="I196" i="14"/>
  <c r="I199" i="14" s="1"/>
  <c r="I197" i="14"/>
  <c r="H196" i="14"/>
  <c r="H199" i="14" s="1"/>
  <c r="H197" i="14"/>
  <c r="G196" i="14"/>
  <c r="G199" i="14" s="1"/>
  <c r="G197" i="14"/>
  <c r="F196" i="14"/>
  <c r="F199" i="14" s="1"/>
  <c r="F197" i="14"/>
  <c r="E196" i="14"/>
  <c r="E199" i="14" s="1"/>
  <c r="E197" i="14"/>
  <c r="M150" i="14"/>
  <c r="M153" i="14" s="1"/>
  <c r="M151" i="14"/>
  <c r="L150" i="14"/>
  <c r="L153" i="14" s="1"/>
  <c r="L151" i="14"/>
  <c r="K150" i="14"/>
  <c r="K153" i="14" s="1"/>
  <c r="K151" i="14"/>
  <c r="J150" i="14"/>
  <c r="J153" i="14" s="1"/>
  <c r="J151" i="14"/>
  <c r="I150" i="14"/>
  <c r="I153" i="14" s="1"/>
  <c r="I151" i="14"/>
  <c r="H150" i="14"/>
  <c r="H153" i="14" s="1"/>
  <c r="H151" i="14"/>
  <c r="G150" i="14"/>
  <c r="G153" i="14" s="1"/>
  <c r="G151" i="14"/>
  <c r="F150" i="14"/>
  <c r="F153" i="14" s="1"/>
  <c r="F151" i="14"/>
  <c r="E150" i="14"/>
  <c r="E153" i="14" s="1"/>
  <c r="E151" i="14"/>
  <c r="M104" i="14"/>
  <c r="M107" i="14" s="1"/>
  <c r="M105" i="14"/>
  <c r="L104" i="14"/>
  <c r="L107" i="14" s="1"/>
  <c r="L105" i="14"/>
  <c r="K104" i="14"/>
  <c r="K107" i="14" s="1"/>
  <c r="K105" i="14"/>
  <c r="J104" i="14"/>
  <c r="J107" i="14" s="1"/>
  <c r="J105" i="14"/>
  <c r="I104" i="14"/>
  <c r="I107" i="14" s="1"/>
  <c r="I105" i="14"/>
  <c r="H104" i="14"/>
  <c r="H107" i="14" s="1"/>
  <c r="H105" i="14"/>
  <c r="G104" i="14"/>
  <c r="G107" i="14" s="1"/>
  <c r="G105" i="14"/>
  <c r="F104" i="14"/>
  <c r="F107" i="14" s="1"/>
  <c r="F105" i="14"/>
  <c r="E104" i="14"/>
  <c r="E107" i="14" s="1"/>
  <c r="E105" i="14"/>
  <c r="M58" i="14"/>
  <c r="M61" i="14" s="1"/>
  <c r="M59" i="14"/>
  <c r="L58" i="14"/>
  <c r="L61" i="14" s="1"/>
  <c r="L59" i="14"/>
  <c r="K58" i="14"/>
  <c r="K61" i="14" s="1"/>
  <c r="K59" i="14"/>
  <c r="J58" i="14"/>
  <c r="J61" i="14" s="1"/>
  <c r="J59" i="14"/>
  <c r="I58" i="14"/>
  <c r="I61" i="14" s="1"/>
  <c r="I59" i="14"/>
  <c r="H58" i="14"/>
  <c r="H61" i="14" s="1"/>
  <c r="H59" i="14"/>
  <c r="G58" i="14"/>
  <c r="G61" i="14" s="1"/>
  <c r="G59" i="14"/>
  <c r="F58" i="14"/>
  <c r="F61" i="14" s="1"/>
  <c r="F59" i="14"/>
  <c r="E58" i="14"/>
  <c r="E61" i="14" s="1"/>
  <c r="E59" i="14"/>
  <c r="L12" i="14"/>
  <c r="L15" i="14" s="1"/>
  <c r="L13" i="14"/>
  <c r="K12" i="14"/>
  <c r="K15" i="14" s="1"/>
  <c r="K13" i="14"/>
  <c r="J12" i="14"/>
  <c r="J15" i="14" s="1"/>
  <c r="J13" i="14"/>
  <c r="I12" i="14"/>
  <c r="I15" i="14" s="1"/>
  <c r="I13" i="14"/>
  <c r="H12" i="14"/>
  <c r="H15" i="14" s="1"/>
  <c r="H13" i="14"/>
  <c r="G12" i="14"/>
  <c r="G15" i="14" s="1"/>
  <c r="G13" i="14"/>
  <c r="F12" i="14"/>
  <c r="F15" i="14" s="1"/>
  <c r="F13" i="14"/>
  <c r="E12" i="14"/>
  <c r="E15" i="14" s="1"/>
  <c r="E13" i="14"/>
  <c r="M5118" i="6"/>
  <c r="M5121" i="6" s="1"/>
  <c r="M5119" i="6"/>
  <c r="L5118" i="6"/>
  <c r="L5121" i="6" s="1"/>
  <c r="L5119" i="6"/>
  <c r="K5118" i="6"/>
  <c r="K5121" i="6" s="1"/>
  <c r="K5119" i="6"/>
  <c r="J5118" i="6"/>
  <c r="J5121" i="6" s="1"/>
  <c r="J5119" i="6"/>
  <c r="I5118" i="6"/>
  <c r="I5121" i="6" s="1"/>
  <c r="I5119" i="6"/>
  <c r="H5118" i="6"/>
  <c r="H5121" i="6" s="1"/>
  <c r="H5119" i="6"/>
  <c r="G5118" i="6"/>
  <c r="G5121" i="6" s="1"/>
  <c r="G5119" i="6"/>
  <c r="F5118" i="6"/>
  <c r="F5121" i="6" s="1"/>
  <c r="F5119" i="6"/>
  <c r="E5118" i="6"/>
  <c r="E5121" i="6" s="1"/>
  <c r="E5119" i="6"/>
  <c r="M5072" i="6"/>
  <c r="M5075" i="6" s="1"/>
  <c r="M5073" i="6"/>
  <c r="L5072" i="6"/>
  <c r="L5075" i="6" s="1"/>
  <c r="L5073" i="6"/>
  <c r="K5072" i="6"/>
  <c r="K5075" i="6" s="1"/>
  <c r="K5073" i="6"/>
  <c r="J5072" i="6"/>
  <c r="J5075" i="6" s="1"/>
  <c r="J5073" i="6"/>
  <c r="I5072" i="6"/>
  <c r="I5075" i="6" s="1"/>
  <c r="I5073" i="6"/>
  <c r="H5072" i="6"/>
  <c r="H5075" i="6" s="1"/>
  <c r="H5073" i="6"/>
  <c r="G5072" i="6"/>
  <c r="G5075" i="6" s="1"/>
  <c r="G5073" i="6"/>
  <c r="F5072" i="6"/>
  <c r="F5075" i="6" s="1"/>
  <c r="F5073" i="6"/>
  <c r="E5072" i="6"/>
  <c r="E5075" i="6" s="1"/>
  <c r="E5073" i="6"/>
  <c r="M5026" i="6"/>
  <c r="M5029" i="6" s="1"/>
  <c r="M5027" i="6"/>
  <c r="L5026" i="6"/>
  <c r="L5029" i="6" s="1"/>
  <c r="L5027" i="6"/>
  <c r="K5026" i="6"/>
  <c r="K5029" i="6" s="1"/>
  <c r="K5027" i="6"/>
  <c r="J5026" i="6"/>
  <c r="J5029" i="6" s="1"/>
  <c r="J5027" i="6"/>
  <c r="I5026" i="6"/>
  <c r="I5029" i="6" s="1"/>
  <c r="I5027" i="6"/>
  <c r="H5026" i="6"/>
  <c r="H5029" i="6" s="1"/>
  <c r="H5027" i="6"/>
  <c r="G5026" i="6"/>
  <c r="G5029" i="6" s="1"/>
  <c r="G5027" i="6"/>
  <c r="F5026" i="6"/>
  <c r="F5029" i="6" s="1"/>
  <c r="F5027" i="6"/>
  <c r="E5026" i="6"/>
  <c r="E5029" i="6" s="1"/>
  <c r="E5027" i="6"/>
  <c r="M4980" i="6"/>
  <c r="M4983" i="6" s="1"/>
  <c r="M4981" i="6"/>
  <c r="L4980" i="6"/>
  <c r="L4983" i="6" s="1"/>
  <c r="L4981" i="6"/>
  <c r="K4980" i="6"/>
  <c r="K4983" i="6" s="1"/>
  <c r="K4981" i="6"/>
  <c r="J4980" i="6"/>
  <c r="J4983" i="6" s="1"/>
  <c r="J4981" i="6"/>
  <c r="I4980" i="6"/>
  <c r="I4983" i="6" s="1"/>
  <c r="I4981" i="6"/>
  <c r="H4980" i="6"/>
  <c r="H4983" i="6" s="1"/>
  <c r="H4981" i="6"/>
  <c r="G4980" i="6"/>
  <c r="G4983" i="6" s="1"/>
  <c r="G4981" i="6"/>
  <c r="F4980" i="6"/>
  <c r="F4983" i="6" s="1"/>
  <c r="F4981" i="6"/>
  <c r="E4980" i="6"/>
  <c r="E4983" i="6" s="1"/>
  <c r="E4981" i="6"/>
  <c r="M4934" i="6"/>
  <c r="M4937" i="6" s="1"/>
  <c r="M4935" i="6"/>
  <c r="L4934" i="6"/>
  <c r="L4937" i="6" s="1"/>
  <c r="L4935" i="6"/>
  <c r="K4934" i="6"/>
  <c r="K4937" i="6" s="1"/>
  <c r="K4935" i="6"/>
  <c r="J4934" i="6"/>
  <c r="J4937" i="6" s="1"/>
  <c r="J4935" i="6"/>
  <c r="I4934" i="6"/>
  <c r="I4937" i="6" s="1"/>
  <c r="I4935" i="6"/>
  <c r="H4934" i="6"/>
  <c r="H4937" i="6" s="1"/>
  <c r="H4935" i="6"/>
  <c r="G4934" i="6"/>
  <c r="G4937" i="6" s="1"/>
  <c r="G4935" i="6"/>
  <c r="F4934" i="6"/>
  <c r="F4937" i="6" s="1"/>
  <c r="F4935" i="6"/>
  <c r="E4934" i="6"/>
  <c r="E4937" i="6" s="1"/>
  <c r="E4935" i="6"/>
  <c r="M4888" i="6"/>
  <c r="M4891" i="6" s="1"/>
  <c r="M4889" i="6"/>
  <c r="L4888" i="6"/>
  <c r="L4891" i="6" s="1"/>
  <c r="L4889" i="6"/>
  <c r="K4888" i="6"/>
  <c r="K4891" i="6" s="1"/>
  <c r="K4889" i="6"/>
  <c r="J4888" i="6"/>
  <c r="J4891" i="6" s="1"/>
  <c r="J4889" i="6"/>
  <c r="I4888" i="6"/>
  <c r="I4891" i="6" s="1"/>
  <c r="I4889" i="6"/>
  <c r="H4888" i="6"/>
  <c r="H4891" i="6" s="1"/>
  <c r="H4889" i="6"/>
  <c r="G4888" i="6"/>
  <c r="G4891" i="6" s="1"/>
  <c r="G4889" i="6"/>
  <c r="F4888" i="6"/>
  <c r="F4891" i="6" s="1"/>
  <c r="F4889" i="6"/>
  <c r="E4888" i="6"/>
  <c r="E4891" i="6" s="1"/>
  <c r="E4889" i="6"/>
  <c r="M4842" i="6"/>
  <c r="M4845" i="6" s="1"/>
  <c r="M4843" i="6"/>
  <c r="L4842" i="6"/>
  <c r="L4845" i="6" s="1"/>
  <c r="L4843" i="6"/>
  <c r="K4842" i="6"/>
  <c r="K4845" i="6" s="1"/>
  <c r="K4843" i="6"/>
  <c r="J4842" i="6"/>
  <c r="J4845" i="6" s="1"/>
  <c r="J4843" i="6"/>
  <c r="I4842" i="6"/>
  <c r="I4845" i="6" s="1"/>
  <c r="I4843" i="6"/>
  <c r="H4842" i="6"/>
  <c r="H4845" i="6" s="1"/>
  <c r="H4843" i="6"/>
  <c r="G4842" i="6"/>
  <c r="G4845" i="6" s="1"/>
  <c r="G4843" i="6"/>
  <c r="F4842" i="6"/>
  <c r="F4845" i="6" s="1"/>
  <c r="F4843" i="6"/>
  <c r="E4842" i="6"/>
  <c r="E4845" i="6" s="1"/>
  <c r="E4843" i="6"/>
  <c r="M4796" i="6"/>
  <c r="M4799" i="6" s="1"/>
  <c r="M4797" i="6"/>
  <c r="L4796" i="6"/>
  <c r="L4799" i="6" s="1"/>
  <c r="L4797" i="6"/>
  <c r="K4796" i="6"/>
  <c r="K4799" i="6" s="1"/>
  <c r="K4797" i="6"/>
  <c r="J4796" i="6"/>
  <c r="J4799" i="6" s="1"/>
  <c r="J4797" i="6"/>
  <c r="I4796" i="6"/>
  <c r="I4799" i="6" s="1"/>
  <c r="I4797" i="6"/>
  <c r="H4796" i="6"/>
  <c r="H4799" i="6" s="1"/>
  <c r="H4797" i="6"/>
  <c r="G4796" i="6"/>
  <c r="G4799" i="6" s="1"/>
  <c r="G4797" i="6"/>
  <c r="F4796" i="6"/>
  <c r="F4799" i="6" s="1"/>
  <c r="F4797" i="6"/>
  <c r="E4796" i="6"/>
  <c r="E4799" i="6" s="1"/>
  <c r="E4797" i="6"/>
  <c r="M4750" i="6"/>
  <c r="M4753" i="6" s="1"/>
  <c r="M4751" i="6"/>
  <c r="L4750" i="6"/>
  <c r="L4753" i="6" s="1"/>
  <c r="L4751" i="6"/>
  <c r="K4750" i="6"/>
  <c r="K4753" i="6" s="1"/>
  <c r="K4751" i="6"/>
  <c r="J4750" i="6"/>
  <c r="J4753" i="6" s="1"/>
  <c r="J4751" i="6"/>
  <c r="I4750" i="6"/>
  <c r="I4753" i="6" s="1"/>
  <c r="I4751" i="6"/>
  <c r="H4750" i="6"/>
  <c r="H4753" i="6" s="1"/>
  <c r="H4751" i="6"/>
  <c r="G4750" i="6"/>
  <c r="G4753" i="6" s="1"/>
  <c r="G4751" i="6"/>
  <c r="F4750" i="6"/>
  <c r="F4753" i="6" s="1"/>
  <c r="F4751" i="6"/>
  <c r="E4750" i="6"/>
  <c r="E4753" i="6" s="1"/>
  <c r="E4751" i="6"/>
  <c r="E4706" i="6"/>
  <c r="E4710" i="6" s="1"/>
  <c r="J4706" i="6"/>
  <c r="J4710" i="6" s="1"/>
  <c r="H4706" i="6"/>
  <c r="H4710" i="6" s="1"/>
  <c r="F4706" i="6"/>
  <c r="F4710" i="6" s="1"/>
  <c r="D4706" i="6"/>
  <c r="D4710" i="6" s="1"/>
  <c r="M4706" i="6"/>
  <c r="M4710" i="6" s="1"/>
  <c r="G4706" i="6"/>
  <c r="G4710" i="6" s="1"/>
  <c r="L4706" i="6"/>
  <c r="L4710" i="6" s="1"/>
  <c r="I4706" i="6"/>
  <c r="I4710" i="6" s="1"/>
  <c r="M4658" i="6"/>
  <c r="M4661" i="6" s="1"/>
  <c r="M4659" i="6"/>
  <c r="L4658" i="6"/>
  <c r="L4661" i="6" s="1"/>
  <c r="L4659" i="6"/>
  <c r="K4658" i="6"/>
  <c r="K4661" i="6" s="1"/>
  <c r="K4659" i="6"/>
  <c r="J4658" i="6"/>
  <c r="J4661" i="6" s="1"/>
  <c r="J4659" i="6"/>
  <c r="I4658" i="6"/>
  <c r="I4661" i="6" s="1"/>
  <c r="I4659" i="6"/>
  <c r="H4658" i="6"/>
  <c r="H4661" i="6" s="1"/>
  <c r="H4659" i="6"/>
  <c r="G4658" i="6"/>
  <c r="G4661" i="6" s="1"/>
  <c r="G4659" i="6"/>
  <c r="F4658" i="6"/>
  <c r="F4661" i="6" s="1"/>
  <c r="F4659" i="6"/>
  <c r="E4658" i="6"/>
  <c r="E4661" i="6" s="1"/>
  <c r="E4659" i="6"/>
  <c r="M4612" i="6"/>
  <c r="M4615" i="6" s="1"/>
  <c r="M4613" i="6"/>
  <c r="L4612" i="6"/>
  <c r="L4615" i="6" s="1"/>
  <c r="L4613" i="6"/>
  <c r="K4612" i="6"/>
  <c r="K4615" i="6" s="1"/>
  <c r="K4613" i="6"/>
  <c r="J4612" i="6"/>
  <c r="J4615" i="6" s="1"/>
  <c r="J4613" i="6"/>
  <c r="I4612" i="6"/>
  <c r="I4615" i="6" s="1"/>
  <c r="I4613" i="6"/>
  <c r="H4612" i="6"/>
  <c r="H4615" i="6" s="1"/>
  <c r="H4613" i="6"/>
  <c r="G4612" i="6"/>
  <c r="G4615" i="6" s="1"/>
  <c r="G4613" i="6"/>
  <c r="F4612" i="6"/>
  <c r="F4615" i="6" s="1"/>
  <c r="F4613" i="6"/>
  <c r="E4612" i="6"/>
  <c r="E4615" i="6" s="1"/>
  <c r="E4613" i="6"/>
  <c r="M4566" i="6"/>
  <c r="M4569" i="6" s="1"/>
  <c r="M4567" i="6"/>
  <c r="L4566" i="6"/>
  <c r="L4569" i="6" s="1"/>
  <c r="L4567" i="6"/>
  <c r="K4566" i="6"/>
  <c r="K4569" i="6" s="1"/>
  <c r="K4567" i="6"/>
  <c r="J4566" i="6"/>
  <c r="J4569" i="6" s="1"/>
  <c r="J4567" i="6"/>
  <c r="I4566" i="6"/>
  <c r="I4569" i="6" s="1"/>
  <c r="I4567" i="6"/>
  <c r="H4566" i="6"/>
  <c r="H4569" i="6" s="1"/>
  <c r="H4567" i="6"/>
  <c r="G4566" i="6"/>
  <c r="G4569" i="6" s="1"/>
  <c r="G4567" i="6"/>
  <c r="F4566" i="6"/>
  <c r="F4569" i="6" s="1"/>
  <c r="F4567" i="6"/>
  <c r="E4566" i="6"/>
  <c r="E4569" i="6" s="1"/>
  <c r="E4567" i="6"/>
  <c r="M4520" i="6"/>
  <c r="M4523" i="6" s="1"/>
  <c r="M4521" i="6"/>
  <c r="L4520" i="6"/>
  <c r="L4523" i="6" s="1"/>
  <c r="L4521" i="6"/>
  <c r="K4520" i="6"/>
  <c r="K4523" i="6" s="1"/>
  <c r="K4521" i="6"/>
  <c r="J4520" i="6"/>
  <c r="J4523" i="6" s="1"/>
  <c r="J4521" i="6"/>
  <c r="I4520" i="6"/>
  <c r="I4523" i="6" s="1"/>
  <c r="I4521" i="6"/>
  <c r="H4520" i="6"/>
  <c r="H4523" i="6" s="1"/>
  <c r="H4521" i="6"/>
  <c r="G4520" i="6"/>
  <c r="G4523" i="6" s="1"/>
  <c r="G4521" i="6"/>
  <c r="F4520" i="6"/>
  <c r="F4523" i="6" s="1"/>
  <c r="F4521" i="6"/>
  <c r="E4520" i="6"/>
  <c r="E4523" i="6" s="1"/>
  <c r="E4521" i="6"/>
  <c r="M4474" i="6"/>
  <c r="M4477" i="6" s="1"/>
  <c r="M4475" i="6"/>
  <c r="L4474" i="6"/>
  <c r="L4477" i="6" s="1"/>
  <c r="L4475" i="6"/>
  <c r="K4474" i="6"/>
  <c r="K4477" i="6" s="1"/>
  <c r="K4475" i="6"/>
  <c r="J4474" i="6"/>
  <c r="J4477" i="6" s="1"/>
  <c r="J4475" i="6"/>
  <c r="I4474" i="6"/>
  <c r="I4477" i="6" s="1"/>
  <c r="I4475" i="6"/>
  <c r="H4474" i="6"/>
  <c r="H4477" i="6" s="1"/>
  <c r="H4475" i="6"/>
  <c r="G4474" i="6"/>
  <c r="G4477" i="6" s="1"/>
  <c r="G4475" i="6"/>
  <c r="F4474" i="6"/>
  <c r="F4477" i="6" s="1"/>
  <c r="F4475" i="6"/>
  <c r="E4474" i="6"/>
  <c r="E4477" i="6" s="1"/>
  <c r="E4475" i="6"/>
  <c r="M4428" i="6"/>
  <c r="M4431" i="6" s="1"/>
  <c r="M4429" i="6"/>
  <c r="L4428" i="6"/>
  <c r="L4431" i="6" s="1"/>
  <c r="L4429" i="6"/>
  <c r="K4428" i="6"/>
  <c r="K4431" i="6" s="1"/>
  <c r="K4429" i="6"/>
  <c r="J4428" i="6"/>
  <c r="J4431" i="6" s="1"/>
  <c r="J4429" i="6"/>
  <c r="I4428" i="6"/>
  <c r="I4431" i="6" s="1"/>
  <c r="I4429" i="6"/>
  <c r="H4428" i="6"/>
  <c r="H4431" i="6" s="1"/>
  <c r="H4429" i="6"/>
  <c r="G4428" i="6"/>
  <c r="G4431" i="6" s="1"/>
  <c r="G4429" i="6"/>
  <c r="F4428" i="6"/>
  <c r="F4431" i="6" s="1"/>
  <c r="F4429" i="6"/>
  <c r="E4428" i="6"/>
  <c r="E4431" i="6" s="1"/>
  <c r="E4429" i="6"/>
  <c r="L4382" i="6"/>
  <c r="L4385" i="6" s="1"/>
  <c r="L4383" i="6"/>
  <c r="K4382" i="6"/>
  <c r="K4385" i="6" s="1"/>
  <c r="K4383" i="6"/>
  <c r="J4382" i="6"/>
  <c r="J4385" i="6" s="1"/>
  <c r="J4383" i="6"/>
  <c r="I4382" i="6"/>
  <c r="I4385" i="6" s="1"/>
  <c r="I4383" i="6"/>
  <c r="H4382" i="6"/>
  <c r="H4385" i="6" s="1"/>
  <c r="H4383" i="6"/>
  <c r="G4382" i="6"/>
  <c r="G4385" i="6" s="1"/>
  <c r="G4383" i="6"/>
  <c r="F4382" i="6"/>
  <c r="F4385" i="6" s="1"/>
  <c r="F4383" i="6"/>
  <c r="E4382" i="6"/>
  <c r="E4385" i="6" s="1"/>
  <c r="E4383" i="6"/>
  <c r="M4336" i="6"/>
  <c r="M4339" i="6" s="1"/>
  <c r="M4337" i="6"/>
  <c r="L4336" i="6"/>
  <c r="L4339" i="6" s="1"/>
  <c r="L4337" i="6"/>
  <c r="K4336" i="6"/>
  <c r="K4339" i="6" s="1"/>
  <c r="K4337" i="6"/>
  <c r="J4336" i="6"/>
  <c r="J4339" i="6" s="1"/>
  <c r="J4337" i="6"/>
  <c r="I4336" i="6"/>
  <c r="I4339" i="6" s="1"/>
  <c r="I4337" i="6"/>
  <c r="H4336" i="6"/>
  <c r="H4339" i="6" s="1"/>
  <c r="H4337" i="6"/>
  <c r="G4336" i="6"/>
  <c r="G4339" i="6" s="1"/>
  <c r="G4337" i="6"/>
  <c r="F4336" i="6"/>
  <c r="F4339" i="6" s="1"/>
  <c r="F4337" i="6"/>
  <c r="E4336" i="6"/>
  <c r="E4339" i="6" s="1"/>
  <c r="E4337" i="6"/>
  <c r="M4290" i="6"/>
  <c r="M4293" i="6" s="1"/>
  <c r="M4291" i="6"/>
  <c r="L4290" i="6"/>
  <c r="L4293" i="6" s="1"/>
  <c r="L4291" i="6"/>
  <c r="K4290" i="6"/>
  <c r="K4293" i="6" s="1"/>
  <c r="K4291" i="6"/>
  <c r="J4290" i="6"/>
  <c r="J4293" i="6" s="1"/>
  <c r="J4291" i="6"/>
  <c r="I4290" i="6"/>
  <c r="I4293" i="6" s="1"/>
  <c r="I4291" i="6"/>
  <c r="H4290" i="6"/>
  <c r="H4293" i="6" s="1"/>
  <c r="H4291" i="6"/>
  <c r="G4290" i="6"/>
  <c r="G4293" i="6" s="1"/>
  <c r="G4291" i="6"/>
  <c r="F4290" i="6"/>
  <c r="F4293" i="6" s="1"/>
  <c r="F4291" i="6"/>
  <c r="E4290" i="6"/>
  <c r="E4293" i="6" s="1"/>
  <c r="E4291" i="6"/>
  <c r="M4244" i="6"/>
  <c r="M4247" i="6" s="1"/>
  <c r="M4245" i="6"/>
  <c r="L4244" i="6"/>
  <c r="L4247" i="6" s="1"/>
  <c r="L4245" i="6"/>
  <c r="K4244" i="6"/>
  <c r="K4247" i="6" s="1"/>
  <c r="K4245" i="6"/>
  <c r="J4244" i="6"/>
  <c r="J4247" i="6" s="1"/>
  <c r="J4245" i="6"/>
  <c r="I4244" i="6"/>
  <c r="I4247" i="6" s="1"/>
  <c r="I4245" i="6"/>
  <c r="H4244" i="6"/>
  <c r="H4247" i="6" s="1"/>
  <c r="H4245" i="6"/>
  <c r="G4244" i="6"/>
  <c r="G4247" i="6" s="1"/>
  <c r="G4245" i="6"/>
  <c r="F4244" i="6"/>
  <c r="F4247" i="6" s="1"/>
  <c r="F4245" i="6"/>
  <c r="E4244" i="6"/>
  <c r="E4247" i="6" s="1"/>
  <c r="E4245" i="6"/>
  <c r="M4198" i="6"/>
  <c r="M4201" i="6" s="1"/>
  <c r="M4199" i="6"/>
  <c r="L4198" i="6"/>
  <c r="L4201" i="6" s="1"/>
  <c r="L4199" i="6"/>
  <c r="K4198" i="6"/>
  <c r="K4201" i="6" s="1"/>
  <c r="K4199" i="6"/>
  <c r="J4198" i="6"/>
  <c r="J4201" i="6" s="1"/>
  <c r="J4199" i="6"/>
  <c r="I4198" i="6"/>
  <c r="I4201" i="6" s="1"/>
  <c r="I4199" i="6"/>
  <c r="H4198" i="6"/>
  <c r="H4201" i="6" s="1"/>
  <c r="H4199" i="6"/>
  <c r="G4198" i="6"/>
  <c r="G4201" i="6" s="1"/>
  <c r="G4199" i="6"/>
  <c r="F4198" i="6"/>
  <c r="F4201" i="6" s="1"/>
  <c r="F4199" i="6"/>
  <c r="E4198" i="6"/>
  <c r="E4201" i="6" s="1"/>
  <c r="E4199" i="6"/>
  <c r="M4152" i="6"/>
  <c r="M4155" i="6" s="1"/>
  <c r="M4153" i="6"/>
  <c r="L4152" i="6"/>
  <c r="L4155" i="6" s="1"/>
  <c r="L4153" i="6"/>
  <c r="K4152" i="6"/>
  <c r="K4155" i="6" s="1"/>
  <c r="K4153" i="6"/>
  <c r="J4152" i="6"/>
  <c r="J4155" i="6" s="1"/>
  <c r="J4153" i="6"/>
  <c r="I4152" i="6"/>
  <c r="I4155" i="6" s="1"/>
  <c r="I4153" i="6"/>
  <c r="H4152" i="6"/>
  <c r="H4155" i="6" s="1"/>
  <c r="H4153" i="6"/>
  <c r="G4152" i="6"/>
  <c r="G4155" i="6" s="1"/>
  <c r="G4153" i="6"/>
  <c r="F4152" i="6"/>
  <c r="F4155" i="6" s="1"/>
  <c r="F4153" i="6"/>
  <c r="E4152" i="6"/>
  <c r="E4155" i="6" s="1"/>
  <c r="E4153" i="6"/>
  <c r="M4106" i="6"/>
  <c r="M4109" i="6" s="1"/>
  <c r="M4107" i="6"/>
  <c r="L4106" i="6"/>
  <c r="L4109" i="6" s="1"/>
  <c r="L4107" i="6"/>
  <c r="K4106" i="6"/>
  <c r="K4109" i="6" s="1"/>
  <c r="K4107" i="6"/>
  <c r="J4106" i="6"/>
  <c r="J4109" i="6" s="1"/>
  <c r="J4107" i="6"/>
  <c r="I4106" i="6"/>
  <c r="I4109" i="6" s="1"/>
  <c r="I4107" i="6"/>
  <c r="H4106" i="6"/>
  <c r="H4109" i="6" s="1"/>
  <c r="H4107" i="6"/>
  <c r="G4106" i="6"/>
  <c r="G4109" i="6" s="1"/>
  <c r="G4107" i="6"/>
  <c r="F4106" i="6"/>
  <c r="F4109" i="6" s="1"/>
  <c r="F4107" i="6"/>
  <c r="E4106" i="6"/>
  <c r="E4109" i="6" s="1"/>
  <c r="E4107" i="6"/>
  <c r="L4060" i="6"/>
  <c r="L4063" i="6" s="1"/>
  <c r="L4061" i="6"/>
  <c r="K4060" i="6"/>
  <c r="K4063" i="6" s="1"/>
  <c r="K4061" i="6"/>
  <c r="J4060" i="6"/>
  <c r="J4063" i="6" s="1"/>
  <c r="J4061" i="6"/>
  <c r="I4060" i="6"/>
  <c r="I4063" i="6" s="1"/>
  <c r="I4061" i="6"/>
  <c r="H4060" i="6"/>
  <c r="H4063" i="6" s="1"/>
  <c r="H4061" i="6"/>
  <c r="G4060" i="6"/>
  <c r="G4063" i="6" s="1"/>
  <c r="G4061" i="6"/>
  <c r="F4060" i="6"/>
  <c r="F4063" i="6" s="1"/>
  <c r="F4061" i="6"/>
  <c r="E4060" i="6"/>
  <c r="E4063" i="6" s="1"/>
  <c r="E4061" i="6"/>
  <c r="M4014" i="6"/>
  <c r="M4017" i="6" s="1"/>
  <c r="M4015" i="6"/>
  <c r="L4014" i="6"/>
  <c r="L4017" i="6" s="1"/>
  <c r="L4015" i="6"/>
  <c r="K4014" i="6"/>
  <c r="K4017" i="6" s="1"/>
  <c r="K4015" i="6"/>
  <c r="J4014" i="6"/>
  <c r="J4017" i="6" s="1"/>
  <c r="J4015" i="6"/>
  <c r="I4014" i="6"/>
  <c r="I4017" i="6" s="1"/>
  <c r="I4015" i="6"/>
  <c r="H4014" i="6"/>
  <c r="H4017" i="6" s="1"/>
  <c r="H4015" i="6"/>
  <c r="G4014" i="6"/>
  <c r="G4017" i="6" s="1"/>
  <c r="G4015" i="6"/>
  <c r="F4014" i="6"/>
  <c r="F4017" i="6" s="1"/>
  <c r="F4015" i="6"/>
  <c r="E4014" i="6"/>
  <c r="E4017" i="6" s="1"/>
  <c r="E4015" i="6"/>
  <c r="M3968" i="6"/>
  <c r="M3971" i="6" s="1"/>
  <c r="M3969" i="6"/>
  <c r="L3968" i="6"/>
  <c r="L3971" i="6" s="1"/>
  <c r="L3969" i="6"/>
  <c r="K3968" i="6"/>
  <c r="K3971" i="6" s="1"/>
  <c r="K3969" i="6"/>
  <c r="J3968" i="6"/>
  <c r="J3971" i="6" s="1"/>
  <c r="J3969" i="6"/>
  <c r="I3968" i="6"/>
  <c r="I3971" i="6" s="1"/>
  <c r="I3969" i="6"/>
  <c r="H3968" i="6"/>
  <c r="H3971" i="6" s="1"/>
  <c r="H3969" i="6"/>
  <c r="G3968" i="6"/>
  <c r="G3971" i="6" s="1"/>
  <c r="G3969" i="6"/>
  <c r="F3968" i="6"/>
  <c r="F3971" i="6" s="1"/>
  <c r="F3969" i="6"/>
  <c r="E3968" i="6"/>
  <c r="E3971" i="6" s="1"/>
  <c r="E3969" i="6"/>
  <c r="M3922" i="6"/>
  <c r="M3925" i="6" s="1"/>
  <c r="M3923" i="6"/>
  <c r="L3922" i="6"/>
  <c r="L3925" i="6" s="1"/>
  <c r="L3923" i="6"/>
  <c r="K3922" i="6"/>
  <c r="K3925" i="6" s="1"/>
  <c r="K3923" i="6"/>
  <c r="J3922" i="6"/>
  <c r="J3925" i="6" s="1"/>
  <c r="J3923" i="6"/>
  <c r="I3922" i="6"/>
  <c r="I3925" i="6" s="1"/>
  <c r="I3923" i="6"/>
  <c r="H3922" i="6"/>
  <c r="H3925" i="6" s="1"/>
  <c r="H3923" i="6"/>
  <c r="G3922" i="6"/>
  <c r="G3925" i="6" s="1"/>
  <c r="G3923" i="6"/>
  <c r="F3922" i="6"/>
  <c r="F3925" i="6" s="1"/>
  <c r="F3923" i="6"/>
  <c r="E3922" i="6"/>
  <c r="E3925" i="6" s="1"/>
  <c r="E3923" i="6"/>
  <c r="M3876" i="6"/>
  <c r="M3879" i="6" s="1"/>
  <c r="M3877" i="6"/>
  <c r="L3876" i="6"/>
  <c r="L3879" i="6" s="1"/>
  <c r="L3877" i="6"/>
  <c r="K3876" i="6"/>
  <c r="K3879" i="6" s="1"/>
  <c r="K3877" i="6"/>
  <c r="J3876" i="6"/>
  <c r="J3879" i="6" s="1"/>
  <c r="J3877" i="6"/>
  <c r="I3876" i="6"/>
  <c r="I3879" i="6" s="1"/>
  <c r="I3877" i="6"/>
  <c r="H3876" i="6"/>
  <c r="H3879" i="6" s="1"/>
  <c r="H3877" i="6"/>
  <c r="G3876" i="6"/>
  <c r="G3879" i="6" s="1"/>
  <c r="G3877" i="6"/>
  <c r="F3876" i="6"/>
  <c r="F3879" i="6" s="1"/>
  <c r="F3877" i="6"/>
  <c r="E3876" i="6"/>
  <c r="E3879" i="6" s="1"/>
  <c r="E3877" i="6"/>
  <c r="M3830" i="6"/>
  <c r="M3833" i="6" s="1"/>
  <c r="M3831" i="6"/>
  <c r="L3830" i="6"/>
  <c r="L3833" i="6" s="1"/>
  <c r="L3831" i="6"/>
  <c r="K3830" i="6"/>
  <c r="K3833" i="6" s="1"/>
  <c r="K3831" i="6"/>
  <c r="J3830" i="6"/>
  <c r="J3833" i="6" s="1"/>
  <c r="J3831" i="6"/>
  <c r="I3830" i="6"/>
  <c r="I3833" i="6" s="1"/>
  <c r="I3831" i="6"/>
  <c r="H3830" i="6"/>
  <c r="H3833" i="6" s="1"/>
  <c r="H3831" i="6"/>
  <c r="G3830" i="6"/>
  <c r="G3833" i="6" s="1"/>
  <c r="G3831" i="6"/>
  <c r="F3830" i="6"/>
  <c r="F3833" i="6" s="1"/>
  <c r="F3831" i="6"/>
  <c r="E3830" i="6"/>
  <c r="E3833" i="6" s="1"/>
  <c r="E3831" i="6"/>
  <c r="M3784" i="6"/>
  <c r="M3787" i="6" s="1"/>
  <c r="M3785" i="6"/>
  <c r="L3784" i="6"/>
  <c r="L3787" i="6" s="1"/>
  <c r="L3785" i="6"/>
  <c r="K3784" i="6"/>
  <c r="K3787" i="6" s="1"/>
  <c r="K3785" i="6"/>
  <c r="J3784" i="6"/>
  <c r="J3787" i="6" s="1"/>
  <c r="J3785" i="6"/>
  <c r="I3784" i="6"/>
  <c r="I3787" i="6" s="1"/>
  <c r="I3785" i="6"/>
  <c r="H3784" i="6"/>
  <c r="H3787" i="6" s="1"/>
  <c r="H3785" i="6"/>
  <c r="G3784" i="6"/>
  <c r="G3787" i="6" s="1"/>
  <c r="G3785" i="6"/>
  <c r="F3784" i="6"/>
  <c r="F3787" i="6" s="1"/>
  <c r="F3785" i="6"/>
  <c r="E3784" i="6"/>
  <c r="E3787" i="6" s="1"/>
  <c r="E3785" i="6"/>
  <c r="L3738" i="6"/>
  <c r="L3741" i="6" s="1"/>
  <c r="L3739" i="6"/>
  <c r="K3738" i="6"/>
  <c r="K3741" i="6" s="1"/>
  <c r="K3739" i="6"/>
  <c r="J3738" i="6"/>
  <c r="J3741" i="6" s="1"/>
  <c r="J3739" i="6"/>
  <c r="I3738" i="6"/>
  <c r="I3741" i="6" s="1"/>
  <c r="I3739" i="6"/>
  <c r="H3738" i="6"/>
  <c r="H3741" i="6" s="1"/>
  <c r="H3739" i="6"/>
  <c r="G3738" i="6"/>
  <c r="G3741" i="6" s="1"/>
  <c r="G3739" i="6"/>
  <c r="F3738" i="6"/>
  <c r="F3741" i="6" s="1"/>
  <c r="F3739" i="6"/>
  <c r="E3738" i="6"/>
  <c r="E3741" i="6" s="1"/>
  <c r="E3739" i="6"/>
  <c r="M3692" i="6"/>
  <c r="M3695" i="6" s="1"/>
  <c r="M3693" i="6"/>
  <c r="L3692" i="6"/>
  <c r="L3695" i="6" s="1"/>
  <c r="L3693" i="6"/>
  <c r="K3692" i="6"/>
  <c r="K3695" i="6" s="1"/>
  <c r="K3693" i="6"/>
  <c r="J3692" i="6"/>
  <c r="J3695" i="6" s="1"/>
  <c r="J3693" i="6"/>
  <c r="I3692" i="6"/>
  <c r="I3695" i="6" s="1"/>
  <c r="I3693" i="6"/>
  <c r="H3692" i="6"/>
  <c r="H3695" i="6" s="1"/>
  <c r="H3693" i="6"/>
  <c r="G3692" i="6"/>
  <c r="G3695" i="6" s="1"/>
  <c r="G3693" i="6"/>
  <c r="F3692" i="6"/>
  <c r="F3695" i="6" s="1"/>
  <c r="F3693" i="6"/>
  <c r="E3692" i="6"/>
  <c r="E3695" i="6" s="1"/>
  <c r="E3693" i="6"/>
  <c r="M3646" i="6"/>
  <c r="M3649" i="6" s="1"/>
  <c r="M3647" i="6"/>
  <c r="L3646" i="6"/>
  <c r="L3649" i="6" s="1"/>
  <c r="L3647" i="6"/>
  <c r="K3646" i="6"/>
  <c r="K3649" i="6" s="1"/>
  <c r="K3647" i="6"/>
  <c r="J3646" i="6"/>
  <c r="J3649" i="6" s="1"/>
  <c r="J3647" i="6"/>
  <c r="I3646" i="6"/>
  <c r="I3649" i="6" s="1"/>
  <c r="I3647" i="6"/>
  <c r="H3646" i="6"/>
  <c r="H3649" i="6" s="1"/>
  <c r="H3647" i="6"/>
  <c r="G3646" i="6"/>
  <c r="G3649" i="6" s="1"/>
  <c r="G3647" i="6"/>
  <c r="F3646" i="6"/>
  <c r="F3649" i="6" s="1"/>
  <c r="F3647" i="6"/>
  <c r="E3646" i="6"/>
  <c r="E3649" i="6" s="1"/>
  <c r="E3647" i="6"/>
  <c r="M3600" i="6"/>
  <c r="M3603" i="6" s="1"/>
  <c r="M3601" i="6"/>
  <c r="L3600" i="6"/>
  <c r="L3603" i="6" s="1"/>
  <c r="L3601" i="6"/>
  <c r="K3600" i="6"/>
  <c r="K3603" i="6" s="1"/>
  <c r="K3601" i="6"/>
  <c r="J3600" i="6"/>
  <c r="J3603" i="6" s="1"/>
  <c r="J3601" i="6"/>
  <c r="I3600" i="6"/>
  <c r="I3603" i="6" s="1"/>
  <c r="I3601" i="6"/>
  <c r="H3600" i="6"/>
  <c r="H3603" i="6" s="1"/>
  <c r="H3601" i="6"/>
  <c r="G3600" i="6"/>
  <c r="G3603" i="6" s="1"/>
  <c r="G3601" i="6"/>
  <c r="F3600" i="6"/>
  <c r="F3603" i="6" s="1"/>
  <c r="F3601" i="6"/>
  <c r="E3600" i="6"/>
  <c r="E3603" i="6" s="1"/>
  <c r="E3601" i="6"/>
  <c r="M3554" i="6"/>
  <c r="M3557" i="6" s="1"/>
  <c r="M3555" i="6"/>
  <c r="L3554" i="6"/>
  <c r="L3557" i="6" s="1"/>
  <c r="L3555" i="6"/>
  <c r="K3554" i="6"/>
  <c r="K3557" i="6" s="1"/>
  <c r="K3555" i="6"/>
  <c r="J3554" i="6"/>
  <c r="J3557" i="6" s="1"/>
  <c r="J3555" i="6"/>
  <c r="I3554" i="6"/>
  <c r="I3557" i="6" s="1"/>
  <c r="I3555" i="6"/>
  <c r="H3554" i="6"/>
  <c r="H3557" i="6" s="1"/>
  <c r="H3555" i="6"/>
  <c r="G3554" i="6"/>
  <c r="G3557" i="6" s="1"/>
  <c r="G3555" i="6"/>
  <c r="F3554" i="6"/>
  <c r="F3557" i="6" s="1"/>
  <c r="F3555" i="6"/>
  <c r="E3554" i="6"/>
  <c r="E3557" i="6" s="1"/>
  <c r="E3555" i="6"/>
  <c r="M3508" i="6"/>
  <c r="M3511" i="6" s="1"/>
  <c r="M3509" i="6"/>
  <c r="L3508" i="6"/>
  <c r="L3511" i="6" s="1"/>
  <c r="L3509" i="6"/>
  <c r="K3508" i="6"/>
  <c r="K3511" i="6" s="1"/>
  <c r="K3509" i="6"/>
  <c r="J3508" i="6"/>
  <c r="J3511" i="6" s="1"/>
  <c r="J3509" i="6"/>
  <c r="I3508" i="6"/>
  <c r="I3511" i="6" s="1"/>
  <c r="I3509" i="6"/>
  <c r="H3508" i="6"/>
  <c r="H3511" i="6" s="1"/>
  <c r="H3509" i="6"/>
  <c r="G3508" i="6"/>
  <c r="G3511" i="6" s="1"/>
  <c r="G3509" i="6"/>
  <c r="F3508" i="6"/>
  <c r="F3511" i="6" s="1"/>
  <c r="F3509" i="6"/>
  <c r="E3508" i="6"/>
  <c r="E3511" i="6" s="1"/>
  <c r="E3509" i="6"/>
  <c r="M3462" i="6"/>
  <c r="M3465" i="6" s="1"/>
  <c r="M3463" i="6"/>
  <c r="L3462" i="6"/>
  <c r="L3465" i="6" s="1"/>
  <c r="L3463" i="6"/>
  <c r="K3462" i="6"/>
  <c r="K3465" i="6" s="1"/>
  <c r="K3463" i="6"/>
  <c r="J3462" i="6"/>
  <c r="J3465" i="6" s="1"/>
  <c r="J3463" i="6"/>
  <c r="I3462" i="6"/>
  <c r="I3465" i="6" s="1"/>
  <c r="I3463" i="6"/>
  <c r="H3462" i="6"/>
  <c r="H3465" i="6" s="1"/>
  <c r="H3463" i="6"/>
  <c r="G3462" i="6"/>
  <c r="G3465" i="6" s="1"/>
  <c r="G3463" i="6"/>
  <c r="F3462" i="6"/>
  <c r="F3465" i="6" s="1"/>
  <c r="F3463" i="6"/>
  <c r="E3462" i="6"/>
  <c r="E3465" i="6" s="1"/>
  <c r="E3463" i="6"/>
  <c r="M3416" i="6"/>
  <c r="M3419" i="6" s="1"/>
  <c r="M3417" i="6"/>
  <c r="L3416" i="6"/>
  <c r="L3419" i="6" s="1"/>
  <c r="L3417" i="6"/>
  <c r="K3416" i="6"/>
  <c r="K3419" i="6" s="1"/>
  <c r="K3417" i="6"/>
  <c r="J3416" i="6"/>
  <c r="J3419" i="6" s="1"/>
  <c r="J3417" i="6"/>
  <c r="I3416" i="6"/>
  <c r="I3419" i="6" s="1"/>
  <c r="I3417" i="6"/>
  <c r="H3416" i="6"/>
  <c r="H3419" i="6" s="1"/>
  <c r="H3417" i="6"/>
  <c r="G3416" i="6"/>
  <c r="G3419" i="6" s="1"/>
  <c r="G3417" i="6"/>
  <c r="F3416" i="6"/>
  <c r="F3419" i="6" s="1"/>
  <c r="F3417" i="6"/>
  <c r="E3416" i="6"/>
  <c r="E3419" i="6" s="1"/>
  <c r="E3417" i="6"/>
  <c r="M3370" i="6"/>
  <c r="M3373" i="6" s="1"/>
  <c r="M3371" i="6"/>
  <c r="L3370" i="6"/>
  <c r="L3373" i="6" s="1"/>
  <c r="L3371" i="6"/>
  <c r="K3370" i="6"/>
  <c r="K3373" i="6" s="1"/>
  <c r="K3371" i="6"/>
  <c r="J3370" i="6"/>
  <c r="J3373" i="6" s="1"/>
  <c r="J3371" i="6"/>
  <c r="I3370" i="6"/>
  <c r="I3373" i="6" s="1"/>
  <c r="I3371" i="6"/>
  <c r="H3370" i="6"/>
  <c r="H3373" i="6" s="1"/>
  <c r="H3371" i="6"/>
  <c r="G3370" i="6"/>
  <c r="G3373" i="6" s="1"/>
  <c r="G3371" i="6"/>
  <c r="F3370" i="6"/>
  <c r="F3373" i="6" s="1"/>
  <c r="F3371" i="6"/>
  <c r="E3370" i="6"/>
  <c r="E3373" i="6" s="1"/>
  <c r="E3371" i="6"/>
  <c r="M3324" i="6"/>
  <c r="M3327" i="6" s="1"/>
  <c r="M3325" i="6"/>
  <c r="L3324" i="6"/>
  <c r="L3327" i="6" s="1"/>
  <c r="L3325" i="6"/>
  <c r="K3324" i="6"/>
  <c r="K3327" i="6" s="1"/>
  <c r="K3325" i="6"/>
  <c r="J3324" i="6"/>
  <c r="J3327" i="6" s="1"/>
  <c r="J3325" i="6"/>
  <c r="I3324" i="6"/>
  <c r="I3327" i="6" s="1"/>
  <c r="I3325" i="6"/>
  <c r="H3324" i="6"/>
  <c r="H3327" i="6" s="1"/>
  <c r="H3325" i="6"/>
  <c r="G3324" i="6"/>
  <c r="G3327" i="6" s="1"/>
  <c r="G3325" i="6"/>
  <c r="F3324" i="6"/>
  <c r="F3327" i="6" s="1"/>
  <c r="F3325" i="6"/>
  <c r="E3324" i="6"/>
  <c r="E3327" i="6" s="1"/>
  <c r="E3325" i="6"/>
  <c r="M3278" i="6"/>
  <c r="M3281" i="6" s="1"/>
  <c r="M3279" i="6"/>
  <c r="L3278" i="6"/>
  <c r="L3281" i="6" s="1"/>
  <c r="L3279" i="6"/>
  <c r="K3278" i="6"/>
  <c r="K3281" i="6" s="1"/>
  <c r="K3279" i="6"/>
  <c r="J3278" i="6"/>
  <c r="J3281" i="6" s="1"/>
  <c r="J3279" i="6"/>
  <c r="I3278" i="6"/>
  <c r="I3281" i="6" s="1"/>
  <c r="I3279" i="6"/>
  <c r="H3278" i="6"/>
  <c r="H3281" i="6" s="1"/>
  <c r="H3279" i="6"/>
  <c r="G3278" i="6"/>
  <c r="G3281" i="6" s="1"/>
  <c r="G3279" i="6"/>
  <c r="F3278" i="6"/>
  <c r="F3281" i="6" s="1"/>
  <c r="F3279" i="6"/>
  <c r="E3278" i="6"/>
  <c r="E3281" i="6" s="1"/>
  <c r="E3279" i="6"/>
  <c r="M3232" i="6"/>
  <c r="M3235" i="6" s="1"/>
  <c r="M3233" i="6"/>
  <c r="L3232" i="6"/>
  <c r="L3235" i="6" s="1"/>
  <c r="L3233" i="6"/>
  <c r="K3232" i="6"/>
  <c r="K3235" i="6" s="1"/>
  <c r="K3233" i="6"/>
  <c r="J3232" i="6"/>
  <c r="J3235" i="6" s="1"/>
  <c r="J3233" i="6"/>
  <c r="I3232" i="6"/>
  <c r="I3235" i="6" s="1"/>
  <c r="I3233" i="6"/>
  <c r="H3232" i="6"/>
  <c r="H3235" i="6" s="1"/>
  <c r="H3233" i="6"/>
  <c r="G3232" i="6"/>
  <c r="G3235" i="6" s="1"/>
  <c r="G3233" i="6"/>
  <c r="F3232" i="6"/>
  <c r="F3235" i="6" s="1"/>
  <c r="F3233" i="6"/>
  <c r="E3232" i="6"/>
  <c r="E3235" i="6" s="1"/>
  <c r="E3233" i="6"/>
  <c r="M3186" i="6"/>
  <c r="M3189" i="6" s="1"/>
  <c r="M3187" i="6"/>
  <c r="J3186" i="6"/>
  <c r="J3189" i="6" s="1"/>
  <c r="J3187" i="6"/>
  <c r="I3186" i="6"/>
  <c r="I3189" i="6" s="1"/>
  <c r="I3187" i="6"/>
  <c r="H3186" i="6"/>
  <c r="H3189" i="6" s="1"/>
  <c r="H3187" i="6"/>
  <c r="G3186" i="6"/>
  <c r="G3189" i="6" s="1"/>
  <c r="G3187" i="6"/>
  <c r="F3186" i="6"/>
  <c r="F3189" i="6" s="1"/>
  <c r="F3187" i="6"/>
  <c r="E3186" i="6"/>
  <c r="E3189" i="6" s="1"/>
  <c r="E3187" i="6"/>
  <c r="M3140" i="6"/>
  <c r="M3143" i="6" s="1"/>
  <c r="M3141" i="6"/>
  <c r="L3140" i="6"/>
  <c r="L3143" i="6" s="1"/>
  <c r="L3141" i="6"/>
  <c r="K3140" i="6"/>
  <c r="K3143" i="6" s="1"/>
  <c r="K3141" i="6"/>
  <c r="J3140" i="6"/>
  <c r="J3143" i="6" s="1"/>
  <c r="J3141" i="6"/>
  <c r="I3140" i="6"/>
  <c r="I3143" i="6" s="1"/>
  <c r="I3141" i="6"/>
  <c r="H3140" i="6"/>
  <c r="H3143" i="6" s="1"/>
  <c r="H3141" i="6"/>
  <c r="G3140" i="6"/>
  <c r="G3143" i="6" s="1"/>
  <c r="G3141" i="6"/>
  <c r="F3140" i="6"/>
  <c r="F3143" i="6" s="1"/>
  <c r="F3141" i="6"/>
  <c r="E3140" i="6"/>
  <c r="E3143" i="6" s="1"/>
  <c r="E3141" i="6"/>
  <c r="M3094" i="6"/>
  <c r="M3097" i="6" s="1"/>
  <c r="M3095" i="6"/>
  <c r="L3094" i="6"/>
  <c r="L3097" i="6" s="1"/>
  <c r="L3095" i="6"/>
  <c r="K3094" i="6"/>
  <c r="K3097" i="6" s="1"/>
  <c r="K3095" i="6"/>
  <c r="J3094" i="6"/>
  <c r="J3097" i="6" s="1"/>
  <c r="J3095" i="6"/>
  <c r="I3094" i="6"/>
  <c r="I3097" i="6" s="1"/>
  <c r="I3095" i="6"/>
  <c r="H3094" i="6"/>
  <c r="H3097" i="6" s="1"/>
  <c r="H3095" i="6"/>
  <c r="G3094" i="6"/>
  <c r="G3097" i="6" s="1"/>
  <c r="G3095" i="6"/>
  <c r="F3094" i="6"/>
  <c r="F3097" i="6" s="1"/>
  <c r="F3095" i="6"/>
  <c r="E3094" i="6"/>
  <c r="E3097" i="6" s="1"/>
  <c r="E3095" i="6"/>
  <c r="M3048" i="6"/>
  <c r="M3051" i="6" s="1"/>
  <c r="M3049" i="6"/>
  <c r="L3048" i="6"/>
  <c r="L3051" i="6" s="1"/>
  <c r="L3049" i="6"/>
  <c r="K3048" i="6"/>
  <c r="K3051" i="6" s="1"/>
  <c r="K3049" i="6"/>
  <c r="J3048" i="6"/>
  <c r="J3051" i="6" s="1"/>
  <c r="J3049" i="6"/>
  <c r="I3048" i="6"/>
  <c r="I3051" i="6" s="1"/>
  <c r="I3049" i="6"/>
  <c r="H3048" i="6"/>
  <c r="H3051" i="6" s="1"/>
  <c r="H3049" i="6"/>
  <c r="G3048" i="6"/>
  <c r="G3051" i="6" s="1"/>
  <c r="G3049" i="6"/>
  <c r="F3048" i="6"/>
  <c r="F3051" i="6" s="1"/>
  <c r="F3049" i="6"/>
  <c r="E3048" i="6"/>
  <c r="E3051" i="6" s="1"/>
  <c r="E3049" i="6"/>
  <c r="M3002" i="6"/>
  <c r="M3005" i="6" s="1"/>
  <c r="M3003" i="6"/>
  <c r="L3002" i="6"/>
  <c r="L3005" i="6" s="1"/>
  <c r="L3003" i="6"/>
  <c r="K3002" i="6"/>
  <c r="K3005" i="6" s="1"/>
  <c r="K3003" i="6"/>
  <c r="J3002" i="6"/>
  <c r="J3005" i="6" s="1"/>
  <c r="J3003" i="6"/>
  <c r="I3002" i="6"/>
  <c r="I3005" i="6" s="1"/>
  <c r="I3003" i="6"/>
  <c r="H3002" i="6"/>
  <c r="H3005" i="6" s="1"/>
  <c r="H3003" i="6"/>
  <c r="G3002" i="6"/>
  <c r="G3005" i="6" s="1"/>
  <c r="G3003" i="6"/>
  <c r="F3002" i="6"/>
  <c r="F3005" i="6" s="1"/>
  <c r="F3003" i="6"/>
  <c r="E3002" i="6"/>
  <c r="E3005" i="6" s="1"/>
  <c r="E3003" i="6"/>
  <c r="M2956" i="6"/>
  <c r="M2959" i="6" s="1"/>
  <c r="M2957" i="6"/>
  <c r="L2956" i="6"/>
  <c r="L2959" i="6" s="1"/>
  <c r="L2957" i="6"/>
  <c r="K2956" i="6"/>
  <c r="K2959" i="6" s="1"/>
  <c r="K2957" i="6"/>
  <c r="J2956" i="6"/>
  <c r="J2959" i="6" s="1"/>
  <c r="J2957" i="6"/>
  <c r="I2956" i="6"/>
  <c r="I2959" i="6" s="1"/>
  <c r="I2957" i="6"/>
  <c r="H2956" i="6"/>
  <c r="H2959" i="6" s="1"/>
  <c r="H2957" i="6"/>
  <c r="G2956" i="6"/>
  <c r="G2959" i="6" s="1"/>
  <c r="G2957" i="6"/>
  <c r="F2956" i="6"/>
  <c r="F2959" i="6" s="1"/>
  <c r="F2957" i="6"/>
  <c r="E2956" i="6"/>
  <c r="E2959" i="6" s="1"/>
  <c r="E2957" i="6"/>
  <c r="M2910" i="6"/>
  <c r="M2913" i="6" s="1"/>
  <c r="M2911" i="6"/>
  <c r="L2910" i="6"/>
  <c r="L2913" i="6" s="1"/>
  <c r="L2911" i="6"/>
  <c r="K2910" i="6"/>
  <c r="K2913" i="6" s="1"/>
  <c r="K2911" i="6"/>
  <c r="J2910" i="6"/>
  <c r="J2913" i="6" s="1"/>
  <c r="J2911" i="6"/>
  <c r="I2910" i="6"/>
  <c r="I2913" i="6" s="1"/>
  <c r="I2911" i="6"/>
  <c r="H2910" i="6"/>
  <c r="H2913" i="6" s="1"/>
  <c r="H2911" i="6"/>
  <c r="G2910" i="6"/>
  <c r="G2913" i="6" s="1"/>
  <c r="G2911" i="6"/>
  <c r="E2910" i="6"/>
  <c r="E2913" i="6" s="1"/>
  <c r="E2911" i="6"/>
  <c r="M2864" i="6"/>
  <c r="M2867" i="6" s="1"/>
  <c r="M2865" i="6"/>
  <c r="L2864" i="6"/>
  <c r="L2867" i="6" s="1"/>
  <c r="L2865" i="6"/>
  <c r="K2864" i="6"/>
  <c r="K2867" i="6" s="1"/>
  <c r="K2865" i="6"/>
  <c r="J2864" i="6"/>
  <c r="J2867" i="6" s="1"/>
  <c r="J2865" i="6"/>
  <c r="I2864" i="6"/>
  <c r="I2867" i="6" s="1"/>
  <c r="I2865" i="6"/>
  <c r="H2864" i="6"/>
  <c r="H2867" i="6" s="1"/>
  <c r="H2865" i="6"/>
  <c r="G2864" i="6"/>
  <c r="G2867" i="6" s="1"/>
  <c r="G2865" i="6"/>
  <c r="F2864" i="6"/>
  <c r="F2867" i="6" s="1"/>
  <c r="F2865" i="6"/>
  <c r="E2864" i="6"/>
  <c r="E2867" i="6" s="1"/>
  <c r="E2865" i="6"/>
  <c r="M2818" i="6"/>
  <c r="M2821" i="6" s="1"/>
  <c r="M2819" i="6"/>
  <c r="L2818" i="6"/>
  <c r="L2821" i="6" s="1"/>
  <c r="L2819" i="6"/>
  <c r="K2818" i="6"/>
  <c r="K2821" i="6" s="1"/>
  <c r="K2819" i="6"/>
  <c r="J2818" i="6"/>
  <c r="J2821" i="6" s="1"/>
  <c r="J2819" i="6"/>
  <c r="I2818" i="6"/>
  <c r="I2821" i="6" s="1"/>
  <c r="I2819" i="6"/>
  <c r="H2818" i="6"/>
  <c r="H2821" i="6" s="1"/>
  <c r="H2819" i="6"/>
  <c r="G2818" i="6"/>
  <c r="G2821" i="6" s="1"/>
  <c r="G2819" i="6"/>
  <c r="F2818" i="6"/>
  <c r="F2821" i="6" s="1"/>
  <c r="F2819" i="6"/>
  <c r="E2818" i="6"/>
  <c r="E2821" i="6" s="1"/>
  <c r="E2819" i="6"/>
  <c r="M2772" i="6"/>
  <c r="M2775" i="6" s="1"/>
  <c r="M2773" i="6"/>
  <c r="L2772" i="6"/>
  <c r="L2775" i="6" s="1"/>
  <c r="L2773" i="6"/>
  <c r="K2772" i="6"/>
  <c r="K2775" i="6" s="1"/>
  <c r="K2773" i="6"/>
  <c r="J2772" i="6"/>
  <c r="J2775" i="6" s="1"/>
  <c r="J2773" i="6"/>
  <c r="I2772" i="6"/>
  <c r="I2775" i="6" s="1"/>
  <c r="I2773" i="6"/>
  <c r="H2772" i="6"/>
  <c r="H2775" i="6" s="1"/>
  <c r="H2773" i="6"/>
  <c r="G2772" i="6"/>
  <c r="G2775" i="6" s="1"/>
  <c r="G2773" i="6"/>
  <c r="F2772" i="6"/>
  <c r="F2775" i="6" s="1"/>
  <c r="F2773" i="6"/>
  <c r="E2772" i="6"/>
  <c r="E2775" i="6" s="1"/>
  <c r="E2773" i="6"/>
  <c r="M2726" i="6"/>
  <c r="M2729" i="6" s="1"/>
  <c r="M2727" i="6"/>
  <c r="L2726" i="6"/>
  <c r="L2729" i="6" s="1"/>
  <c r="L2727" i="6"/>
  <c r="K2726" i="6"/>
  <c r="K2729" i="6" s="1"/>
  <c r="K2727" i="6"/>
  <c r="J2726" i="6"/>
  <c r="J2729" i="6" s="1"/>
  <c r="J2727" i="6"/>
  <c r="I2726" i="6"/>
  <c r="I2729" i="6" s="1"/>
  <c r="I2727" i="6"/>
  <c r="H2726" i="6"/>
  <c r="H2729" i="6" s="1"/>
  <c r="H2727" i="6"/>
  <c r="G2726" i="6"/>
  <c r="G2729" i="6" s="1"/>
  <c r="G2727" i="6"/>
  <c r="F2726" i="6"/>
  <c r="F2729" i="6" s="1"/>
  <c r="F2727" i="6"/>
  <c r="E2726" i="6"/>
  <c r="E2729" i="6" s="1"/>
  <c r="E2727" i="6"/>
  <c r="M2680" i="6"/>
  <c r="M2683" i="6" s="1"/>
  <c r="M2681" i="6"/>
  <c r="L2680" i="6"/>
  <c r="L2683" i="6" s="1"/>
  <c r="L2681" i="6"/>
  <c r="K2680" i="6"/>
  <c r="K2683" i="6" s="1"/>
  <c r="K2681" i="6"/>
  <c r="J2680" i="6"/>
  <c r="J2683" i="6" s="1"/>
  <c r="J2681" i="6"/>
  <c r="I2680" i="6"/>
  <c r="I2683" i="6" s="1"/>
  <c r="I2681" i="6"/>
  <c r="H2680" i="6"/>
  <c r="H2683" i="6" s="1"/>
  <c r="H2681" i="6"/>
  <c r="G2680" i="6"/>
  <c r="G2683" i="6" s="1"/>
  <c r="G2681" i="6"/>
  <c r="F2680" i="6"/>
  <c r="F2683" i="6" s="1"/>
  <c r="F2681" i="6"/>
  <c r="E2680" i="6"/>
  <c r="E2683" i="6" s="1"/>
  <c r="E2681" i="6"/>
  <c r="M2634" i="6"/>
  <c r="M2637" i="6" s="1"/>
  <c r="M2635" i="6"/>
  <c r="L2634" i="6"/>
  <c r="L2637" i="6" s="1"/>
  <c r="L2635" i="6"/>
  <c r="K2634" i="6"/>
  <c r="K2637" i="6" s="1"/>
  <c r="K2635" i="6"/>
  <c r="J2634" i="6"/>
  <c r="J2637" i="6" s="1"/>
  <c r="J2635" i="6"/>
  <c r="I2634" i="6"/>
  <c r="I2637" i="6" s="1"/>
  <c r="I2635" i="6"/>
  <c r="H2634" i="6"/>
  <c r="H2637" i="6" s="1"/>
  <c r="H2635" i="6"/>
  <c r="G2634" i="6"/>
  <c r="G2637" i="6" s="1"/>
  <c r="G2635" i="6"/>
  <c r="F2634" i="6"/>
  <c r="F2637" i="6" s="1"/>
  <c r="F2635" i="6"/>
  <c r="E2634" i="6"/>
  <c r="E2637" i="6" s="1"/>
  <c r="E2635" i="6"/>
  <c r="M2588" i="6"/>
  <c r="M2591" i="6" s="1"/>
  <c r="M2589" i="6"/>
  <c r="L2588" i="6"/>
  <c r="L2591" i="6" s="1"/>
  <c r="L2589" i="6"/>
  <c r="K2588" i="6"/>
  <c r="K2591" i="6" s="1"/>
  <c r="K2589" i="6"/>
  <c r="J2588" i="6"/>
  <c r="J2591" i="6" s="1"/>
  <c r="J2589" i="6"/>
  <c r="I2588" i="6"/>
  <c r="I2591" i="6" s="1"/>
  <c r="I2589" i="6"/>
  <c r="H2588" i="6"/>
  <c r="H2591" i="6" s="1"/>
  <c r="H2589" i="6"/>
  <c r="G2588" i="6"/>
  <c r="G2591" i="6" s="1"/>
  <c r="G2589" i="6"/>
  <c r="F2588" i="6"/>
  <c r="F2591" i="6" s="1"/>
  <c r="F2589" i="6"/>
  <c r="E2588" i="6"/>
  <c r="E2591" i="6" s="1"/>
  <c r="E2589" i="6"/>
  <c r="M2542" i="6"/>
  <c r="M2545" i="6" s="1"/>
  <c r="M2543" i="6"/>
  <c r="L2542" i="6"/>
  <c r="L2545" i="6" s="1"/>
  <c r="L2543" i="6"/>
  <c r="K2542" i="6"/>
  <c r="K2545" i="6" s="1"/>
  <c r="K2543" i="6"/>
  <c r="J2542" i="6"/>
  <c r="J2545" i="6" s="1"/>
  <c r="J2543" i="6"/>
  <c r="I2542" i="6"/>
  <c r="I2545" i="6" s="1"/>
  <c r="I2543" i="6"/>
  <c r="H2542" i="6"/>
  <c r="H2545" i="6" s="1"/>
  <c r="H2543" i="6"/>
  <c r="G2542" i="6"/>
  <c r="G2545" i="6" s="1"/>
  <c r="G2543" i="6"/>
  <c r="F2542" i="6"/>
  <c r="F2545" i="6" s="1"/>
  <c r="F2543" i="6"/>
  <c r="E2542" i="6"/>
  <c r="E2545" i="6" s="1"/>
  <c r="E2543" i="6"/>
  <c r="M2496" i="6"/>
  <c r="M2499" i="6" s="1"/>
  <c r="M2497" i="6"/>
  <c r="L2496" i="6"/>
  <c r="L2499" i="6" s="1"/>
  <c r="L2497" i="6"/>
  <c r="K2496" i="6"/>
  <c r="K2499" i="6" s="1"/>
  <c r="K2497" i="6"/>
  <c r="J2496" i="6"/>
  <c r="J2499" i="6" s="1"/>
  <c r="J2497" i="6"/>
  <c r="I2496" i="6"/>
  <c r="I2499" i="6" s="1"/>
  <c r="I2497" i="6"/>
  <c r="H2496" i="6"/>
  <c r="H2499" i="6" s="1"/>
  <c r="H2497" i="6"/>
  <c r="G2496" i="6"/>
  <c r="G2499" i="6" s="1"/>
  <c r="G2497" i="6"/>
  <c r="F2496" i="6"/>
  <c r="F2499" i="6" s="1"/>
  <c r="F2497" i="6"/>
  <c r="E2496" i="6"/>
  <c r="E2499" i="6" s="1"/>
  <c r="E2497" i="6"/>
  <c r="M2450" i="6"/>
  <c r="M2453" i="6" s="1"/>
  <c r="M2451" i="6"/>
  <c r="L2450" i="6"/>
  <c r="L2453" i="6" s="1"/>
  <c r="L2451" i="6"/>
  <c r="K2450" i="6"/>
  <c r="K2453" i="6" s="1"/>
  <c r="K2451" i="6"/>
  <c r="J2450" i="6"/>
  <c r="J2453" i="6" s="1"/>
  <c r="J2451" i="6"/>
  <c r="I2450" i="6"/>
  <c r="I2453" i="6" s="1"/>
  <c r="I2451" i="6"/>
  <c r="H2450" i="6"/>
  <c r="H2453" i="6" s="1"/>
  <c r="H2451" i="6"/>
  <c r="G2450" i="6"/>
  <c r="G2453" i="6" s="1"/>
  <c r="G2451" i="6"/>
  <c r="F2450" i="6"/>
  <c r="F2453" i="6" s="1"/>
  <c r="F2451" i="6"/>
  <c r="E2450" i="6"/>
  <c r="E2453" i="6" s="1"/>
  <c r="E2451" i="6"/>
  <c r="M2404" i="6"/>
  <c r="M2407" i="6" s="1"/>
  <c r="M2405" i="6"/>
  <c r="L2404" i="6"/>
  <c r="L2407" i="6" s="1"/>
  <c r="L2405" i="6"/>
  <c r="K2404" i="6"/>
  <c r="K2407" i="6" s="1"/>
  <c r="K2405" i="6"/>
  <c r="J2404" i="6"/>
  <c r="J2407" i="6" s="1"/>
  <c r="J2405" i="6"/>
  <c r="I2404" i="6"/>
  <c r="I2407" i="6" s="1"/>
  <c r="I2405" i="6"/>
  <c r="H2404" i="6"/>
  <c r="H2407" i="6" s="1"/>
  <c r="H2405" i="6"/>
  <c r="G2404" i="6"/>
  <c r="G2407" i="6" s="1"/>
  <c r="G2405" i="6"/>
  <c r="F2404" i="6"/>
  <c r="F2407" i="6" s="1"/>
  <c r="F2405" i="6"/>
  <c r="E2404" i="6"/>
  <c r="E2407" i="6" s="1"/>
  <c r="E2405" i="6"/>
  <c r="M2358" i="6"/>
  <c r="M2361" i="6" s="1"/>
  <c r="M2359" i="6"/>
  <c r="L2358" i="6"/>
  <c r="L2361" i="6" s="1"/>
  <c r="L2359" i="6"/>
  <c r="K2358" i="6"/>
  <c r="K2361" i="6" s="1"/>
  <c r="K2359" i="6"/>
  <c r="J2358" i="6"/>
  <c r="J2361" i="6" s="1"/>
  <c r="J2359" i="6"/>
  <c r="I2358" i="6"/>
  <c r="I2361" i="6" s="1"/>
  <c r="I2359" i="6"/>
  <c r="H2358" i="6"/>
  <c r="H2361" i="6" s="1"/>
  <c r="H2359" i="6"/>
  <c r="G2358" i="6"/>
  <c r="G2361" i="6" s="1"/>
  <c r="G2359" i="6"/>
  <c r="F2358" i="6"/>
  <c r="F2361" i="6" s="1"/>
  <c r="F2359" i="6"/>
  <c r="E2358" i="6"/>
  <c r="E2361" i="6" s="1"/>
  <c r="E2359" i="6"/>
  <c r="M2312" i="6"/>
  <c r="M2315" i="6" s="1"/>
  <c r="M2313" i="6"/>
  <c r="L2312" i="6"/>
  <c r="L2315" i="6" s="1"/>
  <c r="L2313" i="6"/>
  <c r="K2312" i="6"/>
  <c r="K2315" i="6" s="1"/>
  <c r="K2313" i="6"/>
  <c r="J2312" i="6"/>
  <c r="J2315" i="6" s="1"/>
  <c r="J2313" i="6"/>
  <c r="I2312" i="6"/>
  <c r="I2315" i="6" s="1"/>
  <c r="I2313" i="6"/>
  <c r="H2312" i="6"/>
  <c r="H2315" i="6" s="1"/>
  <c r="H2313" i="6"/>
  <c r="G2312" i="6"/>
  <c r="G2315" i="6" s="1"/>
  <c r="G2313" i="6"/>
  <c r="F2312" i="6"/>
  <c r="F2315" i="6" s="1"/>
  <c r="F2313" i="6"/>
  <c r="E2312" i="6"/>
  <c r="E2315" i="6" s="1"/>
  <c r="E2313" i="6"/>
  <c r="M2266" i="6"/>
  <c r="M2269" i="6" s="1"/>
  <c r="M2267" i="6"/>
  <c r="L2266" i="6"/>
  <c r="L2269" i="6" s="1"/>
  <c r="L2267" i="6"/>
  <c r="K2266" i="6"/>
  <c r="K2269" i="6" s="1"/>
  <c r="K2267" i="6"/>
  <c r="J2266" i="6"/>
  <c r="J2269" i="6" s="1"/>
  <c r="J2267" i="6"/>
  <c r="I2266" i="6"/>
  <c r="I2269" i="6" s="1"/>
  <c r="I2267" i="6"/>
  <c r="H2266" i="6"/>
  <c r="H2269" i="6" s="1"/>
  <c r="H2267" i="6"/>
  <c r="G2266" i="6"/>
  <c r="G2269" i="6" s="1"/>
  <c r="G2267" i="6"/>
  <c r="F2266" i="6"/>
  <c r="F2269" i="6" s="1"/>
  <c r="F2267" i="6"/>
  <c r="E2266" i="6"/>
  <c r="E2269" i="6" s="1"/>
  <c r="E2267" i="6"/>
  <c r="M2220" i="6"/>
  <c r="M2223" i="6" s="1"/>
  <c r="M2221" i="6"/>
  <c r="L2220" i="6"/>
  <c r="L2223" i="6" s="1"/>
  <c r="L2221" i="6"/>
  <c r="K2220" i="6"/>
  <c r="K2223" i="6" s="1"/>
  <c r="K2221" i="6"/>
  <c r="J2220" i="6"/>
  <c r="J2223" i="6" s="1"/>
  <c r="J2221" i="6"/>
  <c r="I2220" i="6"/>
  <c r="I2223" i="6" s="1"/>
  <c r="I2221" i="6"/>
  <c r="H2220" i="6"/>
  <c r="H2223" i="6" s="1"/>
  <c r="H2221" i="6"/>
  <c r="G2220" i="6"/>
  <c r="G2223" i="6" s="1"/>
  <c r="G2221" i="6"/>
  <c r="F2220" i="6"/>
  <c r="F2223" i="6" s="1"/>
  <c r="F2221" i="6"/>
  <c r="E2220" i="6"/>
  <c r="E2223" i="6" s="1"/>
  <c r="E2221" i="6"/>
  <c r="E2176" i="6"/>
  <c r="E2180" i="6" s="1"/>
  <c r="D2176" i="6"/>
  <c r="D2180" i="6" s="1"/>
  <c r="K2176" i="6"/>
  <c r="K2180" i="6" s="1"/>
  <c r="M2176" i="6"/>
  <c r="M2180" i="6" s="1"/>
  <c r="L2176" i="6"/>
  <c r="L2180" i="6" s="1"/>
  <c r="J2176" i="6"/>
  <c r="J2180" i="6" s="1"/>
  <c r="I2176" i="6"/>
  <c r="I2180" i="6" s="1"/>
  <c r="H2176" i="6"/>
  <c r="H2180" i="6" s="1"/>
  <c r="G2176" i="6"/>
  <c r="G2180" i="6" s="1"/>
  <c r="F2176" i="6"/>
  <c r="F2180" i="6" s="1"/>
  <c r="M2128" i="6"/>
  <c r="M2131" i="6" s="1"/>
  <c r="M2129" i="6"/>
  <c r="L2128" i="6"/>
  <c r="L2131" i="6" s="1"/>
  <c r="L2129" i="6"/>
  <c r="K2128" i="6"/>
  <c r="K2131" i="6" s="1"/>
  <c r="K2129" i="6"/>
  <c r="J2128" i="6"/>
  <c r="J2131" i="6" s="1"/>
  <c r="J2129" i="6"/>
  <c r="I2128" i="6"/>
  <c r="I2131" i="6" s="1"/>
  <c r="I2129" i="6"/>
  <c r="H2128" i="6"/>
  <c r="H2131" i="6" s="1"/>
  <c r="H2129" i="6"/>
  <c r="G2128" i="6"/>
  <c r="G2131" i="6" s="1"/>
  <c r="G2129" i="6"/>
  <c r="F2128" i="6"/>
  <c r="F2131" i="6" s="1"/>
  <c r="F2129" i="6"/>
  <c r="E2128" i="6"/>
  <c r="E2131" i="6" s="1"/>
  <c r="E2129" i="6"/>
  <c r="M2082" i="6"/>
  <c r="M2085" i="6" s="1"/>
  <c r="M2083" i="6"/>
  <c r="L2082" i="6"/>
  <c r="L2085" i="6" s="1"/>
  <c r="L2083" i="6"/>
  <c r="K2082" i="6"/>
  <c r="K2085" i="6" s="1"/>
  <c r="K2083" i="6"/>
  <c r="J2082" i="6"/>
  <c r="J2085" i="6" s="1"/>
  <c r="J2083" i="6"/>
  <c r="I2082" i="6"/>
  <c r="I2085" i="6" s="1"/>
  <c r="I2083" i="6"/>
  <c r="H2082" i="6"/>
  <c r="H2085" i="6" s="1"/>
  <c r="H2083" i="6"/>
  <c r="G2082" i="6"/>
  <c r="G2085" i="6" s="1"/>
  <c r="G2083" i="6"/>
  <c r="F2082" i="6"/>
  <c r="F2085" i="6" s="1"/>
  <c r="F2083" i="6"/>
  <c r="E2082" i="6"/>
  <c r="E2085" i="6" s="1"/>
  <c r="E2083" i="6"/>
  <c r="M2036" i="6"/>
  <c r="M2039" i="6" s="1"/>
  <c r="M2037" i="6"/>
  <c r="L2036" i="6"/>
  <c r="L2039" i="6" s="1"/>
  <c r="L2037" i="6"/>
  <c r="K2036" i="6"/>
  <c r="K2039" i="6" s="1"/>
  <c r="K2037" i="6"/>
  <c r="J2036" i="6"/>
  <c r="J2039" i="6" s="1"/>
  <c r="J2037" i="6"/>
  <c r="I2036" i="6"/>
  <c r="I2039" i="6" s="1"/>
  <c r="I2037" i="6"/>
  <c r="H2036" i="6"/>
  <c r="H2039" i="6" s="1"/>
  <c r="H2037" i="6"/>
  <c r="G2036" i="6"/>
  <c r="G2039" i="6" s="1"/>
  <c r="G2037" i="6"/>
  <c r="F2036" i="6"/>
  <c r="F2039" i="6" s="1"/>
  <c r="F2037" i="6"/>
  <c r="E2036" i="6"/>
  <c r="E2039" i="6" s="1"/>
  <c r="E2037" i="6"/>
  <c r="M1990" i="6"/>
  <c r="M1993" i="6" s="1"/>
  <c r="M1991" i="6"/>
  <c r="L1990" i="6"/>
  <c r="L1993" i="6" s="1"/>
  <c r="L1991" i="6"/>
  <c r="K1990" i="6"/>
  <c r="K1993" i="6" s="1"/>
  <c r="K1991" i="6"/>
  <c r="J1990" i="6"/>
  <c r="J1993" i="6" s="1"/>
  <c r="J1991" i="6"/>
  <c r="I1990" i="6"/>
  <c r="I1993" i="6" s="1"/>
  <c r="I1991" i="6"/>
  <c r="H1990" i="6"/>
  <c r="H1993" i="6" s="1"/>
  <c r="H1991" i="6"/>
  <c r="G1990" i="6"/>
  <c r="G1993" i="6" s="1"/>
  <c r="G1991" i="6"/>
  <c r="F1990" i="6"/>
  <c r="F1993" i="6" s="1"/>
  <c r="F1991" i="6"/>
  <c r="E1990" i="6"/>
  <c r="E1993" i="6" s="1"/>
  <c r="E1991" i="6"/>
  <c r="M1944" i="6"/>
  <c r="M1947" i="6" s="1"/>
  <c r="M1945" i="6"/>
  <c r="L1944" i="6"/>
  <c r="L1947" i="6" s="1"/>
  <c r="L1945" i="6"/>
  <c r="K1944" i="6"/>
  <c r="K1947" i="6" s="1"/>
  <c r="K1945" i="6"/>
  <c r="J1944" i="6"/>
  <c r="J1947" i="6" s="1"/>
  <c r="J1945" i="6"/>
  <c r="I1944" i="6"/>
  <c r="I1947" i="6" s="1"/>
  <c r="I1945" i="6"/>
  <c r="H1944" i="6"/>
  <c r="H1947" i="6" s="1"/>
  <c r="H1945" i="6"/>
  <c r="G1944" i="6"/>
  <c r="G1947" i="6" s="1"/>
  <c r="G1945" i="6"/>
  <c r="F1944" i="6"/>
  <c r="F1947" i="6" s="1"/>
  <c r="F1945" i="6"/>
  <c r="E1944" i="6"/>
  <c r="E1947" i="6" s="1"/>
  <c r="E1945" i="6"/>
  <c r="M1898" i="6"/>
  <c r="M1901" i="6" s="1"/>
  <c r="M1899" i="6"/>
  <c r="L1898" i="6"/>
  <c r="L1901" i="6" s="1"/>
  <c r="L1899" i="6"/>
  <c r="K1898" i="6"/>
  <c r="K1901" i="6" s="1"/>
  <c r="K1899" i="6"/>
  <c r="J1898" i="6"/>
  <c r="J1901" i="6" s="1"/>
  <c r="J1899" i="6"/>
  <c r="I1898" i="6"/>
  <c r="I1901" i="6" s="1"/>
  <c r="I1899" i="6"/>
  <c r="H1898" i="6"/>
  <c r="H1901" i="6" s="1"/>
  <c r="H1899" i="6"/>
  <c r="G1898" i="6"/>
  <c r="G1901" i="6" s="1"/>
  <c r="G1899" i="6"/>
  <c r="F1898" i="6"/>
  <c r="F1901" i="6" s="1"/>
  <c r="F1899" i="6"/>
  <c r="E1898" i="6"/>
  <c r="E1901" i="6" s="1"/>
  <c r="E1899" i="6"/>
  <c r="L1852" i="6"/>
  <c r="L1855" i="6" s="1"/>
  <c r="L1853" i="6"/>
  <c r="K1852" i="6"/>
  <c r="K1855" i="6" s="1"/>
  <c r="K1853" i="6"/>
  <c r="J1852" i="6"/>
  <c r="J1855" i="6" s="1"/>
  <c r="J1853" i="6"/>
  <c r="I1852" i="6"/>
  <c r="I1855" i="6" s="1"/>
  <c r="I1853" i="6"/>
  <c r="H1852" i="6"/>
  <c r="H1855" i="6" s="1"/>
  <c r="H1853" i="6"/>
  <c r="G1852" i="6"/>
  <c r="G1855" i="6" s="1"/>
  <c r="G1853" i="6"/>
  <c r="F1852" i="6"/>
  <c r="F1855" i="6" s="1"/>
  <c r="F1853" i="6"/>
  <c r="E1852" i="6"/>
  <c r="E1855" i="6" s="1"/>
  <c r="E1853" i="6"/>
  <c r="M1806" i="6"/>
  <c r="M1809" i="6" s="1"/>
  <c r="M1807" i="6"/>
  <c r="L1806" i="6"/>
  <c r="L1809" i="6" s="1"/>
  <c r="L1807" i="6"/>
  <c r="K1806" i="6"/>
  <c r="K1809" i="6" s="1"/>
  <c r="K1807" i="6"/>
  <c r="J1806" i="6"/>
  <c r="J1809" i="6" s="1"/>
  <c r="J1807" i="6"/>
  <c r="I1806" i="6"/>
  <c r="I1809" i="6" s="1"/>
  <c r="I1807" i="6"/>
  <c r="H1806" i="6"/>
  <c r="H1809" i="6" s="1"/>
  <c r="H1807" i="6"/>
  <c r="G1806" i="6"/>
  <c r="G1809" i="6" s="1"/>
  <c r="G1807" i="6"/>
  <c r="F1806" i="6"/>
  <c r="F1809" i="6" s="1"/>
  <c r="F1807" i="6"/>
  <c r="E1806" i="6"/>
  <c r="E1809" i="6" s="1"/>
  <c r="E1807" i="6"/>
  <c r="M1760" i="6"/>
  <c r="M1763" i="6" s="1"/>
  <c r="M1761" i="6"/>
  <c r="L1760" i="6"/>
  <c r="L1763" i="6" s="1"/>
  <c r="L1761" i="6"/>
  <c r="K1760" i="6"/>
  <c r="K1763" i="6" s="1"/>
  <c r="K1761" i="6"/>
  <c r="J1760" i="6"/>
  <c r="J1763" i="6" s="1"/>
  <c r="J1761" i="6"/>
  <c r="I1760" i="6"/>
  <c r="I1763" i="6" s="1"/>
  <c r="I1761" i="6"/>
  <c r="H1760" i="6"/>
  <c r="H1763" i="6" s="1"/>
  <c r="H1761" i="6"/>
  <c r="G1760" i="6"/>
  <c r="G1763" i="6" s="1"/>
  <c r="G1761" i="6"/>
  <c r="F1760" i="6"/>
  <c r="F1763" i="6" s="1"/>
  <c r="F1761" i="6"/>
  <c r="E1760" i="6"/>
  <c r="E1763" i="6" s="1"/>
  <c r="E1761" i="6"/>
  <c r="M1714" i="6"/>
  <c r="M1717" i="6" s="1"/>
  <c r="M1715" i="6"/>
  <c r="L1714" i="6"/>
  <c r="L1717" i="6" s="1"/>
  <c r="L1715" i="6"/>
  <c r="K1714" i="6"/>
  <c r="K1717" i="6" s="1"/>
  <c r="K1715" i="6"/>
  <c r="J1714" i="6"/>
  <c r="J1717" i="6" s="1"/>
  <c r="J1715" i="6"/>
  <c r="I1714" i="6"/>
  <c r="I1717" i="6" s="1"/>
  <c r="I1715" i="6"/>
  <c r="H1714" i="6"/>
  <c r="H1717" i="6" s="1"/>
  <c r="H1715" i="6"/>
  <c r="G1714" i="6"/>
  <c r="G1717" i="6" s="1"/>
  <c r="G1715" i="6"/>
  <c r="F1714" i="6"/>
  <c r="F1717" i="6" s="1"/>
  <c r="F1715" i="6"/>
  <c r="E1714" i="6"/>
  <c r="E1717" i="6" s="1"/>
  <c r="E1715" i="6"/>
  <c r="M1668" i="6"/>
  <c r="M1671" i="6" s="1"/>
  <c r="M1669" i="6"/>
  <c r="L1668" i="6"/>
  <c r="L1671" i="6" s="1"/>
  <c r="L1669" i="6"/>
  <c r="K1668" i="6"/>
  <c r="K1671" i="6" s="1"/>
  <c r="K1669" i="6"/>
  <c r="J1668" i="6"/>
  <c r="J1671" i="6" s="1"/>
  <c r="J1669" i="6"/>
  <c r="I1668" i="6"/>
  <c r="I1671" i="6" s="1"/>
  <c r="I1669" i="6"/>
  <c r="H1668" i="6"/>
  <c r="H1671" i="6" s="1"/>
  <c r="H1669" i="6"/>
  <c r="G1668" i="6"/>
  <c r="G1671" i="6" s="1"/>
  <c r="G1669" i="6"/>
  <c r="F1668" i="6"/>
  <c r="F1671" i="6" s="1"/>
  <c r="F1669" i="6"/>
  <c r="E1668" i="6"/>
  <c r="E1671" i="6" s="1"/>
  <c r="E1669" i="6"/>
  <c r="M1622" i="6"/>
  <c r="M1625" i="6" s="1"/>
  <c r="M1623" i="6"/>
  <c r="L1622" i="6"/>
  <c r="L1625" i="6" s="1"/>
  <c r="L1623" i="6"/>
  <c r="K1622" i="6"/>
  <c r="K1625" i="6" s="1"/>
  <c r="K1623" i="6"/>
  <c r="J1622" i="6"/>
  <c r="J1625" i="6" s="1"/>
  <c r="J1623" i="6"/>
  <c r="I1622" i="6"/>
  <c r="I1625" i="6" s="1"/>
  <c r="I1623" i="6"/>
  <c r="H1622" i="6"/>
  <c r="H1625" i="6" s="1"/>
  <c r="H1623" i="6"/>
  <c r="G1622" i="6"/>
  <c r="G1625" i="6" s="1"/>
  <c r="G1623" i="6"/>
  <c r="F1622" i="6"/>
  <c r="F1625" i="6" s="1"/>
  <c r="F1623" i="6"/>
  <c r="E1622" i="6"/>
  <c r="E1625" i="6" s="1"/>
  <c r="E1623" i="6"/>
  <c r="M1576" i="6"/>
  <c r="M1579" i="6" s="1"/>
  <c r="M1577" i="6"/>
  <c r="L1576" i="6"/>
  <c r="L1579" i="6" s="1"/>
  <c r="L1577" i="6"/>
  <c r="K1576" i="6"/>
  <c r="K1579" i="6" s="1"/>
  <c r="K1577" i="6"/>
  <c r="J1576" i="6"/>
  <c r="J1579" i="6" s="1"/>
  <c r="J1577" i="6"/>
  <c r="I1576" i="6"/>
  <c r="I1579" i="6" s="1"/>
  <c r="I1577" i="6"/>
  <c r="H1576" i="6"/>
  <c r="H1579" i="6" s="1"/>
  <c r="H1577" i="6"/>
  <c r="G1576" i="6"/>
  <c r="G1579" i="6" s="1"/>
  <c r="G1577" i="6"/>
  <c r="F1576" i="6"/>
  <c r="F1579" i="6" s="1"/>
  <c r="F1577" i="6"/>
  <c r="E1576" i="6"/>
  <c r="E1579" i="6" s="1"/>
  <c r="E1577" i="6"/>
  <c r="L1530" i="6"/>
  <c r="L1533" i="6" s="1"/>
  <c r="L1531" i="6"/>
  <c r="K1530" i="6"/>
  <c r="K1533" i="6" s="1"/>
  <c r="K1531" i="6"/>
  <c r="J1530" i="6"/>
  <c r="J1533" i="6" s="1"/>
  <c r="J1531" i="6"/>
  <c r="I1530" i="6"/>
  <c r="I1533" i="6" s="1"/>
  <c r="I1531" i="6"/>
  <c r="H1530" i="6"/>
  <c r="H1533" i="6" s="1"/>
  <c r="H1531" i="6"/>
  <c r="G1530" i="6"/>
  <c r="G1533" i="6" s="1"/>
  <c r="G1531" i="6"/>
  <c r="F1530" i="6"/>
  <c r="F1533" i="6" s="1"/>
  <c r="F1531" i="6"/>
  <c r="E1530" i="6"/>
  <c r="E1533" i="6" s="1"/>
  <c r="E1531" i="6"/>
  <c r="M1484" i="6"/>
  <c r="M1487" i="6" s="1"/>
  <c r="M1485" i="6"/>
  <c r="L1484" i="6"/>
  <c r="L1487" i="6" s="1"/>
  <c r="L1485" i="6"/>
  <c r="K1484" i="6"/>
  <c r="K1487" i="6" s="1"/>
  <c r="K1485" i="6"/>
  <c r="J1484" i="6"/>
  <c r="J1487" i="6" s="1"/>
  <c r="J1485" i="6"/>
  <c r="I1484" i="6"/>
  <c r="I1487" i="6" s="1"/>
  <c r="I1485" i="6"/>
  <c r="H1484" i="6"/>
  <c r="H1487" i="6" s="1"/>
  <c r="H1485" i="6"/>
  <c r="G1484" i="6"/>
  <c r="G1487" i="6" s="1"/>
  <c r="G1485" i="6"/>
  <c r="F1484" i="6"/>
  <c r="F1487" i="6" s="1"/>
  <c r="F1485" i="6"/>
  <c r="E1484" i="6"/>
  <c r="E1487" i="6" s="1"/>
  <c r="E1485" i="6"/>
  <c r="M1438" i="6"/>
  <c r="M1441" i="6" s="1"/>
  <c r="M1439" i="6"/>
  <c r="L1438" i="6"/>
  <c r="L1441" i="6" s="1"/>
  <c r="L1439" i="6"/>
  <c r="K1438" i="6"/>
  <c r="K1441" i="6" s="1"/>
  <c r="K1439" i="6"/>
  <c r="J1438" i="6"/>
  <c r="J1441" i="6" s="1"/>
  <c r="J1439" i="6"/>
  <c r="I1438" i="6"/>
  <c r="I1441" i="6" s="1"/>
  <c r="I1439" i="6"/>
  <c r="H1438" i="6"/>
  <c r="H1441" i="6" s="1"/>
  <c r="H1439" i="6"/>
  <c r="G1438" i="6"/>
  <c r="G1441" i="6" s="1"/>
  <c r="G1439" i="6"/>
  <c r="F1438" i="6"/>
  <c r="F1441" i="6" s="1"/>
  <c r="F1439" i="6"/>
  <c r="E1438" i="6"/>
  <c r="E1441" i="6" s="1"/>
  <c r="E1439" i="6"/>
  <c r="M1392" i="6"/>
  <c r="M1395" i="6" s="1"/>
  <c r="M1393" i="6"/>
  <c r="L1392" i="6"/>
  <c r="L1395" i="6" s="1"/>
  <c r="L1393" i="6"/>
  <c r="K1392" i="6"/>
  <c r="K1395" i="6" s="1"/>
  <c r="K1393" i="6"/>
  <c r="J1392" i="6"/>
  <c r="J1395" i="6" s="1"/>
  <c r="J1393" i="6"/>
  <c r="I1392" i="6"/>
  <c r="I1395" i="6" s="1"/>
  <c r="I1393" i="6"/>
  <c r="H1392" i="6"/>
  <c r="H1395" i="6" s="1"/>
  <c r="H1393" i="6"/>
  <c r="G1392" i="6"/>
  <c r="G1395" i="6" s="1"/>
  <c r="G1393" i="6"/>
  <c r="F1392" i="6"/>
  <c r="F1395" i="6" s="1"/>
  <c r="F1393" i="6"/>
  <c r="E1392" i="6"/>
  <c r="E1395" i="6" s="1"/>
  <c r="E1393" i="6"/>
  <c r="M1394" i="6" s="1"/>
  <c r="M1398" i="6" s="1"/>
  <c r="M1346" i="6"/>
  <c r="M1349" i="6" s="1"/>
  <c r="M1347" i="6"/>
  <c r="L1346" i="6"/>
  <c r="L1349" i="6" s="1"/>
  <c r="L1347" i="6"/>
  <c r="J1346" i="6"/>
  <c r="J1349" i="6" s="1"/>
  <c r="J1347" i="6"/>
  <c r="I1346" i="6"/>
  <c r="I1349" i="6" s="1"/>
  <c r="I1347" i="6"/>
  <c r="H1346" i="6"/>
  <c r="H1349" i="6" s="1"/>
  <c r="H1347" i="6"/>
  <c r="G1346" i="6"/>
  <c r="G1349" i="6" s="1"/>
  <c r="G1347" i="6"/>
  <c r="F1346" i="6"/>
  <c r="F1349" i="6" s="1"/>
  <c r="F1347" i="6"/>
  <c r="E1346" i="6"/>
  <c r="E1349" i="6" s="1"/>
  <c r="E1347" i="6"/>
  <c r="M1300" i="6"/>
  <c r="M1303" i="6" s="1"/>
  <c r="M1301" i="6"/>
  <c r="L1300" i="6"/>
  <c r="L1303" i="6" s="1"/>
  <c r="L1301" i="6"/>
  <c r="K1300" i="6"/>
  <c r="K1303" i="6" s="1"/>
  <c r="K1301" i="6"/>
  <c r="J1300" i="6"/>
  <c r="J1303" i="6" s="1"/>
  <c r="J1301" i="6"/>
  <c r="I1300" i="6"/>
  <c r="I1303" i="6" s="1"/>
  <c r="I1301" i="6"/>
  <c r="H1300" i="6"/>
  <c r="H1303" i="6" s="1"/>
  <c r="H1301" i="6"/>
  <c r="G1300" i="6"/>
  <c r="G1303" i="6" s="1"/>
  <c r="G1301" i="6"/>
  <c r="F1300" i="6"/>
  <c r="F1303" i="6" s="1"/>
  <c r="F1301" i="6"/>
  <c r="E1300" i="6"/>
  <c r="E1303" i="6" s="1"/>
  <c r="E1301" i="6"/>
  <c r="D1302" i="6" s="1"/>
  <c r="D1306" i="6" s="1"/>
  <c r="M1254" i="6"/>
  <c r="M1257" i="6" s="1"/>
  <c r="M1255" i="6"/>
  <c r="L1254" i="6"/>
  <c r="L1257" i="6" s="1"/>
  <c r="L1255" i="6"/>
  <c r="K1254" i="6"/>
  <c r="K1257" i="6" s="1"/>
  <c r="K1255" i="6"/>
  <c r="J1254" i="6"/>
  <c r="J1257" i="6" s="1"/>
  <c r="J1255" i="6"/>
  <c r="I1254" i="6"/>
  <c r="I1257" i="6" s="1"/>
  <c r="I1255" i="6"/>
  <c r="H1254" i="6"/>
  <c r="H1257" i="6" s="1"/>
  <c r="H1255" i="6"/>
  <c r="G1254" i="6"/>
  <c r="G1257" i="6" s="1"/>
  <c r="G1255" i="6"/>
  <c r="F1254" i="6"/>
  <c r="F1257" i="6" s="1"/>
  <c r="F1255" i="6"/>
  <c r="E1254" i="6"/>
  <c r="E1257" i="6" s="1"/>
  <c r="E1255" i="6"/>
  <c r="L1208" i="6"/>
  <c r="L1211" i="6" s="1"/>
  <c r="L1209" i="6"/>
  <c r="K1208" i="6"/>
  <c r="K1211" i="6" s="1"/>
  <c r="K1209" i="6"/>
  <c r="J1208" i="6"/>
  <c r="J1211" i="6" s="1"/>
  <c r="J1209" i="6"/>
  <c r="I1208" i="6"/>
  <c r="I1211" i="6" s="1"/>
  <c r="I1209" i="6"/>
  <c r="H1208" i="6"/>
  <c r="H1211" i="6" s="1"/>
  <c r="H1209" i="6"/>
  <c r="G1208" i="6"/>
  <c r="G1211" i="6" s="1"/>
  <c r="G1209" i="6"/>
  <c r="E1208" i="6"/>
  <c r="E1211" i="6" s="1"/>
  <c r="E1209" i="6"/>
  <c r="M1162" i="6"/>
  <c r="M1165" i="6" s="1"/>
  <c r="M1163" i="6"/>
  <c r="L1162" i="6"/>
  <c r="L1165" i="6" s="1"/>
  <c r="L1163" i="6"/>
  <c r="K1162" i="6"/>
  <c r="K1165" i="6" s="1"/>
  <c r="K1163" i="6"/>
  <c r="J1162" i="6"/>
  <c r="J1165" i="6" s="1"/>
  <c r="J1163" i="6"/>
  <c r="I1162" i="6"/>
  <c r="I1165" i="6" s="1"/>
  <c r="I1163" i="6"/>
  <c r="H1162" i="6"/>
  <c r="H1165" i="6" s="1"/>
  <c r="H1163" i="6"/>
  <c r="G1162" i="6"/>
  <c r="G1165" i="6" s="1"/>
  <c r="G1163" i="6"/>
  <c r="F1162" i="6"/>
  <c r="F1165" i="6" s="1"/>
  <c r="F1163" i="6"/>
  <c r="M1116" i="6"/>
  <c r="M1119" i="6" s="1"/>
  <c r="M1117" i="6"/>
  <c r="L1116" i="6"/>
  <c r="L1119" i="6" s="1"/>
  <c r="L1117" i="6"/>
  <c r="K1116" i="6"/>
  <c r="K1119" i="6" s="1"/>
  <c r="K1117" i="6"/>
  <c r="J1116" i="6"/>
  <c r="J1119" i="6" s="1"/>
  <c r="J1117" i="6"/>
  <c r="I1116" i="6"/>
  <c r="I1119" i="6" s="1"/>
  <c r="I1117" i="6"/>
  <c r="H1116" i="6"/>
  <c r="H1119" i="6" s="1"/>
  <c r="H1117" i="6"/>
  <c r="G1116" i="6"/>
  <c r="G1119" i="6" s="1"/>
  <c r="G1117" i="6"/>
  <c r="F1116" i="6"/>
  <c r="F1119" i="6" s="1"/>
  <c r="F1117" i="6"/>
  <c r="E1116" i="6"/>
  <c r="E1119" i="6" s="1"/>
  <c r="E1117" i="6"/>
  <c r="M1070" i="6"/>
  <c r="M1073" i="6" s="1"/>
  <c r="M1071" i="6"/>
  <c r="L1070" i="6"/>
  <c r="L1073" i="6" s="1"/>
  <c r="L1071" i="6"/>
  <c r="K1070" i="6"/>
  <c r="K1073" i="6" s="1"/>
  <c r="K1071" i="6"/>
  <c r="J1070" i="6"/>
  <c r="J1073" i="6" s="1"/>
  <c r="J1071" i="6"/>
  <c r="I1070" i="6"/>
  <c r="I1073" i="6" s="1"/>
  <c r="I1071" i="6"/>
  <c r="H1070" i="6"/>
  <c r="H1073" i="6" s="1"/>
  <c r="H1071" i="6"/>
  <c r="G1070" i="6"/>
  <c r="G1073" i="6" s="1"/>
  <c r="G1071" i="6"/>
  <c r="F1070" i="6"/>
  <c r="F1073" i="6" s="1"/>
  <c r="F1071" i="6"/>
  <c r="E1070" i="6"/>
  <c r="E1073" i="6" s="1"/>
  <c r="E1071" i="6"/>
  <c r="M1024" i="6"/>
  <c r="M1027" i="6" s="1"/>
  <c r="M1025" i="6"/>
  <c r="L1024" i="6"/>
  <c r="L1027" i="6" s="1"/>
  <c r="L1025" i="6"/>
  <c r="K1024" i="6"/>
  <c r="K1027" i="6" s="1"/>
  <c r="K1025" i="6"/>
  <c r="J1024" i="6"/>
  <c r="J1027" i="6" s="1"/>
  <c r="J1025" i="6"/>
  <c r="I1024" i="6"/>
  <c r="I1027" i="6" s="1"/>
  <c r="I1025" i="6"/>
  <c r="H1024" i="6"/>
  <c r="H1027" i="6" s="1"/>
  <c r="H1025" i="6"/>
  <c r="G1024" i="6"/>
  <c r="G1027" i="6" s="1"/>
  <c r="G1025" i="6"/>
  <c r="F1024" i="6"/>
  <c r="F1027" i="6" s="1"/>
  <c r="F1025" i="6"/>
  <c r="E1024" i="6"/>
  <c r="E1027" i="6" s="1"/>
  <c r="E1025" i="6"/>
  <c r="M978" i="6"/>
  <c r="M981" i="6" s="1"/>
  <c r="M979" i="6"/>
  <c r="L978" i="6"/>
  <c r="L981" i="6" s="1"/>
  <c r="L979" i="6"/>
  <c r="K978" i="6"/>
  <c r="K981" i="6" s="1"/>
  <c r="K979" i="6"/>
  <c r="J978" i="6"/>
  <c r="J981" i="6" s="1"/>
  <c r="J979" i="6"/>
  <c r="I978" i="6"/>
  <c r="I981" i="6" s="1"/>
  <c r="I979" i="6"/>
  <c r="H978" i="6"/>
  <c r="H981" i="6" s="1"/>
  <c r="H979" i="6"/>
  <c r="G978" i="6"/>
  <c r="G981" i="6" s="1"/>
  <c r="G979" i="6"/>
  <c r="F978" i="6"/>
  <c r="F981" i="6" s="1"/>
  <c r="F979" i="6"/>
  <c r="E978" i="6"/>
  <c r="E981" i="6" s="1"/>
  <c r="E979" i="6"/>
  <c r="M932" i="6"/>
  <c r="M935" i="6" s="1"/>
  <c r="M933" i="6"/>
  <c r="L932" i="6"/>
  <c r="L935" i="6" s="1"/>
  <c r="L933" i="6"/>
  <c r="K932" i="6"/>
  <c r="K935" i="6" s="1"/>
  <c r="K933" i="6"/>
  <c r="J932" i="6"/>
  <c r="J935" i="6" s="1"/>
  <c r="J933" i="6"/>
  <c r="I932" i="6"/>
  <c r="I935" i="6" s="1"/>
  <c r="I933" i="6"/>
  <c r="H932" i="6"/>
  <c r="H935" i="6" s="1"/>
  <c r="H933" i="6"/>
  <c r="G932" i="6"/>
  <c r="G935" i="6" s="1"/>
  <c r="G933" i="6"/>
  <c r="F932" i="6"/>
  <c r="F935" i="6" s="1"/>
  <c r="F933" i="6"/>
  <c r="E932" i="6"/>
  <c r="E935" i="6" s="1"/>
  <c r="E933" i="6"/>
  <c r="L886" i="6"/>
  <c r="L889" i="6" s="1"/>
  <c r="L887" i="6"/>
  <c r="K886" i="6"/>
  <c r="K889" i="6" s="1"/>
  <c r="K887" i="6"/>
  <c r="J886" i="6"/>
  <c r="J889" i="6" s="1"/>
  <c r="J887" i="6"/>
  <c r="I886" i="6"/>
  <c r="I889" i="6" s="1"/>
  <c r="I887" i="6"/>
  <c r="H886" i="6"/>
  <c r="H889" i="6" s="1"/>
  <c r="H887" i="6"/>
  <c r="G886" i="6"/>
  <c r="G889" i="6" s="1"/>
  <c r="G887" i="6"/>
  <c r="F886" i="6"/>
  <c r="F889" i="6" s="1"/>
  <c r="F887" i="6"/>
  <c r="E886" i="6"/>
  <c r="E889" i="6" s="1"/>
  <c r="E887" i="6"/>
  <c r="M840" i="6"/>
  <c r="M843" i="6" s="1"/>
  <c r="M841" i="6"/>
  <c r="L840" i="6"/>
  <c r="L843" i="6" s="1"/>
  <c r="L841" i="6"/>
  <c r="K840" i="6"/>
  <c r="K843" i="6" s="1"/>
  <c r="K841" i="6"/>
  <c r="J840" i="6"/>
  <c r="J843" i="6" s="1"/>
  <c r="J841" i="6"/>
  <c r="I840" i="6"/>
  <c r="I843" i="6" s="1"/>
  <c r="I841" i="6"/>
  <c r="H840" i="6"/>
  <c r="H843" i="6" s="1"/>
  <c r="H841" i="6"/>
  <c r="G840" i="6"/>
  <c r="G843" i="6" s="1"/>
  <c r="G841" i="6"/>
  <c r="F840" i="6"/>
  <c r="F843" i="6" s="1"/>
  <c r="F841" i="6"/>
  <c r="E840" i="6"/>
  <c r="E843" i="6" s="1"/>
  <c r="E841" i="6"/>
  <c r="M794" i="6"/>
  <c r="M797" i="6" s="1"/>
  <c r="M795" i="6"/>
  <c r="L794" i="6"/>
  <c r="L797" i="6" s="1"/>
  <c r="L795" i="6"/>
  <c r="K794" i="6"/>
  <c r="K797" i="6" s="1"/>
  <c r="K795" i="6"/>
  <c r="J794" i="6"/>
  <c r="J797" i="6" s="1"/>
  <c r="J795" i="6"/>
  <c r="I794" i="6"/>
  <c r="I797" i="6" s="1"/>
  <c r="I795" i="6"/>
  <c r="H794" i="6"/>
  <c r="H797" i="6" s="1"/>
  <c r="H795" i="6"/>
  <c r="G794" i="6"/>
  <c r="G797" i="6" s="1"/>
  <c r="G795" i="6"/>
  <c r="F794" i="6"/>
  <c r="F797" i="6" s="1"/>
  <c r="F795" i="6"/>
  <c r="E794" i="6"/>
  <c r="E797" i="6" s="1"/>
  <c r="E795" i="6"/>
  <c r="M748" i="6"/>
  <c r="M751" i="6" s="1"/>
  <c r="M749" i="6"/>
  <c r="L748" i="6"/>
  <c r="L751" i="6" s="1"/>
  <c r="L749" i="6"/>
  <c r="K748" i="6"/>
  <c r="K751" i="6" s="1"/>
  <c r="K749" i="6"/>
  <c r="J748" i="6"/>
  <c r="J751" i="6" s="1"/>
  <c r="J749" i="6"/>
  <c r="I748" i="6"/>
  <c r="I751" i="6" s="1"/>
  <c r="I749" i="6"/>
  <c r="H748" i="6"/>
  <c r="H751" i="6" s="1"/>
  <c r="H749" i="6"/>
  <c r="G748" i="6"/>
  <c r="G751" i="6" s="1"/>
  <c r="G749" i="6"/>
  <c r="F748" i="6"/>
  <c r="F751" i="6" s="1"/>
  <c r="F749" i="6"/>
  <c r="E748" i="6"/>
  <c r="E751" i="6" s="1"/>
  <c r="E749" i="6"/>
  <c r="M702" i="6"/>
  <c r="M705" i="6" s="1"/>
  <c r="M703" i="6"/>
  <c r="L702" i="6"/>
  <c r="L705" i="6" s="1"/>
  <c r="L703" i="6"/>
  <c r="K702" i="6"/>
  <c r="K705" i="6" s="1"/>
  <c r="K703" i="6"/>
  <c r="J702" i="6"/>
  <c r="J705" i="6" s="1"/>
  <c r="J703" i="6"/>
  <c r="I702" i="6"/>
  <c r="I705" i="6" s="1"/>
  <c r="I703" i="6"/>
  <c r="H702" i="6"/>
  <c r="H705" i="6" s="1"/>
  <c r="H703" i="6"/>
  <c r="G702" i="6"/>
  <c r="G705" i="6" s="1"/>
  <c r="G703" i="6"/>
  <c r="F702" i="6"/>
  <c r="F705" i="6" s="1"/>
  <c r="F703" i="6"/>
  <c r="E702" i="6"/>
  <c r="E705" i="6" s="1"/>
  <c r="E703" i="6"/>
  <c r="M656" i="6"/>
  <c r="M659" i="6" s="1"/>
  <c r="M657" i="6"/>
  <c r="L656" i="6"/>
  <c r="L659" i="6" s="1"/>
  <c r="L657" i="6"/>
  <c r="K656" i="6"/>
  <c r="K659" i="6" s="1"/>
  <c r="K657" i="6"/>
  <c r="J656" i="6"/>
  <c r="J659" i="6" s="1"/>
  <c r="J657" i="6"/>
  <c r="I656" i="6"/>
  <c r="I659" i="6" s="1"/>
  <c r="I657" i="6"/>
  <c r="H656" i="6"/>
  <c r="H659" i="6" s="1"/>
  <c r="H657" i="6"/>
  <c r="E656" i="6"/>
  <c r="E659" i="6" s="1"/>
  <c r="E657" i="6"/>
  <c r="M610" i="6"/>
  <c r="M613" i="6" s="1"/>
  <c r="M611" i="6"/>
  <c r="L610" i="6"/>
  <c r="L613" i="6" s="1"/>
  <c r="L611" i="6"/>
  <c r="K610" i="6"/>
  <c r="K613" i="6" s="1"/>
  <c r="K611" i="6"/>
  <c r="J610" i="6"/>
  <c r="J613" i="6" s="1"/>
  <c r="J611" i="6"/>
  <c r="I610" i="6"/>
  <c r="I613" i="6" s="1"/>
  <c r="I611" i="6"/>
  <c r="H610" i="6"/>
  <c r="H613" i="6" s="1"/>
  <c r="H611" i="6"/>
  <c r="G610" i="6"/>
  <c r="G613" i="6" s="1"/>
  <c r="G611" i="6"/>
  <c r="F610" i="6"/>
  <c r="F613" i="6" s="1"/>
  <c r="F611" i="6"/>
  <c r="E610" i="6"/>
  <c r="E613" i="6" s="1"/>
  <c r="E611" i="6"/>
  <c r="M564" i="6"/>
  <c r="M567" i="6" s="1"/>
  <c r="M565" i="6"/>
  <c r="L564" i="6"/>
  <c r="L567" i="6" s="1"/>
  <c r="L565" i="6"/>
  <c r="K564" i="6"/>
  <c r="K567" i="6" s="1"/>
  <c r="K565" i="6"/>
  <c r="J564" i="6"/>
  <c r="J567" i="6" s="1"/>
  <c r="J565" i="6"/>
  <c r="I564" i="6"/>
  <c r="I567" i="6" s="1"/>
  <c r="I565" i="6"/>
  <c r="H564" i="6"/>
  <c r="H567" i="6" s="1"/>
  <c r="H565" i="6"/>
  <c r="G564" i="6"/>
  <c r="G567" i="6" s="1"/>
  <c r="G565" i="6"/>
  <c r="F564" i="6"/>
  <c r="F567" i="6" s="1"/>
  <c r="F565" i="6"/>
  <c r="E564" i="6"/>
  <c r="E567" i="6" s="1"/>
  <c r="E565" i="6"/>
  <c r="M518" i="6"/>
  <c r="M521" i="6" s="1"/>
  <c r="M519" i="6"/>
  <c r="L518" i="6"/>
  <c r="L521" i="6" s="1"/>
  <c r="L519" i="6"/>
  <c r="K518" i="6"/>
  <c r="K521" i="6" s="1"/>
  <c r="K519" i="6"/>
  <c r="J518" i="6"/>
  <c r="J521" i="6" s="1"/>
  <c r="J519" i="6"/>
  <c r="I518" i="6"/>
  <c r="I521" i="6" s="1"/>
  <c r="I519" i="6"/>
  <c r="H518" i="6"/>
  <c r="H521" i="6" s="1"/>
  <c r="H519" i="6"/>
  <c r="G518" i="6"/>
  <c r="G521" i="6" s="1"/>
  <c r="G519" i="6"/>
  <c r="F518" i="6"/>
  <c r="F521" i="6" s="1"/>
  <c r="F519" i="6"/>
  <c r="E518" i="6"/>
  <c r="E521" i="6" s="1"/>
  <c r="E519" i="6"/>
  <c r="M472" i="6"/>
  <c r="M475" i="6" s="1"/>
  <c r="M473" i="6"/>
  <c r="L472" i="6"/>
  <c r="L475" i="6" s="1"/>
  <c r="L473" i="6"/>
  <c r="K472" i="6"/>
  <c r="K475" i="6" s="1"/>
  <c r="K473" i="6"/>
  <c r="J472" i="6"/>
  <c r="J475" i="6" s="1"/>
  <c r="J473" i="6"/>
  <c r="I472" i="6"/>
  <c r="I475" i="6" s="1"/>
  <c r="I473" i="6"/>
  <c r="H472" i="6"/>
  <c r="H475" i="6" s="1"/>
  <c r="H473" i="6"/>
  <c r="G472" i="6"/>
  <c r="G475" i="6" s="1"/>
  <c r="G473" i="6"/>
  <c r="F472" i="6"/>
  <c r="F475" i="6" s="1"/>
  <c r="F473" i="6"/>
  <c r="E472" i="6"/>
  <c r="E475" i="6" s="1"/>
  <c r="E473" i="6"/>
  <c r="M426" i="6"/>
  <c r="M429" i="6" s="1"/>
  <c r="M427" i="6"/>
  <c r="L426" i="6"/>
  <c r="L429" i="6" s="1"/>
  <c r="L427" i="6"/>
  <c r="K426" i="6"/>
  <c r="K429" i="6" s="1"/>
  <c r="K427" i="6"/>
  <c r="J426" i="6"/>
  <c r="J429" i="6" s="1"/>
  <c r="J427" i="6"/>
  <c r="I426" i="6"/>
  <c r="I429" i="6" s="1"/>
  <c r="I427" i="6"/>
  <c r="H426" i="6"/>
  <c r="H429" i="6" s="1"/>
  <c r="H427" i="6"/>
  <c r="G426" i="6"/>
  <c r="G429" i="6" s="1"/>
  <c r="G427" i="6"/>
  <c r="F426" i="6"/>
  <c r="F429" i="6" s="1"/>
  <c r="F427" i="6"/>
  <c r="E426" i="6"/>
  <c r="E429" i="6" s="1"/>
  <c r="E427" i="6"/>
  <c r="M380" i="6"/>
  <c r="M383" i="6" s="1"/>
  <c r="M381" i="6"/>
  <c r="L380" i="6"/>
  <c r="L383" i="6" s="1"/>
  <c r="L381" i="6"/>
  <c r="K380" i="6"/>
  <c r="K383" i="6" s="1"/>
  <c r="K381" i="6"/>
  <c r="J380" i="6"/>
  <c r="J383" i="6" s="1"/>
  <c r="J381" i="6"/>
  <c r="I380" i="6"/>
  <c r="I383" i="6" s="1"/>
  <c r="I381" i="6"/>
  <c r="H380" i="6"/>
  <c r="H383" i="6" s="1"/>
  <c r="H381" i="6"/>
  <c r="G380" i="6"/>
  <c r="G383" i="6" s="1"/>
  <c r="G381" i="6"/>
  <c r="F380" i="6"/>
  <c r="F383" i="6" s="1"/>
  <c r="F381" i="6"/>
  <c r="E380" i="6"/>
  <c r="E383" i="6" s="1"/>
  <c r="E381" i="6"/>
  <c r="M334" i="6"/>
  <c r="M337" i="6" s="1"/>
  <c r="M335" i="6"/>
  <c r="L334" i="6"/>
  <c r="L337" i="6" s="1"/>
  <c r="L335" i="6"/>
  <c r="K334" i="6"/>
  <c r="K337" i="6" s="1"/>
  <c r="K335" i="6"/>
  <c r="J334" i="6"/>
  <c r="J337" i="6" s="1"/>
  <c r="J335" i="6"/>
  <c r="I334" i="6"/>
  <c r="I337" i="6" s="1"/>
  <c r="I335" i="6"/>
  <c r="H334" i="6"/>
  <c r="H337" i="6" s="1"/>
  <c r="H335" i="6"/>
  <c r="G334" i="6"/>
  <c r="G337" i="6" s="1"/>
  <c r="G335" i="6"/>
  <c r="F334" i="6"/>
  <c r="F337" i="6" s="1"/>
  <c r="F335" i="6"/>
  <c r="E334" i="6"/>
  <c r="E337" i="6" s="1"/>
  <c r="E335" i="6"/>
  <c r="M288" i="6"/>
  <c r="M291" i="6" s="1"/>
  <c r="M289" i="6"/>
  <c r="L288" i="6"/>
  <c r="L291" i="6" s="1"/>
  <c r="L289" i="6"/>
  <c r="K288" i="6"/>
  <c r="K291" i="6" s="1"/>
  <c r="K289" i="6"/>
  <c r="J288" i="6"/>
  <c r="J291" i="6" s="1"/>
  <c r="J289" i="6"/>
  <c r="I288" i="6"/>
  <c r="I291" i="6" s="1"/>
  <c r="I289" i="6"/>
  <c r="H288" i="6"/>
  <c r="H291" i="6" s="1"/>
  <c r="H289" i="6"/>
  <c r="G288" i="6"/>
  <c r="G291" i="6" s="1"/>
  <c r="G289" i="6"/>
  <c r="F288" i="6"/>
  <c r="F291" i="6" s="1"/>
  <c r="F289" i="6"/>
  <c r="E288" i="6"/>
  <c r="E291" i="6" s="1"/>
  <c r="E289" i="6"/>
  <c r="M242" i="6"/>
  <c r="M245" i="6" s="1"/>
  <c r="M243" i="6"/>
  <c r="L242" i="6"/>
  <c r="L245" i="6" s="1"/>
  <c r="L243" i="6"/>
  <c r="K242" i="6"/>
  <c r="K245" i="6" s="1"/>
  <c r="K243" i="6"/>
  <c r="J242" i="6"/>
  <c r="J245" i="6" s="1"/>
  <c r="J243" i="6"/>
  <c r="I242" i="6"/>
  <c r="I245" i="6" s="1"/>
  <c r="I243" i="6"/>
  <c r="H242" i="6"/>
  <c r="H245" i="6" s="1"/>
  <c r="H243" i="6"/>
  <c r="G242" i="6"/>
  <c r="G245" i="6" s="1"/>
  <c r="G243" i="6"/>
  <c r="F242" i="6"/>
  <c r="F245" i="6" s="1"/>
  <c r="F243" i="6"/>
  <c r="E242" i="6"/>
  <c r="E245" i="6" s="1"/>
  <c r="E243" i="6"/>
  <c r="M196" i="6"/>
  <c r="M199" i="6" s="1"/>
  <c r="M197" i="6"/>
  <c r="L196" i="6"/>
  <c r="L199" i="6" s="1"/>
  <c r="L197" i="6"/>
  <c r="K196" i="6"/>
  <c r="K199" i="6" s="1"/>
  <c r="K197" i="6"/>
  <c r="J196" i="6"/>
  <c r="J199" i="6" s="1"/>
  <c r="J197" i="6"/>
  <c r="I196" i="6"/>
  <c r="I199" i="6" s="1"/>
  <c r="I197" i="6"/>
  <c r="H196" i="6"/>
  <c r="H199" i="6" s="1"/>
  <c r="H197" i="6"/>
  <c r="G196" i="6"/>
  <c r="G199" i="6" s="1"/>
  <c r="G197" i="6"/>
  <c r="F196" i="6"/>
  <c r="F199" i="6" s="1"/>
  <c r="F197" i="6"/>
  <c r="E196" i="6"/>
  <c r="E199" i="6" s="1"/>
  <c r="E197" i="6"/>
  <c r="M150" i="6"/>
  <c r="M153" i="6" s="1"/>
  <c r="M151" i="6"/>
  <c r="L150" i="6"/>
  <c r="L153" i="6" s="1"/>
  <c r="L151" i="6"/>
  <c r="K150" i="6"/>
  <c r="K153" i="6" s="1"/>
  <c r="K151" i="6"/>
  <c r="J150" i="6"/>
  <c r="J153" i="6" s="1"/>
  <c r="J151" i="6"/>
  <c r="I150" i="6"/>
  <c r="I153" i="6" s="1"/>
  <c r="I151" i="6"/>
  <c r="H150" i="6"/>
  <c r="H153" i="6" s="1"/>
  <c r="H151" i="6"/>
  <c r="G150" i="6"/>
  <c r="G153" i="6" s="1"/>
  <c r="G151" i="6"/>
  <c r="F150" i="6"/>
  <c r="F153" i="6" s="1"/>
  <c r="F151" i="6"/>
  <c r="E150" i="6"/>
  <c r="E153" i="6" s="1"/>
  <c r="E151" i="6"/>
  <c r="M104" i="6"/>
  <c r="M107" i="6" s="1"/>
  <c r="M105" i="6"/>
  <c r="L104" i="6"/>
  <c r="L107" i="6" s="1"/>
  <c r="L105" i="6"/>
  <c r="K104" i="6"/>
  <c r="K107" i="6" s="1"/>
  <c r="K105" i="6"/>
  <c r="J104" i="6"/>
  <c r="J107" i="6" s="1"/>
  <c r="J105" i="6"/>
  <c r="I104" i="6"/>
  <c r="I107" i="6" s="1"/>
  <c r="I105" i="6"/>
  <c r="H104" i="6"/>
  <c r="H107" i="6" s="1"/>
  <c r="H105" i="6"/>
  <c r="G104" i="6"/>
  <c r="G107" i="6" s="1"/>
  <c r="G105" i="6"/>
  <c r="F104" i="6"/>
  <c r="F107" i="6" s="1"/>
  <c r="F105" i="6"/>
  <c r="E104" i="6"/>
  <c r="E107" i="6" s="1"/>
  <c r="E105" i="6"/>
  <c r="M58" i="6"/>
  <c r="M61" i="6" s="1"/>
  <c r="M59" i="6"/>
  <c r="L58" i="6"/>
  <c r="L61" i="6" s="1"/>
  <c r="L59" i="6"/>
  <c r="K58" i="6"/>
  <c r="K61" i="6" s="1"/>
  <c r="K59" i="6"/>
  <c r="J58" i="6"/>
  <c r="J61" i="6" s="1"/>
  <c r="J59" i="6"/>
  <c r="I58" i="6"/>
  <c r="I61" i="6" s="1"/>
  <c r="I59" i="6"/>
  <c r="H58" i="6"/>
  <c r="H61" i="6" s="1"/>
  <c r="H59" i="6"/>
  <c r="G58" i="6"/>
  <c r="G61" i="6" s="1"/>
  <c r="G59" i="6"/>
  <c r="F58" i="6"/>
  <c r="F61" i="6" s="1"/>
  <c r="F59" i="6"/>
  <c r="E58" i="6"/>
  <c r="E61" i="6" s="1"/>
  <c r="E59" i="6"/>
  <c r="M12" i="6"/>
  <c r="M15" i="6" s="1"/>
  <c r="M13" i="6"/>
  <c r="L12" i="6"/>
  <c r="L15" i="6" s="1"/>
  <c r="L13" i="6"/>
  <c r="K12" i="6"/>
  <c r="K15" i="6" s="1"/>
  <c r="K13" i="6"/>
  <c r="J12" i="6"/>
  <c r="J15" i="6" s="1"/>
  <c r="J13" i="6"/>
  <c r="I12" i="6"/>
  <c r="I15" i="6" s="1"/>
  <c r="I13" i="6"/>
  <c r="H12" i="6"/>
  <c r="H15" i="6" s="1"/>
  <c r="H13" i="6"/>
  <c r="G12" i="6"/>
  <c r="G15" i="6" s="1"/>
  <c r="G13" i="6"/>
  <c r="F12" i="6"/>
  <c r="F15" i="6" s="1"/>
  <c r="F13" i="6"/>
  <c r="E12" i="6"/>
  <c r="E13" i="6"/>
  <c r="N19" i="4"/>
  <c r="K19" i="4"/>
  <c r="N8" i="4"/>
  <c r="K8" i="4"/>
  <c r="N7" i="4"/>
  <c r="K7" i="4"/>
  <c r="N18" i="4"/>
  <c r="K18" i="4"/>
  <c r="N14" i="4"/>
  <c r="K14" i="4"/>
  <c r="N11" i="4"/>
  <c r="K11" i="4"/>
  <c r="N10" i="4"/>
  <c r="K10" i="4"/>
  <c r="N9" i="4"/>
  <c r="K9" i="4"/>
  <c r="D524" i="14" l="1"/>
  <c r="H524" i="14"/>
  <c r="I524" i="14"/>
  <c r="F524" i="14"/>
  <c r="L524" i="14"/>
  <c r="G524" i="14"/>
  <c r="K524" i="14"/>
  <c r="E524" i="14"/>
  <c r="M524" i="14"/>
  <c r="H478" i="14"/>
  <c r="I478" i="14"/>
  <c r="D478" i="14"/>
  <c r="J478" i="14"/>
  <c r="G340" i="14"/>
  <c r="L340" i="14"/>
  <c r="D340" i="14"/>
  <c r="E340" i="14"/>
  <c r="F340" i="14"/>
  <c r="I340" i="14"/>
  <c r="J340" i="14"/>
  <c r="D5126" i="6"/>
  <c r="D5135" i="6"/>
  <c r="H4721" i="6"/>
  <c r="H4712" i="6"/>
  <c r="D4445" i="6"/>
  <c r="D4436" i="6"/>
  <c r="D4399" i="6"/>
  <c r="D4390" i="6"/>
  <c r="D4307" i="6"/>
  <c r="D4298" i="6"/>
  <c r="D4261" i="6"/>
  <c r="D4252" i="6"/>
  <c r="F2191" i="6"/>
  <c r="F2182" i="6"/>
  <c r="D2145" i="6"/>
  <c r="D2136" i="6"/>
  <c r="D2099" i="6"/>
  <c r="D2090" i="6"/>
  <c r="D2053" i="6"/>
  <c r="D2044" i="6"/>
  <c r="D2007" i="6"/>
  <c r="D1998" i="6"/>
  <c r="D1961" i="6"/>
  <c r="D1952" i="6"/>
  <c r="D1906" i="6"/>
  <c r="D1915" i="6"/>
  <c r="D1869" i="6"/>
  <c r="D1860" i="6"/>
  <c r="D1814" i="6"/>
  <c r="D1823" i="6"/>
  <c r="D1768" i="6"/>
  <c r="D1777" i="6"/>
  <c r="D1400" i="6"/>
  <c r="D1409" i="6"/>
  <c r="D1354" i="6"/>
  <c r="D1363" i="6"/>
  <c r="D1308" i="6"/>
  <c r="D1317" i="6"/>
  <c r="D1271" i="6"/>
  <c r="D1262" i="6"/>
  <c r="H888" i="6"/>
  <c r="H892" i="6" s="1"/>
  <c r="D888" i="6"/>
  <c r="D892" i="6" s="1"/>
  <c r="J62" i="8"/>
  <c r="K62" i="8" s="1"/>
  <c r="J63" i="8"/>
  <c r="K63" i="8" s="1"/>
  <c r="J64" i="8"/>
  <c r="K64" i="8" s="1"/>
  <c r="J65" i="8"/>
  <c r="K65" i="8" s="1"/>
  <c r="J66" i="8"/>
  <c r="K66" i="8" s="1"/>
  <c r="J67" i="8"/>
  <c r="K67" i="8" s="1"/>
  <c r="J68" i="8"/>
  <c r="K68" i="8" s="1"/>
  <c r="J13" i="8"/>
  <c r="K13" i="8" s="1"/>
  <c r="M13" i="8" s="1"/>
  <c r="J12" i="8"/>
  <c r="K12" i="8" s="1"/>
  <c r="M12" i="8" s="1"/>
  <c r="J11" i="8"/>
  <c r="K11" i="8" s="1"/>
  <c r="M11" i="8" s="1"/>
  <c r="J10" i="8"/>
  <c r="K10" i="8" s="1"/>
  <c r="M10" i="8" s="1"/>
  <c r="J9" i="8"/>
  <c r="K9" i="8" s="1"/>
  <c r="M9" i="8" s="1"/>
  <c r="J46" i="8"/>
  <c r="K46" i="8" s="1"/>
  <c r="M46" i="8" s="1"/>
  <c r="J35" i="8"/>
  <c r="K35" i="8" s="1"/>
  <c r="M35" i="8" s="1"/>
  <c r="J36" i="8"/>
  <c r="K36" i="8" s="1"/>
  <c r="M36" i="8" s="1"/>
  <c r="J37" i="8"/>
  <c r="K37" i="8" s="1"/>
  <c r="M37" i="8" s="1"/>
  <c r="J38" i="8"/>
  <c r="K38" i="8" s="1"/>
  <c r="M38" i="8" s="1"/>
  <c r="J39" i="8"/>
  <c r="K39" i="8" s="1"/>
  <c r="M39" i="8" s="1"/>
  <c r="J40" i="8"/>
  <c r="K40" i="8" s="1"/>
  <c r="M40" i="8" s="1"/>
  <c r="J41" i="8"/>
  <c r="K41" i="8" s="1"/>
  <c r="M41" i="8" s="1"/>
  <c r="J26" i="8"/>
  <c r="K26" i="8" s="1"/>
  <c r="M26" i="8" s="1"/>
  <c r="J42" i="8"/>
  <c r="K42" i="8" s="1"/>
  <c r="M42" i="8" s="1"/>
  <c r="J43" i="8"/>
  <c r="K43" i="8" s="1"/>
  <c r="M43" i="8" s="1"/>
  <c r="J44" i="8"/>
  <c r="K44" i="8" s="1"/>
  <c r="M44" i="8" s="1"/>
  <c r="J45" i="8"/>
  <c r="K45" i="8" s="1"/>
  <c r="M45" i="8" s="1"/>
  <c r="J47" i="8"/>
  <c r="K47" i="8" s="1"/>
  <c r="M47" i="8" s="1"/>
  <c r="J48" i="8"/>
  <c r="K48" i="8" s="1"/>
  <c r="M48" i="8" s="1"/>
  <c r="J49" i="8"/>
  <c r="K49" i="8" s="1"/>
  <c r="M49" i="8" s="1"/>
  <c r="J50" i="8"/>
  <c r="K50" i="8" s="1"/>
  <c r="M50" i="8" s="1"/>
  <c r="J51" i="8"/>
  <c r="K51" i="8" s="1"/>
  <c r="M51" i="8" s="1"/>
  <c r="J52" i="8"/>
  <c r="K52" i="8" s="1"/>
  <c r="M52" i="8" s="1"/>
  <c r="J53" i="8"/>
  <c r="K53" i="8" s="1"/>
  <c r="M53" i="8" s="1"/>
  <c r="J57" i="8"/>
  <c r="K57" i="8" s="1"/>
  <c r="J58" i="8"/>
  <c r="K58" i="8" s="1"/>
  <c r="J59" i="8"/>
  <c r="K59" i="8" s="1"/>
  <c r="J60" i="8"/>
  <c r="K60" i="8" s="1"/>
  <c r="J61" i="8"/>
  <c r="K61" i="8" s="1"/>
  <c r="J34" i="8"/>
  <c r="K34" i="8" s="1"/>
  <c r="M34" i="8" s="1"/>
  <c r="J33" i="8"/>
  <c r="K33" i="8" s="1"/>
  <c r="M33" i="8" s="1"/>
  <c r="J32" i="8"/>
  <c r="K32" i="8" s="1"/>
  <c r="M32" i="8" s="1"/>
  <c r="J31" i="8"/>
  <c r="K31" i="8" s="1"/>
  <c r="M31" i="8" s="1"/>
  <c r="J30" i="8"/>
  <c r="K30" i="8" s="1"/>
  <c r="M30" i="8" s="1"/>
  <c r="J29" i="8"/>
  <c r="K29" i="8" s="1"/>
  <c r="M29" i="8" s="1"/>
  <c r="J28" i="8"/>
  <c r="K28" i="8" s="1"/>
  <c r="M28" i="8" s="1"/>
  <c r="J27" i="8"/>
  <c r="K27" i="8" s="1"/>
  <c r="M27" i="8" s="1"/>
  <c r="J25" i="8"/>
  <c r="K25" i="8" s="1"/>
  <c r="M25" i="8" s="1"/>
  <c r="J24" i="8"/>
  <c r="K24" i="8" s="1"/>
  <c r="M24" i="8" s="1"/>
  <c r="J23" i="8"/>
  <c r="K23" i="8" s="1"/>
  <c r="M23" i="8" s="1"/>
  <c r="J22" i="8"/>
  <c r="K22" i="8" s="1"/>
  <c r="M22" i="8" s="1"/>
  <c r="J21" i="8"/>
  <c r="K21" i="8" s="1"/>
  <c r="M21" i="8" s="1"/>
  <c r="J20" i="8"/>
  <c r="K20" i="8" s="1"/>
  <c r="M20" i="8" s="1"/>
  <c r="J19" i="8"/>
  <c r="K19" i="8" s="1"/>
  <c r="M19" i="8" s="1"/>
  <c r="J18" i="8"/>
  <c r="K18" i="8" s="1"/>
  <c r="M18" i="8" s="1"/>
  <c r="J17" i="8"/>
  <c r="K17" i="8" s="1"/>
  <c r="M17" i="8" s="1"/>
  <c r="J16" i="8"/>
  <c r="K16" i="8" s="1"/>
  <c r="M16" i="8" s="1"/>
  <c r="J15" i="8"/>
  <c r="K15" i="8" s="1"/>
  <c r="M15" i="8" s="1"/>
  <c r="J14" i="8"/>
  <c r="K14" i="8" s="1"/>
  <c r="M14" i="8" s="1"/>
  <c r="G4062" i="14"/>
  <c r="G4066" i="14" s="1"/>
  <c r="H4062" i="14"/>
  <c r="H4066" i="14" s="1"/>
  <c r="I4062" i="14"/>
  <c r="I4066" i="14" s="1"/>
  <c r="J4062" i="14"/>
  <c r="J4066" i="14" s="1"/>
  <c r="K4062" i="14"/>
  <c r="K4066" i="14" s="1"/>
  <c r="L4062" i="14"/>
  <c r="L4066" i="14" s="1"/>
  <c r="M4062" i="14"/>
  <c r="M4066" i="14" s="1"/>
  <c r="I4016" i="14"/>
  <c r="I4020" i="14" s="1"/>
  <c r="D4016" i="14"/>
  <c r="D4020" i="14" s="1"/>
  <c r="E4016" i="14"/>
  <c r="E4020" i="14" s="1"/>
  <c r="F4016" i="14"/>
  <c r="F4020" i="14" s="1"/>
  <c r="G4016" i="14"/>
  <c r="G4020" i="14" s="1"/>
  <c r="H4016" i="14"/>
  <c r="H4020" i="14" s="1"/>
  <c r="J4016" i="14"/>
  <c r="J4020" i="14" s="1"/>
  <c r="K4016" i="14"/>
  <c r="K4020" i="14" s="1"/>
  <c r="L4016" i="14"/>
  <c r="L4020" i="14" s="1"/>
  <c r="M4016" i="14"/>
  <c r="M4020" i="14" s="1"/>
  <c r="G3970" i="14"/>
  <c r="G3974" i="14" s="1"/>
  <c r="F3970" i="14"/>
  <c r="F3974" i="14" s="1"/>
  <c r="E3970" i="14"/>
  <c r="E3974" i="14" s="1"/>
  <c r="D3970" i="14"/>
  <c r="D3974" i="14" s="1"/>
  <c r="M3970" i="14"/>
  <c r="M3974" i="14" s="1"/>
  <c r="L3970" i="14"/>
  <c r="L3974" i="14" s="1"/>
  <c r="K3970" i="14"/>
  <c r="K3974" i="14" s="1"/>
  <c r="J3970" i="14"/>
  <c r="J3974" i="14" s="1"/>
  <c r="I3970" i="14"/>
  <c r="I3974" i="14" s="1"/>
  <c r="H3970" i="14"/>
  <c r="H3974" i="14" s="1"/>
  <c r="F3924" i="14"/>
  <c r="F3928" i="14" s="1"/>
  <c r="D3924" i="14"/>
  <c r="D3928" i="14" s="1"/>
  <c r="J3924" i="14"/>
  <c r="J3928" i="14" s="1"/>
  <c r="K3924" i="14"/>
  <c r="K3928" i="14" s="1"/>
  <c r="I3924" i="14"/>
  <c r="I3928" i="14" s="1"/>
  <c r="G3924" i="14"/>
  <c r="G3928" i="14" s="1"/>
  <c r="E3924" i="14"/>
  <c r="E3928" i="14" s="1"/>
  <c r="L3924" i="14"/>
  <c r="L3928" i="14" s="1"/>
  <c r="H3924" i="14"/>
  <c r="H3928" i="14" s="1"/>
  <c r="D1992" i="14"/>
  <c r="D1996" i="14" s="1"/>
  <c r="E1992" i="14"/>
  <c r="E1996" i="14" s="1"/>
  <c r="G1946" i="14"/>
  <c r="G1950" i="14" s="1"/>
  <c r="K1946" i="14"/>
  <c r="K1950" i="14" s="1"/>
  <c r="J1946" i="14"/>
  <c r="J1950" i="14" s="1"/>
  <c r="I1946" i="14"/>
  <c r="I1950" i="14" s="1"/>
  <c r="D1946" i="14"/>
  <c r="D1950" i="14" s="1"/>
  <c r="E1946" i="14"/>
  <c r="E1950" i="14" s="1"/>
  <c r="M1946" i="14"/>
  <c r="M1950" i="14" s="1"/>
  <c r="H1946" i="14"/>
  <c r="H1950" i="14" s="1"/>
  <c r="F1946" i="14"/>
  <c r="F1950" i="14" s="1"/>
  <c r="L1946" i="14"/>
  <c r="L1950" i="14" s="1"/>
  <c r="J1900" i="14"/>
  <c r="J1904" i="14" s="1"/>
  <c r="K1900" i="14"/>
  <c r="K1904" i="14" s="1"/>
  <c r="E1900" i="14"/>
  <c r="E1904" i="14" s="1"/>
  <c r="G1900" i="14"/>
  <c r="G1904" i="14" s="1"/>
  <c r="L1900" i="14"/>
  <c r="L1904" i="14" s="1"/>
  <c r="H1900" i="14"/>
  <c r="H1904" i="14" s="1"/>
  <c r="D1900" i="14"/>
  <c r="D1904" i="14" s="1"/>
  <c r="I1900" i="14"/>
  <c r="I1904" i="14" s="1"/>
  <c r="I1210" i="14"/>
  <c r="I1214" i="14" s="1"/>
  <c r="K1210" i="14"/>
  <c r="K1214" i="14" s="1"/>
  <c r="E1210" i="14"/>
  <c r="E1214" i="14" s="1"/>
  <c r="L1210" i="14"/>
  <c r="L1214" i="14" s="1"/>
  <c r="H1164" i="14"/>
  <c r="H1168" i="14" s="1"/>
  <c r="K1164" i="14"/>
  <c r="K1168" i="14" s="1"/>
  <c r="I1164" i="14"/>
  <c r="I1168" i="14" s="1"/>
  <c r="F1164" i="14"/>
  <c r="F1168" i="14" s="1"/>
  <c r="D1164" i="14"/>
  <c r="D1168" i="14" s="1"/>
  <c r="G1164" i="14"/>
  <c r="G1168" i="14" s="1"/>
  <c r="M1164" i="14"/>
  <c r="M1168" i="14" s="1"/>
  <c r="J1164" i="14"/>
  <c r="J1168" i="14" s="1"/>
  <c r="E1164" i="14"/>
  <c r="E1168" i="14" s="1"/>
  <c r="L1164" i="14"/>
  <c r="L1168" i="14" s="1"/>
  <c r="G1118" i="14"/>
  <c r="G1122" i="14" s="1"/>
  <c r="H1118" i="14"/>
  <c r="H1122" i="14" s="1"/>
  <c r="L1118" i="14"/>
  <c r="L1122" i="14" s="1"/>
  <c r="J1118" i="14"/>
  <c r="J1122" i="14" s="1"/>
  <c r="F1118" i="14"/>
  <c r="F1122" i="14" s="1"/>
  <c r="M1118" i="14"/>
  <c r="M1122" i="14" s="1"/>
  <c r="I1118" i="14"/>
  <c r="I1122" i="14" s="1"/>
  <c r="D1118" i="14"/>
  <c r="D1122" i="14" s="1"/>
  <c r="E1118" i="14"/>
  <c r="E1122" i="14" s="1"/>
  <c r="K1118" i="14"/>
  <c r="K1122" i="14" s="1"/>
  <c r="K1072" i="14"/>
  <c r="K1076" i="14" s="1"/>
  <c r="G1072" i="14"/>
  <c r="G1076" i="14" s="1"/>
  <c r="L1072" i="14"/>
  <c r="L1076" i="14" s="1"/>
  <c r="F1072" i="14"/>
  <c r="F1076" i="14" s="1"/>
  <c r="M1072" i="14"/>
  <c r="M1076" i="14" s="1"/>
  <c r="D1072" i="14"/>
  <c r="D1076" i="14" s="1"/>
  <c r="H1072" i="14"/>
  <c r="H1076" i="14" s="1"/>
  <c r="J1072" i="14"/>
  <c r="J1076" i="14" s="1"/>
  <c r="E1072" i="14"/>
  <c r="E1076" i="14" s="1"/>
  <c r="I1072" i="14"/>
  <c r="I1076" i="14" s="1"/>
  <c r="I1026" i="14"/>
  <c r="I1030" i="14" s="1"/>
  <c r="D1026" i="14"/>
  <c r="D1030" i="14" s="1"/>
  <c r="G1026" i="14"/>
  <c r="G1030" i="14" s="1"/>
  <c r="H1026" i="14"/>
  <c r="H1030" i="14" s="1"/>
  <c r="J1026" i="14"/>
  <c r="J1030" i="14" s="1"/>
  <c r="L1026" i="14"/>
  <c r="L1030" i="14" s="1"/>
  <c r="K1026" i="14"/>
  <c r="K1030" i="14" s="1"/>
  <c r="E1026" i="14"/>
  <c r="E1030" i="14" s="1"/>
  <c r="K4844" i="6"/>
  <c r="K4848" i="6" s="1"/>
  <c r="M4844" i="6"/>
  <c r="M4848" i="6" s="1"/>
  <c r="D4844" i="6"/>
  <c r="D4848" i="6" s="1"/>
  <c r="F4844" i="6"/>
  <c r="F4848" i="6" s="1"/>
  <c r="H4844" i="6"/>
  <c r="H4848" i="6" s="1"/>
  <c r="J4844" i="6"/>
  <c r="J4848" i="6" s="1"/>
  <c r="L4844" i="6"/>
  <c r="L4848" i="6" s="1"/>
  <c r="I4844" i="6"/>
  <c r="I4848" i="6" s="1"/>
  <c r="G4844" i="6"/>
  <c r="G4848" i="6" s="1"/>
  <c r="D4798" i="6"/>
  <c r="D4802" i="6" s="1"/>
  <c r="H4798" i="6"/>
  <c r="H4802" i="6" s="1"/>
  <c r="G4798" i="6"/>
  <c r="G4802" i="6" s="1"/>
  <c r="I4798" i="6"/>
  <c r="I4802" i="6" s="1"/>
  <c r="F4798" i="6"/>
  <c r="F4802" i="6" s="1"/>
  <c r="L4798" i="6"/>
  <c r="L4802" i="6" s="1"/>
  <c r="E4798" i="6"/>
  <c r="E4802" i="6" s="1"/>
  <c r="K4798" i="6"/>
  <c r="K4802" i="6" s="1"/>
  <c r="M4798" i="6"/>
  <c r="M4802" i="6" s="1"/>
  <c r="J4798" i="6"/>
  <c r="J4802" i="6" s="1"/>
  <c r="K4752" i="6"/>
  <c r="K4756" i="6" s="1"/>
  <c r="I4752" i="6"/>
  <c r="I4756" i="6" s="1"/>
  <c r="E4752" i="6"/>
  <c r="E4756" i="6" s="1"/>
  <c r="G4752" i="6"/>
  <c r="G4756" i="6" s="1"/>
  <c r="M2820" i="6"/>
  <c r="M2824" i="6" s="1"/>
  <c r="L2820" i="6"/>
  <c r="L2824" i="6" s="1"/>
  <c r="I2774" i="6"/>
  <c r="I2778" i="6" s="1"/>
  <c r="H2774" i="6"/>
  <c r="H2778" i="6" s="1"/>
  <c r="G2774" i="6"/>
  <c r="G2778" i="6" s="1"/>
  <c r="F2774" i="6"/>
  <c r="F2778" i="6" s="1"/>
  <c r="D2774" i="6"/>
  <c r="D2778" i="6" s="1"/>
  <c r="M2774" i="6"/>
  <c r="M2778" i="6" s="1"/>
  <c r="L2774" i="6"/>
  <c r="L2778" i="6" s="1"/>
  <c r="E2774" i="6"/>
  <c r="E2778" i="6" s="1"/>
  <c r="K2774" i="6"/>
  <c r="K2778" i="6" s="1"/>
  <c r="J2774" i="6"/>
  <c r="J2778" i="6" s="1"/>
  <c r="D2728" i="6"/>
  <c r="D2732" i="6" s="1"/>
  <c r="E2728" i="6"/>
  <c r="E2732" i="6" s="1"/>
  <c r="F2728" i="6"/>
  <c r="F2732" i="6" s="1"/>
  <c r="G2728" i="6"/>
  <c r="G2732" i="6" s="1"/>
  <c r="H2728" i="6"/>
  <c r="H2732" i="6" s="1"/>
  <c r="I2728" i="6"/>
  <c r="I2732" i="6" s="1"/>
  <c r="J2728" i="6"/>
  <c r="J2732" i="6" s="1"/>
  <c r="L2728" i="6"/>
  <c r="L2732" i="6" s="1"/>
  <c r="M2728" i="6"/>
  <c r="M2732" i="6" s="1"/>
  <c r="K2728" i="6"/>
  <c r="K2732" i="6" s="1"/>
  <c r="G2682" i="6"/>
  <c r="G2686" i="6" s="1"/>
  <c r="I2682" i="6"/>
  <c r="I2686" i="6" s="1"/>
  <c r="K2682" i="6"/>
  <c r="K2686" i="6" s="1"/>
  <c r="L2682" i="6"/>
  <c r="L2686" i="6" s="1"/>
  <c r="H2682" i="6"/>
  <c r="H2686" i="6" s="1"/>
  <c r="M2682" i="6"/>
  <c r="M2686" i="6" s="1"/>
  <c r="J2682" i="6"/>
  <c r="J2686" i="6" s="1"/>
  <c r="F2682" i="6"/>
  <c r="F2686" i="6" s="1"/>
  <c r="D2682" i="6"/>
  <c r="D2686" i="6" s="1"/>
  <c r="E2682" i="6"/>
  <c r="E2686" i="6" s="1"/>
  <c r="I2636" i="6"/>
  <c r="I2640" i="6" s="1"/>
  <c r="M2636" i="6"/>
  <c r="M2640" i="6" s="1"/>
  <c r="D2636" i="6"/>
  <c r="D2640" i="6" s="1"/>
  <c r="F2636" i="6"/>
  <c r="F2640" i="6" s="1"/>
  <c r="E2636" i="6"/>
  <c r="E2640" i="6" s="1"/>
  <c r="L2636" i="6"/>
  <c r="L2640" i="6" s="1"/>
  <c r="H2636" i="6"/>
  <c r="H2640" i="6" s="1"/>
  <c r="G2636" i="6"/>
  <c r="G2640" i="6" s="1"/>
  <c r="K2636" i="6"/>
  <c r="K2640" i="6" s="1"/>
  <c r="J2636" i="6"/>
  <c r="J2640" i="6" s="1"/>
  <c r="K2590" i="6"/>
  <c r="K2594" i="6" s="1"/>
  <c r="H2590" i="6"/>
  <c r="H2594" i="6" s="1"/>
  <c r="F2590" i="6"/>
  <c r="F2594" i="6" s="1"/>
  <c r="I2590" i="6"/>
  <c r="I2594" i="6" s="1"/>
  <c r="L2590" i="6"/>
  <c r="L2594" i="6" s="1"/>
  <c r="D2590" i="6"/>
  <c r="D2594" i="6" s="1"/>
  <c r="E2590" i="6"/>
  <c r="E2594" i="6" s="1"/>
  <c r="J2590" i="6"/>
  <c r="J2594" i="6" s="1"/>
  <c r="G2590" i="6"/>
  <c r="G2594" i="6" s="1"/>
  <c r="M2590" i="6"/>
  <c r="M2594" i="6" s="1"/>
  <c r="I2544" i="6"/>
  <c r="I2548" i="6" s="1"/>
  <c r="K2544" i="6"/>
  <c r="K2548" i="6" s="1"/>
  <c r="H2544" i="6"/>
  <c r="H2548" i="6" s="1"/>
  <c r="L2544" i="6"/>
  <c r="L2548" i="6" s="1"/>
  <c r="D2544" i="6"/>
  <c r="D2548" i="6" s="1"/>
  <c r="G2544" i="6"/>
  <c r="G2548" i="6" s="1"/>
  <c r="M2544" i="6"/>
  <c r="M2548" i="6" s="1"/>
  <c r="E2544" i="6"/>
  <c r="E2548" i="6" s="1"/>
  <c r="F2544" i="6"/>
  <c r="F2548" i="6" s="1"/>
  <c r="J2544" i="6"/>
  <c r="J2548" i="6" s="1"/>
  <c r="F2498" i="6"/>
  <c r="F2502" i="6" s="1"/>
  <c r="G2498" i="6"/>
  <c r="G2502" i="6" s="1"/>
  <c r="H2498" i="6"/>
  <c r="H2502" i="6" s="1"/>
  <c r="I2498" i="6"/>
  <c r="I2502" i="6" s="1"/>
  <c r="J2498" i="6"/>
  <c r="J2502" i="6" s="1"/>
  <c r="K2498" i="6"/>
  <c r="K2502" i="6" s="1"/>
  <c r="L2498" i="6"/>
  <c r="L2502" i="6" s="1"/>
  <c r="M2498" i="6"/>
  <c r="M2502" i="6" s="1"/>
  <c r="E2498" i="6"/>
  <c r="E2502" i="6" s="1"/>
  <c r="D2498" i="6"/>
  <c r="D2502" i="6" s="1"/>
  <c r="L2452" i="6"/>
  <c r="L2456" i="6" s="1"/>
  <c r="D2452" i="6"/>
  <c r="D2456" i="6" s="1"/>
  <c r="E2452" i="6"/>
  <c r="E2456" i="6" s="1"/>
  <c r="I2452" i="6"/>
  <c r="I2456" i="6" s="1"/>
  <c r="K2452" i="6"/>
  <c r="K2456" i="6" s="1"/>
  <c r="J2452" i="6"/>
  <c r="J2456" i="6" s="1"/>
  <c r="H2452" i="6"/>
  <c r="H2456" i="6" s="1"/>
  <c r="G2452" i="6"/>
  <c r="G2456" i="6" s="1"/>
  <c r="D4390" i="14"/>
  <c r="D4399" i="14"/>
  <c r="M4113" i="14"/>
  <c r="M4114" i="14"/>
  <c r="M4123" i="14"/>
  <c r="D4077" i="14"/>
  <c r="D4068" i="14"/>
  <c r="M3791" i="14"/>
  <c r="M3792" i="14"/>
  <c r="M3801" i="14"/>
  <c r="H2871" i="14"/>
  <c r="M2549" i="14"/>
  <c r="M2550" i="14"/>
  <c r="M2559" i="14"/>
  <c r="J2237" i="14"/>
  <c r="J2228" i="14"/>
  <c r="I2227" i="14"/>
  <c r="I2228" i="14"/>
  <c r="I2237" i="14"/>
  <c r="M1905" i="14"/>
  <c r="M1906" i="14"/>
  <c r="M1915" i="14"/>
  <c r="D1869" i="14"/>
  <c r="D1860" i="14"/>
  <c r="M1583" i="14"/>
  <c r="M1584" i="14" s="1"/>
  <c r="M1593" i="14"/>
  <c r="D1547" i="14"/>
  <c r="D1538" i="14"/>
  <c r="M1261" i="14"/>
  <c r="M1262" i="14" s="1"/>
  <c r="M1271" i="14"/>
  <c r="D1216" i="14"/>
  <c r="D1225" i="14"/>
  <c r="D894" i="14"/>
  <c r="D903" i="14"/>
  <c r="M19" i="14"/>
  <c r="M20" i="14"/>
  <c r="M29" i="14"/>
  <c r="M58" i="8"/>
  <c r="B87" i="19"/>
  <c r="M61" i="8"/>
  <c r="B93" i="19"/>
  <c r="M60" i="8"/>
  <c r="B91" i="19"/>
  <c r="M59" i="8"/>
  <c r="B89" i="19"/>
  <c r="M57" i="8"/>
  <c r="B85" i="19"/>
  <c r="M4389" i="6"/>
  <c r="M4390" i="6"/>
  <c r="M4399" i="6"/>
  <c r="D4353" i="6"/>
  <c r="D4344" i="6"/>
  <c r="M4067" i="6"/>
  <c r="M4068" i="6"/>
  <c r="M4077" i="6"/>
  <c r="D4031" i="6"/>
  <c r="D4022" i="6"/>
  <c r="M3745" i="6"/>
  <c r="M3746" i="6"/>
  <c r="M3755" i="6"/>
  <c r="D3709" i="6"/>
  <c r="D3700" i="6"/>
  <c r="L3203" i="6"/>
  <c r="L3194" i="6"/>
  <c r="K3193" i="6"/>
  <c r="K3203" i="6"/>
  <c r="K3194" i="6"/>
  <c r="M1859" i="6"/>
  <c r="M1860" i="6"/>
  <c r="M1869" i="6"/>
  <c r="M1537" i="6"/>
  <c r="M1547" i="6" s="1"/>
  <c r="M1538" i="6"/>
  <c r="D1492" i="6"/>
  <c r="D1501" i="6"/>
  <c r="M1215" i="6"/>
  <c r="M1216" i="6"/>
  <c r="M1225" i="6"/>
  <c r="D1179" i="6"/>
  <c r="D1170" i="6"/>
  <c r="M893" i="6"/>
  <c r="M894" i="6"/>
  <c r="M903" i="6"/>
  <c r="D857" i="6"/>
  <c r="D848" i="6"/>
  <c r="G673" i="6"/>
  <c r="G664" i="6"/>
  <c r="F663" i="6"/>
  <c r="B83" i="19"/>
  <c r="D34" i="2"/>
  <c r="K4710" i="6"/>
  <c r="D36" i="6"/>
  <c r="D358" i="6"/>
  <c r="D82" i="6"/>
  <c r="D588" i="6"/>
  <c r="D634" i="6"/>
  <c r="D772" i="6"/>
  <c r="D818" i="6"/>
  <c r="D864" i="6"/>
  <c r="D128" i="6"/>
  <c r="D312" i="6"/>
  <c r="D450" i="6"/>
  <c r="D1048" i="6"/>
  <c r="D1094" i="6"/>
  <c r="D1140" i="6"/>
  <c r="D1186" i="6"/>
  <c r="D542" i="6"/>
  <c r="D680" i="6"/>
  <c r="D910" i="6"/>
  <c r="D1232" i="6"/>
  <c r="D1416" i="6"/>
  <c r="D1462" i="6"/>
  <c r="D1508" i="6"/>
  <c r="D404" i="6"/>
  <c r="D726" i="6"/>
  <c r="D956" i="6"/>
  <c r="D1002" i="6"/>
  <c r="D1554" i="6"/>
  <c r="D1600" i="6"/>
  <c r="D1646" i="6"/>
  <c r="D1692" i="6"/>
  <c r="D1738" i="6"/>
  <c r="D1784" i="6"/>
  <c r="D1830" i="6"/>
  <c r="D496" i="6"/>
  <c r="D1324" i="6"/>
  <c r="D1370" i="6"/>
  <c r="D1922" i="6"/>
  <c r="D1968" i="6"/>
  <c r="D2060" i="6"/>
  <c r="D2106" i="6"/>
  <c r="D2152" i="6"/>
  <c r="D2198" i="6"/>
  <c r="D2244" i="6"/>
  <c r="D2290" i="6"/>
  <c r="D2336" i="6"/>
  <c r="D2382" i="6"/>
  <c r="D2428" i="6"/>
  <c r="D2474" i="6"/>
  <c r="D1278" i="6"/>
  <c r="D1876" i="6"/>
  <c r="D2014" i="6"/>
  <c r="D2520" i="6"/>
  <c r="D2566" i="6"/>
  <c r="D2612" i="6"/>
  <c r="D2658" i="6"/>
  <c r="D2704" i="6"/>
  <c r="D2750" i="6"/>
  <c r="D2796" i="6"/>
  <c r="D3716" i="6"/>
  <c r="D2888" i="6"/>
  <c r="D4038" i="6"/>
  <c r="D3256" i="6"/>
  <c r="D3900" i="6"/>
  <c r="D4084" i="6"/>
  <c r="D4130" i="6"/>
  <c r="D4176" i="6"/>
  <c r="D4222" i="6"/>
  <c r="D4268" i="6"/>
  <c r="D4314" i="6"/>
  <c r="D4360" i="6"/>
  <c r="D3578" i="6"/>
  <c r="D4452" i="6"/>
  <c r="D4498" i="6"/>
  <c r="D4544" i="6"/>
  <c r="D4590" i="6"/>
  <c r="D4636" i="6"/>
  <c r="D4682" i="6"/>
  <c r="D3210" i="6"/>
  <c r="D3992" i="6"/>
  <c r="D4728" i="6"/>
  <c r="D4774" i="6"/>
  <c r="D4820" i="6"/>
  <c r="D4866" i="6"/>
  <c r="D4912" i="6"/>
  <c r="D4958" i="6"/>
  <c r="D5004" i="6"/>
  <c r="D2842" i="6"/>
  <c r="D3164" i="6"/>
  <c r="D3854" i="6"/>
  <c r="D3946" i="6"/>
  <c r="D5050" i="6"/>
  <c r="D5096" i="6"/>
  <c r="D5142" i="6"/>
  <c r="D3532" i="6"/>
  <c r="D4406" i="6"/>
  <c r="D36" i="14"/>
  <c r="D82" i="14"/>
  <c r="D128" i="14"/>
  <c r="D174" i="14"/>
  <c r="D220" i="14"/>
  <c r="D266" i="14"/>
  <c r="D312" i="14"/>
  <c r="D3026" i="6"/>
  <c r="D3348" i="6"/>
  <c r="D3394" i="6"/>
  <c r="D358" i="14"/>
  <c r="D404" i="14"/>
  <c r="D450" i="14"/>
  <c r="D496" i="14"/>
  <c r="D542" i="14"/>
  <c r="D588" i="14"/>
  <c r="D634" i="14"/>
  <c r="D3670" i="6"/>
  <c r="D726" i="14"/>
  <c r="D772" i="14"/>
  <c r="D818" i="14"/>
  <c r="D864" i="14"/>
  <c r="D910" i="14"/>
  <c r="D956" i="14"/>
  <c r="D680" i="14"/>
  <c r="D1002" i="14"/>
  <c r="D1048" i="14"/>
  <c r="D1094" i="14"/>
  <c r="D1140" i="14"/>
  <c r="D1186" i="14"/>
  <c r="D1232" i="14"/>
  <c r="D2934" i="6"/>
  <c r="D2980" i="6"/>
  <c r="D1508" i="14"/>
  <c r="D1554" i="14"/>
  <c r="D3072" i="6"/>
  <c r="D3118" i="6"/>
  <c r="D3302" i="6"/>
  <c r="D3440" i="6"/>
  <c r="D3486" i="6"/>
  <c r="D1278" i="14"/>
  <c r="D1324" i="14"/>
  <c r="D1370" i="14"/>
  <c r="D1416" i="14"/>
  <c r="D1462" i="14"/>
  <c r="D1600" i="14"/>
  <c r="D1646" i="14"/>
  <c r="D1692" i="14"/>
  <c r="D1738" i="14"/>
  <c r="D1784" i="14"/>
  <c r="D1830" i="14"/>
  <c r="D1876" i="14"/>
  <c r="D3624" i="6"/>
  <c r="D3762" i="6"/>
  <c r="D3808" i="6"/>
  <c r="D1922" i="14"/>
  <c r="D1968" i="14"/>
  <c r="D2014" i="14"/>
  <c r="D2060" i="14"/>
  <c r="D2106" i="14"/>
  <c r="D2152" i="14"/>
  <c r="D2198" i="14"/>
  <c r="D2244" i="14"/>
  <c r="D2290" i="14"/>
  <c r="D2336" i="14"/>
  <c r="D2382" i="14"/>
  <c r="D2428" i="14"/>
  <c r="D2474" i="14"/>
  <c r="D2520" i="14"/>
  <c r="D2566" i="14"/>
  <c r="D2612" i="14"/>
  <c r="D2658" i="14"/>
  <c r="D2704" i="14"/>
  <c r="D2750" i="14"/>
  <c r="D2796" i="14"/>
  <c r="D2842" i="14"/>
  <c r="D2888" i="14"/>
  <c r="D2934" i="14"/>
  <c r="D2980" i="14"/>
  <c r="D3026" i="14"/>
  <c r="D3072" i="14"/>
  <c r="D3118" i="14"/>
  <c r="D3164" i="14"/>
  <c r="D3210" i="14"/>
  <c r="D3486" i="14"/>
  <c r="D3256" i="14"/>
  <c r="D3302" i="14"/>
  <c r="D3348" i="14"/>
  <c r="D3394" i="14"/>
  <c r="D3440" i="14"/>
  <c r="D3532" i="14"/>
  <c r="D3578" i="14"/>
  <c r="D3624" i="14"/>
  <c r="D3670" i="14"/>
  <c r="D3716" i="14"/>
  <c r="D3762" i="14"/>
  <c r="D3900" i="14"/>
  <c r="D3946" i="14"/>
  <c r="D3992" i="14"/>
  <c r="D4038" i="14"/>
  <c r="D4084" i="14"/>
  <c r="D3808" i="14"/>
  <c r="D3854" i="14"/>
  <c r="D4130" i="14"/>
  <c r="D4176" i="14"/>
  <c r="D4222" i="14"/>
  <c r="D4268" i="14"/>
  <c r="D4314" i="14"/>
  <c r="D4360" i="14"/>
  <c r="D4406" i="14"/>
  <c r="D36" i="16"/>
  <c r="D82" i="16"/>
  <c r="D128" i="16"/>
  <c r="D174" i="6"/>
  <c r="D220" i="6"/>
  <c r="D266" i="6"/>
  <c r="E65" i="7"/>
  <c r="E64" i="7"/>
  <c r="E63" i="7"/>
  <c r="E62" i="7"/>
  <c r="C54" i="7"/>
  <c r="C68" i="7"/>
  <c r="B84" i="19" s="1"/>
  <c r="G39" i="11"/>
  <c r="I39" i="11"/>
  <c r="K39" i="11"/>
  <c r="G38" i="11"/>
  <c r="I38" i="11"/>
  <c r="K38" i="11"/>
  <c r="G34" i="11"/>
  <c r="I34" i="11"/>
  <c r="K34" i="11"/>
  <c r="G31" i="11"/>
  <c r="I31" i="11"/>
  <c r="K31" i="11"/>
  <c r="G30" i="11"/>
  <c r="I30" i="11"/>
  <c r="K30" i="11"/>
  <c r="G29" i="11"/>
  <c r="I29" i="11"/>
  <c r="K29" i="11"/>
  <c r="H81" i="15"/>
  <c r="H78" i="15"/>
  <c r="H79" i="15"/>
  <c r="H80" i="15"/>
  <c r="H82" i="15"/>
  <c r="H83" i="15"/>
  <c r="H84" i="15"/>
  <c r="H85" i="15"/>
  <c r="H86" i="15"/>
  <c r="H87" i="15"/>
  <c r="H90" i="15"/>
  <c r="H91" i="15"/>
  <c r="H92" i="15"/>
  <c r="H93" i="15"/>
  <c r="H94" i="15"/>
  <c r="H88" i="15"/>
  <c r="H89" i="15"/>
  <c r="H95" i="15"/>
  <c r="H96" i="15"/>
  <c r="H97" i="15"/>
  <c r="H98" i="15"/>
  <c r="H99" i="15"/>
  <c r="H100" i="15"/>
  <c r="H101" i="15"/>
  <c r="D12" i="18"/>
  <c r="B50" i="19" s="1"/>
  <c r="E12" i="18"/>
  <c r="B51" i="19" s="1"/>
  <c r="G28" i="11"/>
  <c r="I28" i="11"/>
  <c r="K28" i="11"/>
  <c r="H54" i="15"/>
  <c r="H55" i="15"/>
  <c r="H56" i="15"/>
  <c r="H57" i="15"/>
  <c r="H58" i="15"/>
  <c r="H59" i="15"/>
  <c r="H60" i="15"/>
  <c r="H61" i="15"/>
  <c r="H62" i="15"/>
  <c r="H63" i="15"/>
  <c r="H64" i="15"/>
  <c r="H65" i="15"/>
  <c r="H66" i="15"/>
  <c r="H67" i="15"/>
  <c r="H68" i="15"/>
  <c r="H69" i="15"/>
  <c r="H70" i="15"/>
  <c r="H71" i="15"/>
  <c r="H72" i="15"/>
  <c r="H73" i="15"/>
  <c r="H74" i="15"/>
  <c r="H75" i="15"/>
  <c r="H76" i="15"/>
  <c r="H77" i="15"/>
  <c r="D10" i="18"/>
  <c r="B46" i="19" s="1"/>
  <c r="E10" i="18"/>
  <c r="B47" i="19" s="1"/>
  <c r="G27" i="11"/>
  <c r="I27" i="11"/>
  <c r="K27" i="11"/>
  <c r="H30" i="15"/>
  <c r="H31" i="15"/>
  <c r="H32" i="15"/>
  <c r="H33" i="15"/>
  <c r="H34" i="15"/>
  <c r="H35" i="15"/>
  <c r="H38" i="15"/>
  <c r="H39" i="15"/>
  <c r="H36" i="15"/>
  <c r="H37" i="15"/>
  <c r="H40" i="15"/>
  <c r="H41" i="15"/>
  <c r="H42" i="15"/>
  <c r="H43" i="15"/>
  <c r="H44" i="15"/>
  <c r="H45" i="15"/>
  <c r="H46" i="15"/>
  <c r="H47" i="15"/>
  <c r="H48" i="15"/>
  <c r="H49" i="15"/>
  <c r="H50" i="15"/>
  <c r="H51" i="15"/>
  <c r="H52" i="15"/>
  <c r="H53" i="15"/>
  <c r="D8" i="18"/>
  <c r="B42" i="19" s="1"/>
  <c r="E8" i="18"/>
  <c r="B43" i="19" s="1"/>
  <c r="D4171" i="6"/>
  <c r="D4217" i="6"/>
  <c r="D4263" i="6"/>
  <c r="D41" i="11"/>
  <c r="D4309" i="6"/>
  <c r="D4355" i="6"/>
  <c r="D4401" i="6"/>
  <c r="D1687" i="6"/>
  <c r="D1733" i="6"/>
  <c r="D1779" i="6"/>
  <c r="D32" i="11"/>
  <c r="E10" i="2"/>
  <c r="D1825" i="6"/>
  <c r="D1871" i="6"/>
  <c r="D1917" i="6"/>
  <c r="F10" i="2"/>
  <c r="D3895" i="6"/>
  <c r="D40" i="11"/>
  <c r="D3987" i="6"/>
  <c r="D3941" i="6"/>
  <c r="D4033" i="6"/>
  <c r="D4125" i="6"/>
  <c r="D4079" i="6"/>
  <c r="D37" i="11"/>
  <c r="D3159" i="6"/>
  <c r="D3067" i="6"/>
  <c r="D3113" i="6"/>
  <c r="D3251" i="6"/>
  <c r="D3297" i="6"/>
  <c r="D3205" i="6"/>
  <c r="D2791" i="6"/>
  <c r="D2837" i="6"/>
  <c r="D2883" i="6"/>
  <c r="D36" i="11"/>
  <c r="D2975" i="6"/>
  <c r="D3021" i="6"/>
  <c r="D2929" i="6"/>
  <c r="D2515" i="6"/>
  <c r="D2561" i="6"/>
  <c r="D2607" i="6"/>
  <c r="D35" i="11"/>
  <c r="E13" i="2"/>
  <c r="D2653" i="6"/>
  <c r="D2699" i="6"/>
  <c r="D2745" i="6"/>
  <c r="F13" i="2"/>
  <c r="D2055" i="6"/>
  <c r="D1963" i="6"/>
  <c r="D2009" i="6"/>
  <c r="D33" i="11"/>
  <c r="E11" i="2"/>
  <c r="F11" i="2"/>
  <c r="D2101" i="6"/>
  <c r="D2147" i="6"/>
  <c r="D2193" i="6"/>
  <c r="G26" i="11"/>
  <c r="I26" i="11"/>
  <c r="K26" i="11"/>
  <c r="H6" i="15"/>
  <c r="H7" i="15"/>
  <c r="H8" i="15"/>
  <c r="H9" i="15"/>
  <c r="H10" i="15"/>
  <c r="H11" i="15"/>
  <c r="H12" i="15"/>
  <c r="H13" i="15"/>
  <c r="H14" i="15"/>
  <c r="H15" i="15"/>
  <c r="H16" i="15"/>
  <c r="H17" i="15"/>
  <c r="H18" i="15"/>
  <c r="H19" i="15"/>
  <c r="H20" i="15"/>
  <c r="H21" i="15"/>
  <c r="H22" i="15"/>
  <c r="H23" i="15"/>
  <c r="H24" i="15"/>
  <c r="H25" i="15"/>
  <c r="H26" i="15"/>
  <c r="H27" i="15"/>
  <c r="H28" i="15"/>
  <c r="H29" i="15"/>
  <c r="D6" i="18"/>
  <c r="B38" i="19" s="1"/>
  <c r="E6" i="18"/>
  <c r="B39" i="19" s="1"/>
  <c r="D7" i="18"/>
  <c r="B40" i="19" s="1"/>
  <c r="E7" i="18"/>
  <c r="B41" i="19" s="1"/>
  <c r="M111" i="16"/>
  <c r="L111" i="16"/>
  <c r="K111" i="16"/>
  <c r="J111" i="16"/>
  <c r="I111" i="16"/>
  <c r="H111" i="16"/>
  <c r="G111" i="16"/>
  <c r="F111" i="16"/>
  <c r="E111" i="16"/>
  <c r="M65" i="16"/>
  <c r="L65" i="16"/>
  <c r="K65" i="16"/>
  <c r="J65" i="16"/>
  <c r="I65" i="16"/>
  <c r="H65" i="16"/>
  <c r="G65" i="16"/>
  <c r="F65" i="16"/>
  <c r="E65" i="16"/>
  <c r="M19" i="16"/>
  <c r="L19" i="16"/>
  <c r="K19" i="16"/>
  <c r="J19" i="16"/>
  <c r="I19" i="16"/>
  <c r="H19" i="16"/>
  <c r="G19" i="16"/>
  <c r="F19" i="16"/>
  <c r="E19" i="16"/>
  <c r="M4389" i="14"/>
  <c r="L4389" i="14"/>
  <c r="K4389" i="14"/>
  <c r="J4389" i="14"/>
  <c r="I4389" i="14"/>
  <c r="H4389" i="14"/>
  <c r="G4389" i="14"/>
  <c r="F4389" i="14"/>
  <c r="E4389" i="14"/>
  <c r="M4343" i="14"/>
  <c r="L4343" i="14"/>
  <c r="K4343" i="14"/>
  <c r="J4343" i="14"/>
  <c r="I4343" i="14"/>
  <c r="H4343" i="14"/>
  <c r="G4343" i="14"/>
  <c r="F4343" i="14"/>
  <c r="E4343" i="14"/>
  <c r="M4297" i="14"/>
  <c r="L4297" i="14"/>
  <c r="K4297" i="14"/>
  <c r="J4297" i="14"/>
  <c r="I4297" i="14"/>
  <c r="H4297" i="14"/>
  <c r="G4297" i="14"/>
  <c r="F4297" i="14"/>
  <c r="E4297" i="14"/>
  <c r="M4251" i="14"/>
  <c r="L4251" i="14"/>
  <c r="K4251" i="14"/>
  <c r="J4251" i="14"/>
  <c r="H4251" i="14"/>
  <c r="G4251" i="14"/>
  <c r="F4251" i="14"/>
  <c r="E4251" i="14"/>
  <c r="M4205" i="14"/>
  <c r="L4205" i="14"/>
  <c r="K4205" i="14"/>
  <c r="J4205" i="14"/>
  <c r="I4205" i="14"/>
  <c r="H4205" i="14"/>
  <c r="G4205" i="14"/>
  <c r="F4205" i="14"/>
  <c r="E4205" i="14"/>
  <c r="M4159" i="14"/>
  <c r="L4159" i="14"/>
  <c r="K4159" i="14"/>
  <c r="J4159" i="14"/>
  <c r="I4159" i="14"/>
  <c r="H4159" i="14"/>
  <c r="G4159" i="14"/>
  <c r="F4159" i="14"/>
  <c r="E4159" i="14"/>
  <c r="L4113" i="14"/>
  <c r="K4113" i="14"/>
  <c r="J4113" i="14"/>
  <c r="I4113" i="14"/>
  <c r="H4113" i="14"/>
  <c r="G4113" i="14"/>
  <c r="F4113" i="14"/>
  <c r="E4113" i="14"/>
  <c r="M4067" i="14"/>
  <c r="L4067" i="14"/>
  <c r="K4067" i="14"/>
  <c r="J4067" i="14"/>
  <c r="I4067" i="14"/>
  <c r="H4067" i="14"/>
  <c r="G4067" i="14"/>
  <c r="F4067" i="14"/>
  <c r="E4067" i="14"/>
  <c r="M4021" i="14"/>
  <c r="L4021" i="14"/>
  <c r="K4021" i="14"/>
  <c r="J4021" i="14"/>
  <c r="I4021" i="14"/>
  <c r="H4021" i="14"/>
  <c r="G4021" i="14"/>
  <c r="F4021" i="14"/>
  <c r="E4021" i="14"/>
  <c r="M3975" i="14"/>
  <c r="L3975" i="14"/>
  <c r="K3975" i="14"/>
  <c r="J3975" i="14"/>
  <c r="I3975" i="14"/>
  <c r="H3975" i="14"/>
  <c r="G3975" i="14"/>
  <c r="F3975" i="14"/>
  <c r="E3975" i="14"/>
  <c r="M3929" i="14"/>
  <c r="L3929" i="14"/>
  <c r="K3929" i="14"/>
  <c r="J3929" i="14"/>
  <c r="I3929" i="14"/>
  <c r="H3929" i="14"/>
  <c r="G3929" i="14"/>
  <c r="F3929" i="14"/>
  <c r="E3929" i="14"/>
  <c r="M3883" i="14"/>
  <c r="L3883" i="14"/>
  <c r="K3883" i="14"/>
  <c r="J3883" i="14"/>
  <c r="I3883" i="14"/>
  <c r="H3883" i="14"/>
  <c r="G3883" i="14"/>
  <c r="F3883" i="14"/>
  <c r="E3883" i="14"/>
  <c r="M3837" i="14"/>
  <c r="L3837" i="14"/>
  <c r="K3837" i="14"/>
  <c r="J3837" i="14"/>
  <c r="I3837" i="14"/>
  <c r="H3837" i="14"/>
  <c r="G3837" i="14"/>
  <c r="F3837" i="14"/>
  <c r="E3837" i="14"/>
  <c r="L3791" i="14"/>
  <c r="K3791" i="14"/>
  <c r="J3791" i="14"/>
  <c r="I3791" i="14"/>
  <c r="H3791" i="14"/>
  <c r="G3791" i="14"/>
  <c r="F3791" i="14"/>
  <c r="E3791" i="14"/>
  <c r="M3745" i="14"/>
  <c r="L3745" i="14"/>
  <c r="K3745" i="14"/>
  <c r="J3745" i="14"/>
  <c r="I3745" i="14"/>
  <c r="H3745" i="14"/>
  <c r="G3745" i="14"/>
  <c r="F3745" i="14"/>
  <c r="E3745" i="14"/>
  <c r="M3699" i="14"/>
  <c r="L3699" i="14"/>
  <c r="K3699" i="14"/>
  <c r="J3699" i="14"/>
  <c r="I3699" i="14"/>
  <c r="H3699" i="14"/>
  <c r="G3699" i="14"/>
  <c r="F3699" i="14"/>
  <c r="E3699" i="14"/>
  <c r="M3653" i="14"/>
  <c r="L3653" i="14"/>
  <c r="K3653" i="14"/>
  <c r="J3653" i="14"/>
  <c r="I3653" i="14"/>
  <c r="H3653" i="14"/>
  <c r="G3653" i="14"/>
  <c r="F3653" i="14"/>
  <c r="E3653" i="14"/>
  <c r="M3607" i="14"/>
  <c r="L3607" i="14"/>
  <c r="K3607" i="14"/>
  <c r="J3607" i="14"/>
  <c r="I3607" i="14"/>
  <c r="H3607" i="14"/>
  <c r="G3607" i="14"/>
  <c r="F3607" i="14"/>
  <c r="E3607" i="14"/>
  <c r="M3561" i="14"/>
  <c r="L3561" i="14"/>
  <c r="K3561" i="14"/>
  <c r="J3561" i="14"/>
  <c r="I3561" i="14"/>
  <c r="H3561" i="14"/>
  <c r="G3561" i="14"/>
  <c r="F3561" i="14"/>
  <c r="E3561" i="14"/>
  <c r="M3515" i="14"/>
  <c r="L3515" i="14"/>
  <c r="K3515" i="14"/>
  <c r="J3515" i="14"/>
  <c r="I3515" i="14"/>
  <c r="H3515" i="14"/>
  <c r="G3515" i="14"/>
  <c r="F3515" i="14"/>
  <c r="E3515" i="14"/>
  <c r="M3469" i="14"/>
  <c r="L3469" i="14"/>
  <c r="K3469" i="14"/>
  <c r="J3469" i="14"/>
  <c r="I3469" i="14"/>
  <c r="H3469" i="14"/>
  <c r="G3469" i="14"/>
  <c r="F3469" i="14"/>
  <c r="E3469" i="14"/>
  <c r="M3423" i="14"/>
  <c r="L3423" i="14"/>
  <c r="K3423" i="14"/>
  <c r="J3423" i="14"/>
  <c r="I3423" i="14"/>
  <c r="H3423" i="14"/>
  <c r="G3423" i="14"/>
  <c r="F3423" i="14"/>
  <c r="E3423" i="14"/>
  <c r="M3377" i="14"/>
  <c r="L3377" i="14"/>
  <c r="K3377" i="14"/>
  <c r="J3377" i="14"/>
  <c r="I3377" i="14"/>
  <c r="H3377" i="14"/>
  <c r="G3377" i="14"/>
  <c r="F3377" i="14"/>
  <c r="E3377" i="14"/>
  <c r="M3331" i="14"/>
  <c r="L3331" i="14"/>
  <c r="K3331" i="14"/>
  <c r="J3331" i="14"/>
  <c r="I3331" i="14"/>
  <c r="H3331" i="14"/>
  <c r="G3331" i="14"/>
  <c r="F3331" i="14"/>
  <c r="E3331" i="14"/>
  <c r="M3285" i="14"/>
  <c r="L3285" i="14"/>
  <c r="J3285" i="14"/>
  <c r="I3285" i="14"/>
  <c r="H3285" i="14"/>
  <c r="G3285" i="14"/>
  <c r="F3285" i="14"/>
  <c r="E3285" i="14"/>
  <c r="M3239" i="14"/>
  <c r="L3239" i="14"/>
  <c r="K3239" i="14"/>
  <c r="J3239" i="14"/>
  <c r="I3239" i="14"/>
  <c r="H3239" i="14"/>
  <c r="G3239" i="14"/>
  <c r="F3239" i="14"/>
  <c r="E3239" i="14"/>
  <c r="M3193" i="14"/>
  <c r="L3193" i="14"/>
  <c r="K3193" i="14"/>
  <c r="J3193" i="14"/>
  <c r="I3193" i="14"/>
  <c r="H3193" i="14"/>
  <c r="G3193" i="14"/>
  <c r="F3193" i="14"/>
  <c r="E3193" i="14"/>
  <c r="M3147" i="14"/>
  <c r="L3147" i="14"/>
  <c r="K3147" i="14"/>
  <c r="J3147" i="14"/>
  <c r="I3147" i="14"/>
  <c r="H3147" i="14"/>
  <c r="G3147" i="14"/>
  <c r="F3147" i="14"/>
  <c r="E3147" i="14"/>
  <c r="M3101" i="14"/>
  <c r="L3101" i="14"/>
  <c r="K3101" i="14"/>
  <c r="J3101" i="14"/>
  <c r="I3101" i="14"/>
  <c r="H3101" i="14"/>
  <c r="G3101" i="14"/>
  <c r="F3101" i="14"/>
  <c r="E3101" i="14"/>
  <c r="M3055" i="14"/>
  <c r="L3055" i="14"/>
  <c r="K3055" i="14"/>
  <c r="J3055" i="14"/>
  <c r="I3055" i="14"/>
  <c r="H3055" i="14"/>
  <c r="G3055" i="14"/>
  <c r="F3055" i="14"/>
  <c r="E3055" i="14"/>
  <c r="M3009" i="14"/>
  <c r="L3009" i="14"/>
  <c r="K3009" i="14"/>
  <c r="J3009" i="14"/>
  <c r="I3009" i="14"/>
  <c r="H3009" i="14"/>
  <c r="G3009" i="14"/>
  <c r="F3009" i="14"/>
  <c r="E3009" i="14"/>
  <c r="M2963" i="14"/>
  <c r="L2963" i="14"/>
  <c r="K2963" i="14"/>
  <c r="J2963" i="14"/>
  <c r="I2963" i="14"/>
  <c r="H2963" i="14"/>
  <c r="G2963" i="14"/>
  <c r="F2963" i="14"/>
  <c r="E2963" i="14"/>
  <c r="M2917" i="14"/>
  <c r="L2917" i="14"/>
  <c r="K2917" i="14"/>
  <c r="J2917" i="14"/>
  <c r="I2917" i="14"/>
  <c r="H2917" i="14"/>
  <c r="G2917" i="14"/>
  <c r="F2917" i="14"/>
  <c r="E2917" i="14"/>
  <c r="G2871" i="14"/>
  <c r="F2871" i="14"/>
  <c r="E2871" i="14"/>
  <c r="M2825" i="14"/>
  <c r="L2825" i="14"/>
  <c r="K2825" i="14"/>
  <c r="J2825" i="14"/>
  <c r="I2825" i="14"/>
  <c r="H2825" i="14"/>
  <c r="G2825" i="14"/>
  <c r="F2825" i="14"/>
  <c r="E2825" i="14"/>
  <c r="M2779" i="14"/>
  <c r="L2779" i="14"/>
  <c r="K2779" i="14"/>
  <c r="J2779" i="14"/>
  <c r="I2779" i="14"/>
  <c r="H2779" i="14"/>
  <c r="G2779" i="14"/>
  <c r="F2779" i="14"/>
  <c r="E2779" i="14"/>
  <c r="M2733" i="14"/>
  <c r="L2733" i="14"/>
  <c r="K2733" i="14"/>
  <c r="J2733" i="14"/>
  <c r="I2733" i="14"/>
  <c r="H2733" i="14"/>
  <c r="G2733" i="14"/>
  <c r="F2733" i="14"/>
  <c r="E2733" i="14"/>
  <c r="M2687" i="14"/>
  <c r="L2687" i="14"/>
  <c r="K2687" i="14"/>
  <c r="J2687" i="14"/>
  <c r="I2687" i="14"/>
  <c r="H2687" i="14"/>
  <c r="G2687" i="14"/>
  <c r="F2687" i="14"/>
  <c r="E2687" i="14"/>
  <c r="M2641" i="14"/>
  <c r="L2641" i="14"/>
  <c r="K2641" i="14"/>
  <c r="J2641" i="14"/>
  <c r="I2641" i="14"/>
  <c r="H2641" i="14"/>
  <c r="G2641" i="14"/>
  <c r="F2641" i="14"/>
  <c r="E2641" i="14"/>
  <c r="M2595" i="14"/>
  <c r="L2595" i="14"/>
  <c r="K2595" i="14"/>
  <c r="J2595" i="14"/>
  <c r="I2595" i="14"/>
  <c r="H2595" i="14"/>
  <c r="G2595" i="14"/>
  <c r="F2595" i="14"/>
  <c r="E2595" i="14"/>
  <c r="L2549" i="14"/>
  <c r="K2549" i="14"/>
  <c r="J2549" i="14"/>
  <c r="I2549" i="14"/>
  <c r="H2549" i="14"/>
  <c r="G2549" i="14"/>
  <c r="F2549" i="14"/>
  <c r="E2549" i="14"/>
  <c r="M2503" i="14"/>
  <c r="L2503" i="14"/>
  <c r="K2503" i="14"/>
  <c r="J2503" i="14"/>
  <c r="I2503" i="14"/>
  <c r="H2503" i="14"/>
  <c r="G2503" i="14"/>
  <c r="F2503" i="14"/>
  <c r="E2503" i="14"/>
  <c r="M2457" i="14"/>
  <c r="L2457" i="14"/>
  <c r="K2457" i="14"/>
  <c r="J2457" i="14"/>
  <c r="I2457" i="14"/>
  <c r="H2457" i="14"/>
  <c r="G2457" i="14"/>
  <c r="F2457" i="14"/>
  <c r="E2457" i="14"/>
  <c r="M2411" i="14"/>
  <c r="L2411" i="14"/>
  <c r="K2411" i="14"/>
  <c r="J2411" i="14"/>
  <c r="I2411" i="14"/>
  <c r="H2411" i="14"/>
  <c r="G2411" i="14"/>
  <c r="F2411" i="14"/>
  <c r="E2411" i="14"/>
  <c r="M2365" i="14"/>
  <c r="L2365" i="14"/>
  <c r="K2365" i="14"/>
  <c r="J2365" i="14"/>
  <c r="I2365" i="14"/>
  <c r="H2365" i="14"/>
  <c r="G2365" i="14"/>
  <c r="F2365" i="14"/>
  <c r="E2365" i="14"/>
  <c r="M2319" i="14"/>
  <c r="L2319" i="14"/>
  <c r="K2319" i="14"/>
  <c r="J2319" i="14"/>
  <c r="I2319" i="14"/>
  <c r="H2319" i="14"/>
  <c r="G2319" i="14"/>
  <c r="F2319" i="14"/>
  <c r="E2319" i="14"/>
  <c r="M2273" i="14"/>
  <c r="L2273" i="14"/>
  <c r="K2273" i="14"/>
  <c r="J2273" i="14"/>
  <c r="I2273" i="14"/>
  <c r="H2273" i="14"/>
  <c r="G2273" i="14"/>
  <c r="F2273" i="14"/>
  <c r="E2273" i="14"/>
  <c r="M2227" i="14"/>
  <c r="L2227" i="14"/>
  <c r="K2227" i="14"/>
  <c r="H2227" i="14"/>
  <c r="G2227" i="14"/>
  <c r="F2227" i="14"/>
  <c r="E2227" i="14"/>
  <c r="M2181" i="14"/>
  <c r="L2181" i="14"/>
  <c r="K2181" i="14"/>
  <c r="J2181" i="14"/>
  <c r="I2181" i="14"/>
  <c r="H2181" i="14"/>
  <c r="G2181" i="14"/>
  <c r="F2181" i="14"/>
  <c r="E2181" i="14"/>
  <c r="M2135" i="14"/>
  <c r="L2135" i="14"/>
  <c r="K2135" i="14"/>
  <c r="J2135" i="14"/>
  <c r="I2135" i="14"/>
  <c r="H2135" i="14"/>
  <c r="G2135" i="14"/>
  <c r="F2135" i="14"/>
  <c r="E2135" i="14"/>
  <c r="M2089" i="14"/>
  <c r="L2089" i="14"/>
  <c r="K2089" i="14"/>
  <c r="J2089" i="14"/>
  <c r="I2089" i="14"/>
  <c r="H2089" i="14"/>
  <c r="G2089" i="14"/>
  <c r="F2089" i="14"/>
  <c r="E2089" i="14"/>
  <c r="M2043" i="14"/>
  <c r="L2043" i="14"/>
  <c r="K2043" i="14"/>
  <c r="J2043" i="14"/>
  <c r="I2043" i="14"/>
  <c r="H2043" i="14"/>
  <c r="G2043" i="14"/>
  <c r="F2043" i="14"/>
  <c r="E2043" i="14"/>
  <c r="M1997" i="14"/>
  <c r="L1997" i="14"/>
  <c r="K1997" i="14"/>
  <c r="J1997" i="14"/>
  <c r="I1997" i="14"/>
  <c r="H1997" i="14"/>
  <c r="G1997" i="14"/>
  <c r="F1997" i="14"/>
  <c r="E1997" i="14"/>
  <c r="M1951" i="14"/>
  <c r="L1951" i="14"/>
  <c r="K1951" i="14"/>
  <c r="J1951" i="14"/>
  <c r="I1951" i="14"/>
  <c r="H1951" i="14"/>
  <c r="G1951" i="14"/>
  <c r="F1951" i="14"/>
  <c r="E1951" i="14"/>
  <c r="L1905" i="14"/>
  <c r="K1905" i="14"/>
  <c r="J1905" i="14"/>
  <c r="I1905" i="14"/>
  <c r="H1905" i="14"/>
  <c r="G1905" i="14"/>
  <c r="F1905" i="14"/>
  <c r="E1905" i="14"/>
  <c r="M1859" i="14"/>
  <c r="L1859" i="14"/>
  <c r="K1859" i="14"/>
  <c r="J1859" i="14"/>
  <c r="I1859" i="14"/>
  <c r="H1859" i="14"/>
  <c r="G1859" i="14"/>
  <c r="F1859" i="14"/>
  <c r="E1859" i="14"/>
  <c r="M1813" i="14"/>
  <c r="L1813" i="14"/>
  <c r="K1813" i="14"/>
  <c r="J1813" i="14"/>
  <c r="I1813" i="14"/>
  <c r="H1813" i="14"/>
  <c r="G1813" i="14"/>
  <c r="F1813" i="14"/>
  <c r="E1813" i="14"/>
  <c r="M1767" i="14"/>
  <c r="L1767" i="14"/>
  <c r="K1767" i="14"/>
  <c r="J1767" i="14"/>
  <c r="I1767" i="14"/>
  <c r="H1767" i="14"/>
  <c r="G1767" i="14"/>
  <c r="F1767" i="14"/>
  <c r="E1767" i="14"/>
  <c r="M1721" i="14"/>
  <c r="L1721" i="14"/>
  <c r="K1721" i="14"/>
  <c r="J1721" i="14"/>
  <c r="I1721" i="14"/>
  <c r="H1721" i="14"/>
  <c r="G1721" i="14"/>
  <c r="F1721" i="14"/>
  <c r="E1721" i="14"/>
  <c r="M1675" i="14"/>
  <c r="L1675" i="14"/>
  <c r="K1675" i="14"/>
  <c r="J1675" i="14"/>
  <c r="I1675" i="14"/>
  <c r="H1675" i="14"/>
  <c r="G1675" i="14"/>
  <c r="F1675" i="14"/>
  <c r="E1675" i="14"/>
  <c r="M1629" i="14"/>
  <c r="L1629" i="14"/>
  <c r="K1629" i="14"/>
  <c r="J1629" i="14"/>
  <c r="I1629" i="14"/>
  <c r="H1629" i="14"/>
  <c r="G1629" i="14"/>
  <c r="F1629" i="14"/>
  <c r="E1629" i="14"/>
  <c r="L1583" i="14"/>
  <c r="K1583" i="14"/>
  <c r="J1583" i="14"/>
  <c r="I1583" i="14"/>
  <c r="H1583" i="14"/>
  <c r="G1583" i="14"/>
  <c r="F1583" i="14"/>
  <c r="E1583" i="14"/>
  <c r="M1537" i="14"/>
  <c r="L1537" i="14"/>
  <c r="K1537" i="14"/>
  <c r="J1537" i="14"/>
  <c r="I1537" i="14"/>
  <c r="H1537" i="14"/>
  <c r="G1537" i="14"/>
  <c r="F1537" i="14"/>
  <c r="E1537" i="14"/>
  <c r="M1491" i="14"/>
  <c r="L1491" i="14"/>
  <c r="K1491" i="14"/>
  <c r="J1491" i="14"/>
  <c r="I1491" i="14"/>
  <c r="H1491" i="14"/>
  <c r="G1491" i="14"/>
  <c r="F1491" i="14"/>
  <c r="E1491" i="14"/>
  <c r="M1445" i="14"/>
  <c r="L1445" i="14"/>
  <c r="K1445" i="14"/>
  <c r="J1445" i="14"/>
  <c r="I1445" i="14"/>
  <c r="H1445" i="14"/>
  <c r="G1445" i="14"/>
  <c r="F1445" i="14"/>
  <c r="E1445" i="14"/>
  <c r="M1399" i="14"/>
  <c r="L1399" i="14"/>
  <c r="K1399" i="14"/>
  <c r="J1399" i="14"/>
  <c r="I1399" i="14"/>
  <c r="H1399" i="14"/>
  <c r="G1399" i="14"/>
  <c r="F1399" i="14"/>
  <c r="E1399" i="14"/>
  <c r="M1353" i="14"/>
  <c r="L1353" i="14"/>
  <c r="K1353" i="14"/>
  <c r="J1353" i="14"/>
  <c r="I1353" i="14"/>
  <c r="H1353" i="14"/>
  <c r="G1353" i="14"/>
  <c r="F1353" i="14"/>
  <c r="E1353" i="14"/>
  <c r="M1307" i="14"/>
  <c r="L1307" i="14"/>
  <c r="K1307" i="14"/>
  <c r="J1307" i="14"/>
  <c r="I1307" i="14"/>
  <c r="H1307" i="14"/>
  <c r="G1307" i="14"/>
  <c r="F1307" i="14"/>
  <c r="E1307" i="14"/>
  <c r="L1261" i="14"/>
  <c r="K1261" i="14"/>
  <c r="J1261" i="14"/>
  <c r="I1261" i="14"/>
  <c r="H1261" i="14"/>
  <c r="G1261" i="14"/>
  <c r="F1261" i="14"/>
  <c r="E1261" i="14"/>
  <c r="M1215" i="14"/>
  <c r="L1215" i="14"/>
  <c r="K1215" i="14"/>
  <c r="J1215" i="14"/>
  <c r="I1215" i="14"/>
  <c r="H1215" i="14"/>
  <c r="G1215" i="14"/>
  <c r="F1215" i="14"/>
  <c r="E1215" i="14"/>
  <c r="M1169" i="14"/>
  <c r="L1169" i="14"/>
  <c r="K1169" i="14"/>
  <c r="J1169" i="14"/>
  <c r="I1169" i="14"/>
  <c r="H1169" i="14"/>
  <c r="G1169" i="14"/>
  <c r="F1169" i="14"/>
  <c r="E1169" i="14"/>
  <c r="M1123" i="14"/>
  <c r="L1123" i="14"/>
  <c r="K1123" i="14"/>
  <c r="J1123" i="14"/>
  <c r="I1123" i="14"/>
  <c r="H1123" i="14"/>
  <c r="G1123" i="14"/>
  <c r="F1123" i="14"/>
  <c r="E1123" i="14"/>
  <c r="M1077" i="14"/>
  <c r="L1077" i="14"/>
  <c r="K1077" i="14"/>
  <c r="J1077" i="14"/>
  <c r="I1077" i="14"/>
  <c r="H1077" i="14"/>
  <c r="G1077" i="14"/>
  <c r="F1077" i="14"/>
  <c r="E1077" i="14"/>
  <c r="M1031" i="14"/>
  <c r="L1031" i="14"/>
  <c r="K1031" i="14"/>
  <c r="J1031" i="14"/>
  <c r="I1031" i="14"/>
  <c r="H1031" i="14"/>
  <c r="G1031" i="14"/>
  <c r="F1031" i="14"/>
  <c r="E1031" i="14"/>
  <c r="M985" i="14"/>
  <c r="L985" i="14"/>
  <c r="K985" i="14"/>
  <c r="J985" i="14"/>
  <c r="I985" i="14"/>
  <c r="H985" i="14"/>
  <c r="G985" i="14"/>
  <c r="F985" i="14"/>
  <c r="E985" i="14"/>
  <c r="M939" i="14"/>
  <c r="L939" i="14"/>
  <c r="K939" i="14"/>
  <c r="J939" i="14"/>
  <c r="I939" i="14"/>
  <c r="H939" i="14"/>
  <c r="G940" i="14"/>
  <c r="G939" i="14"/>
  <c r="G949" i="14" s="1"/>
  <c r="F939" i="14"/>
  <c r="E939" i="14"/>
  <c r="M893" i="14"/>
  <c r="L893" i="14"/>
  <c r="K893" i="14"/>
  <c r="J893" i="14"/>
  <c r="I893" i="14"/>
  <c r="H893" i="14"/>
  <c r="G893" i="14"/>
  <c r="F893" i="14"/>
  <c r="E893" i="14"/>
  <c r="M847" i="14"/>
  <c r="L847" i="14"/>
  <c r="K847" i="14"/>
  <c r="J847" i="14"/>
  <c r="I847" i="14"/>
  <c r="H847" i="14"/>
  <c r="G847" i="14"/>
  <c r="F847" i="14"/>
  <c r="E847" i="14"/>
  <c r="M801" i="14"/>
  <c r="L801" i="14"/>
  <c r="K801" i="14"/>
  <c r="J801" i="14"/>
  <c r="I801" i="14"/>
  <c r="H801" i="14"/>
  <c r="G801" i="14"/>
  <c r="F801" i="14"/>
  <c r="M755" i="14"/>
  <c r="L755" i="14"/>
  <c r="K755" i="14"/>
  <c r="J755" i="14"/>
  <c r="I755" i="14"/>
  <c r="H755" i="14"/>
  <c r="G755" i="14"/>
  <c r="E755" i="14"/>
  <c r="M709" i="14"/>
  <c r="L709" i="14"/>
  <c r="K709" i="14"/>
  <c r="J709" i="14"/>
  <c r="I709" i="14"/>
  <c r="H709" i="14"/>
  <c r="G709" i="14"/>
  <c r="F709" i="14"/>
  <c r="E709" i="14"/>
  <c r="M663" i="14"/>
  <c r="L663" i="14"/>
  <c r="K663" i="14"/>
  <c r="J663" i="14"/>
  <c r="I663" i="14"/>
  <c r="H663" i="14"/>
  <c r="G663" i="14"/>
  <c r="F663" i="14"/>
  <c r="E663" i="14"/>
  <c r="M617" i="14"/>
  <c r="L617" i="14"/>
  <c r="K617" i="14"/>
  <c r="J617" i="14"/>
  <c r="I617" i="14"/>
  <c r="H617" i="14"/>
  <c r="G617" i="14"/>
  <c r="F617" i="14"/>
  <c r="E617" i="14"/>
  <c r="M571" i="14"/>
  <c r="L571" i="14"/>
  <c r="K571" i="14"/>
  <c r="J571" i="14"/>
  <c r="I571" i="14"/>
  <c r="H571" i="14"/>
  <c r="G571" i="14"/>
  <c r="F571" i="14"/>
  <c r="E571" i="14"/>
  <c r="M525" i="14"/>
  <c r="L525" i="14"/>
  <c r="K525" i="14"/>
  <c r="J525" i="14"/>
  <c r="I525" i="14"/>
  <c r="H525" i="14"/>
  <c r="G525" i="14"/>
  <c r="F525" i="14"/>
  <c r="E525" i="14"/>
  <c r="M479" i="14"/>
  <c r="L479" i="14"/>
  <c r="K479" i="14"/>
  <c r="J479" i="14"/>
  <c r="I479" i="14"/>
  <c r="H479" i="14"/>
  <c r="G479" i="14"/>
  <c r="F479" i="14"/>
  <c r="E479" i="14"/>
  <c r="M433" i="14"/>
  <c r="L433" i="14"/>
  <c r="K433" i="14"/>
  <c r="J433" i="14"/>
  <c r="I433" i="14"/>
  <c r="H433" i="14"/>
  <c r="G433" i="14"/>
  <c r="F433" i="14"/>
  <c r="E433" i="14"/>
  <c r="M387" i="14"/>
  <c r="L387" i="14"/>
  <c r="K387" i="14"/>
  <c r="J387" i="14"/>
  <c r="I387" i="14"/>
  <c r="H387" i="14"/>
  <c r="G387" i="14"/>
  <c r="F387" i="14"/>
  <c r="E387" i="14"/>
  <c r="M295" i="14"/>
  <c r="L295" i="14"/>
  <c r="K295" i="14"/>
  <c r="J295" i="14"/>
  <c r="I296" i="14"/>
  <c r="I295" i="14"/>
  <c r="I305" i="14" s="1"/>
  <c r="H295" i="14"/>
  <c r="G295" i="14"/>
  <c r="F295" i="14"/>
  <c r="E295" i="14"/>
  <c r="M249" i="14"/>
  <c r="L249" i="14"/>
  <c r="K249" i="14"/>
  <c r="J249" i="14"/>
  <c r="I249" i="14"/>
  <c r="H249" i="14"/>
  <c r="G249" i="14"/>
  <c r="F249" i="14"/>
  <c r="E249" i="14"/>
  <c r="M203" i="14"/>
  <c r="L203" i="14"/>
  <c r="K203" i="14"/>
  <c r="J203" i="14"/>
  <c r="I203" i="14"/>
  <c r="H203" i="14"/>
  <c r="G204" i="14"/>
  <c r="G203" i="14"/>
  <c r="G213" i="14" s="1"/>
  <c r="F203" i="14"/>
  <c r="E203" i="14"/>
  <c r="M157" i="14"/>
  <c r="L157" i="14"/>
  <c r="K158" i="14"/>
  <c r="K157" i="14"/>
  <c r="K167" i="14" s="1"/>
  <c r="J157" i="14"/>
  <c r="I157" i="14"/>
  <c r="H157" i="14"/>
  <c r="G157" i="14"/>
  <c r="F157" i="14"/>
  <c r="E157" i="14"/>
  <c r="M111" i="14"/>
  <c r="L111" i="14"/>
  <c r="K111" i="14"/>
  <c r="J111" i="14"/>
  <c r="I111" i="14"/>
  <c r="H111" i="14"/>
  <c r="G111" i="14"/>
  <c r="F111" i="14"/>
  <c r="E111" i="14"/>
  <c r="M65" i="14"/>
  <c r="L65" i="14"/>
  <c r="K66" i="14"/>
  <c r="K65" i="14"/>
  <c r="K75" i="14" s="1"/>
  <c r="J65" i="14"/>
  <c r="I65" i="14"/>
  <c r="H65" i="14"/>
  <c r="G65" i="14"/>
  <c r="F65" i="14"/>
  <c r="E65" i="14"/>
  <c r="L19" i="14"/>
  <c r="K19" i="14"/>
  <c r="J19" i="14"/>
  <c r="I19" i="14"/>
  <c r="H19" i="14"/>
  <c r="G19" i="14"/>
  <c r="F19" i="14"/>
  <c r="E19" i="14"/>
  <c r="M5125" i="6"/>
  <c r="L5125" i="6"/>
  <c r="K5125" i="6"/>
  <c r="J5125" i="6"/>
  <c r="I5125" i="6"/>
  <c r="H5125" i="6"/>
  <c r="G5125" i="6"/>
  <c r="F5125" i="6"/>
  <c r="E5125" i="6"/>
  <c r="M5079" i="6"/>
  <c r="L5079" i="6"/>
  <c r="K5079" i="6"/>
  <c r="J5079" i="6"/>
  <c r="I5079" i="6"/>
  <c r="H5079" i="6"/>
  <c r="G5079" i="6"/>
  <c r="F5079" i="6"/>
  <c r="E5079" i="6"/>
  <c r="M5033" i="6"/>
  <c r="L5033" i="6"/>
  <c r="K5033" i="6"/>
  <c r="J5033" i="6"/>
  <c r="I5034" i="6"/>
  <c r="I5033" i="6"/>
  <c r="I5043" i="6" s="1"/>
  <c r="H5033" i="6"/>
  <c r="G5033" i="6"/>
  <c r="F5033" i="6"/>
  <c r="E5033" i="6"/>
  <c r="M4987" i="6"/>
  <c r="L4987" i="6"/>
  <c r="K4987" i="6"/>
  <c r="J4987" i="6"/>
  <c r="I4987" i="6"/>
  <c r="H4987" i="6"/>
  <c r="G4987" i="6"/>
  <c r="F4987" i="6"/>
  <c r="E4987" i="6"/>
  <c r="M4941" i="6"/>
  <c r="L4942" i="6"/>
  <c r="L4941" i="6"/>
  <c r="L4951" i="6" s="1"/>
  <c r="K4941" i="6"/>
  <c r="J4941" i="6"/>
  <c r="I4941" i="6"/>
  <c r="H4941" i="6"/>
  <c r="G4941" i="6"/>
  <c r="F4941" i="6"/>
  <c r="E4941" i="6"/>
  <c r="M4895" i="6"/>
  <c r="L4895" i="6"/>
  <c r="K4895" i="6"/>
  <c r="J4895" i="6"/>
  <c r="I4895" i="6"/>
  <c r="H4895" i="6"/>
  <c r="G4895" i="6"/>
  <c r="F4895" i="6"/>
  <c r="E4895" i="6"/>
  <c r="M4849" i="6"/>
  <c r="L4849" i="6"/>
  <c r="K4849" i="6"/>
  <c r="J4849" i="6"/>
  <c r="I4850" i="6"/>
  <c r="I4849" i="6"/>
  <c r="I4859" i="6" s="1"/>
  <c r="H4849" i="6"/>
  <c r="G4849" i="6"/>
  <c r="F4849" i="6"/>
  <c r="E4849" i="6"/>
  <c r="M4803" i="6"/>
  <c r="L4804" i="6"/>
  <c r="L4803" i="6"/>
  <c r="L4813" i="6" s="1"/>
  <c r="K4803" i="6"/>
  <c r="J4803" i="6"/>
  <c r="I4803" i="6"/>
  <c r="H4803" i="6"/>
  <c r="G4803" i="6"/>
  <c r="F4803" i="6"/>
  <c r="E4803" i="6"/>
  <c r="M4757" i="6"/>
  <c r="L4757" i="6"/>
  <c r="K4757" i="6"/>
  <c r="J4757" i="6"/>
  <c r="I4757" i="6"/>
  <c r="H4757" i="6"/>
  <c r="G4757" i="6"/>
  <c r="F4757" i="6"/>
  <c r="E4757" i="6"/>
  <c r="M4665" i="6"/>
  <c r="L4665" i="6"/>
  <c r="K4665" i="6"/>
  <c r="J4665" i="6"/>
  <c r="I4665" i="6"/>
  <c r="H4665" i="6"/>
  <c r="G4665" i="6"/>
  <c r="F4665" i="6"/>
  <c r="E4665" i="6"/>
  <c r="M4619" i="6"/>
  <c r="L4619" i="6"/>
  <c r="K4619" i="6"/>
  <c r="J4619" i="6"/>
  <c r="I4619" i="6"/>
  <c r="H4619" i="6"/>
  <c r="G4619" i="6"/>
  <c r="F4619" i="6"/>
  <c r="E4619" i="6"/>
  <c r="M4574" i="6"/>
  <c r="M4573" i="6"/>
  <c r="M4583" i="6" s="1"/>
  <c r="L4573" i="6"/>
  <c r="K4573" i="6"/>
  <c r="J4573" i="6"/>
  <c r="I4573" i="6"/>
  <c r="H4573" i="6"/>
  <c r="G4574" i="6"/>
  <c r="G4573" i="6"/>
  <c r="G4583" i="6" s="1"/>
  <c r="F4573" i="6"/>
  <c r="E4573" i="6"/>
  <c r="M4527" i="6"/>
  <c r="L4527" i="6"/>
  <c r="K4527" i="6"/>
  <c r="J4527" i="6"/>
  <c r="I4527" i="6"/>
  <c r="H4527" i="6"/>
  <c r="G4527" i="6"/>
  <c r="F4527" i="6"/>
  <c r="E4527" i="6"/>
  <c r="M4481" i="6"/>
  <c r="L4482" i="6"/>
  <c r="L4481" i="6"/>
  <c r="L4491" i="6" s="1"/>
  <c r="K4481" i="6"/>
  <c r="J4481" i="6"/>
  <c r="I4482" i="6"/>
  <c r="I4481" i="6"/>
  <c r="I4491" i="6" s="1"/>
  <c r="H4481" i="6"/>
  <c r="G4481" i="6"/>
  <c r="F4481" i="6"/>
  <c r="E4481" i="6"/>
  <c r="M4435" i="6"/>
  <c r="L4435" i="6"/>
  <c r="K4435" i="6"/>
  <c r="J4435" i="6"/>
  <c r="I4435" i="6"/>
  <c r="H4435" i="6"/>
  <c r="G4435" i="6"/>
  <c r="F4435" i="6"/>
  <c r="E4435" i="6"/>
  <c r="L4389" i="6"/>
  <c r="K4389" i="6"/>
  <c r="J4399" i="6"/>
  <c r="J4389" i="6"/>
  <c r="J4390" i="6" s="1"/>
  <c r="I4389" i="6"/>
  <c r="H4389" i="6"/>
  <c r="G4389" i="6"/>
  <c r="F4389" i="6"/>
  <c r="E4389" i="6"/>
  <c r="M4343" i="6"/>
  <c r="L4343" i="6"/>
  <c r="K4343" i="6"/>
  <c r="J4343" i="6"/>
  <c r="I4343" i="6"/>
  <c r="H4343" i="6"/>
  <c r="G4343" i="6"/>
  <c r="F4343" i="6"/>
  <c r="E4343" i="6"/>
  <c r="M4297" i="6"/>
  <c r="L4297" i="6"/>
  <c r="K4297" i="6"/>
  <c r="J4297" i="6"/>
  <c r="I4297" i="6"/>
  <c r="H4298" i="6"/>
  <c r="H4297" i="6"/>
  <c r="H4307" i="6" s="1"/>
  <c r="G4297" i="6"/>
  <c r="F4297" i="6"/>
  <c r="E4297" i="6"/>
  <c r="M4251" i="6"/>
  <c r="L4251" i="6"/>
  <c r="K4251" i="6"/>
  <c r="J4251" i="6"/>
  <c r="I4251" i="6"/>
  <c r="H4251" i="6"/>
  <c r="G4251" i="6"/>
  <c r="F4251" i="6"/>
  <c r="E4251" i="6"/>
  <c r="M4205" i="6"/>
  <c r="L4205" i="6"/>
  <c r="K4205" i="6"/>
  <c r="J4205" i="6"/>
  <c r="I4205" i="6"/>
  <c r="H4206" i="6"/>
  <c r="H4205" i="6"/>
  <c r="H4215" i="6" s="1"/>
  <c r="G4205" i="6"/>
  <c r="F4205" i="6"/>
  <c r="E4205" i="6"/>
  <c r="M4159" i="6"/>
  <c r="L4159" i="6"/>
  <c r="K4160" i="6"/>
  <c r="K4159" i="6"/>
  <c r="K4169" i="6" s="1"/>
  <c r="J4159" i="6"/>
  <c r="I4159" i="6"/>
  <c r="H4159" i="6"/>
  <c r="G4159" i="6"/>
  <c r="F4159" i="6"/>
  <c r="E4159" i="6"/>
  <c r="M4113" i="6"/>
  <c r="L4113" i="6"/>
  <c r="K4113" i="6"/>
  <c r="J4113" i="6"/>
  <c r="I4113" i="6"/>
  <c r="H4113" i="6"/>
  <c r="G4113" i="6"/>
  <c r="F4113" i="6"/>
  <c r="E4113" i="6"/>
  <c r="L4068" i="6"/>
  <c r="L4067" i="6"/>
  <c r="L4077" i="6" s="1"/>
  <c r="K4067" i="6"/>
  <c r="J4067" i="6"/>
  <c r="I4067" i="6"/>
  <c r="H4067" i="6"/>
  <c r="G4067" i="6"/>
  <c r="F4067" i="6"/>
  <c r="E4067" i="6"/>
  <c r="M4021" i="6"/>
  <c r="L4021" i="6"/>
  <c r="K4021" i="6"/>
  <c r="J4021" i="6"/>
  <c r="I4021" i="6"/>
  <c r="H4021" i="6"/>
  <c r="G4021" i="6"/>
  <c r="F4021" i="6"/>
  <c r="E4021" i="6"/>
  <c r="M3975" i="6"/>
  <c r="L3975" i="6"/>
  <c r="K3975" i="6"/>
  <c r="J3975" i="6"/>
  <c r="I3975" i="6"/>
  <c r="H3975" i="6"/>
  <c r="G3975" i="6"/>
  <c r="F3975" i="6"/>
  <c r="E3975" i="6"/>
  <c r="M3929" i="6"/>
  <c r="L3929" i="6"/>
  <c r="K3929" i="6"/>
  <c r="J3929" i="6"/>
  <c r="I3929" i="6"/>
  <c r="H3929" i="6"/>
  <c r="G3929" i="6"/>
  <c r="F3929" i="6"/>
  <c r="E3929" i="6"/>
  <c r="M3883" i="6"/>
  <c r="L3883" i="6"/>
  <c r="K3883" i="6"/>
  <c r="J3883" i="6"/>
  <c r="I3883" i="6"/>
  <c r="H3883" i="6"/>
  <c r="G3883" i="6"/>
  <c r="F3883" i="6"/>
  <c r="E3883" i="6"/>
  <c r="M3837" i="6"/>
  <c r="L3837" i="6"/>
  <c r="K3838" i="6"/>
  <c r="K3837" i="6"/>
  <c r="K3847" i="6" s="1"/>
  <c r="J3837" i="6"/>
  <c r="I3837" i="6"/>
  <c r="H3837" i="6"/>
  <c r="G3837" i="6"/>
  <c r="F3837" i="6"/>
  <c r="E3837" i="6"/>
  <c r="M3791" i="6"/>
  <c r="L3791" i="6"/>
  <c r="K3791" i="6"/>
  <c r="J3791" i="6"/>
  <c r="I3791" i="6"/>
  <c r="H3791" i="6"/>
  <c r="G3791" i="6"/>
  <c r="F3791" i="6"/>
  <c r="E3791" i="6"/>
  <c r="L3745" i="6"/>
  <c r="K3745" i="6"/>
  <c r="J3745" i="6"/>
  <c r="I3745" i="6"/>
  <c r="H3745" i="6"/>
  <c r="G3746" i="6"/>
  <c r="G3745" i="6"/>
  <c r="G3755" i="6" s="1"/>
  <c r="F3745" i="6"/>
  <c r="E3745" i="6"/>
  <c r="M3699" i="6"/>
  <c r="L3699" i="6"/>
  <c r="K3699" i="6"/>
  <c r="J3699" i="6"/>
  <c r="I3699" i="6"/>
  <c r="H3699" i="6"/>
  <c r="G3699" i="6"/>
  <c r="F3699" i="6"/>
  <c r="E3699" i="6"/>
  <c r="M3653" i="6"/>
  <c r="L3653" i="6"/>
  <c r="K3653" i="6"/>
  <c r="J3653" i="6"/>
  <c r="I3653" i="6"/>
  <c r="H3653" i="6"/>
  <c r="G3653" i="6"/>
  <c r="F3653" i="6"/>
  <c r="E3653" i="6"/>
  <c r="M3607" i="6"/>
  <c r="L3607" i="6"/>
  <c r="K3607" i="6"/>
  <c r="J3607" i="6"/>
  <c r="I3607" i="6"/>
  <c r="H3607" i="6"/>
  <c r="G3607" i="6"/>
  <c r="F3607" i="6"/>
  <c r="E3607" i="6"/>
  <c r="M3561" i="6"/>
  <c r="L3561" i="6"/>
  <c r="K3561" i="6"/>
  <c r="J3561" i="6"/>
  <c r="I3561" i="6"/>
  <c r="H3561" i="6"/>
  <c r="G3561" i="6"/>
  <c r="F3561" i="6"/>
  <c r="E3561" i="6"/>
  <c r="M3515" i="6"/>
  <c r="L3515" i="6"/>
  <c r="K3515" i="6"/>
  <c r="J3515" i="6"/>
  <c r="I3515" i="6"/>
  <c r="H3515" i="6"/>
  <c r="G3515" i="6"/>
  <c r="F3515" i="6"/>
  <c r="E3515" i="6"/>
  <c r="M3469" i="6"/>
  <c r="L3469" i="6"/>
  <c r="K3469" i="6"/>
  <c r="J3469" i="6"/>
  <c r="I3469" i="6"/>
  <c r="H3469" i="6"/>
  <c r="G3469" i="6"/>
  <c r="F3469" i="6"/>
  <c r="E3469" i="6"/>
  <c r="M3423" i="6"/>
  <c r="L3423" i="6"/>
  <c r="K3423" i="6"/>
  <c r="J3423" i="6"/>
  <c r="I3423" i="6"/>
  <c r="H3423" i="6"/>
  <c r="G3423" i="6"/>
  <c r="F3423" i="6"/>
  <c r="E3423" i="6"/>
  <c r="M3377" i="6"/>
  <c r="L3377" i="6"/>
  <c r="K3377" i="6"/>
  <c r="J3377" i="6"/>
  <c r="I3377" i="6"/>
  <c r="H3377" i="6"/>
  <c r="G3377" i="6"/>
  <c r="F3377" i="6"/>
  <c r="E3377" i="6"/>
  <c r="M3331" i="6"/>
  <c r="L3331" i="6"/>
  <c r="K3331" i="6"/>
  <c r="J3331" i="6"/>
  <c r="I3331" i="6"/>
  <c r="H3331" i="6"/>
  <c r="G3331" i="6"/>
  <c r="F3331" i="6"/>
  <c r="E3331" i="6"/>
  <c r="M3285" i="6"/>
  <c r="L3285" i="6"/>
  <c r="K3285" i="6"/>
  <c r="J3285" i="6"/>
  <c r="I3285" i="6"/>
  <c r="H3285" i="6"/>
  <c r="G3285" i="6"/>
  <c r="F3285" i="6"/>
  <c r="E3285" i="6"/>
  <c r="M3239" i="6"/>
  <c r="L3239" i="6"/>
  <c r="K3239" i="6"/>
  <c r="J3239" i="6"/>
  <c r="I3239" i="6"/>
  <c r="H3239" i="6"/>
  <c r="G3239" i="6"/>
  <c r="F3239" i="6"/>
  <c r="E3239" i="6"/>
  <c r="M3193" i="6"/>
  <c r="J3193" i="6"/>
  <c r="I3193" i="6"/>
  <c r="H3193" i="6"/>
  <c r="G3193" i="6"/>
  <c r="F3193" i="6"/>
  <c r="E3193" i="6"/>
  <c r="M3147" i="6"/>
  <c r="L3147" i="6"/>
  <c r="K3147" i="6"/>
  <c r="J3147" i="6"/>
  <c r="I3147" i="6"/>
  <c r="H3147" i="6"/>
  <c r="G3147" i="6"/>
  <c r="F3147" i="6"/>
  <c r="E3147" i="6"/>
  <c r="M3101" i="6"/>
  <c r="L3101" i="6"/>
  <c r="K3101" i="6"/>
  <c r="J3101" i="6"/>
  <c r="I3101" i="6"/>
  <c r="H3101" i="6"/>
  <c r="G3101" i="6"/>
  <c r="F3101" i="6"/>
  <c r="E3101" i="6"/>
  <c r="M3055" i="6"/>
  <c r="L3055" i="6"/>
  <c r="K3055" i="6"/>
  <c r="J3055" i="6"/>
  <c r="I3055" i="6"/>
  <c r="H3055" i="6"/>
  <c r="G3055" i="6"/>
  <c r="F3055" i="6"/>
  <c r="E3055" i="6"/>
  <c r="M3009" i="6"/>
  <c r="L3009" i="6"/>
  <c r="K3009" i="6"/>
  <c r="J3009" i="6"/>
  <c r="I3009" i="6"/>
  <c r="H3009" i="6"/>
  <c r="G3009" i="6"/>
  <c r="F3009" i="6"/>
  <c r="E3009" i="6"/>
  <c r="M2963" i="6"/>
  <c r="L2963" i="6"/>
  <c r="K2963" i="6"/>
  <c r="J2963" i="6"/>
  <c r="I2963" i="6"/>
  <c r="H2963" i="6"/>
  <c r="G2963" i="6"/>
  <c r="F2963" i="6"/>
  <c r="E2963" i="6"/>
  <c r="M2917" i="6"/>
  <c r="L2917" i="6"/>
  <c r="K2917" i="6"/>
  <c r="J2917" i="6"/>
  <c r="I2917" i="6"/>
  <c r="H2917" i="6"/>
  <c r="G2917" i="6"/>
  <c r="E2917" i="6"/>
  <c r="M2871" i="6"/>
  <c r="L2871" i="6"/>
  <c r="K2871" i="6"/>
  <c r="J2871" i="6"/>
  <c r="I2871" i="6"/>
  <c r="H2871" i="6"/>
  <c r="G2871" i="6"/>
  <c r="F2871" i="6"/>
  <c r="E2871" i="6"/>
  <c r="M2825" i="6"/>
  <c r="L2825" i="6"/>
  <c r="K2825" i="6"/>
  <c r="J2825" i="6"/>
  <c r="I2825" i="6"/>
  <c r="H2825" i="6"/>
  <c r="G2825" i="6"/>
  <c r="F2825" i="6"/>
  <c r="E2825" i="6"/>
  <c r="M2779" i="6"/>
  <c r="L2779" i="6"/>
  <c r="K2779" i="6"/>
  <c r="J2779" i="6"/>
  <c r="I2779" i="6"/>
  <c r="H2779" i="6"/>
  <c r="G2779" i="6"/>
  <c r="F2779" i="6"/>
  <c r="E2779" i="6"/>
  <c r="M2733" i="6"/>
  <c r="L2733" i="6"/>
  <c r="K2733" i="6"/>
  <c r="J2733" i="6"/>
  <c r="I2733" i="6"/>
  <c r="H2733" i="6"/>
  <c r="G2733" i="6"/>
  <c r="F2733" i="6"/>
  <c r="E2733" i="6"/>
  <c r="M2687" i="6"/>
  <c r="L2687" i="6"/>
  <c r="K2687" i="6"/>
  <c r="J2687" i="6"/>
  <c r="I2687" i="6"/>
  <c r="H2687" i="6"/>
  <c r="G2687" i="6"/>
  <c r="F2687" i="6"/>
  <c r="E2687" i="6"/>
  <c r="M2641" i="6"/>
  <c r="L2641" i="6"/>
  <c r="K2641" i="6"/>
  <c r="J2641" i="6"/>
  <c r="I2641" i="6"/>
  <c r="H2641" i="6"/>
  <c r="G2641" i="6"/>
  <c r="F2641" i="6"/>
  <c r="E2641" i="6"/>
  <c r="M2595" i="6"/>
  <c r="L2595" i="6"/>
  <c r="K2595" i="6"/>
  <c r="J2595" i="6"/>
  <c r="I2595" i="6"/>
  <c r="H2595" i="6"/>
  <c r="G2595" i="6"/>
  <c r="F2595" i="6"/>
  <c r="E2595" i="6"/>
  <c r="M2549" i="6"/>
  <c r="L2549" i="6"/>
  <c r="K2549" i="6"/>
  <c r="J2549" i="6"/>
  <c r="I2549" i="6"/>
  <c r="H2549" i="6"/>
  <c r="G2549" i="6"/>
  <c r="F2549" i="6"/>
  <c r="E2549" i="6"/>
  <c r="M2503" i="6"/>
  <c r="L2503" i="6"/>
  <c r="K2503" i="6"/>
  <c r="J2503" i="6"/>
  <c r="I2503" i="6"/>
  <c r="H2503" i="6"/>
  <c r="G2503" i="6"/>
  <c r="F2503" i="6"/>
  <c r="E2503" i="6"/>
  <c r="M2457" i="6"/>
  <c r="L2457" i="6"/>
  <c r="K2457" i="6"/>
  <c r="J2457" i="6"/>
  <c r="I2457" i="6"/>
  <c r="H2457" i="6"/>
  <c r="G2457" i="6"/>
  <c r="F2457" i="6"/>
  <c r="E2457" i="6"/>
  <c r="M2411" i="6"/>
  <c r="L2411" i="6"/>
  <c r="K2411" i="6"/>
  <c r="J2411" i="6"/>
  <c r="I2411" i="6"/>
  <c r="H2411" i="6"/>
  <c r="G2411" i="6"/>
  <c r="F2411" i="6"/>
  <c r="E2411" i="6"/>
  <c r="M2365" i="6"/>
  <c r="L2365" i="6"/>
  <c r="K2365" i="6"/>
  <c r="J2365" i="6"/>
  <c r="I2365" i="6"/>
  <c r="H2365" i="6"/>
  <c r="G2365" i="6"/>
  <c r="F2365" i="6"/>
  <c r="E2365" i="6"/>
  <c r="M2319" i="6"/>
  <c r="L2319" i="6"/>
  <c r="K2319" i="6"/>
  <c r="J2319" i="6"/>
  <c r="I2319" i="6"/>
  <c r="H2319" i="6"/>
  <c r="G2319" i="6"/>
  <c r="F2319" i="6"/>
  <c r="E2319" i="6"/>
  <c r="M2273" i="6"/>
  <c r="L2273" i="6"/>
  <c r="K2273" i="6"/>
  <c r="J2273" i="6"/>
  <c r="I2273" i="6"/>
  <c r="H2273" i="6"/>
  <c r="G2273" i="6"/>
  <c r="F2273" i="6"/>
  <c r="E2273" i="6"/>
  <c r="M2227" i="6"/>
  <c r="L2227" i="6"/>
  <c r="K2227" i="6"/>
  <c r="J2227" i="6"/>
  <c r="I2227" i="6"/>
  <c r="H2227" i="6"/>
  <c r="G2227" i="6"/>
  <c r="F2227" i="6"/>
  <c r="E2227" i="6"/>
  <c r="M2135" i="6"/>
  <c r="L2135" i="6"/>
  <c r="K2135" i="6"/>
  <c r="J2135" i="6"/>
  <c r="I2135" i="6"/>
  <c r="H2135" i="6"/>
  <c r="G2135" i="6"/>
  <c r="F2135" i="6"/>
  <c r="E2135" i="6"/>
  <c r="M2089" i="6"/>
  <c r="L2089" i="6"/>
  <c r="K2089" i="6"/>
  <c r="J2089" i="6"/>
  <c r="I2089" i="6"/>
  <c r="H2089" i="6"/>
  <c r="G2089" i="6"/>
  <c r="F2089" i="6"/>
  <c r="E2089" i="6"/>
  <c r="M2043" i="6"/>
  <c r="L2043" i="6"/>
  <c r="K2043" i="6"/>
  <c r="J2043" i="6"/>
  <c r="I2043" i="6"/>
  <c r="H2043" i="6"/>
  <c r="G2043" i="6"/>
  <c r="F2043" i="6"/>
  <c r="E2043" i="6"/>
  <c r="M1997" i="6"/>
  <c r="L1997" i="6"/>
  <c r="K1997" i="6"/>
  <c r="J1997" i="6"/>
  <c r="I1997" i="6"/>
  <c r="H1997" i="6"/>
  <c r="G1997" i="6"/>
  <c r="F1997" i="6"/>
  <c r="E1997" i="6"/>
  <c r="M1951" i="6"/>
  <c r="L1951" i="6"/>
  <c r="K1951" i="6"/>
  <c r="J1951" i="6"/>
  <c r="I1951" i="6"/>
  <c r="H1951" i="6"/>
  <c r="G1951" i="6"/>
  <c r="F1951" i="6"/>
  <c r="E1951" i="6"/>
  <c r="M1905" i="6"/>
  <c r="L1905" i="6"/>
  <c r="K1905" i="6"/>
  <c r="J1905" i="6"/>
  <c r="I1905" i="6"/>
  <c r="H1905" i="6"/>
  <c r="G1905" i="6"/>
  <c r="F1905" i="6"/>
  <c r="E1905" i="6"/>
  <c r="L1859" i="6"/>
  <c r="K1859" i="6"/>
  <c r="J1859" i="6"/>
  <c r="I1859" i="6"/>
  <c r="H1859" i="6"/>
  <c r="G1859" i="6"/>
  <c r="F1859" i="6"/>
  <c r="E1859" i="6"/>
  <c r="M1813" i="6"/>
  <c r="L1813" i="6"/>
  <c r="K1813" i="6"/>
  <c r="J1813" i="6"/>
  <c r="I1813" i="6"/>
  <c r="H1813" i="6"/>
  <c r="G1813" i="6"/>
  <c r="F1813" i="6"/>
  <c r="E1813" i="6"/>
  <c r="M1767" i="6"/>
  <c r="L1767" i="6"/>
  <c r="K1767" i="6"/>
  <c r="J1767" i="6"/>
  <c r="I1767" i="6"/>
  <c r="H1767" i="6"/>
  <c r="G1767" i="6"/>
  <c r="F1767" i="6"/>
  <c r="E1767" i="6"/>
  <c r="M1721" i="6"/>
  <c r="L1721" i="6"/>
  <c r="K1721" i="6"/>
  <c r="J1721" i="6"/>
  <c r="I1721" i="6"/>
  <c r="H1721" i="6"/>
  <c r="G1721" i="6"/>
  <c r="F1721" i="6"/>
  <c r="E1721" i="6"/>
  <c r="M1675" i="6"/>
  <c r="L1675" i="6"/>
  <c r="K1675" i="6"/>
  <c r="J1675" i="6"/>
  <c r="I1675" i="6"/>
  <c r="H1675" i="6"/>
  <c r="G1675" i="6"/>
  <c r="F1675" i="6"/>
  <c r="E1675" i="6"/>
  <c r="M1629" i="6"/>
  <c r="L1629" i="6"/>
  <c r="K1629" i="6"/>
  <c r="J1629" i="6"/>
  <c r="I1629" i="6"/>
  <c r="H1629" i="6"/>
  <c r="G1629" i="6"/>
  <c r="F1629" i="6"/>
  <c r="E1629" i="6"/>
  <c r="M1583" i="6"/>
  <c r="L1583" i="6"/>
  <c r="K1583" i="6"/>
  <c r="J1583" i="6"/>
  <c r="I1583" i="6"/>
  <c r="H1583" i="6"/>
  <c r="G1583" i="6"/>
  <c r="F1583" i="6"/>
  <c r="E1583" i="6"/>
  <c r="L1537" i="6"/>
  <c r="K1537" i="6"/>
  <c r="J1537" i="6"/>
  <c r="I1537" i="6"/>
  <c r="H1537" i="6"/>
  <c r="G1537" i="6"/>
  <c r="F1537" i="6"/>
  <c r="E1537" i="6"/>
  <c r="M1491" i="6"/>
  <c r="L1491" i="6"/>
  <c r="K1491" i="6"/>
  <c r="J1491" i="6"/>
  <c r="I1491" i="6"/>
  <c r="H1491" i="6"/>
  <c r="G1491" i="6"/>
  <c r="F1491" i="6"/>
  <c r="E1491" i="6"/>
  <c r="M1445" i="6"/>
  <c r="L1445" i="6"/>
  <c r="K1445" i="6"/>
  <c r="J1445" i="6"/>
  <c r="I1445" i="6"/>
  <c r="H1445" i="6"/>
  <c r="G1445" i="6"/>
  <c r="F1445" i="6"/>
  <c r="E1445" i="6"/>
  <c r="M1399" i="6"/>
  <c r="L1399" i="6"/>
  <c r="K1399" i="6"/>
  <c r="J1399" i="6"/>
  <c r="I1399" i="6"/>
  <c r="H1399" i="6"/>
  <c r="G1399" i="6"/>
  <c r="F1399" i="6"/>
  <c r="E1399" i="6"/>
  <c r="M1353" i="6"/>
  <c r="L1353" i="6"/>
  <c r="J1353" i="6"/>
  <c r="I1353" i="6"/>
  <c r="H1353" i="6"/>
  <c r="G1353" i="6"/>
  <c r="F1353" i="6"/>
  <c r="E1353" i="6"/>
  <c r="M1307" i="6"/>
  <c r="L1307" i="6"/>
  <c r="K1307" i="6"/>
  <c r="J1307" i="6"/>
  <c r="I1307" i="6"/>
  <c r="H1307" i="6"/>
  <c r="G1307" i="6"/>
  <c r="F1307" i="6"/>
  <c r="E1307" i="6"/>
  <c r="M1261" i="6"/>
  <c r="L1261" i="6"/>
  <c r="K1261" i="6"/>
  <c r="J1261" i="6"/>
  <c r="I1261" i="6"/>
  <c r="H1261" i="6"/>
  <c r="G1261" i="6"/>
  <c r="F1261" i="6"/>
  <c r="E1261" i="6"/>
  <c r="L1215" i="6"/>
  <c r="K1215" i="6"/>
  <c r="J1215" i="6"/>
  <c r="I1215" i="6"/>
  <c r="H1215" i="6"/>
  <c r="G1215" i="6"/>
  <c r="E1215" i="6"/>
  <c r="M1169" i="6"/>
  <c r="L1169" i="6"/>
  <c r="K1169" i="6"/>
  <c r="J1169" i="6"/>
  <c r="I1169" i="6"/>
  <c r="H1169" i="6"/>
  <c r="G1169" i="6"/>
  <c r="F1169" i="6"/>
  <c r="M1123" i="6"/>
  <c r="L1123" i="6"/>
  <c r="K1123" i="6"/>
  <c r="J1123" i="6"/>
  <c r="I1123" i="6"/>
  <c r="H1123" i="6"/>
  <c r="G1123" i="6"/>
  <c r="F1123" i="6"/>
  <c r="E1123" i="6"/>
  <c r="M1077" i="6"/>
  <c r="L1077" i="6"/>
  <c r="K1077" i="6"/>
  <c r="J1077" i="6"/>
  <c r="I1077" i="6"/>
  <c r="H1077" i="6"/>
  <c r="G1077" i="6"/>
  <c r="F1077" i="6"/>
  <c r="E1077" i="6"/>
  <c r="M1031" i="6"/>
  <c r="L1031" i="6"/>
  <c r="K1031" i="6"/>
  <c r="J1031" i="6"/>
  <c r="I1031" i="6"/>
  <c r="H1031" i="6"/>
  <c r="G1031" i="6"/>
  <c r="F1031" i="6"/>
  <c r="E1031" i="6"/>
  <c r="M985" i="6"/>
  <c r="L985" i="6"/>
  <c r="K985" i="6"/>
  <c r="J985" i="6"/>
  <c r="I985" i="6"/>
  <c r="H985" i="6"/>
  <c r="G985" i="6"/>
  <c r="F985" i="6"/>
  <c r="E985" i="6"/>
  <c r="M939" i="6"/>
  <c r="L939" i="6"/>
  <c r="K939" i="6"/>
  <c r="J939" i="6"/>
  <c r="I939" i="6"/>
  <c r="H939" i="6"/>
  <c r="G939" i="6"/>
  <c r="F939" i="6"/>
  <c r="E939" i="6"/>
  <c r="L893" i="6"/>
  <c r="K893" i="6"/>
  <c r="J893" i="6"/>
  <c r="I893" i="6"/>
  <c r="H893" i="6"/>
  <c r="G893" i="6"/>
  <c r="F893" i="6"/>
  <c r="E893" i="6"/>
  <c r="M847" i="6"/>
  <c r="L847" i="6"/>
  <c r="K847" i="6"/>
  <c r="J847" i="6"/>
  <c r="I847" i="6"/>
  <c r="H847" i="6"/>
  <c r="G847" i="6"/>
  <c r="F847" i="6"/>
  <c r="E847" i="6"/>
  <c r="M801" i="6"/>
  <c r="L801" i="6"/>
  <c r="K801" i="6"/>
  <c r="J801" i="6"/>
  <c r="I801" i="6"/>
  <c r="H801" i="6"/>
  <c r="G801" i="6"/>
  <c r="F801" i="6"/>
  <c r="E801" i="6"/>
  <c r="M755" i="6"/>
  <c r="L755" i="6"/>
  <c r="K755" i="6"/>
  <c r="J755" i="6"/>
  <c r="I755" i="6"/>
  <c r="H755" i="6"/>
  <c r="G755" i="6"/>
  <c r="F755" i="6"/>
  <c r="E755" i="6"/>
  <c r="M709" i="6"/>
  <c r="L709" i="6"/>
  <c r="K709" i="6"/>
  <c r="J709" i="6"/>
  <c r="I709" i="6"/>
  <c r="H709" i="6"/>
  <c r="G709" i="6"/>
  <c r="F709" i="6"/>
  <c r="E709" i="6"/>
  <c r="M663" i="6"/>
  <c r="L663" i="6"/>
  <c r="K663" i="6"/>
  <c r="J663" i="6"/>
  <c r="I663" i="6"/>
  <c r="H663" i="6"/>
  <c r="E663" i="6"/>
  <c r="M617" i="6"/>
  <c r="L617" i="6"/>
  <c r="K617" i="6"/>
  <c r="J617" i="6"/>
  <c r="I617" i="6"/>
  <c r="H617" i="6"/>
  <c r="G617" i="6"/>
  <c r="F617" i="6"/>
  <c r="E617" i="6"/>
  <c r="M571" i="6"/>
  <c r="L571" i="6"/>
  <c r="K571" i="6"/>
  <c r="J571" i="6"/>
  <c r="I571" i="6"/>
  <c r="H571" i="6"/>
  <c r="G571" i="6"/>
  <c r="F571" i="6"/>
  <c r="E571" i="6"/>
  <c r="M525" i="6"/>
  <c r="L525" i="6"/>
  <c r="K525" i="6"/>
  <c r="J525" i="6"/>
  <c r="I525" i="6"/>
  <c r="H525" i="6"/>
  <c r="G525" i="6"/>
  <c r="F525" i="6"/>
  <c r="E525" i="6"/>
  <c r="M479" i="6"/>
  <c r="L479" i="6"/>
  <c r="K479" i="6"/>
  <c r="J479" i="6"/>
  <c r="I479" i="6"/>
  <c r="H479" i="6"/>
  <c r="G479" i="6"/>
  <c r="F479" i="6"/>
  <c r="E479" i="6"/>
  <c r="M433" i="6"/>
  <c r="L433" i="6"/>
  <c r="K433" i="6"/>
  <c r="J433" i="6"/>
  <c r="I433" i="6"/>
  <c r="H433" i="6"/>
  <c r="G433" i="6"/>
  <c r="F433" i="6"/>
  <c r="E433" i="6"/>
  <c r="M387" i="6"/>
  <c r="L387" i="6"/>
  <c r="K387" i="6"/>
  <c r="J387" i="6"/>
  <c r="I387" i="6"/>
  <c r="H387" i="6"/>
  <c r="G387" i="6"/>
  <c r="F387" i="6"/>
  <c r="E387" i="6"/>
  <c r="M341" i="6"/>
  <c r="L341" i="6"/>
  <c r="K341" i="6"/>
  <c r="J341" i="6"/>
  <c r="I341" i="6"/>
  <c r="H341" i="6"/>
  <c r="G341" i="6"/>
  <c r="F341" i="6"/>
  <c r="E341" i="6"/>
  <c r="M295" i="6"/>
  <c r="L295" i="6"/>
  <c r="K295" i="6"/>
  <c r="J295" i="6"/>
  <c r="I295" i="6"/>
  <c r="H295" i="6"/>
  <c r="G295" i="6"/>
  <c r="F295" i="6"/>
  <c r="E295" i="6"/>
  <c r="M249" i="6"/>
  <c r="L249" i="6"/>
  <c r="K249" i="6"/>
  <c r="J249" i="6"/>
  <c r="I249" i="6"/>
  <c r="H249" i="6"/>
  <c r="G249" i="6"/>
  <c r="F249" i="6"/>
  <c r="E249" i="6"/>
  <c r="M203" i="6"/>
  <c r="L203" i="6"/>
  <c r="K203" i="6"/>
  <c r="J203" i="6"/>
  <c r="I203" i="6"/>
  <c r="H203" i="6"/>
  <c r="G203" i="6"/>
  <c r="F203" i="6"/>
  <c r="E203" i="6"/>
  <c r="M157" i="6"/>
  <c r="L157" i="6"/>
  <c r="K157" i="6"/>
  <c r="J157" i="6"/>
  <c r="I157" i="6"/>
  <c r="H157" i="6"/>
  <c r="G157" i="6"/>
  <c r="F157" i="6"/>
  <c r="E157" i="6"/>
  <c r="M111" i="6"/>
  <c r="L111" i="6"/>
  <c r="K111" i="6"/>
  <c r="J111" i="6"/>
  <c r="I111" i="6"/>
  <c r="H111" i="6"/>
  <c r="G111" i="6"/>
  <c r="F111" i="6"/>
  <c r="E111" i="6"/>
  <c r="M65" i="6"/>
  <c r="L65" i="6"/>
  <c r="K65" i="6"/>
  <c r="J65" i="6"/>
  <c r="I65" i="6"/>
  <c r="H65" i="6"/>
  <c r="G65" i="6"/>
  <c r="F65" i="6"/>
  <c r="E65" i="6"/>
  <c r="M19" i="6"/>
  <c r="L19" i="6"/>
  <c r="K19" i="6"/>
  <c r="J19" i="6"/>
  <c r="I19" i="6"/>
  <c r="H19" i="6"/>
  <c r="G19" i="6"/>
  <c r="F19" i="6"/>
  <c r="C57" i="7"/>
  <c r="C58" i="7" s="1"/>
  <c r="E15" i="6"/>
  <c r="E19" i="6"/>
  <c r="D3803" i="6"/>
  <c r="D3849" i="6"/>
  <c r="D3757" i="6"/>
  <c r="F8" i="2"/>
  <c r="C11" i="18"/>
  <c r="D4953" i="6"/>
  <c r="D4907" i="6"/>
  <c r="D721" i="6"/>
  <c r="D813" i="6"/>
  <c r="D767" i="6"/>
  <c r="C9" i="18"/>
  <c r="D4769" i="6"/>
  <c r="D4723" i="6"/>
  <c r="D491" i="6"/>
  <c r="D445" i="6"/>
  <c r="D537" i="6"/>
  <c r="F7" i="2"/>
  <c r="D3481" i="6"/>
  <c r="D3527" i="6"/>
  <c r="D3573" i="6"/>
  <c r="D2469" i="6"/>
  <c r="D2423" i="6"/>
  <c r="D2377" i="6"/>
  <c r="F12" i="2"/>
  <c r="D1641" i="6"/>
  <c r="D1595" i="6"/>
  <c r="D1549" i="6"/>
  <c r="D1273" i="6"/>
  <c r="D1365" i="6"/>
  <c r="D1319" i="6"/>
  <c r="F9" i="2"/>
  <c r="C13" i="18"/>
  <c r="D5137" i="6"/>
  <c r="D5091" i="6"/>
  <c r="D997" i="6"/>
  <c r="D1089" i="6"/>
  <c r="D1043" i="6"/>
  <c r="F156" i="6"/>
  <c r="K156" i="6"/>
  <c r="D110" i="6"/>
  <c r="H110" i="6"/>
  <c r="L110" i="6"/>
  <c r="G64" i="6"/>
  <c r="L64" i="6"/>
  <c r="F18" i="6"/>
  <c r="K18" i="6"/>
  <c r="M156" i="6"/>
  <c r="E64" i="6"/>
  <c r="G18" i="6"/>
  <c r="E156" i="6"/>
  <c r="J156" i="6"/>
  <c r="F110" i="6"/>
  <c r="J110" i="6"/>
  <c r="D64" i="6"/>
  <c r="J64" i="6"/>
  <c r="D18" i="6"/>
  <c r="I18" i="6"/>
  <c r="M18" i="6"/>
  <c r="G156" i="6"/>
  <c r="I156" i="6"/>
  <c r="E110" i="6"/>
  <c r="K110" i="6"/>
  <c r="F64" i="6"/>
  <c r="I64" i="6"/>
  <c r="M64" i="6"/>
  <c r="H18" i="6"/>
  <c r="L18" i="6"/>
  <c r="D432" i="6"/>
  <c r="F432" i="6"/>
  <c r="H432" i="6"/>
  <c r="J432" i="6"/>
  <c r="L432" i="6"/>
  <c r="M432" i="6"/>
  <c r="E386" i="6"/>
  <c r="G386" i="6"/>
  <c r="I386" i="6"/>
  <c r="K386" i="6"/>
  <c r="M386" i="6"/>
  <c r="E294" i="6"/>
  <c r="F294" i="6"/>
  <c r="H294" i="6"/>
  <c r="J294" i="6"/>
  <c r="L294" i="6"/>
  <c r="D248" i="6"/>
  <c r="E248" i="6"/>
  <c r="H248" i="6"/>
  <c r="J248" i="6"/>
  <c r="L248" i="6"/>
  <c r="E202" i="6"/>
  <c r="G202" i="6"/>
  <c r="H202" i="6"/>
  <c r="J202" i="6"/>
  <c r="E800" i="6"/>
  <c r="L800" i="6"/>
  <c r="H800" i="6"/>
  <c r="K800" i="6"/>
  <c r="D800" i="6"/>
  <c r="I800" i="6"/>
  <c r="G800" i="6"/>
  <c r="M800" i="6"/>
  <c r="F800" i="6"/>
  <c r="J800" i="6"/>
  <c r="G754" i="6"/>
  <c r="L754" i="6"/>
  <c r="I754" i="6"/>
  <c r="F754" i="6"/>
  <c r="J754" i="6"/>
  <c r="H754" i="6"/>
  <c r="D754" i="6"/>
  <c r="M754" i="6"/>
  <c r="E754" i="6"/>
  <c r="K754" i="6"/>
  <c r="E432" i="6"/>
  <c r="G432" i="6"/>
  <c r="I432" i="6"/>
  <c r="K432" i="6"/>
  <c r="D386" i="6"/>
  <c r="F386" i="6"/>
  <c r="H386" i="6"/>
  <c r="J386" i="6"/>
  <c r="L386" i="6"/>
  <c r="D294" i="6"/>
  <c r="G294" i="6"/>
  <c r="I294" i="6"/>
  <c r="K294" i="6"/>
  <c r="M294" i="6"/>
  <c r="G248" i="6"/>
  <c r="F248" i="6"/>
  <c r="I248" i="6"/>
  <c r="K248" i="6"/>
  <c r="M248" i="6"/>
  <c r="D202" i="6"/>
  <c r="F202" i="6"/>
  <c r="I202" i="6"/>
  <c r="K202" i="6"/>
  <c r="M202" i="6"/>
  <c r="D156" i="6"/>
  <c r="H156" i="6"/>
  <c r="L156" i="6"/>
  <c r="G110" i="6"/>
  <c r="I110" i="6"/>
  <c r="M110" i="6"/>
  <c r="H64" i="6"/>
  <c r="K64" i="6"/>
  <c r="E18" i="6"/>
  <c r="J18" i="6"/>
  <c r="K340" i="14"/>
  <c r="D4261" i="14"/>
  <c r="D4252" i="14"/>
  <c r="D4206" i="14"/>
  <c r="D4215" i="14"/>
  <c r="D4160" i="14"/>
  <c r="D4169" i="14"/>
  <c r="D4114" i="14"/>
  <c r="D4123" i="14"/>
  <c r="D4031" i="14"/>
  <c r="D4022" i="14"/>
  <c r="D3985" i="14"/>
  <c r="D3976" i="14"/>
  <c r="D3939" i="14"/>
  <c r="D3930" i="14"/>
  <c r="D3893" i="14"/>
  <c r="D3884" i="14"/>
  <c r="D3847" i="14"/>
  <c r="D3838" i="14"/>
  <c r="D3801" i="14"/>
  <c r="D3792" i="14"/>
  <c r="D3746" i="14"/>
  <c r="D3755" i="14"/>
  <c r="D3700" i="14"/>
  <c r="D3709" i="14"/>
  <c r="D3654" i="14"/>
  <c r="D3663" i="14"/>
  <c r="D3617" i="14"/>
  <c r="D3608" i="14"/>
  <c r="D3562" i="14"/>
  <c r="D3571" i="14"/>
  <c r="D3525" i="14"/>
  <c r="D3516" i="14"/>
  <c r="D3479" i="14"/>
  <c r="D3470" i="14"/>
  <c r="D3433" i="14"/>
  <c r="D3424" i="14"/>
  <c r="D3387" i="14"/>
  <c r="D3378" i="14"/>
  <c r="D3341" i="14"/>
  <c r="D3332" i="14"/>
  <c r="D3295" i="14"/>
  <c r="D3286" i="14"/>
  <c r="D3240" i="14"/>
  <c r="D3249" i="14"/>
  <c r="D3203" i="14"/>
  <c r="D3194" i="14"/>
  <c r="D3148" i="14"/>
  <c r="D3157" i="14"/>
  <c r="D3102" i="14"/>
  <c r="D3111" i="14"/>
  <c r="D3065" i="14"/>
  <c r="D3056" i="14"/>
  <c r="D3019" i="14"/>
  <c r="D3010" i="14"/>
  <c r="D2964" i="14"/>
  <c r="D2973" i="14"/>
  <c r="D2927" i="14"/>
  <c r="D2918" i="14"/>
  <c r="M2872" i="14"/>
  <c r="M2881" i="14"/>
  <c r="L2872" i="14"/>
  <c r="L2881" i="14"/>
  <c r="K2872" i="14"/>
  <c r="K2881" i="14"/>
  <c r="J2872" i="14"/>
  <c r="J2881" i="14"/>
  <c r="I2881" i="14"/>
  <c r="I2872" i="14"/>
  <c r="D2881" i="14"/>
  <c r="D2872" i="14"/>
  <c r="D2835" i="14"/>
  <c r="D2826" i="14"/>
  <c r="D2780" i="14"/>
  <c r="D2789" i="14"/>
  <c r="D2743" i="14"/>
  <c r="D2734" i="14"/>
  <c r="D2688" i="14"/>
  <c r="D2697" i="14"/>
  <c r="D2651" i="14"/>
  <c r="D2642" i="14"/>
  <c r="D2596" i="14"/>
  <c r="D2605" i="14"/>
  <c r="D2559" i="14"/>
  <c r="D2550" i="14"/>
  <c r="D2504" i="14"/>
  <c r="D2513" i="14"/>
  <c r="D2458" i="14"/>
  <c r="D2467" i="14"/>
  <c r="D2421" i="14"/>
  <c r="D2412" i="14"/>
  <c r="D2375" i="14"/>
  <c r="D2366" i="14"/>
  <c r="D2329" i="14"/>
  <c r="D2320" i="14"/>
  <c r="D2274" i="14"/>
  <c r="D2283" i="14"/>
  <c r="D2237" i="14"/>
  <c r="D2228" i="14"/>
  <c r="D2191" i="14"/>
  <c r="D2182" i="14"/>
  <c r="D2145" i="14"/>
  <c r="D2136" i="14"/>
  <c r="D2090" i="14"/>
  <c r="D2099" i="14"/>
  <c r="D2053" i="14"/>
  <c r="D2044" i="14"/>
  <c r="D1998" i="14"/>
  <c r="D2007" i="14"/>
  <c r="D1961" i="14"/>
  <c r="D1952" i="14"/>
  <c r="D1906" i="14"/>
  <c r="D1915" i="14"/>
  <c r="D1814" i="14"/>
  <c r="D1823" i="14"/>
  <c r="D1768" i="14"/>
  <c r="D1777" i="14"/>
  <c r="D1731" i="14"/>
  <c r="D1722" i="14"/>
  <c r="D1685" i="14"/>
  <c r="D1676" i="14"/>
  <c r="D1639" i="14"/>
  <c r="D1630" i="14"/>
  <c r="D1584" i="14"/>
  <c r="D1593" i="14"/>
  <c r="D1501" i="14"/>
  <c r="D1492" i="14"/>
  <c r="D1446" i="14"/>
  <c r="D1455" i="14"/>
  <c r="D1400" i="14"/>
  <c r="D1409" i="14"/>
  <c r="D1363" i="14"/>
  <c r="D1354" i="14"/>
  <c r="D1308" i="14"/>
  <c r="D1317" i="14"/>
  <c r="D1262" i="14"/>
  <c r="D1271" i="14"/>
  <c r="D1179" i="14"/>
  <c r="D1170" i="14"/>
  <c r="D1124" i="14"/>
  <c r="D1133" i="14"/>
  <c r="D1087" i="14"/>
  <c r="D1078" i="14"/>
  <c r="D1032" i="14"/>
  <c r="D1041" i="14"/>
  <c r="D995" i="14"/>
  <c r="D986" i="14"/>
  <c r="D949" i="14"/>
  <c r="D940" i="14"/>
  <c r="D857" i="14"/>
  <c r="D848" i="14"/>
  <c r="D802" i="14"/>
  <c r="D811" i="14"/>
  <c r="D756" i="14"/>
  <c r="D765" i="14"/>
  <c r="D710" i="14"/>
  <c r="D719" i="14"/>
  <c r="D664" i="14"/>
  <c r="D673" i="14"/>
  <c r="D618" i="14"/>
  <c r="D627" i="14"/>
  <c r="D581" i="14"/>
  <c r="D572" i="14"/>
  <c r="D535" i="14"/>
  <c r="D526" i="14"/>
  <c r="D480" i="14"/>
  <c r="D489" i="14"/>
  <c r="D434" i="14"/>
  <c r="D443" i="14"/>
  <c r="D397" i="14"/>
  <c r="D388" i="14"/>
  <c r="M342" i="14"/>
  <c r="M351" i="14"/>
  <c r="L351" i="14"/>
  <c r="L342" i="14"/>
  <c r="K351" i="14"/>
  <c r="K342" i="14"/>
  <c r="J351" i="14"/>
  <c r="J342" i="14"/>
  <c r="I351" i="14"/>
  <c r="I342" i="14"/>
  <c r="H351" i="14"/>
  <c r="H342" i="14"/>
  <c r="G342" i="14"/>
  <c r="G351" i="14"/>
  <c r="F351" i="14"/>
  <c r="F342" i="14"/>
  <c r="E351" i="14"/>
  <c r="J359" i="14" s="1"/>
  <c r="E342" i="14"/>
  <c r="D365" i="14" s="1"/>
  <c r="D305" i="14"/>
  <c r="D296" i="14"/>
  <c r="D259" i="14"/>
  <c r="D250" i="14"/>
  <c r="D204" i="14"/>
  <c r="D213" i="14"/>
  <c r="D158" i="14"/>
  <c r="D167" i="14"/>
  <c r="D112" i="14"/>
  <c r="D121" i="14"/>
  <c r="D75" i="14"/>
  <c r="D66" i="14"/>
  <c r="D20" i="14"/>
  <c r="D29" i="14"/>
  <c r="D5089" i="6"/>
  <c r="D5080" i="6"/>
  <c r="D5043" i="6"/>
  <c r="D5034" i="6"/>
  <c r="D4988" i="6"/>
  <c r="D4997" i="6"/>
  <c r="D4942" i="6"/>
  <c r="D4951" i="6"/>
  <c r="D4905" i="6"/>
  <c r="D4896" i="6"/>
  <c r="D4850" i="6"/>
  <c r="D4859" i="6"/>
  <c r="D4813" i="6"/>
  <c r="D4804" i="6"/>
  <c r="D4758" i="6"/>
  <c r="D4767" i="6"/>
  <c r="M4712" i="6"/>
  <c r="M4721" i="6"/>
  <c r="L4712" i="6"/>
  <c r="L4721" i="6"/>
  <c r="I4721" i="6"/>
  <c r="I4712" i="6"/>
  <c r="G4721" i="6"/>
  <c r="G4712" i="6"/>
  <c r="F4721" i="6"/>
  <c r="F4712" i="6"/>
  <c r="E4721" i="6"/>
  <c r="E4712" i="6"/>
  <c r="D4675" i="6"/>
  <c r="D4666" i="6"/>
  <c r="D4629" i="6"/>
  <c r="D4620" i="6"/>
  <c r="D4574" i="6"/>
  <c r="D4583" i="6"/>
  <c r="D4537" i="6"/>
  <c r="D4528" i="6"/>
  <c r="D4482" i="6"/>
  <c r="D4491" i="6"/>
  <c r="D4206" i="6"/>
  <c r="D4215" i="6"/>
  <c r="D4160" i="6"/>
  <c r="D4169" i="6"/>
  <c r="D4114" i="6"/>
  <c r="D4123" i="6"/>
  <c r="D4068" i="6"/>
  <c r="D4077" i="6"/>
  <c r="D3985" i="6"/>
  <c r="D3976" i="6"/>
  <c r="D3930" i="6"/>
  <c r="D3939" i="6"/>
  <c r="D3884" i="6"/>
  <c r="D3893" i="6"/>
  <c r="D3847" i="6"/>
  <c r="D3838" i="6"/>
  <c r="D3792" i="6"/>
  <c r="D3801" i="6"/>
  <c r="D3755" i="6"/>
  <c r="D3746" i="6"/>
  <c r="D3663" i="6"/>
  <c r="D3654" i="6"/>
  <c r="D3617" i="6"/>
  <c r="D3608" i="6"/>
  <c r="D3562" i="6"/>
  <c r="D3571" i="6"/>
  <c r="D3516" i="6"/>
  <c r="D3525" i="6"/>
  <c r="D3470" i="6"/>
  <c r="D3479" i="6"/>
  <c r="D3424" i="6"/>
  <c r="D3433" i="6"/>
  <c r="D3387" i="6"/>
  <c r="D3378" i="6"/>
  <c r="D3332" i="6"/>
  <c r="D3341" i="6"/>
  <c r="D3295" i="6"/>
  <c r="D3286" i="6"/>
  <c r="D3249" i="6"/>
  <c r="D3240" i="6"/>
  <c r="D3203" i="6"/>
  <c r="D3194" i="6"/>
  <c r="D3157" i="6"/>
  <c r="D3148" i="6"/>
  <c r="D3111" i="6"/>
  <c r="D3102" i="6"/>
  <c r="D3065" i="6"/>
  <c r="D3056" i="6"/>
  <c r="D3010" i="6"/>
  <c r="D3019" i="6"/>
  <c r="D2973" i="6"/>
  <c r="D2964" i="6"/>
  <c r="D2918" i="6"/>
  <c r="D2927" i="6"/>
  <c r="D2881" i="6"/>
  <c r="D2872" i="6"/>
  <c r="D2826" i="6"/>
  <c r="D2835" i="6"/>
  <c r="D2780" i="6"/>
  <c r="D2789" i="6"/>
  <c r="D2743" i="6"/>
  <c r="D2734" i="6"/>
  <c r="D2697" i="6"/>
  <c r="D2688" i="6"/>
  <c r="D2651" i="6"/>
  <c r="D2642" i="6"/>
  <c r="D2596" i="6"/>
  <c r="D2605" i="6"/>
  <c r="D2550" i="6"/>
  <c r="D2559" i="6"/>
  <c r="D2513" i="6"/>
  <c r="D2504" i="6"/>
  <c r="D2467" i="6"/>
  <c r="D2458" i="6"/>
  <c r="D2412" i="6"/>
  <c r="D2421" i="6"/>
  <c r="D2375" i="6"/>
  <c r="D2366" i="6"/>
  <c r="D2329" i="6"/>
  <c r="D2320" i="6"/>
  <c r="D2274" i="6"/>
  <c r="D2283" i="6"/>
  <c r="D2228" i="6"/>
  <c r="D2237" i="6"/>
  <c r="M2182" i="6"/>
  <c r="M2191" i="6"/>
  <c r="L2191" i="6"/>
  <c r="L2182" i="6"/>
  <c r="K2182" i="6"/>
  <c r="K2191" i="6"/>
  <c r="J2182" i="6"/>
  <c r="J2191" i="6"/>
  <c r="I2182" i="6"/>
  <c r="I2191" i="6"/>
  <c r="H2191" i="6"/>
  <c r="H2182" i="6"/>
  <c r="G2182" i="6"/>
  <c r="G2191" i="6"/>
  <c r="E2191" i="6"/>
  <c r="E2182" i="6"/>
  <c r="D1722" i="6"/>
  <c r="D1731" i="6"/>
  <c r="D1676" i="6"/>
  <c r="D1685" i="6"/>
  <c r="D1630" i="6"/>
  <c r="D1639" i="6"/>
  <c r="D1593" i="6"/>
  <c r="D1584" i="6"/>
  <c r="D1547" i="6"/>
  <c r="D1538" i="6"/>
  <c r="D1455" i="6"/>
  <c r="D1446" i="6"/>
  <c r="D1225" i="6"/>
  <c r="D1216" i="6"/>
  <c r="D1124" i="6"/>
  <c r="D1133" i="6"/>
  <c r="D1078" i="6"/>
  <c r="D1087" i="6"/>
  <c r="D1032" i="6"/>
  <c r="D1041" i="6"/>
  <c r="D986" i="6"/>
  <c r="D995" i="6"/>
  <c r="D940" i="6"/>
  <c r="D949" i="6"/>
  <c r="D894" i="6"/>
  <c r="D903" i="6"/>
  <c r="D811" i="6"/>
  <c r="D802" i="6"/>
  <c r="D765" i="6"/>
  <c r="D756" i="6"/>
  <c r="D719" i="6"/>
  <c r="D710" i="6"/>
  <c r="D673" i="6"/>
  <c r="D664" i="6"/>
  <c r="D618" i="6"/>
  <c r="D627" i="6"/>
  <c r="D572" i="6"/>
  <c r="D581" i="6"/>
  <c r="D535" i="6"/>
  <c r="D526" i="6"/>
  <c r="D480" i="6"/>
  <c r="D489" i="6"/>
  <c r="D443" i="6"/>
  <c r="D434" i="6"/>
  <c r="D388" i="6"/>
  <c r="D397" i="6"/>
  <c r="D351" i="6"/>
  <c r="D342" i="6"/>
  <c r="D296" i="6"/>
  <c r="D305" i="6"/>
  <c r="D259" i="6"/>
  <c r="D250" i="6"/>
  <c r="D213" i="6"/>
  <c r="D204" i="6"/>
  <c r="D158" i="6"/>
  <c r="D167" i="6"/>
  <c r="D112" i="6"/>
  <c r="D121" i="6"/>
  <c r="D75" i="6"/>
  <c r="D66" i="6"/>
  <c r="D20" i="6"/>
  <c r="D29" i="6"/>
  <c r="H106" i="16"/>
  <c r="H110" i="16" s="1"/>
  <c r="E106" i="16"/>
  <c r="E110" i="16" s="1"/>
  <c r="D106" i="16"/>
  <c r="D110" i="16" s="1"/>
  <c r="G106" i="16"/>
  <c r="G110" i="16" s="1"/>
  <c r="M106" i="16"/>
  <c r="M110" i="16" s="1"/>
  <c r="L106" i="16"/>
  <c r="L110" i="16" s="1"/>
  <c r="K106" i="16"/>
  <c r="K110" i="16" s="1"/>
  <c r="I106" i="16"/>
  <c r="I110" i="16" s="1"/>
  <c r="J106" i="16"/>
  <c r="J110" i="16" s="1"/>
  <c r="F106" i="16"/>
  <c r="F110" i="16" s="1"/>
  <c r="D60" i="16"/>
  <c r="D64" i="16" s="1"/>
  <c r="F60" i="16"/>
  <c r="F64" i="16" s="1"/>
  <c r="L60" i="16"/>
  <c r="L64" i="16" s="1"/>
  <c r="G60" i="16"/>
  <c r="G64" i="16" s="1"/>
  <c r="K60" i="16"/>
  <c r="K64" i="16" s="1"/>
  <c r="J60" i="16"/>
  <c r="J64" i="16" s="1"/>
  <c r="M60" i="16"/>
  <c r="M64" i="16" s="1"/>
  <c r="H60" i="16"/>
  <c r="H64" i="16" s="1"/>
  <c r="I60" i="16"/>
  <c r="I64" i="16" s="1"/>
  <c r="E60" i="16"/>
  <c r="E64" i="16" s="1"/>
  <c r="H14" i="16"/>
  <c r="H18" i="16" s="1"/>
  <c r="M14" i="16"/>
  <c r="M18" i="16" s="1"/>
  <c r="J14" i="16"/>
  <c r="J18" i="16" s="1"/>
  <c r="L14" i="16"/>
  <c r="L18" i="16" s="1"/>
  <c r="F14" i="16"/>
  <c r="F18" i="16" s="1"/>
  <c r="E14" i="16"/>
  <c r="E18" i="16" s="1"/>
  <c r="I14" i="16"/>
  <c r="I18" i="16" s="1"/>
  <c r="D14" i="16"/>
  <c r="D18" i="16" s="1"/>
  <c r="K14" i="16"/>
  <c r="K18" i="16" s="1"/>
  <c r="G14" i="16"/>
  <c r="G18" i="16" s="1"/>
  <c r="M4384" i="14"/>
  <c r="M4388" i="14" s="1"/>
  <c r="L4384" i="14"/>
  <c r="L4388" i="14" s="1"/>
  <c r="K4384" i="14"/>
  <c r="K4388" i="14" s="1"/>
  <c r="F4384" i="14"/>
  <c r="F4388" i="14" s="1"/>
  <c r="G4384" i="14"/>
  <c r="G4388" i="14" s="1"/>
  <c r="E4384" i="14"/>
  <c r="E4388" i="14" s="1"/>
  <c r="H4384" i="14"/>
  <c r="H4388" i="14" s="1"/>
  <c r="I4384" i="14"/>
  <c r="I4388" i="14" s="1"/>
  <c r="J4384" i="14"/>
  <c r="J4388" i="14" s="1"/>
  <c r="D4384" i="14"/>
  <c r="D4388" i="14" s="1"/>
  <c r="I4338" i="14"/>
  <c r="I4342" i="14" s="1"/>
  <c r="J4338" i="14"/>
  <c r="J4342" i="14" s="1"/>
  <c r="K4338" i="14"/>
  <c r="K4342" i="14" s="1"/>
  <c r="L4338" i="14"/>
  <c r="L4342" i="14" s="1"/>
  <c r="M4338" i="14"/>
  <c r="M4342" i="14" s="1"/>
  <c r="F4338" i="14"/>
  <c r="F4342" i="14" s="1"/>
  <c r="D4338" i="14"/>
  <c r="D4342" i="14" s="1"/>
  <c r="E4338" i="14"/>
  <c r="E4342" i="14" s="1"/>
  <c r="G4338" i="14"/>
  <c r="G4342" i="14" s="1"/>
  <c r="H4338" i="14"/>
  <c r="H4342" i="14" s="1"/>
  <c r="F4292" i="14"/>
  <c r="F4296" i="14" s="1"/>
  <c r="M4292" i="14"/>
  <c r="M4296" i="14" s="1"/>
  <c r="H4292" i="14"/>
  <c r="H4296" i="14" s="1"/>
  <c r="D4292" i="14"/>
  <c r="D4296" i="14" s="1"/>
  <c r="E4292" i="14"/>
  <c r="E4296" i="14" s="1"/>
  <c r="I4292" i="14"/>
  <c r="I4296" i="14" s="1"/>
  <c r="G4292" i="14"/>
  <c r="G4296" i="14" s="1"/>
  <c r="L4292" i="14"/>
  <c r="L4296" i="14" s="1"/>
  <c r="J4292" i="14"/>
  <c r="J4296" i="14" s="1"/>
  <c r="L4246" i="14"/>
  <c r="L4250" i="14" s="1"/>
  <c r="H4246" i="14"/>
  <c r="H4250" i="14" s="1"/>
  <c r="M4246" i="14"/>
  <c r="M4250" i="14" s="1"/>
  <c r="J4246" i="14"/>
  <c r="J4250" i="14" s="1"/>
  <c r="K4246" i="14"/>
  <c r="K4250" i="14" s="1"/>
  <c r="I4246" i="14"/>
  <c r="I4250" i="14" s="1"/>
  <c r="D4246" i="14"/>
  <c r="D4250" i="14" s="1"/>
  <c r="G4246" i="14"/>
  <c r="G4250" i="14" s="1"/>
  <c r="F4246" i="14"/>
  <c r="F4250" i="14" s="1"/>
  <c r="E4246" i="14"/>
  <c r="E4250" i="14" s="1"/>
  <c r="M4200" i="14"/>
  <c r="M4204" i="14" s="1"/>
  <c r="K4200" i="14"/>
  <c r="K4204" i="14" s="1"/>
  <c r="I4200" i="14"/>
  <c r="I4204" i="14" s="1"/>
  <c r="F4200" i="14"/>
  <c r="F4204" i="14" s="1"/>
  <c r="D4200" i="14"/>
  <c r="D4204" i="14" s="1"/>
  <c r="E4200" i="14"/>
  <c r="E4204" i="14" s="1"/>
  <c r="G4200" i="14"/>
  <c r="G4204" i="14" s="1"/>
  <c r="H4200" i="14"/>
  <c r="H4204" i="14" s="1"/>
  <c r="J4200" i="14"/>
  <c r="J4204" i="14" s="1"/>
  <c r="L4200" i="14"/>
  <c r="L4204" i="14" s="1"/>
  <c r="F4154" i="14"/>
  <c r="F4158" i="14" s="1"/>
  <c r="J4154" i="14"/>
  <c r="J4158" i="14" s="1"/>
  <c r="D4154" i="14"/>
  <c r="D4158" i="14" s="1"/>
  <c r="L4154" i="14"/>
  <c r="L4158" i="14" s="1"/>
  <c r="H4154" i="14"/>
  <c r="H4158" i="14" s="1"/>
  <c r="E4154" i="14"/>
  <c r="E4158" i="14" s="1"/>
  <c r="G4154" i="14"/>
  <c r="G4158" i="14" s="1"/>
  <c r="I4154" i="14"/>
  <c r="I4158" i="14" s="1"/>
  <c r="K4154" i="14"/>
  <c r="K4158" i="14" s="1"/>
  <c r="M4154" i="14"/>
  <c r="M4158" i="14" s="1"/>
  <c r="I4108" i="14"/>
  <c r="I4112" i="14" s="1"/>
  <c r="D4108" i="14"/>
  <c r="D4112" i="14" s="1"/>
  <c r="J4108" i="14"/>
  <c r="J4112" i="14" s="1"/>
  <c r="L4108" i="14"/>
  <c r="L4112" i="14" s="1"/>
  <c r="F4108" i="14"/>
  <c r="F4112" i="14" s="1"/>
  <c r="H4108" i="14"/>
  <c r="H4112" i="14" s="1"/>
  <c r="E4108" i="14"/>
  <c r="E4112" i="14" s="1"/>
  <c r="G4108" i="14"/>
  <c r="G4112" i="14" s="1"/>
  <c r="K4108" i="14"/>
  <c r="K4112" i="14" s="1"/>
  <c r="D4062" i="14"/>
  <c r="D4066" i="14" s="1"/>
  <c r="F4062" i="14"/>
  <c r="F4066" i="14" s="1"/>
  <c r="E4062" i="14"/>
  <c r="E4066" i="14" s="1"/>
  <c r="L3740" i="14"/>
  <c r="L3744" i="14" s="1"/>
  <c r="K3740" i="14"/>
  <c r="K3744" i="14" s="1"/>
  <c r="D3740" i="14"/>
  <c r="D3744" i="14" s="1"/>
  <c r="H3740" i="14"/>
  <c r="H3744" i="14" s="1"/>
  <c r="M3740" i="14"/>
  <c r="M3744" i="14" s="1"/>
  <c r="J3740" i="14"/>
  <c r="J3744" i="14" s="1"/>
  <c r="I3740" i="14"/>
  <c r="I3744" i="14" s="1"/>
  <c r="G3740" i="14"/>
  <c r="G3744" i="14" s="1"/>
  <c r="F3740" i="14"/>
  <c r="F3744" i="14" s="1"/>
  <c r="E3740" i="14"/>
  <c r="E3744" i="14" s="1"/>
  <c r="D3694" i="14"/>
  <c r="D3698" i="14" s="1"/>
  <c r="K3694" i="14"/>
  <c r="K3698" i="14" s="1"/>
  <c r="L3694" i="14"/>
  <c r="L3698" i="14" s="1"/>
  <c r="J3694" i="14"/>
  <c r="J3698" i="14" s="1"/>
  <c r="I3694" i="14"/>
  <c r="I3698" i="14" s="1"/>
  <c r="H3694" i="14"/>
  <c r="H3698" i="14" s="1"/>
  <c r="G3694" i="14"/>
  <c r="G3698" i="14" s="1"/>
  <c r="F3694" i="14"/>
  <c r="F3698" i="14" s="1"/>
  <c r="E3694" i="14"/>
  <c r="E3698" i="14" s="1"/>
  <c r="M3694" i="14"/>
  <c r="M3698" i="14" s="1"/>
  <c r="G3648" i="14"/>
  <c r="G3652" i="14" s="1"/>
  <c r="D3648" i="14"/>
  <c r="D3652" i="14" s="1"/>
  <c r="E3648" i="14"/>
  <c r="E3652" i="14" s="1"/>
  <c r="F3648" i="14"/>
  <c r="F3652" i="14" s="1"/>
  <c r="H3648" i="14"/>
  <c r="H3652" i="14" s="1"/>
  <c r="I3648" i="14"/>
  <c r="I3652" i="14" s="1"/>
  <c r="J3648" i="14"/>
  <c r="J3652" i="14" s="1"/>
  <c r="K3648" i="14"/>
  <c r="K3652" i="14" s="1"/>
  <c r="L3648" i="14"/>
  <c r="L3652" i="14" s="1"/>
  <c r="M3648" i="14"/>
  <c r="M3652" i="14" s="1"/>
  <c r="L2268" i="14"/>
  <c r="L2272" i="14" s="1"/>
  <c r="H2268" i="14"/>
  <c r="H2272" i="14" s="1"/>
  <c r="F2268" i="14"/>
  <c r="F2272" i="14" s="1"/>
  <c r="M2268" i="14"/>
  <c r="M2272" i="14" s="1"/>
  <c r="K2268" i="14"/>
  <c r="K2272" i="14" s="1"/>
  <c r="I2268" i="14"/>
  <c r="I2272" i="14" s="1"/>
  <c r="E2268" i="14"/>
  <c r="E2272" i="14" s="1"/>
  <c r="G2268" i="14"/>
  <c r="G2272" i="14" s="1"/>
  <c r="E2222" i="14"/>
  <c r="E2226" i="14" s="1"/>
  <c r="G2222" i="14"/>
  <c r="G2226" i="14" s="1"/>
  <c r="J2222" i="14"/>
  <c r="J2226" i="14" s="1"/>
  <c r="D2222" i="14"/>
  <c r="D2226" i="14" s="1"/>
  <c r="F2222" i="14"/>
  <c r="F2226" i="14" s="1"/>
  <c r="H2222" i="14"/>
  <c r="H2226" i="14" s="1"/>
  <c r="L2222" i="14"/>
  <c r="L2226" i="14" s="1"/>
  <c r="M2222" i="14"/>
  <c r="M2226" i="14" s="1"/>
  <c r="I2222" i="14"/>
  <c r="I2226" i="14" s="1"/>
  <c r="K2222" i="14"/>
  <c r="K2226" i="14" s="1"/>
  <c r="L2176" i="14"/>
  <c r="L2180" i="14" s="1"/>
  <c r="D2176" i="14"/>
  <c r="D2180" i="14" s="1"/>
  <c r="E2176" i="14"/>
  <c r="E2180" i="14" s="1"/>
  <c r="F2176" i="14"/>
  <c r="F2180" i="14" s="1"/>
  <c r="G2176" i="14"/>
  <c r="G2180" i="14" s="1"/>
  <c r="H2176" i="14"/>
  <c r="H2180" i="14" s="1"/>
  <c r="I2176" i="14"/>
  <c r="I2180" i="14" s="1"/>
  <c r="J2176" i="14"/>
  <c r="J2180" i="14" s="1"/>
  <c r="K2176" i="14"/>
  <c r="K2180" i="14" s="1"/>
  <c r="M2176" i="14"/>
  <c r="M2180" i="14" s="1"/>
  <c r="E2130" i="14"/>
  <c r="E2134" i="14" s="1"/>
  <c r="I2130" i="14"/>
  <c r="I2134" i="14" s="1"/>
  <c r="H2130" i="14"/>
  <c r="H2134" i="14" s="1"/>
  <c r="G2130" i="14"/>
  <c r="G2134" i="14" s="1"/>
  <c r="F2130" i="14"/>
  <c r="F2134" i="14" s="1"/>
  <c r="D2130" i="14"/>
  <c r="D2134" i="14" s="1"/>
  <c r="M2130" i="14"/>
  <c r="M2134" i="14" s="1"/>
  <c r="L2130" i="14"/>
  <c r="L2134" i="14" s="1"/>
  <c r="J2130" i="14"/>
  <c r="J2134" i="14" s="1"/>
  <c r="K2130" i="14"/>
  <c r="K2134" i="14" s="1"/>
  <c r="G2084" i="14"/>
  <c r="G2088" i="14" s="1"/>
  <c r="H2084" i="14"/>
  <c r="H2088" i="14" s="1"/>
  <c r="I2084" i="14"/>
  <c r="I2088" i="14" s="1"/>
  <c r="F2084" i="14"/>
  <c r="F2088" i="14" s="1"/>
  <c r="E2084" i="14"/>
  <c r="E2088" i="14" s="1"/>
  <c r="D2084" i="14"/>
  <c r="D2088" i="14" s="1"/>
  <c r="D1486" i="14"/>
  <c r="D1490" i="14" s="1"/>
  <c r="M1486" i="14"/>
  <c r="M1490" i="14" s="1"/>
  <c r="H1486" i="14"/>
  <c r="H1490" i="14" s="1"/>
  <c r="I1486" i="14"/>
  <c r="I1490" i="14" s="1"/>
  <c r="L1486" i="14"/>
  <c r="L1490" i="14" s="1"/>
  <c r="G1486" i="14"/>
  <c r="G1490" i="14" s="1"/>
  <c r="H1440" i="14"/>
  <c r="H1444" i="14" s="1"/>
  <c r="J1440" i="14"/>
  <c r="J1444" i="14" s="1"/>
  <c r="K1440" i="14"/>
  <c r="K1444" i="14" s="1"/>
  <c r="M1440" i="14"/>
  <c r="M1444" i="14" s="1"/>
  <c r="E1440" i="14"/>
  <c r="E1444" i="14" s="1"/>
  <c r="D1440" i="14"/>
  <c r="D1444" i="14" s="1"/>
  <c r="I1440" i="14"/>
  <c r="I1444" i="14" s="1"/>
  <c r="L1440" i="14"/>
  <c r="L1444" i="14" s="1"/>
  <c r="F1440" i="14"/>
  <c r="F1444" i="14" s="1"/>
  <c r="G1440" i="14"/>
  <c r="G1444" i="14" s="1"/>
  <c r="J1394" i="14"/>
  <c r="J1398" i="14" s="1"/>
  <c r="D1394" i="14"/>
  <c r="D1398" i="14" s="1"/>
  <c r="F1394" i="14"/>
  <c r="F1398" i="14" s="1"/>
  <c r="H1394" i="14"/>
  <c r="H1398" i="14" s="1"/>
  <c r="I1394" i="14"/>
  <c r="I1398" i="14" s="1"/>
  <c r="G1394" i="14"/>
  <c r="G1398" i="14" s="1"/>
  <c r="L1394" i="14"/>
  <c r="L1398" i="14" s="1"/>
  <c r="M1394" i="14"/>
  <c r="M1398" i="14" s="1"/>
  <c r="E1394" i="14"/>
  <c r="E1398" i="14" s="1"/>
  <c r="K1394" i="14"/>
  <c r="K1398" i="14" s="1"/>
  <c r="D5074" i="6"/>
  <c r="D5078" i="6" s="1"/>
  <c r="E5074" i="6"/>
  <c r="E5078" i="6" s="1"/>
  <c r="F5074" i="6"/>
  <c r="F5078" i="6" s="1"/>
  <c r="G5074" i="6"/>
  <c r="G5078" i="6" s="1"/>
  <c r="I4430" i="6"/>
  <c r="I4434" i="6" s="1"/>
  <c r="K4430" i="6"/>
  <c r="K4434" i="6" s="1"/>
  <c r="M4430" i="6"/>
  <c r="M4434" i="6" s="1"/>
  <c r="H4384" i="6"/>
  <c r="H4388" i="6" s="1"/>
  <c r="M4384" i="6"/>
  <c r="M4388" i="6" s="1"/>
  <c r="D4384" i="6"/>
  <c r="D4388" i="6" s="1"/>
  <c r="F4384" i="6"/>
  <c r="F4388" i="6" s="1"/>
  <c r="J4384" i="6"/>
  <c r="J4388" i="6" s="1"/>
  <c r="L4384" i="6"/>
  <c r="L4388" i="6" s="1"/>
  <c r="E4384" i="6"/>
  <c r="E4388" i="6" s="1"/>
  <c r="G4384" i="6"/>
  <c r="G4388" i="6" s="1"/>
  <c r="I4384" i="6"/>
  <c r="I4388" i="6" s="1"/>
  <c r="K4384" i="6"/>
  <c r="K4388" i="6" s="1"/>
  <c r="H4338" i="6"/>
  <c r="H4342" i="6" s="1"/>
  <c r="F4338" i="6"/>
  <c r="F4342" i="6" s="1"/>
  <c r="D4338" i="6"/>
  <c r="D4342" i="6" s="1"/>
  <c r="M4338" i="6"/>
  <c r="M4342" i="6" s="1"/>
  <c r="K4338" i="6"/>
  <c r="K4342" i="6" s="1"/>
  <c r="I4338" i="6"/>
  <c r="I4342" i="6" s="1"/>
  <c r="G4338" i="6"/>
  <c r="G4342" i="6" s="1"/>
  <c r="E4338" i="6"/>
  <c r="E4342" i="6" s="1"/>
  <c r="L4338" i="6"/>
  <c r="L4342" i="6" s="1"/>
  <c r="J4338" i="6"/>
  <c r="J4342" i="6" s="1"/>
  <c r="L4292" i="6"/>
  <c r="L4296" i="6" s="1"/>
  <c r="K4292" i="6"/>
  <c r="K4296" i="6" s="1"/>
  <c r="D4292" i="6"/>
  <c r="D4296" i="6" s="1"/>
  <c r="F4292" i="6"/>
  <c r="F4296" i="6" s="1"/>
  <c r="H4292" i="6"/>
  <c r="H4296" i="6" s="1"/>
  <c r="M4292" i="6"/>
  <c r="M4296" i="6" s="1"/>
  <c r="J4292" i="6"/>
  <c r="J4296" i="6" s="1"/>
  <c r="I4292" i="6"/>
  <c r="I4296" i="6" s="1"/>
  <c r="G4292" i="6"/>
  <c r="G4296" i="6" s="1"/>
  <c r="E4292" i="6"/>
  <c r="E4296" i="6" s="1"/>
  <c r="H4246" i="6"/>
  <c r="H4250" i="6" s="1"/>
  <c r="F4246" i="6"/>
  <c r="F4250" i="6" s="1"/>
  <c r="I4246" i="6"/>
  <c r="I4250" i="6" s="1"/>
  <c r="G4246" i="6"/>
  <c r="G4250" i="6" s="1"/>
  <c r="L4246" i="6"/>
  <c r="L4250" i="6" s="1"/>
  <c r="D4246" i="6"/>
  <c r="D4250" i="6" s="1"/>
  <c r="M4246" i="6"/>
  <c r="M4250" i="6" s="1"/>
  <c r="E4246" i="6"/>
  <c r="E4250" i="6" s="1"/>
  <c r="K4246" i="6"/>
  <c r="K4250" i="6" s="1"/>
  <c r="J4246" i="6"/>
  <c r="J4250" i="6" s="1"/>
  <c r="H4200" i="6"/>
  <c r="H4204" i="6" s="1"/>
  <c r="G4200" i="6"/>
  <c r="G4204" i="6" s="1"/>
  <c r="K4200" i="6"/>
  <c r="K4204" i="6" s="1"/>
  <c r="F4200" i="6"/>
  <c r="F4204" i="6" s="1"/>
  <c r="M4200" i="6"/>
  <c r="M4204" i="6" s="1"/>
  <c r="D4200" i="6"/>
  <c r="D4204" i="6" s="1"/>
  <c r="I4200" i="6"/>
  <c r="I4204" i="6" s="1"/>
  <c r="E4200" i="6"/>
  <c r="E4204" i="6" s="1"/>
  <c r="L4200" i="6"/>
  <c r="L4204" i="6" s="1"/>
  <c r="J4200" i="6"/>
  <c r="J4204" i="6" s="1"/>
  <c r="K4154" i="6"/>
  <c r="K4158" i="6" s="1"/>
  <c r="L4154" i="6"/>
  <c r="L4158" i="6" s="1"/>
  <c r="I4154" i="6"/>
  <c r="I4158" i="6" s="1"/>
  <c r="G4154" i="6"/>
  <c r="G4158" i="6" s="1"/>
  <c r="F4154" i="6"/>
  <c r="F4158" i="6" s="1"/>
  <c r="M4154" i="6"/>
  <c r="M4158" i="6" s="1"/>
  <c r="H4154" i="6"/>
  <c r="H4158" i="6" s="1"/>
  <c r="D4154" i="6"/>
  <c r="D4158" i="6" s="1"/>
  <c r="J4154" i="6"/>
  <c r="J4158" i="6" s="1"/>
  <c r="E4154" i="6"/>
  <c r="E4158" i="6" s="1"/>
  <c r="J4108" i="6"/>
  <c r="J4112" i="6" s="1"/>
  <c r="M4108" i="6"/>
  <c r="M4112" i="6" s="1"/>
  <c r="E4108" i="6"/>
  <c r="E4112" i="6" s="1"/>
  <c r="I4108" i="6"/>
  <c r="I4112" i="6" s="1"/>
  <c r="L4108" i="6"/>
  <c r="L4112" i="6" s="1"/>
  <c r="F4108" i="6"/>
  <c r="F4112" i="6" s="1"/>
  <c r="G4108" i="6"/>
  <c r="G4112" i="6" s="1"/>
  <c r="H4108" i="6"/>
  <c r="H4112" i="6" s="1"/>
  <c r="D4108" i="6"/>
  <c r="D4112" i="6" s="1"/>
  <c r="K4108" i="6"/>
  <c r="K4112" i="6" s="1"/>
  <c r="M4062" i="6"/>
  <c r="M4066" i="6" s="1"/>
  <c r="F4062" i="6"/>
  <c r="F4066" i="6" s="1"/>
  <c r="K4062" i="6"/>
  <c r="K4066" i="6" s="1"/>
  <c r="H4062" i="6"/>
  <c r="H4066" i="6" s="1"/>
  <c r="E4062" i="6"/>
  <c r="E4066" i="6" s="1"/>
  <c r="D4062" i="6"/>
  <c r="D4066" i="6" s="1"/>
  <c r="L4062" i="6"/>
  <c r="L4066" i="6" s="1"/>
  <c r="I4062" i="6"/>
  <c r="I4066" i="6" s="1"/>
  <c r="J4062" i="6"/>
  <c r="J4066" i="6" s="1"/>
  <c r="G4062" i="6"/>
  <c r="G4066" i="6" s="1"/>
  <c r="D4016" i="6"/>
  <c r="D4020" i="6" s="1"/>
  <c r="M4016" i="6"/>
  <c r="M4020" i="6" s="1"/>
  <c r="E4016" i="6"/>
  <c r="E4020" i="6" s="1"/>
  <c r="I4016" i="6"/>
  <c r="I4020" i="6" s="1"/>
  <c r="K4016" i="6"/>
  <c r="K4020" i="6" s="1"/>
  <c r="H4016" i="6"/>
  <c r="H4020" i="6" s="1"/>
  <c r="H3602" i="6"/>
  <c r="H3606" i="6" s="1"/>
  <c r="J3602" i="6"/>
  <c r="J3606" i="6" s="1"/>
  <c r="F3602" i="6"/>
  <c r="F3606" i="6" s="1"/>
  <c r="D3602" i="6"/>
  <c r="D3606" i="6" s="1"/>
  <c r="M3602" i="6"/>
  <c r="M3606" i="6" s="1"/>
  <c r="K3602" i="6"/>
  <c r="K3606" i="6" s="1"/>
  <c r="L3602" i="6"/>
  <c r="L3606" i="6" s="1"/>
  <c r="I3602" i="6"/>
  <c r="I3606" i="6" s="1"/>
  <c r="E3602" i="6"/>
  <c r="E3606" i="6" s="1"/>
  <c r="G3602" i="6"/>
  <c r="G3606" i="6" s="1"/>
  <c r="E3556" i="6"/>
  <c r="E3560" i="6" s="1"/>
  <c r="L3556" i="6"/>
  <c r="L3560" i="6" s="1"/>
  <c r="M3556" i="6"/>
  <c r="M3560" i="6" s="1"/>
  <c r="K3556" i="6"/>
  <c r="K3560" i="6" s="1"/>
  <c r="J3556" i="6"/>
  <c r="J3560" i="6" s="1"/>
  <c r="F3556" i="6"/>
  <c r="F3560" i="6" s="1"/>
  <c r="G3556" i="6"/>
  <c r="G3560" i="6" s="1"/>
  <c r="H3556" i="6"/>
  <c r="H3560" i="6" s="1"/>
  <c r="D3556" i="6"/>
  <c r="D3560" i="6" s="1"/>
  <c r="I3556" i="6"/>
  <c r="I3560" i="6" s="1"/>
  <c r="L3510" i="6"/>
  <c r="L3514" i="6" s="1"/>
  <c r="J3510" i="6"/>
  <c r="J3514" i="6" s="1"/>
  <c r="H3510" i="6"/>
  <c r="H3514" i="6" s="1"/>
  <c r="K3510" i="6"/>
  <c r="K3514" i="6" s="1"/>
  <c r="E3510" i="6"/>
  <c r="E3514" i="6" s="1"/>
  <c r="G3510" i="6"/>
  <c r="G3514" i="6" s="1"/>
  <c r="F3510" i="6"/>
  <c r="F3514" i="6" s="1"/>
  <c r="M3510" i="6"/>
  <c r="M3514" i="6" s="1"/>
  <c r="I3510" i="6"/>
  <c r="I3514" i="6" s="1"/>
  <c r="D3510" i="6"/>
  <c r="D3514" i="6" s="1"/>
  <c r="M3464" i="6"/>
  <c r="M3468" i="6" s="1"/>
  <c r="E3464" i="6"/>
  <c r="E3468" i="6" s="1"/>
  <c r="L3464" i="6"/>
  <c r="L3468" i="6" s="1"/>
  <c r="I3464" i="6"/>
  <c r="I3468" i="6" s="1"/>
  <c r="D3464" i="6"/>
  <c r="D3468" i="6" s="1"/>
  <c r="H3464" i="6"/>
  <c r="H3468" i="6" s="1"/>
  <c r="G3464" i="6"/>
  <c r="G3468" i="6" s="1"/>
  <c r="J3464" i="6"/>
  <c r="J3468" i="6" s="1"/>
  <c r="K3464" i="6"/>
  <c r="K3468" i="6" s="1"/>
  <c r="F3464" i="6"/>
  <c r="F3468" i="6" s="1"/>
  <c r="M3418" i="6"/>
  <c r="M3422" i="6" s="1"/>
  <c r="L3418" i="6"/>
  <c r="L3422" i="6" s="1"/>
  <c r="I3418" i="6"/>
  <c r="I3422" i="6" s="1"/>
  <c r="D3418" i="6"/>
  <c r="D3422" i="6" s="1"/>
  <c r="E3418" i="6"/>
  <c r="E3422" i="6" s="1"/>
  <c r="J3418" i="6"/>
  <c r="J3422" i="6" s="1"/>
  <c r="F3418" i="6"/>
  <c r="F3422" i="6" s="1"/>
  <c r="H3418" i="6"/>
  <c r="H3422" i="6" s="1"/>
  <c r="K3418" i="6"/>
  <c r="K3422" i="6" s="1"/>
  <c r="G3418" i="6"/>
  <c r="G3422" i="6" s="1"/>
  <c r="D3372" i="6"/>
  <c r="D3376" i="6" s="1"/>
  <c r="E3372" i="6"/>
  <c r="E3376" i="6" s="1"/>
  <c r="F3372" i="6"/>
  <c r="F3376" i="6" s="1"/>
  <c r="G3372" i="6"/>
  <c r="G3376" i="6" s="1"/>
  <c r="H3372" i="6"/>
  <c r="H3376" i="6" s="1"/>
  <c r="I3372" i="6"/>
  <c r="I3376" i="6" s="1"/>
  <c r="J3372" i="6"/>
  <c r="J3376" i="6" s="1"/>
  <c r="K3372" i="6"/>
  <c r="K3376" i="6" s="1"/>
  <c r="L3372" i="6"/>
  <c r="L3376" i="6" s="1"/>
  <c r="M3372" i="6"/>
  <c r="M3376" i="6" s="1"/>
  <c r="D3326" i="6"/>
  <c r="D3330" i="6" s="1"/>
  <c r="E3326" i="6"/>
  <c r="E3330" i="6" s="1"/>
  <c r="F3326" i="6"/>
  <c r="F3330" i="6" s="1"/>
  <c r="G3326" i="6"/>
  <c r="G3330" i="6" s="1"/>
  <c r="H3326" i="6"/>
  <c r="H3330" i="6" s="1"/>
  <c r="I3326" i="6"/>
  <c r="I3330" i="6" s="1"/>
  <c r="J3326" i="6"/>
  <c r="J3330" i="6" s="1"/>
  <c r="K3326" i="6"/>
  <c r="K3330" i="6" s="1"/>
  <c r="L3326" i="6"/>
  <c r="L3330" i="6" s="1"/>
  <c r="M3326" i="6"/>
  <c r="M3330" i="6" s="1"/>
  <c r="D3280" i="6"/>
  <c r="D3284" i="6" s="1"/>
  <c r="E3280" i="6"/>
  <c r="E3284" i="6" s="1"/>
  <c r="F3280" i="6"/>
  <c r="F3284" i="6" s="1"/>
  <c r="G3280" i="6"/>
  <c r="G3284" i="6" s="1"/>
  <c r="H3280" i="6"/>
  <c r="H3284" i="6" s="1"/>
  <c r="F2130" i="6"/>
  <c r="F2134" i="6" s="1"/>
  <c r="J2130" i="6"/>
  <c r="J2134" i="6" s="1"/>
  <c r="K2130" i="6"/>
  <c r="K2134" i="6" s="1"/>
  <c r="M2130" i="6"/>
  <c r="M2134" i="6" s="1"/>
  <c r="D2130" i="6"/>
  <c r="D2134" i="6" s="1"/>
  <c r="E2130" i="6"/>
  <c r="E2134" i="6" s="1"/>
  <c r="G2130" i="6"/>
  <c r="G2134" i="6" s="1"/>
  <c r="H2130" i="6"/>
  <c r="H2134" i="6" s="1"/>
  <c r="I2130" i="6"/>
  <c r="I2134" i="6" s="1"/>
  <c r="L2130" i="6"/>
  <c r="L2134" i="6" s="1"/>
  <c r="L2084" i="6"/>
  <c r="L2088" i="6" s="1"/>
  <c r="M2084" i="6"/>
  <c r="M2088" i="6" s="1"/>
  <c r="D2084" i="6"/>
  <c r="D2088" i="6" s="1"/>
  <c r="E2084" i="6"/>
  <c r="E2088" i="6" s="1"/>
  <c r="F2084" i="6"/>
  <c r="F2088" i="6" s="1"/>
  <c r="G2084" i="6"/>
  <c r="G2088" i="6" s="1"/>
  <c r="H2084" i="6"/>
  <c r="H2088" i="6" s="1"/>
  <c r="I2084" i="6"/>
  <c r="I2088" i="6" s="1"/>
  <c r="J2084" i="6"/>
  <c r="J2088" i="6" s="1"/>
  <c r="K2084" i="6"/>
  <c r="K2088" i="6" s="1"/>
  <c r="H2038" i="6"/>
  <c r="H2042" i="6" s="1"/>
  <c r="G2038" i="6"/>
  <c r="G2042" i="6" s="1"/>
  <c r="F2038" i="6"/>
  <c r="F2042" i="6" s="1"/>
  <c r="E2038" i="6"/>
  <c r="E2042" i="6" s="1"/>
  <c r="D2038" i="6"/>
  <c r="D2042" i="6" s="1"/>
  <c r="J2038" i="6"/>
  <c r="J2042" i="6" s="1"/>
  <c r="K2038" i="6"/>
  <c r="K2042" i="6" s="1"/>
  <c r="M2038" i="6"/>
  <c r="M2042" i="6" s="1"/>
  <c r="L2038" i="6"/>
  <c r="L2042" i="6" s="1"/>
  <c r="I2038" i="6"/>
  <c r="I2042" i="6" s="1"/>
  <c r="H1992" i="6"/>
  <c r="H1996" i="6" s="1"/>
  <c r="I1992" i="6"/>
  <c r="I1996" i="6" s="1"/>
  <c r="J1992" i="6"/>
  <c r="J1996" i="6" s="1"/>
  <c r="F1992" i="6"/>
  <c r="F1996" i="6" s="1"/>
  <c r="K1992" i="6"/>
  <c r="K1996" i="6" s="1"/>
  <c r="M1992" i="6"/>
  <c r="M1996" i="6" s="1"/>
  <c r="L1992" i="6"/>
  <c r="L1996" i="6" s="1"/>
  <c r="E1992" i="6"/>
  <c r="E1996" i="6" s="1"/>
  <c r="D1992" i="6"/>
  <c r="D1996" i="6" s="1"/>
  <c r="G1992" i="6"/>
  <c r="G1996" i="6" s="1"/>
  <c r="K1946" i="6"/>
  <c r="K1950" i="6" s="1"/>
  <c r="L1946" i="6"/>
  <c r="L1950" i="6" s="1"/>
  <c r="M1946" i="6"/>
  <c r="M1950" i="6" s="1"/>
  <c r="D1946" i="6"/>
  <c r="D1950" i="6" s="1"/>
  <c r="E1946" i="6"/>
  <c r="E1950" i="6" s="1"/>
  <c r="F1946" i="6"/>
  <c r="F1950" i="6" s="1"/>
  <c r="G1946" i="6"/>
  <c r="G1950" i="6" s="1"/>
  <c r="I1946" i="6"/>
  <c r="I1950" i="6" s="1"/>
  <c r="J1946" i="6"/>
  <c r="J1950" i="6" s="1"/>
  <c r="H1946" i="6"/>
  <c r="H1950" i="6" s="1"/>
  <c r="M1900" i="6"/>
  <c r="M1904" i="6" s="1"/>
  <c r="H1900" i="6"/>
  <c r="H1904" i="6" s="1"/>
  <c r="F1900" i="6"/>
  <c r="F1904" i="6" s="1"/>
  <c r="E1900" i="6"/>
  <c r="E1904" i="6" s="1"/>
  <c r="I1900" i="6"/>
  <c r="I1904" i="6" s="1"/>
  <c r="D1900" i="6"/>
  <c r="D1904" i="6" s="1"/>
  <c r="G1900" i="6"/>
  <c r="G1904" i="6" s="1"/>
  <c r="J1900" i="6"/>
  <c r="J1904" i="6" s="1"/>
  <c r="K1900" i="6"/>
  <c r="K1904" i="6" s="1"/>
  <c r="L1900" i="6"/>
  <c r="L1904" i="6" s="1"/>
  <c r="M1854" i="6"/>
  <c r="M1858" i="6" s="1"/>
  <c r="L1854" i="6"/>
  <c r="L1858" i="6" s="1"/>
  <c r="K1854" i="6"/>
  <c r="K1858" i="6" s="1"/>
  <c r="J1854" i="6"/>
  <c r="J1858" i="6" s="1"/>
  <c r="I1854" i="6"/>
  <c r="I1858" i="6" s="1"/>
  <c r="G1854" i="6"/>
  <c r="G1858" i="6" s="1"/>
  <c r="H1854" i="6"/>
  <c r="H1858" i="6" s="1"/>
  <c r="F1854" i="6"/>
  <c r="F1858" i="6" s="1"/>
  <c r="E1854" i="6"/>
  <c r="E1858" i="6" s="1"/>
  <c r="D1854" i="6"/>
  <c r="D1858" i="6" s="1"/>
  <c r="K1808" i="6"/>
  <c r="K1812" i="6" s="1"/>
  <c r="I1808" i="6"/>
  <c r="I1812" i="6" s="1"/>
  <c r="H1808" i="6"/>
  <c r="H1812" i="6" s="1"/>
  <c r="G1808" i="6"/>
  <c r="G1812" i="6" s="1"/>
  <c r="F1808" i="6"/>
  <c r="F1812" i="6" s="1"/>
  <c r="E1808" i="6"/>
  <c r="E1812" i="6" s="1"/>
  <c r="D1808" i="6"/>
  <c r="D1812" i="6" s="1"/>
  <c r="L1808" i="6"/>
  <c r="L1812" i="6" s="1"/>
  <c r="M1808" i="6"/>
  <c r="M1812" i="6" s="1"/>
  <c r="J1808" i="6"/>
  <c r="J1812" i="6" s="1"/>
  <c r="F1762" i="6"/>
  <c r="F1766" i="6" s="1"/>
  <c r="E1762" i="6"/>
  <c r="E1766" i="6" s="1"/>
  <c r="D1762" i="6"/>
  <c r="D1766" i="6" s="1"/>
  <c r="H1762" i="6"/>
  <c r="H1766" i="6" s="1"/>
  <c r="M1762" i="6"/>
  <c r="M1766" i="6" s="1"/>
  <c r="L1762" i="6"/>
  <c r="L1766" i="6" s="1"/>
  <c r="K1762" i="6"/>
  <c r="K1766" i="6" s="1"/>
  <c r="J1762" i="6"/>
  <c r="J1766" i="6" s="1"/>
  <c r="I1762" i="6"/>
  <c r="I1766" i="6" s="1"/>
  <c r="G1762" i="6"/>
  <c r="G1766" i="6" s="1"/>
  <c r="J1716" i="6"/>
  <c r="J1720" i="6" s="1"/>
  <c r="E1716" i="6"/>
  <c r="E1720" i="6" s="1"/>
  <c r="F1716" i="6"/>
  <c r="F1720" i="6" s="1"/>
  <c r="I1716" i="6"/>
  <c r="I1720" i="6" s="1"/>
  <c r="H1716" i="6"/>
  <c r="H1720" i="6" s="1"/>
  <c r="G1716" i="6"/>
  <c r="G1720" i="6" s="1"/>
  <c r="D1716" i="6"/>
  <c r="D1720" i="6" s="1"/>
  <c r="M1716" i="6"/>
  <c r="M1720" i="6" s="1"/>
  <c r="L1716" i="6"/>
  <c r="L1720" i="6" s="1"/>
  <c r="K1716" i="6"/>
  <c r="K1720" i="6" s="1"/>
  <c r="M1670" i="6"/>
  <c r="M1674" i="6" s="1"/>
  <c r="F1670" i="6"/>
  <c r="F1674" i="6" s="1"/>
  <c r="E1670" i="6"/>
  <c r="E1674" i="6" s="1"/>
  <c r="D1670" i="6"/>
  <c r="D1674" i="6" s="1"/>
  <c r="H1670" i="6"/>
  <c r="H1674" i="6" s="1"/>
  <c r="L1670" i="6"/>
  <c r="L1674" i="6" s="1"/>
  <c r="K1670" i="6"/>
  <c r="K1674" i="6" s="1"/>
  <c r="J1670" i="6"/>
  <c r="J1674" i="6" s="1"/>
  <c r="I1670" i="6"/>
  <c r="I1674" i="6" s="1"/>
  <c r="G1670" i="6"/>
  <c r="G1674" i="6" s="1"/>
  <c r="L1624" i="6"/>
  <c r="L1628" i="6" s="1"/>
  <c r="I1624" i="6"/>
  <c r="I1628" i="6" s="1"/>
  <c r="F1624" i="6"/>
  <c r="F1628" i="6" s="1"/>
  <c r="E1624" i="6"/>
  <c r="E1628" i="6" s="1"/>
  <c r="H1624" i="6"/>
  <c r="H1628" i="6" s="1"/>
  <c r="K1624" i="6"/>
  <c r="K1628" i="6" s="1"/>
  <c r="G1624" i="6"/>
  <c r="G1628" i="6" s="1"/>
  <c r="M1624" i="6"/>
  <c r="M1628" i="6" s="1"/>
  <c r="J1624" i="6"/>
  <c r="J1628" i="6" s="1"/>
  <c r="D1624" i="6"/>
  <c r="D1628" i="6" s="1"/>
  <c r="E1578" i="6"/>
  <c r="E1582" i="6" s="1"/>
  <c r="L1578" i="6"/>
  <c r="L1582" i="6" s="1"/>
  <c r="K1578" i="6"/>
  <c r="K1582" i="6" s="1"/>
  <c r="F1578" i="6"/>
  <c r="F1582" i="6" s="1"/>
  <c r="D1348" i="6"/>
  <c r="D1352" i="6" s="1"/>
  <c r="M1348" i="6"/>
  <c r="M1352" i="6" s="1"/>
  <c r="L1348" i="6"/>
  <c r="L1352" i="6" s="1"/>
  <c r="K1348" i="6"/>
  <c r="K1352" i="6" s="1"/>
  <c r="J1348" i="6"/>
  <c r="J1352" i="6" s="1"/>
  <c r="H1348" i="6"/>
  <c r="H1352" i="6" s="1"/>
  <c r="G1348" i="6"/>
  <c r="G1352" i="6" s="1"/>
  <c r="F1348" i="6"/>
  <c r="F1352" i="6" s="1"/>
  <c r="E1348" i="6"/>
  <c r="E1352" i="6" s="1"/>
  <c r="I1348" i="6"/>
  <c r="I1352" i="6" s="1"/>
  <c r="J2199" i="6" l="1"/>
  <c r="D4735" i="6"/>
  <c r="M62" i="8"/>
  <c r="B95" i="19"/>
  <c r="M63" i="8"/>
  <c r="B97" i="19"/>
  <c r="B99" i="19"/>
  <c r="M64" i="8"/>
  <c r="M65" i="8"/>
  <c r="B101" i="19"/>
  <c r="M66" i="8"/>
  <c r="B103" i="19"/>
  <c r="M67" i="8"/>
  <c r="B105" i="19"/>
  <c r="M68" i="8"/>
  <c r="B107" i="19"/>
  <c r="H2872" i="14"/>
  <c r="H2881" i="14"/>
  <c r="F3709" i="14"/>
  <c r="F3700" i="14"/>
  <c r="G2596" i="14"/>
  <c r="G2605" i="14"/>
  <c r="I2283" i="14"/>
  <c r="I2274" i="14"/>
  <c r="E2053" i="14"/>
  <c r="E2044" i="14"/>
  <c r="G1915" i="14"/>
  <c r="G1906" i="14"/>
  <c r="E1768" i="14"/>
  <c r="E1777" i="14"/>
  <c r="H1547" i="14"/>
  <c r="H1538" i="14"/>
  <c r="J1492" i="14"/>
  <c r="J1501" i="14"/>
  <c r="L1133" i="14"/>
  <c r="L1124" i="14"/>
  <c r="G1087" i="14"/>
  <c r="G1078" i="14"/>
  <c r="E995" i="14"/>
  <c r="E986" i="14"/>
  <c r="I811" i="14"/>
  <c r="I802" i="14"/>
  <c r="M673" i="14"/>
  <c r="M664" i="14"/>
  <c r="E4859" i="6"/>
  <c r="E4850" i="6"/>
  <c r="I4399" i="6"/>
  <c r="I4390" i="6"/>
  <c r="G3985" i="6"/>
  <c r="G3976" i="6"/>
  <c r="K2973" i="6"/>
  <c r="K2964" i="6"/>
  <c r="F1777" i="6"/>
  <c r="F1768" i="6"/>
  <c r="K1124" i="6"/>
  <c r="K1133" i="6"/>
  <c r="G857" i="6"/>
  <c r="G848" i="6"/>
  <c r="I811" i="6"/>
  <c r="I802" i="6"/>
  <c r="M765" i="6"/>
  <c r="M756" i="6"/>
  <c r="M489" i="6"/>
  <c r="M480" i="6"/>
  <c r="F489" i="6"/>
  <c r="F480" i="6"/>
  <c r="M443" i="6"/>
  <c r="M434" i="6"/>
  <c r="D338" i="6"/>
  <c r="D339" i="6"/>
  <c r="D352" i="6" s="1"/>
  <c r="D568" i="6"/>
  <c r="D569" i="6"/>
  <c r="D582" i="6" s="1"/>
  <c r="D614" i="6"/>
  <c r="D615" i="6"/>
  <c r="D628" i="6" s="1"/>
  <c r="D1028" i="6"/>
  <c r="D1029" i="6"/>
  <c r="D1042" i="6" s="1"/>
  <c r="D1074" i="6"/>
  <c r="D1075" i="6"/>
  <c r="D1088" i="6" s="1"/>
  <c r="D1120" i="6"/>
  <c r="D1121" i="6"/>
  <c r="D1134" i="6" s="1"/>
  <c r="E1166" i="6"/>
  <c r="D1167" i="6"/>
  <c r="D1180" i="6" s="1"/>
  <c r="E1167" i="6"/>
  <c r="E1180" i="6" s="1"/>
  <c r="D522" i="6"/>
  <c r="D523" i="6"/>
  <c r="D536" i="6" s="1"/>
  <c r="D660" i="6"/>
  <c r="D661" i="6"/>
  <c r="D674" i="6" s="1"/>
  <c r="G661" i="6"/>
  <c r="G674" i="6" s="1"/>
  <c r="D890" i="6"/>
  <c r="D891" i="6"/>
  <c r="D904" i="6" s="1"/>
  <c r="D1212" i="6"/>
  <c r="D1213" i="6"/>
  <c r="D1226" i="6" s="1"/>
  <c r="F1212" i="6"/>
  <c r="F1213" i="6"/>
  <c r="F1226" i="6" s="1"/>
  <c r="D1397" i="6"/>
  <c r="D1410" i="6" s="1"/>
  <c r="D1396" i="6"/>
  <c r="D1401" i="6" s="1"/>
  <c r="D1442" i="6"/>
  <c r="D1443" i="6"/>
  <c r="D1456" i="6" s="1"/>
  <c r="D706" i="6"/>
  <c r="D707" i="6"/>
  <c r="D720" i="6" s="1"/>
  <c r="D936" i="6"/>
  <c r="D937" i="6"/>
  <c r="D950" i="6" s="1"/>
  <c r="D982" i="6"/>
  <c r="D983" i="6"/>
  <c r="D996" i="6" s="1"/>
  <c r="D1534" i="6"/>
  <c r="D1535" i="6"/>
  <c r="D1548" i="6" s="1"/>
  <c r="D1580" i="6"/>
  <c r="D1581" i="6"/>
  <c r="D1594" i="6" s="1"/>
  <c r="D1626" i="6"/>
  <c r="D1627" i="6"/>
  <c r="D1640" i="6" s="1"/>
  <c r="D1672" i="6"/>
  <c r="D1673" i="6"/>
  <c r="D1686" i="6" s="1"/>
  <c r="D1718" i="6"/>
  <c r="D1719" i="6"/>
  <c r="D1732" i="6" s="1"/>
  <c r="D1764" i="6"/>
  <c r="D1765" i="6"/>
  <c r="D1778" i="6" s="1"/>
  <c r="D1810" i="6"/>
  <c r="D1811" i="6"/>
  <c r="D1824" i="6" s="1"/>
  <c r="D476" i="6"/>
  <c r="D477" i="6"/>
  <c r="D490" i="6" s="1"/>
  <c r="D1304" i="6"/>
  <c r="D1305" i="6"/>
  <c r="D1318" i="6" s="1"/>
  <c r="D1350" i="6"/>
  <c r="D1351" i="6"/>
  <c r="D1364" i="6" s="1"/>
  <c r="D1902" i="6"/>
  <c r="D1903" i="6"/>
  <c r="D1916" i="6" s="1"/>
  <c r="D1948" i="6"/>
  <c r="D1949" i="6"/>
  <c r="D1962" i="6" s="1"/>
  <c r="D2040" i="6"/>
  <c r="D2041" i="6"/>
  <c r="D2054" i="6" s="1"/>
  <c r="D2086" i="6"/>
  <c r="D2087" i="6"/>
  <c r="D2100" i="6" s="1"/>
  <c r="D2133" i="6"/>
  <c r="D2146" i="6" s="1"/>
  <c r="D2132" i="6"/>
  <c r="D2137" i="6" s="1"/>
  <c r="D2178" i="6"/>
  <c r="J2179" i="6"/>
  <c r="J2192" i="6" s="1"/>
  <c r="K2178" i="6"/>
  <c r="L2179" i="6"/>
  <c r="L2192" i="6" s="1"/>
  <c r="L2178" i="6"/>
  <c r="L2183" i="6" s="1"/>
  <c r="M2179" i="6"/>
  <c r="M2192" i="6" s="1"/>
  <c r="M2178" i="6"/>
  <c r="M2183" i="6" s="1"/>
  <c r="I2178" i="6"/>
  <c r="J2178" i="6"/>
  <c r="J2183" i="6" s="1"/>
  <c r="I2179" i="6"/>
  <c r="I2192" i="6" s="1"/>
  <c r="F2178" i="6"/>
  <c r="G2179" i="6"/>
  <c r="G2192" i="6" s="1"/>
  <c r="G2178" i="6"/>
  <c r="G2183" i="6" s="1"/>
  <c r="H2179" i="6"/>
  <c r="H2192" i="6" s="1"/>
  <c r="H2178" i="6"/>
  <c r="H2183" i="6" s="1"/>
  <c r="K2179" i="6"/>
  <c r="K2192" i="6" s="1"/>
  <c r="D2224" i="6"/>
  <c r="D2225" i="6"/>
  <c r="D2238" i="6" s="1"/>
  <c r="D2270" i="6"/>
  <c r="D2271" i="6"/>
  <c r="D2284" i="6" s="1"/>
  <c r="D2316" i="6"/>
  <c r="D2317" i="6"/>
  <c r="D2330" i="6" s="1"/>
  <c r="D2362" i="6"/>
  <c r="D2363" i="6"/>
  <c r="D2376" i="6" s="1"/>
  <c r="D2408" i="6"/>
  <c r="D2409" i="6"/>
  <c r="D2422" i="6" s="1"/>
  <c r="D2454" i="6"/>
  <c r="D2455" i="6"/>
  <c r="D2468" i="6" s="1"/>
  <c r="D1258" i="6"/>
  <c r="D1259" i="6"/>
  <c r="D1272" i="6" s="1"/>
  <c r="D1856" i="6"/>
  <c r="D1857" i="6"/>
  <c r="D1870" i="6" s="1"/>
  <c r="D1994" i="6"/>
  <c r="D1995" i="6"/>
  <c r="D2008" i="6" s="1"/>
  <c r="D2500" i="6"/>
  <c r="D2501" i="6"/>
  <c r="D2514" i="6" s="1"/>
  <c r="D2546" i="6"/>
  <c r="D2547" i="6"/>
  <c r="D2560" i="6" s="1"/>
  <c r="D2592" i="6"/>
  <c r="D2593" i="6"/>
  <c r="D2606" i="6" s="1"/>
  <c r="D2638" i="6"/>
  <c r="D2639" i="6"/>
  <c r="D2652" i="6" s="1"/>
  <c r="D2684" i="6"/>
  <c r="D2685" i="6"/>
  <c r="D2698" i="6" s="1"/>
  <c r="D2730" i="6"/>
  <c r="D2731" i="6"/>
  <c r="D2744" i="6" s="1"/>
  <c r="D2776" i="6"/>
  <c r="D2777" i="6"/>
  <c r="D2790" i="6" s="1"/>
  <c r="D2868" i="6"/>
  <c r="D2869" i="6"/>
  <c r="D2882" i="6" s="1"/>
  <c r="D3236" i="6"/>
  <c r="D3237" i="6"/>
  <c r="D3250" i="6" s="1"/>
  <c r="D3880" i="6"/>
  <c r="D3881" i="6"/>
  <c r="D3894" i="6" s="1"/>
  <c r="D4064" i="6"/>
  <c r="D4065" i="6"/>
  <c r="D4078" i="6" s="1"/>
  <c r="D4110" i="6"/>
  <c r="D4111" i="6"/>
  <c r="D4124" i="6" s="1"/>
  <c r="D4156" i="6"/>
  <c r="D4157" i="6"/>
  <c r="D4170" i="6" s="1"/>
  <c r="D4202" i="6"/>
  <c r="D4203" i="6"/>
  <c r="D4216" i="6" s="1"/>
  <c r="D4248" i="6"/>
  <c r="D4249" i="6"/>
  <c r="D4262" i="6" s="1"/>
  <c r="D4294" i="6"/>
  <c r="D4295" i="6"/>
  <c r="D4308" i="6" s="1"/>
  <c r="D3558" i="6"/>
  <c r="D3559" i="6"/>
  <c r="D3572" i="6" s="1"/>
  <c r="D4432" i="6"/>
  <c r="D4433" i="6"/>
  <c r="D4446" i="6" s="1"/>
  <c r="D4478" i="6"/>
  <c r="D4479" i="6"/>
  <c r="D4492" i="6" s="1"/>
  <c r="D4524" i="6"/>
  <c r="D4525" i="6"/>
  <c r="D4538" i="6" s="1"/>
  <c r="D4570" i="6"/>
  <c r="D4571" i="6"/>
  <c r="D4584" i="6" s="1"/>
  <c r="D4616" i="6"/>
  <c r="D4617" i="6"/>
  <c r="D4630" i="6" s="1"/>
  <c r="D4662" i="6"/>
  <c r="D4663" i="6"/>
  <c r="D4676" i="6" s="1"/>
  <c r="D3190" i="6"/>
  <c r="D3191" i="6"/>
  <c r="D3204" i="6" s="1"/>
  <c r="L3191" i="6"/>
  <c r="L3204" i="6" s="1"/>
  <c r="D3972" i="6"/>
  <c r="D3973" i="6"/>
  <c r="D3986" i="6" s="1"/>
  <c r="D4708" i="6"/>
  <c r="D4713" i="6" s="1"/>
  <c r="E4709" i="6"/>
  <c r="E4722" i="6" s="1"/>
  <c r="E4708" i="6"/>
  <c r="E4713" i="6" s="1"/>
  <c r="F4709" i="6"/>
  <c r="F4722" i="6" s="1"/>
  <c r="F4708" i="6"/>
  <c r="F4713" i="6" s="1"/>
  <c r="G4709" i="6"/>
  <c r="G4722" i="6" s="1"/>
  <c r="G4708" i="6"/>
  <c r="G4713" i="6" s="1"/>
  <c r="H4709" i="6"/>
  <c r="H4722" i="6" s="1"/>
  <c r="H4708" i="6"/>
  <c r="H4713" i="6" s="1"/>
  <c r="I4709" i="6"/>
  <c r="I4722" i="6" s="1"/>
  <c r="I4708" i="6"/>
  <c r="I4713" i="6" s="1"/>
  <c r="J4708" i="6"/>
  <c r="J4709" i="6"/>
  <c r="J4722" i="6" s="1"/>
  <c r="K4708" i="6"/>
  <c r="K4709" i="6"/>
  <c r="K4722" i="6" s="1"/>
  <c r="L4709" i="6"/>
  <c r="L4722" i="6" s="1"/>
  <c r="L4708" i="6"/>
  <c r="L4713" i="6" s="1"/>
  <c r="M4709" i="6"/>
  <c r="M4722" i="6" s="1"/>
  <c r="M4708" i="6"/>
  <c r="M4713" i="6" s="1"/>
  <c r="D4754" i="6"/>
  <c r="D4755" i="6"/>
  <c r="D4768" i="6" s="1"/>
  <c r="D4800" i="6"/>
  <c r="D4801" i="6"/>
  <c r="D4814" i="6" s="1"/>
  <c r="D4846" i="6"/>
  <c r="D4847" i="6"/>
  <c r="D4860" i="6" s="1"/>
  <c r="D4892" i="6"/>
  <c r="D4893" i="6"/>
  <c r="D4906" i="6" s="1"/>
  <c r="D4938" i="6"/>
  <c r="D4939" i="6"/>
  <c r="D4952" i="6" s="1"/>
  <c r="D4984" i="6"/>
  <c r="D4985" i="6"/>
  <c r="D4998" i="6" s="1"/>
  <c r="D2822" i="6"/>
  <c r="D2823" i="6"/>
  <c r="D2836" i="6" s="1"/>
  <c r="D3144" i="6"/>
  <c r="D3145" i="6"/>
  <c r="D3158" i="6" s="1"/>
  <c r="D3834" i="6"/>
  <c r="D3835" i="6"/>
  <c r="D3848" i="6" s="1"/>
  <c r="D3926" i="6"/>
  <c r="D3927" i="6"/>
  <c r="D3940" i="6" s="1"/>
  <c r="D5030" i="6"/>
  <c r="D5031" i="6"/>
  <c r="D5044" i="6" s="1"/>
  <c r="D5076" i="6"/>
  <c r="D5077" i="6"/>
  <c r="D5090" i="6" s="1"/>
  <c r="D5122" i="6"/>
  <c r="D5123" i="6"/>
  <c r="D5136" i="6" s="1"/>
  <c r="D3512" i="6"/>
  <c r="D3513" i="6"/>
  <c r="D3526" i="6" s="1"/>
  <c r="D4386" i="6"/>
  <c r="D4387" i="6"/>
  <c r="D4400" i="6" s="1"/>
  <c r="D16" i="14"/>
  <c r="D17" i="14"/>
  <c r="D30" i="14" s="1"/>
  <c r="D62" i="14"/>
  <c r="D63" i="14"/>
  <c r="D76" i="14" s="1"/>
  <c r="D109" i="14"/>
  <c r="D122" i="14" s="1"/>
  <c r="D108" i="14"/>
  <c r="D113" i="14" s="1"/>
  <c r="D154" i="14"/>
  <c r="D155" i="14"/>
  <c r="D168" i="14" s="1"/>
  <c r="D200" i="14"/>
  <c r="D201" i="14"/>
  <c r="D214" i="14" s="1"/>
  <c r="D246" i="14"/>
  <c r="D247" i="14"/>
  <c r="D260" i="14" s="1"/>
  <c r="D292" i="14"/>
  <c r="D293" i="14"/>
  <c r="D306" i="14" s="1"/>
  <c r="D3006" i="6"/>
  <c r="D3007" i="6"/>
  <c r="D3020" i="6" s="1"/>
  <c r="D3328" i="6"/>
  <c r="D3329" i="6"/>
  <c r="D3342" i="6" s="1"/>
  <c r="D3374" i="6"/>
  <c r="D3375" i="6"/>
  <c r="D3388" i="6" s="1"/>
  <c r="L338" i="14"/>
  <c r="D338" i="14"/>
  <c r="F339" i="14"/>
  <c r="F352" i="14" s="1"/>
  <c r="G339" i="14"/>
  <c r="G352" i="14" s="1"/>
  <c r="J339" i="14"/>
  <c r="J352" i="14" s="1"/>
  <c r="J338" i="14"/>
  <c r="J343" i="14" s="1"/>
  <c r="E339" i="14"/>
  <c r="E352" i="14" s="1"/>
  <c r="H339" i="14"/>
  <c r="H352" i="14" s="1"/>
  <c r="K339" i="14"/>
  <c r="K352" i="14" s="1"/>
  <c r="F338" i="14"/>
  <c r="F343" i="14" s="1"/>
  <c r="H338" i="14"/>
  <c r="H343" i="14" s="1"/>
  <c r="I338" i="14"/>
  <c r="K338" i="14"/>
  <c r="K343" i="14" s="1"/>
  <c r="M339" i="14"/>
  <c r="M352" i="14" s="1"/>
  <c r="M338" i="14"/>
  <c r="M343" i="14" s="1"/>
  <c r="E338" i="14"/>
  <c r="E343" i="14" s="1"/>
  <c r="G338" i="14"/>
  <c r="G343" i="14" s="1"/>
  <c r="I339" i="14"/>
  <c r="I352" i="14" s="1"/>
  <c r="L339" i="14"/>
  <c r="L352" i="14" s="1"/>
  <c r="D384" i="14"/>
  <c r="D385" i="14"/>
  <c r="D398" i="14" s="1"/>
  <c r="D430" i="14"/>
  <c r="D431" i="14"/>
  <c r="D444" i="14" s="1"/>
  <c r="D476" i="14"/>
  <c r="D477" i="14"/>
  <c r="D490" i="14" s="1"/>
  <c r="D522" i="14"/>
  <c r="D523" i="14"/>
  <c r="D536" i="14" s="1"/>
  <c r="D568" i="14"/>
  <c r="D569" i="14"/>
  <c r="D582" i="14" s="1"/>
  <c r="D615" i="14"/>
  <c r="D628" i="14" s="1"/>
  <c r="D614" i="14"/>
  <c r="D619" i="14" s="1"/>
  <c r="D3650" i="6"/>
  <c r="D3651" i="6"/>
  <c r="D3664" i="6" s="1"/>
  <c r="D706" i="14"/>
  <c r="D707" i="14"/>
  <c r="D720" i="14" s="1"/>
  <c r="F753" i="14"/>
  <c r="F766" i="14" s="1"/>
  <c r="D753" i="14"/>
  <c r="D766" i="14" s="1"/>
  <c r="D752" i="14"/>
  <c r="D757" i="14" s="1"/>
  <c r="F752" i="14"/>
  <c r="F757" i="14" s="1"/>
  <c r="E798" i="14"/>
  <c r="D799" i="14"/>
  <c r="D812" i="14" s="1"/>
  <c r="E799" i="14"/>
  <c r="E812" i="14" s="1"/>
  <c r="D798" i="14"/>
  <c r="D803" i="14" s="1"/>
  <c r="D845" i="14"/>
  <c r="D858" i="14" s="1"/>
  <c r="D844" i="14"/>
  <c r="D849" i="14" s="1"/>
  <c r="D937" i="14"/>
  <c r="D950" i="14" s="1"/>
  <c r="D936" i="14"/>
  <c r="D941" i="14" s="1"/>
  <c r="D660" i="14"/>
  <c r="D661" i="14"/>
  <c r="D674" i="14" s="1"/>
  <c r="D983" i="14"/>
  <c r="D996" i="14" s="1"/>
  <c r="D982" i="14"/>
  <c r="D987" i="14" s="1"/>
  <c r="D1029" i="14"/>
  <c r="D1042" i="14" s="1"/>
  <c r="D1028" i="14"/>
  <c r="D1033" i="14" s="1"/>
  <c r="D1074" i="14"/>
  <c r="D1075" i="14"/>
  <c r="D1088" i="14" s="1"/>
  <c r="D1120" i="14"/>
  <c r="D1121" i="14"/>
  <c r="D1134" i="14" s="1"/>
  <c r="D1166" i="14"/>
  <c r="D1167" i="14"/>
  <c r="D1180" i="14" s="1"/>
  <c r="D2914" i="6"/>
  <c r="D2915" i="6"/>
  <c r="D2928" i="6" s="1"/>
  <c r="F2914" i="6"/>
  <c r="F2915" i="6"/>
  <c r="F2928" i="6" s="1"/>
  <c r="D2960" i="6"/>
  <c r="D2961" i="6"/>
  <c r="D2974" i="6" s="1"/>
  <c r="D1488" i="14"/>
  <c r="D1489" i="14"/>
  <c r="D1502" i="14" s="1"/>
  <c r="D3052" i="6"/>
  <c r="D3053" i="6"/>
  <c r="D3066" i="6" s="1"/>
  <c r="D3098" i="6"/>
  <c r="D3099" i="6"/>
  <c r="D3112" i="6" s="1"/>
  <c r="D3282" i="6"/>
  <c r="D3283" i="6"/>
  <c r="D3296" i="6" s="1"/>
  <c r="D3420" i="6"/>
  <c r="D3421" i="6"/>
  <c r="D3434" i="6" s="1"/>
  <c r="D3466" i="6"/>
  <c r="D3467" i="6"/>
  <c r="D3480" i="6" s="1"/>
  <c r="D1258" i="14"/>
  <c r="D1259" i="14"/>
  <c r="D1272" i="14" s="1"/>
  <c r="D1304" i="14"/>
  <c r="D1305" i="14"/>
  <c r="D1318" i="14" s="1"/>
  <c r="D1350" i="14"/>
  <c r="D1351" i="14"/>
  <c r="D1364" i="14" s="1"/>
  <c r="D1396" i="14"/>
  <c r="D1397" i="14"/>
  <c r="D1410" i="14" s="1"/>
  <c r="D1442" i="14"/>
  <c r="D1443" i="14"/>
  <c r="D1456" i="14" s="1"/>
  <c r="D1581" i="14"/>
  <c r="D1594" i="14" s="1"/>
  <c r="D1580" i="14"/>
  <c r="D1585" i="14" s="1"/>
  <c r="D1627" i="14"/>
  <c r="D1640" i="14" s="1"/>
  <c r="D1626" i="14"/>
  <c r="D1631" i="14" s="1"/>
  <c r="D1672" i="14"/>
  <c r="D1673" i="14"/>
  <c r="D1686" i="14" s="1"/>
  <c r="D1719" i="14"/>
  <c r="D1732" i="14" s="1"/>
  <c r="D1718" i="14"/>
  <c r="D1723" i="14" s="1"/>
  <c r="D1764" i="14"/>
  <c r="D1765" i="14"/>
  <c r="D1778" i="14" s="1"/>
  <c r="D1810" i="14"/>
  <c r="D1811" i="14"/>
  <c r="D1824" i="14" s="1"/>
  <c r="D3604" i="6"/>
  <c r="D3605" i="6"/>
  <c r="D3618" i="6" s="1"/>
  <c r="D3742" i="6"/>
  <c r="D3743" i="6"/>
  <c r="D3756" i="6" s="1"/>
  <c r="D3788" i="6"/>
  <c r="D3789" i="6"/>
  <c r="D3802" i="6" s="1"/>
  <c r="D1902" i="14"/>
  <c r="D1903" i="14"/>
  <c r="D1916" i="14" s="1"/>
  <c r="D1948" i="14"/>
  <c r="D1949" i="14"/>
  <c r="D1962" i="14" s="1"/>
  <c r="D1994" i="14"/>
  <c r="D1995" i="14"/>
  <c r="D2008" i="14" s="1"/>
  <c r="D2040" i="14"/>
  <c r="D2041" i="14"/>
  <c r="D2054" i="14" s="1"/>
  <c r="D2086" i="14"/>
  <c r="D2087" i="14"/>
  <c r="D2100" i="14" s="1"/>
  <c r="D2132" i="14"/>
  <c r="D2133" i="14"/>
  <c r="D2146" i="14" s="1"/>
  <c r="D2178" i="14"/>
  <c r="D2179" i="14"/>
  <c r="D2192" i="14" s="1"/>
  <c r="D2224" i="14"/>
  <c r="D2225" i="14"/>
  <c r="D2238" i="14" s="1"/>
  <c r="J2225" i="14"/>
  <c r="J2238" i="14" s="1"/>
  <c r="D2270" i="14"/>
  <c r="D2271" i="14"/>
  <c r="D2284" i="14" s="1"/>
  <c r="D2316" i="14"/>
  <c r="D2317" i="14"/>
  <c r="D2330" i="14" s="1"/>
  <c r="D2362" i="14"/>
  <c r="D2363" i="14"/>
  <c r="D2376" i="14" s="1"/>
  <c r="D2408" i="14"/>
  <c r="D2409" i="14"/>
  <c r="D2422" i="14" s="1"/>
  <c r="D2455" i="14"/>
  <c r="D2468" i="14" s="1"/>
  <c r="D2454" i="14"/>
  <c r="D2459" i="14" s="1"/>
  <c r="D2500" i="14"/>
  <c r="D2501" i="14"/>
  <c r="D2514" i="14" s="1"/>
  <c r="D2547" i="14"/>
  <c r="D2560" i="14" s="1"/>
  <c r="D2546" i="14"/>
  <c r="D2551" i="14" s="1"/>
  <c r="D2593" i="14"/>
  <c r="D2606" i="14" s="1"/>
  <c r="D2592" i="14"/>
  <c r="D2597" i="14" s="1"/>
  <c r="D2638" i="14"/>
  <c r="D2639" i="14"/>
  <c r="D2652" i="14" s="1"/>
  <c r="D2684" i="14"/>
  <c r="D2685" i="14"/>
  <c r="D2698" i="14" s="1"/>
  <c r="D2731" i="14"/>
  <c r="D2744" i="14" s="1"/>
  <c r="D2730" i="14"/>
  <c r="D2735" i="14" s="1"/>
  <c r="D2776" i="14"/>
  <c r="D2777" i="14"/>
  <c r="D2790" i="14" s="1"/>
  <c r="D2822" i="14"/>
  <c r="D2823" i="14"/>
  <c r="D2836" i="14" s="1"/>
  <c r="D2869" i="14"/>
  <c r="D2882" i="14" s="1"/>
  <c r="I2868" i="14"/>
  <c r="J2869" i="14"/>
  <c r="J2882" i="14" s="1"/>
  <c r="J2868" i="14"/>
  <c r="J2873" i="14" s="1"/>
  <c r="K2869" i="14"/>
  <c r="K2882" i="14" s="1"/>
  <c r="K2868" i="14"/>
  <c r="K2873" i="14" s="1"/>
  <c r="L2869" i="14"/>
  <c r="L2882" i="14" s="1"/>
  <c r="L2868" i="14"/>
  <c r="L2873" i="14" s="1"/>
  <c r="M2869" i="14"/>
  <c r="M2882" i="14" s="1"/>
  <c r="M2868" i="14"/>
  <c r="D2868" i="14"/>
  <c r="D2873" i="14" s="1"/>
  <c r="I2869" i="14"/>
  <c r="I2882" i="14" s="1"/>
  <c r="D2915" i="14"/>
  <c r="D2928" i="14" s="1"/>
  <c r="D2914" i="14"/>
  <c r="D2919" i="14" s="1"/>
  <c r="D2960" i="14"/>
  <c r="D2961" i="14"/>
  <c r="D2974" i="14" s="1"/>
  <c r="D3006" i="14"/>
  <c r="D3007" i="14"/>
  <c r="D3020" i="14" s="1"/>
  <c r="D3053" i="14"/>
  <c r="D3066" i="14" s="1"/>
  <c r="D3052" i="14"/>
  <c r="D3099" i="14"/>
  <c r="D3112" i="14" s="1"/>
  <c r="D3098" i="14"/>
  <c r="D3103" i="14" s="1"/>
  <c r="D3144" i="14"/>
  <c r="D3145" i="14"/>
  <c r="D3158" i="14" s="1"/>
  <c r="D3190" i="14"/>
  <c r="D3191" i="14"/>
  <c r="D3204" i="14" s="1"/>
  <c r="D3467" i="14"/>
  <c r="D3480" i="14" s="1"/>
  <c r="D3466" i="14"/>
  <c r="D3471" i="14" s="1"/>
  <c r="D3236" i="14"/>
  <c r="D3237" i="14"/>
  <c r="D3250" i="14" s="1"/>
  <c r="D3283" i="14"/>
  <c r="D3296" i="14" s="1"/>
  <c r="D3282" i="14"/>
  <c r="D3287" i="14" s="1"/>
  <c r="K3282" i="14"/>
  <c r="K3283" i="14"/>
  <c r="K3296" i="14" s="1"/>
  <c r="D3328" i="14"/>
  <c r="D3329" i="14"/>
  <c r="D3342" i="14" s="1"/>
  <c r="D3374" i="14"/>
  <c r="D3375" i="14"/>
  <c r="D3388" i="14" s="1"/>
  <c r="D3421" i="14"/>
  <c r="D3434" i="14" s="1"/>
  <c r="D3420" i="14"/>
  <c r="D3425" i="14" s="1"/>
  <c r="D3513" i="14"/>
  <c r="D3526" i="14" s="1"/>
  <c r="D3512" i="14"/>
  <c r="D3517" i="14" s="1"/>
  <c r="D3559" i="14"/>
  <c r="D3572" i="14" s="1"/>
  <c r="D3558" i="14"/>
  <c r="D3563" i="14" s="1"/>
  <c r="D3604" i="14"/>
  <c r="D3605" i="14"/>
  <c r="D3618" i="14" s="1"/>
  <c r="D3650" i="14"/>
  <c r="D3651" i="14"/>
  <c r="D3664" i="14" s="1"/>
  <c r="D3696" i="14"/>
  <c r="D3697" i="14"/>
  <c r="D3710" i="14" s="1"/>
  <c r="D3742" i="14"/>
  <c r="D3743" i="14"/>
  <c r="D3756" i="14" s="1"/>
  <c r="D3880" i="14"/>
  <c r="D3881" i="14"/>
  <c r="D3894" i="14" s="1"/>
  <c r="D3926" i="14"/>
  <c r="D3927" i="14"/>
  <c r="D3940" i="14" s="1"/>
  <c r="D3972" i="14"/>
  <c r="D3973" i="14"/>
  <c r="D3986" i="14" s="1"/>
  <c r="D4018" i="14"/>
  <c r="D4019" i="14"/>
  <c r="D4032" i="14" s="1"/>
  <c r="D3788" i="14"/>
  <c r="D3789" i="14"/>
  <c r="D3802" i="14" s="1"/>
  <c r="D3834" i="14"/>
  <c r="D3835" i="14"/>
  <c r="D3848" i="14" s="1"/>
  <c r="D4110" i="14"/>
  <c r="D4111" i="14"/>
  <c r="D4124" i="14" s="1"/>
  <c r="D4156" i="14"/>
  <c r="D4157" i="14"/>
  <c r="D4170" i="14" s="1"/>
  <c r="D4202" i="14"/>
  <c r="D4203" i="14"/>
  <c r="D4216" i="14" s="1"/>
  <c r="D4249" i="14"/>
  <c r="D4262" i="14" s="1"/>
  <c r="I4248" i="14"/>
  <c r="D4248" i="14"/>
  <c r="D4253" i="14" s="1"/>
  <c r="I4249" i="14"/>
  <c r="I4262" i="14" s="1"/>
  <c r="D4295" i="14"/>
  <c r="D4308" i="14" s="1"/>
  <c r="D4294" i="14"/>
  <c r="D4299" i="14" s="1"/>
  <c r="D4340" i="14"/>
  <c r="D4341" i="14"/>
  <c r="D4354" i="14" s="1"/>
  <c r="D63" i="16"/>
  <c r="D76" i="16" s="1"/>
  <c r="D62" i="16"/>
  <c r="D67" i="16" s="1"/>
  <c r="D109" i="16"/>
  <c r="D122" i="16" s="1"/>
  <c r="D108" i="16"/>
  <c r="D113" i="16" s="1"/>
  <c r="G41" i="11"/>
  <c r="I41" i="11"/>
  <c r="K41" i="11"/>
  <c r="G32" i="11"/>
  <c r="I32" i="11"/>
  <c r="K32" i="11"/>
  <c r="G40" i="11"/>
  <c r="I40" i="11"/>
  <c r="K40" i="11"/>
  <c r="G37" i="11"/>
  <c r="I37" i="11"/>
  <c r="K37" i="11"/>
  <c r="G36" i="11"/>
  <c r="I36" i="11"/>
  <c r="K36" i="11"/>
  <c r="G35" i="11"/>
  <c r="I35" i="11"/>
  <c r="K35" i="11"/>
  <c r="G33" i="11"/>
  <c r="I33" i="11"/>
  <c r="K33" i="11"/>
  <c r="E16" i="6"/>
  <c r="E20" i="6"/>
  <c r="E29" i="6"/>
  <c r="D11" i="18"/>
  <c r="B48" i="19" s="1"/>
  <c r="E11" i="18"/>
  <c r="B49" i="19" s="1"/>
  <c r="D9" i="18"/>
  <c r="B44" i="19" s="1"/>
  <c r="E9" i="18"/>
  <c r="B45" i="19" s="1"/>
  <c r="D13" i="18"/>
  <c r="B52" i="19" s="1"/>
  <c r="E13" i="18"/>
  <c r="B53" i="19" s="1"/>
  <c r="J4729" i="6"/>
  <c r="D2205" i="6"/>
  <c r="F673" i="6"/>
  <c r="F664" i="6"/>
  <c r="I16" i="6"/>
  <c r="M16" i="6"/>
  <c r="M17" i="6"/>
  <c r="M30" i="6" s="1"/>
  <c r="L16" i="6"/>
  <c r="L17" i="6"/>
  <c r="L30" i="6" s="1"/>
  <c r="K16" i="6"/>
  <c r="K17" i="6"/>
  <c r="K30" i="6" s="1"/>
  <c r="J16" i="6"/>
  <c r="E17" i="6"/>
  <c r="E30" i="6" s="1"/>
  <c r="I17" i="6"/>
  <c r="I30" i="6" s="1"/>
  <c r="H16" i="6"/>
  <c r="H17" i="6"/>
  <c r="H30" i="6" s="1"/>
  <c r="G16" i="6"/>
  <c r="G17" i="6"/>
  <c r="G30" i="6" s="1"/>
  <c r="F16" i="6"/>
  <c r="F17" i="6"/>
  <c r="F30" i="6" s="1"/>
  <c r="J17" i="6"/>
  <c r="J30" i="6" s="1"/>
  <c r="D42" i="6"/>
  <c r="D17" i="6"/>
  <c r="D30" i="6" s="1"/>
  <c r="D41" i="6"/>
  <c r="D16" i="6"/>
  <c r="D21" i="6" s="1"/>
  <c r="J35" i="6"/>
  <c r="J339" i="6"/>
  <c r="J352" i="6" s="1"/>
  <c r="I339" i="6"/>
  <c r="I352" i="6" s="1"/>
  <c r="D364" i="6"/>
  <c r="D363" i="6"/>
  <c r="L338" i="6"/>
  <c r="K338" i="6"/>
  <c r="L339" i="6"/>
  <c r="L352" i="6" s="1"/>
  <c r="J357" i="6"/>
  <c r="M338" i="6"/>
  <c r="M339" i="6"/>
  <c r="M352" i="6" s="1"/>
  <c r="I338" i="6"/>
  <c r="I343" i="6" s="1"/>
  <c r="F339" i="6"/>
  <c r="F352" i="6" s="1"/>
  <c r="F338" i="6"/>
  <c r="F343" i="6" s="1"/>
  <c r="E339" i="6"/>
  <c r="E352" i="6" s="1"/>
  <c r="K339" i="6"/>
  <c r="K352" i="6" s="1"/>
  <c r="G339" i="6"/>
  <c r="G352" i="6" s="1"/>
  <c r="E338" i="6"/>
  <c r="E343" i="6" s="1"/>
  <c r="G338" i="6"/>
  <c r="G343" i="6" s="1"/>
  <c r="J338" i="6"/>
  <c r="J343" i="6" s="1"/>
  <c r="H339" i="6"/>
  <c r="H352" i="6" s="1"/>
  <c r="H338" i="6"/>
  <c r="H343" i="6" s="1"/>
  <c r="M63" i="6"/>
  <c r="M76" i="6" s="1"/>
  <c r="K62" i="6"/>
  <c r="D63" i="6"/>
  <c r="D76" i="6" s="1"/>
  <c r="I63" i="6"/>
  <c r="I76" i="6" s="1"/>
  <c r="H62" i="6"/>
  <c r="J81" i="6"/>
  <c r="D88" i="6"/>
  <c r="L62" i="6"/>
  <c r="J62" i="6"/>
  <c r="M62" i="6"/>
  <c r="J63" i="6"/>
  <c r="J76" i="6" s="1"/>
  <c r="I62" i="6"/>
  <c r="I67" i="6" s="1"/>
  <c r="E63" i="6"/>
  <c r="E76" i="6" s="1"/>
  <c r="E62" i="6"/>
  <c r="E67" i="6" s="1"/>
  <c r="K63" i="6"/>
  <c r="K76" i="6" s="1"/>
  <c r="F62" i="6"/>
  <c r="G63" i="6"/>
  <c r="G76" i="6" s="1"/>
  <c r="G62" i="6"/>
  <c r="G67" i="6" s="1"/>
  <c r="H63" i="6"/>
  <c r="H76" i="6" s="1"/>
  <c r="D62" i="6"/>
  <c r="L63" i="6"/>
  <c r="L76" i="6" s="1"/>
  <c r="D87" i="6"/>
  <c r="F63" i="6"/>
  <c r="F76" i="6" s="1"/>
  <c r="M568" i="6"/>
  <c r="M569" i="6"/>
  <c r="M582" i="6" s="1"/>
  <c r="F569" i="6"/>
  <c r="F582" i="6" s="1"/>
  <c r="G568" i="6"/>
  <c r="H569" i="6"/>
  <c r="H582" i="6" s="1"/>
  <c r="H568" i="6"/>
  <c r="H573" i="6" s="1"/>
  <c r="L568" i="6"/>
  <c r="D594" i="6"/>
  <c r="I569" i="6"/>
  <c r="I582" i="6" s="1"/>
  <c r="K568" i="6"/>
  <c r="I568" i="6"/>
  <c r="I573" i="6" s="1"/>
  <c r="D593" i="6"/>
  <c r="J587" i="6"/>
  <c r="E569" i="6"/>
  <c r="E582" i="6" s="1"/>
  <c r="E568" i="6"/>
  <c r="E573" i="6" s="1"/>
  <c r="F568" i="6"/>
  <c r="F573" i="6" s="1"/>
  <c r="G569" i="6"/>
  <c r="G582" i="6" s="1"/>
  <c r="J569" i="6"/>
  <c r="J582" i="6" s="1"/>
  <c r="J568" i="6"/>
  <c r="J573" i="6" s="1"/>
  <c r="K569" i="6"/>
  <c r="K582" i="6" s="1"/>
  <c r="L569" i="6"/>
  <c r="L582" i="6" s="1"/>
  <c r="I615" i="6"/>
  <c r="I628" i="6" s="1"/>
  <c r="H614" i="6"/>
  <c r="L615" i="6"/>
  <c r="L628" i="6" s="1"/>
  <c r="D639" i="6"/>
  <c r="H615" i="6"/>
  <c r="H628" i="6" s="1"/>
  <c r="J633" i="6"/>
  <c r="M615" i="6"/>
  <c r="M628" i="6" s="1"/>
  <c r="G614" i="6"/>
  <c r="L614" i="6"/>
  <c r="L619" i="6" s="1"/>
  <c r="D640" i="6"/>
  <c r="G615" i="6"/>
  <c r="G628" i="6" s="1"/>
  <c r="M614" i="6"/>
  <c r="M619" i="6" s="1"/>
  <c r="F614" i="6"/>
  <c r="J614" i="6"/>
  <c r="F615" i="6"/>
  <c r="F628" i="6" s="1"/>
  <c r="E614" i="6"/>
  <c r="I614" i="6"/>
  <c r="I619" i="6" s="1"/>
  <c r="J615" i="6"/>
  <c r="J628" i="6" s="1"/>
  <c r="K615" i="6"/>
  <c r="K628" i="6" s="1"/>
  <c r="K614" i="6"/>
  <c r="K619" i="6" s="1"/>
  <c r="E615" i="6"/>
  <c r="E628" i="6" s="1"/>
  <c r="J771" i="6"/>
  <c r="M753" i="6"/>
  <c r="M766" i="6" s="1"/>
  <c r="L752" i="6"/>
  <c r="L753" i="6"/>
  <c r="L766" i="6" s="1"/>
  <c r="M752" i="6"/>
  <c r="M757" i="6" s="1"/>
  <c r="K752" i="6"/>
  <c r="E753" i="6"/>
  <c r="E766" i="6" s="1"/>
  <c r="D752" i="6"/>
  <c r="K753" i="6"/>
  <c r="K766" i="6" s="1"/>
  <c r="J752" i="6"/>
  <c r="D778" i="6"/>
  <c r="D777" i="6"/>
  <c r="J753" i="6"/>
  <c r="J766" i="6" s="1"/>
  <c r="I752" i="6"/>
  <c r="I753" i="6"/>
  <c r="I766" i="6" s="1"/>
  <c r="H752" i="6"/>
  <c r="H753" i="6"/>
  <c r="H766" i="6" s="1"/>
  <c r="G752" i="6"/>
  <c r="G753" i="6"/>
  <c r="G766" i="6" s="1"/>
  <c r="F752" i="6"/>
  <c r="E752" i="6"/>
  <c r="E757" i="6" s="1"/>
  <c r="F753" i="6"/>
  <c r="F766" i="6" s="1"/>
  <c r="D753" i="6"/>
  <c r="D766" i="6" s="1"/>
  <c r="M799" i="6"/>
  <c r="M812" i="6" s="1"/>
  <c r="J798" i="6"/>
  <c r="K799" i="6"/>
  <c r="K812" i="6" s="1"/>
  <c r="K798" i="6"/>
  <c r="K803" i="6" s="1"/>
  <c r="M798" i="6"/>
  <c r="M803" i="6" s="1"/>
  <c r="D798" i="6"/>
  <c r="D824" i="6"/>
  <c r="D799" i="6"/>
  <c r="D812" i="6" s="1"/>
  <c r="D823" i="6"/>
  <c r="J817" i="6"/>
  <c r="F799" i="6"/>
  <c r="F812" i="6" s="1"/>
  <c r="F798" i="6"/>
  <c r="F803" i="6" s="1"/>
  <c r="G799" i="6"/>
  <c r="G812" i="6" s="1"/>
  <c r="G798" i="6"/>
  <c r="G803" i="6" s="1"/>
  <c r="H799" i="6"/>
  <c r="H812" i="6" s="1"/>
  <c r="H798" i="6"/>
  <c r="H803" i="6" s="1"/>
  <c r="I799" i="6"/>
  <c r="I812" i="6" s="1"/>
  <c r="I798" i="6"/>
  <c r="I803" i="6" s="1"/>
  <c r="J799" i="6"/>
  <c r="J812" i="6" s="1"/>
  <c r="E799" i="6"/>
  <c r="E812" i="6" s="1"/>
  <c r="E798" i="6"/>
  <c r="E803" i="6" s="1"/>
  <c r="L799" i="6"/>
  <c r="L812" i="6" s="1"/>
  <c r="L798" i="6"/>
  <c r="L803" i="6" s="1"/>
  <c r="D845" i="6"/>
  <c r="D858" i="6" s="1"/>
  <c r="L844" i="6"/>
  <c r="G845" i="6"/>
  <c r="G858" i="6" s="1"/>
  <c r="G844" i="6"/>
  <c r="G849" i="6" s="1"/>
  <c r="D844" i="6"/>
  <c r="D849" i="6" s="1"/>
  <c r="H845" i="6"/>
  <c r="H858" i="6" s="1"/>
  <c r="H844" i="6"/>
  <c r="H849" i="6" s="1"/>
  <c r="D870" i="6"/>
  <c r="J863" i="6"/>
  <c r="J845" i="6"/>
  <c r="J858" i="6" s="1"/>
  <c r="K845" i="6"/>
  <c r="K858" i="6" s="1"/>
  <c r="K844" i="6"/>
  <c r="K849" i="6" s="1"/>
  <c r="L845" i="6"/>
  <c r="L858" i="6" s="1"/>
  <c r="J844" i="6"/>
  <c r="J849" i="6" s="1"/>
  <c r="M845" i="6"/>
  <c r="M858" i="6" s="1"/>
  <c r="M844" i="6"/>
  <c r="M849" i="6" s="1"/>
  <c r="D869" i="6"/>
  <c r="I844" i="6"/>
  <c r="I845" i="6"/>
  <c r="I858" i="6" s="1"/>
  <c r="E845" i="6"/>
  <c r="E858" i="6" s="1"/>
  <c r="E844" i="6"/>
  <c r="E849" i="6" s="1"/>
  <c r="F845" i="6"/>
  <c r="F858" i="6" s="1"/>
  <c r="F844" i="6"/>
  <c r="I108" i="6"/>
  <c r="D109" i="6"/>
  <c r="D122" i="6" s="1"/>
  <c r="K108" i="6"/>
  <c r="M108" i="6"/>
  <c r="D134" i="6"/>
  <c r="J109" i="6"/>
  <c r="J122" i="6" s="1"/>
  <c r="D108" i="6"/>
  <c r="D113" i="6" s="1"/>
  <c r="J108" i="6"/>
  <c r="J113" i="6" s="1"/>
  <c r="M109" i="6"/>
  <c r="M122" i="6" s="1"/>
  <c r="D133" i="6"/>
  <c r="J127" i="6"/>
  <c r="L109" i="6"/>
  <c r="L122" i="6" s="1"/>
  <c r="H108" i="6"/>
  <c r="L108" i="6"/>
  <c r="L113" i="6" s="1"/>
  <c r="E109" i="6"/>
  <c r="E122" i="6" s="1"/>
  <c r="E108" i="6"/>
  <c r="E113" i="6" s="1"/>
  <c r="F109" i="6"/>
  <c r="F122" i="6" s="1"/>
  <c r="F108" i="6"/>
  <c r="F113" i="6" s="1"/>
  <c r="G109" i="6"/>
  <c r="G122" i="6" s="1"/>
  <c r="G108" i="6"/>
  <c r="G113" i="6" s="1"/>
  <c r="H109" i="6"/>
  <c r="H122" i="6" s="1"/>
  <c r="K109" i="6"/>
  <c r="K122" i="6" s="1"/>
  <c r="I109" i="6"/>
  <c r="I122" i="6" s="1"/>
  <c r="J311" i="6"/>
  <c r="D292" i="6"/>
  <c r="D293" i="6"/>
  <c r="D306" i="6" s="1"/>
  <c r="K293" i="6"/>
  <c r="K306" i="6" s="1"/>
  <c r="K292" i="6"/>
  <c r="K297" i="6" s="1"/>
  <c r="J292" i="6"/>
  <c r="J293" i="6"/>
  <c r="J306" i="6" s="1"/>
  <c r="L293" i="6"/>
  <c r="L306" i="6" s="1"/>
  <c r="L292" i="6"/>
  <c r="L297" i="6" s="1"/>
  <c r="F293" i="6"/>
  <c r="F306" i="6" s="1"/>
  <c r="H292" i="6"/>
  <c r="H293" i="6"/>
  <c r="H306" i="6" s="1"/>
  <c r="E293" i="6"/>
  <c r="E306" i="6" s="1"/>
  <c r="G292" i="6"/>
  <c r="D318" i="6"/>
  <c r="G293" i="6"/>
  <c r="G306" i="6" s="1"/>
  <c r="I292" i="6"/>
  <c r="F292" i="6"/>
  <c r="F297" i="6" s="1"/>
  <c r="I293" i="6"/>
  <c r="I306" i="6" s="1"/>
  <c r="D317" i="6"/>
  <c r="M292" i="6"/>
  <c r="M293" i="6"/>
  <c r="M306" i="6" s="1"/>
  <c r="E292" i="6"/>
  <c r="E297" i="6" s="1"/>
  <c r="J449" i="6"/>
  <c r="G431" i="6"/>
  <c r="G444" i="6" s="1"/>
  <c r="D456" i="6"/>
  <c r="D430" i="6"/>
  <c r="E431" i="6"/>
  <c r="E444" i="6" s="1"/>
  <c r="E430" i="6"/>
  <c r="E435" i="6" s="1"/>
  <c r="D431" i="6"/>
  <c r="D444" i="6" s="1"/>
  <c r="I431" i="6"/>
  <c r="I444" i="6" s="1"/>
  <c r="D455" i="6"/>
  <c r="G430" i="6"/>
  <c r="G435" i="6" s="1"/>
  <c r="H430" i="6"/>
  <c r="I430" i="6"/>
  <c r="I435" i="6" s="1"/>
  <c r="F431" i="6"/>
  <c r="F444" i="6" s="1"/>
  <c r="J431" i="6"/>
  <c r="J444" i="6" s="1"/>
  <c r="L430" i="6"/>
  <c r="M431" i="6"/>
  <c r="M444" i="6" s="1"/>
  <c r="L431" i="6"/>
  <c r="L444" i="6" s="1"/>
  <c r="K430" i="6"/>
  <c r="K431" i="6"/>
  <c r="K444" i="6" s="1"/>
  <c r="J430" i="6"/>
  <c r="J435" i="6" s="1"/>
  <c r="H431" i="6"/>
  <c r="H444" i="6" s="1"/>
  <c r="F430" i="6"/>
  <c r="F435" i="6" s="1"/>
  <c r="M430" i="6"/>
  <c r="M435" i="6" s="1"/>
  <c r="F1028" i="6"/>
  <c r="K1029" i="6"/>
  <c r="K1042" i="6" s="1"/>
  <c r="J1047" i="6"/>
  <c r="D1054" i="6"/>
  <c r="E1028" i="6"/>
  <c r="G1029" i="6"/>
  <c r="G1042" i="6" s="1"/>
  <c r="F1029" i="6"/>
  <c r="F1042" i="6" s="1"/>
  <c r="H1029" i="6"/>
  <c r="H1042" i="6" s="1"/>
  <c r="H1028" i="6"/>
  <c r="H1033" i="6" s="1"/>
  <c r="E1029" i="6"/>
  <c r="E1042" i="6" s="1"/>
  <c r="I1029" i="6"/>
  <c r="I1042" i="6" s="1"/>
  <c r="I1028" i="6"/>
  <c r="I1033" i="6" s="1"/>
  <c r="J1028" i="6"/>
  <c r="M1028" i="6"/>
  <c r="K1028" i="6"/>
  <c r="K1033" i="6" s="1"/>
  <c r="L1029" i="6"/>
  <c r="L1042" i="6" s="1"/>
  <c r="L1028" i="6"/>
  <c r="L1033" i="6" s="1"/>
  <c r="M1029" i="6"/>
  <c r="M1042" i="6" s="1"/>
  <c r="D1053" i="6"/>
  <c r="G1028" i="6"/>
  <c r="G1033" i="6" s="1"/>
  <c r="J1029" i="6"/>
  <c r="J1042" i="6" s="1"/>
  <c r="J1093" i="6"/>
  <c r="E1075" i="6"/>
  <c r="E1088" i="6" s="1"/>
  <c r="E1074" i="6"/>
  <c r="E1079" i="6" s="1"/>
  <c r="D1099" i="6"/>
  <c r="F1074" i="6"/>
  <c r="G1075" i="6"/>
  <c r="G1088" i="6" s="1"/>
  <c r="G1074" i="6"/>
  <c r="G1079" i="6" s="1"/>
  <c r="H1075" i="6"/>
  <c r="H1088" i="6" s="1"/>
  <c r="H1074" i="6"/>
  <c r="H1079" i="6" s="1"/>
  <c r="I1075" i="6"/>
  <c r="I1088" i="6" s="1"/>
  <c r="I1074" i="6"/>
  <c r="I1079" i="6" s="1"/>
  <c r="D1100" i="6"/>
  <c r="J1075" i="6"/>
  <c r="J1088" i="6" s="1"/>
  <c r="J1074" i="6"/>
  <c r="J1079" i="6" s="1"/>
  <c r="K1075" i="6"/>
  <c r="K1088" i="6" s="1"/>
  <c r="K1074" i="6"/>
  <c r="K1079" i="6" s="1"/>
  <c r="L1075" i="6"/>
  <c r="L1088" i="6" s="1"/>
  <c r="L1074" i="6"/>
  <c r="L1079" i="6" s="1"/>
  <c r="M1075" i="6"/>
  <c r="M1088" i="6" s="1"/>
  <c r="M1074" i="6"/>
  <c r="M1079" i="6" s="1"/>
  <c r="F1075" i="6"/>
  <c r="F1088" i="6" s="1"/>
  <c r="M1121" i="6"/>
  <c r="M1134" i="6" s="1"/>
  <c r="M1120" i="6"/>
  <c r="M1125" i="6" s="1"/>
  <c r="K1120" i="6"/>
  <c r="K1121" i="6"/>
  <c r="K1134" i="6" s="1"/>
  <c r="J1120" i="6"/>
  <c r="D1146" i="6"/>
  <c r="I1121" i="6"/>
  <c r="I1134" i="6" s="1"/>
  <c r="I1120" i="6"/>
  <c r="I1125" i="6" s="1"/>
  <c r="J1121" i="6"/>
  <c r="J1134" i="6" s="1"/>
  <c r="D1145" i="6"/>
  <c r="J1139" i="6"/>
  <c r="G1120" i="6"/>
  <c r="L1121" i="6"/>
  <c r="L1134" i="6" s="1"/>
  <c r="E1121" i="6"/>
  <c r="E1134" i="6" s="1"/>
  <c r="E1120" i="6"/>
  <c r="E1125" i="6" s="1"/>
  <c r="F1121" i="6"/>
  <c r="F1134" i="6" s="1"/>
  <c r="F1120" i="6"/>
  <c r="F1125" i="6" s="1"/>
  <c r="G1121" i="6"/>
  <c r="G1134" i="6" s="1"/>
  <c r="L1120" i="6"/>
  <c r="L1125" i="6" s="1"/>
  <c r="H1121" i="6"/>
  <c r="H1134" i="6" s="1"/>
  <c r="H1120" i="6"/>
  <c r="H1125" i="6" s="1"/>
  <c r="F1167" i="6"/>
  <c r="F1180" i="6" s="1"/>
  <c r="F1166" i="6"/>
  <c r="F1171" i="6" s="1"/>
  <c r="G1167" i="6"/>
  <c r="G1180" i="6" s="1"/>
  <c r="G1166" i="6"/>
  <c r="G1171" i="6" s="1"/>
  <c r="H1167" i="6"/>
  <c r="H1180" i="6" s="1"/>
  <c r="H1166" i="6"/>
  <c r="H1171" i="6" s="1"/>
  <c r="I1167" i="6"/>
  <c r="I1180" i="6" s="1"/>
  <c r="I1166" i="6"/>
  <c r="I1171" i="6" s="1"/>
  <c r="J1167" i="6"/>
  <c r="J1180" i="6" s="1"/>
  <c r="D1166" i="6"/>
  <c r="M1166" i="6"/>
  <c r="D1192" i="6"/>
  <c r="M1167" i="6"/>
  <c r="M1180" i="6" s="1"/>
  <c r="L1166" i="6"/>
  <c r="J1185" i="6"/>
  <c r="L1167" i="6"/>
  <c r="L1180" i="6" s="1"/>
  <c r="K1166" i="6"/>
  <c r="K1167" i="6"/>
  <c r="K1180" i="6" s="1"/>
  <c r="D1191" i="6"/>
  <c r="J1166" i="6"/>
  <c r="J1171" i="6" s="1"/>
  <c r="M522" i="6"/>
  <c r="F523" i="6"/>
  <c r="F536" i="6" s="1"/>
  <c r="H522" i="6"/>
  <c r="J523" i="6"/>
  <c r="J536" i="6" s="1"/>
  <c r="H523" i="6"/>
  <c r="H536" i="6" s="1"/>
  <c r="I523" i="6"/>
  <c r="I536" i="6" s="1"/>
  <c r="M523" i="6"/>
  <c r="M536" i="6" s="1"/>
  <c r="K523" i="6"/>
  <c r="K536" i="6" s="1"/>
  <c r="J522" i="6"/>
  <c r="J527" i="6" s="1"/>
  <c r="D548" i="6"/>
  <c r="E523" i="6"/>
  <c r="E536" i="6" s="1"/>
  <c r="I522" i="6"/>
  <c r="I527" i="6" s="1"/>
  <c r="K522" i="6"/>
  <c r="K527" i="6" s="1"/>
  <c r="F522" i="6"/>
  <c r="F527" i="6" s="1"/>
  <c r="G523" i="6"/>
  <c r="G536" i="6" s="1"/>
  <c r="D547" i="6"/>
  <c r="L522" i="6"/>
  <c r="G522" i="6"/>
  <c r="G527" i="6" s="1"/>
  <c r="E522" i="6"/>
  <c r="E527" i="6" s="1"/>
  <c r="J541" i="6"/>
  <c r="L523" i="6"/>
  <c r="L536" i="6" s="1"/>
  <c r="M660" i="6"/>
  <c r="D685" i="6"/>
  <c r="J660" i="6"/>
  <c r="J661" i="6"/>
  <c r="J674" i="6" s="1"/>
  <c r="I660" i="6"/>
  <c r="I661" i="6"/>
  <c r="I674" i="6" s="1"/>
  <c r="H660" i="6"/>
  <c r="H661" i="6"/>
  <c r="H674" i="6" s="1"/>
  <c r="E660" i="6"/>
  <c r="E661" i="6"/>
  <c r="E674" i="6" s="1"/>
  <c r="J679" i="6"/>
  <c r="L660" i="6"/>
  <c r="K661" i="6"/>
  <c r="K674" i="6" s="1"/>
  <c r="G660" i="6"/>
  <c r="L661" i="6"/>
  <c r="L674" i="6" s="1"/>
  <c r="D686" i="6"/>
  <c r="F661" i="6"/>
  <c r="F674" i="6" s="1"/>
  <c r="K660" i="6"/>
  <c r="K665" i="6" s="1"/>
  <c r="M661" i="6"/>
  <c r="M674" i="6" s="1"/>
  <c r="F660" i="6"/>
  <c r="F665" i="6" s="1"/>
  <c r="D915" i="6"/>
  <c r="H891" i="6"/>
  <c r="H904" i="6" s="1"/>
  <c r="M891" i="6"/>
  <c r="M904" i="6" s="1"/>
  <c r="J909" i="6"/>
  <c r="G891" i="6"/>
  <c r="G904" i="6" s="1"/>
  <c r="L891" i="6"/>
  <c r="L904" i="6" s="1"/>
  <c r="K890" i="6"/>
  <c r="M890" i="6"/>
  <c r="M895" i="6" s="1"/>
  <c r="F891" i="6"/>
  <c r="F904" i="6" s="1"/>
  <c r="G890" i="6"/>
  <c r="G895" i="6" s="1"/>
  <c r="E891" i="6"/>
  <c r="E904" i="6" s="1"/>
  <c r="E890" i="6"/>
  <c r="E895" i="6" s="1"/>
  <c r="F890" i="6"/>
  <c r="F895" i="6" s="1"/>
  <c r="L890" i="6"/>
  <c r="L895" i="6" s="1"/>
  <c r="K891" i="6"/>
  <c r="K904" i="6" s="1"/>
  <c r="I890" i="6"/>
  <c r="I891" i="6"/>
  <c r="I904" i="6" s="1"/>
  <c r="H890" i="6"/>
  <c r="H895" i="6" s="1"/>
  <c r="J891" i="6"/>
  <c r="J904" i="6" s="1"/>
  <c r="J890" i="6"/>
  <c r="J895" i="6" s="1"/>
  <c r="D916" i="6"/>
  <c r="M1213" i="6"/>
  <c r="M1226" i="6" s="1"/>
  <c r="D1237" i="6"/>
  <c r="D1238" i="6"/>
  <c r="G1213" i="6"/>
  <c r="G1226" i="6" s="1"/>
  <c r="G1212" i="6"/>
  <c r="G1217" i="6" s="1"/>
  <c r="J1231" i="6"/>
  <c r="H1213" i="6"/>
  <c r="H1226" i="6" s="1"/>
  <c r="I1213" i="6"/>
  <c r="I1226" i="6" s="1"/>
  <c r="I1212" i="6"/>
  <c r="J1213" i="6"/>
  <c r="J1226" i="6" s="1"/>
  <c r="J1212" i="6"/>
  <c r="J1217" i="6" s="1"/>
  <c r="K1213" i="6"/>
  <c r="K1226" i="6" s="1"/>
  <c r="K1212" i="6"/>
  <c r="K1217" i="6" s="1"/>
  <c r="L1213" i="6"/>
  <c r="L1226" i="6" s="1"/>
  <c r="L1212" i="6"/>
  <c r="L1217" i="6" s="1"/>
  <c r="M1212" i="6"/>
  <c r="H1212" i="6"/>
  <c r="E1213" i="6"/>
  <c r="E1226" i="6" s="1"/>
  <c r="E1212" i="6"/>
  <c r="E1217" i="6" s="1"/>
  <c r="M1397" i="6"/>
  <c r="M1410" i="6" s="1"/>
  <c r="H1397" i="6"/>
  <c r="H1410" i="6" s="1"/>
  <c r="G1397" i="6"/>
  <c r="G1410" i="6" s="1"/>
  <c r="M1396" i="6"/>
  <c r="M1401" i="6" s="1"/>
  <c r="D1421" i="6"/>
  <c r="K1397" i="6"/>
  <c r="K1410" i="6" s="1"/>
  <c r="G1396" i="6"/>
  <c r="G1401" i="6" s="1"/>
  <c r="F1397" i="6"/>
  <c r="F1410" i="6" s="1"/>
  <c r="F1396" i="6"/>
  <c r="F1401" i="6" s="1"/>
  <c r="H1396" i="6"/>
  <c r="H1401" i="6" s="1"/>
  <c r="E1397" i="6"/>
  <c r="E1410" i="6" s="1"/>
  <c r="E1396" i="6"/>
  <c r="E1401" i="6" s="1"/>
  <c r="D1422" i="6"/>
  <c r="L1396" i="6"/>
  <c r="L1397" i="6"/>
  <c r="L1410" i="6" s="1"/>
  <c r="K1396" i="6"/>
  <c r="K1401" i="6" s="1"/>
  <c r="J1396" i="6"/>
  <c r="J1397" i="6"/>
  <c r="J1410" i="6" s="1"/>
  <c r="I1396" i="6"/>
  <c r="I1397" i="6"/>
  <c r="I1410" i="6" s="1"/>
  <c r="J1415" i="6"/>
  <c r="E1442" i="6"/>
  <c r="I1443" i="6"/>
  <c r="I1456" i="6" s="1"/>
  <c r="G1443" i="6"/>
  <c r="G1456" i="6" s="1"/>
  <c r="I1442" i="6"/>
  <c r="I1447" i="6" s="1"/>
  <c r="L1442" i="6"/>
  <c r="M1443" i="6"/>
  <c r="M1456" i="6" s="1"/>
  <c r="G1442" i="6"/>
  <c r="G1447" i="6" s="1"/>
  <c r="H1443" i="6"/>
  <c r="H1456" i="6" s="1"/>
  <c r="H1442" i="6"/>
  <c r="H1447" i="6" s="1"/>
  <c r="J1443" i="6"/>
  <c r="J1456" i="6" s="1"/>
  <c r="F1442" i="6"/>
  <c r="D1468" i="6"/>
  <c r="L1443" i="6"/>
  <c r="L1456" i="6" s="1"/>
  <c r="D1467" i="6"/>
  <c r="E1443" i="6"/>
  <c r="E1456" i="6" s="1"/>
  <c r="J1442" i="6"/>
  <c r="J1447" i="6" s="1"/>
  <c r="K1442" i="6"/>
  <c r="F1443" i="6"/>
  <c r="F1456" i="6" s="1"/>
  <c r="K1443" i="6"/>
  <c r="K1456" i="6" s="1"/>
  <c r="J1461" i="6"/>
  <c r="M1442" i="6"/>
  <c r="M1447" i="6" s="1"/>
  <c r="D1489" i="6"/>
  <c r="D1502" i="6" s="1"/>
  <c r="E1489" i="6"/>
  <c r="E1502" i="6" s="1"/>
  <c r="H1489" i="6"/>
  <c r="H1502" i="6" s="1"/>
  <c r="J1507" i="6"/>
  <c r="D1513" i="6"/>
  <c r="G1488" i="6"/>
  <c r="G1489" i="6"/>
  <c r="G1502" i="6" s="1"/>
  <c r="M1489" i="6"/>
  <c r="M1502" i="6" s="1"/>
  <c r="M1488" i="6"/>
  <c r="M1493" i="6" s="1"/>
  <c r="F1488" i="6"/>
  <c r="E1488" i="6"/>
  <c r="E1493" i="6" s="1"/>
  <c r="H1488" i="6"/>
  <c r="H1493" i="6" s="1"/>
  <c r="I1489" i="6"/>
  <c r="I1502" i="6" s="1"/>
  <c r="I1488" i="6"/>
  <c r="I1493" i="6" s="1"/>
  <c r="J1489" i="6"/>
  <c r="J1502" i="6" s="1"/>
  <c r="J1488" i="6"/>
  <c r="J1493" i="6" s="1"/>
  <c r="K1489" i="6"/>
  <c r="K1502" i="6" s="1"/>
  <c r="K1488" i="6"/>
  <c r="K1493" i="6" s="1"/>
  <c r="F1489" i="6"/>
  <c r="F1502" i="6" s="1"/>
  <c r="D1488" i="6"/>
  <c r="D1493" i="6" s="1"/>
  <c r="L1489" i="6"/>
  <c r="L1502" i="6" s="1"/>
  <c r="L1488" i="6"/>
  <c r="L1493" i="6" s="1"/>
  <c r="D1514" i="6"/>
  <c r="G385" i="6"/>
  <c r="G398" i="6" s="1"/>
  <c r="E385" i="6"/>
  <c r="E398" i="6" s="1"/>
  <c r="E384" i="6"/>
  <c r="E389" i="6" s="1"/>
  <c r="F385" i="6"/>
  <c r="F398" i="6" s="1"/>
  <c r="F384" i="6"/>
  <c r="F389" i="6" s="1"/>
  <c r="J403" i="6"/>
  <c r="D384" i="6"/>
  <c r="D410" i="6"/>
  <c r="I385" i="6"/>
  <c r="I398" i="6" s="1"/>
  <c r="L384" i="6"/>
  <c r="H385" i="6"/>
  <c r="H398" i="6" s="1"/>
  <c r="G384" i="6"/>
  <c r="G389" i="6" s="1"/>
  <c r="D409" i="6"/>
  <c r="H384" i="6"/>
  <c r="H389" i="6" s="1"/>
  <c r="I384" i="6"/>
  <c r="I389" i="6" s="1"/>
  <c r="J385" i="6"/>
  <c r="J398" i="6" s="1"/>
  <c r="J384" i="6"/>
  <c r="J389" i="6" s="1"/>
  <c r="K385" i="6"/>
  <c r="K398" i="6" s="1"/>
  <c r="K384" i="6"/>
  <c r="K389" i="6" s="1"/>
  <c r="L385" i="6"/>
  <c r="L398" i="6" s="1"/>
  <c r="M384" i="6"/>
  <c r="D385" i="6"/>
  <c r="D398" i="6" s="1"/>
  <c r="M385" i="6"/>
  <c r="M398" i="6" s="1"/>
  <c r="F707" i="6"/>
  <c r="F720" i="6" s="1"/>
  <c r="F706" i="6"/>
  <c r="F711" i="6" s="1"/>
  <c r="G707" i="6"/>
  <c r="G720" i="6" s="1"/>
  <c r="L706" i="6"/>
  <c r="G706" i="6"/>
  <c r="G711" i="6" s="1"/>
  <c r="H707" i="6"/>
  <c r="H720" i="6" s="1"/>
  <c r="L707" i="6"/>
  <c r="L720" i="6" s="1"/>
  <c r="K706" i="6"/>
  <c r="K707" i="6"/>
  <c r="K720" i="6" s="1"/>
  <c r="M707" i="6"/>
  <c r="M720" i="6" s="1"/>
  <c r="J706" i="6"/>
  <c r="H706" i="6"/>
  <c r="H711" i="6" s="1"/>
  <c r="J707" i="6"/>
  <c r="J720" i="6" s="1"/>
  <c r="I707" i="6"/>
  <c r="I720" i="6" s="1"/>
  <c r="M706" i="6"/>
  <c r="M711" i="6" s="1"/>
  <c r="I706" i="6"/>
  <c r="I711" i="6" s="1"/>
  <c r="D732" i="6"/>
  <c r="J725" i="6"/>
  <c r="D731" i="6"/>
  <c r="E707" i="6"/>
  <c r="E720" i="6" s="1"/>
  <c r="E706" i="6"/>
  <c r="E711" i="6" s="1"/>
  <c r="D961" i="6"/>
  <c r="J936" i="6"/>
  <c r="I936" i="6"/>
  <c r="I937" i="6"/>
  <c r="I950" i="6" s="1"/>
  <c r="H936" i="6"/>
  <c r="G936" i="6"/>
  <c r="E937" i="6"/>
  <c r="E950" i="6" s="1"/>
  <c r="J955" i="6"/>
  <c r="L937" i="6"/>
  <c r="L950" i="6" s="1"/>
  <c r="K936" i="6"/>
  <c r="K937" i="6"/>
  <c r="K950" i="6" s="1"/>
  <c r="G937" i="6"/>
  <c r="G950" i="6" s="1"/>
  <c r="F936" i="6"/>
  <c r="F937" i="6"/>
  <c r="F950" i="6" s="1"/>
  <c r="E936" i="6"/>
  <c r="E941" i="6" s="1"/>
  <c r="J937" i="6"/>
  <c r="J950" i="6" s="1"/>
  <c r="M937" i="6"/>
  <c r="M950" i="6" s="1"/>
  <c r="L936" i="6"/>
  <c r="L941" i="6" s="1"/>
  <c r="D962" i="6"/>
  <c r="H937" i="6"/>
  <c r="H950" i="6" s="1"/>
  <c r="M936" i="6"/>
  <c r="M941" i="6" s="1"/>
  <c r="J982" i="6"/>
  <c r="K982" i="6"/>
  <c r="M983" i="6"/>
  <c r="M996" i="6" s="1"/>
  <c r="L983" i="6"/>
  <c r="L996" i="6" s="1"/>
  <c r="J1001" i="6"/>
  <c r="J983" i="6"/>
  <c r="J996" i="6" s="1"/>
  <c r="D1007" i="6"/>
  <c r="H983" i="6"/>
  <c r="H996" i="6" s="1"/>
  <c r="G982" i="6"/>
  <c r="F982" i="6"/>
  <c r="M982" i="6"/>
  <c r="M987" i="6" s="1"/>
  <c r="F983" i="6"/>
  <c r="F996" i="6" s="1"/>
  <c r="E982" i="6"/>
  <c r="E983" i="6"/>
  <c r="E996" i="6" s="1"/>
  <c r="G983" i="6"/>
  <c r="G996" i="6" s="1"/>
  <c r="H982" i="6"/>
  <c r="H987" i="6" s="1"/>
  <c r="K983" i="6"/>
  <c r="K996" i="6" s="1"/>
  <c r="I983" i="6"/>
  <c r="I996" i="6" s="1"/>
  <c r="D1008" i="6"/>
  <c r="I982" i="6"/>
  <c r="I987" i="6" s="1"/>
  <c r="L982" i="6"/>
  <c r="L987" i="6" s="1"/>
  <c r="H1534" i="6"/>
  <c r="I1534" i="6"/>
  <c r="I1535" i="6"/>
  <c r="I1548" i="6" s="1"/>
  <c r="J1534" i="6"/>
  <c r="L1535" i="6"/>
  <c r="L1548" i="6" s="1"/>
  <c r="J1553" i="6"/>
  <c r="K1534" i="6"/>
  <c r="L1534" i="6"/>
  <c r="L1539" i="6" s="1"/>
  <c r="G1535" i="6"/>
  <c r="G1548" i="6" s="1"/>
  <c r="F1535" i="6"/>
  <c r="F1548" i="6" s="1"/>
  <c r="D1560" i="6"/>
  <c r="K1535" i="6"/>
  <c r="K1548" i="6" s="1"/>
  <c r="G1534" i="6"/>
  <c r="G1539" i="6" s="1"/>
  <c r="M1535" i="6"/>
  <c r="M1548" i="6" s="1"/>
  <c r="D1559" i="6"/>
  <c r="H1535" i="6"/>
  <c r="H1548" i="6" s="1"/>
  <c r="J1535" i="6"/>
  <c r="J1548" i="6" s="1"/>
  <c r="F1534" i="6"/>
  <c r="F1539" i="6" s="1"/>
  <c r="E1534" i="6"/>
  <c r="E1535" i="6"/>
  <c r="E1548" i="6" s="1"/>
  <c r="M1534" i="6"/>
  <c r="M1539" i="6" s="1"/>
  <c r="G1581" i="6"/>
  <c r="G1594" i="6" s="1"/>
  <c r="F1580" i="6"/>
  <c r="E1580" i="6"/>
  <c r="H1581" i="6"/>
  <c r="H1594" i="6" s="1"/>
  <c r="H1580" i="6"/>
  <c r="H1585" i="6" s="1"/>
  <c r="D1606" i="6"/>
  <c r="F1581" i="6"/>
  <c r="F1594" i="6" s="1"/>
  <c r="K1580" i="6"/>
  <c r="D1605" i="6"/>
  <c r="J1599" i="6"/>
  <c r="G1580" i="6"/>
  <c r="G1585" i="6" s="1"/>
  <c r="I1581" i="6"/>
  <c r="I1594" i="6" s="1"/>
  <c r="I1580" i="6"/>
  <c r="I1585" i="6" s="1"/>
  <c r="J1580" i="6"/>
  <c r="K1581" i="6"/>
  <c r="K1594" i="6" s="1"/>
  <c r="L1581" i="6"/>
  <c r="L1594" i="6" s="1"/>
  <c r="L1580" i="6"/>
  <c r="L1585" i="6" s="1"/>
  <c r="M1580" i="6"/>
  <c r="E1581" i="6"/>
  <c r="E1594" i="6" s="1"/>
  <c r="M1581" i="6"/>
  <c r="M1594" i="6" s="1"/>
  <c r="J1581" i="6"/>
  <c r="J1594" i="6" s="1"/>
  <c r="F1626" i="6"/>
  <c r="D1652" i="6"/>
  <c r="I1626" i="6"/>
  <c r="H1626" i="6"/>
  <c r="D1651" i="6"/>
  <c r="H1627" i="6"/>
  <c r="H1640" i="6" s="1"/>
  <c r="J1645" i="6"/>
  <c r="L1627" i="6"/>
  <c r="L1640" i="6" s="1"/>
  <c r="G1626" i="6"/>
  <c r="K1626" i="6"/>
  <c r="K1627" i="6"/>
  <c r="K1640" i="6" s="1"/>
  <c r="I1627" i="6"/>
  <c r="I1640" i="6" s="1"/>
  <c r="M1627" i="6"/>
  <c r="M1640" i="6" s="1"/>
  <c r="M1626" i="6"/>
  <c r="M1631" i="6" s="1"/>
  <c r="F1627" i="6"/>
  <c r="F1640" i="6" s="1"/>
  <c r="E1627" i="6"/>
  <c r="E1640" i="6" s="1"/>
  <c r="G1627" i="6"/>
  <c r="G1640" i="6" s="1"/>
  <c r="L1626" i="6"/>
  <c r="L1631" i="6" s="1"/>
  <c r="J1626" i="6"/>
  <c r="J1627" i="6"/>
  <c r="J1640" i="6" s="1"/>
  <c r="E1626" i="6"/>
  <c r="J1673" i="6"/>
  <c r="J1686" i="6" s="1"/>
  <c r="D1697" i="6"/>
  <c r="J1672" i="6"/>
  <c r="J1677" i="6" s="1"/>
  <c r="D1698" i="6"/>
  <c r="E1673" i="6"/>
  <c r="E1686" i="6" s="1"/>
  <c r="K1673" i="6"/>
  <c r="K1686" i="6" s="1"/>
  <c r="K1672" i="6"/>
  <c r="K1677" i="6" s="1"/>
  <c r="L1673" i="6"/>
  <c r="L1686" i="6" s="1"/>
  <c r="E1672" i="6"/>
  <c r="E1677" i="6" s="1"/>
  <c r="L1672" i="6"/>
  <c r="L1677" i="6" s="1"/>
  <c r="F1673" i="6"/>
  <c r="F1686" i="6" s="1"/>
  <c r="J1691" i="6"/>
  <c r="F1672" i="6"/>
  <c r="F1677" i="6" s="1"/>
  <c r="M1673" i="6"/>
  <c r="M1686" i="6" s="1"/>
  <c r="M1672" i="6"/>
  <c r="M1677" i="6" s="1"/>
  <c r="G1673" i="6"/>
  <c r="G1686" i="6" s="1"/>
  <c r="G1672" i="6"/>
  <c r="G1677" i="6" s="1"/>
  <c r="H1673" i="6"/>
  <c r="H1686" i="6" s="1"/>
  <c r="H1672" i="6"/>
  <c r="H1677" i="6" s="1"/>
  <c r="I1673" i="6"/>
  <c r="I1686" i="6" s="1"/>
  <c r="I1672" i="6"/>
  <c r="I1677" i="6" s="1"/>
  <c r="M1718" i="6"/>
  <c r="D1744" i="6"/>
  <c r="D1743" i="6"/>
  <c r="K1718" i="6"/>
  <c r="L1719" i="6"/>
  <c r="L1732" i="6" s="1"/>
  <c r="H1718" i="6"/>
  <c r="H1719" i="6"/>
  <c r="H1732" i="6" s="1"/>
  <c r="L1718" i="6"/>
  <c r="L1723" i="6" s="1"/>
  <c r="G1718" i="6"/>
  <c r="I1719" i="6"/>
  <c r="I1732" i="6" s="1"/>
  <c r="M1719" i="6"/>
  <c r="M1732" i="6" s="1"/>
  <c r="E1719" i="6"/>
  <c r="E1732" i="6" s="1"/>
  <c r="J1737" i="6"/>
  <c r="E1718" i="6"/>
  <c r="E1723" i="6" s="1"/>
  <c r="J1719" i="6"/>
  <c r="J1732" i="6" s="1"/>
  <c r="G1719" i="6"/>
  <c r="G1732" i="6" s="1"/>
  <c r="J1718" i="6"/>
  <c r="J1723" i="6" s="1"/>
  <c r="F1719" i="6"/>
  <c r="F1732" i="6" s="1"/>
  <c r="F1718" i="6"/>
  <c r="F1723" i="6" s="1"/>
  <c r="K1719" i="6"/>
  <c r="K1732" i="6" s="1"/>
  <c r="I1718" i="6"/>
  <c r="I1723" i="6" s="1"/>
  <c r="J1764" i="6"/>
  <c r="K1765" i="6"/>
  <c r="K1778" i="6" s="1"/>
  <c r="H1765" i="6"/>
  <c r="H1778" i="6" s="1"/>
  <c r="M1764" i="6"/>
  <c r="E1765" i="6"/>
  <c r="E1778" i="6" s="1"/>
  <c r="E1764" i="6"/>
  <c r="E1769" i="6" s="1"/>
  <c r="D1789" i="6"/>
  <c r="G1765" i="6"/>
  <c r="G1778" i="6" s="1"/>
  <c r="J1783" i="6"/>
  <c r="D1790" i="6"/>
  <c r="L1764" i="6"/>
  <c r="F1765" i="6"/>
  <c r="F1778" i="6" s="1"/>
  <c r="F1764" i="6"/>
  <c r="F1769" i="6" s="1"/>
  <c r="G1764" i="6"/>
  <c r="G1769" i="6" s="1"/>
  <c r="H1764" i="6"/>
  <c r="H1769" i="6" s="1"/>
  <c r="I1764" i="6"/>
  <c r="M1765" i="6"/>
  <c r="M1778" i="6" s="1"/>
  <c r="K1764" i="6"/>
  <c r="K1769" i="6" s="1"/>
  <c r="J1765" i="6"/>
  <c r="J1778" i="6" s="1"/>
  <c r="I1765" i="6"/>
  <c r="I1778" i="6" s="1"/>
  <c r="L1765" i="6"/>
  <c r="L1778" i="6" s="1"/>
  <c r="D1835" i="6"/>
  <c r="H1810" i="6"/>
  <c r="F1811" i="6"/>
  <c r="F1824" i="6" s="1"/>
  <c r="E1810" i="6"/>
  <c r="E1811" i="6"/>
  <c r="E1824" i="6" s="1"/>
  <c r="F1810" i="6"/>
  <c r="F1815" i="6" s="1"/>
  <c r="I1811" i="6"/>
  <c r="I1824" i="6" s="1"/>
  <c r="G1810" i="6"/>
  <c r="M1811" i="6"/>
  <c r="M1824" i="6" s="1"/>
  <c r="M1810" i="6"/>
  <c r="M1815" i="6" s="1"/>
  <c r="G1811" i="6"/>
  <c r="G1824" i="6" s="1"/>
  <c r="I1810" i="6"/>
  <c r="I1815" i="6" s="1"/>
  <c r="J1811" i="6"/>
  <c r="J1824" i="6" s="1"/>
  <c r="J1810" i="6"/>
  <c r="J1815" i="6" s="1"/>
  <c r="K1811" i="6"/>
  <c r="K1824" i="6" s="1"/>
  <c r="K1810" i="6"/>
  <c r="K1815" i="6" s="1"/>
  <c r="L1811" i="6"/>
  <c r="L1824" i="6" s="1"/>
  <c r="L1810" i="6"/>
  <c r="L1815" i="6" s="1"/>
  <c r="D1836" i="6"/>
  <c r="J1829" i="6"/>
  <c r="H1811" i="6"/>
  <c r="H1824" i="6" s="1"/>
  <c r="L477" i="6"/>
  <c r="L490" i="6" s="1"/>
  <c r="G477" i="6"/>
  <c r="G490" i="6" s="1"/>
  <c r="K477" i="6"/>
  <c r="K490" i="6" s="1"/>
  <c r="J495" i="6"/>
  <c r="F477" i="6"/>
  <c r="F490" i="6" s="1"/>
  <c r="F476" i="6"/>
  <c r="F481" i="6" s="1"/>
  <c r="J477" i="6"/>
  <c r="J490" i="6" s="1"/>
  <c r="E476" i="6"/>
  <c r="L476" i="6"/>
  <c r="L481" i="6" s="1"/>
  <c r="D501" i="6"/>
  <c r="M476" i="6"/>
  <c r="I476" i="6"/>
  <c r="I477" i="6"/>
  <c r="I490" i="6" s="1"/>
  <c r="H476" i="6"/>
  <c r="K476" i="6"/>
  <c r="J476" i="6"/>
  <c r="M477" i="6"/>
  <c r="M490" i="6" s="1"/>
  <c r="H477" i="6"/>
  <c r="H490" i="6" s="1"/>
  <c r="G476" i="6"/>
  <c r="D502" i="6"/>
  <c r="E477" i="6"/>
  <c r="E490" i="6" s="1"/>
  <c r="L1304" i="6"/>
  <c r="H1305" i="6"/>
  <c r="H1318" i="6" s="1"/>
  <c r="G1304" i="6"/>
  <c r="M1305" i="6"/>
  <c r="M1318" i="6" s="1"/>
  <c r="F1305" i="6"/>
  <c r="F1318" i="6" s="1"/>
  <c r="E1304" i="6"/>
  <c r="E1305" i="6"/>
  <c r="E1318" i="6" s="1"/>
  <c r="G1305" i="6"/>
  <c r="G1318" i="6" s="1"/>
  <c r="I1305" i="6"/>
  <c r="I1318" i="6" s="1"/>
  <c r="M1304" i="6"/>
  <c r="M1309" i="6" s="1"/>
  <c r="J1305" i="6"/>
  <c r="J1318" i="6" s="1"/>
  <c r="J1323" i="6"/>
  <c r="I1304" i="6"/>
  <c r="I1309" i="6" s="1"/>
  <c r="F1304" i="6"/>
  <c r="F1309" i="6" s="1"/>
  <c r="J1304" i="6"/>
  <c r="J1309" i="6" s="1"/>
  <c r="D1330" i="6"/>
  <c r="K1304" i="6"/>
  <c r="H1304" i="6"/>
  <c r="H1309" i="6" s="1"/>
  <c r="D1329" i="6"/>
  <c r="L1305" i="6"/>
  <c r="L1318" i="6" s="1"/>
  <c r="K1305" i="6"/>
  <c r="K1318" i="6" s="1"/>
  <c r="J1351" i="6"/>
  <c r="J1364" i="6" s="1"/>
  <c r="J1369" i="6"/>
  <c r="K1350" i="6"/>
  <c r="E1351" i="6"/>
  <c r="E1364" i="6" s="1"/>
  <c r="E1350" i="6"/>
  <c r="E1355" i="6" s="1"/>
  <c r="F1351" i="6"/>
  <c r="F1364" i="6" s="1"/>
  <c r="F1350" i="6"/>
  <c r="F1355" i="6" s="1"/>
  <c r="G1351" i="6"/>
  <c r="G1364" i="6" s="1"/>
  <c r="G1350" i="6"/>
  <c r="G1355" i="6" s="1"/>
  <c r="H1351" i="6"/>
  <c r="H1364" i="6" s="1"/>
  <c r="H1350" i="6"/>
  <c r="H1355" i="6" s="1"/>
  <c r="I1351" i="6"/>
  <c r="I1364" i="6" s="1"/>
  <c r="I1350" i="6"/>
  <c r="I1355" i="6" s="1"/>
  <c r="J1350" i="6"/>
  <c r="J1355" i="6" s="1"/>
  <c r="L1351" i="6"/>
  <c r="L1364" i="6" s="1"/>
  <c r="L1350" i="6"/>
  <c r="L1355" i="6" s="1"/>
  <c r="M1351" i="6"/>
  <c r="M1364" i="6" s="1"/>
  <c r="M1350" i="6"/>
  <c r="M1355" i="6" s="1"/>
  <c r="K1351" i="6"/>
  <c r="K1364" i="6" s="1"/>
  <c r="D1376" i="6"/>
  <c r="D1375" i="6"/>
  <c r="H1903" i="6"/>
  <c r="H1916" i="6" s="1"/>
  <c r="G1902" i="6"/>
  <c r="J1903" i="6"/>
  <c r="J1916" i="6" s="1"/>
  <c r="F1902" i="6"/>
  <c r="D1928" i="6"/>
  <c r="G1903" i="6"/>
  <c r="G1916" i="6" s="1"/>
  <c r="E1903" i="6"/>
  <c r="E1916" i="6" s="1"/>
  <c r="L1902" i="6"/>
  <c r="M1903" i="6"/>
  <c r="M1916" i="6" s="1"/>
  <c r="F1903" i="6"/>
  <c r="F1916" i="6" s="1"/>
  <c r="E1902" i="6"/>
  <c r="E1907" i="6" s="1"/>
  <c r="L1903" i="6"/>
  <c r="L1916" i="6" s="1"/>
  <c r="K1902" i="6"/>
  <c r="K1903" i="6"/>
  <c r="K1916" i="6" s="1"/>
  <c r="J1902" i="6"/>
  <c r="J1907" i="6" s="1"/>
  <c r="D1927" i="6"/>
  <c r="J1921" i="6"/>
  <c r="I1902" i="6"/>
  <c r="I1903" i="6"/>
  <c r="I1916" i="6" s="1"/>
  <c r="H1902" i="6"/>
  <c r="H1907" i="6" s="1"/>
  <c r="M1902" i="6"/>
  <c r="M1907" i="6" s="1"/>
  <c r="J1949" i="6"/>
  <c r="J1962" i="6" s="1"/>
  <c r="J1967" i="6"/>
  <c r="J1948" i="6"/>
  <c r="J1953" i="6" s="1"/>
  <c r="K1949" i="6"/>
  <c r="K1962" i="6" s="1"/>
  <c r="I1949" i="6"/>
  <c r="I1962" i="6" s="1"/>
  <c r="K1948" i="6"/>
  <c r="K1953" i="6" s="1"/>
  <c r="L1949" i="6"/>
  <c r="L1962" i="6" s="1"/>
  <c r="H1948" i="6"/>
  <c r="L1948" i="6"/>
  <c r="L1953" i="6" s="1"/>
  <c r="M1949" i="6"/>
  <c r="M1962" i="6" s="1"/>
  <c r="D1973" i="6"/>
  <c r="G1948" i="6"/>
  <c r="E1948" i="6"/>
  <c r="G1949" i="6"/>
  <c r="G1962" i="6" s="1"/>
  <c r="H1949" i="6"/>
  <c r="H1962" i="6" s="1"/>
  <c r="I1948" i="6"/>
  <c r="I1953" i="6" s="1"/>
  <c r="E1949" i="6"/>
  <c r="E1962" i="6" s="1"/>
  <c r="D1974" i="6"/>
  <c r="F1949" i="6"/>
  <c r="F1962" i="6" s="1"/>
  <c r="M1948" i="6"/>
  <c r="M1953" i="6" s="1"/>
  <c r="F1948" i="6"/>
  <c r="F1953" i="6" s="1"/>
  <c r="J2041" i="6"/>
  <c r="J2054" i="6" s="1"/>
  <c r="I2040" i="6"/>
  <c r="D2065" i="6"/>
  <c r="E2041" i="6"/>
  <c r="E2054" i="6" s="1"/>
  <c r="E2040" i="6"/>
  <c r="E2045" i="6" s="1"/>
  <c r="F2041" i="6"/>
  <c r="F2054" i="6" s="1"/>
  <c r="F2040" i="6"/>
  <c r="F2045" i="6" s="1"/>
  <c r="G2041" i="6"/>
  <c r="G2054" i="6" s="1"/>
  <c r="G2040" i="6"/>
  <c r="G2045" i="6" s="1"/>
  <c r="J2059" i="6"/>
  <c r="H2041" i="6"/>
  <c r="H2054" i="6" s="1"/>
  <c r="M2040" i="6"/>
  <c r="M2041" i="6"/>
  <c r="M2054" i="6" s="1"/>
  <c r="L2040" i="6"/>
  <c r="L2041" i="6"/>
  <c r="L2054" i="6" s="1"/>
  <c r="K2040" i="6"/>
  <c r="K2041" i="6"/>
  <c r="K2054" i="6" s="1"/>
  <c r="H2040" i="6"/>
  <c r="H2045" i="6" s="1"/>
  <c r="D2066" i="6"/>
  <c r="I2041" i="6"/>
  <c r="I2054" i="6" s="1"/>
  <c r="J2040" i="6"/>
  <c r="J2045" i="6" s="1"/>
  <c r="L2087" i="6"/>
  <c r="L2100" i="6" s="1"/>
  <c r="D2112" i="6"/>
  <c r="J2087" i="6"/>
  <c r="J2100" i="6" s="1"/>
  <c r="H2087" i="6"/>
  <c r="H2100" i="6" s="1"/>
  <c r="G2086" i="6"/>
  <c r="G2087" i="6"/>
  <c r="G2100" i="6" s="1"/>
  <c r="F2086" i="6"/>
  <c r="F2087" i="6"/>
  <c r="F2100" i="6" s="1"/>
  <c r="E2086" i="6"/>
  <c r="E2087" i="6"/>
  <c r="E2100" i="6" s="1"/>
  <c r="M2086" i="6"/>
  <c r="L2086" i="6"/>
  <c r="L2091" i="6" s="1"/>
  <c r="M2087" i="6"/>
  <c r="M2100" i="6" s="1"/>
  <c r="D2111" i="6"/>
  <c r="J2105" i="6"/>
  <c r="I2087" i="6"/>
  <c r="I2100" i="6" s="1"/>
  <c r="H2086" i="6"/>
  <c r="H2091" i="6" s="1"/>
  <c r="J2086" i="6"/>
  <c r="J2091" i="6" s="1"/>
  <c r="I2086" i="6"/>
  <c r="I2091" i="6" s="1"/>
  <c r="K2087" i="6"/>
  <c r="K2100" i="6" s="1"/>
  <c r="K2086" i="6"/>
  <c r="K2091" i="6" s="1"/>
  <c r="F2132" i="6"/>
  <c r="G2133" i="6"/>
  <c r="G2146" i="6" s="1"/>
  <c r="G2132" i="6"/>
  <c r="G2137" i="6" s="1"/>
  <c r="H2133" i="6"/>
  <c r="H2146" i="6" s="1"/>
  <c r="H2132" i="6"/>
  <c r="H2137" i="6" s="1"/>
  <c r="I2132" i="6"/>
  <c r="J2133" i="6"/>
  <c r="J2146" i="6" s="1"/>
  <c r="J2132" i="6"/>
  <c r="J2137" i="6" s="1"/>
  <c r="K2133" i="6"/>
  <c r="K2146" i="6" s="1"/>
  <c r="K2132" i="6"/>
  <c r="K2137" i="6" s="1"/>
  <c r="L2133" i="6"/>
  <c r="L2146" i="6" s="1"/>
  <c r="L2132" i="6"/>
  <c r="L2137" i="6" s="1"/>
  <c r="M2133" i="6"/>
  <c r="M2146" i="6" s="1"/>
  <c r="M2132" i="6"/>
  <c r="M2137" i="6" s="1"/>
  <c r="I2133" i="6"/>
  <c r="I2146" i="6" s="1"/>
  <c r="D2157" i="6"/>
  <c r="D2158" i="6"/>
  <c r="J2151" i="6"/>
  <c r="E2133" i="6"/>
  <c r="E2146" i="6" s="1"/>
  <c r="E2132" i="6"/>
  <c r="E2137" i="6" s="1"/>
  <c r="F2133" i="6"/>
  <c r="F2146" i="6" s="1"/>
  <c r="E2178" i="6"/>
  <c r="D2179" i="6"/>
  <c r="D2192" i="6" s="1"/>
  <c r="F2179" i="6"/>
  <c r="F2192" i="6" s="1"/>
  <c r="D2203" i="6"/>
  <c r="E2179" i="6"/>
  <c r="E2192" i="6" s="1"/>
  <c r="D2204" i="6"/>
  <c r="J2197" i="6"/>
  <c r="E2224" i="6"/>
  <c r="J2243" i="6"/>
  <c r="E2225" i="6"/>
  <c r="E2238" i="6" s="1"/>
  <c r="I2224" i="6"/>
  <c r="M2224" i="6"/>
  <c r="H2225" i="6"/>
  <c r="H2238" i="6" s="1"/>
  <c r="M2225" i="6"/>
  <c r="M2238" i="6" s="1"/>
  <c r="L2224" i="6"/>
  <c r="L2225" i="6"/>
  <c r="L2238" i="6" s="1"/>
  <c r="K2224" i="6"/>
  <c r="D2250" i="6"/>
  <c r="K2225" i="6"/>
  <c r="K2238" i="6" s="1"/>
  <c r="D2249" i="6"/>
  <c r="J2224" i="6"/>
  <c r="J2225" i="6"/>
  <c r="J2238" i="6" s="1"/>
  <c r="I2225" i="6"/>
  <c r="I2238" i="6" s="1"/>
  <c r="H2224" i="6"/>
  <c r="H2229" i="6" s="1"/>
  <c r="G2224" i="6"/>
  <c r="G2225" i="6"/>
  <c r="G2238" i="6" s="1"/>
  <c r="F2224" i="6"/>
  <c r="F2225" i="6"/>
  <c r="F2238" i="6" s="1"/>
  <c r="L2270" i="6"/>
  <c r="M2271" i="6"/>
  <c r="M2284" i="6" s="1"/>
  <c r="J2289" i="6"/>
  <c r="M2270" i="6"/>
  <c r="M2275" i="6" s="1"/>
  <c r="H2270" i="6"/>
  <c r="D2295" i="6"/>
  <c r="D2296" i="6"/>
  <c r="G2270" i="6"/>
  <c r="E2270" i="6"/>
  <c r="E2271" i="6"/>
  <c r="E2284" i="6" s="1"/>
  <c r="F2271" i="6"/>
  <c r="F2284" i="6" s="1"/>
  <c r="F2270" i="6"/>
  <c r="F2275" i="6" s="1"/>
  <c r="G2271" i="6"/>
  <c r="G2284" i="6" s="1"/>
  <c r="H2271" i="6"/>
  <c r="H2284" i="6" s="1"/>
  <c r="I2271" i="6"/>
  <c r="I2284" i="6" s="1"/>
  <c r="I2270" i="6"/>
  <c r="I2275" i="6" s="1"/>
  <c r="J2271" i="6"/>
  <c r="J2284" i="6" s="1"/>
  <c r="J2270" i="6"/>
  <c r="J2275" i="6" s="1"/>
  <c r="L2271" i="6"/>
  <c r="L2284" i="6" s="1"/>
  <c r="K2271" i="6"/>
  <c r="K2284" i="6" s="1"/>
  <c r="K2270" i="6"/>
  <c r="K2275" i="6" s="1"/>
  <c r="G2316" i="6"/>
  <c r="G2317" i="6"/>
  <c r="G2330" i="6" s="1"/>
  <c r="K2316" i="6"/>
  <c r="K2317" i="6"/>
  <c r="K2330" i="6" s="1"/>
  <c r="F2316" i="6"/>
  <c r="F2317" i="6"/>
  <c r="F2330" i="6" s="1"/>
  <c r="E2317" i="6"/>
  <c r="E2330" i="6" s="1"/>
  <c r="D2341" i="6"/>
  <c r="J2335" i="6"/>
  <c r="M2316" i="6"/>
  <c r="M2317" i="6"/>
  <c r="M2330" i="6" s="1"/>
  <c r="L2316" i="6"/>
  <c r="E2316" i="6"/>
  <c r="E2321" i="6" s="1"/>
  <c r="J2316" i="6"/>
  <c r="J2317" i="6"/>
  <c r="J2330" i="6" s="1"/>
  <c r="D2342" i="6"/>
  <c r="I2316" i="6"/>
  <c r="L2317" i="6"/>
  <c r="L2330" i="6" s="1"/>
  <c r="I2317" i="6"/>
  <c r="I2330" i="6" s="1"/>
  <c r="H2316" i="6"/>
  <c r="H2317" i="6"/>
  <c r="H2330" i="6" s="1"/>
  <c r="E2362" i="6"/>
  <c r="E2363" i="6"/>
  <c r="E2376" i="6" s="1"/>
  <c r="J2381" i="6"/>
  <c r="D2387" i="6"/>
  <c r="D2388" i="6"/>
  <c r="M2362" i="6"/>
  <c r="M2363" i="6"/>
  <c r="M2376" i="6" s="1"/>
  <c r="L2362" i="6"/>
  <c r="L2363" i="6"/>
  <c r="L2376" i="6" s="1"/>
  <c r="K2362" i="6"/>
  <c r="K2363" i="6"/>
  <c r="K2376" i="6" s="1"/>
  <c r="J2362" i="6"/>
  <c r="J2363" i="6"/>
  <c r="J2376" i="6" s="1"/>
  <c r="I2362" i="6"/>
  <c r="I2363" i="6"/>
  <c r="I2376" i="6" s="1"/>
  <c r="H2362" i="6"/>
  <c r="H2363" i="6"/>
  <c r="H2376" i="6" s="1"/>
  <c r="G2362" i="6"/>
  <c r="G2363" i="6"/>
  <c r="G2376" i="6" s="1"/>
  <c r="F2362" i="6"/>
  <c r="F2363" i="6"/>
  <c r="F2376" i="6" s="1"/>
  <c r="K2408" i="6"/>
  <c r="E2408" i="6"/>
  <c r="F2409" i="6"/>
  <c r="F2422" i="6" s="1"/>
  <c r="L2409" i="6"/>
  <c r="L2422" i="6" s="1"/>
  <c r="F2408" i="6"/>
  <c r="F2413" i="6" s="1"/>
  <c r="K2409" i="6"/>
  <c r="K2422" i="6" s="1"/>
  <c r="G2409" i="6"/>
  <c r="G2422" i="6" s="1"/>
  <c r="E2409" i="6"/>
  <c r="E2422" i="6" s="1"/>
  <c r="G2408" i="6"/>
  <c r="G2413" i="6" s="1"/>
  <c r="H2409" i="6"/>
  <c r="H2422" i="6" s="1"/>
  <c r="J2427" i="6"/>
  <c r="H2408" i="6"/>
  <c r="H2413" i="6" s="1"/>
  <c r="I2409" i="6"/>
  <c r="I2422" i="6" s="1"/>
  <c r="I2408" i="6"/>
  <c r="I2413" i="6" s="1"/>
  <c r="J2408" i="6"/>
  <c r="M2408" i="6"/>
  <c r="D2433" i="6"/>
  <c r="M2409" i="6"/>
  <c r="M2422" i="6" s="1"/>
  <c r="L2408" i="6"/>
  <c r="L2413" i="6" s="1"/>
  <c r="D2434" i="6"/>
  <c r="J2409" i="6"/>
  <c r="J2422" i="6" s="1"/>
  <c r="J2454" i="6"/>
  <c r="K2455" i="6"/>
  <c r="K2468" i="6" s="1"/>
  <c r="M2455" i="6"/>
  <c r="M2468" i="6" s="1"/>
  <c r="D2480" i="6"/>
  <c r="I2455" i="6"/>
  <c r="I2468" i="6" s="1"/>
  <c r="H2454" i="6"/>
  <c r="H2455" i="6"/>
  <c r="H2468" i="6" s="1"/>
  <c r="M2454" i="6"/>
  <c r="M2459" i="6" s="1"/>
  <c r="L2455" i="6"/>
  <c r="L2468" i="6" s="1"/>
  <c r="G2455" i="6"/>
  <c r="G2468" i="6" s="1"/>
  <c r="K2454" i="6"/>
  <c r="K2459" i="6" s="1"/>
  <c r="J2455" i="6"/>
  <c r="J2468" i="6" s="1"/>
  <c r="F2455" i="6"/>
  <c r="F2468" i="6" s="1"/>
  <c r="E2454" i="6"/>
  <c r="E2455" i="6"/>
  <c r="E2468" i="6" s="1"/>
  <c r="L2454" i="6"/>
  <c r="L2459" i="6" s="1"/>
  <c r="I2454" i="6"/>
  <c r="I2459" i="6" s="1"/>
  <c r="G2454" i="6"/>
  <c r="G2459" i="6" s="1"/>
  <c r="D2479" i="6"/>
  <c r="J2473" i="6"/>
  <c r="F2454" i="6"/>
  <c r="F2459" i="6" s="1"/>
  <c r="J1259" i="6"/>
  <c r="J1272" i="6" s="1"/>
  <c r="J1277" i="6"/>
  <c r="G1258" i="6"/>
  <c r="H1259" i="6"/>
  <c r="H1272" i="6" s="1"/>
  <c r="H1258" i="6"/>
  <c r="H1263" i="6" s="1"/>
  <c r="I1259" i="6"/>
  <c r="I1272" i="6" s="1"/>
  <c r="I1258" i="6"/>
  <c r="I1263" i="6" s="1"/>
  <c r="K1259" i="6"/>
  <c r="K1272" i="6" s="1"/>
  <c r="K1258" i="6"/>
  <c r="K1263" i="6" s="1"/>
  <c r="L1259" i="6"/>
  <c r="L1272" i="6" s="1"/>
  <c r="L1258" i="6"/>
  <c r="L1263" i="6" s="1"/>
  <c r="M1259" i="6"/>
  <c r="M1272" i="6" s="1"/>
  <c r="M1258" i="6"/>
  <c r="M1263" i="6" s="1"/>
  <c r="J1258" i="6"/>
  <c r="J1263" i="6" s="1"/>
  <c r="D1283" i="6"/>
  <c r="D1284" i="6"/>
  <c r="G1259" i="6"/>
  <c r="G1272" i="6" s="1"/>
  <c r="E1259" i="6"/>
  <c r="E1272" i="6" s="1"/>
  <c r="E1258" i="6"/>
  <c r="E1263" i="6" s="1"/>
  <c r="F1259" i="6"/>
  <c r="F1272" i="6" s="1"/>
  <c r="F1258" i="6"/>
  <c r="F1263" i="6" s="1"/>
  <c r="J1875" i="6"/>
  <c r="D1881" i="6"/>
  <c r="L1857" i="6"/>
  <c r="L1870" i="6" s="1"/>
  <c r="I1857" i="6"/>
  <c r="I1870" i="6" s="1"/>
  <c r="H1856" i="6"/>
  <c r="D1882" i="6"/>
  <c r="I1856" i="6"/>
  <c r="I1861" i="6" s="1"/>
  <c r="J1857" i="6"/>
  <c r="J1870" i="6" s="1"/>
  <c r="H1857" i="6"/>
  <c r="H1870" i="6" s="1"/>
  <c r="G1856" i="6"/>
  <c r="G1861" i="6" s="1"/>
  <c r="G1857" i="6"/>
  <c r="G1870" i="6" s="1"/>
  <c r="F1856" i="6"/>
  <c r="F1857" i="6"/>
  <c r="F1870" i="6" s="1"/>
  <c r="E1857" i="6"/>
  <c r="E1870" i="6" s="1"/>
  <c r="E1856" i="6"/>
  <c r="E1861" i="6" s="1"/>
  <c r="L1856" i="6"/>
  <c r="L1861" i="6" s="1"/>
  <c r="M1856" i="6"/>
  <c r="M1861" i="6" s="1"/>
  <c r="M1857" i="6"/>
  <c r="M1870" i="6" s="1"/>
  <c r="J1856" i="6"/>
  <c r="J1861" i="6" s="1"/>
  <c r="K1857" i="6"/>
  <c r="K1870" i="6" s="1"/>
  <c r="K1856" i="6"/>
  <c r="K1861" i="6" s="1"/>
  <c r="K1994" i="6"/>
  <c r="L1995" i="6"/>
  <c r="L2008" i="6" s="1"/>
  <c r="G1994" i="6"/>
  <c r="L1994" i="6"/>
  <c r="L1999" i="6" s="1"/>
  <c r="G1995" i="6"/>
  <c r="G2008" i="6" s="1"/>
  <c r="J2013" i="6"/>
  <c r="H1995" i="6"/>
  <c r="H2008" i="6" s="1"/>
  <c r="H1994" i="6"/>
  <c r="H1999" i="6" s="1"/>
  <c r="I1995" i="6"/>
  <c r="I2008" i="6" s="1"/>
  <c r="M1995" i="6"/>
  <c r="M2008" i="6" s="1"/>
  <c r="M1994" i="6"/>
  <c r="M1999" i="6" s="1"/>
  <c r="F1995" i="6"/>
  <c r="F2008" i="6" s="1"/>
  <c r="E1994" i="6"/>
  <c r="E1995" i="6"/>
  <c r="E2008" i="6" s="1"/>
  <c r="I1994" i="6"/>
  <c r="I1999" i="6" s="1"/>
  <c r="D2020" i="6"/>
  <c r="J1995" i="6"/>
  <c r="J2008" i="6" s="1"/>
  <c r="J1994" i="6"/>
  <c r="J1999" i="6" s="1"/>
  <c r="D2019" i="6"/>
  <c r="K1995" i="6"/>
  <c r="K2008" i="6" s="1"/>
  <c r="F1994" i="6"/>
  <c r="F1999" i="6" s="1"/>
  <c r="G2500" i="6"/>
  <c r="H2501" i="6"/>
  <c r="H2514" i="6" s="1"/>
  <c r="H2500" i="6"/>
  <c r="H2505" i="6" s="1"/>
  <c r="I2501" i="6"/>
  <c r="I2514" i="6" s="1"/>
  <c r="I2500" i="6"/>
  <c r="I2505" i="6" s="1"/>
  <c r="J2500" i="6"/>
  <c r="K2501" i="6"/>
  <c r="K2514" i="6" s="1"/>
  <c r="K2500" i="6"/>
  <c r="K2505" i="6" s="1"/>
  <c r="D2525" i="6"/>
  <c r="L2501" i="6"/>
  <c r="L2514" i="6" s="1"/>
  <c r="D2526" i="6"/>
  <c r="J2519" i="6"/>
  <c r="G2501" i="6"/>
  <c r="G2514" i="6" s="1"/>
  <c r="L2500" i="6"/>
  <c r="L2505" i="6" s="1"/>
  <c r="M2501" i="6"/>
  <c r="M2514" i="6" s="1"/>
  <c r="J2501" i="6"/>
  <c r="J2514" i="6" s="1"/>
  <c r="E2501" i="6"/>
  <c r="E2514" i="6" s="1"/>
  <c r="E2500" i="6"/>
  <c r="E2505" i="6" s="1"/>
  <c r="F2501" i="6"/>
  <c r="F2514" i="6" s="1"/>
  <c r="M2500" i="6"/>
  <c r="M2505" i="6" s="1"/>
  <c r="F2500" i="6"/>
  <c r="F2505" i="6" s="1"/>
  <c r="L2547" i="6"/>
  <c r="L2560" i="6" s="1"/>
  <c r="M2547" i="6"/>
  <c r="M2560" i="6" s="1"/>
  <c r="M2546" i="6"/>
  <c r="M2551" i="6" s="1"/>
  <c r="L2546" i="6"/>
  <c r="L2551" i="6" s="1"/>
  <c r="D2571" i="6"/>
  <c r="J2565" i="6"/>
  <c r="D2572" i="6"/>
  <c r="E2547" i="6"/>
  <c r="E2560" i="6" s="1"/>
  <c r="E2546" i="6"/>
  <c r="E2551" i="6" s="1"/>
  <c r="F2547" i="6"/>
  <c r="F2560" i="6" s="1"/>
  <c r="F2546" i="6"/>
  <c r="F2551" i="6" s="1"/>
  <c r="G2547" i="6"/>
  <c r="G2560" i="6" s="1"/>
  <c r="G2546" i="6"/>
  <c r="G2551" i="6" s="1"/>
  <c r="H2547" i="6"/>
  <c r="H2560" i="6" s="1"/>
  <c r="H2546" i="6"/>
  <c r="H2551" i="6" s="1"/>
  <c r="I2547" i="6"/>
  <c r="I2560" i="6" s="1"/>
  <c r="I2546" i="6"/>
  <c r="I2551" i="6" s="1"/>
  <c r="J2547" i="6"/>
  <c r="J2560" i="6" s="1"/>
  <c r="J2546" i="6"/>
  <c r="J2551" i="6" s="1"/>
  <c r="K2547" i="6"/>
  <c r="K2560" i="6" s="1"/>
  <c r="K2546" i="6"/>
  <c r="K2551" i="6" s="1"/>
  <c r="G2592" i="6"/>
  <c r="E2593" i="6"/>
  <c r="E2606" i="6" s="1"/>
  <c r="D2618" i="6"/>
  <c r="D2617" i="6"/>
  <c r="F2592" i="6"/>
  <c r="J2592" i="6"/>
  <c r="J2593" i="6"/>
  <c r="J2606" i="6" s="1"/>
  <c r="G2593" i="6"/>
  <c r="G2606" i="6" s="1"/>
  <c r="H2593" i="6"/>
  <c r="H2606" i="6" s="1"/>
  <c r="H2592" i="6"/>
  <c r="H2597" i="6" s="1"/>
  <c r="I2593" i="6"/>
  <c r="I2606" i="6" s="1"/>
  <c r="J2611" i="6"/>
  <c r="I2592" i="6"/>
  <c r="I2597" i="6" s="1"/>
  <c r="M2593" i="6"/>
  <c r="M2606" i="6" s="1"/>
  <c r="K2593" i="6"/>
  <c r="K2606" i="6" s="1"/>
  <c r="K2592" i="6"/>
  <c r="K2597" i="6" s="1"/>
  <c r="L2593" i="6"/>
  <c r="L2606" i="6" s="1"/>
  <c r="L2592" i="6"/>
  <c r="L2597" i="6" s="1"/>
  <c r="F2593" i="6"/>
  <c r="F2606" i="6" s="1"/>
  <c r="M2592" i="6"/>
  <c r="M2597" i="6" s="1"/>
  <c r="E2592" i="6"/>
  <c r="E2597" i="6" s="1"/>
  <c r="D2663" i="6"/>
  <c r="F2638" i="6"/>
  <c r="J2657" i="6"/>
  <c r="M2638" i="6"/>
  <c r="D2664" i="6"/>
  <c r="M2639" i="6"/>
  <c r="M2652" i="6" s="1"/>
  <c r="L2638" i="6"/>
  <c r="E2639" i="6"/>
  <c r="E2652" i="6" s="1"/>
  <c r="E2638" i="6"/>
  <c r="E2643" i="6" s="1"/>
  <c r="F2639" i="6"/>
  <c r="F2652" i="6" s="1"/>
  <c r="L2639" i="6"/>
  <c r="L2652" i="6" s="1"/>
  <c r="G2638" i="6"/>
  <c r="H2639" i="6"/>
  <c r="H2652" i="6" s="1"/>
  <c r="H2638" i="6"/>
  <c r="H2643" i="6" s="1"/>
  <c r="I2639" i="6"/>
  <c r="I2652" i="6" s="1"/>
  <c r="G2639" i="6"/>
  <c r="G2652" i="6" s="1"/>
  <c r="J2639" i="6"/>
  <c r="J2652" i="6" s="1"/>
  <c r="J2638" i="6"/>
  <c r="J2643" i="6" s="1"/>
  <c r="K2639" i="6"/>
  <c r="K2652" i="6" s="1"/>
  <c r="K2638" i="6"/>
  <c r="K2643" i="6" s="1"/>
  <c r="I2638" i="6"/>
  <c r="I2643" i="6" s="1"/>
  <c r="F2685" i="6"/>
  <c r="F2698" i="6" s="1"/>
  <c r="F2684" i="6"/>
  <c r="F2689" i="6" s="1"/>
  <c r="G2685" i="6"/>
  <c r="G2698" i="6" s="1"/>
  <c r="G2684" i="6"/>
  <c r="G2689" i="6" s="1"/>
  <c r="D2710" i="6"/>
  <c r="J2703" i="6"/>
  <c r="H2685" i="6"/>
  <c r="H2698" i="6" s="1"/>
  <c r="D2709" i="6"/>
  <c r="H2684" i="6"/>
  <c r="H2689" i="6" s="1"/>
  <c r="I2685" i="6"/>
  <c r="I2698" i="6" s="1"/>
  <c r="K2685" i="6"/>
  <c r="K2698" i="6" s="1"/>
  <c r="M2684" i="6"/>
  <c r="M2685" i="6"/>
  <c r="M2698" i="6" s="1"/>
  <c r="I2684" i="6"/>
  <c r="I2689" i="6" s="1"/>
  <c r="J2685" i="6"/>
  <c r="J2698" i="6" s="1"/>
  <c r="J2684" i="6"/>
  <c r="J2689" i="6" s="1"/>
  <c r="L2685" i="6"/>
  <c r="L2698" i="6" s="1"/>
  <c r="K2684" i="6"/>
  <c r="K2689" i="6" s="1"/>
  <c r="L2684" i="6"/>
  <c r="L2689" i="6" s="1"/>
  <c r="E2685" i="6"/>
  <c r="E2698" i="6" s="1"/>
  <c r="E2684" i="6"/>
  <c r="E2689" i="6" s="1"/>
  <c r="G2731" i="6"/>
  <c r="G2744" i="6" s="1"/>
  <c r="G2730" i="6"/>
  <c r="G2735" i="6" s="1"/>
  <c r="I2730" i="6"/>
  <c r="D2755" i="6"/>
  <c r="J2731" i="6"/>
  <c r="J2744" i="6" s="1"/>
  <c r="H2731" i="6"/>
  <c r="H2744" i="6" s="1"/>
  <c r="D2756" i="6"/>
  <c r="E2731" i="6"/>
  <c r="E2744" i="6" s="1"/>
  <c r="J2730" i="6"/>
  <c r="J2735" i="6" s="1"/>
  <c r="F2730" i="6"/>
  <c r="K2731" i="6"/>
  <c r="K2744" i="6" s="1"/>
  <c r="F2731" i="6"/>
  <c r="F2744" i="6" s="1"/>
  <c r="E2730" i="6"/>
  <c r="E2735" i="6" s="1"/>
  <c r="K2730" i="6"/>
  <c r="K2735" i="6" s="1"/>
  <c r="J2749" i="6"/>
  <c r="H2730" i="6"/>
  <c r="H2735" i="6" s="1"/>
  <c r="I2731" i="6"/>
  <c r="I2744" i="6" s="1"/>
  <c r="L2731" i="6"/>
  <c r="L2744" i="6" s="1"/>
  <c r="L2730" i="6"/>
  <c r="L2735" i="6" s="1"/>
  <c r="M2730" i="6"/>
  <c r="M2735" i="6" s="1"/>
  <c r="M2731" i="6"/>
  <c r="M2744" i="6" s="1"/>
  <c r="F2777" i="6"/>
  <c r="F2790" i="6" s="1"/>
  <c r="G2776" i="6"/>
  <c r="M2776" i="6"/>
  <c r="M2777" i="6"/>
  <c r="M2790" i="6" s="1"/>
  <c r="D2802" i="6"/>
  <c r="L2776" i="6"/>
  <c r="L2777" i="6"/>
  <c r="L2790" i="6" s="1"/>
  <c r="J2795" i="6"/>
  <c r="K2777" i="6"/>
  <c r="K2790" i="6" s="1"/>
  <c r="J2776" i="6"/>
  <c r="J2777" i="6"/>
  <c r="J2790" i="6" s="1"/>
  <c r="I2776" i="6"/>
  <c r="I2781" i="6" s="1"/>
  <c r="I2777" i="6"/>
  <c r="I2790" i="6" s="1"/>
  <c r="G2777" i="6"/>
  <c r="G2790" i="6" s="1"/>
  <c r="H2776" i="6"/>
  <c r="H2777" i="6"/>
  <c r="H2790" i="6" s="1"/>
  <c r="F2776" i="6"/>
  <c r="F2781" i="6" s="1"/>
  <c r="E2776" i="6"/>
  <c r="E2777" i="6"/>
  <c r="E2790" i="6" s="1"/>
  <c r="D2801" i="6"/>
  <c r="K2776" i="6"/>
  <c r="K2781" i="6" s="1"/>
  <c r="D3697" i="6"/>
  <c r="D3710" i="6" s="1"/>
  <c r="K3697" i="6"/>
  <c r="K3710" i="6" s="1"/>
  <c r="F3696" i="6"/>
  <c r="G3697" i="6"/>
  <c r="G3710" i="6" s="1"/>
  <c r="G3696" i="6"/>
  <c r="G3701" i="6" s="1"/>
  <c r="H3697" i="6"/>
  <c r="H3710" i="6" s="1"/>
  <c r="M3696" i="6"/>
  <c r="I3696" i="6"/>
  <c r="D3721" i="6"/>
  <c r="D3696" i="6"/>
  <c r="D3701" i="6" s="1"/>
  <c r="M3697" i="6"/>
  <c r="M3710" i="6" s="1"/>
  <c r="K3696" i="6"/>
  <c r="K3701" i="6" s="1"/>
  <c r="L3696" i="6"/>
  <c r="J3697" i="6"/>
  <c r="J3710" i="6" s="1"/>
  <c r="L3697" i="6"/>
  <c r="L3710" i="6" s="1"/>
  <c r="J3715" i="6"/>
  <c r="D3722" i="6"/>
  <c r="J3696" i="6"/>
  <c r="J3701" i="6" s="1"/>
  <c r="E3697" i="6"/>
  <c r="E3710" i="6" s="1"/>
  <c r="I3697" i="6"/>
  <c r="I3710" i="6" s="1"/>
  <c r="E3696" i="6"/>
  <c r="E3701" i="6" s="1"/>
  <c r="H3696" i="6"/>
  <c r="H3701" i="6" s="1"/>
  <c r="F3697" i="6"/>
  <c r="F3710" i="6" s="1"/>
  <c r="J2868" i="6"/>
  <c r="J2887" i="6"/>
  <c r="I2868" i="6"/>
  <c r="M2869" i="6"/>
  <c r="M2882" i="6" s="1"/>
  <c r="D2894" i="6"/>
  <c r="J2869" i="6"/>
  <c r="J2882" i="6" s="1"/>
  <c r="E2869" i="6"/>
  <c r="E2882" i="6" s="1"/>
  <c r="M2868" i="6"/>
  <c r="M2873" i="6" s="1"/>
  <c r="E2868" i="6"/>
  <c r="E2873" i="6" s="1"/>
  <c r="F2868" i="6"/>
  <c r="G2869" i="6"/>
  <c r="G2882" i="6" s="1"/>
  <c r="G2868" i="6"/>
  <c r="G2873" i="6" s="1"/>
  <c r="D2893" i="6"/>
  <c r="F2869" i="6"/>
  <c r="F2882" i="6" s="1"/>
  <c r="L2869" i="6"/>
  <c r="L2882" i="6" s="1"/>
  <c r="H2869" i="6"/>
  <c r="H2882" i="6" s="1"/>
  <c r="K2869" i="6"/>
  <c r="K2882" i="6" s="1"/>
  <c r="K2868" i="6"/>
  <c r="K2873" i="6" s="1"/>
  <c r="H2868" i="6"/>
  <c r="H2873" i="6" s="1"/>
  <c r="I2869" i="6"/>
  <c r="I2882" i="6" s="1"/>
  <c r="L2868" i="6"/>
  <c r="L2873" i="6" s="1"/>
  <c r="D4019" i="6"/>
  <c r="D4032" i="6" s="1"/>
  <c r="G4019" i="6"/>
  <c r="G4032" i="6" s="1"/>
  <c r="D4018" i="6"/>
  <c r="D4023" i="6" s="1"/>
  <c r="H4018" i="6"/>
  <c r="I4018" i="6"/>
  <c r="J4018" i="6"/>
  <c r="J4037" i="6"/>
  <c r="M4018" i="6"/>
  <c r="J4019" i="6"/>
  <c r="J4032" i="6" s="1"/>
  <c r="I4019" i="6"/>
  <c r="I4032" i="6" s="1"/>
  <c r="F4018" i="6"/>
  <c r="F4019" i="6"/>
  <c r="F4032" i="6" s="1"/>
  <c r="D4044" i="6"/>
  <c r="E4018" i="6"/>
  <c r="E4019" i="6"/>
  <c r="E4032" i="6" s="1"/>
  <c r="K4019" i="6"/>
  <c r="K4032" i="6" s="1"/>
  <c r="H4019" i="6"/>
  <c r="H4032" i="6" s="1"/>
  <c r="G4018" i="6"/>
  <c r="G4023" i="6" s="1"/>
  <c r="K4018" i="6"/>
  <c r="K4023" i="6" s="1"/>
  <c r="L4019" i="6"/>
  <c r="L4032" i="6" s="1"/>
  <c r="D4043" i="6"/>
  <c r="M4019" i="6"/>
  <c r="M4032" i="6" s="1"/>
  <c r="L4018" i="6"/>
  <c r="L4023" i="6" s="1"/>
  <c r="H3236" i="6"/>
  <c r="E3237" i="6"/>
  <c r="E3250" i="6" s="1"/>
  <c r="J3236" i="6"/>
  <c r="G3236" i="6"/>
  <c r="K3236" i="6"/>
  <c r="D3261" i="6"/>
  <c r="K3237" i="6"/>
  <c r="K3250" i="6" s="1"/>
  <c r="G3237" i="6"/>
  <c r="G3250" i="6" s="1"/>
  <c r="I3237" i="6"/>
  <c r="I3250" i="6" s="1"/>
  <c r="I3236" i="6"/>
  <c r="I3241" i="6" s="1"/>
  <c r="L3237" i="6"/>
  <c r="L3250" i="6" s="1"/>
  <c r="D3262" i="6"/>
  <c r="F3237" i="6"/>
  <c r="F3250" i="6" s="1"/>
  <c r="L3236" i="6"/>
  <c r="L3241" i="6" s="1"/>
  <c r="M3237" i="6"/>
  <c r="M3250" i="6" s="1"/>
  <c r="F3236" i="6"/>
  <c r="J3237" i="6"/>
  <c r="J3250" i="6" s="1"/>
  <c r="H3237" i="6"/>
  <c r="H3250" i="6" s="1"/>
  <c r="M3236" i="6"/>
  <c r="M3241" i="6" s="1"/>
  <c r="J3255" i="6"/>
  <c r="E3236" i="6"/>
  <c r="J3881" i="6"/>
  <c r="J3894" i="6" s="1"/>
  <c r="G3880" i="6"/>
  <c r="E3881" i="6"/>
  <c r="E3894" i="6" s="1"/>
  <c r="E3880" i="6"/>
  <c r="E3885" i="6" s="1"/>
  <c r="K3881" i="6"/>
  <c r="K3894" i="6" s="1"/>
  <c r="M3880" i="6"/>
  <c r="L3880" i="6"/>
  <c r="H3881" i="6"/>
  <c r="H3894" i="6" s="1"/>
  <c r="J3880" i="6"/>
  <c r="J3885" i="6" s="1"/>
  <c r="D3906" i="6"/>
  <c r="H3880" i="6"/>
  <c r="H3885" i="6" s="1"/>
  <c r="M3881" i="6"/>
  <c r="M3894" i="6" s="1"/>
  <c r="L3881" i="6"/>
  <c r="L3894" i="6" s="1"/>
  <c r="J3899" i="6"/>
  <c r="I3880" i="6"/>
  <c r="G3881" i="6"/>
  <c r="G3894" i="6" s="1"/>
  <c r="F3880" i="6"/>
  <c r="F3881" i="6"/>
  <c r="F3894" i="6" s="1"/>
  <c r="K3880" i="6"/>
  <c r="K3885" i="6" s="1"/>
  <c r="D3905" i="6"/>
  <c r="I3881" i="6"/>
  <c r="I3894" i="6" s="1"/>
  <c r="F4065" i="6"/>
  <c r="F4078" i="6" s="1"/>
  <c r="D4090" i="6"/>
  <c r="K4064" i="6"/>
  <c r="J4083" i="6"/>
  <c r="L4065" i="6"/>
  <c r="L4078" i="6" s="1"/>
  <c r="H4065" i="6"/>
  <c r="H4078" i="6" s="1"/>
  <c r="J4065" i="6"/>
  <c r="J4078" i="6" s="1"/>
  <c r="M4064" i="6"/>
  <c r="L4064" i="6"/>
  <c r="L4069" i="6" s="1"/>
  <c r="I4065" i="6"/>
  <c r="I4078" i="6" s="1"/>
  <c r="F4064" i="6"/>
  <c r="F4069" i="6" s="1"/>
  <c r="J4064" i="6"/>
  <c r="J4069" i="6" s="1"/>
  <c r="I4064" i="6"/>
  <c r="I4069" i="6" s="1"/>
  <c r="H4064" i="6"/>
  <c r="H4069" i="6" s="1"/>
  <c r="K4065" i="6"/>
  <c r="K4078" i="6" s="1"/>
  <c r="E4064" i="6"/>
  <c r="G4065" i="6"/>
  <c r="G4078" i="6" s="1"/>
  <c r="M4065" i="6"/>
  <c r="M4078" i="6" s="1"/>
  <c r="E4065" i="6"/>
  <c r="E4078" i="6" s="1"/>
  <c r="G4064" i="6"/>
  <c r="G4069" i="6" s="1"/>
  <c r="D4089" i="6"/>
  <c r="E4110" i="6"/>
  <c r="D4135" i="6"/>
  <c r="K4111" i="6"/>
  <c r="K4124" i="6" s="1"/>
  <c r="G4111" i="6"/>
  <c r="G4124" i="6" s="1"/>
  <c r="G4110" i="6"/>
  <c r="G4115" i="6" s="1"/>
  <c r="F4111" i="6"/>
  <c r="F4124" i="6" s="1"/>
  <c r="J4111" i="6"/>
  <c r="J4124" i="6" s="1"/>
  <c r="L4111" i="6"/>
  <c r="L4124" i="6" s="1"/>
  <c r="J4129" i="6"/>
  <c r="L4110" i="6"/>
  <c r="L4115" i="6" s="1"/>
  <c r="K4110" i="6"/>
  <c r="K4115" i="6" s="1"/>
  <c r="J4110" i="6"/>
  <c r="J4115" i="6" s="1"/>
  <c r="H4110" i="6"/>
  <c r="I4110" i="6"/>
  <c r="D4136" i="6"/>
  <c r="H4111" i="6"/>
  <c r="H4124" i="6" s="1"/>
  <c r="M4110" i="6"/>
  <c r="E4111" i="6"/>
  <c r="E4124" i="6" s="1"/>
  <c r="F4110" i="6"/>
  <c r="F4115" i="6" s="1"/>
  <c r="I4111" i="6"/>
  <c r="I4124" i="6" s="1"/>
  <c r="M4111" i="6"/>
  <c r="M4124" i="6" s="1"/>
  <c r="E4156" i="6"/>
  <c r="M4156" i="6"/>
  <c r="L4156" i="6"/>
  <c r="H4157" i="6"/>
  <c r="H4170" i="6" s="1"/>
  <c r="G4156" i="6"/>
  <c r="F4156" i="6"/>
  <c r="D4181" i="6"/>
  <c r="I4156" i="6"/>
  <c r="H4156" i="6"/>
  <c r="H4161" i="6" s="1"/>
  <c r="G4157" i="6"/>
  <c r="G4170" i="6" s="1"/>
  <c r="I4157" i="6"/>
  <c r="I4170" i="6" s="1"/>
  <c r="E4157" i="6"/>
  <c r="E4170" i="6" s="1"/>
  <c r="J4156" i="6"/>
  <c r="M4157" i="6"/>
  <c r="M4170" i="6" s="1"/>
  <c r="K4156" i="6"/>
  <c r="K4157" i="6"/>
  <c r="K4170" i="6" s="1"/>
  <c r="J4157" i="6"/>
  <c r="J4170" i="6" s="1"/>
  <c r="D4182" i="6"/>
  <c r="J4175" i="6"/>
  <c r="L4157" i="6"/>
  <c r="L4170" i="6" s="1"/>
  <c r="F4157" i="6"/>
  <c r="F4170" i="6" s="1"/>
  <c r="L4202" i="6"/>
  <c r="D4228" i="6"/>
  <c r="E4203" i="6"/>
  <c r="E4216" i="6" s="1"/>
  <c r="H4202" i="6"/>
  <c r="I4203" i="6"/>
  <c r="I4216" i="6" s="1"/>
  <c r="J4202" i="6"/>
  <c r="M4202" i="6"/>
  <c r="L4203" i="6"/>
  <c r="L4216" i="6" s="1"/>
  <c r="G4203" i="6"/>
  <c r="G4216" i="6" s="1"/>
  <c r="F4203" i="6"/>
  <c r="F4216" i="6" s="1"/>
  <c r="K4203" i="6"/>
  <c r="K4216" i="6" s="1"/>
  <c r="J4203" i="6"/>
  <c r="J4216" i="6" s="1"/>
  <c r="H4203" i="6"/>
  <c r="H4216" i="6" s="1"/>
  <c r="M4203" i="6"/>
  <c r="M4216" i="6" s="1"/>
  <c r="I4202" i="6"/>
  <c r="I4207" i="6" s="1"/>
  <c r="F4202" i="6"/>
  <c r="F4207" i="6" s="1"/>
  <c r="G4202" i="6"/>
  <c r="G4207" i="6" s="1"/>
  <c r="E4202" i="6"/>
  <c r="E4207" i="6" s="1"/>
  <c r="J4221" i="6"/>
  <c r="D4227" i="6"/>
  <c r="K4202" i="6"/>
  <c r="K4207" i="6" s="1"/>
  <c r="H4248" i="6"/>
  <c r="K4249" i="6"/>
  <c r="K4262" i="6" s="1"/>
  <c r="G4248" i="6"/>
  <c r="I4248" i="6"/>
  <c r="L4249" i="6"/>
  <c r="L4262" i="6" s="1"/>
  <c r="H4249" i="6"/>
  <c r="H4262" i="6" s="1"/>
  <c r="G4249" i="6"/>
  <c r="G4262" i="6" s="1"/>
  <c r="J4267" i="6"/>
  <c r="D4274" i="6"/>
  <c r="E4249" i="6"/>
  <c r="E4262" i="6" s="1"/>
  <c r="K4248" i="6"/>
  <c r="K4253" i="6" s="1"/>
  <c r="F4249" i="6"/>
  <c r="F4262" i="6" s="1"/>
  <c r="F4248" i="6"/>
  <c r="F4253" i="6" s="1"/>
  <c r="E4248" i="6"/>
  <c r="E4253" i="6" s="1"/>
  <c r="D4273" i="6"/>
  <c r="L4248" i="6"/>
  <c r="L4253" i="6" s="1"/>
  <c r="J4248" i="6"/>
  <c r="M4248" i="6"/>
  <c r="I4249" i="6"/>
  <c r="I4262" i="6" s="1"/>
  <c r="J4249" i="6"/>
  <c r="J4262" i="6" s="1"/>
  <c r="M4249" i="6"/>
  <c r="M4262" i="6" s="1"/>
  <c r="M4295" i="6"/>
  <c r="M4308" i="6" s="1"/>
  <c r="I4295" i="6"/>
  <c r="I4308" i="6" s="1"/>
  <c r="J4294" i="6"/>
  <c r="K4295" i="6"/>
  <c r="K4308" i="6" s="1"/>
  <c r="G4295" i="6"/>
  <c r="G4308" i="6" s="1"/>
  <c r="J4313" i="6"/>
  <c r="H4294" i="6"/>
  <c r="I4294" i="6"/>
  <c r="I4299" i="6" s="1"/>
  <c r="L4295" i="6"/>
  <c r="L4308" i="6" s="1"/>
  <c r="E4294" i="6"/>
  <c r="J4295" i="6"/>
  <c r="J4308" i="6" s="1"/>
  <c r="D4319" i="6"/>
  <c r="H4295" i="6"/>
  <c r="H4308" i="6" s="1"/>
  <c r="F4294" i="6"/>
  <c r="F4295" i="6"/>
  <c r="F4308" i="6" s="1"/>
  <c r="E4295" i="6"/>
  <c r="E4308" i="6" s="1"/>
  <c r="M4294" i="6"/>
  <c r="M4299" i="6" s="1"/>
  <c r="K4294" i="6"/>
  <c r="K4299" i="6" s="1"/>
  <c r="D4320" i="6"/>
  <c r="L4294" i="6"/>
  <c r="L4299" i="6" s="1"/>
  <c r="G4294" i="6"/>
  <c r="G4299" i="6" s="1"/>
  <c r="D4341" i="6"/>
  <c r="D4354" i="6" s="1"/>
  <c r="M4341" i="6"/>
  <c r="M4354" i="6" s="1"/>
  <c r="D4366" i="6"/>
  <c r="E4340" i="6"/>
  <c r="J4359" i="6"/>
  <c r="D4340" i="6"/>
  <c r="D4345" i="6" s="1"/>
  <c r="M4340" i="6"/>
  <c r="M4345" i="6" s="1"/>
  <c r="I4340" i="6"/>
  <c r="L4341" i="6"/>
  <c r="L4354" i="6" s="1"/>
  <c r="H4340" i="6"/>
  <c r="D4365" i="6"/>
  <c r="H4341" i="6"/>
  <c r="H4354" i="6" s="1"/>
  <c r="F4341" i="6"/>
  <c r="F4354" i="6" s="1"/>
  <c r="F4340" i="6"/>
  <c r="F4345" i="6" s="1"/>
  <c r="G4341" i="6"/>
  <c r="G4354" i="6" s="1"/>
  <c r="G4340" i="6"/>
  <c r="G4345" i="6" s="1"/>
  <c r="J4341" i="6"/>
  <c r="J4354" i="6" s="1"/>
  <c r="L4340" i="6"/>
  <c r="L4345" i="6" s="1"/>
  <c r="I4341" i="6"/>
  <c r="I4354" i="6" s="1"/>
  <c r="J4340" i="6"/>
  <c r="J4345" i="6" s="1"/>
  <c r="K4340" i="6"/>
  <c r="E4341" i="6"/>
  <c r="E4354" i="6" s="1"/>
  <c r="K4341" i="6"/>
  <c r="K4354" i="6" s="1"/>
  <c r="L3559" i="6"/>
  <c r="L3572" i="6" s="1"/>
  <c r="L3558" i="6"/>
  <c r="L3563" i="6" s="1"/>
  <c r="F3558" i="6"/>
  <c r="M3559" i="6"/>
  <c r="M3572" i="6" s="1"/>
  <c r="J3577" i="6"/>
  <c r="G3558" i="6"/>
  <c r="M3558" i="6"/>
  <c r="M3563" i="6" s="1"/>
  <c r="H3559" i="6"/>
  <c r="H3572" i="6" s="1"/>
  <c r="E3558" i="6"/>
  <c r="D3584" i="6"/>
  <c r="H3558" i="6"/>
  <c r="H3563" i="6" s="1"/>
  <c r="G3559" i="6"/>
  <c r="G3572" i="6" s="1"/>
  <c r="J3559" i="6"/>
  <c r="J3572" i="6" s="1"/>
  <c r="I3559" i="6"/>
  <c r="I3572" i="6" s="1"/>
  <c r="I3558" i="6"/>
  <c r="I3563" i="6" s="1"/>
  <c r="E3559" i="6"/>
  <c r="E3572" i="6" s="1"/>
  <c r="F3559" i="6"/>
  <c r="F3572" i="6" s="1"/>
  <c r="J3558" i="6"/>
  <c r="J3563" i="6" s="1"/>
  <c r="K3559" i="6"/>
  <c r="K3572" i="6" s="1"/>
  <c r="D3583" i="6"/>
  <c r="K3558" i="6"/>
  <c r="K3563" i="6" s="1"/>
  <c r="L4433" i="6"/>
  <c r="L4446" i="6" s="1"/>
  <c r="M4432" i="6"/>
  <c r="F4432" i="6"/>
  <c r="I4433" i="6"/>
  <c r="I4446" i="6" s="1"/>
  <c r="I4432" i="6"/>
  <c r="I4437" i="6" s="1"/>
  <c r="K4433" i="6"/>
  <c r="K4446" i="6" s="1"/>
  <c r="D4457" i="6"/>
  <c r="J4451" i="6"/>
  <c r="J4433" i="6"/>
  <c r="J4446" i="6" s="1"/>
  <c r="M4433" i="6"/>
  <c r="M4446" i="6" s="1"/>
  <c r="L4432" i="6"/>
  <c r="L4437" i="6" s="1"/>
  <c r="K4432" i="6"/>
  <c r="K4437" i="6" s="1"/>
  <c r="H4433" i="6"/>
  <c r="H4446" i="6" s="1"/>
  <c r="G4432" i="6"/>
  <c r="G4433" i="6"/>
  <c r="G4446" i="6" s="1"/>
  <c r="E4433" i="6"/>
  <c r="E4446" i="6" s="1"/>
  <c r="F4433" i="6"/>
  <c r="F4446" i="6" s="1"/>
  <c r="D4458" i="6"/>
  <c r="H4432" i="6"/>
  <c r="H4437" i="6" s="1"/>
  <c r="J4432" i="6"/>
  <c r="J4437" i="6" s="1"/>
  <c r="E4432" i="6"/>
  <c r="E4437" i="6" s="1"/>
  <c r="G4479" i="6"/>
  <c r="G4492" i="6" s="1"/>
  <c r="D4503" i="6"/>
  <c r="J4478" i="6"/>
  <c r="K4479" i="6"/>
  <c r="K4492" i="6" s="1"/>
  <c r="K4478" i="6"/>
  <c r="K4483" i="6" s="1"/>
  <c r="M4479" i="6"/>
  <c r="M4492" i="6" s="1"/>
  <c r="J4497" i="6"/>
  <c r="D4504" i="6"/>
  <c r="E4478" i="6"/>
  <c r="I4479" i="6"/>
  <c r="I4492" i="6" s="1"/>
  <c r="F4479" i="6"/>
  <c r="F4492" i="6" s="1"/>
  <c r="G4478" i="6"/>
  <c r="H4479" i="6"/>
  <c r="H4492" i="6" s="1"/>
  <c r="H4478" i="6"/>
  <c r="H4483" i="6" s="1"/>
  <c r="E4479" i="6"/>
  <c r="E4492" i="6" s="1"/>
  <c r="F4478" i="6"/>
  <c r="F4483" i="6" s="1"/>
  <c r="L4479" i="6"/>
  <c r="L4492" i="6" s="1"/>
  <c r="M4478" i="6"/>
  <c r="L4478" i="6"/>
  <c r="L4483" i="6" s="1"/>
  <c r="J4479" i="6"/>
  <c r="J4492" i="6" s="1"/>
  <c r="I4478" i="6"/>
  <c r="I4483" i="6" s="1"/>
  <c r="L4524" i="6"/>
  <c r="M4524" i="6"/>
  <c r="G4524" i="6"/>
  <c r="D4550" i="6"/>
  <c r="D4549" i="6"/>
  <c r="K4524" i="6"/>
  <c r="I4524" i="6"/>
  <c r="J4524" i="6"/>
  <c r="H4524" i="6"/>
  <c r="L4525" i="6"/>
  <c r="L4538" i="6" s="1"/>
  <c r="J4525" i="6"/>
  <c r="J4538" i="6" s="1"/>
  <c r="K4525" i="6"/>
  <c r="K4538" i="6" s="1"/>
  <c r="E4524" i="6"/>
  <c r="M4525" i="6"/>
  <c r="M4538" i="6" s="1"/>
  <c r="F4525" i="6"/>
  <c r="F4538" i="6" s="1"/>
  <c r="G4525" i="6"/>
  <c r="G4538" i="6" s="1"/>
  <c r="F4524" i="6"/>
  <c r="F4529" i="6" s="1"/>
  <c r="I4525" i="6"/>
  <c r="I4538" i="6" s="1"/>
  <c r="J4543" i="6"/>
  <c r="E4525" i="6"/>
  <c r="E4538" i="6" s="1"/>
  <c r="H4525" i="6"/>
  <c r="H4538" i="6" s="1"/>
  <c r="J4570" i="6"/>
  <c r="D4596" i="6"/>
  <c r="F4570" i="6"/>
  <c r="J4571" i="6"/>
  <c r="J4584" i="6" s="1"/>
  <c r="M4571" i="6"/>
  <c r="M4584" i="6" s="1"/>
  <c r="K4570" i="6"/>
  <c r="M4570" i="6"/>
  <c r="M4575" i="6" s="1"/>
  <c r="L4571" i="6"/>
  <c r="L4584" i="6" s="1"/>
  <c r="K4571" i="6"/>
  <c r="K4584" i="6" s="1"/>
  <c r="D4595" i="6"/>
  <c r="H4571" i="6"/>
  <c r="H4584" i="6" s="1"/>
  <c r="G4570" i="6"/>
  <c r="G4571" i="6"/>
  <c r="G4584" i="6" s="1"/>
  <c r="J4589" i="6"/>
  <c r="F4571" i="6"/>
  <c r="F4584" i="6" s="1"/>
  <c r="E4571" i="6"/>
  <c r="E4584" i="6" s="1"/>
  <c r="E4570" i="6"/>
  <c r="E4575" i="6" s="1"/>
  <c r="H4570" i="6"/>
  <c r="H4575" i="6" s="1"/>
  <c r="I4571" i="6"/>
  <c r="I4584" i="6" s="1"/>
  <c r="L4570" i="6"/>
  <c r="L4575" i="6" s="1"/>
  <c r="I4570" i="6"/>
  <c r="I4575" i="6" s="1"/>
  <c r="F4617" i="6"/>
  <c r="F4630" i="6" s="1"/>
  <c r="G4617" i="6"/>
  <c r="G4630" i="6" s="1"/>
  <c r="L4617" i="6"/>
  <c r="L4630" i="6" s="1"/>
  <c r="J4617" i="6"/>
  <c r="J4630" i="6" s="1"/>
  <c r="H4616" i="6"/>
  <c r="J4635" i="6"/>
  <c r="I4617" i="6"/>
  <c r="I4630" i="6" s="1"/>
  <c r="J4616" i="6"/>
  <c r="J4621" i="6" s="1"/>
  <c r="K4617" i="6"/>
  <c r="K4630" i="6" s="1"/>
  <c r="E4617" i="6"/>
  <c r="E4630" i="6" s="1"/>
  <c r="H4617" i="6"/>
  <c r="H4630" i="6" s="1"/>
  <c r="L4616" i="6"/>
  <c r="L4621" i="6" s="1"/>
  <c r="I4616" i="6"/>
  <c r="I4621" i="6" s="1"/>
  <c r="M4617" i="6"/>
  <c r="M4630" i="6" s="1"/>
  <c r="M4616" i="6"/>
  <c r="M4621" i="6" s="1"/>
  <c r="G4616" i="6"/>
  <c r="G4621" i="6" s="1"/>
  <c r="F4616" i="6"/>
  <c r="F4621" i="6" s="1"/>
  <c r="K4616" i="6"/>
  <c r="K4621" i="6" s="1"/>
  <c r="D4641" i="6"/>
  <c r="E4616" i="6"/>
  <c r="E4621" i="6" s="1"/>
  <c r="D4642" i="6"/>
  <c r="H4662" i="6"/>
  <c r="L4663" i="6"/>
  <c r="L4676" i="6" s="1"/>
  <c r="D4688" i="6"/>
  <c r="K4662" i="6"/>
  <c r="E4662" i="6"/>
  <c r="H4663" i="6"/>
  <c r="H4676" i="6" s="1"/>
  <c r="I4663" i="6"/>
  <c r="I4676" i="6" s="1"/>
  <c r="D4687" i="6"/>
  <c r="J4663" i="6"/>
  <c r="J4676" i="6" s="1"/>
  <c r="J4662" i="6"/>
  <c r="J4667" i="6" s="1"/>
  <c r="F4662" i="6"/>
  <c r="G4662" i="6"/>
  <c r="K4663" i="6"/>
  <c r="K4676" i="6" s="1"/>
  <c r="L4662" i="6"/>
  <c r="E4663" i="6"/>
  <c r="E4676" i="6" s="1"/>
  <c r="M4662" i="6"/>
  <c r="M4663" i="6"/>
  <c r="M4676" i="6" s="1"/>
  <c r="J4681" i="6"/>
  <c r="I4662" i="6"/>
  <c r="G4663" i="6"/>
  <c r="G4676" i="6" s="1"/>
  <c r="F4663" i="6"/>
  <c r="F4676" i="6" s="1"/>
  <c r="D3215" i="6"/>
  <c r="M3190" i="6"/>
  <c r="M3191" i="6"/>
  <c r="M3204" i="6" s="1"/>
  <c r="J3190" i="6"/>
  <c r="J3191" i="6"/>
  <c r="J3204" i="6" s="1"/>
  <c r="I3190" i="6"/>
  <c r="I3191" i="6"/>
  <c r="I3204" i="6" s="1"/>
  <c r="H3190" i="6"/>
  <c r="H3191" i="6"/>
  <c r="H3204" i="6" s="1"/>
  <c r="G3190" i="6"/>
  <c r="G3191" i="6"/>
  <c r="G3204" i="6" s="1"/>
  <c r="D3216" i="6"/>
  <c r="F3191" i="6"/>
  <c r="F3204" i="6" s="1"/>
  <c r="E3190" i="6"/>
  <c r="E3191" i="6"/>
  <c r="E3204" i="6" s="1"/>
  <c r="F3190" i="6"/>
  <c r="F3195" i="6" s="1"/>
  <c r="K3191" i="6"/>
  <c r="K3204" i="6" s="1"/>
  <c r="L3190" i="6"/>
  <c r="K3190" i="6"/>
  <c r="K3195" i="6" s="1"/>
  <c r="J3209" i="6"/>
  <c r="E3972" i="6"/>
  <c r="D3998" i="6"/>
  <c r="L3972" i="6"/>
  <c r="G3973" i="6"/>
  <c r="G3986" i="6" s="1"/>
  <c r="F3972" i="6"/>
  <c r="F3973" i="6"/>
  <c r="F3986" i="6" s="1"/>
  <c r="H3973" i="6"/>
  <c r="H3986" i="6" s="1"/>
  <c r="I3972" i="6"/>
  <c r="K3972" i="6"/>
  <c r="J3973" i="6"/>
  <c r="J3986" i="6" s="1"/>
  <c r="J3991" i="6"/>
  <c r="J3972" i="6"/>
  <c r="J3977" i="6" s="1"/>
  <c r="I3973" i="6"/>
  <c r="I3986" i="6" s="1"/>
  <c r="H3972" i="6"/>
  <c r="H3977" i="6" s="1"/>
  <c r="G3972" i="6"/>
  <c r="G3977" i="6" s="1"/>
  <c r="L3973" i="6"/>
  <c r="L3986" i="6" s="1"/>
  <c r="E3973" i="6"/>
  <c r="E3986" i="6" s="1"/>
  <c r="D3997" i="6"/>
  <c r="M3973" i="6"/>
  <c r="M3986" i="6" s="1"/>
  <c r="K3973" i="6"/>
  <c r="K3986" i="6" s="1"/>
  <c r="M3972" i="6"/>
  <c r="M3977" i="6" s="1"/>
  <c r="D4733" i="6"/>
  <c r="J4727" i="6"/>
  <c r="D4709" i="6"/>
  <c r="D4722" i="6" s="1"/>
  <c r="D4734" i="6"/>
  <c r="J4754" i="6"/>
  <c r="J4755" i="6"/>
  <c r="J4768" i="6" s="1"/>
  <c r="I4754" i="6"/>
  <c r="F4754" i="6"/>
  <c r="I4755" i="6"/>
  <c r="I4768" i="6" s="1"/>
  <c r="L4755" i="6"/>
  <c r="L4768" i="6" s="1"/>
  <c r="M4754" i="6"/>
  <c r="G4754" i="6"/>
  <c r="L4754" i="6"/>
  <c r="L4759" i="6" s="1"/>
  <c r="D4779" i="6"/>
  <c r="K4754" i="6"/>
  <c r="F4755" i="6"/>
  <c r="F4768" i="6" s="1"/>
  <c r="M4755" i="6"/>
  <c r="M4768" i="6" s="1"/>
  <c r="D4780" i="6"/>
  <c r="G4755" i="6"/>
  <c r="G4768" i="6" s="1"/>
  <c r="E4754" i="6"/>
  <c r="E4755" i="6"/>
  <c r="E4768" i="6" s="1"/>
  <c r="H4754" i="6"/>
  <c r="H4755" i="6"/>
  <c r="H4768" i="6" s="1"/>
  <c r="J4773" i="6"/>
  <c r="K4755" i="6"/>
  <c r="K4768" i="6" s="1"/>
  <c r="I4800" i="6"/>
  <c r="L4801" i="6"/>
  <c r="L4814" i="6" s="1"/>
  <c r="E4800" i="6"/>
  <c r="D4826" i="6"/>
  <c r="M4800" i="6"/>
  <c r="D4825" i="6"/>
  <c r="G4800" i="6"/>
  <c r="J4800" i="6"/>
  <c r="M4801" i="6"/>
  <c r="M4814" i="6" s="1"/>
  <c r="K4800" i="6"/>
  <c r="L4800" i="6"/>
  <c r="L4805" i="6" s="1"/>
  <c r="K4801" i="6"/>
  <c r="K4814" i="6" s="1"/>
  <c r="J4801" i="6"/>
  <c r="J4814" i="6" s="1"/>
  <c r="H4800" i="6"/>
  <c r="H4801" i="6"/>
  <c r="H4814" i="6" s="1"/>
  <c r="G4801" i="6"/>
  <c r="G4814" i="6" s="1"/>
  <c r="F4801" i="6"/>
  <c r="F4814" i="6" s="1"/>
  <c r="J4819" i="6"/>
  <c r="E4801" i="6"/>
  <c r="E4814" i="6" s="1"/>
  <c r="F4800" i="6"/>
  <c r="F4805" i="6" s="1"/>
  <c r="I4801" i="6"/>
  <c r="I4814" i="6" s="1"/>
  <c r="I4846" i="6"/>
  <c r="K4846" i="6"/>
  <c r="J4846" i="6"/>
  <c r="J4865" i="6"/>
  <c r="J4847" i="6"/>
  <c r="J4860" i="6" s="1"/>
  <c r="I4847" i="6"/>
  <c r="I4860" i="6" s="1"/>
  <c r="D4871" i="6"/>
  <c r="G4847" i="6"/>
  <c r="G4860" i="6" s="1"/>
  <c r="F4846" i="6"/>
  <c r="E4847" i="6"/>
  <c r="E4860" i="6" s="1"/>
  <c r="H4847" i="6"/>
  <c r="H4860" i="6" s="1"/>
  <c r="D4872" i="6"/>
  <c r="F4847" i="6"/>
  <c r="F4860" i="6" s="1"/>
  <c r="L4847" i="6"/>
  <c r="L4860" i="6" s="1"/>
  <c r="E4846" i="6"/>
  <c r="E4851" i="6" s="1"/>
  <c r="H4846" i="6"/>
  <c r="H4851" i="6" s="1"/>
  <c r="M4847" i="6"/>
  <c r="M4860" i="6" s="1"/>
  <c r="M4846" i="6"/>
  <c r="M4851" i="6" s="1"/>
  <c r="L4846" i="6"/>
  <c r="L4851" i="6" s="1"/>
  <c r="K4847" i="6"/>
  <c r="K4860" i="6" s="1"/>
  <c r="G4846" i="6"/>
  <c r="G4851" i="6" s="1"/>
  <c r="F4892" i="6"/>
  <c r="H4893" i="6"/>
  <c r="H4906" i="6" s="1"/>
  <c r="K4892" i="6"/>
  <c r="L4892" i="6"/>
  <c r="D4917" i="6"/>
  <c r="G4893" i="6"/>
  <c r="G4906" i="6" s="1"/>
  <c r="J4893" i="6"/>
  <c r="J4906" i="6" s="1"/>
  <c r="I4893" i="6"/>
  <c r="I4906" i="6" s="1"/>
  <c r="J4911" i="6"/>
  <c r="D4918" i="6"/>
  <c r="M4892" i="6"/>
  <c r="K4893" i="6"/>
  <c r="K4906" i="6" s="1"/>
  <c r="J4892" i="6"/>
  <c r="J4897" i="6" s="1"/>
  <c r="E4892" i="6"/>
  <c r="L4893" i="6"/>
  <c r="L4906" i="6" s="1"/>
  <c r="H4892" i="6"/>
  <c r="H4897" i="6" s="1"/>
  <c r="M4893" i="6"/>
  <c r="M4906" i="6" s="1"/>
  <c r="G4892" i="6"/>
  <c r="G4897" i="6" s="1"/>
  <c r="I4892" i="6"/>
  <c r="I4897" i="6" s="1"/>
  <c r="E4893" i="6"/>
  <c r="E4906" i="6" s="1"/>
  <c r="F4893" i="6"/>
  <c r="F4906" i="6" s="1"/>
  <c r="J4957" i="6"/>
  <c r="E4938" i="6"/>
  <c r="L4939" i="6"/>
  <c r="L4952" i="6" s="1"/>
  <c r="H4939" i="6"/>
  <c r="H4952" i="6" s="1"/>
  <c r="G4938" i="6"/>
  <c r="F4938" i="6"/>
  <c r="M4938" i="6"/>
  <c r="K4938" i="6"/>
  <c r="L4938" i="6"/>
  <c r="L4943" i="6" s="1"/>
  <c r="J4938" i="6"/>
  <c r="I4938" i="6"/>
  <c r="H4938" i="6"/>
  <c r="H4943" i="6" s="1"/>
  <c r="K4939" i="6"/>
  <c r="K4952" i="6" s="1"/>
  <c r="M4939" i="6"/>
  <c r="M4952" i="6" s="1"/>
  <c r="I4939" i="6"/>
  <c r="I4952" i="6" s="1"/>
  <c r="G4939" i="6"/>
  <c r="G4952" i="6" s="1"/>
  <c r="E4939" i="6"/>
  <c r="E4952" i="6" s="1"/>
  <c r="D4964" i="6"/>
  <c r="J4939" i="6"/>
  <c r="J4952" i="6" s="1"/>
  <c r="D4963" i="6"/>
  <c r="F4939" i="6"/>
  <c r="F4952" i="6" s="1"/>
  <c r="E4985" i="6"/>
  <c r="E4998" i="6" s="1"/>
  <c r="G4985" i="6"/>
  <c r="G4998" i="6" s="1"/>
  <c r="J4985" i="6"/>
  <c r="J4998" i="6" s="1"/>
  <c r="D5010" i="6"/>
  <c r="E4984" i="6"/>
  <c r="E4989" i="6" s="1"/>
  <c r="L4984" i="6"/>
  <c r="I4985" i="6"/>
  <c r="I4998" i="6" s="1"/>
  <c r="H4985" i="6"/>
  <c r="H4998" i="6" s="1"/>
  <c r="I4984" i="6"/>
  <c r="I4989" i="6" s="1"/>
  <c r="M4984" i="6"/>
  <c r="J4984" i="6"/>
  <c r="J4989" i="6" s="1"/>
  <c r="M4985" i="6"/>
  <c r="M4998" i="6" s="1"/>
  <c r="K4984" i="6"/>
  <c r="K4985" i="6"/>
  <c r="K4998" i="6" s="1"/>
  <c r="D5009" i="6"/>
  <c r="L4985" i="6"/>
  <c r="L4998" i="6" s="1"/>
  <c r="J5003" i="6"/>
  <c r="H4984" i="6"/>
  <c r="H4989" i="6" s="1"/>
  <c r="G4984" i="6"/>
  <c r="G4989" i="6" s="1"/>
  <c r="F4984" i="6"/>
  <c r="F4985" i="6"/>
  <c r="F4998" i="6" s="1"/>
  <c r="F2822" i="6"/>
  <c r="G2823" i="6"/>
  <c r="G2836" i="6" s="1"/>
  <c r="G2822" i="6"/>
  <c r="G2827" i="6" s="1"/>
  <c r="H2823" i="6"/>
  <c r="H2836" i="6" s="1"/>
  <c r="H2822" i="6"/>
  <c r="H2827" i="6" s="1"/>
  <c r="I2823" i="6"/>
  <c r="I2836" i="6" s="1"/>
  <c r="I2822" i="6"/>
  <c r="I2827" i="6" s="1"/>
  <c r="J2823" i="6"/>
  <c r="J2836" i="6" s="1"/>
  <c r="J2822" i="6"/>
  <c r="J2827" i="6" s="1"/>
  <c r="K2823" i="6"/>
  <c r="K2836" i="6" s="1"/>
  <c r="D2848" i="6"/>
  <c r="K2822" i="6"/>
  <c r="K2827" i="6" s="1"/>
  <c r="L2823" i="6"/>
  <c r="L2836" i="6" s="1"/>
  <c r="L2822" i="6"/>
  <c r="L2827" i="6" s="1"/>
  <c r="M2823" i="6"/>
  <c r="M2836" i="6" s="1"/>
  <c r="M2822" i="6"/>
  <c r="M2827" i="6" s="1"/>
  <c r="D2847" i="6"/>
  <c r="J2841" i="6"/>
  <c r="F2823" i="6"/>
  <c r="F2836" i="6" s="1"/>
  <c r="E2823" i="6"/>
  <c r="E2836" i="6" s="1"/>
  <c r="E2822" i="6"/>
  <c r="E2827" i="6" s="1"/>
  <c r="M3145" i="6"/>
  <c r="M3158" i="6" s="1"/>
  <c r="L3144" i="6"/>
  <c r="L3145" i="6"/>
  <c r="L3158" i="6" s="1"/>
  <c r="K3144" i="6"/>
  <c r="K3145" i="6"/>
  <c r="K3158" i="6" s="1"/>
  <c r="J3144" i="6"/>
  <c r="E3144" i="6"/>
  <c r="I3144" i="6"/>
  <c r="I3145" i="6"/>
  <c r="I3158" i="6" s="1"/>
  <c r="J3163" i="6"/>
  <c r="H3145" i="6"/>
  <c r="H3158" i="6" s="1"/>
  <c r="F3144" i="6"/>
  <c r="E3145" i="6"/>
  <c r="E3158" i="6" s="1"/>
  <c r="J3145" i="6"/>
  <c r="J3158" i="6" s="1"/>
  <c r="F3145" i="6"/>
  <c r="F3158" i="6" s="1"/>
  <c r="G3145" i="6"/>
  <c r="G3158" i="6" s="1"/>
  <c r="G3144" i="6"/>
  <c r="G3149" i="6" s="1"/>
  <c r="D3169" i="6"/>
  <c r="M3144" i="6"/>
  <c r="M3149" i="6" s="1"/>
  <c r="D3170" i="6"/>
  <c r="H3144" i="6"/>
  <c r="H3149" i="6" s="1"/>
  <c r="G3834" i="6"/>
  <c r="G3835" i="6"/>
  <c r="G3848" i="6" s="1"/>
  <c r="F3835" i="6"/>
  <c r="F3848" i="6" s="1"/>
  <c r="M3835" i="6"/>
  <c r="M3848" i="6" s="1"/>
  <c r="J3853" i="6"/>
  <c r="F3834" i="6"/>
  <c r="J3835" i="6"/>
  <c r="J3848" i="6" s="1"/>
  <c r="M3834" i="6"/>
  <c r="L3834" i="6"/>
  <c r="D3859" i="6"/>
  <c r="I3835" i="6"/>
  <c r="I3848" i="6" s="1"/>
  <c r="K3834" i="6"/>
  <c r="I3834" i="6"/>
  <c r="I3839" i="6" s="1"/>
  <c r="K3835" i="6"/>
  <c r="K3848" i="6" s="1"/>
  <c r="D3860" i="6"/>
  <c r="H3835" i="6"/>
  <c r="H3848" i="6" s="1"/>
  <c r="E3834" i="6"/>
  <c r="L3835" i="6"/>
  <c r="L3848" i="6" s="1"/>
  <c r="J3834" i="6"/>
  <c r="J3839" i="6" s="1"/>
  <c r="H3834" i="6"/>
  <c r="H3839" i="6" s="1"/>
  <c r="E3835" i="6"/>
  <c r="E3848" i="6" s="1"/>
  <c r="M3926" i="6"/>
  <c r="G3927" i="6"/>
  <c r="G3940" i="6" s="1"/>
  <c r="K3927" i="6"/>
  <c r="K3940" i="6" s="1"/>
  <c r="H3927" i="6"/>
  <c r="H3940" i="6" s="1"/>
  <c r="J3945" i="6"/>
  <c r="L3926" i="6"/>
  <c r="D3952" i="6"/>
  <c r="G3926" i="6"/>
  <c r="G3931" i="6" s="1"/>
  <c r="J3926" i="6"/>
  <c r="H3926" i="6"/>
  <c r="H3931" i="6" s="1"/>
  <c r="F3927" i="6"/>
  <c r="F3940" i="6" s="1"/>
  <c r="E3927" i="6"/>
  <c r="E3940" i="6" s="1"/>
  <c r="J3927" i="6"/>
  <c r="J3940" i="6" s="1"/>
  <c r="E3926" i="6"/>
  <c r="E3931" i="6" s="1"/>
  <c r="F3926" i="6"/>
  <c r="F3931" i="6" s="1"/>
  <c r="I3927" i="6"/>
  <c r="I3940" i="6" s="1"/>
  <c r="I3926" i="6"/>
  <c r="I3931" i="6" s="1"/>
  <c r="D3951" i="6"/>
  <c r="K3926" i="6"/>
  <c r="K3931" i="6" s="1"/>
  <c r="L3927" i="6"/>
  <c r="L3940" i="6" s="1"/>
  <c r="M3927" i="6"/>
  <c r="M3940" i="6" s="1"/>
  <c r="E5031" i="6"/>
  <c r="E5044" i="6" s="1"/>
  <c r="F5031" i="6"/>
  <c r="F5044" i="6" s="1"/>
  <c r="F5030" i="6"/>
  <c r="F5035" i="6" s="1"/>
  <c r="G5030" i="6"/>
  <c r="H5031" i="6"/>
  <c r="H5044" i="6" s="1"/>
  <c r="J5030" i="6"/>
  <c r="L5031" i="6"/>
  <c r="L5044" i="6" s="1"/>
  <c r="H5030" i="6"/>
  <c r="H5035" i="6" s="1"/>
  <c r="D5055" i="6"/>
  <c r="L5030" i="6"/>
  <c r="L5035" i="6" s="1"/>
  <c r="E5030" i="6"/>
  <c r="E5035" i="6" s="1"/>
  <c r="D5056" i="6"/>
  <c r="M5030" i="6"/>
  <c r="G5031" i="6"/>
  <c r="G5044" i="6" s="1"/>
  <c r="M5031" i="6"/>
  <c r="M5044" i="6" s="1"/>
  <c r="J5031" i="6"/>
  <c r="J5044" i="6" s="1"/>
  <c r="I5031" i="6"/>
  <c r="I5044" i="6" s="1"/>
  <c r="I5030" i="6"/>
  <c r="I5035" i="6" s="1"/>
  <c r="K5031" i="6"/>
  <c r="K5044" i="6" s="1"/>
  <c r="K5030" i="6"/>
  <c r="K5035" i="6" s="1"/>
  <c r="J5049" i="6"/>
  <c r="E5077" i="6"/>
  <c r="E5090" i="6" s="1"/>
  <c r="F5077" i="6"/>
  <c r="F5090" i="6" s="1"/>
  <c r="D5101" i="6"/>
  <c r="E5076" i="6"/>
  <c r="E5081" i="6" s="1"/>
  <c r="M5076" i="6"/>
  <c r="M5077" i="6"/>
  <c r="M5090" i="6" s="1"/>
  <c r="J5077" i="6"/>
  <c r="J5090" i="6" s="1"/>
  <c r="I5077" i="6"/>
  <c r="I5090" i="6" s="1"/>
  <c r="H5076" i="6"/>
  <c r="J5095" i="6"/>
  <c r="H5077" i="6"/>
  <c r="H5090" i="6" s="1"/>
  <c r="L5077" i="6"/>
  <c r="L5090" i="6" s="1"/>
  <c r="G5076" i="6"/>
  <c r="K5077" i="6"/>
  <c r="K5090" i="6" s="1"/>
  <c r="D5102" i="6"/>
  <c r="G5077" i="6"/>
  <c r="G5090" i="6" s="1"/>
  <c r="J5076" i="6"/>
  <c r="J5081" i="6" s="1"/>
  <c r="F5076" i="6"/>
  <c r="F5081" i="6" s="1"/>
  <c r="K5076" i="6"/>
  <c r="K5081" i="6" s="1"/>
  <c r="L5076" i="6"/>
  <c r="L5081" i="6" s="1"/>
  <c r="I5076" i="6"/>
  <c r="I5081" i="6" s="1"/>
  <c r="K5122" i="6"/>
  <c r="K5123" i="6"/>
  <c r="K5136" i="6" s="1"/>
  <c r="J5122" i="6"/>
  <c r="J5123" i="6"/>
  <c r="J5136" i="6" s="1"/>
  <c r="I5122" i="6"/>
  <c r="M5122" i="6"/>
  <c r="H5122" i="6"/>
  <c r="L5122" i="6"/>
  <c r="G5122" i="6"/>
  <c r="G5123" i="6"/>
  <c r="G5136" i="6" s="1"/>
  <c r="F5123" i="6"/>
  <c r="F5136" i="6" s="1"/>
  <c r="E5122" i="6"/>
  <c r="E5123" i="6"/>
  <c r="E5136" i="6" s="1"/>
  <c r="J5141" i="6"/>
  <c r="I5123" i="6"/>
  <c r="I5136" i="6" s="1"/>
  <c r="D5147" i="6"/>
  <c r="H5123" i="6"/>
  <c r="H5136" i="6" s="1"/>
  <c r="D5148" i="6"/>
  <c r="M5123" i="6"/>
  <c r="M5136" i="6" s="1"/>
  <c r="L5123" i="6"/>
  <c r="L5136" i="6" s="1"/>
  <c r="F5122" i="6"/>
  <c r="F5127" i="6" s="1"/>
  <c r="L3512" i="6"/>
  <c r="L3513" i="6"/>
  <c r="L3526" i="6" s="1"/>
  <c r="F3512" i="6"/>
  <c r="K3512" i="6"/>
  <c r="F3513" i="6"/>
  <c r="F3526" i="6" s="1"/>
  <c r="E3512" i="6"/>
  <c r="K3513" i="6"/>
  <c r="K3526" i="6" s="1"/>
  <c r="G3512" i="6"/>
  <c r="J3512" i="6"/>
  <c r="E3513" i="6"/>
  <c r="E3526" i="6" s="1"/>
  <c r="D3538" i="6"/>
  <c r="G3513" i="6"/>
  <c r="G3526" i="6" s="1"/>
  <c r="J3513" i="6"/>
  <c r="J3526" i="6" s="1"/>
  <c r="D3537" i="6"/>
  <c r="I3512" i="6"/>
  <c r="I3513" i="6"/>
  <c r="I3526" i="6" s="1"/>
  <c r="J3531" i="6"/>
  <c r="H3512" i="6"/>
  <c r="H3513" i="6"/>
  <c r="H3526" i="6" s="1"/>
  <c r="M3512" i="6"/>
  <c r="M3513" i="6"/>
  <c r="M3526" i="6" s="1"/>
  <c r="F4386" i="6"/>
  <c r="D4411" i="6"/>
  <c r="G4387" i="6"/>
  <c r="G4400" i="6" s="1"/>
  <c r="M4387" i="6"/>
  <c r="M4400" i="6" s="1"/>
  <c r="E4386" i="6"/>
  <c r="M4386" i="6"/>
  <c r="M4391" i="6" s="1"/>
  <c r="J4405" i="6"/>
  <c r="H4387" i="6"/>
  <c r="H4400" i="6" s="1"/>
  <c r="I4387" i="6"/>
  <c r="I4400" i="6" s="1"/>
  <c r="L4387" i="6"/>
  <c r="L4400" i="6" s="1"/>
  <c r="H4386" i="6"/>
  <c r="H4391" i="6" s="1"/>
  <c r="D4412" i="6"/>
  <c r="I4386" i="6"/>
  <c r="I4391" i="6" s="1"/>
  <c r="F4387" i="6"/>
  <c r="F4400" i="6" s="1"/>
  <c r="E4387" i="6"/>
  <c r="E4400" i="6" s="1"/>
  <c r="G4386" i="6"/>
  <c r="G4391" i="6" s="1"/>
  <c r="J4386" i="6"/>
  <c r="L4386" i="6"/>
  <c r="L4391" i="6" s="1"/>
  <c r="K4386" i="6"/>
  <c r="J4387" i="6"/>
  <c r="J4400" i="6" s="1"/>
  <c r="K4387" i="6"/>
  <c r="K4400" i="6" s="1"/>
  <c r="E17" i="14"/>
  <c r="E30" i="14" s="1"/>
  <c r="K16" i="14"/>
  <c r="F17" i="14"/>
  <c r="F30" i="14" s="1"/>
  <c r="H16" i="14"/>
  <c r="K17" i="14"/>
  <c r="K30" i="14" s="1"/>
  <c r="G16" i="14"/>
  <c r="G17" i="14"/>
  <c r="G30" i="14" s="1"/>
  <c r="J35" i="14"/>
  <c r="L16" i="14"/>
  <c r="E16" i="14"/>
  <c r="E21" i="14" s="1"/>
  <c r="J16" i="14"/>
  <c r="J17" i="14"/>
  <c r="J30" i="14" s="1"/>
  <c r="I17" i="14"/>
  <c r="I30" i="14" s="1"/>
  <c r="D41" i="14"/>
  <c r="F16" i="14"/>
  <c r="F21" i="14" s="1"/>
  <c r="D42" i="14"/>
  <c r="I16" i="14"/>
  <c r="I21" i="14" s="1"/>
  <c r="H17" i="14"/>
  <c r="H30" i="14" s="1"/>
  <c r="M17" i="14"/>
  <c r="M30" i="14" s="1"/>
  <c r="M16" i="14"/>
  <c r="M21" i="14" s="1"/>
  <c r="L17" i="14"/>
  <c r="L30" i="14" s="1"/>
  <c r="L63" i="14"/>
  <c r="L76" i="14" s="1"/>
  <c r="F62" i="14"/>
  <c r="G62" i="14"/>
  <c r="H63" i="14"/>
  <c r="H76" i="14" s="1"/>
  <c r="D87" i="14"/>
  <c r="J62" i="14"/>
  <c r="K63" i="14"/>
  <c r="K76" i="14" s="1"/>
  <c r="K62" i="14"/>
  <c r="K67" i="14" s="1"/>
  <c r="E62" i="14"/>
  <c r="J81" i="14"/>
  <c r="L62" i="14"/>
  <c r="L67" i="14" s="1"/>
  <c r="F63" i="14"/>
  <c r="F76" i="14" s="1"/>
  <c r="D88" i="14"/>
  <c r="E63" i="14"/>
  <c r="E76" i="14" s="1"/>
  <c r="G63" i="14"/>
  <c r="G76" i="14" s="1"/>
  <c r="J63" i="14"/>
  <c r="J76" i="14" s="1"/>
  <c r="H62" i="14"/>
  <c r="H67" i="14" s="1"/>
  <c r="M62" i="14"/>
  <c r="M63" i="14"/>
  <c r="M76" i="14" s="1"/>
  <c r="I63" i="14"/>
  <c r="I76" i="14" s="1"/>
  <c r="I62" i="14"/>
  <c r="I67" i="14" s="1"/>
  <c r="E109" i="14"/>
  <c r="E122" i="14" s="1"/>
  <c r="F109" i="14"/>
  <c r="F122" i="14" s="1"/>
  <c r="D133" i="14"/>
  <c r="K109" i="14"/>
  <c r="K122" i="14" s="1"/>
  <c r="M109" i="14"/>
  <c r="M122" i="14" s="1"/>
  <c r="J127" i="14"/>
  <c r="G109" i="14"/>
  <c r="G122" i="14" s="1"/>
  <c r="F108" i="14"/>
  <c r="F113" i="14" s="1"/>
  <c r="E108" i="14"/>
  <c r="E113" i="14" s="1"/>
  <c r="G108" i="14"/>
  <c r="G113" i="14" s="1"/>
  <c r="H109" i="14"/>
  <c r="H122" i="14" s="1"/>
  <c r="H108" i="14"/>
  <c r="H113" i="14" s="1"/>
  <c r="J108" i="14"/>
  <c r="I109" i="14"/>
  <c r="I122" i="14" s="1"/>
  <c r="I108" i="14"/>
  <c r="I113" i="14" s="1"/>
  <c r="J109" i="14"/>
  <c r="J122" i="14" s="1"/>
  <c r="K108" i="14"/>
  <c r="K113" i="14" s="1"/>
  <c r="L108" i="14"/>
  <c r="M108" i="14"/>
  <c r="M113" i="14" s="1"/>
  <c r="L109" i="14"/>
  <c r="L122" i="14" s="1"/>
  <c r="D134" i="14"/>
  <c r="K154" i="14"/>
  <c r="K159" i="14" s="1"/>
  <c r="K155" i="14"/>
  <c r="K168" i="14" s="1"/>
  <c r="J154" i="14"/>
  <c r="D179" i="14"/>
  <c r="J155" i="14"/>
  <c r="J168" i="14" s="1"/>
  <c r="E155" i="14"/>
  <c r="E168" i="14" s="1"/>
  <c r="H155" i="14"/>
  <c r="H168" i="14" s="1"/>
  <c r="M154" i="14"/>
  <c r="F155" i="14"/>
  <c r="F168" i="14" s="1"/>
  <c r="M155" i="14"/>
  <c r="M168" i="14" s="1"/>
  <c r="I154" i="14"/>
  <c r="D180" i="14"/>
  <c r="L154" i="14"/>
  <c r="E154" i="14"/>
  <c r="E159" i="14" s="1"/>
  <c r="F154" i="14"/>
  <c r="F159" i="14" s="1"/>
  <c r="G155" i="14"/>
  <c r="G168" i="14" s="1"/>
  <c r="G154" i="14"/>
  <c r="G159" i="14" s="1"/>
  <c r="H154" i="14"/>
  <c r="H159" i="14" s="1"/>
  <c r="I155" i="14"/>
  <c r="I168" i="14" s="1"/>
  <c r="L155" i="14"/>
  <c r="L168" i="14" s="1"/>
  <c r="J173" i="14"/>
  <c r="L201" i="14"/>
  <c r="L214" i="14" s="1"/>
  <c r="K200" i="14"/>
  <c r="M200" i="14"/>
  <c r="K201" i="14"/>
  <c r="K214" i="14" s="1"/>
  <c r="J200" i="14"/>
  <c r="J201" i="14"/>
  <c r="J214" i="14" s="1"/>
  <c r="H200" i="14"/>
  <c r="H201" i="14"/>
  <c r="H214" i="14" s="1"/>
  <c r="F201" i="14"/>
  <c r="F214" i="14" s="1"/>
  <c r="M201" i="14"/>
  <c r="M214" i="14" s="1"/>
  <c r="I201" i="14"/>
  <c r="I214" i="14" s="1"/>
  <c r="D225" i="14"/>
  <c r="G201" i="14"/>
  <c r="G214" i="14" s="1"/>
  <c r="F200" i="14"/>
  <c r="F205" i="14" s="1"/>
  <c r="G200" i="14"/>
  <c r="G205" i="14" s="1"/>
  <c r="J219" i="14"/>
  <c r="E200" i="14"/>
  <c r="E201" i="14"/>
  <c r="E214" i="14" s="1"/>
  <c r="I200" i="14"/>
  <c r="I205" i="14" s="1"/>
  <c r="L200" i="14"/>
  <c r="L205" i="14" s="1"/>
  <c r="D226" i="14"/>
  <c r="E247" i="14"/>
  <c r="E260" i="14" s="1"/>
  <c r="E246" i="14"/>
  <c r="E251" i="14" s="1"/>
  <c r="G247" i="14"/>
  <c r="G260" i="14" s="1"/>
  <c r="F246" i="14"/>
  <c r="G246" i="14"/>
  <c r="G251" i="14" s="1"/>
  <c r="H247" i="14"/>
  <c r="H260" i="14" s="1"/>
  <c r="I247" i="14"/>
  <c r="I260" i="14" s="1"/>
  <c r="H246" i="14"/>
  <c r="H251" i="14" s="1"/>
  <c r="I246" i="14"/>
  <c r="I251" i="14" s="1"/>
  <c r="J247" i="14"/>
  <c r="J260" i="14" s="1"/>
  <c r="J246" i="14"/>
  <c r="J251" i="14" s="1"/>
  <c r="K247" i="14"/>
  <c r="K260" i="14" s="1"/>
  <c r="K246" i="14"/>
  <c r="K251" i="14" s="1"/>
  <c r="L247" i="14"/>
  <c r="L260" i="14" s="1"/>
  <c r="L246" i="14"/>
  <c r="L251" i="14" s="1"/>
  <c r="J265" i="14"/>
  <c r="D271" i="14"/>
  <c r="F247" i="14"/>
  <c r="F260" i="14" s="1"/>
  <c r="D272" i="14"/>
  <c r="M246" i="14"/>
  <c r="M247" i="14"/>
  <c r="M260" i="14" s="1"/>
  <c r="K293" i="14"/>
  <c r="K306" i="14" s="1"/>
  <c r="M292" i="14"/>
  <c r="D318" i="14"/>
  <c r="J311" i="14"/>
  <c r="F293" i="14"/>
  <c r="F306" i="14" s="1"/>
  <c r="M293" i="14"/>
  <c r="M306" i="14" s="1"/>
  <c r="L292" i="14"/>
  <c r="K292" i="14"/>
  <c r="K297" i="14" s="1"/>
  <c r="L293" i="14"/>
  <c r="L306" i="14" s="1"/>
  <c r="D317" i="14"/>
  <c r="F292" i="14"/>
  <c r="F297" i="14" s="1"/>
  <c r="J292" i="14"/>
  <c r="J293" i="14"/>
  <c r="J306" i="14" s="1"/>
  <c r="H293" i="14"/>
  <c r="H306" i="14" s="1"/>
  <c r="G292" i="14"/>
  <c r="E293" i="14"/>
  <c r="E306" i="14" s="1"/>
  <c r="I292" i="14"/>
  <c r="E292" i="14"/>
  <c r="E297" i="14" s="1"/>
  <c r="I293" i="14"/>
  <c r="I306" i="14" s="1"/>
  <c r="H292" i="14"/>
  <c r="H297" i="14" s="1"/>
  <c r="G293" i="14"/>
  <c r="G306" i="14" s="1"/>
  <c r="I3007" i="6"/>
  <c r="I3020" i="6" s="1"/>
  <c r="J3007" i="6"/>
  <c r="J3020" i="6" s="1"/>
  <c r="E3007" i="6"/>
  <c r="E3020" i="6" s="1"/>
  <c r="E3006" i="6"/>
  <c r="E3011" i="6" s="1"/>
  <c r="F3007" i="6"/>
  <c r="F3020" i="6" s="1"/>
  <c r="F3006" i="6"/>
  <c r="F3011" i="6" s="1"/>
  <c r="G3007" i="6"/>
  <c r="G3020" i="6" s="1"/>
  <c r="G3006" i="6"/>
  <c r="G3011" i="6" s="1"/>
  <c r="H3007" i="6"/>
  <c r="H3020" i="6" s="1"/>
  <c r="H3006" i="6"/>
  <c r="H3011" i="6" s="1"/>
  <c r="I3006" i="6"/>
  <c r="I3011" i="6" s="1"/>
  <c r="J3006" i="6"/>
  <c r="J3011" i="6" s="1"/>
  <c r="K3007" i="6"/>
  <c r="K3020" i="6" s="1"/>
  <c r="K3006" i="6"/>
  <c r="K3011" i="6" s="1"/>
  <c r="L3007" i="6"/>
  <c r="L3020" i="6" s="1"/>
  <c r="L3006" i="6"/>
  <c r="L3011" i="6" s="1"/>
  <c r="M3007" i="6"/>
  <c r="M3020" i="6" s="1"/>
  <c r="M3006" i="6"/>
  <c r="M3011" i="6" s="1"/>
  <c r="D3031" i="6"/>
  <c r="D3032" i="6"/>
  <c r="J3025" i="6"/>
  <c r="E3329" i="6"/>
  <c r="E3342" i="6" s="1"/>
  <c r="E3328" i="6"/>
  <c r="E3333" i="6" s="1"/>
  <c r="J3329" i="6"/>
  <c r="J3342" i="6" s="1"/>
  <c r="D3354" i="6"/>
  <c r="I3328" i="6"/>
  <c r="I3329" i="6"/>
  <c r="I3342" i="6" s="1"/>
  <c r="H3328" i="6"/>
  <c r="H3329" i="6"/>
  <c r="H3342" i="6" s="1"/>
  <c r="G3328" i="6"/>
  <c r="G3329" i="6"/>
  <c r="G3342" i="6" s="1"/>
  <c r="F3328" i="6"/>
  <c r="F3329" i="6"/>
  <c r="F3342" i="6" s="1"/>
  <c r="J3347" i="6"/>
  <c r="D3353" i="6"/>
  <c r="M3328" i="6"/>
  <c r="M3329" i="6"/>
  <c r="M3342" i="6" s="1"/>
  <c r="L3328" i="6"/>
  <c r="L3329" i="6"/>
  <c r="L3342" i="6" s="1"/>
  <c r="K3328" i="6"/>
  <c r="K3329" i="6"/>
  <c r="K3342" i="6" s="1"/>
  <c r="J3328" i="6"/>
  <c r="J3333" i="6" s="1"/>
  <c r="J3393" i="6"/>
  <c r="D3399" i="6"/>
  <c r="I3374" i="6"/>
  <c r="H3374" i="6"/>
  <c r="H3375" i="6"/>
  <c r="H3388" i="6" s="1"/>
  <c r="G3374" i="6"/>
  <c r="G3375" i="6"/>
  <c r="G3388" i="6" s="1"/>
  <c r="F3374" i="6"/>
  <c r="F3375" i="6"/>
  <c r="F3388" i="6" s="1"/>
  <c r="E3374" i="6"/>
  <c r="E3375" i="6"/>
  <c r="E3388" i="6" s="1"/>
  <c r="L3374" i="6"/>
  <c r="K3375" i="6"/>
  <c r="K3388" i="6" s="1"/>
  <c r="K3374" i="6"/>
  <c r="K3379" i="6" s="1"/>
  <c r="M3375" i="6"/>
  <c r="M3388" i="6" s="1"/>
  <c r="I3375" i="6"/>
  <c r="I3388" i="6" s="1"/>
  <c r="J3375" i="6"/>
  <c r="J3388" i="6" s="1"/>
  <c r="J3374" i="6"/>
  <c r="J3379" i="6" s="1"/>
  <c r="D3400" i="6"/>
  <c r="L3375" i="6"/>
  <c r="L3388" i="6" s="1"/>
  <c r="M3374" i="6"/>
  <c r="M3379" i="6" s="1"/>
  <c r="J357" i="14"/>
  <c r="D363" i="14"/>
  <c r="D339" i="14"/>
  <c r="D352" i="14" s="1"/>
  <c r="D364" i="14"/>
  <c r="F385" i="14"/>
  <c r="F398" i="14" s="1"/>
  <c r="I385" i="14"/>
  <c r="I398" i="14" s="1"/>
  <c r="K385" i="14"/>
  <c r="K398" i="14" s="1"/>
  <c r="E384" i="14"/>
  <c r="D409" i="14"/>
  <c r="G385" i="14"/>
  <c r="G398" i="14" s="1"/>
  <c r="H384" i="14"/>
  <c r="G384" i="14"/>
  <c r="G389" i="14" s="1"/>
  <c r="M385" i="14"/>
  <c r="M398" i="14" s="1"/>
  <c r="M384" i="14"/>
  <c r="M389" i="14" s="1"/>
  <c r="K384" i="14"/>
  <c r="K389" i="14" s="1"/>
  <c r="E385" i="14"/>
  <c r="E398" i="14" s="1"/>
  <c r="D410" i="14"/>
  <c r="J403" i="14"/>
  <c r="L385" i="14"/>
  <c r="L398" i="14" s="1"/>
  <c r="H385" i="14"/>
  <c r="H398" i="14" s="1"/>
  <c r="I384" i="14"/>
  <c r="I389" i="14" s="1"/>
  <c r="L384" i="14"/>
  <c r="L389" i="14" s="1"/>
  <c r="J385" i="14"/>
  <c r="J398" i="14" s="1"/>
  <c r="J384" i="14"/>
  <c r="J389" i="14" s="1"/>
  <c r="F384" i="14"/>
  <c r="F389" i="14" s="1"/>
  <c r="L430" i="14"/>
  <c r="G430" i="14"/>
  <c r="D456" i="14"/>
  <c r="G431" i="14"/>
  <c r="G444" i="14" s="1"/>
  <c r="K430" i="14"/>
  <c r="I431" i="14"/>
  <c r="I444" i="14" s="1"/>
  <c r="K431" i="14"/>
  <c r="K444" i="14" s="1"/>
  <c r="M430" i="14"/>
  <c r="H431" i="14"/>
  <c r="H444" i="14" s="1"/>
  <c r="H430" i="14"/>
  <c r="H435" i="14" s="1"/>
  <c r="E431" i="14"/>
  <c r="E444" i="14" s="1"/>
  <c r="M431" i="14"/>
  <c r="M444" i="14" s="1"/>
  <c r="J449" i="14"/>
  <c r="J430" i="14"/>
  <c r="I430" i="14"/>
  <c r="I435" i="14" s="1"/>
  <c r="F431" i="14"/>
  <c r="F444" i="14" s="1"/>
  <c r="L431" i="14"/>
  <c r="L444" i="14" s="1"/>
  <c r="D455" i="14"/>
  <c r="E430" i="14"/>
  <c r="E435" i="14" s="1"/>
  <c r="F430" i="14"/>
  <c r="F435" i="14" s="1"/>
  <c r="J431" i="14"/>
  <c r="J444" i="14" s="1"/>
  <c r="I476" i="14"/>
  <c r="G477" i="14"/>
  <c r="G490" i="14" s="1"/>
  <c r="G476" i="14"/>
  <c r="G481" i="14" s="1"/>
  <c r="H477" i="14"/>
  <c r="H490" i="14" s="1"/>
  <c r="H476" i="14"/>
  <c r="H481" i="14" s="1"/>
  <c r="I477" i="14"/>
  <c r="I490" i="14" s="1"/>
  <c r="L476" i="14"/>
  <c r="J477" i="14"/>
  <c r="J490" i="14" s="1"/>
  <c r="K477" i="14"/>
  <c r="K490" i="14" s="1"/>
  <c r="K476" i="14"/>
  <c r="K481" i="14" s="1"/>
  <c r="M477" i="14"/>
  <c r="M490" i="14" s="1"/>
  <c r="M476" i="14"/>
  <c r="M481" i="14" s="1"/>
  <c r="D502" i="14"/>
  <c r="E477" i="14"/>
  <c r="E490" i="14" s="1"/>
  <c r="L477" i="14"/>
  <c r="L490" i="14" s="1"/>
  <c r="E476" i="14"/>
  <c r="E481" i="14" s="1"/>
  <c r="D501" i="14"/>
  <c r="J476" i="14"/>
  <c r="J481" i="14" s="1"/>
  <c r="J495" i="14"/>
  <c r="F477" i="14"/>
  <c r="F490" i="14" s="1"/>
  <c r="F476" i="14"/>
  <c r="F481" i="14" s="1"/>
  <c r="J523" i="14"/>
  <c r="J536" i="14" s="1"/>
  <c r="K523" i="14"/>
  <c r="K536" i="14" s="1"/>
  <c r="G523" i="14"/>
  <c r="G536" i="14" s="1"/>
  <c r="H522" i="14"/>
  <c r="I522" i="14"/>
  <c r="J522" i="14"/>
  <c r="J527" i="14" s="1"/>
  <c r="E523" i="14"/>
  <c r="E536" i="14" s="1"/>
  <c r="E522" i="14"/>
  <c r="E527" i="14" s="1"/>
  <c r="F523" i="14"/>
  <c r="F536" i="14" s="1"/>
  <c r="F522" i="14"/>
  <c r="F527" i="14" s="1"/>
  <c r="H523" i="14"/>
  <c r="H536" i="14" s="1"/>
  <c r="M522" i="14"/>
  <c r="K522" i="14"/>
  <c r="K527" i="14" s="1"/>
  <c r="D548" i="14"/>
  <c r="J541" i="14"/>
  <c r="M523" i="14"/>
  <c r="M536" i="14" s="1"/>
  <c r="D547" i="14"/>
  <c r="G522" i="14"/>
  <c r="G527" i="14" s="1"/>
  <c r="I523" i="14"/>
  <c r="I536" i="14" s="1"/>
  <c r="L522" i="14"/>
  <c r="L523" i="14"/>
  <c r="L536" i="14" s="1"/>
  <c r="M569" i="14"/>
  <c r="M582" i="14" s="1"/>
  <c r="L569" i="14"/>
  <c r="L582" i="14" s="1"/>
  <c r="K569" i="14"/>
  <c r="K582" i="14" s="1"/>
  <c r="I568" i="14"/>
  <c r="F568" i="14"/>
  <c r="E569" i="14"/>
  <c r="E582" i="14" s="1"/>
  <c r="J587" i="14"/>
  <c r="M568" i="14"/>
  <c r="M573" i="14" s="1"/>
  <c r="L568" i="14"/>
  <c r="L573" i="14" s="1"/>
  <c r="K568" i="14"/>
  <c r="K573" i="14" s="1"/>
  <c r="J568" i="14"/>
  <c r="J569" i="14"/>
  <c r="J582" i="14" s="1"/>
  <c r="I569" i="14"/>
  <c r="I582" i="14" s="1"/>
  <c r="H568" i="14"/>
  <c r="H569" i="14"/>
  <c r="H582" i="14" s="1"/>
  <c r="G568" i="14"/>
  <c r="G569" i="14"/>
  <c r="G582" i="14" s="1"/>
  <c r="F569" i="14"/>
  <c r="F582" i="14" s="1"/>
  <c r="E568" i="14"/>
  <c r="E573" i="14" s="1"/>
  <c r="D594" i="14"/>
  <c r="D593" i="14"/>
  <c r="E615" i="14"/>
  <c r="E628" i="14" s="1"/>
  <c r="J633" i="14"/>
  <c r="M614" i="14"/>
  <c r="F614" i="14"/>
  <c r="E614" i="14"/>
  <c r="E619" i="14" s="1"/>
  <c r="G614" i="14"/>
  <c r="L615" i="14"/>
  <c r="L628" i="14" s="1"/>
  <c r="I614" i="14"/>
  <c r="L614" i="14"/>
  <c r="L619" i="14" s="1"/>
  <c r="D640" i="14"/>
  <c r="F615" i="14"/>
  <c r="F628" i="14" s="1"/>
  <c r="G615" i="14"/>
  <c r="G628" i="14" s="1"/>
  <c r="H615" i="14"/>
  <c r="H628" i="14" s="1"/>
  <c r="H614" i="14"/>
  <c r="H619" i="14" s="1"/>
  <c r="J615" i="14"/>
  <c r="J628" i="14" s="1"/>
  <c r="J614" i="14"/>
  <c r="J619" i="14" s="1"/>
  <c r="K614" i="14"/>
  <c r="K615" i="14"/>
  <c r="K628" i="14" s="1"/>
  <c r="M615" i="14"/>
  <c r="M628" i="14" s="1"/>
  <c r="D639" i="14"/>
  <c r="I615" i="14"/>
  <c r="I628" i="14" s="1"/>
  <c r="L3651" i="6"/>
  <c r="L3664" i="6" s="1"/>
  <c r="I3650" i="6"/>
  <c r="I3655" i="6" s="1"/>
  <c r="I3651" i="6"/>
  <c r="I3664" i="6" s="1"/>
  <c r="H3650" i="6"/>
  <c r="H3651" i="6"/>
  <c r="H3664" i="6" s="1"/>
  <c r="M3650" i="6"/>
  <c r="G3650" i="6"/>
  <c r="F3650" i="6"/>
  <c r="F3655" i="6" s="1"/>
  <c r="F3651" i="6"/>
  <c r="F3664" i="6" s="1"/>
  <c r="G3651" i="6"/>
  <c r="G3664" i="6" s="1"/>
  <c r="E3651" i="6"/>
  <c r="E3664" i="6" s="1"/>
  <c r="E3650" i="6"/>
  <c r="E3655" i="6" s="1"/>
  <c r="D3675" i="6"/>
  <c r="K3651" i="6"/>
  <c r="K3664" i="6" s="1"/>
  <c r="K3650" i="6"/>
  <c r="K3655" i="6" s="1"/>
  <c r="J3669" i="6"/>
  <c r="L3650" i="6"/>
  <c r="L3655" i="6" s="1"/>
  <c r="J3651" i="6"/>
  <c r="J3664" i="6" s="1"/>
  <c r="M3651" i="6"/>
  <c r="M3664" i="6" s="1"/>
  <c r="D3676" i="6"/>
  <c r="J3650" i="6"/>
  <c r="J3655" i="6" s="1"/>
  <c r="K707" i="14"/>
  <c r="K720" i="14" s="1"/>
  <c r="K706" i="14"/>
  <c r="K711" i="14" s="1"/>
  <c r="G706" i="14"/>
  <c r="F707" i="14"/>
  <c r="F720" i="14" s="1"/>
  <c r="E706" i="14"/>
  <c r="M707" i="14"/>
  <c r="M720" i="14" s="1"/>
  <c r="L707" i="14"/>
  <c r="L720" i="14" s="1"/>
  <c r="G707" i="14"/>
  <c r="G720" i="14" s="1"/>
  <c r="F706" i="14"/>
  <c r="F711" i="14" s="1"/>
  <c r="E707" i="14"/>
  <c r="E720" i="14" s="1"/>
  <c r="H707" i="14"/>
  <c r="H720" i="14" s="1"/>
  <c r="H706" i="14"/>
  <c r="H711" i="14" s="1"/>
  <c r="J725" i="14"/>
  <c r="I707" i="14"/>
  <c r="I720" i="14" s="1"/>
  <c r="I706" i="14"/>
  <c r="I711" i="14" s="1"/>
  <c r="J706" i="14"/>
  <c r="L706" i="14"/>
  <c r="L711" i="14" s="1"/>
  <c r="M706" i="14"/>
  <c r="M711" i="14" s="1"/>
  <c r="D732" i="14"/>
  <c r="D731" i="14"/>
  <c r="J707" i="14"/>
  <c r="J720" i="14" s="1"/>
  <c r="J752" i="14"/>
  <c r="L752" i="14"/>
  <c r="L753" i="14"/>
  <c r="L766" i="14" s="1"/>
  <c r="E753" i="14"/>
  <c r="E766" i="14" s="1"/>
  <c r="E752" i="14"/>
  <c r="E757" i="14" s="1"/>
  <c r="D777" i="14"/>
  <c r="M752" i="14"/>
  <c r="G753" i="14"/>
  <c r="G766" i="14" s="1"/>
  <c r="M753" i="14"/>
  <c r="M766" i="14" s="1"/>
  <c r="G752" i="14"/>
  <c r="G757" i="14" s="1"/>
  <c r="H753" i="14"/>
  <c r="H766" i="14" s="1"/>
  <c r="H752" i="14"/>
  <c r="H757" i="14" s="1"/>
  <c r="I753" i="14"/>
  <c r="I766" i="14" s="1"/>
  <c r="I752" i="14"/>
  <c r="I757" i="14" s="1"/>
  <c r="J753" i="14"/>
  <c r="J766" i="14" s="1"/>
  <c r="K752" i="14"/>
  <c r="J771" i="14"/>
  <c r="K753" i="14"/>
  <c r="K766" i="14" s="1"/>
  <c r="D778" i="14"/>
  <c r="J799" i="14"/>
  <c r="J812" i="14" s="1"/>
  <c r="F798" i="14"/>
  <c r="M799" i="14"/>
  <c r="M812" i="14" s="1"/>
  <c r="J798" i="14"/>
  <c r="J803" i="14" s="1"/>
  <c r="L799" i="14"/>
  <c r="L812" i="14" s="1"/>
  <c r="K798" i="14"/>
  <c r="J817" i="14"/>
  <c r="D823" i="14"/>
  <c r="H798" i="14"/>
  <c r="H803" i="14" s="1"/>
  <c r="H799" i="14"/>
  <c r="H812" i="14" s="1"/>
  <c r="F799" i="14"/>
  <c r="F812" i="14" s="1"/>
  <c r="G798" i="14"/>
  <c r="G799" i="14"/>
  <c r="G812" i="14" s="1"/>
  <c r="K799" i="14"/>
  <c r="K812" i="14" s="1"/>
  <c r="I799" i="14"/>
  <c r="I812" i="14" s="1"/>
  <c r="M798" i="14"/>
  <c r="M803" i="14" s="1"/>
  <c r="D824" i="14"/>
  <c r="L798" i="14"/>
  <c r="L803" i="14" s="1"/>
  <c r="I798" i="14"/>
  <c r="I803" i="14" s="1"/>
  <c r="J845" i="14"/>
  <c r="J858" i="14" s="1"/>
  <c r="J844" i="14"/>
  <c r="J849" i="14" s="1"/>
  <c r="K845" i="14"/>
  <c r="K858" i="14" s="1"/>
  <c r="L845" i="14"/>
  <c r="L858" i="14" s="1"/>
  <c r="K844" i="14"/>
  <c r="K849" i="14" s="1"/>
  <c r="G845" i="14"/>
  <c r="G858" i="14" s="1"/>
  <c r="L844" i="14"/>
  <c r="L849" i="14" s="1"/>
  <c r="I845" i="14"/>
  <c r="I858" i="14" s="1"/>
  <c r="F844" i="14"/>
  <c r="G844" i="14"/>
  <c r="G849" i="14" s="1"/>
  <c r="D869" i="14"/>
  <c r="F845" i="14"/>
  <c r="F858" i="14" s="1"/>
  <c r="M844" i="14"/>
  <c r="E844" i="14"/>
  <c r="E845" i="14"/>
  <c r="E858" i="14" s="1"/>
  <c r="H844" i="14"/>
  <c r="D870" i="14"/>
  <c r="H845" i="14"/>
  <c r="H858" i="14" s="1"/>
  <c r="J863" i="14"/>
  <c r="I844" i="14"/>
  <c r="I849" i="14" s="1"/>
  <c r="M845" i="14"/>
  <c r="M858" i="14" s="1"/>
  <c r="D891" i="14"/>
  <c r="D904" i="14" s="1"/>
  <c r="G891" i="14"/>
  <c r="G904" i="14" s="1"/>
  <c r="F891" i="14"/>
  <c r="F904" i="14" s="1"/>
  <c r="D916" i="14"/>
  <c r="J909" i="14"/>
  <c r="M890" i="14"/>
  <c r="M895" i="14" s="1"/>
  <c r="M891" i="14"/>
  <c r="M904" i="14" s="1"/>
  <c r="L890" i="14"/>
  <c r="K890" i="14"/>
  <c r="K895" i="14" s="1"/>
  <c r="K891" i="14"/>
  <c r="K904" i="14" s="1"/>
  <c r="J890" i="14"/>
  <c r="J891" i="14"/>
  <c r="J904" i="14" s="1"/>
  <c r="I890" i="14"/>
  <c r="I895" i="14" s="1"/>
  <c r="I891" i="14"/>
  <c r="I904" i="14" s="1"/>
  <c r="D890" i="14"/>
  <c r="D895" i="14" s="1"/>
  <c r="G890" i="14"/>
  <c r="G895" i="14" s="1"/>
  <c r="F890" i="14"/>
  <c r="F895" i="14" s="1"/>
  <c r="E890" i="14"/>
  <c r="E891" i="14"/>
  <c r="E904" i="14" s="1"/>
  <c r="L891" i="14"/>
  <c r="L904" i="14" s="1"/>
  <c r="H890" i="14"/>
  <c r="D915" i="14"/>
  <c r="H891" i="14"/>
  <c r="H904" i="14" s="1"/>
  <c r="E936" i="14"/>
  <c r="H937" i="14"/>
  <c r="H950" i="14" s="1"/>
  <c r="D961" i="14"/>
  <c r="D962" i="14"/>
  <c r="H936" i="14"/>
  <c r="I937" i="14"/>
  <c r="I950" i="14" s="1"/>
  <c r="J937" i="14"/>
  <c r="J950" i="14" s="1"/>
  <c r="M937" i="14"/>
  <c r="M950" i="14" s="1"/>
  <c r="E937" i="14"/>
  <c r="E950" i="14" s="1"/>
  <c r="F936" i="14"/>
  <c r="I936" i="14"/>
  <c r="I941" i="14" s="1"/>
  <c r="L936" i="14"/>
  <c r="L937" i="14"/>
  <c r="L950" i="14" s="1"/>
  <c r="J936" i="14"/>
  <c r="J941" i="14" s="1"/>
  <c r="K937" i="14"/>
  <c r="K950" i="14" s="1"/>
  <c r="J955" i="14"/>
  <c r="K936" i="14"/>
  <c r="K941" i="14" s="1"/>
  <c r="G937" i="14"/>
  <c r="G950" i="14" s="1"/>
  <c r="M936" i="14"/>
  <c r="M941" i="14" s="1"/>
  <c r="G936" i="14"/>
  <c r="G941" i="14" s="1"/>
  <c r="F937" i="14"/>
  <c r="F950" i="14" s="1"/>
  <c r="G660" i="14"/>
  <c r="K661" i="14"/>
  <c r="K674" i="14" s="1"/>
  <c r="D685" i="14"/>
  <c r="G661" i="14"/>
  <c r="G674" i="14" s="1"/>
  <c r="F660" i="14"/>
  <c r="L661" i="14"/>
  <c r="L674" i="14" s="1"/>
  <c r="J679" i="14"/>
  <c r="H660" i="14"/>
  <c r="E661" i="14"/>
  <c r="E674" i="14" s="1"/>
  <c r="D686" i="14"/>
  <c r="M661" i="14"/>
  <c r="M674" i="14" s="1"/>
  <c r="E660" i="14"/>
  <c r="E665" i="14" s="1"/>
  <c r="F661" i="14"/>
  <c r="F674" i="14" s="1"/>
  <c r="L660" i="14"/>
  <c r="L665" i="14" s="1"/>
  <c r="M660" i="14"/>
  <c r="M665" i="14" s="1"/>
  <c r="H661" i="14"/>
  <c r="H674" i="14" s="1"/>
  <c r="I661" i="14"/>
  <c r="I674" i="14" s="1"/>
  <c r="I660" i="14"/>
  <c r="I665" i="14" s="1"/>
  <c r="K660" i="14"/>
  <c r="K665" i="14" s="1"/>
  <c r="J661" i="14"/>
  <c r="J674" i="14" s="1"/>
  <c r="J660" i="14"/>
  <c r="J665" i="14" s="1"/>
  <c r="F982" i="14"/>
  <c r="J1001" i="14"/>
  <c r="M982" i="14"/>
  <c r="M983" i="14"/>
  <c r="M996" i="14" s="1"/>
  <c r="F983" i="14"/>
  <c r="F996" i="14" s="1"/>
  <c r="I982" i="14"/>
  <c r="E983" i="14"/>
  <c r="E996" i="14" s="1"/>
  <c r="J982" i="14"/>
  <c r="L982" i="14"/>
  <c r="L983" i="14"/>
  <c r="L996" i="14" s="1"/>
  <c r="H982" i="14"/>
  <c r="K982" i="14"/>
  <c r="K983" i="14"/>
  <c r="K996" i="14" s="1"/>
  <c r="E982" i="14"/>
  <c r="E987" i="14" s="1"/>
  <c r="D1007" i="14"/>
  <c r="D1008" i="14"/>
  <c r="I983" i="14"/>
  <c r="I996" i="14" s="1"/>
  <c r="H983" i="14"/>
  <c r="H996" i="14" s="1"/>
  <c r="G982" i="14"/>
  <c r="J983" i="14"/>
  <c r="J996" i="14" s="1"/>
  <c r="G983" i="14"/>
  <c r="G996" i="14" s="1"/>
  <c r="F1028" i="14"/>
  <c r="E1028" i="14"/>
  <c r="D1053" i="14"/>
  <c r="I1028" i="14"/>
  <c r="I1029" i="14"/>
  <c r="I1042" i="14" s="1"/>
  <c r="D1054" i="14"/>
  <c r="F1029" i="14"/>
  <c r="F1042" i="14" s="1"/>
  <c r="H1028" i="14"/>
  <c r="H1029" i="14"/>
  <c r="H1042" i="14" s="1"/>
  <c r="L1029" i="14"/>
  <c r="L1042" i="14" s="1"/>
  <c r="M1029" i="14"/>
  <c r="M1042" i="14" s="1"/>
  <c r="M1028" i="14"/>
  <c r="M1033" i="14" s="1"/>
  <c r="E1029" i="14"/>
  <c r="E1042" i="14" s="1"/>
  <c r="J1028" i="14"/>
  <c r="J1047" i="14"/>
  <c r="K1028" i="14"/>
  <c r="L1028" i="14"/>
  <c r="L1033" i="14" s="1"/>
  <c r="G1029" i="14"/>
  <c r="G1042" i="14" s="1"/>
  <c r="G1028" i="14"/>
  <c r="G1033" i="14" s="1"/>
  <c r="J1029" i="14"/>
  <c r="J1042" i="14" s="1"/>
  <c r="K1029" i="14"/>
  <c r="K1042" i="14" s="1"/>
  <c r="J1093" i="14"/>
  <c r="M1074" i="14"/>
  <c r="E1075" i="14"/>
  <c r="E1088" i="14" s="1"/>
  <c r="E1074" i="14"/>
  <c r="E1079" i="14" s="1"/>
  <c r="F1075" i="14"/>
  <c r="F1088" i="14" s="1"/>
  <c r="F1074" i="14"/>
  <c r="F1079" i="14" s="1"/>
  <c r="G1075" i="14"/>
  <c r="G1088" i="14" s="1"/>
  <c r="G1074" i="14"/>
  <c r="G1079" i="14" s="1"/>
  <c r="I1074" i="14"/>
  <c r="K1075" i="14"/>
  <c r="K1088" i="14" s="1"/>
  <c r="K1074" i="14"/>
  <c r="K1079" i="14" s="1"/>
  <c r="L1075" i="14"/>
  <c r="L1088" i="14" s="1"/>
  <c r="M1075" i="14"/>
  <c r="M1088" i="14" s="1"/>
  <c r="L1074" i="14"/>
  <c r="L1079" i="14" s="1"/>
  <c r="J1075" i="14"/>
  <c r="J1088" i="14" s="1"/>
  <c r="H1075" i="14"/>
  <c r="H1088" i="14" s="1"/>
  <c r="D1100" i="14"/>
  <c r="J1074" i="14"/>
  <c r="J1079" i="14" s="1"/>
  <c r="D1099" i="14"/>
  <c r="H1074" i="14"/>
  <c r="H1079" i="14" s="1"/>
  <c r="I1075" i="14"/>
  <c r="I1088" i="14" s="1"/>
  <c r="J1120" i="14"/>
  <c r="K1121" i="14"/>
  <c r="K1134" i="14" s="1"/>
  <c r="L1121" i="14"/>
  <c r="L1134" i="14" s="1"/>
  <c r="J1121" i="14"/>
  <c r="J1134" i="14" s="1"/>
  <c r="D1146" i="14"/>
  <c r="J1139" i="14"/>
  <c r="D1145" i="14"/>
  <c r="E1121" i="14"/>
  <c r="E1134" i="14" s="1"/>
  <c r="K1120" i="14"/>
  <c r="K1125" i="14" s="1"/>
  <c r="L1120" i="14"/>
  <c r="L1125" i="14" s="1"/>
  <c r="E1120" i="14"/>
  <c r="E1125" i="14" s="1"/>
  <c r="M1120" i="14"/>
  <c r="I1121" i="14"/>
  <c r="I1134" i="14" s="1"/>
  <c r="F1121" i="14"/>
  <c r="F1134" i="14" s="1"/>
  <c r="F1120" i="14"/>
  <c r="F1125" i="14" s="1"/>
  <c r="G1120" i="14"/>
  <c r="M1121" i="14"/>
  <c r="M1134" i="14" s="1"/>
  <c r="H1121" i="14"/>
  <c r="H1134" i="14" s="1"/>
  <c r="H1120" i="14"/>
  <c r="H1125" i="14" s="1"/>
  <c r="I1120" i="14"/>
  <c r="I1125" i="14" s="1"/>
  <c r="G1121" i="14"/>
  <c r="G1134" i="14" s="1"/>
  <c r="E1167" i="14"/>
  <c r="E1180" i="14" s="1"/>
  <c r="E1166" i="14"/>
  <c r="E1171" i="14" s="1"/>
  <c r="F1167" i="14"/>
  <c r="F1180" i="14" s="1"/>
  <c r="F1166" i="14"/>
  <c r="F1171" i="14" s="1"/>
  <c r="G1167" i="14"/>
  <c r="G1180" i="14" s="1"/>
  <c r="G1166" i="14"/>
  <c r="G1171" i="14" s="1"/>
  <c r="H1167" i="14"/>
  <c r="H1180" i="14" s="1"/>
  <c r="H1166" i="14"/>
  <c r="H1171" i="14" s="1"/>
  <c r="I1167" i="14"/>
  <c r="I1180" i="14" s="1"/>
  <c r="I1166" i="14"/>
  <c r="I1171" i="14" s="1"/>
  <c r="J1167" i="14"/>
  <c r="J1180" i="14" s="1"/>
  <c r="J1166" i="14"/>
  <c r="J1171" i="14" s="1"/>
  <c r="K1167" i="14"/>
  <c r="K1180" i="14" s="1"/>
  <c r="K1166" i="14"/>
  <c r="K1171" i="14" s="1"/>
  <c r="L1167" i="14"/>
  <c r="L1180" i="14" s="1"/>
  <c r="L1166" i="14"/>
  <c r="L1171" i="14" s="1"/>
  <c r="M1166" i="14"/>
  <c r="M1167" i="14"/>
  <c r="M1180" i="14" s="1"/>
  <c r="D1192" i="14"/>
  <c r="J1185" i="14"/>
  <c r="D1191" i="14"/>
  <c r="D1213" i="14"/>
  <c r="D1226" i="14" s="1"/>
  <c r="E1212" i="14"/>
  <c r="L1212" i="14"/>
  <c r="J1231" i="14"/>
  <c r="M1213" i="14"/>
  <c r="M1226" i="14" s="1"/>
  <c r="I1213" i="14"/>
  <c r="I1226" i="14" s="1"/>
  <c r="H1212" i="14"/>
  <c r="G1212" i="14"/>
  <c r="H1213" i="14"/>
  <c r="H1226" i="14" s="1"/>
  <c r="I1212" i="14"/>
  <c r="I1217" i="14" s="1"/>
  <c r="E1213" i="14"/>
  <c r="E1226" i="14" s="1"/>
  <c r="D1238" i="14"/>
  <c r="F1212" i="14"/>
  <c r="L1213" i="14"/>
  <c r="L1226" i="14" s="1"/>
  <c r="K1212" i="14"/>
  <c r="K1213" i="14"/>
  <c r="K1226" i="14" s="1"/>
  <c r="J1212" i="14"/>
  <c r="F1213" i="14"/>
  <c r="F1226" i="14" s="1"/>
  <c r="G1213" i="14"/>
  <c r="G1226" i="14" s="1"/>
  <c r="J1213" i="14"/>
  <c r="J1226" i="14" s="1"/>
  <c r="M1212" i="14"/>
  <c r="M1217" i="14" s="1"/>
  <c r="D1212" i="14"/>
  <c r="D1217" i="14" s="1"/>
  <c r="D1237" i="14"/>
  <c r="L2914" i="6"/>
  <c r="K2914" i="6"/>
  <c r="L2915" i="6"/>
  <c r="L2928" i="6" s="1"/>
  <c r="E2915" i="6"/>
  <c r="E2928" i="6" s="1"/>
  <c r="I2915" i="6"/>
  <c r="I2928" i="6" s="1"/>
  <c r="H2914" i="6"/>
  <c r="K2915" i="6"/>
  <c r="K2928" i="6" s="1"/>
  <c r="J2914" i="6"/>
  <c r="H2915" i="6"/>
  <c r="H2928" i="6" s="1"/>
  <c r="J2933" i="6"/>
  <c r="G2914" i="6"/>
  <c r="J2915" i="6"/>
  <c r="J2928" i="6" s="1"/>
  <c r="I2914" i="6"/>
  <c r="I2919" i="6" s="1"/>
  <c r="M2914" i="6"/>
  <c r="M2915" i="6"/>
  <c r="M2928" i="6" s="1"/>
  <c r="D2939" i="6"/>
  <c r="D2940" i="6"/>
  <c r="G2915" i="6"/>
  <c r="G2928" i="6" s="1"/>
  <c r="E2914" i="6"/>
  <c r="E2919" i="6" s="1"/>
  <c r="F2961" i="6"/>
  <c r="F2974" i="6" s="1"/>
  <c r="J2961" i="6"/>
  <c r="J2974" i="6" s="1"/>
  <c r="E2960" i="6"/>
  <c r="J2960" i="6"/>
  <c r="J2965" i="6" s="1"/>
  <c r="K2961" i="6"/>
  <c r="K2974" i="6" s="1"/>
  <c r="K2960" i="6"/>
  <c r="K2965" i="6" s="1"/>
  <c r="F2960" i="6"/>
  <c r="F2965" i="6" s="1"/>
  <c r="L2960" i="6"/>
  <c r="D2985" i="6"/>
  <c r="L2961" i="6"/>
  <c r="L2974" i="6" s="1"/>
  <c r="M2961" i="6"/>
  <c r="M2974" i="6" s="1"/>
  <c r="E2961" i="6"/>
  <c r="E2974" i="6" s="1"/>
  <c r="M2960" i="6"/>
  <c r="M2965" i="6" s="1"/>
  <c r="D2986" i="6"/>
  <c r="G2961" i="6"/>
  <c r="G2974" i="6" s="1"/>
  <c r="G2960" i="6"/>
  <c r="G2965" i="6" s="1"/>
  <c r="H2961" i="6"/>
  <c r="H2974" i="6" s="1"/>
  <c r="J2979" i="6"/>
  <c r="H2960" i="6"/>
  <c r="H2965" i="6" s="1"/>
  <c r="I2961" i="6"/>
  <c r="I2974" i="6" s="1"/>
  <c r="I2960" i="6"/>
  <c r="I2965" i="6" s="1"/>
  <c r="J1489" i="14"/>
  <c r="J1502" i="14" s="1"/>
  <c r="G1488" i="14"/>
  <c r="L1489" i="14"/>
  <c r="L1502" i="14" s="1"/>
  <c r="F1489" i="14"/>
  <c r="F1502" i="14" s="1"/>
  <c r="I1488" i="14"/>
  <c r="K1488" i="14"/>
  <c r="F1488" i="14"/>
  <c r="F1493" i="14" s="1"/>
  <c r="I1489" i="14"/>
  <c r="I1502" i="14" s="1"/>
  <c r="D1513" i="14"/>
  <c r="L1488" i="14"/>
  <c r="L1493" i="14" s="1"/>
  <c r="G1489" i="14"/>
  <c r="G1502" i="14" s="1"/>
  <c r="E1488" i="14"/>
  <c r="E1489" i="14"/>
  <c r="E1502" i="14" s="1"/>
  <c r="M1488" i="14"/>
  <c r="M1489" i="14"/>
  <c r="M1502" i="14" s="1"/>
  <c r="J1488" i="14"/>
  <c r="J1493" i="14" s="1"/>
  <c r="K1489" i="14"/>
  <c r="K1502" i="14" s="1"/>
  <c r="D1514" i="14"/>
  <c r="H1489" i="14"/>
  <c r="H1502" i="14" s="1"/>
  <c r="J1507" i="14"/>
  <c r="H1488" i="14"/>
  <c r="H1493" i="14" s="1"/>
  <c r="D1535" i="14"/>
  <c r="D1548" i="14" s="1"/>
  <c r="G1534" i="14"/>
  <c r="K1534" i="14"/>
  <c r="G1535" i="14"/>
  <c r="G1548" i="14" s="1"/>
  <c r="F1534" i="14"/>
  <c r="F1535" i="14"/>
  <c r="F1548" i="14" s="1"/>
  <c r="E1534" i="14"/>
  <c r="D1560" i="14"/>
  <c r="J1553" i="14"/>
  <c r="H1535" i="14"/>
  <c r="H1548" i="14" s="1"/>
  <c r="L1535" i="14"/>
  <c r="L1548" i="14" s="1"/>
  <c r="E1535" i="14"/>
  <c r="E1548" i="14" s="1"/>
  <c r="J1535" i="14"/>
  <c r="J1548" i="14" s="1"/>
  <c r="I1534" i="14"/>
  <c r="J1534" i="14"/>
  <c r="J1539" i="14" s="1"/>
  <c r="K1535" i="14"/>
  <c r="K1548" i="14" s="1"/>
  <c r="L1534" i="14"/>
  <c r="L1539" i="14" s="1"/>
  <c r="M1534" i="14"/>
  <c r="M1535" i="14"/>
  <c r="M1548" i="14" s="1"/>
  <c r="D1534" i="14"/>
  <c r="D1539" i="14" s="1"/>
  <c r="D1559" i="14"/>
  <c r="I1535" i="14"/>
  <c r="I1548" i="14" s="1"/>
  <c r="H1534" i="14"/>
  <c r="H1539" i="14" s="1"/>
  <c r="J3071" i="6"/>
  <c r="D3078" i="6"/>
  <c r="I3052" i="6"/>
  <c r="M3052" i="6"/>
  <c r="M3053" i="6"/>
  <c r="M3066" i="6" s="1"/>
  <c r="D3077" i="6"/>
  <c r="L3052" i="6"/>
  <c r="L3053" i="6"/>
  <c r="L3066" i="6" s="1"/>
  <c r="K3052" i="6"/>
  <c r="K3053" i="6"/>
  <c r="K3066" i="6" s="1"/>
  <c r="J3052" i="6"/>
  <c r="J3053" i="6"/>
  <c r="J3066" i="6" s="1"/>
  <c r="I3053" i="6"/>
  <c r="I3066" i="6" s="1"/>
  <c r="H3052" i="6"/>
  <c r="H3053" i="6"/>
  <c r="H3066" i="6" s="1"/>
  <c r="G3052" i="6"/>
  <c r="G3053" i="6"/>
  <c r="G3066" i="6" s="1"/>
  <c r="F3052" i="6"/>
  <c r="F3053" i="6"/>
  <c r="F3066" i="6" s="1"/>
  <c r="E3052" i="6"/>
  <c r="E3053" i="6"/>
  <c r="E3066" i="6" s="1"/>
  <c r="J3098" i="6"/>
  <c r="L3099" i="6"/>
  <c r="L3112" i="6" s="1"/>
  <c r="E3099" i="6"/>
  <c r="E3112" i="6" s="1"/>
  <c r="D3123" i="6"/>
  <c r="E3098" i="6"/>
  <c r="E3103" i="6" s="1"/>
  <c r="F3099" i="6"/>
  <c r="F3112" i="6" s="1"/>
  <c r="F3098" i="6"/>
  <c r="F3103" i="6" s="1"/>
  <c r="G3099" i="6"/>
  <c r="G3112" i="6" s="1"/>
  <c r="G3098" i="6"/>
  <c r="G3103" i="6" s="1"/>
  <c r="K3099" i="6"/>
  <c r="K3112" i="6" s="1"/>
  <c r="D3124" i="6"/>
  <c r="H3099" i="6"/>
  <c r="H3112" i="6" s="1"/>
  <c r="H3098" i="6"/>
  <c r="H3103" i="6" s="1"/>
  <c r="I3099" i="6"/>
  <c r="I3112" i="6" s="1"/>
  <c r="I3098" i="6"/>
  <c r="I3103" i="6" s="1"/>
  <c r="J3099" i="6"/>
  <c r="J3112" i="6" s="1"/>
  <c r="K3098" i="6"/>
  <c r="K3103" i="6" s="1"/>
  <c r="M3098" i="6"/>
  <c r="M3099" i="6"/>
  <c r="M3112" i="6" s="1"/>
  <c r="L3098" i="6"/>
  <c r="L3103" i="6" s="1"/>
  <c r="J3117" i="6"/>
  <c r="G3282" i="6"/>
  <c r="H3283" i="6"/>
  <c r="H3296" i="6" s="1"/>
  <c r="H3282" i="6"/>
  <c r="H3287" i="6" s="1"/>
  <c r="I3283" i="6"/>
  <c r="I3296" i="6" s="1"/>
  <c r="I3282" i="6"/>
  <c r="I3287" i="6" s="1"/>
  <c r="J3283" i="6"/>
  <c r="J3296" i="6" s="1"/>
  <c r="D3307" i="6"/>
  <c r="J3282" i="6"/>
  <c r="J3287" i="6" s="1"/>
  <c r="K3283" i="6"/>
  <c r="K3296" i="6" s="1"/>
  <c r="K3282" i="6"/>
  <c r="K3287" i="6" s="1"/>
  <c r="L3283" i="6"/>
  <c r="L3296" i="6" s="1"/>
  <c r="M3283" i="6"/>
  <c r="M3296" i="6" s="1"/>
  <c r="M3282" i="6"/>
  <c r="M3287" i="6" s="1"/>
  <c r="J3301" i="6"/>
  <c r="L3282" i="6"/>
  <c r="L3287" i="6" s="1"/>
  <c r="E3283" i="6"/>
  <c r="E3296" i="6" s="1"/>
  <c r="E3282" i="6"/>
  <c r="E3287" i="6" s="1"/>
  <c r="F3283" i="6"/>
  <c r="F3296" i="6" s="1"/>
  <c r="D3308" i="6"/>
  <c r="F3282" i="6"/>
  <c r="F3287" i="6" s="1"/>
  <c r="G3283" i="6"/>
  <c r="G3296" i="6" s="1"/>
  <c r="E3421" i="6"/>
  <c r="E3434" i="6" s="1"/>
  <c r="J3420" i="6"/>
  <c r="G3421" i="6"/>
  <c r="G3434" i="6" s="1"/>
  <c r="K3421" i="6"/>
  <c r="K3434" i="6" s="1"/>
  <c r="K3420" i="6"/>
  <c r="K3425" i="6" s="1"/>
  <c r="L3421" i="6"/>
  <c r="L3434" i="6" s="1"/>
  <c r="L3420" i="6"/>
  <c r="L3425" i="6" s="1"/>
  <c r="D3445" i="6"/>
  <c r="M3421" i="6"/>
  <c r="M3434" i="6" s="1"/>
  <c r="M3420" i="6"/>
  <c r="M3425" i="6" s="1"/>
  <c r="D3446" i="6"/>
  <c r="I3420" i="6"/>
  <c r="J3439" i="6"/>
  <c r="F3421" i="6"/>
  <c r="F3434" i="6" s="1"/>
  <c r="E3420" i="6"/>
  <c r="E3425" i="6" s="1"/>
  <c r="J3421" i="6"/>
  <c r="J3434" i="6" s="1"/>
  <c r="I3421" i="6"/>
  <c r="I3434" i="6" s="1"/>
  <c r="H3420" i="6"/>
  <c r="H3421" i="6"/>
  <c r="H3434" i="6" s="1"/>
  <c r="G3420" i="6"/>
  <c r="G3425" i="6" s="1"/>
  <c r="F3420" i="6"/>
  <c r="F3425" i="6" s="1"/>
  <c r="D3491" i="6"/>
  <c r="K3466" i="6"/>
  <c r="D3492" i="6"/>
  <c r="E3467" i="6"/>
  <c r="E3480" i="6" s="1"/>
  <c r="K3467" i="6"/>
  <c r="K3480" i="6" s="1"/>
  <c r="J3466" i="6"/>
  <c r="J3467" i="6"/>
  <c r="J3480" i="6" s="1"/>
  <c r="F3467" i="6"/>
  <c r="F3480" i="6" s="1"/>
  <c r="I3466" i="6"/>
  <c r="I3467" i="6"/>
  <c r="I3480" i="6" s="1"/>
  <c r="F3466" i="6"/>
  <c r="F3471" i="6" s="1"/>
  <c r="G3467" i="6"/>
  <c r="G3480" i="6" s="1"/>
  <c r="L3466" i="6"/>
  <c r="L3467" i="6"/>
  <c r="L3480" i="6" s="1"/>
  <c r="J3485" i="6"/>
  <c r="H3466" i="6"/>
  <c r="E3466" i="6"/>
  <c r="E3471" i="6" s="1"/>
  <c r="H3467" i="6"/>
  <c r="H3480" i="6" s="1"/>
  <c r="G3466" i="6"/>
  <c r="G3471" i="6" s="1"/>
  <c r="M3466" i="6"/>
  <c r="M3467" i="6"/>
  <c r="M3480" i="6" s="1"/>
  <c r="H1258" i="14"/>
  <c r="H1259" i="14"/>
  <c r="H1272" i="14" s="1"/>
  <c r="G1258" i="14"/>
  <c r="G1259" i="14"/>
  <c r="G1272" i="14" s="1"/>
  <c r="F1258" i="14"/>
  <c r="L1258" i="14"/>
  <c r="F1259" i="14"/>
  <c r="F1272" i="14" s="1"/>
  <c r="E1259" i="14"/>
  <c r="E1272" i="14" s="1"/>
  <c r="J1277" i="14"/>
  <c r="D1284" i="14"/>
  <c r="M1259" i="14"/>
  <c r="M1272" i="14" s="1"/>
  <c r="D1283" i="14"/>
  <c r="M1258" i="14"/>
  <c r="M1263" i="14" s="1"/>
  <c r="J1258" i="14"/>
  <c r="K1258" i="14"/>
  <c r="K1259" i="14"/>
  <c r="K1272" i="14" s="1"/>
  <c r="E1258" i="14"/>
  <c r="E1263" i="14" s="1"/>
  <c r="J1259" i="14"/>
  <c r="J1272" i="14" s="1"/>
  <c r="I1258" i="14"/>
  <c r="I1259" i="14"/>
  <c r="I1272" i="14" s="1"/>
  <c r="L1259" i="14"/>
  <c r="L1272" i="14" s="1"/>
  <c r="M1304" i="14"/>
  <c r="F1304" i="14"/>
  <c r="D1329" i="14"/>
  <c r="G1305" i="14"/>
  <c r="G1318" i="14" s="1"/>
  <c r="G1304" i="14"/>
  <c r="G1309" i="14" s="1"/>
  <c r="H1304" i="14"/>
  <c r="H1305" i="14"/>
  <c r="H1318" i="14" s="1"/>
  <c r="I1305" i="14"/>
  <c r="I1318" i="14" s="1"/>
  <c r="I1304" i="14"/>
  <c r="I1309" i="14" s="1"/>
  <c r="J1305" i="14"/>
  <c r="J1318" i="14" s="1"/>
  <c r="J1304" i="14"/>
  <c r="J1309" i="14" s="1"/>
  <c r="J1323" i="14"/>
  <c r="D1330" i="14"/>
  <c r="K1305" i="14"/>
  <c r="K1318" i="14" s="1"/>
  <c r="K1304" i="14"/>
  <c r="K1309" i="14" s="1"/>
  <c r="L1305" i="14"/>
  <c r="L1318" i="14" s="1"/>
  <c r="F1305" i="14"/>
  <c r="F1318" i="14" s="1"/>
  <c r="L1304" i="14"/>
  <c r="L1309" i="14" s="1"/>
  <c r="M1305" i="14"/>
  <c r="M1318" i="14" s="1"/>
  <c r="E1305" i="14"/>
  <c r="E1318" i="14" s="1"/>
  <c r="E1304" i="14"/>
  <c r="E1309" i="14" s="1"/>
  <c r="K1350" i="14"/>
  <c r="K1351" i="14"/>
  <c r="K1364" i="14" s="1"/>
  <c r="J1350" i="14"/>
  <c r="J1351" i="14"/>
  <c r="J1364" i="14" s="1"/>
  <c r="F1350" i="14"/>
  <c r="I1351" i="14"/>
  <c r="I1364" i="14" s="1"/>
  <c r="H1350" i="14"/>
  <c r="H1351" i="14"/>
  <c r="H1364" i="14" s="1"/>
  <c r="D1376" i="14"/>
  <c r="L1351" i="14"/>
  <c r="L1364" i="14" s="1"/>
  <c r="D1375" i="14"/>
  <c r="J1369" i="14"/>
  <c r="M1351" i="14"/>
  <c r="M1364" i="14" s="1"/>
  <c r="L1350" i="14"/>
  <c r="L1355" i="14" s="1"/>
  <c r="M1350" i="14"/>
  <c r="M1355" i="14" s="1"/>
  <c r="I1350" i="14"/>
  <c r="I1355" i="14" s="1"/>
  <c r="E1351" i="14"/>
  <c r="E1364" i="14" s="1"/>
  <c r="E1350" i="14"/>
  <c r="E1355" i="14" s="1"/>
  <c r="F1351" i="14"/>
  <c r="F1364" i="14" s="1"/>
  <c r="G1351" i="14"/>
  <c r="G1364" i="14" s="1"/>
  <c r="G1350" i="14"/>
  <c r="G1355" i="14" s="1"/>
  <c r="G1396" i="14"/>
  <c r="H1397" i="14"/>
  <c r="H1410" i="14" s="1"/>
  <c r="H1396" i="14"/>
  <c r="H1401" i="14" s="1"/>
  <c r="I1397" i="14"/>
  <c r="I1410" i="14" s="1"/>
  <c r="D1422" i="14"/>
  <c r="F1397" i="14"/>
  <c r="F1410" i="14" s="1"/>
  <c r="D1421" i="14"/>
  <c r="I1396" i="14"/>
  <c r="I1401" i="14" s="1"/>
  <c r="L1396" i="14"/>
  <c r="L1397" i="14"/>
  <c r="L1410" i="14" s="1"/>
  <c r="E1397" i="14"/>
  <c r="E1410" i="14" s="1"/>
  <c r="K1397" i="14"/>
  <c r="K1410" i="14" s="1"/>
  <c r="J1396" i="14"/>
  <c r="J1397" i="14"/>
  <c r="J1410" i="14" s="1"/>
  <c r="M1396" i="14"/>
  <c r="M1397" i="14"/>
  <c r="M1410" i="14" s="1"/>
  <c r="J1415" i="14"/>
  <c r="E1396" i="14"/>
  <c r="E1401" i="14" s="1"/>
  <c r="K1396" i="14"/>
  <c r="K1401" i="14" s="1"/>
  <c r="F1396" i="14"/>
  <c r="F1401" i="14" s="1"/>
  <c r="G1397" i="14"/>
  <c r="G1410" i="14" s="1"/>
  <c r="M1442" i="14"/>
  <c r="K1443" i="14"/>
  <c r="K1456" i="14" s="1"/>
  <c r="J1442" i="14"/>
  <c r="H1443" i="14"/>
  <c r="H1456" i="14" s="1"/>
  <c r="J1443" i="14"/>
  <c r="J1456" i="14" s="1"/>
  <c r="I1442" i="14"/>
  <c r="G1442" i="14"/>
  <c r="I1443" i="14"/>
  <c r="I1456" i="14" s="1"/>
  <c r="D1468" i="14"/>
  <c r="J1461" i="14"/>
  <c r="H1442" i="14"/>
  <c r="H1447" i="14" s="1"/>
  <c r="E1442" i="14"/>
  <c r="D1467" i="14"/>
  <c r="G1443" i="14"/>
  <c r="G1456" i="14" s="1"/>
  <c r="F1442" i="14"/>
  <c r="E1443" i="14"/>
  <c r="E1456" i="14" s="1"/>
  <c r="F1443" i="14"/>
  <c r="F1456" i="14" s="1"/>
  <c r="M1443" i="14"/>
  <c r="M1456" i="14" s="1"/>
  <c r="L1442" i="14"/>
  <c r="L1443" i="14"/>
  <c r="L1456" i="14" s="1"/>
  <c r="K1442" i="14"/>
  <c r="M1580" i="14"/>
  <c r="H1581" i="14"/>
  <c r="H1594" i="14" s="1"/>
  <c r="F1581" i="14"/>
  <c r="F1594" i="14" s="1"/>
  <c r="H1580" i="14"/>
  <c r="H1585" i="14" s="1"/>
  <c r="L1580" i="14"/>
  <c r="L1581" i="14"/>
  <c r="L1594" i="14" s="1"/>
  <c r="G1580" i="14"/>
  <c r="D1606" i="14"/>
  <c r="D1605" i="14"/>
  <c r="J1599" i="14"/>
  <c r="I1581" i="14"/>
  <c r="I1594" i="14" s="1"/>
  <c r="M1581" i="14"/>
  <c r="M1594" i="14" s="1"/>
  <c r="K1580" i="14"/>
  <c r="J1580" i="14"/>
  <c r="I1580" i="14"/>
  <c r="I1585" i="14" s="1"/>
  <c r="K1581" i="14"/>
  <c r="K1594" i="14" s="1"/>
  <c r="J1581" i="14"/>
  <c r="J1594" i="14" s="1"/>
  <c r="G1581" i="14"/>
  <c r="G1594" i="14" s="1"/>
  <c r="F1580" i="14"/>
  <c r="F1585" i="14" s="1"/>
  <c r="E1580" i="14"/>
  <c r="E1581" i="14"/>
  <c r="E1594" i="14" s="1"/>
  <c r="M1626" i="14"/>
  <c r="L1627" i="14"/>
  <c r="L1640" i="14" s="1"/>
  <c r="K1627" i="14"/>
  <c r="K1640" i="14" s="1"/>
  <c r="G1626" i="14"/>
  <c r="D1652" i="14"/>
  <c r="K1626" i="14"/>
  <c r="K1631" i="14" s="1"/>
  <c r="J1645" i="14"/>
  <c r="F1626" i="14"/>
  <c r="E1627" i="14"/>
  <c r="E1640" i="14" s="1"/>
  <c r="F1627" i="14"/>
  <c r="F1640" i="14" s="1"/>
  <c r="E1626" i="14"/>
  <c r="E1631" i="14" s="1"/>
  <c r="G1627" i="14"/>
  <c r="G1640" i="14" s="1"/>
  <c r="H1626" i="14"/>
  <c r="D1651" i="14"/>
  <c r="J1626" i="14"/>
  <c r="H1627" i="14"/>
  <c r="H1640" i="14" s="1"/>
  <c r="J1627" i="14"/>
  <c r="J1640" i="14" s="1"/>
  <c r="I1627" i="14"/>
  <c r="I1640" i="14" s="1"/>
  <c r="M1627" i="14"/>
  <c r="M1640" i="14" s="1"/>
  <c r="L1626" i="14"/>
  <c r="L1631" i="14" s="1"/>
  <c r="I1626" i="14"/>
  <c r="I1631" i="14" s="1"/>
  <c r="D1698" i="14"/>
  <c r="F1673" i="14"/>
  <c r="F1686" i="14" s="1"/>
  <c r="E1672" i="14"/>
  <c r="E1673" i="14"/>
  <c r="E1686" i="14" s="1"/>
  <c r="K1672" i="14"/>
  <c r="L1672" i="14"/>
  <c r="J1691" i="14"/>
  <c r="D1697" i="14"/>
  <c r="I1673" i="14"/>
  <c r="I1686" i="14" s="1"/>
  <c r="M1672" i="14"/>
  <c r="M1673" i="14"/>
  <c r="M1686" i="14" s="1"/>
  <c r="J1672" i="14"/>
  <c r="J1673" i="14"/>
  <c r="J1686" i="14" s="1"/>
  <c r="F1672" i="14"/>
  <c r="F1677" i="14" s="1"/>
  <c r="G1672" i="14"/>
  <c r="H1672" i="14"/>
  <c r="I1672" i="14"/>
  <c r="I1677" i="14" s="1"/>
  <c r="H1673" i="14"/>
  <c r="H1686" i="14" s="1"/>
  <c r="K1673" i="14"/>
  <c r="K1686" i="14" s="1"/>
  <c r="L1673" i="14"/>
  <c r="L1686" i="14" s="1"/>
  <c r="G1673" i="14"/>
  <c r="G1686" i="14" s="1"/>
  <c r="J1737" i="14"/>
  <c r="E1718" i="14"/>
  <c r="F1718" i="14"/>
  <c r="G1718" i="14"/>
  <c r="I1719" i="14"/>
  <c r="I1732" i="14" s="1"/>
  <c r="L1719" i="14"/>
  <c r="L1732" i="14" s="1"/>
  <c r="J1719" i="14"/>
  <c r="J1732" i="14" s="1"/>
  <c r="D1744" i="14"/>
  <c r="J1718" i="14"/>
  <c r="J1723" i="14" s="1"/>
  <c r="G1719" i="14"/>
  <c r="G1732" i="14" s="1"/>
  <c r="E1719" i="14"/>
  <c r="E1732" i="14" s="1"/>
  <c r="M1719" i="14"/>
  <c r="M1732" i="14" s="1"/>
  <c r="K1718" i="14"/>
  <c r="I1718" i="14"/>
  <c r="I1723" i="14" s="1"/>
  <c r="K1719" i="14"/>
  <c r="K1732" i="14" s="1"/>
  <c r="L1718" i="14"/>
  <c r="L1723" i="14" s="1"/>
  <c r="H1718" i="14"/>
  <c r="H1719" i="14"/>
  <c r="H1732" i="14" s="1"/>
  <c r="F1719" i="14"/>
  <c r="F1732" i="14" s="1"/>
  <c r="M1718" i="14"/>
  <c r="M1723" i="14" s="1"/>
  <c r="D1743" i="14"/>
  <c r="H1765" i="14"/>
  <c r="H1778" i="14" s="1"/>
  <c r="L1765" i="14"/>
  <c r="L1778" i="14" s="1"/>
  <c r="J1765" i="14"/>
  <c r="J1778" i="14" s="1"/>
  <c r="F1764" i="14"/>
  <c r="J1783" i="14"/>
  <c r="H1764" i="14"/>
  <c r="H1769" i="14" s="1"/>
  <c r="F1765" i="14"/>
  <c r="F1778" i="14" s="1"/>
  <c r="L1764" i="14"/>
  <c r="L1769" i="14" s="1"/>
  <c r="M1764" i="14"/>
  <c r="M1765" i="14"/>
  <c r="M1778" i="14" s="1"/>
  <c r="K1764" i="14"/>
  <c r="I1764" i="14"/>
  <c r="K1765" i="14"/>
  <c r="K1778" i="14" s="1"/>
  <c r="G1764" i="14"/>
  <c r="I1765" i="14"/>
  <c r="I1778" i="14" s="1"/>
  <c r="D1789" i="14"/>
  <c r="J1764" i="14"/>
  <c r="J1769" i="14" s="1"/>
  <c r="G1765" i="14"/>
  <c r="G1778" i="14" s="1"/>
  <c r="E1765" i="14"/>
  <c r="E1778" i="14" s="1"/>
  <c r="E1764" i="14"/>
  <c r="E1769" i="14" s="1"/>
  <c r="D1790" i="14"/>
  <c r="K1811" i="14"/>
  <c r="K1824" i="14" s="1"/>
  <c r="M1810" i="14"/>
  <c r="J1829" i="14"/>
  <c r="E1811" i="14"/>
  <c r="E1824" i="14" s="1"/>
  <c r="F1810" i="14"/>
  <c r="G1811" i="14"/>
  <c r="G1824" i="14" s="1"/>
  <c r="J1810" i="14"/>
  <c r="K1810" i="14"/>
  <c r="K1815" i="14" s="1"/>
  <c r="F1811" i="14"/>
  <c r="F1824" i="14" s="1"/>
  <c r="E1810" i="14"/>
  <c r="E1815" i="14" s="1"/>
  <c r="D1835" i="14"/>
  <c r="G1810" i="14"/>
  <c r="G1815" i="14" s="1"/>
  <c r="L1811" i="14"/>
  <c r="L1824" i="14" s="1"/>
  <c r="D1836" i="14"/>
  <c r="H1811" i="14"/>
  <c r="H1824" i="14" s="1"/>
  <c r="I1810" i="14"/>
  <c r="M1811" i="14"/>
  <c r="M1824" i="14" s="1"/>
  <c r="H1810" i="14"/>
  <c r="H1815" i="14" s="1"/>
  <c r="I1811" i="14"/>
  <c r="I1824" i="14" s="1"/>
  <c r="J1811" i="14"/>
  <c r="J1824" i="14" s="1"/>
  <c r="L1810" i="14"/>
  <c r="L1815" i="14" s="1"/>
  <c r="D1857" i="14"/>
  <c r="D1870" i="14" s="1"/>
  <c r="M1856" i="14"/>
  <c r="G1857" i="14"/>
  <c r="G1870" i="14" s="1"/>
  <c r="F1856" i="14"/>
  <c r="F1857" i="14"/>
  <c r="F1870" i="14" s="1"/>
  <c r="J1875" i="14"/>
  <c r="D1882" i="14"/>
  <c r="M1857" i="14"/>
  <c r="M1870" i="14" s="1"/>
  <c r="K1856" i="14"/>
  <c r="I1857" i="14"/>
  <c r="I1870" i="14" s="1"/>
  <c r="H1856" i="14"/>
  <c r="G1856" i="14"/>
  <c r="G1861" i="14" s="1"/>
  <c r="J1856" i="14"/>
  <c r="E1857" i="14"/>
  <c r="E1870" i="14" s="1"/>
  <c r="J1857" i="14"/>
  <c r="J1870" i="14" s="1"/>
  <c r="K1857" i="14"/>
  <c r="K1870" i="14" s="1"/>
  <c r="E1856" i="14"/>
  <c r="E1861" i="14" s="1"/>
  <c r="D1881" i="14"/>
  <c r="D1856" i="14"/>
  <c r="D1861" i="14" s="1"/>
  <c r="I1856" i="14"/>
  <c r="I1861" i="14" s="1"/>
  <c r="H1857" i="14"/>
  <c r="H1870" i="14" s="1"/>
  <c r="L1857" i="14"/>
  <c r="L1870" i="14" s="1"/>
  <c r="L1856" i="14"/>
  <c r="L1861" i="14" s="1"/>
  <c r="I3605" i="6"/>
  <c r="I3618" i="6" s="1"/>
  <c r="K3604" i="6"/>
  <c r="M3605" i="6"/>
  <c r="M3618" i="6" s="1"/>
  <c r="D3629" i="6"/>
  <c r="H3605" i="6"/>
  <c r="H3618" i="6" s="1"/>
  <c r="L3605" i="6"/>
  <c r="L3618" i="6" s="1"/>
  <c r="J3623" i="6"/>
  <c r="G3604" i="6"/>
  <c r="G3605" i="6"/>
  <c r="G3618" i="6" s="1"/>
  <c r="F3604" i="6"/>
  <c r="F3605" i="6"/>
  <c r="F3618" i="6" s="1"/>
  <c r="E3604" i="6"/>
  <c r="D3630" i="6"/>
  <c r="J3605" i="6"/>
  <c r="J3618" i="6" s="1"/>
  <c r="J3604" i="6"/>
  <c r="J3609" i="6" s="1"/>
  <c r="E3605" i="6"/>
  <c r="E3618" i="6" s="1"/>
  <c r="M3604" i="6"/>
  <c r="M3609" i="6" s="1"/>
  <c r="I3604" i="6"/>
  <c r="I3609" i="6" s="1"/>
  <c r="L3604" i="6"/>
  <c r="L3609" i="6" s="1"/>
  <c r="K3605" i="6"/>
  <c r="K3618" i="6" s="1"/>
  <c r="H3604" i="6"/>
  <c r="H3609" i="6" s="1"/>
  <c r="K3742" i="6"/>
  <c r="M3742" i="6"/>
  <c r="G3743" i="6"/>
  <c r="G3756" i="6" s="1"/>
  <c r="J3761" i="6"/>
  <c r="I3743" i="6"/>
  <c r="I3756" i="6" s="1"/>
  <c r="F3742" i="6"/>
  <c r="D3768" i="6"/>
  <c r="D3767" i="6"/>
  <c r="E3743" i="6"/>
  <c r="E3756" i="6" s="1"/>
  <c r="E3742" i="6"/>
  <c r="E3747" i="6" s="1"/>
  <c r="F3743" i="6"/>
  <c r="F3756" i="6" s="1"/>
  <c r="M3743" i="6"/>
  <c r="M3756" i="6" s="1"/>
  <c r="L3742" i="6"/>
  <c r="G3742" i="6"/>
  <c r="G3747" i="6" s="1"/>
  <c r="H3743" i="6"/>
  <c r="H3756" i="6" s="1"/>
  <c r="K3743" i="6"/>
  <c r="K3756" i="6" s="1"/>
  <c r="H3742" i="6"/>
  <c r="H3747" i="6" s="1"/>
  <c r="I3742" i="6"/>
  <c r="I3747" i="6" s="1"/>
  <c r="J3742" i="6"/>
  <c r="J3743" i="6"/>
  <c r="J3756" i="6" s="1"/>
  <c r="L3743" i="6"/>
  <c r="L3756" i="6" s="1"/>
  <c r="F3789" i="6"/>
  <c r="F3802" i="6" s="1"/>
  <c r="H3789" i="6"/>
  <c r="H3802" i="6" s="1"/>
  <c r="J3788" i="6"/>
  <c r="K3789" i="6"/>
  <c r="K3802" i="6" s="1"/>
  <c r="K3788" i="6"/>
  <c r="K3793" i="6" s="1"/>
  <c r="M3789" i="6"/>
  <c r="M3802" i="6" s="1"/>
  <c r="J3789" i="6"/>
  <c r="J3802" i="6" s="1"/>
  <c r="D3814" i="6"/>
  <c r="I3789" i="6"/>
  <c r="I3802" i="6" s="1"/>
  <c r="L3789" i="6"/>
  <c r="L3802" i="6" s="1"/>
  <c r="F3788" i="6"/>
  <c r="F3793" i="6" s="1"/>
  <c r="J3807" i="6"/>
  <c r="E3789" i="6"/>
  <c r="E3802" i="6" s="1"/>
  <c r="G3789" i="6"/>
  <c r="G3802" i="6" s="1"/>
  <c r="L3788" i="6"/>
  <c r="L3793" i="6" s="1"/>
  <c r="D3813" i="6"/>
  <c r="G3788" i="6"/>
  <c r="G3793" i="6" s="1"/>
  <c r="E3788" i="6"/>
  <c r="E3793" i="6" s="1"/>
  <c r="H3788" i="6"/>
  <c r="H3793" i="6" s="1"/>
  <c r="M3788" i="6"/>
  <c r="M3793" i="6" s="1"/>
  <c r="I3788" i="6"/>
  <c r="I3793" i="6" s="1"/>
  <c r="M1902" i="14"/>
  <c r="M1903" i="14"/>
  <c r="M1916" i="14" s="1"/>
  <c r="E1902" i="14"/>
  <c r="F1903" i="14"/>
  <c r="F1916" i="14" s="1"/>
  <c r="G1902" i="14"/>
  <c r="I1902" i="14"/>
  <c r="F1902" i="14"/>
  <c r="F1907" i="14" s="1"/>
  <c r="D1927" i="14"/>
  <c r="G1903" i="14"/>
  <c r="G1916" i="14" s="1"/>
  <c r="H1903" i="14"/>
  <c r="H1916" i="14" s="1"/>
  <c r="I1903" i="14"/>
  <c r="I1916" i="14" s="1"/>
  <c r="E1903" i="14"/>
  <c r="E1916" i="14" s="1"/>
  <c r="L1903" i="14"/>
  <c r="L1916" i="14" s="1"/>
  <c r="L1902" i="14"/>
  <c r="L1907" i="14" s="1"/>
  <c r="K1902" i="14"/>
  <c r="K1903" i="14"/>
  <c r="K1916" i="14" s="1"/>
  <c r="J1902" i="14"/>
  <c r="D1928" i="14"/>
  <c r="H1902" i="14"/>
  <c r="H1907" i="14" s="1"/>
  <c r="J1903" i="14"/>
  <c r="J1916" i="14" s="1"/>
  <c r="J1921" i="14"/>
  <c r="E1949" i="14"/>
  <c r="E1962" i="14" s="1"/>
  <c r="H1948" i="14"/>
  <c r="K1948" i="14"/>
  <c r="J1949" i="14"/>
  <c r="J1962" i="14" s="1"/>
  <c r="I1948" i="14"/>
  <c r="G1948" i="14"/>
  <c r="J1948" i="14"/>
  <c r="J1953" i="14" s="1"/>
  <c r="M1949" i="14"/>
  <c r="M1962" i="14" s="1"/>
  <c r="L1949" i="14"/>
  <c r="L1962" i="14" s="1"/>
  <c r="L1948" i="14"/>
  <c r="L1953" i="14" s="1"/>
  <c r="M1948" i="14"/>
  <c r="M1953" i="14" s="1"/>
  <c r="I1949" i="14"/>
  <c r="I1962" i="14" s="1"/>
  <c r="H1949" i="14"/>
  <c r="H1962" i="14" s="1"/>
  <c r="D1973" i="14"/>
  <c r="G1949" i="14"/>
  <c r="G1962" i="14" s="1"/>
  <c r="F1948" i="14"/>
  <c r="F1949" i="14"/>
  <c r="F1962" i="14" s="1"/>
  <c r="D1974" i="14"/>
  <c r="J1967" i="14"/>
  <c r="E1948" i="14"/>
  <c r="E1953" i="14" s="1"/>
  <c r="K1949" i="14"/>
  <c r="K1962" i="14" s="1"/>
  <c r="H1995" i="14"/>
  <c r="H2008" i="14" s="1"/>
  <c r="J1995" i="14"/>
  <c r="J2008" i="14" s="1"/>
  <c r="H1994" i="14"/>
  <c r="H1999" i="14" s="1"/>
  <c r="E1995" i="14"/>
  <c r="E2008" i="14" s="1"/>
  <c r="F1995" i="14"/>
  <c r="F2008" i="14" s="1"/>
  <c r="G1995" i="14"/>
  <c r="G2008" i="14" s="1"/>
  <c r="K1994" i="14"/>
  <c r="L1994" i="14"/>
  <c r="K1995" i="14"/>
  <c r="K2008" i="14" s="1"/>
  <c r="J1994" i="14"/>
  <c r="J1999" i="14" s="1"/>
  <c r="D2019" i="14"/>
  <c r="I1995" i="14"/>
  <c r="I2008" i="14" s="1"/>
  <c r="G1994" i="14"/>
  <c r="G1999" i="14" s="1"/>
  <c r="F1994" i="14"/>
  <c r="F1999" i="14" s="1"/>
  <c r="D2020" i="14"/>
  <c r="I1994" i="14"/>
  <c r="I1999" i="14" s="1"/>
  <c r="J2013" i="14"/>
  <c r="L1995" i="14"/>
  <c r="L2008" i="14" s="1"/>
  <c r="E1994" i="14"/>
  <c r="E1999" i="14" s="1"/>
  <c r="M1994" i="14"/>
  <c r="M1995" i="14"/>
  <c r="M2008" i="14" s="1"/>
  <c r="L2041" i="14"/>
  <c r="L2054" i="14" s="1"/>
  <c r="E2040" i="14"/>
  <c r="G2040" i="14"/>
  <c r="F2041" i="14"/>
  <c r="F2054" i="14" s="1"/>
  <c r="F2040" i="14"/>
  <c r="F2045" i="14" s="1"/>
  <c r="J2041" i="14"/>
  <c r="J2054" i="14" s="1"/>
  <c r="H2040" i="14"/>
  <c r="G2041" i="14"/>
  <c r="G2054" i="14" s="1"/>
  <c r="E2041" i="14"/>
  <c r="E2054" i="14" s="1"/>
  <c r="L2040" i="14"/>
  <c r="L2045" i="14" s="1"/>
  <c r="K2040" i="14"/>
  <c r="J2040" i="14"/>
  <c r="J2045" i="14" s="1"/>
  <c r="M2040" i="14"/>
  <c r="J2059" i="14"/>
  <c r="H2041" i="14"/>
  <c r="H2054" i="14" s="1"/>
  <c r="D2065" i="14"/>
  <c r="M2041" i="14"/>
  <c r="M2054" i="14" s="1"/>
  <c r="I2041" i="14"/>
  <c r="I2054" i="14" s="1"/>
  <c r="I2040" i="14"/>
  <c r="I2045" i="14" s="1"/>
  <c r="K2041" i="14"/>
  <c r="K2054" i="14" s="1"/>
  <c r="D2066" i="14"/>
  <c r="H2086" i="14"/>
  <c r="E2086" i="14"/>
  <c r="F2087" i="14"/>
  <c r="F2100" i="14" s="1"/>
  <c r="D2112" i="14"/>
  <c r="K2087" i="14"/>
  <c r="K2100" i="14" s="1"/>
  <c r="M2087" i="14"/>
  <c r="M2100" i="14" s="1"/>
  <c r="K2086" i="14"/>
  <c r="K2091" i="14" s="1"/>
  <c r="L2086" i="14"/>
  <c r="J2105" i="14"/>
  <c r="J2087" i="14"/>
  <c r="J2100" i="14" s="1"/>
  <c r="I2086" i="14"/>
  <c r="J2086" i="14"/>
  <c r="J2091" i="14" s="1"/>
  <c r="F2086" i="14"/>
  <c r="F2091" i="14" s="1"/>
  <c r="H2087" i="14"/>
  <c r="H2100" i="14" s="1"/>
  <c r="G2086" i="14"/>
  <c r="G2087" i="14"/>
  <c r="G2100" i="14" s="1"/>
  <c r="D2111" i="14"/>
  <c r="M2086" i="14"/>
  <c r="M2091" i="14" s="1"/>
  <c r="I2087" i="14"/>
  <c r="I2100" i="14" s="1"/>
  <c r="L2087" i="14"/>
  <c r="L2100" i="14" s="1"/>
  <c r="E2087" i="14"/>
  <c r="E2100" i="14" s="1"/>
  <c r="D2157" i="14"/>
  <c r="K2132" i="14"/>
  <c r="H2132" i="14"/>
  <c r="H2133" i="14"/>
  <c r="H2146" i="14" s="1"/>
  <c r="G2132" i="14"/>
  <c r="F2133" i="14"/>
  <c r="F2146" i="14" s="1"/>
  <c r="G2133" i="14"/>
  <c r="G2146" i="14" s="1"/>
  <c r="L2133" i="14"/>
  <c r="L2146" i="14" s="1"/>
  <c r="I2133" i="14"/>
  <c r="I2146" i="14" s="1"/>
  <c r="M2132" i="14"/>
  <c r="K2133" i="14"/>
  <c r="K2146" i="14" s="1"/>
  <c r="J2133" i="14"/>
  <c r="J2146" i="14" s="1"/>
  <c r="I2132" i="14"/>
  <c r="I2137" i="14" s="1"/>
  <c r="F2132" i="14"/>
  <c r="F2137" i="14" s="1"/>
  <c r="E2132" i="14"/>
  <c r="J2132" i="14"/>
  <c r="J2137" i="14" s="1"/>
  <c r="L2132" i="14"/>
  <c r="L2137" i="14" s="1"/>
  <c r="D2158" i="14"/>
  <c r="J2151" i="14"/>
  <c r="E2133" i="14"/>
  <c r="E2146" i="14" s="1"/>
  <c r="M2133" i="14"/>
  <c r="M2146" i="14" s="1"/>
  <c r="D2204" i="14"/>
  <c r="J2179" i="14"/>
  <c r="J2192" i="14" s="1"/>
  <c r="D2203" i="14"/>
  <c r="L2179" i="14"/>
  <c r="L2192" i="14" s="1"/>
  <c r="K2178" i="14"/>
  <c r="K2179" i="14"/>
  <c r="K2192" i="14" s="1"/>
  <c r="J2178" i="14"/>
  <c r="J2183" i="14" s="1"/>
  <c r="F2179" i="14"/>
  <c r="F2192" i="14" s="1"/>
  <c r="J2197" i="14"/>
  <c r="I2179" i="14"/>
  <c r="I2192" i="14" s="1"/>
  <c r="H2178" i="14"/>
  <c r="M2179" i="14"/>
  <c r="M2192" i="14" s="1"/>
  <c r="L2178" i="14"/>
  <c r="M2178" i="14"/>
  <c r="M2183" i="14" s="1"/>
  <c r="I2178" i="14"/>
  <c r="I2183" i="14" s="1"/>
  <c r="G2178" i="14"/>
  <c r="H2179" i="14"/>
  <c r="H2192" i="14" s="1"/>
  <c r="F2178" i="14"/>
  <c r="F2183" i="14" s="1"/>
  <c r="G2179" i="14"/>
  <c r="G2192" i="14" s="1"/>
  <c r="E2179" i="14"/>
  <c r="E2192" i="14" s="1"/>
  <c r="E2178" i="14"/>
  <c r="E2183" i="14" s="1"/>
  <c r="D2249" i="14"/>
  <c r="J2224" i="14"/>
  <c r="G2224" i="14"/>
  <c r="F2225" i="14"/>
  <c r="F2238" i="14" s="1"/>
  <c r="I2224" i="14"/>
  <c r="E2224" i="14"/>
  <c r="F2224" i="14"/>
  <c r="F2229" i="14" s="1"/>
  <c r="E2225" i="14"/>
  <c r="E2238" i="14" s="1"/>
  <c r="K2224" i="14"/>
  <c r="J2243" i="14"/>
  <c r="H2224" i="14"/>
  <c r="K2225" i="14"/>
  <c r="K2238" i="14" s="1"/>
  <c r="L2224" i="14"/>
  <c r="M2225" i="14"/>
  <c r="M2238" i="14" s="1"/>
  <c r="D2250" i="14"/>
  <c r="G2225" i="14"/>
  <c r="G2238" i="14" s="1"/>
  <c r="M2224" i="14"/>
  <c r="M2229" i="14" s="1"/>
  <c r="L2225" i="14"/>
  <c r="L2238" i="14" s="1"/>
  <c r="I2225" i="14"/>
  <c r="I2238" i="14" s="1"/>
  <c r="H2225" i="14"/>
  <c r="H2238" i="14" s="1"/>
  <c r="F2271" i="14"/>
  <c r="F2284" i="14" s="1"/>
  <c r="M2270" i="14"/>
  <c r="L2271" i="14"/>
  <c r="L2284" i="14" s="1"/>
  <c r="J2270" i="14"/>
  <c r="D2295" i="14"/>
  <c r="F2270" i="14"/>
  <c r="F2275" i="14" s="1"/>
  <c r="M2271" i="14"/>
  <c r="M2284" i="14" s="1"/>
  <c r="L2270" i="14"/>
  <c r="L2275" i="14" s="1"/>
  <c r="K2271" i="14"/>
  <c r="K2284" i="14" s="1"/>
  <c r="J2289" i="14"/>
  <c r="I2270" i="14"/>
  <c r="H2270" i="14"/>
  <c r="H2271" i="14"/>
  <c r="H2284" i="14" s="1"/>
  <c r="G2270" i="14"/>
  <c r="E2270" i="14"/>
  <c r="E2271" i="14"/>
  <c r="E2284" i="14" s="1"/>
  <c r="G2271" i="14"/>
  <c r="G2284" i="14" s="1"/>
  <c r="I2271" i="14"/>
  <c r="I2284" i="14" s="1"/>
  <c r="D2296" i="14"/>
  <c r="J2271" i="14"/>
  <c r="J2284" i="14" s="1"/>
  <c r="K2270" i="14"/>
  <c r="K2275" i="14" s="1"/>
  <c r="G2317" i="14"/>
  <c r="G2330" i="14" s="1"/>
  <c r="E2317" i="14"/>
  <c r="E2330" i="14" s="1"/>
  <c r="J2316" i="14"/>
  <c r="H2316" i="14"/>
  <c r="G2316" i="14"/>
  <c r="G2321" i="14" s="1"/>
  <c r="D2341" i="14"/>
  <c r="M2316" i="14"/>
  <c r="J2335" i="14"/>
  <c r="L2316" i="14"/>
  <c r="L2317" i="14"/>
  <c r="L2330" i="14" s="1"/>
  <c r="M2317" i="14"/>
  <c r="M2330" i="14" s="1"/>
  <c r="K2316" i="14"/>
  <c r="K2317" i="14"/>
  <c r="K2330" i="14" s="1"/>
  <c r="D2342" i="14"/>
  <c r="J2317" i="14"/>
  <c r="J2330" i="14" s="1"/>
  <c r="E2316" i="14"/>
  <c r="E2321" i="14" s="1"/>
  <c r="I2316" i="14"/>
  <c r="I2317" i="14"/>
  <c r="I2330" i="14" s="1"/>
  <c r="H2317" i="14"/>
  <c r="H2330" i="14" s="1"/>
  <c r="F2316" i="14"/>
  <c r="F2317" i="14"/>
  <c r="F2330" i="14" s="1"/>
  <c r="K2363" i="14"/>
  <c r="K2376" i="14" s="1"/>
  <c r="M2362" i="14"/>
  <c r="L2363" i="14"/>
  <c r="L2376" i="14" s="1"/>
  <c r="J2362" i="14"/>
  <c r="D2387" i="14"/>
  <c r="J2381" i="14"/>
  <c r="I2362" i="14"/>
  <c r="H2363" i="14"/>
  <c r="H2376" i="14" s="1"/>
  <c r="G2362" i="14"/>
  <c r="E2362" i="14"/>
  <c r="G2363" i="14"/>
  <c r="G2376" i="14" s="1"/>
  <c r="H2362" i="14"/>
  <c r="H2367" i="14" s="1"/>
  <c r="E2363" i="14"/>
  <c r="E2376" i="14" s="1"/>
  <c r="D2388" i="14"/>
  <c r="I2363" i="14"/>
  <c r="I2376" i="14" s="1"/>
  <c r="M2363" i="14"/>
  <c r="M2376" i="14" s="1"/>
  <c r="L2362" i="14"/>
  <c r="L2367" i="14" s="1"/>
  <c r="K2362" i="14"/>
  <c r="K2367" i="14" s="1"/>
  <c r="J2363" i="14"/>
  <c r="J2376" i="14" s="1"/>
  <c r="F2363" i="14"/>
  <c r="F2376" i="14" s="1"/>
  <c r="F2362" i="14"/>
  <c r="D2433" i="14"/>
  <c r="H2408" i="14"/>
  <c r="J2427" i="14"/>
  <c r="J2408" i="14"/>
  <c r="M2408" i="14"/>
  <c r="L2409" i="14"/>
  <c r="L2422" i="14" s="1"/>
  <c r="E2408" i="14"/>
  <c r="M2409" i="14"/>
  <c r="M2422" i="14" s="1"/>
  <c r="H2409" i="14"/>
  <c r="H2422" i="14" s="1"/>
  <c r="L2408" i="14"/>
  <c r="L2413" i="14" s="1"/>
  <c r="I2409" i="14"/>
  <c r="I2422" i="14" s="1"/>
  <c r="G2408" i="14"/>
  <c r="F2409" i="14"/>
  <c r="F2422" i="14" s="1"/>
  <c r="F2408" i="14"/>
  <c r="F2413" i="14" s="1"/>
  <c r="G2409" i="14"/>
  <c r="G2422" i="14" s="1"/>
  <c r="D2434" i="14"/>
  <c r="E2409" i="14"/>
  <c r="E2422" i="14" s="1"/>
  <c r="I2408" i="14"/>
  <c r="I2413" i="14" s="1"/>
  <c r="J2409" i="14"/>
  <c r="J2422" i="14" s="1"/>
  <c r="K2409" i="14"/>
  <c r="K2422" i="14" s="1"/>
  <c r="K2408" i="14"/>
  <c r="K2413" i="14" s="1"/>
  <c r="D2480" i="14"/>
  <c r="D2479" i="14"/>
  <c r="F2455" i="14"/>
  <c r="F2468" i="14" s="1"/>
  <c r="F2454" i="14"/>
  <c r="G2455" i="14"/>
  <c r="G2468" i="14" s="1"/>
  <c r="G2454" i="14"/>
  <c r="G2459" i="14" s="1"/>
  <c r="I2455" i="14"/>
  <c r="I2468" i="14" s="1"/>
  <c r="E2455" i="14"/>
  <c r="E2468" i="14" s="1"/>
  <c r="H2455" i="14"/>
  <c r="H2468" i="14" s="1"/>
  <c r="M2454" i="14"/>
  <c r="M2455" i="14"/>
  <c r="M2468" i="14" s="1"/>
  <c r="L2454" i="14"/>
  <c r="J2473" i="14"/>
  <c r="I2454" i="14"/>
  <c r="I2459" i="14" s="1"/>
  <c r="J2455" i="14"/>
  <c r="J2468" i="14" s="1"/>
  <c r="J2454" i="14"/>
  <c r="J2459" i="14" s="1"/>
  <c r="K2455" i="14"/>
  <c r="K2468" i="14" s="1"/>
  <c r="K2454" i="14"/>
  <c r="K2459" i="14" s="1"/>
  <c r="H2454" i="14"/>
  <c r="H2459" i="14" s="1"/>
  <c r="L2455" i="14"/>
  <c r="L2468" i="14" s="1"/>
  <c r="E2454" i="14"/>
  <c r="E2459" i="14" s="1"/>
  <c r="H2501" i="14"/>
  <c r="H2514" i="14" s="1"/>
  <c r="I2500" i="14"/>
  <c r="G2500" i="14"/>
  <c r="E2500" i="14"/>
  <c r="F2501" i="14"/>
  <c r="F2514" i="14" s="1"/>
  <c r="J2519" i="14"/>
  <c r="F2500" i="14"/>
  <c r="F2505" i="14" s="1"/>
  <c r="D2525" i="14"/>
  <c r="E2501" i="14"/>
  <c r="E2514" i="14" s="1"/>
  <c r="G2501" i="14"/>
  <c r="G2514" i="14" s="1"/>
  <c r="K2501" i="14"/>
  <c r="K2514" i="14" s="1"/>
  <c r="K2500" i="14"/>
  <c r="K2505" i="14" s="1"/>
  <c r="L2500" i="14"/>
  <c r="J2501" i="14"/>
  <c r="J2514" i="14" s="1"/>
  <c r="M2501" i="14"/>
  <c r="M2514" i="14" s="1"/>
  <c r="J2500" i="14"/>
  <c r="J2505" i="14" s="1"/>
  <c r="H2500" i="14"/>
  <c r="H2505" i="14" s="1"/>
  <c r="I2501" i="14"/>
  <c r="I2514" i="14" s="1"/>
  <c r="M2500" i="14"/>
  <c r="M2505" i="14" s="1"/>
  <c r="D2526" i="14"/>
  <c r="L2501" i="14"/>
  <c r="L2514" i="14" s="1"/>
  <c r="J2547" i="14"/>
  <c r="J2560" i="14" s="1"/>
  <c r="J2565" i="14"/>
  <c r="L2547" i="14"/>
  <c r="L2560" i="14" s="1"/>
  <c r="H2547" i="14"/>
  <c r="H2560" i="14" s="1"/>
  <c r="K2546" i="14"/>
  <c r="D2571" i="14"/>
  <c r="I2546" i="14"/>
  <c r="I2547" i="14"/>
  <c r="I2560" i="14" s="1"/>
  <c r="M2547" i="14"/>
  <c r="M2560" i="14" s="1"/>
  <c r="K2547" i="14"/>
  <c r="K2560" i="14" s="1"/>
  <c r="D2572" i="14"/>
  <c r="J2546" i="14"/>
  <c r="J2551" i="14" s="1"/>
  <c r="G2547" i="14"/>
  <c r="G2560" i="14" s="1"/>
  <c r="M2546" i="14"/>
  <c r="M2551" i="14" s="1"/>
  <c r="F2547" i="14"/>
  <c r="F2560" i="14" s="1"/>
  <c r="F2546" i="14"/>
  <c r="F2551" i="14" s="1"/>
  <c r="L2546" i="14"/>
  <c r="L2551" i="14" s="1"/>
  <c r="E2547" i="14"/>
  <c r="E2560" i="14" s="1"/>
  <c r="H2546" i="14"/>
  <c r="H2551" i="14" s="1"/>
  <c r="E2546" i="14"/>
  <c r="E2551" i="14" s="1"/>
  <c r="G2546" i="14"/>
  <c r="G2551" i="14" s="1"/>
  <c r="I2593" i="14"/>
  <c r="I2606" i="14" s="1"/>
  <c r="D2617" i="14"/>
  <c r="E2593" i="14"/>
  <c r="E2606" i="14" s="1"/>
  <c r="D2618" i="14"/>
  <c r="J2592" i="14"/>
  <c r="I2592" i="14"/>
  <c r="I2597" i="14" s="1"/>
  <c r="J2593" i="14"/>
  <c r="J2606" i="14" s="1"/>
  <c r="H2592" i="14"/>
  <c r="H2593" i="14"/>
  <c r="H2606" i="14" s="1"/>
  <c r="J2611" i="14"/>
  <c r="G2592" i="14"/>
  <c r="F2592" i="14"/>
  <c r="F2593" i="14"/>
  <c r="F2606" i="14" s="1"/>
  <c r="K2593" i="14"/>
  <c r="K2606" i="14" s="1"/>
  <c r="K2592" i="14"/>
  <c r="K2597" i="14" s="1"/>
  <c r="L2593" i="14"/>
  <c r="L2606" i="14" s="1"/>
  <c r="L2592" i="14"/>
  <c r="L2597" i="14" s="1"/>
  <c r="M2593" i="14"/>
  <c r="M2606" i="14" s="1"/>
  <c r="E2592" i="14"/>
  <c r="E2597" i="14" s="1"/>
  <c r="M2592" i="14"/>
  <c r="M2597" i="14" s="1"/>
  <c r="G2593" i="14"/>
  <c r="G2606" i="14" s="1"/>
  <c r="G2639" i="14"/>
  <c r="G2652" i="14" s="1"/>
  <c r="G2638" i="14"/>
  <c r="G2643" i="14" s="1"/>
  <c r="H2639" i="14"/>
  <c r="H2652" i="14" s="1"/>
  <c r="H2638" i="14"/>
  <c r="H2643" i="14" s="1"/>
  <c r="I2639" i="14"/>
  <c r="I2652" i="14" s="1"/>
  <c r="I2638" i="14"/>
  <c r="I2643" i="14" s="1"/>
  <c r="J2639" i="14"/>
  <c r="J2652" i="14" s="1"/>
  <c r="J2638" i="14"/>
  <c r="J2643" i="14" s="1"/>
  <c r="K2639" i="14"/>
  <c r="K2652" i="14" s="1"/>
  <c r="K2638" i="14"/>
  <c r="K2643" i="14" s="1"/>
  <c r="L2639" i="14"/>
  <c r="L2652" i="14" s="1"/>
  <c r="L2638" i="14"/>
  <c r="L2643" i="14" s="1"/>
  <c r="M2639" i="14"/>
  <c r="M2652" i="14" s="1"/>
  <c r="M2638" i="14"/>
  <c r="M2643" i="14" s="1"/>
  <c r="E2638" i="14"/>
  <c r="D2664" i="14"/>
  <c r="J2657" i="14"/>
  <c r="D2663" i="14"/>
  <c r="E2639" i="14"/>
  <c r="E2652" i="14" s="1"/>
  <c r="F2639" i="14"/>
  <c r="F2652" i="14" s="1"/>
  <c r="F2638" i="14"/>
  <c r="I2685" i="14"/>
  <c r="I2698" i="14" s="1"/>
  <c r="H2684" i="14"/>
  <c r="H2685" i="14"/>
  <c r="H2698" i="14" s="1"/>
  <c r="G2685" i="14"/>
  <c r="G2698" i="14" s="1"/>
  <c r="F2684" i="14"/>
  <c r="E2685" i="14"/>
  <c r="E2698" i="14" s="1"/>
  <c r="G2684" i="14"/>
  <c r="G2689" i="14" s="1"/>
  <c r="J2703" i="14"/>
  <c r="F2685" i="14"/>
  <c r="F2698" i="14" s="1"/>
  <c r="E2684" i="14"/>
  <c r="E2689" i="14" s="1"/>
  <c r="M2684" i="14"/>
  <c r="D2710" i="14"/>
  <c r="M2685" i="14"/>
  <c r="M2698" i="14" s="1"/>
  <c r="L2684" i="14"/>
  <c r="L2685" i="14"/>
  <c r="L2698" i="14" s="1"/>
  <c r="K2684" i="14"/>
  <c r="K2685" i="14"/>
  <c r="K2698" i="14" s="1"/>
  <c r="J2684" i="14"/>
  <c r="J2685" i="14"/>
  <c r="J2698" i="14" s="1"/>
  <c r="D2709" i="14"/>
  <c r="I2684" i="14"/>
  <c r="I2689" i="14" s="1"/>
  <c r="D2756" i="14"/>
  <c r="D2755" i="14"/>
  <c r="M2730" i="14"/>
  <c r="M2731" i="14"/>
  <c r="M2744" i="14" s="1"/>
  <c r="J2749" i="14"/>
  <c r="L2730" i="14"/>
  <c r="L2731" i="14"/>
  <c r="L2744" i="14" s="1"/>
  <c r="K2730" i="14"/>
  <c r="K2731" i="14"/>
  <c r="K2744" i="14" s="1"/>
  <c r="J2730" i="14"/>
  <c r="J2731" i="14"/>
  <c r="J2744" i="14" s="1"/>
  <c r="I2730" i="14"/>
  <c r="I2731" i="14"/>
  <c r="I2744" i="14" s="1"/>
  <c r="H2730" i="14"/>
  <c r="E2730" i="14"/>
  <c r="H2731" i="14"/>
  <c r="H2744" i="14" s="1"/>
  <c r="E2731" i="14"/>
  <c r="E2744" i="14" s="1"/>
  <c r="G2731" i="14"/>
  <c r="G2744" i="14" s="1"/>
  <c r="F2730" i="14"/>
  <c r="G2730" i="14"/>
  <c r="G2735" i="14" s="1"/>
  <c r="F2731" i="14"/>
  <c r="F2744" i="14" s="1"/>
  <c r="L2777" i="14"/>
  <c r="L2790" i="14" s="1"/>
  <c r="D2802" i="14"/>
  <c r="L2776" i="14"/>
  <c r="M2777" i="14"/>
  <c r="M2790" i="14" s="1"/>
  <c r="J2795" i="14"/>
  <c r="D2801" i="14"/>
  <c r="M2776" i="14"/>
  <c r="M2781" i="14" s="1"/>
  <c r="E2777" i="14"/>
  <c r="E2790" i="14" s="1"/>
  <c r="E2776" i="14"/>
  <c r="F2777" i="14"/>
  <c r="F2790" i="14" s="1"/>
  <c r="F2776" i="14"/>
  <c r="F2781" i="14" s="1"/>
  <c r="G2777" i="14"/>
  <c r="G2790" i="14" s="1"/>
  <c r="G2776" i="14"/>
  <c r="G2781" i="14" s="1"/>
  <c r="H2777" i="14"/>
  <c r="H2790" i="14" s="1"/>
  <c r="H2776" i="14"/>
  <c r="H2781" i="14" s="1"/>
  <c r="I2777" i="14"/>
  <c r="I2790" i="14" s="1"/>
  <c r="I2776" i="14"/>
  <c r="J2777" i="14"/>
  <c r="J2790" i="14" s="1"/>
  <c r="J2776" i="14"/>
  <c r="J2781" i="14" s="1"/>
  <c r="K2777" i="14"/>
  <c r="K2790" i="14" s="1"/>
  <c r="K2776" i="14"/>
  <c r="K2781" i="14" s="1"/>
  <c r="H2822" i="14"/>
  <c r="K2823" i="14"/>
  <c r="K2836" i="14" s="1"/>
  <c r="F2823" i="14"/>
  <c r="F2836" i="14" s="1"/>
  <c r="J2822" i="14"/>
  <c r="E2822" i="14"/>
  <c r="E2823" i="14"/>
  <c r="E2836" i="14" s="1"/>
  <c r="J2823" i="14"/>
  <c r="J2836" i="14" s="1"/>
  <c r="I2822" i="14"/>
  <c r="I2823" i="14"/>
  <c r="I2836" i="14" s="1"/>
  <c r="H2823" i="14"/>
  <c r="H2836" i="14" s="1"/>
  <c r="G2822" i="14"/>
  <c r="L2822" i="14"/>
  <c r="G2823" i="14"/>
  <c r="G2836" i="14" s="1"/>
  <c r="F2822" i="14"/>
  <c r="F2827" i="14" s="1"/>
  <c r="L2823" i="14"/>
  <c r="L2836" i="14" s="1"/>
  <c r="D2848" i="14"/>
  <c r="D2847" i="14"/>
  <c r="M2822" i="14"/>
  <c r="M2823" i="14"/>
  <c r="M2836" i="14" s="1"/>
  <c r="K2822" i="14"/>
  <c r="K2827" i="14" s="1"/>
  <c r="J2841" i="14"/>
  <c r="J2887" i="14"/>
  <c r="H2868" i="14"/>
  <c r="D2894" i="14"/>
  <c r="G2868" i="14"/>
  <c r="D2893" i="14"/>
  <c r="G2869" i="14"/>
  <c r="G2882" i="14" s="1"/>
  <c r="E2869" i="14"/>
  <c r="E2882" i="14" s="1"/>
  <c r="E2868" i="14"/>
  <c r="E2873" i="14" s="1"/>
  <c r="F2869" i="14"/>
  <c r="F2882" i="14" s="1"/>
  <c r="F2868" i="14"/>
  <c r="F2873" i="14" s="1"/>
  <c r="H2869" i="14"/>
  <c r="H2882" i="14" s="1"/>
  <c r="J2933" i="14"/>
  <c r="G2914" i="14"/>
  <c r="J2915" i="14"/>
  <c r="J2928" i="14" s="1"/>
  <c r="J2914" i="14"/>
  <c r="J2919" i="14" s="1"/>
  <c r="I2915" i="14"/>
  <c r="I2928" i="14" s="1"/>
  <c r="D2939" i="14"/>
  <c r="H2915" i="14"/>
  <c r="H2928" i="14" s="1"/>
  <c r="H2914" i="14"/>
  <c r="H2919" i="14" s="1"/>
  <c r="E2915" i="14"/>
  <c r="E2928" i="14" s="1"/>
  <c r="M2915" i="14"/>
  <c r="M2928" i="14" s="1"/>
  <c r="E2914" i="14"/>
  <c r="E2919" i="14" s="1"/>
  <c r="K2915" i="14"/>
  <c r="K2928" i="14" s="1"/>
  <c r="F2915" i="14"/>
  <c r="F2928" i="14" s="1"/>
  <c r="M2914" i="14"/>
  <c r="M2919" i="14" s="1"/>
  <c r="D2940" i="14"/>
  <c r="L2914" i="14"/>
  <c r="L2915" i="14"/>
  <c r="L2928" i="14" s="1"/>
  <c r="F2914" i="14"/>
  <c r="F2919" i="14" s="1"/>
  <c r="K2914" i="14"/>
  <c r="K2919" i="14" s="1"/>
  <c r="I2914" i="14"/>
  <c r="I2919" i="14" s="1"/>
  <c r="G2915" i="14"/>
  <c r="G2928" i="14" s="1"/>
  <c r="K2960" i="14"/>
  <c r="L2961" i="14"/>
  <c r="L2974" i="14" s="1"/>
  <c r="L2960" i="14"/>
  <c r="M2960" i="14"/>
  <c r="M2961" i="14"/>
  <c r="M2974" i="14" s="1"/>
  <c r="F2960" i="14"/>
  <c r="D2985" i="14"/>
  <c r="D2986" i="14"/>
  <c r="E2961" i="14"/>
  <c r="E2974" i="14" s="1"/>
  <c r="E2960" i="14"/>
  <c r="E2965" i="14" s="1"/>
  <c r="F2961" i="14"/>
  <c r="F2974" i="14" s="1"/>
  <c r="G2961" i="14"/>
  <c r="G2974" i="14" s="1"/>
  <c r="G2960" i="14"/>
  <c r="G2965" i="14" s="1"/>
  <c r="H2961" i="14"/>
  <c r="H2974" i="14" s="1"/>
  <c r="H2960" i="14"/>
  <c r="H2965" i="14" s="1"/>
  <c r="I2961" i="14"/>
  <c r="I2974" i="14" s="1"/>
  <c r="I2960" i="14"/>
  <c r="J2961" i="14"/>
  <c r="J2974" i="14" s="1"/>
  <c r="J2960" i="14"/>
  <c r="K2961" i="14"/>
  <c r="K2974" i="14" s="1"/>
  <c r="J2979" i="14"/>
  <c r="E3006" i="14"/>
  <c r="I3006" i="14"/>
  <c r="J3007" i="14"/>
  <c r="J3020" i="14" s="1"/>
  <c r="J3006" i="14"/>
  <c r="J3011" i="14" s="1"/>
  <c r="F3006" i="14"/>
  <c r="G3007" i="14"/>
  <c r="G3020" i="14" s="1"/>
  <c r="K3007" i="14"/>
  <c r="K3020" i="14" s="1"/>
  <c r="K3006" i="14"/>
  <c r="K3011" i="14" s="1"/>
  <c r="E3007" i="14"/>
  <c r="E3020" i="14" s="1"/>
  <c r="L3007" i="14"/>
  <c r="L3020" i="14" s="1"/>
  <c r="M3006" i="14"/>
  <c r="L3006" i="14"/>
  <c r="D3032" i="14"/>
  <c r="M3007" i="14"/>
  <c r="M3020" i="14" s="1"/>
  <c r="D3031" i="14"/>
  <c r="I3007" i="14"/>
  <c r="I3020" i="14" s="1"/>
  <c r="G3006" i="14"/>
  <c r="G3011" i="14" s="1"/>
  <c r="F3007" i="14"/>
  <c r="F3020" i="14" s="1"/>
  <c r="H3007" i="14"/>
  <c r="H3020" i="14" s="1"/>
  <c r="J3025" i="14"/>
  <c r="H3006" i="14"/>
  <c r="H3011" i="14" s="1"/>
  <c r="D3078" i="14"/>
  <c r="G3053" i="14"/>
  <c r="G3066" i="14" s="1"/>
  <c r="G3052" i="14"/>
  <c r="G3057" i="14" s="1"/>
  <c r="L3053" i="14"/>
  <c r="L3066" i="14" s="1"/>
  <c r="M3053" i="14"/>
  <c r="M3066" i="14" s="1"/>
  <c r="F3052" i="14"/>
  <c r="M3052" i="14"/>
  <c r="M3057" i="14" s="1"/>
  <c r="J3071" i="14"/>
  <c r="L3052" i="14"/>
  <c r="L3057" i="14" s="1"/>
  <c r="K3053" i="14"/>
  <c r="K3066" i="14" s="1"/>
  <c r="D3077" i="14"/>
  <c r="E3053" i="14"/>
  <c r="E3066" i="14" s="1"/>
  <c r="K3052" i="14"/>
  <c r="K3057" i="14" s="1"/>
  <c r="I3053" i="14"/>
  <c r="I3066" i="14" s="1"/>
  <c r="I3052" i="14"/>
  <c r="H3052" i="14"/>
  <c r="H3053" i="14"/>
  <c r="H3066" i="14" s="1"/>
  <c r="E3052" i="14"/>
  <c r="E3057" i="14" s="1"/>
  <c r="J3053" i="14"/>
  <c r="J3066" i="14" s="1"/>
  <c r="F3053" i="14"/>
  <c r="F3066" i="14" s="1"/>
  <c r="J3052" i="14"/>
  <c r="J3057" i="14" s="1"/>
  <c r="F3098" i="14"/>
  <c r="F3099" i="14"/>
  <c r="F3112" i="14" s="1"/>
  <c r="E3098" i="14"/>
  <c r="E3099" i="14"/>
  <c r="E3112" i="14" s="1"/>
  <c r="D3123" i="14"/>
  <c r="K3098" i="14"/>
  <c r="D3124" i="14"/>
  <c r="J3117" i="14"/>
  <c r="M3098" i="14"/>
  <c r="M3099" i="14"/>
  <c r="M3112" i="14" s="1"/>
  <c r="L3098" i="14"/>
  <c r="L3099" i="14"/>
  <c r="L3112" i="14" s="1"/>
  <c r="K3099" i="14"/>
  <c r="K3112" i="14" s="1"/>
  <c r="J3098" i="14"/>
  <c r="J3099" i="14"/>
  <c r="J3112" i="14" s="1"/>
  <c r="I3098" i="14"/>
  <c r="I3099" i="14"/>
  <c r="I3112" i="14" s="1"/>
  <c r="H3098" i="14"/>
  <c r="H3099" i="14"/>
  <c r="H3112" i="14" s="1"/>
  <c r="G3098" i="14"/>
  <c r="G3099" i="14"/>
  <c r="G3112" i="14" s="1"/>
  <c r="M3144" i="14"/>
  <c r="H3145" i="14"/>
  <c r="H3158" i="14" s="1"/>
  <c r="H3144" i="14"/>
  <c r="H3149" i="14" s="1"/>
  <c r="I3145" i="14"/>
  <c r="I3158" i="14" s="1"/>
  <c r="I3144" i="14"/>
  <c r="I3149" i="14" s="1"/>
  <c r="J3145" i="14"/>
  <c r="J3158" i="14" s="1"/>
  <c r="K3145" i="14"/>
  <c r="K3158" i="14" s="1"/>
  <c r="J3144" i="14"/>
  <c r="J3149" i="14" s="1"/>
  <c r="K3144" i="14"/>
  <c r="K3149" i="14" s="1"/>
  <c r="L3145" i="14"/>
  <c r="L3158" i="14" s="1"/>
  <c r="F3145" i="14"/>
  <c r="F3158" i="14" s="1"/>
  <c r="D3170" i="14"/>
  <c r="E3144" i="14"/>
  <c r="E3145" i="14"/>
  <c r="E3158" i="14" s="1"/>
  <c r="J3163" i="14"/>
  <c r="L3144" i="14"/>
  <c r="L3149" i="14" s="1"/>
  <c r="M3145" i="14"/>
  <c r="M3158" i="14" s="1"/>
  <c r="D3169" i="14"/>
  <c r="F3144" i="14"/>
  <c r="F3149" i="14" s="1"/>
  <c r="G3145" i="14"/>
  <c r="G3158" i="14" s="1"/>
  <c r="G3144" i="14"/>
  <c r="G3149" i="14" s="1"/>
  <c r="K3191" i="14"/>
  <c r="K3204" i="14" s="1"/>
  <c r="E3190" i="14"/>
  <c r="L3190" i="14"/>
  <c r="F3191" i="14"/>
  <c r="F3204" i="14" s="1"/>
  <c r="F3190" i="14"/>
  <c r="F3195" i="14" s="1"/>
  <c r="J3191" i="14"/>
  <c r="J3204" i="14" s="1"/>
  <c r="H3191" i="14"/>
  <c r="H3204" i="14" s="1"/>
  <c r="D3215" i="14"/>
  <c r="H3190" i="14"/>
  <c r="H3195" i="14" s="1"/>
  <c r="J3190" i="14"/>
  <c r="J3195" i="14" s="1"/>
  <c r="L3191" i="14"/>
  <c r="L3204" i="14" s="1"/>
  <c r="M3190" i="14"/>
  <c r="M3191" i="14"/>
  <c r="M3204" i="14" s="1"/>
  <c r="E3191" i="14"/>
  <c r="E3204" i="14" s="1"/>
  <c r="G3190" i="14"/>
  <c r="D3216" i="14"/>
  <c r="K3190" i="14"/>
  <c r="K3195" i="14" s="1"/>
  <c r="I3191" i="14"/>
  <c r="I3204" i="14" s="1"/>
  <c r="I3190" i="14"/>
  <c r="I3195" i="14" s="1"/>
  <c r="G3191" i="14"/>
  <c r="G3204" i="14" s="1"/>
  <c r="J3209" i="14"/>
  <c r="L3466" i="14"/>
  <c r="I3467" i="14"/>
  <c r="I3480" i="14" s="1"/>
  <c r="D3491" i="14"/>
  <c r="J3485" i="14"/>
  <c r="E3466" i="14"/>
  <c r="J3466" i="14"/>
  <c r="I3466" i="14"/>
  <c r="I3471" i="14" s="1"/>
  <c r="M3467" i="14"/>
  <c r="M3480" i="14" s="1"/>
  <c r="E3467" i="14"/>
  <c r="E3480" i="14" s="1"/>
  <c r="K3466" i="14"/>
  <c r="K3467" i="14"/>
  <c r="K3480" i="14" s="1"/>
  <c r="G3466" i="14"/>
  <c r="G3467" i="14"/>
  <c r="G3480" i="14" s="1"/>
  <c r="J3467" i="14"/>
  <c r="J3480" i="14" s="1"/>
  <c r="L3467" i="14"/>
  <c r="L3480" i="14" s="1"/>
  <c r="D3492" i="14"/>
  <c r="M3466" i="14"/>
  <c r="M3471" i="14" s="1"/>
  <c r="H3467" i="14"/>
  <c r="H3480" i="14" s="1"/>
  <c r="F3467" i="14"/>
  <c r="F3480" i="14" s="1"/>
  <c r="H3466" i="14"/>
  <c r="H3471" i="14" s="1"/>
  <c r="F3466" i="14"/>
  <c r="M3236" i="14"/>
  <c r="E3237" i="14"/>
  <c r="E3250" i="14" s="1"/>
  <c r="G3237" i="14"/>
  <c r="G3250" i="14" s="1"/>
  <c r="L3236" i="14"/>
  <c r="L3237" i="14"/>
  <c r="L3250" i="14" s="1"/>
  <c r="K3236" i="14"/>
  <c r="D3261" i="14"/>
  <c r="I3236" i="14"/>
  <c r="F3237" i="14"/>
  <c r="F3250" i="14" s="1"/>
  <c r="J3237" i="14"/>
  <c r="J3250" i="14" s="1"/>
  <c r="H3236" i="14"/>
  <c r="J3255" i="14"/>
  <c r="J3236" i="14"/>
  <c r="J3241" i="14" s="1"/>
  <c r="H3237" i="14"/>
  <c r="H3250" i="14" s="1"/>
  <c r="E3236" i="14"/>
  <c r="E3241" i="14" s="1"/>
  <c r="D3262" i="14"/>
  <c r="G3236" i="14"/>
  <c r="G3241" i="14" s="1"/>
  <c r="M3237" i="14"/>
  <c r="M3250" i="14" s="1"/>
  <c r="K3237" i="14"/>
  <c r="K3250" i="14" s="1"/>
  <c r="I3237" i="14"/>
  <c r="I3250" i="14" s="1"/>
  <c r="F3236" i="14"/>
  <c r="F3241" i="14" s="1"/>
  <c r="F3283" i="14"/>
  <c r="F3296" i="14" s="1"/>
  <c r="F3282" i="14"/>
  <c r="F3287" i="14" s="1"/>
  <c r="D3308" i="14"/>
  <c r="G3283" i="14"/>
  <c r="G3296" i="14" s="1"/>
  <c r="G3282" i="14"/>
  <c r="G3287" i="14" s="1"/>
  <c r="H3283" i="14"/>
  <c r="H3296" i="14" s="1"/>
  <c r="I3283" i="14"/>
  <c r="I3296" i="14" s="1"/>
  <c r="I3282" i="14"/>
  <c r="I3287" i="14" s="1"/>
  <c r="J3283" i="14"/>
  <c r="J3296" i="14" s="1"/>
  <c r="E3283" i="14"/>
  <c r="E3296" i="14" s="1"/>
  <c r="J3282" i="14"/>
  <c r="J3287" i="14" s="1"/>
  <c r="L3283" i="14"/>
  <c r="L3296" i="14" s="1"/>
  <c r="L3282" i="14"/>
  <c r="L3287" i="14" s="1"/>
  <c r="M3283" i="14"/>
  <c r="M3296" i="14" s="1"/>
  <c r="M3282" i="14"/>
  <c r="M3287" i="14" s="1"/>
  <c r="J3301" i="14"/>
  <c r="D3307" i="14"/>
  <c r="H3282" i="14"/>
  <c r="H3287" i="14" s="1"/>
  <c r="E3282" i="14"/>
  <c r="E3287" i="14" s="1"/>
  <c r="E3328" i="14"/>
  <c r="E3329" i="14"/>
  <c r="E3342" i="14" s="1"/>
  <c r="L3328" i="14"/>
  <c r="H3328" i="14"/>
  <c r="I3329" i="14"/>
  <c r="I3342" i="14" s="1"/>
  <c r="H3329" i="14"/>
  <c r="H3342" i="14" s="1"/>
  <c r="D3354" i="14"/>
  <c r="I3328" i="14"/>
  <c r="I3333" i="14" s="1"/>
  <c r="F3329" i="14"/>
  <c r="F3342" i="14" s="1"/>
  <c r="F3328" i="14"/>
  <c r="F3333" i="14" s="1"/>
  <c r="G3329" i="14"/>
  <c r="G3342" i="14" s="1"/>
  <c r="D3353" i="14"/>
  <c r="K3329" i="14"/>
  <c r="K3342" i="14" s="1"/>
  <c r="G3328" i="14"/>
  <c r="G3333" i="14" s="1"/>
  <c r="J3347" i="14"/>
  <c r="M3328" i="14"/>
  <c r="K3328" i="14"/>
  <c r="K3333" i="14" s="1"/>
  <c r="L3329" i="14"/>
  <c r="L3342" i="14" s="1"/>
  <c r="J3329" i="14"/>
  <c r="J3342" i="14" s="1"/>
  <c r="M3329" i="14"/>
  <c r="M3342" i="14" s="1"/>
  <c r="J3328" i="14"/>
  <c r="J3333" i="14" s="1"/>
  <c r="I3375" i="14"/>
  <c r="I3388" i="14" s="1"/>
  <c r="M3374" i="14"/>
  <c r="D3399" i="14"/>
  <c r="M3375" i="14"/>
  <c r="M3388" i="14" s="1"/>
  <c r="L3374" i="14"/>
  <c r="L3375" i="14"/>
  <c r="L3388" i="14" s="1"/>
  <c r="K3375" i="14"/>
  <c r="K3388" i="14" s="1"/>
  <c r="E3374" i="14"/>
  <c r="J3375" i="14"/>
  <c r="J3388" i="14" s="1"/>
  <c r="D3400" i="14"/>
  <c r="J3374" i="14"/>
  <c r="J3379" i="14" s="1"/>
  <c r="J3393" i="14"/>
  <c r="E3375" i="14"/>
  <c r="E3388" i="14" s="1"/>
  <c r="I3374" i="14"/>
  <c r="I3379" i="14" s="1"/>
  <c r="F3375" i="14"/>
  <c r="F3388" i="14" s="1"/>
  <c r="F3374" i="14"/>
  <c r="F3379" i="14" s="1"/>
  <c r="K3374" i="14"/>
  <c r="K3379" i="14" s="1"/>
  <c r="G3375" i="14"/>
  <c r="G3388" i="14" s="1"/>
  <c r="G3374" i="14"/>
  <c r="G3379" i="14" s="1"/>
  <c r="H3375" i="14"/>
  <c r="H3388" i="14" s="1"/>
  <c r="H3374" i="14"/>
  <c r="H3379" i="14" s="1"/>
  <c r="G3421" i="14"/>
  <c r="G3434" i="14" s="1"/>
  <c r="D3446" i="14"/>
  <c r="J3420" i="14"/>
  <c r="I3420" i="14"/>
  <c r="J3439" i="14"/>
  <c r="I3421" i="14"/>
  <c r="I3434" i="14" s="1"/>
  <c r="L3420" i="14"/>
  <c r="D3445" i="14"/>
  <c r="J3421" i="14"/>
  <c r="J3434" i="14" s="1"/>
  <c r="H3421" i="14"/>
  <c r="H3434" i="14" s="1"/>
  <c r="M3420" i="14"/>
  <c r="E3421" i="14"/>
  <c r="E3434" i="14" s="1"/>
  <c r="E3420" i="14"/>
  <c r="E3425" i="14" s="1"/>
  <c r="L3421" i="14"/>
  <c r="L3434" i="14" s="1"/>
  <c r="H3420" i="14"/>
  <c r="H3425" i="14" s="1"/>
  <c r="F3421" i="14"/>
  <c r="F3434" i="14" s="1"/>
  <c r="F3420" i="14"/>
  <c r="F3425" i="14" s="1"/>
  <c r="G3420" i="14"/>
  <c r="G3425" i="14" s="1"/>
  <c r="K3421" i="14"/>
  <c r="K3434" i="14" s="1"/>
  <c r="M3421" i="14"/>
  <c r="M3434" i="14" s="1"/>
  <c r="K3420" i="14"/>
  <c r="K3425" i="14" s="1"/>
  <c r="J3531" i="14"/>
  <c r="F3512" i="14"/>
  <c r="F3517" i="14" s="1"/>
  <c r="F3513" i="14"/>
  <c r="F3526" i="14" s="1"/>
  <c r="E3512" i="14"/>
  <c r="E3513" i="14"/>
  <c r="E3526" i="14" s="1"/>
  <c r="D3538" i="14"/>
  <c r="M3512" i="14"/>
  <c r="M3517" i="14" s="1"/>
  <c r="M3513" i="14"/>
  <c r="M3526" i="14" s="1"/>
  <c r="L3512" i="14"/>
  <c r="L3513" i="14"/>
  <c r="L3526" i="14" s="1"/>
  <c r="K3512" i="14"/>
  <c r="K3517" i="14" s="1"/>
  <c r="K3513" i="14"/>
  <c r="K3526" i="14" s="1"/>
  <c r="J3512" i="14"/>
  <c r="J3517" i="14" s="1"/>
  <c r="J3513" i="14"/>
  <c r="J3526" i="14" s="1"/>
  <c r="D3537" i="14"/>
  <c r="I3512" i="14"/>
  <c r="I3517" i="14" s="1"/>
  <c r="I3513" i="14"/>
  <c r="I3526" i="14" s="1"/>
  <c r="H3512" i="14"/>
  <c r="H3513" i="14"/>
  <c r="H3526" i="14" s="1"/>
  <c r="G3512" i="14"/>
  <c r="G3517" i="14" s="1"/>
  <c r="G3513" i="14"/>
  <c r="G3526" i="14" s="1"/>
  <c r="I3559" i="14"/>
  <c r="I3572" i="14" s="1"/>
  <c r="J3559" i="14"/>
  <c r="J3572" i="14" s="1"/>
  <c r="E3558" i="14"/>
  <c r="I3558" i="14"/>
  <c r="I3563" i="14" s="1"/>
  <c r="J3577" i="14"/>
  <c r="K3558" i="14"/>
  <c r="K3563" i="14" s="1"/>
  <c r="K3559" i="14"/>
  <c r="K3572" i="14" s="1"/>
  <c r="D3584" i="14"/>
  <c r="H3559" i="14"/>
  <c r="H3572" i="14" s="1"/>
  <c r="G3558" i="14"/>
  <c r="F3558" i="14"/>
  <c r="F3559" i="14"/>
  <c r="F3572" i="14" s="1"/>
  <c r="H3558" i="14"/>
  <c r="H3563" i="14" s="1"/>
  <c r="G3559" i="14"/>
  <c r="G3572" i="14" s="1"/>
  <c r="M3558" i="14"/>
  <c r="M3559" i="14"/>
  <c r="M3572" i="14" s="1"/>
  <c r="E3559" i="14"/>
  <c r="E3572" i="14" s="1"/>
  <c r="D3583" i="14"/>
  <c r="L3558" i="14"/>
  <c r="L3559" i="14"/>
  <c r="L3572" i="14" s="1"/>
  <c r="J3558" i="14"/>
  <c r="J3563" i="14" s="1"/>
  <c r="J3604" i="14"/>
  <c r="M3604" i="14"/>
  <c r="M3609" i="14" s="1"/>
  <c r="M3605" i="14"/>
  <c r="M3618" i="14" s="1"/>
  <c r="D3629" i="14"/>
  <c r="F3604" i="14"/>
  <c r="F3605" i="14"/>
  <c r="F3618" i="14" s="1"/>
  <c r="L3604" i="14"/>
  <c r="E3605" i="14"/>
  <c r="E3618" i="14" s="1"/>
  <c r="L3605" i="14"/>
  <c r="L3618" i="14" s="1"/>
  <c r="E3604" i="14"/>
  <c r="E3609" i="14" s="1"/>
  <c r="J3623" i="14"/>
  <c r="K3604" i="14"/>
  <c r="K3605" i="14"/>
  <c r="K3618" i="14" s="1"/>
  <c r="J3605" i="14"/>
  <c r="J3618" i="14" s="1"/>
  <c r="I3604" i="14"/>
  <c r="I3605" i="14"/>
  <c r="I3618" i="14" s="1"/>
  <c r="H3604" i="14"/>
  <c r="H3605" i="14"/>
  <c r="H3618" i="14" s="1"/>
  <c r="D3630" i="14"/>
  <c r="G3604" i="14"/>
  <c r="G3609" i="14" s="1"/>
  <c r="G3605" i="14"/>
  <c r="G3618" i="14" s="1"/>
  <c r="F3651" i="14"/>
  <c r="F3664" i="14" s="1"/>
  <c r="J3669" i="14"/>
  <c r="F3650" i="14"/>
  <c r="F3655" i="14" s="1"/>
  <c r="H3651" i="14"/>
  <c r="H3664" i="14" s="1"/>
  <c r="H3650" i="14"/>
  <c r="H3655" i="14" s="1"/>
  <c r="K3651" i="14"/>
  <c r="K3664" i="14" s="1"/>
  <c r="I3651" i="14"/>
  <c r="I3664" i="14" s="1"/>
  <c r="I3650" i="14"/>
  <c r="I3655" i="14" s="1"/>
  <c r="J3651" i="14"/>
  <c r="J3664" i="14" s="1"/>
  <c r="J3650" i="14"/>
  <c r="J3655" i="14" s="1"/>
  <c r="E3650" i="14"/>
  <c r="K3650" i="14"/>
  <c r="K3655" i="14" s="1"/>
  <c r="E3651" i="14"/>
  <c r="E3664" i="14" s="1"/>
  <c r="L3651" i="14"/>
  <c r="L3664" i="14" s="1"/>
  <c r="L3650" i="14"/>
  <c r="L3655" i="14" s="1"/>
  <c r="D3676" i="14"/>
  <c r="M3651" i="14"/>
  <c r="M3664" i="14" s="1"/>
  <c r="M3650" i="14"/>
  <c r="M3655" i="14" s="1"/>
  <c r="D3675" i="14"/>
  <c r="G3650" i="14"/>
  <c r="G3651" i="14"/>
  <c r="G3664" i="14" s="1"/>
  <c r="D3721" i="14"/>
  <c r="D3722" i="14"/>
  <c r="M3697" i="14"/>
  <c r="M3710" i="14" s="1"/>
  <c r="K3697" i="14"/>
  <c r="K3710" i="14" s="1"/>
  <c r="L3697" i="14"/>
  <c r="L3710" i="14" s="1"/>
  <c r="L3696" i="14"/>
  <c r="L3701" i="14" s="1"/>
  <c r="G3697" i="14"/>
  <c r="G3710" i="14" s="1"/>
  <c r="J3715" i="14"/>
  <c r="G3696" i="14"/>
  <c r="G3701" i="14" s="1"/>
  <c r="H3697" i="14"/>
  <c r="H3710" i="14" s="1"/>
  <c r="F3697" i="14"/>
  <c r="F3710" i="14" s="1"/>
  <c r="H3696" i="14"/>
  <c r="H3701" i="14" s="1"/>
  <c r="I3697" i="14"/>
  <c r="I3710" i="14" s="1"/>
  <c r="I3696" i="14"/>
  <c r="I3701" i="14" s="1"/>
  <c r="F3696" i="14"/>
  <c r="F3701" i="14" s="1"/>
  <c r="K3696" i="14"/>
  <c r="K3701" i="14" s="1"/>
  <c r="M3696" i="14"/>
  <c r="M3701" i="14" s="1"/>
  <c r="J3697" i="14"/>
  <c r="J3710" i="14" s="1"/>
  <c r="J3696" i="14"/>
  <c r="J3701" i="14" s="1"/>
  <c r="E3697" i="14"/>
  <c r="E3710" i="14" s="1"/>
  <c r="E3696" i="14"/>
  <c r="E3701" i="14" s="1"/>
  <c r="F3743" i="14"/>
  <c r="F3756" i="14" s="1"/>
  <c r="F3742" i="14"/>
  <c r="F3747" i="14" s="1"/>
  <c r="G3743" i="14"/>
  <c r="G3756" i="14" s="1"/>
  <c r="G3742" i="14"/>
  <c r="G3747" i="14" s="1"/>
  <c r="H3743" i="14"/>
  <c r="H3756" i="14" s="1"/>
  <c r="H3742" i="14"/>
  <c r="H3747" i="14" s="1"/>
  <c r="I3743" i="14"/>
  <c r="I3756" i="14" s="1"/>
  <c r="E3742" i="14"/>
  <c r="I3742" i="14"/>
  <c r="I3747" i="14" s="1"/>
  <c r="J3743" i="14"/>
  <c r="J3756" i="14" s="1"/>
  <c r="J3742" i="14"/>
  <c r="J3747" i="14" s="1"/>
  <c r="K3743" i="14"/>
  <c r="K3756" i="14" s="1"/>
  <c r="K3742" i="14"/>
  <c r="K3747" i="14" s="1"/>
  <c r="L3743" i="14"/>
  <c r="L3756" i="14" s="1"/>
  <c r="L3742" i="14"/>
  <c r="L3747" i="14" s="1"/>
  <c r="M3743" i="14"/>
  <c r="M3756" i="14" s="1"/>
  <c r="M3742" i="14"/>
  <c r="M3747" i="14" s="1"/>
  <c r="J3761" i="14"/>
  <c r="D3768" i="14"/>
  <c r="D3767" i="14"/>
  <c r="E3743" i="14"/>
  <c r="E3756" i="14" s="1"/>
  <c r="I3881" i="14"/>
  <c r="I3894" i="14" s="1"/>
  <c r="F3880" i="14"/>
  <c r="F3885" i="14" s="1"/>
  <c r="F3881" i="14"/>
  <c r="F3894" i="14" s="1"/>
  <c r="M3880" i="14"/>
  <c r="J3880" i="14"/>
  <c r="J3885" i="14" s="1"/>
  <c r="J3881" i="14"/>
  <c r="J3894" i="14" s="1"/>
  <c r="E3880" i="14"/>
  <c r="E3881" i="14"/>
  <c r="E3894" i="14" s="1"/>
  <c r="M3881" i="14"/>
  <c r="M3894" i="14" s="1"/>
  <c r="L3880" i="14"/>
  <c r="L3885" i="14" s="1"/>
  <c r="L3881" i="14"/>
  <c r="L3894" i="14" s="1"/>
  <c r="H3880" i="14"/>
  <c r="K3880" i="14"/>
  <c r="H3881" i="14"/>
  <c r="H3894" i="14" s="1"/>
  <c r="J3899" i="14"/>
  <c r="K3881" i="14"/>
  <c r="K3894" i="14" s="1"/>
  <c r="G3880" i="14"/>
  <c r="D3905" i="14"/>
  <c r="G3881" i="14"/>
  <c r="G3894" i="14" s="1"/>
  <c r="I3880" i="14"/>
  <c r="I3885" i="14" s="1"/>
  <c r="D3906" i="14"/>
  <c r="E3927" i="14"/>
  <c r="E3940" i="14" s="1"/>
  <c r="M3926" i="14"/>
  <c r="M3931" i="14" s="1"/>
  <c r="M3927" i="14"/>
  <c r="M3940" i="14" s="1"/>
  <c r="L3926" i="14"/>
  <c r="L3927" i="14"/>
  <c r="L3940" i="14" s="1"/>
  <c r="K3926" i="14"/>
  <c r="K3927" i="14"/>
  <c r="K3940" i="14" s="1"/>
  <c r="J3926" i="14"/>
  <c r="J3927" i="14"/>
  <c r="J3940" i="14" s="1"/>
  <c r="I3926" i="14"/>
  <c r="I3931" i="14" s="1"/>
  <c r="I3927" i="14"/>
  <c r="I3940" i="14" s="1"/>
  <c r="D3951" i="14"/>
  <c r="H3926" i="14"/>
  <c r="H3931" i="14" s="1"/>
  <c r="H3927" i="14"/>
  <c r="H3940" i="14" s="1"/>
  <c r="G3926" i="14"/>
  <c r="G3927" i="14"/>
  <c r="G3940" i="14" s="1"/>
  <c r="F3926" i="14"/>
  <c r="D3952" i="14"/>
  <c r="F3927" i="14"/>
  <c r="F3940" i="14" s="1"/>
  <c r="E3926" i="14"/>
  <c r="E3931" i="14" s="1"/>
  <c r="J3945" i="14"/>
  <c r="F3973" i="14"/>
  <c r="F3986" i="14" s="1"/>
  <c r="H3972" i="14"/>
  <c r="E3973" i="14"/>
  <c r="E3986" i="14" s="1"/>
  <c r="M3973" i="14"/>
  <c r="M3986" i="14" s="1"/>
  <c r="F3972" i="14"/>
  <c r="F3977" i="14" s="1"/>
  <c r="J3973" i="14"/>
  <c r="J3986" i="14" s="1"/>
  <c r="L3972" i="14"/>
  <c r="M3972" i="14"/>
  <c r="M3977" i="14" s="1"/>
  <c r="I3972" i="14"/>
  <c r="L3973" i="14"/>
  <c r="L3986" i="14" s="1"/>
  <c r="K3972" i="14"/>
  <c r="J3991" i="14"/>
  <c r="G3973" i="14"/>
  <c r="G3986" i="14" s="1"/>
  <c r="G3972" i="14"/>
  <c r="G3977" i="14" s="1"/>
  <c r="D3998" i="14"/>
  <c r="D3997" i="14"/>
  <c r="K3973" i="14"/>
  <c r="K3986" i="14" s="1"/>
  <c r="E3972" i="14"/>
  <c r="E3977" i="14" s="1"/>
  <c r="J3972" i="14"/>
  <c r="J3977" i="14" s="1"/>
  <c r="I3973" i="14"/>
  <c r="I3986" i="14" s="1"/>
  <c r="H3973" i="14"/>
  <c r="H3986" i="14" s="1"/>
  <c r="D4043" i="14"/>
  <c r="E4019" i="14"/>
  <c r="E4032" i="14" s="1"/>
  <c r="D4044" i="14"/>
  <c r="I4018" i="14"/>
  <c r="J4037" i="14"/>
  <c r="L4019" i="14"/>
  <c r="L4032" i="14" s="1"/>
  <c r="K4018" i="14"/>
  <c r="K4019" i="14"/>
  <c r="K4032" i="14" s="1"/>
  <c r="J4018" i="14"/>
  <c r="J4019" i="14"/>
  <c r="J4032" i="14" s="1"/>
  <c r="M4018" i="14"/>
  <c r="I4019" i="14"/>
  <c r="I4032" i="14" s="1"/>
  <c r="H4018" i="14"/>
  <c r="L4018" i="14"/>
  <c r="L4023" i="14" s="1"/>
  <c r="H4019" i="14"/>
  <c r="H4032" i="14" s="1"/>
  <c r="G4018" i="14"/>
  <c r="M4019" i="14"/>
  <c r="M4032" i="14" s="1"/>
  <c r="G4019" i="14"/>
  <c r="G4032" i="14" s="1"/>
  <c r="F4018" i="14"/>
  <c r="F4023" i="14" s="1"/>
  <c r="F4019" i="14"/>
  <c r="F4032" i="14" s="1"/>
  <c r="E4018" i="14"/>
  <c r="E4023" i="14" s="1"/>
  <c r="D4065" i="14"/>
  <c r="D4078" i="14" s="1"/>
  <c r="J4083" i="14"/>
  <c r="K4064" i="14"/>
  <c r="K4069" i="14" s="1"/>
  <c r="K4065" i="14"/>
  <c r="K4078" i="14" s="1"/>
  <c r="J4064" i="14"/>
  <c r="J4065" i="14"/>
  <c r="J4078" i="14" s="1"/>
  <c r="I4064" i="14"/>
  <c r="I4069" i="14" s="1"/>
  <c r="I4065" i="14"/>
  <c r="I4078" i="14" s="1"/>
  <c r="H4064" i="14"/>
  <c r="H4065" i="14"/>
  <c r="H4078" i="14" s="1"/>
  <c r="G4064" i="14"/>
  <c r="G4069" i="14" s="1"/>
  <c r="G4065" i="14"/>
  <c r="G4078" i="14" s="1"/>
  <c r="F4064" i="14"/>
  <c r="F4065" i="14"/>
  <c r="F4078" i="14" s="1"/>
  <c r="E4064" i="14"/>
  <c r="E4065" i="14"/>
  <c r="E4078" i="14" s="1"/>
  <c r="D4089" i="14"/>
  <c r="D4064" i="14"/>
  <c r="D4069" i="14" s="1"/>
  <c r="M4064" i="14"/>
  <c r="M4069" i="14" s="1"/>
  <c r="M4065" i="14"/>
  <c r="M4078" i="14" s="1"/>
  <c r="D4090" i="14"/>
  <c r="L4064" i="14"/>
  <c r="L4069" i="14" s="1"/>
  <c r="L4065" i="14"/>
  <c r="L4078" i="14" s="1"/>
  <c r="K3789" i="14"/>
  <c r="K3802" i="14" s="1"/>
  <c r="D3813" i="14"/>
  <c r="J3807" i="14"/>
  <c r="M3788" i="14"/>
  <c r="K3788" i="14"/>
  <c r="K3793" i="14" s="1"/>
  <c r="M3789" i="14"/>
  <c r="M3802" i="14" s="1"/>
  <c r="L3788" i="14"/>
  <c r="G3788" i="14"/>
  <c r="F3789" i="14"/>
  <c r="F3802" i="14" s="1"/>
  <c r="D3814" i="14"/>
  <c r="I3788" i="14"/>
  <c r="E3788" i="14"/>
  <c r="L3789" i="14"/>
  <c r="L3802" i="14" s="1"/>
  <c r="F3788" i="14"/>
  <c r="F3793" i="14" s="1"/>
  <c r="H3789" i="14"/>
  <c r="H3802" i="14" s="1"/>
  <c r="I3789" i="14"/>
  <c r="I3802" i="14" s="1"/>
  <c r="E3789" i="14"/>
  <c r="E3802" i="14" s="1"/>
  <c r="G3789" i="14"/>
  <c r="G3802" i="14" s="1"/>
  <c r="J3789" i="14"/>
  <c r="J3802" i="14" s="1"/>
  <c r="J3788" i="14"/>
  <c r="J3793" i="14" s="1"/>
  <c r="H3788" i="14"/>
  <c r="H3793" i="14" s="1"/>
  <c r="G3835" i="14"/>
  <c r="G3848" i="14" s="1"/>
  <c r="J3834" i="14"/>
  <c r="J3839" i="14" s="1"/>
  <c r="J3835" i="14"/>
  <c r="J3848" i="14" s="1"/>
  <c r="I3834" i="14"/>
  <c r="I3839" i="14" s="1"/>
  <c r="I3835" i="14"/>
  <c r="I3848" i="14" s="1"/>
  <c r="D3860" i="14"/>
  <c r="H3835" i="14"/>
  <c r="H3848" i="14" s="1"/>
  <c r="G3834" i="14"/>
  <c r="D3859" i="14"/>
  <c r="F3835" i="14"/>
  <c r="F3848" i="14" s="1"/>
  <c r="K3834" i="14"/>
  <c r="E3835" i="14"/>
  <c r="E3848" i="14" s="1"/>
  <c r="E3834" i="14"/>
  <c r="E3839" i="14" s="1"/>
  <c r="J3853" i="14"/>
  <c r="F3834" i="14"/>
  <c r="F3839" i="14" s="1"/>
  <c r="H3834" i="14"/>
  <c r="H3839" i="14" s="1"/>
  <c r="M3834" i="14"/>
  <c r="M3839" i="14" s="1"/>
  <c r="M3835" i="14"/>
  <c r="M3848" i="14" s="1"/>
  <c r="L3834" i="14"/>
  <c r="L3835" i="14"/>
  <c r="L3848" i="14" s="1"/>
  <c r="K3835" i="14"/>
  <c r="K3848" i="14" s="1"/>
  <c r="K4110" i="14"/>
  <c r="J4111" i="14"/>
  <c r="J4124" i="14" s="1"/>
  <c r="J4110" i="14"/>
  <c r="J4115" i="14" s="1"/>
  <c r="I4110" i="14"/>
  <c r="I4111" i="14"/>
  <c r="I4124" i="14" s="1"/>
  <c r="F4110" i="14"/>
  <c r="H4111" i="14"/>
  <c r="H4124" i="14" s="1"/>
  <c r="G4111" i="14"/>
  <c r="G4124" i="14" s="1"/>
  <c r="M4111" i="14"/>
  <c r="M4124" i="14" s="1"/>
  <c r="D4135" i="14"/>
  <c r="M4110" i="14"/>
  <c r="M4115" i="14" s="1"/>
  <c r="H4110" i="14"/>
  <c r="H4115" i="14" s="1"/>
  <c r="G4110" i="14"/>
  <c r="G4115" i="14" s="1"/>
  <c r="D4136" i="14"/>
  <c r="F4111" i="14"/>
  <c r="F4124" i="14" s="1"/>
  <c r="E4110" i="14"/>
  <c r="K4111" i="14"/>
  <c r="K4124" i="14" s="1"/>
  <c r="E4111" i="14"/>
  <c r="E4124" i="14" s="1"/>
  <c r="L4111" i="14"/>
  <c r="L4124" i="14" s="1"/>
  <c r="J4129" i="14"/>
  <c r="L4110" i="14"/>
  <c r="I4156" i="14"/>
  <c r="I4161" i="14" s="1"/>
  <c r="I4157" i="14"/>
  <c r="I4170" i="14" s="1"/>
  <c r="H4156" i="14"/>
  <c r="H4161" i="14" s="1"/>
  <c r="H4157" i="14"/>
  <c r="H4170" i="14" s="1"/>
  <c r="G4156" i="14"/>
  <c r="G4157" i="14"/>
  <c r="G4170" i="14" s="1"/>
  <c r="F4156" i="14"/>
  <c r="F4161" i="14" s="1"/>
  <c r="F4157" i="14"/>
  <c r="F4170" i="14" s="1"/>
  <c r="E4156" i="14"/>
  <c r="E4157" i="14"/>
  <c r="E4170" i="14" s="1"/>
  <c r="D4182" i="14"/>
  <c r="J4175" i="14"/>
  <c r="D4181" i="14"/>
  <c r="M4156" i="14"/>
  <c r="M4157" i="14"/>
  <c r="M4170" i="14" s="1"/>
  <c r="L4156" i="14"/>
  <c r="L4161" i="14" s="1"/>
  <c r="L4157" i="14"/>
  <c r="L4170" i="14" s="1"/>
  <c r="K4156" i="14"/>
  <c r="K4157" i="14"/>
  <c r="K4170" i="14" s="1"/>
  <c r="J4156" i="14"/>
  <c r="J4161" i="14" s="1"/>
  <c r="J4157" i="14"/>
  <c r="J4170" i="14" s="1"/>
  <c r="G4202" i="14"/>
  <c r="L4203" i="14"/>
  <c r="L4216" i="14" s="1"/>
  <c r="L4202" i="14"/>
  <c r="L4207" i="14" s="1"/>
  <c r="M4203" i="14"/>
  <c r="M4216" i="14" s="1"/>
  <c r="K4203" i="14"/>
  <c r="K4216" i="14" s="1"/>
  <c r="F4203" i="14"/>
  <c r="F4216" i="14" s="1"/>
  <c r="J4202" i="14"/>
  <c r="K4202" i="14"/>
  <c r="K4207" i="14" s="1"/>
  <c r="M4202" i="14"/>
  <c r="M4207" i="14" s="1"/>
  <c r="D4227" i="14"/>
  <c r="J4221" i="14"/>
  <c r="G4203" i="14"/>
  <c r="G4216" i="14" s="1"/>
  <c r="J4203" i="14"/>
  <c r="J4216" i="14" s="1"/>
  <c r="I4202" i="14"/>
  <c r="I4203" i="14"/>
  <c r="I4216" i="14" s="1"/>
  <c r="H4202" i="14"/>
  <c r="H4203" i="14"/>
  <c r="H4216" i="14" s="1"/>
  <c r="E4202" i="14"/>
  <c r="E4207" i="14" s="1"/>
  <c r="E4203" i="14"/>
  <c r="E4216" i="14" s="1"/>
  <c r="F4202" i="14"/>
  <c r="F4207" i="14" s="1"/>
  <c r="D4228" i="14"/>
  <c r="H4249" i="14"/>
  <c r="H4262" i="14" s="1"/>
  <c r="H4248" i="14"/>
  <c r="H4253" i="14" s="1"/>
  <c r="E4249" i="14"/>
  <c r="E4262" i="14" s="1"/>
  <c r="K4248" i="14"/>
  <c r="J4249" i="14"/>
  <c r="J4262" i="14" s="1"/>
  <c r="D4274" i="14"/>
  <c r="J4248" i="14"/>
  <c r="J4253" i="14" s="1"/>
  <c r="K4249" i="14"/>
  <c r="K4262" i="14" s="1"/>
  <c r="L4249" i="14"/>
  <c r="L4262" i="14" s="1"/>
  <c r="L4248" i="14"/>
  <c r="L4253" i="14" s="1"/>
  <c r="E4248" i="14"/>
  <c r="E4253" i="14" s="1"/>
  <c r="M4249" i="14"/>
  <c r="M4262" i="14" s="1"/>
  <c r="J4267" i="14"/>
  <c r="F4249" i="14"/>
  <c r="F4262" i="14" s="1"/>
  <c r="F4248" i="14"/>
  <c r="F4253" i="14" s="1"/>
  <c r="G4249" i="14"/>
  <c r="G4262" i="14" s="1"/>
  <c r="M4248" i="14"/>
  <c r="M4253" i="14" s="1"/>
  <c r="G4248" i="14"/>
  <c r="D4273" i="14"/>
  <c r="I4294" i="14"/>
  <c r="H4294" i="14"/>
  <c r="G4294" i="14"/>
  <c r="G4295" i="14"/>
  <c r="G4308" i="14" s="1"/>
  <c r="F4295" i="14"/>
  <c r="F4308" i="14" s="1"/>
  <c r="J4313" i="14"/>
  <c r="E4294" i="14"/>
  <c r="E4299" i="14" s="1"/>
  <c r="E4295" i="14"/>
  <c r="E4308" i="14" s="1"/>
  <c r="H4295" i="14"/>
  <c r="H4308" i="14" s="1"/>
  <c r="D4319" i="14"/>
  <c r="F4294" i="14"/>
  <c r="F4299" i="14" s="1"/>
  <c r="D4320" i="14"/>
  <c r="I4295" i="14"/>
  <c r="I4308" i="14" s="1"/>
  <c r="M4294" i="14"/>
  <c r="M4295" i="14"/>
  <c r="M4308" i="14" s="1"/>
  <c r="L4294" i="14"/>
  <c r="L4295" i="14"/>
  <c r="L4308" i="14" s="1"/>
  <c r="K4294" i="14"/>
  <c r="K4295" i="14"/>
  <c r="K4308" i="14" s="1"/>
  <c r="J4294" i="14"/>
  <c r="J4295" i="14"/>
  <c r="J4308" i="14" s="1"/>
  <c r="E4341" i="14"/>
  <c r="E4354" i="14" s="1"/>
  <c r="F4340" i="14"/>
  <c r="G4341" i="14"/>
  <c r="G4354" i="14" s="1"/>
  <c r="G4340" i="14"/>
  <c r="G4345" i="14" s="1"/>
  <c r="I4340" i="14"/>
  <c r="J4341" i="14"/>
  <c r="J4354" i="14" s="1"/>
  <c r="H4341" i="14"/>
  <c r="H4354" i="14" s="1"/>
  <c r="J4359" i="14"/>
  <c r="H4340" i="14"/>
  <c r="H4345" i="14" s="1"/>
  <c r="E4340" i="14"/>
  <c r="E4345" i="14" s="1"/>
  <c r="I4341" i="14"/>
  <c r="I4354" i="14" s="1"/>
  <c r="F4341" i="14"/>
  <c r="F4354" i="14" s="1"/>
  <c r="J4340" i="14"/>
  <c r="J4345" i="14" s="1"/>
  <c r="K4340" i="14"/>
  <c r="L4341" i="14"/>
  <c r="L4354" i="14" s="1"/>
  <c r="L4340" i="14"/>
  <c r="L4345" i="14" s="1"/>
  <c r="M4341" i="14"/>
  <c r="M4354" i="14" s="1"/>
  <c r="D4366" i="14"/>
  <c r="M4340" i="14"/>
  <c r="M4345" i="14" s="1"/>
  <c r="K4341" i="14"/>
  <c r="K4354" i="14" s="1"/>
  <c r="D4365" i="14"/>
  <c r="D4387" i="14"/>
  <c r="D4400" i="14" s="1"/>
  <c r="M4387" i="14"/>
  <c r="M4400" i="14" s="1"/>
  <c r="L4386" i="14"/>
  <c r="L4387" i="14"/>
  <c r="L4400" i="14" s="1"/>
  <c r="J4405" i="14"/>
  <c r="D4412" i="14"/>
  <c r="J4386" i="14"/>
  <c r="J4391" i="14" s="1"/>
  <c r="J4387" i="14"/>
  <c r="J4400" i="14" s="1"/>
  <c r="I4386" i="14"/>
  <c r="K4387" i="14"/>
  <c r="K4400" i="14" s="1"/>
  <c r="E4387" i="14"/>
  <c r="E4400" i="14" s="1"/>
  <c r="E4386" i="14"/>
  <c r="F4387" i="14"/>
  <c r="F4400" i="14" s="1"/>
  <c r="F4386" i="14"/>
  <c r="F4391" i="14" s="1"/>
  <c r="G4387" i="14"/>
  <c r="G4400" i="14" s="1"/>
  <c r="G4386" i="14"/>
  <c r="K4386" i="14"/>
  <c r="K4391" i="14" s="1"/>
  <c r="H4387" i="14"/>
  <c r="H4400" i="14" s="1"/>
  <c r="H4386" i="14"/>
  <c r="H4391" i="14" s="1"/>
  <c r="I4387" i="14"/>
  <c r="I4400" i="14" s="1"/>
  <c r="M4386" i="14"/>
  <c r="M4391" i="14" s="1"/>
  <c r="D4386" i="14"/>
  <c r="D4391" i="14" s="1"/>
  <c r="D4411" i="14"/>
  <c r="M17" i="16"/>
  <c r="M30" i="16" s="1"/>
  <c r="M16" i="16"/>
  <c r="M21" i="16" s="1"/>
  <c r="D42" i="16"/>
  <c r="F17" i="16"/>
  <c r="F30" i="16" s="1"/>
  <c r="D17" i="16"/>
  <c r="D30" i="16" s="1"/>
  <c r="L16" i="16"/>
  <c r="E17" i="16"/>
  <c r="E30" i="16" s="1"/>
  <c r="E16" i="16"/>
  <c r="E21" i="16" s="1"/>
  <c r="F16" i="16"/>
  <c r="F21" i="16" s="1"/>
  <c r="G17" i="16"/>
  <c r="G30" i="16" s="1"/>
  <c r="D16" i="16"/>
  <c r="D21" i="16" s="1"/>
  <c r="G16" i="16"/>
  <c r="H17" i="16"/>
  <c r="H30" i="16" s="1"/>
  <c r="H16" i="16"/>
  <c r="H21" i="16" s="1"/>
  <c r="I17" i="16"/>
  <c r="I30" i="16" s="1"/>
  <c r="I16" i="16"/>
  <c r="I21" i="16" s="1"/>
  <c r="J17" i="16"/>
  <c r="J30" i="16" s="1"/>
  <c r="J16" i="16"/>
  <c r="J21" i="16" s="1"/>
  <c r="K17" i="16"/>
  <c r="K30" i="16" s="1"/>
  <c r="J35" i="16"/>
  <c r="K16" i="16"/>
  <c r="K21" i="16" s="1"/>
  <c r="L17" i="16"/>
  <c r="L30" i="16" s="1"/>
  <c r="D41" i="16"/>
  <c r="M62" i="16"/>
  <c r="I63" i="16"/>
  <c r="I76" i="16" s="1"/>
  <c r="G63" i="16"/>
  <c r="G76" i="16" s="1"/>
  <c r="M63" i="16"/>
  <c r="M76" i="16" s="1"/>
  <c r="G62" i="16"/>
  <c r="H62" i="16"/>
  <c r="L62" i="16"/>
  <c r="L63" i="16"/>
  <c r="L76" i="16" s="1"/>
  <c r="J81" i="16"/>
  <c r="D87" i="16"/>
  <c r="K62" i="16"/>
  <c r="K63" i="16"/>
  <c r="K76" i="16" s="1"/>
  <c r="E63" i="16"/>
  <c r="E76" i="16" s="1"/>
  <c r="H63" i="16"/>
  <c r="H76" i="16" s="1"/>
  <c r="J62" i="16"/>
  <c r="J63" i="16"/>
  <c r="J76" i="16" s="1"/>
  <c r="D88" i="16"/>
  <c r="E62" i="16"/>
  <c r="E67" i="16" s="1"/>
  <c r="I62" i="16"/>
  <c r="I67" i="16" s="1"/>
  <c r="F63" i="16"/>
  <c r="F76" i="16" s="1"/>
  <c r="F62" i="16"/>
  <c r="I108" i="16"/>
  <c r="I109" i="16"/>
  <c r="I122" i="16" s="1"/>
  <c r="J108" i="16"/>
  <c r="J109" i="16"/>
  <c r="J122" i="16" s="1"/>
  <c r="H108" i="16"/>
  <c r="J127" i="16"/>
  <c r="H109" i="16"/>
  <c r="H122" i="16" s="1"/>
  <c r="D134" i="16"/>
  <c r="M108" i="16"/>
  <c r="G108" i="16"/>
  <c r="G109" i="16"/>
  <c r="G122" i="16" s="1"/>
  <c r="D133" i="16"/>
  <c r="L108" i="16"/>
  <c r="F108" i="16"/>
  <c r="F109" i="16"/>
  <c r="F122" i="16" s="1"/>
  <c r="L109" i="16"/>
  <c r="L122" i="16" s="1"/>
  <c r="K108" i="16"/>
  <c r="E108" i="16"/>
  <c r="E109" i="16"/>
  <c r="E122" i="16" s="1"/>
  <c r="K109" i="16"/>
  <c r="K122" i="16" s="1"/>
  <c r="M109" i="16"/>
  <c r="M122" i="16" s="1"/>
  <c r="M155" i="6"/>
  <c r="M168" i="6" s="1"/>
  <c r="D180" i="6"/>
  <c r="I155" i="6"/>
  <c r="I168" i="6" s="1"/>
  <c r="E154" i="6"/>
  <c r="M154" i="6"/>
  <c r="M159" i="6" s="1"/>
  <c r="J154" i="6"/>
  <c r="L154" i="6"/>
  <c r="L155" i="6"/>
  <c r="L168" i="6" s="1"/>
  <c r="I154" i="6"/>
  <c r="I159" i="6" s="1"/>
  <c r="K155" i="6"/>
  <c r="K168" i="6" s="1"/>
  <c r="K154" i="6"/>
  <c r="K159" i="6" s="1"/>
  <c r="E155" i="6"/>
  <c r="E168" i="6" s="1"/>
  <c r="J155" i="6"/>
  <c r="J168" i="6" s="1"/>
  <c r="G154" i="6"/>
  <c r="H154" i="6"/>
  <c r="J173" i="6"/>
  <c r="F155" i="6"/>
  <c r="F168" i="6" s="1"/>
  <c r="F154" i="6"/>
  <c r="F159" i="6" s="1"/>
  <c r="G155" i="6"/>
  <c r="G168" i="6" s="1"/>
  <c r="D154" i="6"/>
  <c r="D179" i="6"/>
  <c r="H155" i="6"/>
  <c r="H168" i="6" s="1"/>
  <c r="D155" i="6"/>
  <c r="D168" i="6" s="1"/>
  <c r="J200" i="6"/>
  <c r="E200" i="6"/>
  <c r="J201" i="6"/>
  <c r="J214" i="6" s="1"/>
  <c r="D200" i="6"/>
  <c r="I200" i="6"/>
  <c r="I201" i="6"/>
  <c r="I214" i="6" s="1"/>
  <c r="H200" i="6"/>
  <c r="J219" i="6"/>
  <c r="D225" i="6"/>
  <c r="H201" i="6"/>
  <c r="H214" i="6" s="1"/>
  <c r="G200" i="6"/>
  <c r="E201" i="6"/>
  <c r="E214" i="6" s="1"/>
  <c r="D226" i="6"/>
  <c r="F201" i="6"/>
  <c r="F214" i="6" s="1"/>
  <c r="F200" i="6"/>
  <c r="F205" i="6" s="1"/>
  <c r="K201" i="6"/>
  <c r="K214" i="6" s="1"/>
  <c r="D201" i="6"/>
  <c r="D214" i="6" s="1"/>
  <c r="G201" i="6"/>
  <c r="G214" i="6" s="1"/>
  <c r="M200" i="6"/>
  <c r="M201" i="6"/>
  <c r="M214" i="6" s="1"/>
  <c r="L200" i="6"/>
  <c r="L201" i="6"/>
  <c r="L214" i="6" s="1"/>
  <c r="K200" i="6"/>
  <c r="K205" i="6" s="1"/>
  <c r="H246" i="6"/>
  <c r="H247" i="6"/>
  <c r="H260" i="6" s="1"/>
  <c r="G246" i="6"/>
  <c r="G247" i="6"/>
  <c r="G260" i="6" s="1"/>
  <c r="F246" i="6"/>
  <c r="F247" i="6"/>
  <c r="F260" i="6" s="1"/>
  <c r="E246" i="6"/>
  <c r="E247" i="6"/>
  <c r="E260" i="6" s="1"/>
  <c r="D246" i="6"/>
  <c r="D247" i="6"/>
  <c r="D260" i="6" s="1"/>
  <c r="J265" i="6"/>
  <c r="D272" i="6"/>
  <c r="D271" i="6"/>
  <c r="M246" i="6"/>
  <c r="M247" i="6"/>
  <c r="M260" i="6" s="1"/>
  <c r="L246" i="6"/>
  <c r="L247" i="6"/>
  <c r="L260" i="6" s="1"/>
  <c r="K246" i="6"/>
  <c r="K247" i="6"/>
  <c r="K260" i="6" s="1"/>
  <c r="J246" i="6"/>
  <c r="J247" i="6"/>
  <c r="J260" i="6" s="1"/>
  <c r="I246" i="6"/>
  <c r="I247" i="6"/>
  <c r="I260" i="6" s="1"/>
  <c r="M121" i="16"/>
  <c r="M112" i="16"/>
  <c r="L121" i="16"/>
  <c r="L112" i="16"/>
  <c r="K121" i="16"/>
  <c r="K112" i="16"/>
  <c r="J121" i="16"/>
  <c r="J112" i="16"/>
  <c r="I121" i="16"/>
  <c r="I112" i="16"/>
  <c r="H121" i="16"/>
  <c r="H112" i="16"/>
  <c r="G121" i="16"/>
  <c r="G112" i="16"/>
  <c r="F121" i="16"/>
  <c r="F112" i="16"/>
  <c r="E121" i="16"/>
  <c r="J129" i="16" s="1"/>
  <c r="E112" i="16"/>
  <c r="D135" i="16" s="1"/>
  <c r="M75" i="16"/>
  <c r="M66" i="16"/>
  <c r="L75" i="16"/>
  <c r="L66" i="16"/>
  <c r="K75" i="16"/>
  <c r="K66" i="16"/>
  <c r="J75" i="16"/>
  <c r="J66" i="16"/>
  <c r="I75" i="16"/>
  <c r="I66" i="16"/>
  <c r="H75" i="16"/>
  <c r="H66" i="16"/>
  <c r="G75" i="16"/>
  <c r="G66" i="16"/>
  <c r="F75" i="16"/>
  <c r="F66" i="16"/>
  <c r="E75" i="16"/>
  <c r="J83" i="16" s="1"/>
  <c r="E66" i="16"/>
  <c r="D89" i="16" s="1"/>
  <c r="M29" i="16"/>
  <c r="M20" i="16"/>
  <c r="L29" i="16"/>
  <c r="L20" i="16"/>
  <c r="K29" i="16"/>
  <c r="K20" i="16"/>
  <c r="J20" i="16"/>
  <c r="J29" i="16"/>
  <c r="I20" i="16"/>
  <c r="I29" i="16"/>
  <c r="H20" i="16"/>
  <c r="H29" i="16"/>
  <c r="G29" i="16"/>
  <c r="G20" i="16"/>
  <c r="F29" i="16"/>
  <c r="F20" i="16"/>
  <c r="E20" i="16"/>
  <c r="D43" i="16" s="1"/>
  <c r="E29" i="16"/>
  <c r="J37" i="16" s="1"/>
  <c r="M4390" i="14"/>
  <c r="M4399" i="14"/>
  <c r="L4399" i="14"/>
  <c r="L4390" i="14"/>
  <c r="K4399" i="14"/>
  <c r="K4390" i="14"/>
  <c r="J4399" i="14"/>
  <c r="J4390" i="14"/>
  <c r="I4399" i="14"/>
  <c r="I4390" i="14"/>
  <c r="H4399" i="14"/>
  <c r="H4390" i="14"/>
  <c r="G4399" i="14"/>
  <c r="G4390" i="14"/>
  <c r="F4390" i="14"/>
  <c r="F4399" i="14"/>
  <c r="E4399" i="14"/>
  <c r="J4407" i="14" s="1"/>
  <c r="E4390" i="14"/>
  <c r="D4413" i="14" s="1"/>
  <c r="M4344" i="14"/>
  <c r="M4353" i="14"/>
  <c r="L4353" i="14"/>
  <c r="L4344" i="14"/>
  <c r="K4353" i="14"/>
  <c r="K4344" i="14"/>
  <c r="J4353" i="14"/>
  <c r="J4344" i="14"/>
  <c r="I4344" i="14"/>
  <c r="I4353" i="14"/>
  <c r="H4344" i="14"/>
  <c r="H4353" i="14"/>
  <c r="G4353" i="14"/>
  <c r="G4344" i="14"/>
  <c r="F4344" i="14"/>
  <c r="F4353" i="14"/>
  <c r="E4344" i="14"/>
  <c r="D4367" i="14" s="1"/>
  <c r="E4353" i="14"/>
  <c r="J4361" i="14" s="1"/>
  <c r="M4307" i="14"/>
  <c r="M4298" i="14"/>
  <c r="L4298" i="14"/>
  <c r="L4307" i="14"/>
  <c r="K4298" i="14"/>
  <c r="K4307" i="14"/>
  <c r="J4307" i="14"/>
  <c r="J4298" i="14"/>
  <c r="I4307" i="14"/>
  <c r="I4298" i="14"/>
  <c r="H4307" i="14"/>
  <c r="H4298" i="14"/>
  <c r="G4307" i="14"/>
  <c r="G4298" i="14"/>
  <c r="F4307" i="14"/>
  <c r="F4298" i="14"/>
  <c r="E4307" i="14"/>
  <c r="J4315" i="14" s="1"/>
  <c r="E4298" i="14"/>
  <c r="D4321" i="14" s="1"/>
  <c r="M4252" i="14"/>
  <c r="M4261" i="14"/>
  <c r="L4252" i="14"/>
  <c r="L4261" i="14"/>
  <c r="K4252" i="14"/>
  <c r="K4261" i="14"/>
  <c r="J4252" i="14"/>
  <c r="J4261" i="14"/>
  <c r="H4261" i="14"/>
  <c r="H4252" i="14"/>
  <c r="G4252" i="14"/>
  <c r="G4261" i="14"/>
  <c r="F4261" i="14"/>
  <c r="F4252" i="14"/>
  <c r="E4252" i="14"/>
  <c r="E4261" i="14"/>
  <c r="J4269" i="14" s="1"/>
  <c r="M4215" i="14"/>
  <c r="M4206" i="14"/>
  <c r="L4206" i="14"/>
  <c r="L4215" i="14"/>
  <c r="K4215" i="14"/>
  <c r="K4206" i="14"/>
  <c r="J4206" i="14"/>
  <c r="J4215" i="14"/>
  <c r="I4206" i="14"/>
  <c r="I4215" i="14"/>
  <c r="H4206" i="14"/>
  <c r="H4215" i="14"/>
  <c r="G4206" i="14"/>
  <c r="G4215" i="14"/>
  <c r="F4215" i="14"/>
  <c r="F4206" i="14"/>
  <c r="E4206" i="14"/>
  <c r="D4229" i="14" s="1"/>
  <c r="E4215" i="14"/>
  <c r="J4223" i="14" s="1"/>
  <c r="M4160" i="14"/>
  <c r="M4169" i="14"/>
  <c r="L4169" i="14"/>
  <c r="L4160" i="14"/>
  <c r="K4160" i="14"/>
  <c r="K4169" i="14"/>
  <c r="J4160" i="14"/>
  <c r="J4169" i="14"/>
  <c r="I4160" i="14"/>
  <c r="I4169" i="14"/>
  <c r="H4160" i="14"/>
  <c r="H4169" i="14"/>
  <c r="G4169" i="14"/>
  <c r="G4160" i="14"/>
  <c r="F4169" i="14"/>
  <c r="F4160" i="14"/>
  <c r="E4169" i="14"/>
  <c r="J4177" i="14" s="1"/>
  <c r="E4160" i="14"/>
  <c r="D4183" i="14" s="1"/>
  <c r="L4123" i="14"/>
  <c r="L4114" i="14"/>
  <c r="K4123" i="14"/>
  <c r="K4114" i="14"/>
  <c r="J4114" i="14"/>
  <c r="J4123" i="14"/>
  <c r="I4114" i="14"/>
  <c r="I4123" i="14"/>
  <c r="H4114" i="14"/>
  <c r="H4123" i="14"/>
  <c r="G4123" i="14"/>
  <c r="G4114" i="14"/>
  <c r="F4114" i="14"/>
  <c r="F4123" i="14"/>
  <c r="E4114" i="14"/>
  <c r="D4137" i="14" s="1"/>
  <c r="E4123" i="14"/>
  <c r="J4131" i="14" s="1"/>
  <c r="M4068" i="14"/>
  <c r="M4077" i="14"/>
  <c r="L4068" i="14"/>
  <c r="L4077" i="14"/>
  <c r="K4068" i="14"/>
  <c r="K4077" i="14"/>
  <c r="J4068" i="14"/>
  <c r="J4077" i="14"/>
  <c r="I4068" i="14"/>
  <c r="I4077" i="14"/>
  <c r="H4068" i="14"/>
  <c r="H4077" i="14"/>
  <c r="G4077" i="14"/>
  <c r="G4068" i="14"/>
  <c r="F4077" i="14"/>
  <c r="F4068" i="14"/>
  <c r="E4068" i="14"/>
  <c r="E4077" i="14"/>
  <c r="J4085" i="14" s="1"/>
  <c r="M4031" i="14"/>
  <c r="M4022" i="14"/>
  <c r="L4031" i="14"/>
  <c r="L4022" i="14"/>
  <c r="K4031" i="14"/>
  <c r="K4022" i="14"/>
  <c r="J4022" i="14"/>
  <c r="J4031" i="14"/>
  <c r="I4022" i="14"/>
  <c r="I4031" i="14"/>
  <c r="H4022" i="14"/>
  <c r="H4031" i="14"/>
  <c r="G4022" i="14"/>
  <c r="G4031" i="14"/>
  <c r="F4031" i="14"/>
  <c r="F4022" i="14"/>
  <c r="E4022" i="14"/>
  <c r="D4045" i="14" s="1"/>
  <c r="E4031" i="14"/>
  <c r="J4039" i="14" s="1"/>
  <c r="M3985" i="14"/>
  <c r="M3976" i="14"/>
  <c r="L3985" i="14"/>
  <c r="L3976" i="14"/>
  <c r="K3976" i="14"/>
  <c r="K3985" i="14"/>
  <c r="J3985" i="14"/>
  <c r="J3976" i="14"/>
  <c r="I3976" i="14"/>
  <c r="I3985" i="14"/>
  <c r="H3985" i="14"/>
  <c r="H3976" i="14"/>
  <c r="G3985" i="14"/>
  <c r="G3976" i="14"/>
  <c r="F3976" i="14"/>
  <c r="F3985" i="14"/>
  <c r="E3976" i="14"/>
  <c r="E3985" i="14"/>
  <c r="M3939" i="14"/>
  <c r="M3930" i="14"/>
  <c r="L3930" i="14"/>
  <c r="L3939" i="14"/>
  <c r="K3939" i="14"/>
  <c r="K3930" i="14"/>
  <c r="J3930" i="14"/>
  <c r="J3939" i="14"/>
  <c r="I3939" i="14"/>
  <c r="I3930" i="14"/>
  <c r="H3930" i="14"/>
  <c r="H3939" i="14"/>
  <c r="G3930" i="14"/>
  <c r="G3939" i="14"/>
  <c r="F3939" i="14"/>
  <c r="F3930" i="14"/>
  <c r="E3930" i="14"/>
  <c r="D3953" i="14" s="1"/>
  <c r="E3939" i="14"/>
  <c r="J3947" i="14" s="1"/>
  <c r="M3884" i="14"/>
  <c r="M3893" i="14"/>
  <c r="L3893" i="14"/>
  <c r="L3884" i="14"/>
  <c r="K3884" i="14"/>
  <c r="K3893" i="14"/>
  <c r="J3884" i="14"/>
  <c r="J3893" i="14"/>
  <c r="I3893" i="14"/>
  <c r="I3884" i="14"/>
  <c r="H3884" i="14"/>
  <c r="H3893" i="14"/>
  <c r="G3893" i="14"/>
  <c r="G3884" i="14"/>
  <c r="F3893" i="14"/>
  <c r="F3884" i="14"/>
  <c r="E3884" i="14"/>
  <c r="D3907" i="14" s="1"/>
  <c r="E3893" i="14"/>
  <c r="J3901" i="14" s="1"/>
  <c r="M3847" i="14"/>
  <c r="M3838" i="14"/>
  <c r="L3838" i="14"/>
  <c r="L3847" i="14"/>
  <c r="K3838" i="14"/>
  <c r="K3847" i="14"/>
  <c r="J3847" i="14"/>
  <c r="J3838" i="14"/>
  <c r="I3838" i="14"/>
  <c r="I3847" i="14"/>
  <c r="H3838" i="14"/>
  <c r="H3847" i="14"/>
  <c r="G3838" i="14"/>
  <c r="G3847" i="14"/>
  <c r="F3847" i="14"/>
  <c r="F3838" i="14"/>
  <c r="E3838" i="14"/>
  <c r="D3861" i="14" s="1"/>
  <c r="E3847" i="14"/>
  <c r="J3855" i="14" s="1"/>
  <c r="L3801" i="14"/>
  <c r="L3792" i="14"/>
  <c r="K3792" i="14"/>
  <c r="K3801" i="14"/>
  <c r="J3792" i="14"/>
  <c r="J3801" i="14"/>
  <c r="I3792" i="14"/>
  <c r="I3801" i="14"/>
  <c r="H3792" i="14"/>
  <c r="H3801" i="14"/>
  <c r="G3792" i="14"/>
  <c r="G3801" i="14"/>
  <c r="F3792" i="14"/>
  <c r="F3801" i="14"/>
  <c r="E3792" i="14"/>
  <c r="D3815" i="14" s="1"/>
  <c r="E3801" i="14"/>
  <c r="J3809" i="14" s="1"/>
  <c r="M3755" i="14"/>
  <c r="M3746" i="14"/>
  <c r="L3755" i="14"/>
  <c r="L3746" i="14"/>
  <c r="K3755" i="14"/>
  <c r="K3746" i="14"/>
  <c r="J3755" i="14"/>
  <c r="J3746" i="14"/>
  <c r="I3746" i="14"/>
  <c r="I3755" i="14"/>
  <c r="H3755" i="14"/>
  <c r="H3746" i="14"/>
  <c r="G3746" i="14"/>
  <c r="G3755" i="14"/>
  <c r="F3755" i="14"/>
  <c r="F3746" i="14"/>
  <c r="E3746" i="14"/>
  <c r="D3769" i="14" s="1"/>
  <c r="E3755" i="14"/>
  <c r="J3763" i="14" s="1"/>
  <c r="M3700" i="14"/>
  <c r="M3709" i="14"/>
  <c r="L3700" i="14"/>
  <c r="L3709" i="14"/>
  <c r="K3700" i="14"/>
  <c r="K3709" i="14"/>
  <c r="J3700" i="14"/>
  <c r="J3709" i="14"/>
  <c r="I3709" i="14"/>
  <c r="I3700" i="14"/>
  <c r="H3700" i="14"/>
  <c r="H3709" i="14"/>
  <c r="G3700" i="14"/>
  <c r="G3709" i="14"/>
  <c r="E3709" i="14"/>
  <c r="J3717" i="14" s="1"/>
  <c r="E3700" i="14"/>
  <c r="D3723" i="14" s="1"/>
  <c r="M3663" i="14"/>
  <c r="M3654" i="14"/>
  <c r="L3654" i="14"/>
  <c r="L3663" i="14"/>
  <c r="K3654" i="14"/>
  <c r="K3663" i="14"/>
  <c r="J3654" i="14"/>
  <c r="J3663" i="14"/>
  <c r="I3663" i="14"/>
  <c r="I3654" i="14"/>
  <c r="H3654" i="14"/>
  <c r="H3663" i="14"/>
  <c r="G3654" i="14"/>
  <c r="G3663" i="14"/>
  <c r="F3654" i="14"/>
  <c r="F3663" i="14"/>
  <c r="E3654" i="14"/>
  <c r="D3677" i="14" s="1"/>
  <c r="E3663" i="14"/>
  <c r="J3671" i="14" s="1"/>
  <c r="M3617" i="14"/>
  <c r="M3608" i="14"/>
  <c r="L3617" i="14"/>
  <c r="L3608" i="14"/>
  <c r="K3617" i="14"/>
  <c r="K3608" i="14"/>
  <c r="J3608" i="14"/>
  <c r="J3617" i="14"/>
  <c r="I3617" i="14"/>
  <c r="I3608" i="14"/>
  <c r="H3608" i="14"/>
  <c r="H3617" i="14"/>
  <c r="G3608" i="14"/>
  <c r="G3617" i="14"/>
  <c r="F3608" i="14"/>
  <c r="F3617" i="14"/>
  <c r="E3608" i="14"/>
  <c r="D3631" i="14" s="1"/>
  <c r="E3617" i="14"/>
  <c r="J3625" i="14" s="1"/>
  <c r="M3571" i="14"/>
  <c r="M3562" i="14"/>
  <c r="L3571" i="14"/>
  <c r="L3562" i="14"/>
  <c r="K3571" i="14"/>
  <c r="K3562" i="14"/>
  <c r="J3562" i="14"/>
  <c r="J3571" i="14"/>
  <c r="I3562" i="14"/>
  <c r="I3571" i="14"/>
  <c r="H3562" i="14"/>
  <c r="H3571" i="14"/>
  <c r="G3571" i="14"/>
  <c r="G3562" i="14"/>
  <c r="F3571" i="14"/>
  <c r="F3562" i="14"/>
  <c r="E3562" i="14"/>
  <c r="D3585" i="14" s="1"/>
  <c r="E3571" i="14"/>
  <c r="J3579" i="14" s="1"/>
  <c r="M3525" i="14"/>
  <c r="M3516" i="14"/>
  <c r="L3516" i="14"/>
  <c r="L3525" i="14"/>
  <c r="K3516" i="14"/>
  <c r="K3525" i="14"/>
  <c r="J3516" i="14"/>
  <c r="J3525" i="14"/>
  <c r="I3525" i="14"/>
  <c r="I3516" i="14"/>
  <c r="H3525" i="14"/>
  <c r="H3516" i="14"/>
  <c r="G3525" i="14"/>
  <c r="G3516" i="14"/>
  <c r="F3525" i="14"/>
  <c r="F3516" i="14"/>
  <c r="E3525" i="14"/>
  <c r="J3533" i="14" s="1"/>
  <c r="E3516" i="14"/>
  <c r="D3539" i="14" s="1"/>
  <c r="M3470" i="14"/>
  <c r="M3479" i="14"/>
  <c r="L3479" i="14"/>
  <c r="L3470" i="14"/>
  <c r="K3470" i="14"/>
  <c r="K3479" i="14"/>
  <c r="J3470" i="14"/>
  <c r="J3479" i="14"/>
  <c r="I3470" i="14"/>
  <c r="I3479" i="14"/>
  <c r="H3470" i="14"/>
  <c r="H3479" i="14"/>
  <c r="G3479" i="14"/>
  <c r="G3470" i="14"/>
  <c r="F3479" i="14"/>
  <c r="F3470" i="14"/>
  <c r="E3470" i="14"/>
  <c r="D3493" i="14" s="1"/>
  <c r="E3479" i="14"/>
  <c r="J3487" i="14" s="1"/>
  <c r="M3433" i="14"/>
  <c r="M3424" i="14"/>
  <c r="L3433" i="14"/>
  <c r="L3424" i="14"/>
  <c r="K3433" i="14"/>
  <c r="K3424" i="14"/>
  <c r="J3433" i="14"/>
  <c r="J3424" i="14"/>
  <c r="I3433" i="14"/>
  <c r="I3424" i="14"/>
  <c r="H3433" i="14"/>
  <c r="H3424" i="14"/>
  <c r="G3433" i="14"/>
  <c r="G3424" i="14"/>
  <c r="F3424" i="14"/>
  <c r="F3433" i="14"/>
  <c r="E3433" i="14"/>
  <c r="J3441" i="14" s="1"/>
  <c r="E3424" i="14"/>
  <c r="D3447" i="14" s="1"/>
  <c r="M3387" i="14"/>
  <c r="M3378" i="14"/>
  <c r="L3378" i="14"/>
  <c r="L3387" i="14"/>
  <c r="K3387" i="14"/>
  <c r="K3378" i="14"/>
  <c r="J3387" i="14"/>
  <c r="J3378" i="14"/>
  <c r="I3387" i="14"/>
  <c r="I3378" i="14"/>
  <c r="H3387" i="14"/>
  <c r="H3378" i="14"/>
  <c r="G3378" i="14"/>
  <c r="G3387" i="14"/>
  <c r="F3387" i="14"/>
  <c r="F3378" i="14"/>
  <c r="E3387" i="14"/>
  <c r="J3395" i="14" s="1"/>
  <c r="E3378" i="14"/>
  <c r="D3401" i="14" s="1"/>
  <c r="M3341" i="14"/>
  <c r="M3332" i="14"/>
  <c r="L3341" i="14"/>
  <c r="L3332" i="14"/>
  <c r="K3341" i="14"/>
  <c r="K3332" i="14"/>
  <c r="J3341" i="14"/>
  <c r="J3332" i="14"/>
  <c r="I3332" i="14"/>
  <c r="I3341" i="14"/>
  <c r="H3341" i="14"/>
  <c r="H3332" i="14"/>
  <c r="G3332" i="14"/>
  <c r="G3341" i="14"/>
  <c r="F3341" i="14"/>
  <c r="F3332" i="14"/>
  <c r="E3332" i="14"/>
  <c r="D3355" i="14" s="1"/>
  <c r="E3341" i="14"/>
  <c r="J3349" i="14" s="1"/>
  <c r="M3286" i="14"/>
  <c r="M3295" i="14"/>
  <c r="L3295" i="14"/>
  <c r="L3286" i="14"/>
  <c r="J3295" i="14"/>
  <c r="J3286" i="14"/>
  <c r="I3295" i="14"/>
  <c r="I3286" i="14"/>
  <c r="H3295" i="14"/>
  <c r="H3286" i="14"/>
  <c r="G3286" i="14"/>
  <c r="G3295" i="14"/>
  <c r="F3286" i="14"/>
  <c r="F3295" i="14"/>
  <c r="E3295" i="14"/>
  <c r="J3303" i="14" s="1"/>
  <c r="E3286" i="14"/>
  <c r="D3309" i="14" s="1"/>
  <c r="M3240" i="14"/>
  <c r="M3249" i="14"/>
  <c r="L3249" i="14"/>
  <c r="L3240" i="14"/>
  <c r="K3249" i="14"/>
  <c r="K3240" i="14"/>
  <c r="J3249" i="14"/>
  <c r="J3240" i="14"/>
  <c r="I3249" i="14"/>
  <c r="I3240" i="14"/>
  <c r="H3240" i="14"/>
  <c r="H3249" i="14"/>
  <c r="G3240" i="14"/>
  <c r="G3249" i="14"/>
  <c r="F3240" i="14"/>
  <c r="F3249" i="14"/>
  <c r="E3249" i="14"/>
  <c r="J3257" i="14" s="1"/>
  <c r="E3240" i="14"/>
  <c r="D3263" i="14" s="1"/>
  <c r="M3203" i="14"/>
  <c r="M3194" i="14"/>
  <c r="L3203" i="14"/>
  <c r="L3194" i="14"/>
  <c r="K3203" i="14"/>
  <c r="K3194" i="14"/>
  <c r="J3203" i="14"/>
  <c r="J3194" i="14"/>
  <c r="I3203" i="14"/>
  <c r="I3194" i="14"/>
  <c r="H3194" i="14"/>
  <c r="H3203" i="14"/>
  <c r="G3203" i="14"/>
  <c r="G3194" i="14"/>
  <c r="F3203" i="14"/>
  <c r="F3194" i="14"/>
  <c r="E3203" i="14"/>
  <c r="J3211" i="14" s="1"/>
  <c r="E3194" i="14"/>
  <c r="D3217" i="14" s="1"/>
  <c r="M3157" i="14"/>
  <c r="M3148" i="14"/>
  <c r="L3157" i="14"/>
  <c r="L3148" i="14"/>
  <c r="K3148" i="14"/>
  <c r="K3157" i="14"/>
  <c r="J3148" i="14"/>
  <c r="J3157" i="14"/>
  <c r="I3148" i="14"/>
  <c r="I3157" i="14"/>
  <c r="H3157" i="14"/>
  <c r="H3148" i="14"/>
  <c r="G3157" i="14"/>
  <c r="G3148" i="14"/>
  <c r="F3157" i="14"/>
  <c r="F3148" i="14"/>
  <c r="E3157" i="14"/>
  <c r="J3165" i="14" s="1"/>
  <c r="E3148" i="14"/>
  <c r="D3171" i="14" s="1"/>
  <c r="M3111" i="14"/>
  <c r="M3102" i="14"/>
  <c r="L3111" i="14"/>
  <c r="L3102" i="14"/>
  <c r="K3111" i="14"/>
  <c r="K3102" i="14"/>
  <c r="J3102" i="14"/>
  <c r="J3111" i="14"/>
  <c r="I3102" i="14"/>
  <c r="I3111" i="14"/>
  <c r="H3102" i="14"/>
  <c r="H3111" i="14"/>
  <c r="G3102" i="14"/>
  <c r="G3111" i="14"/>
  <c r="F3111" i="14"/>
  <c r="F3102" i="14"/>
  <c r="E3111" i="14"/>
  <c r="J3119" i="14" s="1"/>
  <c r="E3102" i="14"/>
  <c r="D3125" i="14" s="1"/>
  <c r="M3065" i="14"/>
  <c r="M3056" i="14"/>
  <c r="L3065" i="14"/>
  <c r="L3056" i="14"/>
  <c r="K3056" i="14"/>
  <c r="K3065" i="14"/>
  <c r="J3056" i="14"/>
  <c r="J3065" i="14"/>
  <c r="I3056" i="14"/>
  <c r="I3065" i="14"/>
  <c r="H3056" i="14"/>
  <c r="H3065" i="14"/>
  <c r="G3065" i="14"/>
  <c r="G3056" i="14"/>
  <c r="F3065" i="14"/>
  <c r="F3056" i="14"/>
  <c r="E3065" i="14"/>
  <c r="J3073" i="14" s="1"/>
  <c r="E3056" i="14"/>
  <c r="D3079" i="14" s="1"/>
  <c r="M3019" i="14"/>
  <c r="M3010" i="14"/>
  <c r="L3010" i="14"/>
  <c r="L3019" i="14"/>
  <c r="K3010" i="14"/>
  <c r="K3019" i="14"/>
  <c r="J3010" i="14"/>
  <c r="J3019" i="14"/>
  <c r="I3019" i="14"/>
  <c r="I3010" i="14"/>
  <c r="H3010" i="14"/>
  <c r="H3019" i="14"/>
  <c r="G3010" i="14"/>
  <c r="G3019" i="14"/>
  <c r="F3010" i="14"/>
  <c r="F3019" i="14"/>
  <c r="E3019" i="14"/>
  <c r="E3010" i="14"/>
  <c r="M2973" i="14"/>
  <c r="M2964" i="14"/>
  <c r="L2964" i="14"/>
  <c r="L2973" i="14"/>
  <c r="K2973" i="14"/>
  <c r="K2964" i="14"/>
  <c r="J2964" i="14"/>
  <c r="J2973" i="14"/>
  <c r="I2973" i="14"/>
  <c r="I2964" i="14"/>
  <c r="H2973" i="14"/>
  <c r="H2964" i="14"/>
  <c r="G2964" i="14"/>
  <c r="G2973" i="14"/>
  <c r="F2973" i="14"/>
  <c r="F2964" i="14"/>
  <c r="E2973" i="14"/>
  <c r="J2981" i="14" s="1"/>
  <c r="E2964" i="14"/>
  <c r="D2987" i="14" s="1"/>
  <c r="M2927" i="14"/>
  <c r="M2918" i="14"/>
  <c r="L2927" i="14"/>
  <c r="L2918" i="14"/>
  <c r="K2927" i="14"/>
  <c r="K2918" i="14"/>
  <c r="J2918" i="14"/>
  <c r="J2927" i="14"/>
  <c r="I2918" i="14"/>
  <c r="I2927" i="14"/>
  <c r="H2927" i="14"/>
  <c r="H2918" i="14"/>
  <c r="G2918" i="14"/>
  <c r="G2927" i="14"/>
  <c r="F2927" i="14"/>
  <c r="F2918" i="14"/>
  <c r="E2927" i="14"/>
  <c r="J2935" i="14" s="1"/>
  <c r="E2918" i="14"/>
  <c r="D2941" i="14" s="1"/>
  <c r="G2881" i="14"/>
  <c r="G2872" i="14"/>
  <c r="F2881" i="14"/>
  <c r="F2872" i="14"/>
  <c r="E2872" i="14"/>
  <c r="D2895" i="14" s="1"/>
  <c r="E2881" i="14"/>
  <c r="J2889" i="14" s="1"/>
  <c r="M2835" i="14"/>
  <c r="M2826" i="14"/>
  <c r="L2826" i="14"/>
  <c r="L2835" i="14"/>
  <c r="K2835" i="14"/>
  <c r="K2826" i="14"/>
  <c r="J2835" i="14"/>
  <c r="J2826" i="14"/>
  <c r="I2826" i="14"/>
  <c r="I2835" i="14"/>
  <c r="H2826" i="14"/>
  <c r="H2835" i="14"/>
  <c r="G2826" i="14"/>
  <c r="G2835" i="14"/>
  <c r="F2835" i="14"/>
  <c r="F2826" i="14"/>
  <c r="E2835" i="14"/>
  <c r="J2843" i="14" s="1"/>
  <c r="E2826" i="14"/>
  <c r="D2849" i="14" s="1"/>
  <c r="M2789" i="14"/>
  <c r="M2780" i="14"/>
  <c r="L2780" i="14"/>
  <c r="L2789" i="14"/>
  <c r="K2789" i="14"/>
  <c r="K2780" i="14"/>
  <c r="J2780" i="14"/>
  <c r="J2789" i="14"/>
  <c r="I2789" i="14"/>
  <c r="I2780" i="14"/>
  <c r="H2789" i="14"/>
  <c r="H2780" i="14"/>
  <c r="G2789" i="14"/>
  <c r="G2780" i="14"/>
  <c r="F2789" i="14"/>
  <c r="F2780" i="14"/>
  <c r="E2789" i="14"/>
  <c r="J2797" i="14" s="1"/>
  <c r="E2780" i="14"/>
  <c r="D2803" i="14" s="1"/>
  <c r="M2743" i="14"/>
  <c r="M2734" i="14"/>
  <c r="L2743" i="14"/>
  <c r="L2734" i="14"/>
  <c r="K2734" i="14"/>
  <c r="K2743" i="14"/>
  <c r="J2743" i="14"/>
  <c r="J2734" i="14"/>
  <c r="I2734" i="14"/>
  <c r="I2743" i="14"/>
  <c r="H2734" i="14"/>
  <c r="H2743" i="14"/>
  <c r="G2743" i="14"/>
  <c r="G2734" i="14"/>
  <c r="F2734" i="14"/>
  <c r="F2743" i="14"/>
  <c r="E2734" i="14"/>
  <c r="D2757" i="14" s="1"/>
  <c r="E2743" i="14"/>
  <c r="J2751" i="14" s="1"/>
  <c r="M2697" i="14"/>
  <c r="M2688" i="14"/>
  <c r="L2697" i="14"/>
  <c r="L2688" i="14"/>
  <c r="K2697" i="14"/>
  <c r="K2688" i="14"/>
  <c r="J2688" i="14"/>
  <c r="J2697" i="14"/>
  <c r="I2688" i="14"/>
  <c r="I2697" i="14"/>
  <c r="H2697" i="14"/>
  <c r="H2688" i="14"/>
  <c r="G2697" i="14"/>
  <c r="G2688" i="14"/>
  <c r="F2688" i="14"/>
  <c r="F2697" i="14"/>
  <c r="E2688" i="14"/>
  <c r="E2697" i="14"/>
  <c r="J2705" i="14" s="1"/>
  <c r="M2651" i="14"/>
  <c r="M2642" i="14"/>
  <c r="L2651" i="14"/>
  <c r="L2642" i="14"/>
  <c r="K2651" i="14"/>
  <c r="K2642" i="14"/>
  <c r="J2651" i="14"/>
  <c r="J2642" i="14"/>
  <c r="I2642" i="14"/>
  <c r="I2651" i="14"/>
  <c r="H2651" i="14"/>
  <c r="H2642" i="14"/>
  <c r="G2651" i="14"/>
  <c r="G2642" i="14"/>
  <c r="F2642" i="14"/>
  <c r="F2651" i="14"/>
  <c r="E2651" i="14"/>
  <c r="J2659" i="14" s="1"/>
  <c r="E2642" i="14"/>
  <c r="D2665" i="14" s="1"/>
  <c r="M2596" i="14"/>
  <c r="M2605" i="14"/>
  <c r="L2596" i="14"/>
  <c r="L2605" i="14"/>
  <c r="K2596" i="14"/>
  <c r="K2605" i="14"/>
  <c r="J2605" i="14"/>
  <c r="J2596" i="14"/>
  <c r="I2605" i="14"/>
  <c r="I2596" i="14"/>
  <c r="H2605" i="14"/>
  <c r="H2596" i="14"/>
  <c r="F2605" i="14"/>
  <c r="F2596" i="14"/>
  <c r="E2605" i="14"/>
  <c r="J2613" i="14" s="1"/>
  <c r="E2596" i="14"/>
  <c r="D2619" i="14" s="1"/>
  <c r="L2550" i="14"/>
  <c r="L2559" i="14"/>
  <c r="K2550" i="14"/>
  <c r="K2559" i="14"/>
  <c r="J2550" i="14"/>
  <c r="J2559" i="14"/>
  <c r="I2559" i="14"/>
  <c r="I2550" i="14"/>
  <c r="H2559" i="14"/>
  <c r="H2550" i="14"/>
  <c r="G2559" i="14"/>
  <c r="G2550" i="14"/>
  <c r="F2550" i="14"/>
  <c r="F2559" i="14"/>
  <c r="E2559" i="14"/>
  <c r="J2567" i="14" s="1"/>
  <c r="E2550" i="14"/>
  <c r="D2573" i="14" s="1"/>
  <c r="M2504" i="14"/>
  <c r="M2513" i="14"/>
  <c r="L2504" i="14"/>
  <c r="L2513" i="14"/>
  <c r="K2504" i="14"/>
  <c r="K2513" i="14"/>
  <c r="J2513" i="14"/>
  <c r="J2504" i="14"/>
  <c r="I2513" i="14"/>
  <c r="I2504" i="14"/>
  <c r="H2504" i="14"/>
  <c r="H2513" i="14"/>
  <c r="G2513" i="14"/>
  <c r="G2504" i="14"/>
  <c r="F2513" i="14"/>
  <c r="F2504" i="14"/>
  <c r="E2513" i="14"/>
  <c r="J2521" i="14" s="1"/>
  <c r="E2504" i="14"/>
  <c r="D2527" i="14" s="1"/>
  <c r="M2467" i="14"/>
  <c r="M2458" i="14"/>
  <c r="L2467" i="14"/>
  <c r="L2458" i="14"/>
  <c r="K2467" i="14"/>
  <c r="K2458" i="14"/>
  <c r="J2467" i="14"/>
  <c r="J2458" i="14"/>
  <c r="I2467" i="14"/>
  <c r="I2458" i="14"/>
  <c r="H2458" i="14"/>
  <c r="H2467" i="14"/>
  <c r="G2458" i="14"/>
  <c r="G2467" i="14"/>
  <c r="F2467" i="14"/>
  <c r="F2458" i="14"/>
  <c r="E2467" i="14"/>
  <c r="J2475" i="14" s="1"/>
  <c r="E2458" i="14"/>
  <c r="D2481" i="14" s="1"/>
  <c r="M2421" i="14"/>
  <c r="M2412" i="14"/>
  <c r="L2412" i="14"/>
  <c r="L2421" i="14"/>
  <c r="K2421" i="14"/>
  <c r="K2412" i="14"/>
  <c r="J2412" i="14"/>
  <c r="J2421" i="14"/>
  <c r="I2412" i="14"/>
  <c r="I2421" i="14"/>
  <c r="H2421" i="14"/>
  <c r="H2412" i="14"/>
  <c r="G2412" i="14"/>
  <c r="G2421" i="14"/>
  <c r="F2421" i="14"/>
  <c r="F2412" i="14"/>
  <c r="E2421" i="14"/>
  <c r="J2429" i="14" s="1"/>
  <c r="E2412" i="14"/>
  <c r="D2435" i="14" s="1"/>
  <c r="M2366" i="14"/>
  <c r="M2375" i="14"/>
  <c r="L2375" i="14"/>
  <c r="L2366" i="14"/>
  <c r="K2375" i="14"/>
  <c r="K2366" i="14"/>
  <c r="J2375" i="14"/>
  <c r="J2366" i="14"/>
  <c r="I2375" i="14"/>
  <c r="I2366" i="14"/>
  <c r="H2375" i="14"/>
  <c r="H2366" i="14"/>
  <c r="G2366" i="14"/>
  <c r="G2375" i="14"/>
  <c r="F2375" i="14"/>
  <c r="F2366" i="14"/>
  <c r="E2366" i="14"/>
  <c r="D2389" i="14" s="1"/>
  <c r="E2375" i="14"/>
  <c r="J2383" i="14" s="1"/>
  <c r="M2329" i="14"/>
  <c r="M2320" i="14"/>
  <c r="L2320" i="14"/>
  <c r="L2329" i="14"/>
  <c r="K2329" i="14"/>
  <c r="K2320" i="14"/>
  <c r="J2320" i="14"/>
  <c r="J2329" i="14"/>
  <c r="I2329" i="14"/>
  <c r="I2320" i="14"/>
  <c r="H2320" i="14"/>
  <c r="H2329" i="14"/>
  <c r="G2329" i="14"/>
  <c r="G2320" i="14"/>
  <c r="F2329" i="14"/>
  <c r="F2320" i="14"/>
  <c r="E2329" i="14"/>
  <c r="J2337" i="14" s="1"/>
  <c r="E2320" i="14"/>
  <c r="D2343" i="14" s="1"/>
  <c r="M2283" i="14"/>
  <c r="M2274" i="14"/>
  <c r="L2274" i="14"/>
  <c r="L2283" i="14"/>
  <c r="K2283" i="14"/>
  <c r="K2274" i="14"/>
  <c r="J2283" i="14"/>
  <c r="J2274" i="14"/>
  <c r="H2283" i="14"/>
  <c r="H2274" i="14"/>
  <c r="G2274" i="14"/>
  <c r="G2283" i="14"/>
  <c r="F2283" i="14"/>
  <c r="F2274" i="14"/>
  <c r="E2274" i="14"/>
  <c r="D2297" i="14" s="1"/>
  <c r="E2283" i="14"/>
  <c r="J2291" i="14" s="1"/>
  <c r="M2228" i="14"/>
  <c r="M2237" i="14"/>
  <c r="L2237" i="14"/>
  <c r="L2228" i="14"/>
  <c r="K2228" i="14"/>
  <c r="K2237" i="14"/>
  <c r="H2228" i="14"/>
  <c r="H2237" i="14"/>
  <c r="G2228" i="14"/>
  <c r="G2237" i="14"/>
  <c r="F2237" i="14"/>
  <c r="F2228" i="14"/>
  <c r="E2228" i="14"/>
  <c r="D2251" i="14" s="1"/>
  <c r="E2237" i="14"/>
  <c r="J2245" i="14" s="1"/>
  <c r="M2182" i="14"/>
  <c r="M2191" i="14"/>
  <c r="L2191" i="14"/>
  <c r="L2182" i="14"/>
  <c r="K2182" i="14"/>
  <c r="K2191" i="14"/>
  <c r="J2182" i="14"/>
  <c r="J2191" i="14"/>
  <c r="I2182" i="14"/>
  <c r="I2191" i="14"/>
  <c r="H2182" i="14"/>
  <c r="H2191" i="14"/>
  <c r="G2191" i="14"/>
  <c r="G2182" i="14"/>
  <c r="F2182" i="14"/>
  <c r="F2191" i="14"/>
  <c r="E2182" i="14"/>
  <c r="D2205" i="14" s="1"/>
  <c r="E2191" i="14"/>
  <c r="J2199" i="14" s="1"/>
  <c r="M2136" i="14"/>
  <c r="M2145" i="14"/>
  <c r="L2136" i="14"/>
  <c r="L2145" i="14"/>
  <c r="K2136" i="14"/>
  <c r="K2145" i="14"/>
  <c r="J2145" i="14"/>
  <c r="J2136" i="14"/>
  <c r="I2136" i="14"/>
  <c r="I2145" i="14"/>
  <c r="H2145" i="14"/>
  <c r="H2136" i="14"/>
  <c r="G2145" i="14"/>
  <c r="G2136" i="14"/>
  <c r="F2145" i="14"/>
  <c r="F2136" i="14"/>
  <c r="E2136" i="14"/>
  <c r="D2159" i="14" s="1"/>
  <c r="E2145" i="14"/>
  <c r="J2153" i="14" s="1"/>
  <c r="M2099" i="14"/>
  <c r="M2090" i="14"/>
  <c r="L2099" i="14"/>
  <c r="L2090" i="14"/>
  <c r="K2099" i="14"/>
  <c r="K2090" i="14"/>
  <c r="J2099" i="14"/>
  <c r="J2090" i="14"/>
  <c r="I2090" i="14"/>
  <c r="I2099" i="14"/>
  <c r="H2090" i="14"/>
  <c r="H2099" i="14"/>
  <c r="G2090" i="14"/>
  <c r="G2099" i="14"/>
  <c r="F2090" i="14"/>
  <c r="F2099" i="14"/>
  <c r="E2099" i="14"/>
  <c r="J2107" i="14" s="1"/>
  <c r="E2090" i="14"/>
  <c r="D2113" i="14" s="1"/>
  <c r="M2044" i="14"/>
  <c r="M2053" i="14"/>
  <c r="L2044" i="14"/>
  <c r="L2053" i="14"/>
  <c r="K2044" i="14"/>
  <c r="K2053" i="14"/>
  <c r="J2053" i="14"/>
  <c r="J2044" i="14"/>
  <c r="I2044" i="14"/>
  <c r="I2053" i="14"/>
  <c r="H2044" i="14"/>
  <c r="H2053" i="14"/>
  <c r="G2044" i="14"/>
  <c r="G2053" i="14"/>
  <c r="F2053" i="14"/>
  <c r="J2061" i="14" s="1"/>
  <c r="F2044" i="14"/>
  <c r="D2067" i="14" s="1"/>
  <c r="M1998" i="14"/>
  <c r="M2007" i="14"/>
  <c r="L2007" i="14"/>
  <c r="L1998" i="14"/>
  <c r="K2007" i="14"/>
  <c r="K1998" i="14"/>
  <c r="J1998" i="14"/>
  <c r="J2007" i="14"/>
  <c r="I2007" i="14"/>
  <c r="I1998" i="14"/>
  <c r="H1998" i="14"/>
  <c r="H2007" i="14"/>
  <c r="G2007" i="14"/>
  <c r="G1998" i="14"/>
  <c r="F2007" i="14"/>
  <c r="F1998" i="14"/>
  <c r="E2007" i="14"/>
  <c r="J2015" i="14" s="1"/>
  <c r="E1998" i="14"/>
  <c r="D2021" i="14" s="1"/>
  <c r="M1961" i="14"/>
  <c r="M1952" i="14"/>
  <c r="L1952" i="14"/>
  <c r="L1961" i="14"/>
  <c r="K1961" i="14"/>
  <c r="K1952" i="14"/>
  <c r="J1961" i="14"/>
  <c r="J1952" i="14"/>
  <c r="I1952" i="14"/>
  <c r="I1961" i="14"/>
  <c r="H1961" i="14"/>
  <c r="H1952" i="14"/>
  <c r="G1961" i="14"/>
  <c r="G1952" i="14"/>
  <c r="F1952" i="14"/>
  <c r="F1961" i="14"/>
  <c r="E1952" i="14"/>
  <c r="D1975" i="14" s="1"/>
  <c r="E1961" i="14"/>
  <c r="J1969" i="14" s="1"/>
  <c r="L1906" i="14"/>
  <c r="L1915" i="14"/>
  <c r="K1915" i="14"/>
  <c r="K1906" i="14"/>
  <c r="J1906" i="14"/>
  <c r="J1915" i="14"/>
  <c r="I1915" i="14"/>
  <c r="I1906" i="14"/>
  <c r="H1915" i="14"/>
  <c r="H1906" i="14"/>
  <c r="F1915" i="14"/>
  <c r="F1906" i="14"/>
  <c r="E1906" i="14"/>
  <c r="D1929" i="14" s="1"/>
  <c r="E1915" i="14"/>
  <c r="J1923" i="14" s="1"/>
  <c r="M1860" i="14"/>
  <c r="M1869" i="14"/>
  <c r="L1860" i="14"/>
  <c r="L1869" i="14"/>
  <c r="K1869" i="14"/>
  <c r="K1860" i="14"/>
  <c r="J1869" i="14"/>
  <c r="J1860" i="14"/>
  <c r="I1869" i="14"/>
  <c r="I1860" i="14"/>
  <c r="H1869" i="14"/>
  <c r="H1860" i="14"/>
  <c r="G1860" i="14"/>
  <c r="G1869" i="14"/>
  <c r="F1869" i="14"/>
  <c r="F1860" i="14"/>
  <c r="E1869" i="14"/>
  <c r="J1877" i="14" s="1"/>
  <c r="E1860" i="14"/>
  <c r="D1883" i="14" s="1"/>
  <c r="M1814" i="14"/>
  <c r="M1823" i="14"/>
  <c r="L1823" i="14"/>
  <c r="L1814" i="14"/>
  <c r="K1814" i="14"/>
  <c r="K1823" i="14"/>
  <c r="J1814" i="14"/>
  <c r="J1823" i="14"/>
  <c r="I1814" i="14"/>
  <c r="I1823" i="14"/>
  <c r="H1814" i="14"/>
  <c r="H1823" i="14"/>
  <c r="G1814" i="14"/>
  <c r="G1823" i="14"/>
  <c r="F1814" i="14"/>
  <c r="F1823" i="14"/>
  <c r="E1823" i="14"/>
  <c r="J1831" i="14" s="1"/>
  <c r="E1814" i="14"/>
  <c r="D1837" i="14" s="1"/>
  <c r="M1777" i="14"/>
  <c r="M1768" i="14"/>
  <c r="L1777" i="14"/>
  <c r="L1768" i="14"/>
  <c r="K1768" i="14"/>
  <c r="K1777" i="14"/>
  <c r="J1777" i="14"/>
  <c r="J1768" i="14"/>
  <c r="I1768" i="14"/>
  <c r="I1777" i="14"/>
  <c r="H1768" i="14"/>
  <c r="H1777" i="14"/>
  <c r="G1768" i="14"/>
  <c r="G1777" i="14"/>
  <c r="F1777" i="14"/>
  <c r="J1785" i="14" s="1"/>
  <c r="F1768" i="14"/>
  <c r="D1791" i="14" s="1"/>
  <c r="M1731" i="14"/>
  <c r="M1722" i="14"/>
  <c r="L1722" i="14"/>
  <c r="L1731" i="14"/>
  <c r="K1731" i="14"/>
  <c r="K1722" i="14"/>
  <c r="J1731" i="14"/>
  <c r="J1722" i="14"/>
  <c r="I1731" i="14"/>
  <c r="I1722" i="14"/>
  <c r="H1722" i="14"/>
  <c r="H1731" i="14"/>
  <c r="G1731" i="14"/>
  <c r="G1722" i="14"/>
  <c r="F1731" i="14"/>
  <c r="F1722" i="14"/>
  <c r="E1722" i="14"/>
  <c r="D1745" i="14" s="1"/>
  <c r="E1731" i="14"/>
  <c r="J1739" i="14" s="1"/>
  <c r="M1685" i="14"/>
  <c r="M1676" i="14"/>
  <c r="L1685" i="14"/>
  <c r="L1676" i="14"/>
  <c r="K1685" i="14"/>
  <c r="K1676" i="14"/>
  <c r="J1685" i="14"/>
  <c r="J1676" i="14"/>
  <c r="I1676" i="14"/>
  <c r="I1685" i="14"/>
  <c r="H1685" i="14"/>
  <c r="H1676" i="14"/>
  <c r="G1685" i="14"/>
  <c r="G1676" i="14"/>
  <c r="F1685" i="14"/>
  <c r="F1676" i="14"/>
  <c r="E1676" i="14"/>
  <c r="D1699" i="14" s="1"/>
  <c r="E1685" i="14"/>
  <c r="J1693" i="14" s="1"/>
  <c r="M1630" i="14"/>
  <c r="M1639" i="14"/>
  <c r="L1639" i="14"/>
  <c r="L1630" i="14"/>
  <c r="K1639" i="14"/>
  <c r="K1630" i="14"/>
  <c r="J1630" i="14"/>
  <c r="J1639" i="14"/>
  <c r="I1639" i="14"/>
  <c r="I1630" i="14"/>
  <c r="H1639" i="14"/>
  <c r="H1630" i="14"/>
  <c r="G1630" i="14"/>
  <c r="G1639" i="14"/>
  <c r="F1639" i="14"/>
  <c r="F1630" i="14"/>
  <c r="E1639" i="14"/>
  <c r="J1647" i="14" s="1"/>
  <c r="E1630" i="14"/>
  <c r="D1653" i="14" s="1"/>
  <c r="L1584" i="14"/>
  <c r="L1593" i="14"/>
  <c r="K1584" i="14"/>
  <c r="K1593" i="14"/>
  <c r="J1584" i="14"/>
  <c r="J1593" i="14"/>
  <c r="I1593" i="14"/>
  <c r="I1584" i="14"/>
  <c r="H1593" i="14"/>
  <c r="H1584" i="14"/>
  <c r="G1593" i="14"/>
  <c r="G1584" i="14"/>
  <c r="F1584" i="14"/>
  <c r="F1593" i="14"/>
  <c r="E1584" i="14"/>
  <c r="D1607" i="14" s="1"/>
  <c r="E1593" i="14"/>
  <c r="J1601" i="14" s="1"/>
  <c r="M1538" i="14"/>
  <c r="M1547" i="14"/>
  <c r="L1547" i="14"/>
  <c r="L1538" i="14"/>
  <c r="K1547" i="14"/>
  <c r="K1538" i="14"/>
  <c r="J1538" i="14"/>
  <c r="J1547" i="14"/>
  <c r="I1538" i="14"/>
  <c r="I1547" i="14"/>
  <c r="G1538" i="14"/>
  <c r="G1547" i="14"/>
  <c r="F1547" i="14"/>
  <c r="F1538" i="14"/>
  <c r="E1538" i="14"/>
  <c r="D1561" i="14" s="1"/>
  <c r="E1547" i="14"/>
  <c r="J1555" i="14" s="1"/>
  <c r="M1501" i="14"/>
  <c r="M1492" i="14"/>
  <c r="L1492" i="14"/>
  <c r="L1501" i="14"/>
  <c r="K1501" i="14"/>
  <c r="K1492" i="14"/>
  <c r="I1501" i="14"/>
  <c r="I1492" i="14"/>
  <c r="H1492" i="14"/>
  <c r="H1501" i="14"/>
  <c r="G1492" i="14"/>
  <c r="G1501" i="14"/>
  <c r="F1492" i="14"/>
  <c r="F1501" i="14"/>
  <c r="E1492" i="14"/>
  <c r="D1515" i="14" s="1"/>
  <c r="E1501" i="14"/>
  <c r="J1509" i="14" s="1"/>
  <c r="M1446" i="14"/>
  <c r="M1455" i="14"/>
  <c r="L1446" i="14"/>
  <c r="L1455" i="14"/>
  <c r="K1446" i="14"/>
  <c r="K1455" i="14"/>
  <c r="J1455" i="14"/>
  <c r="J1446" i="14"/>
  <c r="I1446" i="14"/>
  <c r="I1455" i="14"/>
  <c r="H1455" i="14"/>
  <c r="H1446" i="14"/>
  <c r="G1455" i="14"/>
  <c r="G1446" i="14"/>
  <c r="F1455" i="14"/>
  <c r="F1446" i="14"/>
  <c r="E1455" i="14"/>
  <c r="J1463" i="14" s="1"/>
  <c r="E1446" i="14"/>
  <c r="D1469" i="14" s="1"/>
  <c r="M1400" i="14"/>
  <c r="M1409" i="14"/>
  <c r="L1409" i="14"/>
  <c r="L1400" i="14"/>
  <c r="K1409" i="14"/>
  <c r="K1400" i="14"/>
  <c r="J1400" i="14"/>
  <c r="J1409" i="14"/>
  <c r="I1400" i="14"/>
  <c r="I1409" i="14"/>
  <c r="H1409" i="14"/>
  <c r="H1400" i="14"/>
  <c r="G1409" i="14"/>
  <c r="G1400" i="14"/>
  <c r="F1400" i="14"/>
  <c r="F1409" i="14"/>
  <c r="E1409" i="14"/>
  <c r="E1400" i="14"/>
  <c r="M1354" i="14"/>
  <c r="M1363" i="14"/>
  <c r="L1363" i="14"/>
  <c r="L1354" i="14"/>
  <c r="K1363" i="14"/>
  <c r="K1354" i="14"/>
  <c r="J1363" i="14"/>
  <c r="J1354" i="14"/>
  <c r="I1354" i="14"/>
  <c r="I1363" i="14"/>
  <c r="H1363" i="14"/>
  <c r="H1354" i="14"/>
  <c r="G1363" i="14"/>
  <c r="G1354" i="14"/>
  <c r="F1354" i="14"/>
  <c r="F1363" i="14"/>
  <c r="E1363" i="14"/>
  <c r="J1371" i="14" s="1"/>
  <c r="E1354" i="14"/>
  <c r="D1377" i="14" s="1"/>
  <c r="M1308" i="14"/>
  <c r="M1317" i="14"/>
  <c r="L1317" i="14"/>
  <c r="L1308" i="14"/>
  <c r="K1317" i="14"/>
  <c r="K1308" i="14"/>
  <c r="J1308" i="14"/>
  <c r="J1317" i="14"/>
  <c r="I1308" i="14"/>
  <c r="I1317" i="14"/>
  <c r="H1308" i="14"/>
  <c r="H1317" i="14"/>
  <c r="G1317" i="14"/>
  <c r="G1308" i="14"/>
  <c r="F1308" i="14"/>
  <c r="F1317" i="14"/>
  <c r="E1308" i="14"/>
  <c r="D1331" i="14" s="1"/>
  <c r="E1317" i="14"/>
  <c r="J1325" i="14" s="1"/>
  <c r="L1262" i="14"/>
  <c r="L1271" i="14"/>
  <c r="K1262" i="14"/>
  <c r="K1271" i="14"/>
  <c r="J1262" i="14"/>
  <c r="J1271" i="14"/>
  <c r="I1262" i="14"/>
  <c r="I1271" i="14"/>
  <c r="H1262" i="14"/>
  <c r="H1271" i="14"/>
  <c r="G1262" i="14"/>
  <c r="G1271" i="14"/>
  <c r="F1271" i="14"/>
  <c r="F1262" i="14"/>
  <c r="E1271" i="14"/>
  <c r="J1279" i="14" s="1"/>
  <c r="E1262" i="14"/>
  <c r="D1285" i="14" s="1"/>
  <c r="M1225" i="14"/>
  <c r="M1216" i="14"/>
  <c r="L1216" i="14"/>
  <c r="L1225" i="14"/>
  <c r="K1216" i="14"/>
  <c r="K1225" i="14"/>
  <c r="J1216" i="14"/>
  <c r="J1225" i="14"/>
  <c r="I1216" i="14"/>
  <c r="I1225" i="14"/>
  <c r="H1225" i="14"/>
  <c r="H1216" i="14"/>
  <c r="G1216" i="14"/>
  <c r="G1225" i="14"/>
  <c r="F1225" i="14"/>
  <c r="F1216" i="14"/>
  <c r="E1225" i="14"/>
  <c r="J1233" i="14" s="1"/>
  <c r="E1216" i="14"/>
  <c r="D1239" i="14" s="1"/>
  <c r="M1170" i="14"/>
  <c r="M1179" i="14"/>
  <c r="L1170" i="14"/>
  <c r="L1179" i="14"/>
  <c r="K1179" i="14"/>
  <c r="K1170" i="14"/>
  <c r="J1170" i="14"/>
  <c r="J1179" i="14"/>
  <c r="I1179" i="14"/>
  <c r="I1170" i="14"/>
  <c r="H1179" i="14"/>
  <c r="H1170" i="14"/>
  <c r="G1170" i="14"/>
  <c r="G1179" i="14"/>
  <c r="F1179" i="14"/>
  <c r="F1170" i="14"/>
  <c r="E1179" i="14"/>
  <c r="J1187" i="14" s="1"/>
  <c r="E1170" i="14"/>
  <c r="D1193" i="14" s="1"/>
  <c r="M1133" i="14"/>
  <c r="M1124" i="14"/>
  <c r="K1124" i="14"/>
  <c r="K1133" i="14"/>
  <c r="J1124" i="14"/>
  <c r="J1133" i="14"/>
  <c r="I1133" i="14"/>
  <c r="I1124" i="14"/>
  <c r="H1133" i="14"/>
  <c r="H1124" i="14"/>
  <c r="G1124" i="14"/>
  <c r="G1133" i="14"/>
  <c r="F1133" i="14"/>
  <c r="F1124" i="14"/>
  <c r="E1133" i="14"/>
  <c r="J1141" i="14" s="1"/>
  <c r="E1124" i="14"/>
  <c r="D1147" i="14" s="1"/>
  <c r="M1078" i="14"/>
  <c r="M1087" i="14"/>
  <c r="L1078" i="14"/>
  <c r="L1087" i="14"/>
  <c r="K1078" i="14"/>
  <c r="K1087" i="14"/>
  <c r="J1078" i="14"/>
  <c r="J1087" i="14"/>
  <c r="I1078" i="14"/>
  <c r="I1087" i="14"/>
  <c r="H1087" i="14"/>
  <c r="H1078" i="14"/>
  <c r="F1078" i="14"/>
  <c r="F1087" i="14"/>
  <c r="E1078" i="14"/>
  <c r="D1101" i="14" s="1"/>
  <c r="E1087" i="14"/>
  <c r="J1095" i="14" s="1"/>
  <c r="M1041" i="14"/>
  <c r="M1032" i="14"/>
  <c r="L1041" i="14"/>
  <c r="L1032" i="14"/>
  <c r="K1032" i="14"/>
  <c r="K1041" i="14"/>
  <c r="J1041" i="14"/>
  <c r="J1032" i="14"/>
  <c r="I1041" i="14"/>
  <c r="I1032" i="14"/>
  <c r="H1041" i="14"/>
  <c r="H1032" i="14"/>
  <c r="G1041" i="14"/>
  <c r="G1032" i="14"/>
  <c r="F1041" i="14"/>
  <c r="F1032" i="14"/>
  <c r="E1041" i="14"/>
  <c r="J1049" i="14" s="1"/>
  <c r="E1032" i="14"/>
  <c r="D1055" i="14" s="1"/>
  <c r="M995" i="14"/>
  <c r="M986" i="14"/>
  <c r="L986" i="14"/>
  <c r="L995" i="14"/>
  <c r="K995" i="14"/>
  <c r="K986" i="14"/>
  <c r="J995" i="14"/>
  <c r="J986" i="14"/>
  <c r="I995" i="14"/>
  <c r="I986" i="14"/>
  <c r="H986" i="14"/>
  <c r="H995" i="14"/>
  <c r="G995" i="14"/>
  <c r="G986" i="14"/>
  <c r="F986" i="14"/>
  <c r="D1009" i="14" s="1"/>
  <c r="F995" i="14"/>
  <c r="J1003" i="14" s="1"/>
  <c r="M940" i="14"/>
  <c r="M949" i="14"/>
  <c r="L940" i="14"/>
  <c r="L949" i="14"/>
  <c r="K940" i="14"/>
  <c r="K949" i="14"/>
  <c r="J940" i="14"/>
  <c r="J949" i="14"/>
  <c r="I940" i="14"/>
  <c r="I949" i="14"/>
  <c r="H940" i="14"/>
  <c r="H949" i="14"/>
  <c r="F949" i="14"/>
  <c r="F940" i="14"/>
  <c r="E949" i="14"/>
  <c r="J957" i="14" s="1"/>
  <c r="E940" i="14"/>
  <c r="D963" i="14" s="1"/>
  <c r="M894" i="14"/>
  <c r="M903" i="14"/>
  <c r="L903" i="14"/>
  <c r="L894" i="14"/>
  <c r="K903" i="14"/>
  <c r="K894" i="14"/>
  <c r="J894" i="14"/>
  <c r="J903" i="14"/>
  <c r="I894" i="14"/>
  <c r="I903" i="14"/>
  <c r="H894" i="14"/>
  <c r="H903" i="14"/>
  <c r="G894" i="14"/>
  <c r="G903" i="14"/>
  <c r="F903" i="14"/>
  <c r="F894" i="14"/>
  <c r="E903" i="14"/>
  <c r="J911" i="14" s="1"/>
  <c r="E894" i="14"/>
  <c r="D917" i="14" s="1"/>
  <c r="M857" i="14"/>
  <c r="M848" i="14"/>
  <c r="L857" i="14"/>
  <c r="L848" i="14"/>
  <c r="K848" i="14"/>
  <c r="K857" i="14"/>
  <c r="J857" i="14"/>
  <c r="J848" i="14"/>
  <c r="I848" i="14"/>
  <c r="I857" i="14"/>
  <c r="H848" i="14"/>
  <c r="H857" i="14"/>
  <c r="G857" i="14"/>
  <c r="G848" i="14"/>
  <c r="F857" i="14"/>
  <c r="F848" i="14"/>
  <c r="E848" i="14"/>
  <c r="D871" i="14" s="1"/>
  <c r="E857" i="14"/>
  <c r="J865" i="14" s="1"/>
  <c r="M811" i="14"/>
  <c r="M802" i="14"/>
  <c r="L802" i="14"/>
  <c r="L811" i="14"/>
  <c r="K811" i="14"/>
  <c r="K802" i="14"/>
  <c r="J802" i="14"/>
  <c r="J811" i="14"/>
  <c r="H811" i="14"/>
  <c r="H802" i="14"/>
  <c r="G811" i="14"/>
  <c r="G802" i="14"/>
  <c r="F802" i="14"/>
  <c r="D825" i="14" s="1"/>
  <c r="F811" i="14"/>
  <c r="J819" i="14" s="1"/>
  <c r="M765" i="14"/>
  <c r="M756" i="14"/>
  <c r="L765" i="14"/>
  <c r="L756" i="14"/>
  <c r="K765" i="14"/>
  <c r="K756" i="14"/>
  <c r="J765" i="14"/>
  <c r="J756" i="14"/>
  <c r="I765" i="14"/>
  <c r="I756" i="14"/>
  <c r="H756" i="14"/>
  <c r="H765" i="14"/>
  <c r="G765" i="14"/>
  <c r="G756" i="14"/>
  <c r="E765" i="14"/>
  <c r="J773" i="14" s="1"/>
  <c r="E756" i="14"/>
  <c r="M710" i="14"/>
  <c r="M719" i="14"/>
  <c r="L710" i="14"/>
  <c r="L719" i="14"/>
  <c r="K710" i="14"/>
  <c r="K719" i="14"/>
  <c r="J719" i="14"/>
  <c r="J710" i="14"/>
  <c r="I710" i="14"/>
  <c r="I719" i="14"/>
  <c r="H710" i="14"/>
  <c r="H719" i="14"/>
  <c r="G710" i="14"/>
  <c r="G719" i="14"/>
  <c r="F710" i="14"/>
  <c r="F719" i="14"/>
  <c r="E719" i="14"/>
  <c r="J727" i="14" s="1"/>
  <c r="E710" i="14"/>
  <c r="D733" i="14" s="1"/>
  <c r="L673" i="14"/>
  <c r="L664" i="14"/>
  <c r="K673" i="14"/>
  <c r="K664" i="14"/>
  <c r="J664" i="14"/>
  <c r="J673" i="14"/>
  <c r="I664" i="14"/>
  <c r="I673" i="14"/>
  <c r="H673" i="14"/>
  <c r="H664" i="14"/>
  <c r="G664" i="14"/>
  <c r="G673" i="14"/>
  <c r="F673" i="14"/>
  <c r="F664" i="14"/>
  <c r="E664" i="14"/>
  <c r="D687" i="14" s="1"/>
  <c r="E673" i="14"/>
  <c r="J681" i="14" s="1"/>
  <c r="M618" i="14"/>
  <c r="M627" i="14"/>
  <c r="L618" i="14"/>
  <c r="L627" i="14"/>
  <c r="K627" i="14"/>
  <c r="K618" i="14"/>
  <c r="J627" i="14"/>
  <c r="J618" i="14"/>
  <c r="I618" i="14"/>
  <c r="I627" i="14"/>
  <c r="H618" i="14"/>
  <c r="H627" i="14"/>
  <c r="G618" i="14"/>
  <c r="G627" i="14"/>
  <c r="F627" i="14"/>
  <c r="F618" i="14"/>
  <c r="E627" i="14"/>
  <c r="J635" i="14" s="1"/>
  <c r="E618" i="14"/>
  <c r="D641" i="14" s="1"/>
  <c r="M572" i="14"/>
  <c r="M581" i="14"/>
  <c r="L581" i="14"/>
  <c r="L572" i="14"/>
  <c r="K572" i="14"/>
  <c r="K581" i="14"/>
  <c r="J581" i="14"/>
  <c r="J572" i="14"/>
  <c r="I572" i="14"/>
  <c r="I581" i="14"/>
  <c r="H572" i="14"/>
  <c r="H581" i="14"/>
  <c r="G581" i="14"/>
  <c r="G572" i="14"/>
  <c r="F572" i="14"/>
  <c r="F581" i="14"/>
  <c r="E572" i="14"/>
  <c r="D595" i="14" s="1"/>
  <c r="E581" i="14"/>
  <c r="J589" i="14" s="1"/>
  <c r="M535" i="14"/>
  <c r="M526" i="14"/>
  <c r="L526" i="14"/>
  <c r="L535" i="14"/>
  <c r="K535" i="14"/>
  <c r="K526" i="14"/>
  <c r="J526" i="14"/>
  <c r="J535" i="14"/>
  <c r="I526" i="14"/>
  <c r="I535" i="14"/>
  <c r="H535" i="14"/>
  <c r="H526" i="14"/>
  <c r="G526" i="14"/>
  <c r="G535" i="14"/>
  <c r="F526" i="14"/>
  <c r="F535" i="14"/>
  <c r="E526" i="14"/>
  <c r="D549" i="14" s="1"/>
  <c r="E535" i="14"/>
  <c r="J543" i="14" s="1"/>
  <c r="M489" i="14"/>
  <c r="M480" i="14"/>
  <c r="L489" i="14"/>
  <c r="L480" i="14"/>
  <c r="K480" i="14"/>
  <c r="K489" i="14"/>
  <c r="J489" i="14"/>
  <c r="J480" i="14"/>
  <c r="I489" i="14"/>
  <c r="I480" i="14"/>
  <c r="H489" i="14"/>
  <c r="H480" i="14"/>
  <c r="G480" i="14"/>
  <c r="G489" i="14"/>
  <c r="F489" i="14"/>
  <c r="F480" i="14"/>
  <c r="E489" i="14"/>
  <c r="E480" i="14"/>
  <c r="M443" i="14"/>
  <c r="M434" i="14"/>
  <c r="L434" i="14"/>
  <c r="L443" i="14"/>
  <c r="K443" i="14"/>
  <c r="K434" i="14"/>
  <c r="J443" i="14"/>
  <c r="J434" i="14"/>
  <c r="I434" i="14"/>
  <c r="I443" i="14"/>
  <c r="H443" i="14"/>
  <c r="H434" i="14"/>
  <c r="G443" i="14"/>
  <c r="G434" i="14"/>
  <c r="F443" i="14"/>
  <c r="F434" i="14"/>
  <c r="E434" i="14"/>
  <c r="E443" i="14"/>
  <c r="J451" i="14" s="1"/>
  <c r="M397" i="14"/>
  <c r="M388" i="14"/>
  <c r="L388" i="14"/>
  <c r="L397" i="14"/>
  <c r="K388" i="14"/>
  <c r="K397" i="14"/>
  <c r="J397" i="14"/>
  <c r="J388" i="14"/>
  <c r="I388" i="14"/>
  <c r="I397" i="14"/>
  <c r="H388" i="14"/>
  <c r="H397" i="14"/>
  <c r="G388" i="14"/>
  <c r="G397" i="14"/>
  <c r="F397" i="14"/>
  <c r="F388" i="14"/>
  <c r="E397" i="14"/>
  <c r="E388" i="14"/>
  <c r="M296" i="14"/>
  <c r="M305" i="14"/>
  <c r="L305" i="14"/>
  <c r="L296" i="14"/>
  <c r="K296" i="14"/>
  <c r="K305" i="14"/>
  <c r="J305" i="14"/>
  <c r="J296" i="14"/>
  <c r="H305" i="14"/>
  <c r="H296" i="14"/>
  <c r="G305" i="14"/>
  <c r="G296" i="14"/>
  <c r="F296" i="14"/>
  <c r="F305" i="14"/>
  <c r="E305" i="14"/>
  <c r="E296" i="14"/>
  <c r="M259" i="14"/>
  <c r="M250" i="14"/>
  <c r="L250" i="14"/>
  <c r="L259" i="14"/>
  <c r="K259" i="14"/>
  <c r="K250" i="14"/>
  <c r="J259" i="14"/>
  <c r="J250" i="14"/>
  <c r="I259" i="14"/>
  <c r="I250" i="14"/>
  <c r="H250" i="14"/>
  <c r="H259" i="14"/>
  <c r="G250" i="14"/>
  <c r="G259" i="14"/>
  <c r="F259" i="14"/>
  <c r="F250" i="14"/>
  <c r="E259" i="14"/>
  <c r="J267" i="14" s="1"/>
  <c r="E250" i="14"/>
  <c r="D273" i="14" s="1"/>
  <c r="M213" i="14"/>
  <c r="M204" i="14"/>
  <c r="L204" i="14"/>
  <c r="L213" i="14"/>
  <c r="K204" i="14"/>
  <c r="K213" i="14"/>
  <c r="J213" i="14"/>
  <c r="J204" i="14"/>
  <c r="I204" i="14"/>
  <c r="I213" i="14"/>
  <c r="H213" i="14"/>
  <c r="H204" i="14"/>
  <c r="F213" i="14"/>
  <c r="F204" i="14"/>
  <c r="E204" i="14"/>
  <c r="D227" i="14" s="1"/>
  <c r="E213" i="14"/>
  <c r="M167" i="14"/>
  <c r="M158" i="14"/>
  <c r="L158" i="14"/>
  <c r="L167" i="14"/>
  <c r="J158" i="14"/>
  <c r="J167" i="14"/>
  <c r="I158" i="14"/>
  <c r="I167" i="14"/>
  <c r="H167" i="14"/>
  <c r="H158" i="14"/>
  <c r="G167" i="14"/>
  <c r="G158" i="14"/>
  <c r="F158" i="14"/>
  <c r="F167" i="14"/>
  <c r="E167" i="14"/>
  <c r="J175" i="14" s="1"/>
  <c r="E158" i="14"/>
  <c r="D181" i="14" s="1"/>
  <c r="M121" i="14"/>
  <c r="M112" i="14"/>
  <c r="L112" i="14"/>
  <c r="L121" i="14"/>
  <c r="K121" i="14"/>
  <c r="K112" i="14"/>
  <c r="J121" i="14"/>
  <c r="J112" i="14"/>
  <c r="I112" i="14"/>
  <c r="I121" i="14"/>
  <c r="H112" i="14"/>
  <c r="H121" i="14"/>
  <c r="G112" i="14"/>
  <c r="G121" i="14"/>
  <c r="F112" i="14"/>
  <c r="F121" i="14"/>
  <c r="E121" i="14"/>
  <c r="J129" i="14" s="1"/>
  <c r="E112" i="14"/>
  <c r="D135" i="14" s="1"/>
  <c r="M75" i="14"/>
  <c r="M66" i="14"/>
  <c r="L66" i="14"/>
  <c r="L75" i="14"/>
  <c r="J75" i="14"/>
  <c r="J66" i="14"/>
  <c r="I75" i="14"/>
  <c r="I66" i="14"/>
  <c r="H75" i="14"/>
  <c r="H66" i="14"/>
  <c r="G75" i="14"/>
  <c r="G66" i="14"/>
  <c r="F75" i="14"/>
  <c r="F66" i="14"/>
  <c r="E75" i="14"/>
  <c r="E66" i="14"/>
  <c r="L20" i="14"/>
  <c r="L29" i="14"/>
  <c r="K20" i="14"/>
  <c r="K29" i="14"/>
  <c r="J29" i="14"/>
  <c r="J20" i="14"/>
  <c r="I20" i="14"/>
  <c r="I29" i="14"/>
  <c r="H20" i="14"/>
  <c r="H29" i="14"/>
  <c r="G20" i="14"/>
  <c r="G29" i="14"/>
  <c r="F20" i="14"/>
  <c r="F29" i="14"/>
  <c r="E29" i="14"/>
  <c r="J37" i="14" s="1"/>
  <c r="E20" i="14"/>
  <c r="D43" i="14" s="1"/>
  <c r="M5126" i="6"/>
  <c r="M5135" i="6"/>
  <c r="L5135" i="6"/>
  <c r="L5126" i="6"/>
  <c r="K5126" i="6"/>
  <c r="K5135" i="6"/>
  <c r="J5126" i="6"/>
  <c r="J5135" i="6"/>
  <c r="I5126" i="6"/>
  <c r="I5135" i="6"/>
  <c r="H5135" i="6"/>
  <c r="H5126" i="6"/>
  <c r="G5126" i="6"/>
  <c r="G5135" i="6"/>
  <c r="F5126" i="6"/>
  <c r="F5135" i="6"/>
  <c r="E5135" i="6"/>
  <c r="J5143" i="6" s="1"/>
  <c r="E5126" i="6"/>
  <c r="D5149" i="6" s="1"/>
  <c r="M5089" i="6"/>
  <c r="M5080" i="6"/>
  <c r="L5080" i="6"/>
  <c r="L5089" i="6"/>
  <c r="K5089" i="6"/>
  <c r="K5080" i="6"/>
  <c r="J5080" i="6"/>
  <c r="J5089" i="6"/>
  <c r="I5089" i="6"/>
  <c r="I5080" i="6"/>
  <c r="H5080" i="6"/>
  <c r="H5089" i="6"/>
  <c r="G5089" i="6"/>
  <c r="G5080" i="6"/>
  <c r="F5089" i="6"/>
  <c r="F5080" i="6"/>
  <c r="E5080" i="6"/>
  <c r="E5089" i="6"/>
  <c r="M5043" i="6"/>
  <c r="M5034" i="6"/>
  <c r="L5043" i="6"/>
  <c r="L5034" i="6"/>
  <c r="K5034" i="6"/>
  <c r="K5043" i="6"/>
  <c r="J5034" i="6"/>
  <c r="J5043" i="6"/>
  <c r="H5043" i="6"/>
  <c r="H5034" i="6"/>
  <c r="G5043" i="6"/>
  <c r="G5034" i="6"/>
  <c r="F5043" i="6"/>
  <c r="F5034" i="6"/>
  <c r="E5034" i="6"/>
  <c r="D5057" i="6" s="1"/>
  <c r="E5043" i="6"/>
  <c r="J5051" i="6" s="1"/>
  <c r="M4988" i="6"/>
  <c r="M4997" i="6"/>
  <c r="L4988" i="6"/>
  <c r="L4997" i="6"/>
  <c r="K4988" i="6"/>
  <c r="K4997" i="6"/>
  <c r="J4988" i="6"/>
  <c r="J4997" i="6"/>
  <c r="I4988" i="6"/>
  <c r="I4997" i="6"/>
  <c r="H4997" i="6"/>
  <c r="H4988" i="6"/>
  <c r="G4988" i="6"/>
  <c r="G4997" i="6"/>
  <c r="F4988" i="6"/>
  <c r="F4997" i="6"/>
  <c r="E4988" i="6"/>
  <c r="D5011" i="6" s="1"/>
  <c r="E4997" i="6"/>
  <c r="J5005" i="6" s="1"/>
  <c r="M4942" i="6"/>
  <c r="M4951" i="6"/>
  <c r="K4942" i="6"/>
  <c r="K4951" i="6"/>
  <c r="J4942" i="6"/>
  <c r="J4951" i="6"/>
  <c r="I4942" i="6"/>
  <c r="I4951" i="6"/>
  <c r="H4942" i="6"/>
  <c r="H4951" i="6"/>
  <c r="G4951" i="6"/>
  <c r="G4942" i="6"/>
  <c r="F4951" i="6"/>
  <c r="F4942" i="6"/>
  <c r="E4951" i="6"/>
  <c r="E4942" i="6"/>
  <c r="D4965" i="6" s="1"/>
  <c r="M4905" i="6"/>
  <c r="M4896" i="6"/>
  <c r="L4905" i="6"/>
  <c r="L4896" i="6"/>
  <c r="K4896" i="6"/>
  <c r="K4905" i="6"/>
  <c r="J4905" i="6"/>
  <c r="J4896" i="6"/>
  <c r="I4905" i="6"/>
  <c r="I4896" i="6"/>
  <c r="H4896" i="6"/>
  <c r="H4905" i="6"/>
  <c r="G4896" i="6"/>
  <c r="G4905" i="6"/>
  <c r="F4896" i="6"/>
  <c r="F4905" i="6"/>
  <c r="E4896" i="6"/>
  <c r="D4919" i="6" s="1"/>
  <c r="E4905" i="6"/>
  <c r="J4913" i="6" s="1"/>
  <c r="M4850" i="6"/>
  <c r="M4859" i="6"/>
  <c r="L4859" i="6"/>
  <c r="L4850" i="6"/>
  <c r="K4859" i="6"/>
  <c r="K4850" i="6"/>
  <c r="J4859" i="6"/>
  <c r="J4850" i="6"/>
  <c r="H4859" i="6"/>
  <c r="H4850" i="6"/>
  <c r="G4850" i="6"/>
  <c r="G4859" i="6"/>
  <c r="F4850" i="6"/>
  <c r="D4873" i="6" s="1"/>
  <c r="F4859" i="6"/>
  <c r="J4867" i="6" s="1"/>
  <c r="M4804" i="6"/>
  <c r="M4813" i="6"/>
  <c r="K4804" i="6"/>
  <c r="K4813" i="6"/>
  <c r="J4813" i="6"/>
  <c r="J4804" i="6"/>
  <c r="I4813" i="6"/>
  <c r="I4804" i="6"/>
  <c r="H4804" i="6"/>
  <c r="H4813" i="6"/>
  <c r="G4804" i="6"/>
  <c r="G4813" i="6"/>
  <c r="F4813" i="6"/>
  <c r="F4804" i="6"/>
  <c r="E4813" i="6"/>
  <c r="J4821" i="6" s="1"/>
  <c r="E4804" i="6"/>
  <c r="M4767" i="6"/>
  <c r="M4758" i="6"/>
  <c r="L4758" i="6"/>
  <c r="L4767" i="6"/>
  <c r="K4758" i="6"/>
  <c r="K4767" i="6"/>
  <c r="J4758" i="6"/>
  <c r="J4767" i="6"/>
  <c r="I4758" i="6"/>
  <c r="I4767" i="6"/>
  <c r="H4758" i="6"/>
  <c r="H4767" i="6"/>
  <c r="G4767" i="6"/>
  <c r="G4758" i="6"/>
  <c r="F4758" i="6"/>
  <c r="F4767" i="6"/>
  <c r="E4758" i="6"/>
  <c r="D4781" i="6" s="1"/>
  <c r="E4767" i="6"/>
  <c r="J4775" i="6" s="1"/>
  <c r="M4666" i="6"/>
  <c r="M4675" i="6"/>
  <c r="L4675" i="6"/>
  <c r="L4666" i="6"/>
  <c r="K4666" i="6"/>
  <c r="K4675" i="6"/>
  <c r="J4666" i="6"/>
  <c r="J4675" i="6"/>
  <c r="I4675" i="6"/>
  <c r="I4666" i="6"/>
  <c r="H4675" i="6"/>
  <c r="H4666" i="6"/>
  <c r="G4675" i="6"/>
  <c r="G4666" i="6"/>
  <c r="F4675" i="6"/>
  <c r="F4666" i="6"/>
  <c r="E4675" i="6"/>
  <c r="J4683" i="6" s="1"/>
  <c r="E4666" i="6"/>
  <c r="M4620" i="6"/>
  <c r="M4629" i="6"/>
  <c r="L4629" i="6"/>
  <c r="L4620" i="6"/>
  <c r="K4629" i="6"/>
  <c r="K4620" i="6"/>
  <c r="J4620" i="6"/>
  <c r="J4629" i="6"/>
  <c r="I4620" i="6"/>
  <c r="I4629" i="6"/>
  <c r="H4620" i="6"/>
  <c r="H4629" i="6"/>
  <c r="G4620" i="6"/>
  <c r="G4629" i="6"/>
  <c r="F4620" i="6"/>
  <c r="F4629" i="6"/>
  <c r="E4629" i="6"/>
  <c r="J4637" i="6" s="1"/>
  <c r="E4620" i="6"/>
  <c r="D4643" i="6" s="1"/>
  <c r="L4574" i="6"/>
  <c r="L4583" i="6"/>
  <c r="K4583" i="6"/>
  <c r="K4574" i="6"/>
  <c r="J4583" i="6"/>
  <c r="J4574" i="6"/>
  <c r="I4583" i="6"/>
  <c r="I4574" i="6"/>
  <c r="H4574" i="6"/>
  <c r="H4583" i="6"/>
  <c r="F4574" i="6"/>
  <c r="F4583" i="6"/>
  <c r="E4574" i="6"/>
  <c r="E4583" i="6"/>
  <c r="J4591" i="6" s="1"/>
  <c r="M4537" i="6"/>
  <c r="M4528" i="6"/>
  <c r="L4537" i="6"/>
  <c r="L4528" i="6"/>
  <c r="K4537" i="6"/>
  <c r="K4528" i="6"/>
  <c r="J4537" i="6"/>
  <c r="J4528" i="6"/>
  <c r="I4537" i="6"/>
  <c r="I4528" i="6"/>
  <c r="H4537" i="6"/>
  <c r="H4528" i="6"/>
  <c r="G4537" i="6"/>
  <c r="G4528" i="6"/>
  <c r="F4528" i="6"/>
  <c r="F4537" i="6"/>
  <c r="E4528" i="6"/>
  <c r="D4551" i="6" s="1"/>
  <c r="E4537" i="6"/>
  <c r="J4545" i="6" s="1"/>
  <c r="M4491" i="6"/>
  <c r="M4482" i="6"/>
  <c r="K4482" i="6"/>
  <c r="K4491" i="6"/>
  <c r="J4482" i="6"/>
  <c r="J4491" i="6"/>
  <c r="H4482" i="6"/>
  <c r="H4491" i="6"/>
  <c r="G4491" i="6"/>
  <c r="G4482" i="6"/>
  <c r="F4491" i="6"/>
  <c r="F4482" i="6"/>
  <c r="E4491" i="6"/>
  <c r="J4499" i="6" s="1"/>
  <c r="E4482" i="6"/>
  <c r="D4505" i="6" s="1"/>
  <c r="M4436" i="6"/>
  <c r="M4445" i="6"/>
  <c r="L4445" i="6"/>
  <c r="L4436" i="6"/>
  <c r="K4445" i="6"/>
  <c r="K4436" i="6"/>
  <c r="J4445" i="6"/>
  <c r="J4436" i="6"/>
  <c r="I4445" i="6"/>
  <c r="I4436" i="6"/>
  <c r="H4436" i="6"/>
  <c r="H4445" i="6"/>
  <c r="G4445" i="6"/>
  <c r="G4436" i="6"/>
  <c r="F4436" i="6"/>
  <c r="F4445" i="6"/>
  <c r="E4436" i="6"/>
  <c r="D4459" i="6" s="1"/>
  <c r="E4445" i="6"/>
  <c r="J4453" i="6" s="1"/>
  <c r="L4399" i="6"/>
  <c r="L4390" i="6"/>
  <c r="K4390" i="6"/>
  <c r="K4399" i="6"/>
  <c r="H4399" i="6"/>
  <c r="H4390" i="6"/>
  <c r="G4399" i="6"/>
  <c r="G4390" i="6"/>
  <c r="F4390" i="6"/>
  <c r="F4399" i="6"/>
  <c r="E4390" i="6"/>
  <c r="D4413" i="6" s="1"/>
  <c r="E4399" i="6"/>
  <c r="J4407" i="6" s="1"/>
  <c r="M4353" i="6"/>
  <c r="M4344" i="6"/>
  <c r="L4344" i="6"/>
  <c r="L4353" i="6"/>
  <c r="K4344" i="6"/>
  <c r="K4353" i="6"/>
  <c r="J4353" i="6"/>
  <c r="J4344" i="6"/>
  <c r="I4353" i="6"/>
  <c r="I4344" i="6"/>
  <c r="H4353" i="6"/>
  <c r="H4344" i="6"/>
  <c r="G4344" i="6"/>
  <c r="G4353" i="6"/>
  <c r="F4344" i="6"/>
  <c r="F4353" i="6"/>
  <c r="E4353" i="6"/>
  <c r="J4361" i="6" s="1"/>
  <c r="E4344" i="6"/>
  <c r="D4367" i="6" s="1"/>
  <c r="M4307" i="6"/>
  <c r="M4298" i="6"/>
  <c r="L4307" i="6"/>
  <c r="L4298" i="6"/>
  <c r="K4298" i="6"/>
  <c r="K4307" i="6"/>
  <c r="J4307" i="6"/>
  <c r="J4298" i="6"/>
  <c r="I4307" i="6"/>
  <c r="I4298" i="6"/>
  <c r="G4298" i="6"/>
  <c r="G4307" i="6"/>
  <c r="F4307" i="6"/>
  <c r="F4298" i="6"/>
  <c r="E4298" i="6"/>
  <c r="D4321" i="6" s="1"/>
  <c r="E4307" i="6"/>
  <c r="J4315" i="6" s="1"/>
  <c r="M4261" i="6"/>
  <c r="M4252" i="6"/>
  <c r="L4252" i="6"/>
  <c r="L4261" i="6"/>
  <c r="K4252" i="6"/>
  <c r="K4261" i="6"/>
  <c r="J4252" i="6"/>
  <c r="J4261" i="6"/>
  <c r="I4261" i="6"/>
  <c r="I4252" i="6"/>
  <c r="H4252" i="6"/>
  <c r="H4261" i="6"/>
  <c r="G4261" i="6"/>
  <c r="G4252" i="6"/>
  <c r="F4261" i="6"/>
  <c r="F4252" i="6"/>
  <c r="E4252" i="6"/>
  <c r="D4275" i="6" s="1"/>
  <c r="E4261" i="6"/>
  <c r="J4269" i="6" s="1"/>
  <c r="M4206" i="6"/>
  <c r="M4215" i="6"/>
  <c r="L4215" i="6"/>
  <c r="L4206" i="6"/>
  <c r="K4215" i="6"/>
  <c r="K4206" i="6"/>
  <c r="J4215" i="6"/>
  <c r="J4206" i="6"/>
  <c r="I4206" i="6"/>
  <c r="I4215" i="6"/>
  <c r="G4206" i="6"/>
  <c r="G4215" i="6"/>
  <c r="F4215" i="6"/>
  <c r="F4206" i="6"/>
  <c r="E4206" i="6"/>
  <c r="D4229" i="6" s="1"/>
  <c r="E4215" i="6"/>
  <c r="J4223" i="6" s="1"/>
  <c r="M4160" i="6"/>
  <c r="M4169" i="6"/>
  <c r="L4160" i="6"/>
  <c r="L4169" i="6"/>
  <c r="J4169" i="6"/>
  <c r="J4160" i="6"/>
  <c r="I4160" i="6"/>
  <c r="I4169" i="6"/>
  <c r="H4160" i="6"/>
  <c r="H4169" i="6"/>
  <c r="G4160" i="6"/>
  <c r="G4169" i="6"/>
  <c r="F4169" i="6"/>
  <c r="F4160" i="6"/>
  <c r="E4169" i="6"/>
  <c r="J4177" i="6" s="1"/>
  <c r="E4160" i="6"/>
  <c r="D4183" i="6" s="1"/>
  <c r="M4123" i="6"/>
  <c r="M4114" i="6"/>
  <c r="L4123" i="6"/>
  <c r="L4114" i="6"/>
  <c r="K4123" i="6"/>
  <c r="K4114" i="6"/>
  <c r="J4123" i="6"/>
  <c r="J4114" i="6"/>
  <c r="I4123" i="6"/>
  <c r="I4114" i="6"/>
  <c r="H4114" i="6"/>
  <c r="H4123" i="6"/>
  <c r="G4114" i="6"/>
  <c r="G4123" i="6"/>
  <c r="F4114" i="6"/>
  <c r="F4123" i="6"/>
  <c r="E4114" i="6"/>
  <c r="D4137" i="6" s="1"/>
  <c r="E4123" i="6"/>
  <c r="J4131" i="6" s="1"/>
  <c r="K4068" i="6"/>
  <c r="K4077" i="6"/>
  <c r="J4077" i="6"/>
  <c r="J4068" i="6"/>
  <c r="I4068" i="6"/>
  <c r="I4077" i="6"/>
  <c r="H4068" i="6"/>
  <c r="H4077" i="6"/>
  <c r="G4077" i="6"/>
  <c r="G4068" i="6"/>
  <c r="F4068" i="6"/>
  <c r="F4077" i="6"/>
  <c r="E4068" i="6"/>
  <c r="D4091" i="6" s="1"/>
  <c r="E4077" i="6"/>
  <c r="J4085" i="6" s="1"/>
  <c r="M4031" i="6"/>
  <c r="M4022" i="6"/>
  <c r="L4022" i="6"/>
  <c r="L4031" i="6"/>
  <c r="K4031" i="6"/>
  <c r="K4022" i="6"/>
  <c r="J4022" i="6"/>
  <c r="J4031" i="6"/>
  <c r="I4031" i="6"/>
  <c r="I4022" i="6"/>
  <c r="H4031" i="6"/>
  <c r="H4022" i="6"/>
  <c r="G4022" i="6"/>
  <c r="G4031" i="6"/>
  <c r="F4031" i="6"/>
  <c r="F4022" i="6"/>
  <c r="E4031" i="6"/>
  <c r="J4039" i="6" s="1"/>
  <c r="E4022" i="6"/>
  <c r="D4045" i="6" s="1"/>
  <c r="M3976" i="6"/>
  <c r="M3985" i="6"/>
  <c r="L3985" i="6"/>
  <c r="L3976" i="6"/>
  <c r="K3985" i="6"/>
  <c r="K3976" i="6"/>
  <c r="J3985" i="6"/>
  <c r="J3976" i="6"/>
  <c r="I3976" i="6"/>
  <c r="I3985" i="6"/>
  <c r="H3976" i="6"/>
  <c r="H3985" i="6"/>
  <c r="F3976" i="6"/>
  <c r="F3985" i="6"/>
  <c r="E3976" i="6"/>
  <c r="D3999" i="6" s="1"/>
  <c r="E3985" i="6"/>
  <c r="J3993" i="6" s="1"/>
  <c r="M3939" i="6"/>
  <c r="M3930" i="6"/>
  <c r="L3930" i="6"/>
  <c r="L3939" i="6"/>
  <c r="K3939" i="6"/>
  <c r="K3930" i="6"/>
  <c r="J3939" i="6"/>
  <c r="J3930" i="6"/>
  <c r="I3939" i="6"/>
  <c r="I3930" i="6"/>
  <c r="H3939" i="6"/>
  <c r="H3930" i="6"/>
  <c r="G3930" i="6"/>
  <c r="G3939" i="6"/>
  <c r="F3939" i="6"/>
  <c r="F3930" i="6"/>
  <c r="E3939" i="6"/>
  <c r="J3947" i="6" s="1"/>
  <c r="E3930" i="6"/>
  <c r="D3953" i="6" s="1"/>
  <c r="M3884" i="6"/>
  <c r="M3893" i="6"/>
  <c r="L3893" i="6"/>
  <c r="L3884" i="6"/>
  <c r="K3884" i="6"/>
  <c r="K3893" i="6"/>
  <c r="J3893" i="6"/>
  <c r="J3884" i="6"/>
  <c r="I3893" i="6"/>
  <c r="I3884" i="6"/>
  <c r="H3893" i="6"/>
  <c r="H3884" i="6"/>
  <c r="G3884" i="6"/>
  <c r="G3893" i="6"/>
  <c r="F3893" i="6"/>
  <c r="F3884" i="6"/>
  <c r="E3893" i="6"/>
  <c r="J3901" i="6" s="1"/>
  <c r="E3884" i="6"/>
  <c r="D3907" i="6" s="1"/>
  <c r="M3847" i="6"/>
  <c r="M3838" i="6"/>
  <c r="L3847" i="6"/>
  <c r="L3838" i="6"/>
  <c r="J3847" i="6"/>
  <c r="J3838" i="6"/>
  <c r="I3838" i="6"/>
  <c r="I3847" i="6"/>
  <c r="H3847" i="6"/>
  <c r="H3838" i="6"/>
  <c r="G3838" i="6"/>
  <c r="G3847" i="6"/>
  <c r="F3847" i="6"/>
  <c r="F3838" i="6"/>
  <c r="E3847" i="6"/>
  <c r="J3855" i="6" s="1"/>
  <c r="E3838" i="6"/>
  <c r="D3861" i="6" s="1"/>
  <c r="M3801" i="6"/>
  <c r="M3792" i="6"/>
  <c r="L3792" i="6"/>
  <c r="L3801" i="6"/>
  <c r="K3801" i="6"/>
  <c r="K3792" i="6"/>
  <c r="J3801" i="6"/>
  <c r="J3792" i="6"/>
  <c r="I3801" i="6"/>
  <c r="I3792" i="6"/>
  <c r="H3792" i="6"/>
  <c r="H3801" i="6"/>
  <c r="G3792" i="6"/>
  <c r="G3801" i="6"/>
  <c r="F3801" i="6"/>
  <c r="F3792" i="6"/>
  <c r="E3801" i="6"/>
  <c r="J3809" i="6" s="1"/>
  <c r="E3792" i="6"/>
  <c r="D3815" i="6" s="1"/>
  <c r="L3746" i="6"/>
  <c r="L3755" i="6"/>
  <c r="K3746" i="6"/>
  <c r="K3755" i="6"/>
  <c r="J3746" i="6"/>
  <c r="J3755" i="6"/>
  <c r="I3746" i="6"/>
  <c r="I3755" i="6"/>
  <c r="H3746" i="6"/>
  <c r="H3755" i="6"/>
  <c r="F3755" i="6"/>
  <c r="F3746" i="6"/>
  <c r="E3755" i="6"/>
  <c r="J3763" i="6" s="1"/>
  <c r="E3746" i="6"/>
  <c r="D3769" i="6" s="1"/>
  <c r="M3700" i="6"/>
  <c r="M3709" i="6"/>
  <c r="L3700" i="6"/>
  <c r="L3709" i="6"/>
  <c r="K3700" i="6"/>
  <c r="K3709" i="6"/>
  <c r="J3700" i="6"/>
  <c r="J3709" i="6"/>
  <c r="I3700" i="6"/>
  <c r="I3709" i="6"/>
  <c r="H3709" i="6"/>
  <c r="H3700" i="6"/>
  <c r="G3700" i="6"/>
  <c r="G3709" i="6"/>
  <c r="F3700" i="6"/>
  <c r="F3709" i="6"/>
  <c r="E3700" i="6"/>
  <c r="D3723" i="6" s="1"/>
  <c r="E3709" i="6"/>
  <c r="J3717" i="6" s="1"/>
  <c r="M3654" i="6"/>
  <c r="M3663" i="6"/>
  <c r="L3663" i="6"/>
  <c r="L3654" i="6"/>
  <c r="K3663" i="6"/>
  <c r="K3654" i="6"/>
  <c r="J3663" i="6"/>
  <c r="J3654" i="6"/>
  <c r="I3654" i="6"/>
  <c r="I3663" i="6"/>
  <c r="H3663" i="6"/>
  <c r="H3654" i="6"/>
  <c r="G3663" i="6"/>
  <c r="G3654" i="6"/>
  <c r="F3654" i="6"/>
  <c r="F3663" i="6"/>
  <c r="E3663" i="6"/>
  <c r="E3654" i="6"/>
  <c r="M3608" i="6"/>
  <c r="M3617" i="6"/>
  <c r="L3608" i="6"/>
  <c r="L3617" i="6"/>
  <c r="K3617" i="6"/>
  <c r="K3608" i="6"/>
  <c r="J3617" i="6"/>
  <c r="J3608" i="6"/>
  <c r="I3608" i="6"/>
  <c r="I3617" i="6"/>
  <c r="H3608" i="6"/>
  <c r="H3617" i="6"/>
  <c r="G3608" i="6"/>
  <c r="G3617" i="6"/>
  <c r="F3608" i="6"/>
  <c r="F3617" i="6"/>
  <c r="E3617" i="6"/>
  <c r="J3625" i="6" s="1"/>
  <c r="E3608" i="6"/>
  <c r="D3631" i="6" s="1"/>
  <c r="M3562" i="6"/>
  <c r="M3571" i="6"/>
  <c r="L3571" i="6"/>
  <c r="L3562" i="6"/>
  <c r="K3562" i="6"/>
  <c r="K3571" i="6"/>
  <c r="J3562" i="6"/>
  <c r="J3571" i="6"/>
  <c r="I3562" i="6"/>
  <c r="I3571" i="6"/>
  <c r="H3562" i="6"/>
  <c r="H3571" i="6"/>
  <c r="G3571" i="6"/>
  <c r="G3562" i="6"/>
  <c r="F3571" i="6"/>
  <c r="F3562" i="6"/>
  <c r="E3571" i="6"/>
  <c r="J3579" i="6" s="1"/>
  <c r="E3562" i="6"/>
  <c r="D3585" i="6" s="1"/>
  <c r="M3516" i="6"/>
  <c r="M3525" i="6"/>
  <c r="L3516" i="6"/>
  <c r="L3525" i="6"/>
  <c r="K3525" i="6"/>
  <c r="K3516" i="6"/>
  <c r="J3525" i="6"/>
  <c r="J3516" i="6"/>
  <c r="I3516" i="6"/>
  <c r="I3525" i="6"/>
  <c r="H3525" i="6"/>
  <c r="H3516" i="6"/>
  <c r="G3516" i="6"/>
  <c r="G3525" i="6"/>
  <c r="F3516" i="6"/>
  <c r="F3525" i="6"/>
  <c r="E3525" i="6"/>
  <c r="J3533" i="6" s="1"/>
  <c r="E3516" i="6"/>
  <c r="D3539" i="6" s="1"/>
  <c r="M3470" i="6"/>
  <c r="M3479" i="6"/>
  <c r="L3479" i="6"/>
  <c r="L3470" i="6"/>
  <c r="K3470" i="6"/>
  <c r="K3479" i="6"/>
  <c r="J3470" i="6"/>
  <c r="J3479" i="6"/>
  <c r="I3479" i="6"/>
  <c r="I3470" i="6"/>
  <c r="H3470" i="6"/>
  <c r="H3479" i="6"/>
  <c r="G3479" i="6"/>
  <c r="G3470" i="6"/>
  <c r="F3479" i="6"/>
  <c r="F3470" i="6"/>
  <c r="E3479" i="6"/>
  <c r="J3487" i="6" s="1"/>
  <c r="E3470" i="6"/>
  <c r="D3493" i="6" s="1"/>
  <c r="M3433" i="6"/>
  <c r="M3424" i="6"/>
  <c r="L3424" i="6"/>
  <c r="L3433" i="6"/>
  <c r="K3424" i="6"/>
  <c r="K3433" i="6"/>
  <c r="J3433" i="6"/>
  <c r="J3424" i="6"/>
  <c r="I3424" i="6"/>
  <c r="I3433" i="6"/>
  <c r="H3424" i="6"/>
  <c r="H3433" i="6"/>
  <c r="G3433" i="6"/>
  <c r="G3424" i="6"/>
  <c r="F3424" i="6"/>
  <c r="F3433" i="6"/>
  <c r="E3424" i="6"/>
  <c r="D3447" i="6" s="1"/>
  <c r="E3433" i="6"/>
  <c r="J3441" i="6" s="1"/>
  <c r="M3378" i="6"/>
  <c r="M3387" i="6"/>
  <c r="L3387" i="6"/>
  <c r="L3378" i="6"/>
  <c r="K3387" i="6"/>
  <c r="K3378" i="6"/>
  <c r="J3378" i="6"/>
  <c r="J3387" i="6"/>
  <c r="I3378" i="6"/>
  <c r="I3387" i="6"/>
  <c r="H3378" i="6"/>
  <c r="H3387" i="6"/>
  <c r="G3387" i="6"/>
  <c r="G3378" i="6"/>
  <c r="F3387" i="6"/>
  <c r="F3378" i="6"/>
  <c r="E3387" i="6"/>
  <c r="J3395" i="6" s="1"/>
  <c r="E3378" i="6"/>
  <c r="D3401" i="6" s="1"/>
  <c r="M3341" i="6"/>
  <c r="M3332" i="6"/>
  <c r="L3341" i="6"/>
  <c r="L3332" i="6"/>
  <c r="K3341" i="6"/>
  <c r="K3332" i="6"/>
  <c r="J3332" i="6"/>
  <c r="J3341" i="6"/>
  <c r="I3341" i="6"/>
  <c r="I3332" i="6"/>
  <c r="H3341" i="6"/>
  <c r="H3332" i="6"/>
  <c r="G3341" i="6"/>
  <c r="G3332" i="6"/>
  <c r="F3341" i="6"/>
  <c r="F3332" i="6"/>
  <c r="E3341" i="6"/>
  <c r="J3349" i="6" s="1"/>
  <c r="E3332" i="6"/>
  <c r="D3355" i="6" s="1"/>
  <c r="M3295" i="6"/>
  <c r="M3286" i="6"/>
  <c r="L3286" i="6"/>
  <c r="L3295" i="6"/>
  <c r="K3286" i="6"/>
  <c r="K3295" i="6"/>
  <c r="J3295" i="6"/>
  <c r="J3286" i="6"/>
  <c r="I3295" i="6"/>
  <c r="I3286" i="6"/>
  <c r="H3295" i="6"/>
  <c r="H3286" i="6"/>
  <c r="G3295" i="6"/>
  <c r="G3286" i="6"/>
  <c r="F3295" i="6"/>
  <c r="F3286" i="6"/>
  <c r="E3295" i="6"/>
  <c r="J3303" i="6" s="1"/>
  <c r="E3286" i="6"/>
  <c r="D3309" i="6" s="1"/>
  <c r="M3240" i="6"/>
  <c r="M3249" i="6"/>
  <c r="L3240" i="6"/>
  <c r="L3249" i="6"/>
  <c r="K3249" i="6"/>
  <c r="K3240" i="6"/>
  <c r="J3240" i="6"/>
  <c r="J3249" i="6"/>
  <c r="I3249" i="6"/>
  <c r="I3240" i="6"/>
  <c r="H3240" i="6"/>
  <c r="H3249" i="6"/>
  <c r="G3249" i="6"/>
  <c r="G3240" i="6"/>
  <c r="F3249" i="6"/>
  <c r="F3240" i="6"/>
  <c r="E3249" i="6"/>
  <c r="J3257" i="6" s="1"/>
  <c r="E3240" i="6"/>
  <c r="D3263" i="6" s="1"/>
  <c r="M3194" i="6"/>
  <c r="M3203" i="6"/>
  <c r="J3203" i="6"/>
  <c r="J3194" i="6"/>
  <c r="I3194" i="6"/>
  <c r="I3203" i="6"/>
  <c r="H3194" i="6"/>
  <c r="H3203" i="6"/>
  <c r="G3203" i="6"/>
  <c r="G3194" i="6"/>
  <c r="F3203" i="6"/>
  <c r="F3194" i="6"/>
  <c r="E3203" i="6"/>
  <c r="J3211" i="6" s="1"/>
  <c r="E3194" i="6"/>
  <c r="D3217" i="6" s="1"/>
  <c r="M3148" i="6"/>
  <c r="M3157" i="6"/>
  <c r="L3157" i="6"/>
  <c r="L3148" i="6"/>
  <c r="K3157" i="6"/>
  <c r="K3148" i="6"/>
  <c r="J3148" i="6"/>
  <c r="J3157" i="6"/>
  <c r="I3157" i="6"/>
  <c r="I3148" i="6"/>
  <c r="H3157" i="6"/>
  <c r="H3148" i="6"/>
  <c r="G3157" i="6"/>
  <c r="G3148" i="6"/>
  <c r="F3157" i="6"/>
  <c r="F3148" i="6"/>
  <c r="E3157" i="6"/>
  <c r="J3165" i="6" s="1"/>
  <c r="E3148" i="6"/>
  <c r="D3171" i="6" s="1"/>
  <c r="M3102" i="6"/>
  <c r="M3111" i="6"/>
  <c r="L3111" i="6"/>
  <c r="L3102" i="6"/>
  <c r="K3111" i="6"/>
  <c r="K3102" i="6"/>
  <c r="J3111" i="6"/>
  <c r="J3102" i="6"/>
  <c r="I3102" i="6"/>
  <c r="I3111" i="6"/>
  <c r="H3111" i="6"/>
  <c r="H3102" i="6"/>
  <c r="G3111" i="6"/>
  <c r="G3102" i="6"/>
  <c r="F3102" i="6"/>
  <c r="F3111" i="6"/>
  <c r="E3111" i="6"/>
  <c r="J3119" i="6" s="1"/>
  <c r="E3102" i="6"/>
  <c r="D3125" i="6" s="1"/>
  <c r="M3056" i="6"/>
  <c r="M3065" i="6"/>
  <c r="L3065" i="6"/>
  <c r="L3056" i="6"/>
  <c r="K3065" i="6"/>
  <c r="K3056" i="6"/>
  <c r="J3056" i="6"/>
  <c r="J3065" i="6"/>
  <c r="I3056" i="6"/>
  <c r="I3065" i="6"/>
  <c r="H3065" i="6"/>
  <c r="H3056" i="6"/>
  <c r="G3065" i="6"/>
  <c r="G3056" i="6"/>
  <c r="F3065" i="6"/>
  <c r="F3056" i="6"/>
  <c r="E3065" i="6"/>
  <c r="J3073" i="6" s="1"/>
  <c r="E3056" i="6"/>
  <c r="D3079" i="6" s="1"/>
  <c r="M3019" i="6"/>
  <c r="M3010" i="6"/>
  <c r="L3010" i="6"/>
  <c r="L3019" i="6"/>
  <c r="K3019" i="6"/>
  <c r="K3010" i="6"/>
  <c r="J3010" i="6"/>
  <c r="J3019" i="6"/>
  <c r="I3019" i="6"/>
  <c r="I3010" i="6"/>
  <c r="H3010" i="6"/>
  <c r="H3019" i="6"/>
  <c r="G3010" i="6"/>
  <c r="G3019" i="6"/>
  <c r="F3010" i="6"/>
  <c r="F3019" i="6"/>
  <c r="E3010" i="6"/>
  <c r="D3033" i="6" s="1"/>
  <c r="E3019" i="6"/>
  <c r="J3027" i="6" s="1"/>
  <c r="M2964" i="6"/>
  <c r="M2973" i="6"/>
  <c r="L2973" i="6"/>
  <c r="L2964" i="6"/>
  <c r="J2964" i="6"/>
  <c r="J2973" i="6"/>
  <c r="I2973" i="6"/>
  <c r="I2964" i="6"/>
  <c r="H2973" i="6"/>
  <c r="H2964" i="6"/>
  <c r="G2973" i="6"/>
  <c r="G2964" i="6"/>
  <c r="F2964" i="6"/>
  <c r="F2973" i="6"/>
  <c r="E2964" i="6"/>
  <c r="D2987" i="6" s="1"/>
  <c r="E2973" i="6"/>
  <c r="J2981" i="6" s="1"/>
  <c r="M2927" i="6"/>
  <c r="M2918" i="6"/>
  <c r="L2918" i="6"/>
  <c r="L2927" i="6"/>
  <c r="K2918" i="6"/>
  <c r="K2927" i="6"/>
  <c r="J2927" i="6"/>
  <c r="J2918" i="6"/>
  <c r="I2918" i="6"/>
  <c r="I2927" i="6"/>
  <c r="H2918" i="6"/>
  <c r="H2927" i="6"/>
  <c r="G2927" i="6"/>
  <c r="G2918" i="6"/>
  <c r="E2927" i="6"/>
  <c r="J2935" i="6" s="1"/>
  <c r="E2918" i="6"/>
  <c r="D2941" i="6" s="1"/>
  <c r="M2872" i="6"/>
  <c r="M2881" i="6"/>
  <c r="L2881" i="6"/>
  <c r="L2872" i="6"/>
  <c r="K2881" i="6"/>
  <c r="K2872" i="6"/>
  <c r="J2881" i="6"/>
  <c r="J2872" i="6"/>
  <c r="I2881" i="6"/>
  <c r="I2872" i="6"/>
  <c r="H2872" i="6"/>
  <c r="H2881" i="6"/>
  <c r="G2872" i="6"/>
  <c r="G2881" i="6"/>
  <c r="F2872" i="6"/>
  <c r="F2881" i="6"/>
  <c r="E2872" i="6"/>
  <c r="D2895" i="6" s="1"/>
  <c r="E2881" i="6"/>
  <c r="J2889" i="6" s="1"/>
  <c r="M2835" i="6"/>
  <c r="M2826" i="6"/>
  <c r="L2835" i="6"/>
  <c r="L2826" i="6"/>
  <c r="K2826" i="6"/>
  <c r="K2835" i="6"/>
  <c r="J2835" i="6"/>
  <c r="J2826" i="6"/>
  <c r="I2835" i="6"/>
  <c r="I2826" i="6"/>
  <c r="H2826" i="6"/>
  <c r="H2835" i="6"/>
  <c r="G2826" i="6"/>
  <c r="G2835" i="6"/>
  <c r="F2835" i="6"/>
  <c r="F2826" i="6"/>
  <c r="E2826" i="6"/>
  <c r="D2849" i="6" s="1"/>
  <c r="E2835" i="6"/>
  <c r="J2843" i="6" s="1"/>
  <c r="M2789" i="6"/>
  <c r="M2780" i="6"/>
  <c r="L2780" i="6"/>
  <c r="L2789" i="6"/>
  <c r="K2789" i="6"/>
  <c r="K2780" i="6"/>
  <c r="J2789" i="6"/>
  <c r="J2780" i="6"/>
  <c r="I2789" i="6"/>
  <c r="I2780" i="6"/>
  <c r="H2789" i="6"/>
  <c r="H2780" i="6"/>
  <c r="G2780" i="6"/>
  <c r="G2789" i="6"/>
  <c r="F2780" i="6"/>
  <c r="F2789" i="6"/>
  <c r="E2789" i="6"/>
  <c r="J2797" i="6" s="1"/>
  <c r="E2780" i="6"/>
  <c r="D2803" i="6" s="1"/>
  <c r="M2743" i="6"/>
  <c r="M2734" i="6"/>
  <c r="L2734" i="6"/>
  <c r="L2743" i="6"/>
  <c r="K2734" i="6"/>
  <c r="K2743" i="6"/>
  <c r="J2743" i="6"/>
  <c r="J2734" i="6"/>
  <c r="I2743" i="6"/>
  <c r="I2734" i="6"/>
  <c r="H2734" i="6"/>
  <c r="H2743" i="6"/>
  <c r="G2734" i="6"/>
  <c r="G2743" i="6"/>
  <c r="F2734" i="6"/>
  <c r="F2743" i="6"/>
  <c r="E2734" i="6"/>
  <c r="D2757" i="6" s="1"/>
  <c r="E2743" i="6"/>
  <c r="M2688" i="6"/>
  <c r="M2697" i="6"/>
  <c r="L2688" i="6"/>
  <c r="L2697" i="6"/>
  <c r="K2688" i="6"/>
  <c r="K2697" i="6"/>
  <c r="J2688" i="6"/>
  <c r="J2697" i="6"/>
  <c r="I2688" i="6"/>
  <c r="I2697" i="6"/>
  <c r="H2697" i="6"/>
  <c r="H2688" i="6"/>
  <c r="G2697" i="6"/>
  <c r="G2688" i="6"/>
  <c r="F2697" i="6"/>
  <c r="F2688" i="6"/>
  <c r="E2697" i="6"/>
  <c r="J2705" i="6" s="1"/>
  <c r="E2688" i="6"/>
  <c r="D2711" i="6" s="1"/>
  <c r="M2651" i="6"/>
  <c r="M2642" i="6"/>
  <c r="L2642" i="6"/>
  <c r="L2651" i="6"/>
  <c r="K2642" i="6"/>
  <c r="K2651" i="6"/>
  <c r="J2642" i="6"/>
  <c r="J2651" i="6"/>
  <c r="I2651" i="6"/>
  <c r="I2642" i="6"/>
  <c r="H2651" i="6"/>
  <c r="H2642" i="6"/>
  <c r="G2651" i="6"/>
  <c r="G2642" i="6"/>
  <c r="F2651" i="6"/>
  <c r="F2642" i="6"/>
  <c r="E2651" i="6"/>
  <c r="J2659" i="6" s="1"/>
  <c r="E2642" i="6"/>
  <c r="D2665" i="6" s="1"/>
  <c r="M2596" i="6"/>
  <c r="M2605" i="6"/>
  <c r="L2605" i="6"/>
  <c r="L2596" i="6"/>
  <c r="K2605" i="6"/>
  <c r="K2596" i="6"/>
  <c r="J2596" i="6"/>
  <c r="J2605" i="6"/>
  <c r="I2605" i="6"/>
  <c r="I2596" i="6"/>
  <c r="H2605" i="6"/>
  <c r="H2596" i="6"/>
  <c r="G2605" i="6"/>
  <c r="G2596" i="6"/>
  <c r="F2605" i="6"/>
  <c r="F2596" i="6"/>
  <c r="E2605" i="6"/>
  <c r="J2613" i="6" s="1"/>
  <c r="E2596" i="6"/>
  <c r="D2619" i="6" s="1"/>
  <c r="M2559" i="6"/>
  <c r="M2550" i="6"/>
  <c r="L2550" i="6"/>
  <c r="L2559" i="6"/>
  <c r="K2559" i="6"/>
  <c r="K2550" i="6"/>
  <c r="J2559" i="6"/>
  <c r="J2550" i="6"/>
  <c r="I2559" i="6"/>
  <c r="I2550" i="6"/>
  <c r="H2559" i="6"/>
  <c r="H2550" i="6"/>
  <c r="G2559" i="6"/>
  <c r="G2550" i="6"/>
  <c r="F2559" i="6"/>
  <c r="F2550" i="6"/>
  <c r="E2550" i="6"/>
  <c r="D2573" i="6" s="1"/>
  <c r="E2559" i="6"/>
  <c r="J2567" i="6" s="1"/>
  <c r="M2504" i="6"/>
  <c r="M2513" i="6"/>
  <c r="L2513" i="6"/>
  <c r="L2504" i="6"/>
  <c r="K2513" i="6"/>
  <c r="K2504" i="6"/>
  <c r="J2513" i="6"/>
  <c r="J2504" i="6"/>
  <c r="I2513" i="6"/>
  <c r="I2504" i="6"/>
  <c r="H2504" i="6"/>
  <c r="H2513" i="6"/>
  <c r="G2504" i="6"/>
  <c r="G2513" i="6"/>
  <c r="F2504" i="6"/>
  <c r="F2513" i="6"/>
  <c r="E2504" i="6"/>
  <c r="D2527" i="6" s="1"/>
  <c r="E2513" i="6"/>
  <c r="J2521" i="6" s="1"/>
  <c r="M2467" i="6"/>
  <c r="M2458" i="6"/>
  <c r="L2458" i="6"/>
  <c r="L2467" i="6"/>
  <c r="K2458" i="6"/>
  <c r="K2467" i="6"/>
  <c r="J2458" i="6"/>
  <c r="J2467" i="6"/>
  <c r="I2458" i="6"/>
  <c r="I2467" i="6"/>
  <c r="H2467" i="6"/>
  <c r="H2458" i="6"/>
  <c r="G2458" i="6"/>
  <c r="G2467" i="6"/>
  <c r="F2458" i="6"/>
  <c r="F2467" i="6"/>
  <c r="E2467" i="6"/>
  <c r="J2475" i="6" s="1"/>
  <c r="E2458" i="6"/>
  <c r="D2481" i="6" s="1"/>
  <c r="M2421" i="6"/>
  <c r="M2412" i="6"/>
  <c r="L2412" i="6"/>
  <c r="L2421" i="6"/>
  <c r="K2421" i="6"/>
  <c r="K2412" i="6"/>
  <c r="J2412" i="6"/>
  <c r="J2421" i="6"/>
  <c r="I2412" i="6"/>
  <c r="I2421" i="6"/>
  <c r="H2412" i="6"/>
  <c r="H2421" i="6"/>
  <c r="G2412" i="6"/>
  <c r="G2421" i="6"/>
  <c r="F2421" i="6"/>
  <c r="F2412" i="6"/>
  <c r="E2412" i="6"/>
  <c r="D2435" i="6" s="1"/>
  <c r="E2421" i="6"/>
  <c r="J2429" i="6" s="1"/>
  <c r="M2366" i="6"/>
  <c r="M2375" i="6"/>
  <c r="L2375" i="6"/>
  <c r="L2366" i="6"/>
  <c r="K2375" i="6"/>
  <c r="K2366" i="6"/>
  <c r="J2366" i="6"/>
  <c r="J2375" i="6"/>
  <c r="I2366" i="6"/>
  <c r="I2375" i="6"/>
  <c r="H2366" i="6"/>
  <c r="H2375" i="6"/>
  <c r="G2366" i="6"/>
  <c r="G2375" i="6"/>
  <c r="F2375" i="6"/>
  <c r="F2366" i="6"/>
  <c r="E2375" i="6"/>
  <c r="J2383" i="6" s="1"/>
  <c r="E2366" i="6"/>
  <c r="D2389" i="6" s="1"/>
  <c r="M2320" i="6"/>
  <c r="M2329" i="6"/>
  <c r="L2320" i="6"/>
  <c r="L2329" i="6"/>
  <c r="K2329" i="6"/>
  <c r="K2320" i="6"/>
  <c r="J2329" i="6"/>
  <c r="J2320" i="6"/>
  <c r="I2329" i="6"/>
  <c r="I2320" i="6"/>
  <c r="H2329" i="6"/>
  <c r="H2320" i="6"/>
  <c r="G2329" i="6"/>
  <c r="G2320" i="6"/>
  <c r="F2320" i="6"/>
  <c r="F2329" i="6"/>
  <c r="E2329" i="6"/>
  <c r="J2337" i="6" s="1"/>
  <c r="E2320" i="6"/>
  <c r="D2343" i="6" s="1"/>
  <c r="M2283" i="6"/>
  <c r="M2274" i="6"/>
  <c r="L2274" i="6"/>
  <c r="L2283" i="6"/>
  <c r="K2283" i="6"/>
  <c r="K2274" i="6"/>
  <c r="J2283" i="6"/>
  <c r="J2274" i="6"/>
  <c r="I2274" i="6"/>
  <c r="I2283" i="6"/>
  <c r="H2274" i="6"/>
  <c r="H2283" i="6"/>
  <c r="G2283" i="6"/>
  <c r="G2274" i="6"/>
  <c r="F2274" i="6"/>
  <c r="F2283" i="6"/>
  <c r="E2274" i="6"/>
  <c r="D2297" i="6" s="1"/>
  <c r="E2283" i="6"/>
  <c r="J2291" i="6" s="1"/>
  <c r="M2237" i="6"/>
  <c r="M2228" i="6"/>
  <c r="L2237" i="6"/>
  <c r="L2228" i="6"/>
  <c r="K2228" i="6"/>
  <c r="K2237" i="6"/>
  <c r="J2237" i="6"/>
  <c r="J2228" i="6"/>
  <c r="I2237" i="6"/>
  <c r="I2228" i="6"/>
  <c r="H2228" i="6"/>
  <c r="H2237" i="6"/>
  <c r="G2237" i="6"/>
  <c r="G2228" i="6"/>
  <c r="F2228" i="6"/>
  <c r="F2237" i="6"/>
  <c r="E2228" i="6"/>
  <c r="D2251" i="6" s="1"/>
  <c r="E2237" i="6"/>
  <c r="J2245" i="6" s="1"/>
  <c r="M2145" i="6"/>
  <c r="M2136" i="6"/>
  <c r="L2145" i="6"/>
  <c r="L2136" i="6"/>
  <c r="K2145" i="6"/>
  <c r="K2136" i="6"/>
  <c r="J2136" i="6"/>
  <c r="J2145" i="6"/>
  <c r="I2136" i="6"/>
  <c r="I2145" i="6"/>
  <c r="H2145" i="6"/>
  <c r="H2136" i="6"/>
  <c r="G2145" i="6"/>
  <c r="G2136" i="6"/>
  <c r="F2145" i="6"/>
  <c r="F2136" i="6"/>
  <c r="E2136" i="6"/>
  <c r="D2159" i="6" s="1"/>
  <c r="E2145" i="6"/>
  <c r="J2153" i="6" s="1"/>
  <c r="M2090" i="6"/>
  <c r="M2099" i="6"/>
  <c r="L2099" i="6"/>
  <c r="L2090" i="6"/>
  <c r="K2090" i="6"/>
  <c r="K2099" i="6"/>
  <c r="J2090" i="6"/>
  <c r="J2099" i="6"/>
  <c r="I2090" i="6"/>
  <c r="I2099" i="6"/>
  <c r="H2090" i="6"/>
  <c r="H2099" i="6"/>
  <c r="G2099" i="6"/>
  <c r="G2090" i="6"/>
  <c r="F2099" i="6"/>
  <c r="F2090" i="6"/>
  <c r="E2099" i="6"/>
  <c r="J2107" i="6" s="1"/>
  <c r="E2090" i="6"/>
  <c r="D2113" i="6" s="1"/>
  <c r="M2053" i="6"/>
  <c r="M2044" i="6"/>
  <c r="L2053" i="6"/>
  <c r="L2044" i="6"/>
  <c r="K2053" i="6"/>
  <c r="K2044" i="6"/>
  <c r="J2053" i="6"/>
  <c r="J2044" i="6"/>
  <c r="I2053" i="6"/>
  <c r="I2044" i="6"/>
  <c r="H2044" i="6"/>
  <c r="H2053" i="6"/>
  <c r="G2044" i="6"/>
  <c r="G2053" i="6"/>
  <c r="F2044" i="6"/>
  <c r="F2053" i="6"/>
  <c r="E2053" i="6"/>
  <c r="J2061" i="6" s="1"/>
  <c r="E2044" i="6"/>
  <c r="D2067" i="6" s="1"/>
  <c r="M2007" i="6"/>
  <c r="M1998" i="6"/>
  <c r="L2007" i="6"/>
  <c r="L1998" i="6"/>
  <c r="K2007" i="6"/>
  <c r="K1998" i="6"/>
  <c r="J2007" i="6"/>
  <c r="J1998" i="6"/>
  <c r="I2007" i="6"/>
  <c r="I1998" i="6"/>
  <c r="H2007" i="6"/>
  <c r="H1998" i="6"/>
  <c r="G2007" i="6"/>
  <c r="G1998" i="6"/>
  <c r="F1998" i="6"/>
  <c r="F2007" i="6"/>
  <c r="E2007" i="6"/>
  <c r="J2015" i="6" s="1"/>
  <c r="E1998" i="6"/>
  <c r="D2021" i="6" s="1"/>
  <c r="M1952" i="6"/>
  <c r="M1961" i="6"/>
  <c r="L1952" i="6"/>
  <c r="L1961" i="6"/>
  <c r="K1961" i="6"/>
  <c r="K1952" i="6"/>
  <c r="J1952" i="6"/>
  <c r="J1961" i="6"/>
  <c r="I1952" i="6"/>
  <c r="I1961" i="6"/>
  <c r="H1952" i="6"/>
  <c r="H1961" i="6"/>
  <c r="G1952" i="6"/>
  <c r="G1961" i="6"/>
  <c r="F1961" i="6"/>
  <c r="F1952" i="6"/>
  <c r="E1961" i="6"/>
  <c r="J1969" i="6" s="1"/>
  <c r="E1952" i="6"/>
  <c r="D1975" i="6" s="1"/>
  <c r="M1906" i="6"/>
  <c r="M1915" i="6"/>
  <c r="L1906" i="6"/>
  <c r="L1915" i="6"/>
  <c r="K1915" i="6"/>
  <c r="K1906" i="6"/>
  <c r="J1915" i="6"/>
  <c r="J1906" i="6"/>
  <c r="I1915" i="6"/>
  <c r="I1906" i="6"/>
  <c r="H1915" i="6"/>
  <c r="H1906" i="6"/>
  <c r="G1915" i="6"/>
  <c r="G1906" i="6"/>
  <c r="F1915" i="6"/>
  <c r="F1906" i="6"/>
  <c r="E1915" i="6"/>
  <c r="J1923" i="6" s="1"/>
  <c r="E1906" i="6"/>
  <c r="D1929" i="6" s="1"/>
  <c r="L1860" i="6"/>
  <c r="L1869" i="6"/>
  <c r="K1869" i="6"/>
  <c r="K1860" i="6"/>
  <c r="J1860" i="6"/>
  <c r="J1869" i="6"/>
  <c r="I1869" i="6"/>
  <c r="I1860" i="6"/>
  <c r="H1869" i="6"/>
  <c r="H1860" i="6"/>
  <c r="G1869" i="6"/>
  <c r="G1860" i="6"/>
  <c r="F1869" i="6"/>
  <c r="F1860" i="6"/>
  <c r="E1860" i="6"/>
  <c r="D1883" i="6" s="1"/>
  <c r="E1869" i="6"/>
  <c r="J1877" i="6" s="1"/>
  <c r="M1814" i="6"/>
  <c r="M1823" i="6"/>
  <c r="L1814" i="6"/>
  <c r="L1823" i="6"/>
  <c r="K1823" i="6"/>
  <c r="K1814" i="6"/>
  <c r="J1814" i="6"/>
  <c r="J1823" i="6"/>
  <c r="I1823" i="6"/>
  <c r="I1814" i="6"/>
  <c r="H1823" i="6"/>
  <c r="H1814" i="6"/>
  <c r="G1814" i="6"/>
  <c r="G1823" i="6"/>
  <c r="F1814" i="6"/>
  <c r="F1823" i="6"/>
  <c r="E1814" i="6"/>
  <c r="D1837" i="6" s="1"/>
  <c r="E1823" i="6"/>
  <c r="J1831" i="6" s="1"/>
  <c r="M1777" i="6"/>
  <c r="M1768" i="6"/>
  <c r="L1777" i="6"/>
  <c r="L1768" i="6"/>
  <c r="K1777" i="6"/>
  <c r="K1768" i="6"/>
  <c r="J1777" i="6"/>
  <c r="J1768" i="6"/>
  <c r="I1768" i="6"/>
  <c r="I1777" i="6"/>
  <c r="H1768" i="6"/>
  <c r="H1777" i="6"/>
  <c r="G1768" i="6"/>
  <c r="G1777" i="6"/>
  <c r="E1777" i="6"/>
  <c r="J1785" i="6" s="1"/>
  <c r="E1768" i="6"/>
  <c r="D1791" i="6" s="1"/>
  <c r="M1722" i="6"/>
  <c r="M1731" i="6"/>
  <c r="L1722" i="6"/>
  <c r="L1731" i="6"/>
  <c r="K1731" i="6"/>
  <c r="K1722" i="6"/>
  <c r="J1722" i="6"/>
  <c r="J1731" i="6"/>
  <c r="I1722" i="6"/>
  <c r="I1731" i="6"/>
  <c r="H1722" i="6"/>
  <c r="H1731" i="6"/>
  <c r="G1722" i="6"/>
  <c r="G1731" i="6"/>
  <c r="F1731" i="6"/>
  <c r="F1722" i="6"/>
  <c r="E1722" i="6"/>
  <c r="D1745" i="6" s="1"/>
  <c r="E1731" i="6"/>
  <c r="J1739" i="6" s="1"/>
  <c r="M1676" i="6"/>
  <c r="M1685" i="6"/>
  <c r="L1676" i="6"/>
  <c r="L1685" i="6"/>
  <c r="K1685" i="6"/>
  <c r="K1676" i="6"/>
  <c r="J1676" i="6"/>
  <c r="J1685" i="6"/>
  <c r="I1676" i="6"/>
  <c r="I1685" i="6"/>
  <c r="H1685" i="6"/>
  <c r="H1676" i="6"/>
  <c r="G1676" i="6"/>
  <c r="G1685" i="6"/>
  <c r="F1676" i="6"/>
  <c r="F1685" i="6"/>
  <c r="E1676" i="6"/>
  <c r="D1699" i="6" s="1"/>
  <c r="E1685" i="6"/>
  <c r="J1693" i="6" s="1"/>
  <c r="M1630" i="6"/>
  <c r="M1639" i="6"/>
  <c r="L1639" i="6"/>
  <c r="L1630" i="6"/>
  <c r="K1630" i="6"/>
  <c r="K1639" i="6"/>
  <c r="J1630" i="6"/>
  <c r="J1639" i="6"/>
  <c r="I1639" i="6"/>
  <c r="I1630" i="6"/>
  <c r="H1630" i="6"/>
  <c r="H1639" i="6"/>
  <c r="G1639" i="6"/>
  <c r="G1630" i="6"/>
  <c r="F1630" i="6"/>
  <c r="F1639" i="6"/>
  <c r="E1630" i="6"/>
  <c r="D1653" i="6" s="1"/>
  <c r="E1639" i="6"/>
  <c r="J1647" i="6" s="1"/>
  <c r="M1584" i="6"/>
  <c r="M1593" i="6"/>
  <c r="L1584" i="6"/>
  <c r="L1593" i="6"/>
  <c r="K1593" i="6"/>
  <c r="K1584" i="6"/>
  <c r="J1584" i="6"/>
  <c r="J1593" i="6"/>
  <c r="I1584" i="6"/>
  <c r="I1593" i="6"/>
  <c r="H1593" i="6"/>
  <c r="H1584" i="6"/>
  <c r="G1584" i="6"/>
  <c r="G1593" i="6"/>
  <c r="F1584" i="6"/>
  <c r="F1593" i="6"/>
  <c r="E1584" i="6"/>
  <c r="D1607" i="6" s="1"/>
  <c r="E1593" i="6"/>
  <c r="J1601" i="6" s="1"/>
  <c r="L1547" i="6"/>
  <c r="L1538" i="6"/>
  <c r="K1547" i="6"/>
  <c r="K1538" i="6"/>
  <c r="J1547" i="6"/>
  <c r="J1538" i="6"/>
  <c r="I1547" i="6"/>
  <c r="I1538" i="6"/>
  <c r="H1547" i="6"/>
  <c r="H1538" i="6"/>
  <c r="G1547" i="6"/>
  <c r="G1538" i="6"/>
  <c r="F1538" i="6"/>
  <c r="F1547" i="6"/>
  <c r="E1547" i="6"/>
  <c r="J1555" i="6" s="1"/>
  <c r="E1538" i="6"/>
  <c r="D1561" i="6" s="1"/>
  <c r="M1492" i="6"/>
  <c r="M1501" i="6"/>
  <c r="L1501" i="6"/>
  <c r="L1492" i="6"/>
  <c r="K1501" i="6"/>
  <c r="K1492" i="6"/>
  <c r="J1501" i="6"/>
  <c r="J1492" i="6"/>
  <c r="I1492" i="6"/>
  <c r="I1501" i="6"/>
  <c r="H1501" i="6"/>
  <c r="H1492" i="6"/>
  <c r="G1492" i="6"/>
  <c r="G1501" i="6"/>
  <c r="F1492" i="6"/>
  <c r="F1501" i="6"/>
  <c r="E1501" i="6"/>
  <c r="J1509" i="6" s="1"/>
  <c r="E1492" i="6"/>
  <c r="D1515" i="6" s="1"/>
  <c r="M1455" i="6"/>
  <c r="M1446" i="6"/>
  <c r="L1455" i="6"/>
  <c r="L1446" i="6"/>
  <c r="K1446" i="6"/>
  <c r="K1455" i="6"/>
  <c r="J1455" i="6"/>
  <c r="J1446" i="6"/>
  <c r="I1446" i="6"/>
  <c r="I1455" i="6"/>
  <c r="H1455" i="6"/>
  <c r="H1446" i="6"/>
  <c r="G1455" i="6"/>
  <c r="G1446" i="6"/>
  <c r="F1446" i="6"/>
  <c r="F1455" i="6"/>
  <c r="E1455" i="6"/>
  <c r="J1463" i="6" s="1"/>
  <c r="E1446" i="6"/>
  <c r="D1469" i="6" s="1"/>
  <c r="M1400" i="6"/>
  <c r="M1409" i="6"/>
  <c r="L1409" i="6"/>
  <c r="L1400" i="6"/>
  <c r="K1400" i="6"/>
  <c r="K1409" i="6"/>
  <c r="J1400" i="6"/>
  <c r="J1409" i="6"/>
  <c r="I1409" i="6"/>
  <c r="I1400" i="6"/>
  <c r="H1409" i="6"/>
  <c r="H1400" i="6"/>
  <c r="G1400" i="6"/>
  <c r="G1409" i="6"/>
  <c r="F1409" i="6"/>
  <c r="F1400" i="6"/>
  <c r="E1400" i="6"/>
  <c r="D1423" i="6" s="1"/>
  <c r="E1409" i="6"/>
  <c r="J1417" i="6" s="1"/>
  <c r="M1354" i="6"/>
  <c r="M1363" i="6"/>
  <c r="L1363" i="6"/>
  <c r="L1354" i="6"/>
  <c r="J1354" i="6"/>
  <c r="J1363" i="6"/>
  <c r="I1354" i="6"/>
  <c r="I1363" i="6"/>
  <c r="H1363" i="6"/>
  <c r="H1354" i="6"/>
  <c r="G1363" i="6"/>
  <c r="G1354" i="6"/>
  <c r="F1354" i="6"/>
  <c r="F1363" i="6"/>
  <c r="E1354" i="6"/>
  <c r="D1377" i="6" s="1"/>
  <c r="E1363" i="6"/>
  <c r="J1371" i="6" s="1"/>
  <c r="M1317" i="6"/>
  <c r="M1308" i="6"/>
  <c r="L1317" i="6"/>
  <c r="L1308" i="6"/>
  <c r="K1308" i="6"/>
  <c r="K1317" i="6"/>
  <c r="J1317" i="6"/>
  <c r="J1308" i="6"/>
  <c r="I1317" i="6"/>
  <c r="I1308" i="6"/>
  <c r="H1308" i="6"/>
  <c r="H1317" i="6"/>
  <c r="G1317" i="6"/>
  <c r="G1308" i="6"/>
  <c r="F1317" i="6"/>
  <c r="F1308" i="6"/>
  <c r="E1317" i="6"/>
  <c r="J1325" i="6" s="1"/>
  <c r="E1308" i="6"/>
  <c r="D1331" i="6" s="1"/>
  <c r="M1271" i="6"/>
  <c r="M1262" i="6"/>
  <c r="L1262" i="6"/>
  <c r="L1271" i="6"/>
  <c r="K1271" i="6"/>
  <c r="K1262" i="6"/>
  <c r="J1262" i="6"/>
  <c r="J1271" i="6"/>
  <c r="I1262" i="6"/>
  <c r="I1271" i="6"/>
  <c r="H1271" i="6"/>
  <c r="H1262" i="6"/>
  <c r="G1262" i="6"/>
  <c r="G1271" i="6"/>
  <c r="F1271" i="6"/>
  <c r="F1262" i="6"/>
  <c r="E1271" i="6"/>
  <c r="J1279" i="6" s="1"/>
  <c r="E1262" i="6"/>
  <c r="D1285" i="6" s="1"/>
  <c r="L1216" i="6"/>
  <c r="L1225" i="6"/>
  <c r="K1216" i="6"/>
  <c r="K1225" i="6"/>
  <c r="J1225" i="6"/>
  <c r="J1216" i="6"/>
  <c r="I1225" i="6"/>
  <c r="I1216" i="6"/>
  <c r="H1225" i="6"/>
  <c r="H1216" i="6"/>
  <c r="G1225" i="6"/>
  <c r="G1216" i="6"/>
  <c r="E1216" i="6"/>
  <c r="D1239" i="6" s="1"/>
  <c r="E1225" i="6"/>
  <c r="J1233" i="6" s="1"/>
  <c r="M1179" i="6"/>
  <c r="M1170" i="6"/>
  <c r="L1170" i="6"/>
  <c r="L1179" i="6"/>
  <c r="K1179" i="6"/>
  <c r="K1170" i="6"/>
  <c r="J1170" i="6"/>
  <c r="J1179" i="6"/>
  <c r="I1179" i="6"/>
  <c r="I1170" i="6"/>
  <c r="H1179" i="6"/>
  <c r="H1170" i="6"/>
  <c r="G1170" i="6"/>
  <c r="G1179" i="6"/>
  <c r="F1179" i="6"/>
  <c r="J1187" i="6" s="1"/>
  <c r="F1170" i="6"/>
  <c r="D1193" i="6" s="1"/>
  <c r="M1133" i="6"/>
  <c r="M1124" i="6"/>
  <c r="L1124" i="6"/>
  <c r="L1133" i="6"/>
  <c r="J1133" i="6"/>
  <c r="J1124" i="6"/>
  <c r="I1133" i="6"/>
  <c r="I1124" i="6"/>
  <c r="H1133" i="6"/>
  <c r="H1124" i="6"/>
  <c r="G1133" i="6"/>
  <c r="G1124" i="6"/>
  <c r="F1133" i="6"/>
  <c r="F1124" i="6"/>
  <c r="E1124" i="6"/>
  <c r="D1147" i="6" s="1"/>
  <c r="E1133" i="6"/>
  <c r="J1141" i="6" s="1"/>
  <c r="M1078" i="6"/>
  <c r="M1087" i="6"/>
  <c r="L1078" i="6"/>
  <c r="L1087" i="6"/>
  <c r="K1087" i="6"/>
  <c r="K1078" i="6"/>
  <c r="J1078" i="6"/>
  <c r="J1087" i="6"/>
  <c r="I1078" i="6"/>
  <c r="I1087" i="6"/>
  <c r="H1078" i="6"/>
  <c r="H1087" i="6"/>
  <c r="G1078" i="6"/>
  <c r="G1087" i="6"/>
  <c r="F1078" i="6"/>
  <c r="F1087" i="6"/>
  <c r="E1078" i="6"/>
  <c r="D1101" i="6" s="1"/>
  <c r="E1087" i="6"/>
  <c r="J1095" i="6" s="1"/>
  <c r="M1041" i="6"/>
  <c r="M1032" i="6"/>
  <c r="L1041" i="6"/>
  <c r="L1032" i="6"/>
  <c r="K1032" i="6"/>
  <c r="K1041" i="6"/>
  <c r="J1041" i="6"/>
  <c r="J1032" i="6"/>
  <c r="I1041" i="6"/>
  <c r="I1032" i="6"/>
  <c r="H1041" i="6"/>
  <c r="H1032" i="6"/>
  <c r="G1041" i="6"/>
  <c r="G1032" i="6"/>
  <c r="F1041" i="6"/>
  <c r="F1032" i="6"/>
  <c r="E1032" i="6"/>
  <c r="D1055" i="6" s="1"/>
  <c r="E1041" i="6"/>
  <c r="J1049" i="6" s="1"/>
  <c r="M986" i="6"/>
  <c r="M995" i="6"/>
  <c r="L986" i="6"/>
  <c r="L995" i="6"/>
  <c r="K995" i="6"/>
  <c r="K986" i="6"/>
  <c r="J986" i="6"/>
  <c r="J995" i="6"/>
  <c r="I995" i="6"/>
  <c r="I986" i="6"/>
  <c r="H986" i="6"/>
  <c r="H995" i="6"/>
  <c r="G986" i="6"/>
  <c r="G995" i="6"/>
  <c r="F995" i="6"/>
  <c r="F986" i="6"/>
  <c r="E995" i="6"/>
  <c r="J1003" i="6" s="1"/>
  <c r="E986" i="6"/>
  <c r="M940" i="6"/>
  <c r="M949" i="6"/>
  <c r="L949" i="6"/>
  <c r="L940" i="6"/>
  <c r="K940" i="6"/>
  <c r="K949" i="6"/>
  <c r="J940" i="6"/>
  <c r="J949" i="6"/>
  <c r="I949" i="6"/>
  <c r="I940" i="6"/>
  <c r="H949" i="6"/>
  <c r="H940" i="6"/>
  <c r="G949" i="6"/>
  <c r="G940" i="6"/>
  <c r="F949" i="6"/>
  <c r="F940" i="6"/>
  <c r="E949" i="6"/>
  <c r="J957" i="6" s="1"/>
  <c r="E940" i="6"/>
  <c r="D963" i="6" s="1"/>
  <c r="L894" i="6"/>
  <c r="L903" i="6"/>
  <c r="K903" i="6"/>
  <c r="K894" i="6"/>
  <c r="J903" i="6"/>
  <c r="J894" i="6"/>
  <c r="I894" i="6"/>
  <c r="I903" i="6"/>
  <c r="H903" i="6"/>
  <c r="H894" i="6"/>
  <c r="G903" i="6"/>
  <c r="G894" i="6"/>
  <c r="F903" i="6"/>
  <c r="F894" i="6"/>
  <c r="E894" i="6"/>
  <c r="D917" i="6" s="1"/>
  <c r="E903" i="6"/>
  <c r="J911" i="6" s="1"/>
  <c r="M848" i="6"/>
  <c r="M857" i="6"/>
  <c r="L848" i="6"/>
  <c r="L857" i="6"/>
  <c r="K857" i="6"/>
  <c r="K848" i="6"/>
  <c r="J848" i="6"/>
  <c r="J857" i="6"/>
  <c r="I857" i="6"/>
  <c r="I848" i="6"/>
  <c r="H848" i="6"/>
  <c r="H857" i="6"/>
  <c r="F848" i="6"/>
  <c r="F857" i="6"/>
  <c r="E857" i="6"/>
  <c r="J865" i="6" s="1"/>
  <c r="E848" i="6"/>
  <c r="D871" i="6" s="1"/>
  <c r="M802" i="6"/>
  <c r="M811" i="6"/>
  <c r="L802" i="6"/>
  <c r="L811" i="6"/>
  <c r="K802" i="6"/>
  <c r="K811" i="6"/>
  <c r="J811" i="6"/>
  <c r="J802" i="6"/>
  <c r="H802" i="6"/>
  <c r="H811" i="6"/>
  <c r="G802" i="6"/>
  <c r="G811" i="6"/>
  <c r="F811" i="6"/>
  <c r="F802" i="6"/>
  <c r="E811" i="6"/>
  <c r="J819" i="6" s="1"/>
  <c r="E802" i="6"/>
  <c r="D825" i="6" s="1"/>
  <c r="L756" i="6"/>
  <c r="L765" i="6"/>
  <c r="K756" i="6"/>
  <c r="K765" i="6"/>
  <c r="J765" i="6"/>
  <c r="J756" i="6"/>
  <c r="I765" i="6"/>
  <c r="I756" i="6"/>
  <c r="H756" i="6"/>
  <c r="H765" i="6"/>
  <c r="G756" i="6"/>
  <c r="G765" i="6"/>
  <c r="F765" i="6"/>
  <c r="F756" i="6"/>
  <c r="E756" i="6"/>
  <c r="D779" i="6" s="1"/>
  <c r="E765" i="6"/>
  <c r="J773" i="6" s="1"/>
  <c r="M719" i="6"/>
  <c r="M710" i="6"/>
  <c r="L719" i="6"/>
  <c r="L710" i="6"/>
  <c r="K719" i="6"/>
  <c r="K710" i="6"/>
  <c r="J719" i="6"/>
  <c r="J710" i="6"/>
  <c r="I719" i="6"/>
  <c r="I710" i="6"/>
  <c r="H719" i="6"/>
  <c r="H710" i="6"/>
  <c r="G710" i="6"/>
  <c r="G719" i="6"/>
  <c r="F719" i="6"/>
  <c r="F710" i="6"/>
  <c r="E710" i="6"/>
  <c r="D733" i="6" s="1"/>
  <c r="E719" i="6"/>
  <c r="J727" i="6" s="1"/>
  <c r="M664" i="6"/>
  <c r="M673" i="6"/>
  <c r="L664" i="6"/>
  <c r="L673" i="6"/>
  <c r="K664" i="6"/>
  <c r="K673" i="6"/>
  <c r="J664" i="6"/>
  <c r="J673" i="6"/>
  <c r="I664" i="6"/>
  <c r="I673" i="6"/>
  <c r="H664" i="6"/>
  <c r="H673" i="6"/>
  <c r="E664" i="6"/>
  <c r="E673" i="6"/>
  <c r="M618" i="6"/>
  <c r="M627" i="6"/>
  <c r="L627" i="6"/>
  <c r="L618" i="6"/>
  <c r="K618" i="6"/>
  <c r="K627" i="6"/>
  <c r="J618" i="6"/>
  <c r="J627" i="6"/>
  <c r="I618" i="6"/>
  <c r="I627" i="6"/>
  <c r="H618" i="6"/>
  <c r="H627" i="6"/>
  <c r="G618" i="6"/>
  <c r="G627" i="6"/>
  <c r="F618" i="6"/>
  <c r="F627" i="6"/>
  <c r="E627" i="6"/>
  <c r="J635" i="6" s="1"/>
  <c r="E618" i="6"/>
  <c r="D641" i="6" s="1"/>
  <c r="M572" i="6"/>
  <c r="M581" i="6"/>
  <c r="L581" i="6"/>
  <c r="L572" i="6"/>
  <c r="K572" i="6"/>
  <c r="K581" i="6"/>
  <c r="J572" i="6"/>
  <c r="J581" i="6"/>
  <c r="I572" i="6"/>
  <c r="I581" i="6"/>
  <c r="H581" i="6"/>
  <c r="H572" i="6"/>
  <c r="G572" i="6"/>
  <c r="G581" i="6"/>
  <c r="F581" i="6"/>
  <c r="F572" i="6"/>
  <c r="E572" i="6"/>
  <c r="D595" i="6" s="1"/>
  <c r="E581" i="6"/>
  <c r="J589" i="6" s="1"/>
  <c r="M535" i="6"/>
  <c r="M526" i="6"/>
  <c r="L526" i="6"/>
  <c r="L535" i="6"/>
  <c r="K526" i="6"/>
  <c r="K535" i="6"/>
  <c r="J526" i="6"/>
  <c r="J535" i="6"/>
  <c r="I535" i="6"/>
  <c r="I526" i="6"/>
  <c r="H526" i="6"/>
  <c r="H535" i="6"/>
  <c r="G526" i="6"/>
  <c r="G535" i="6"/>
  <c r="F526" i="6"/>
  <c r="F535" i="6"/>
  <c r="E526" i="6"/>
  <c r="D549" i="6" s="1"/>
  <c r="E535" i="6"/>
  <c r="J543" i="6" s="1"/>
  <c r="L489" i="6"/>
  <c r="L480" i="6"/>
  <c r="K480" i="6"/>
  <c r="K489" i="6"/>
  <c r="J480" i="6"/>
  <c r="J489" i="6"/>
  <c r="I489" i="6"/>
  <c r="I480" i="6"/>
  <c r="H480" i="6"/>
  <c r="H489" i="6"/>
  <c r="G489" i="6"/>
  <c r="G480" i="6"/>
  <c r="E489" i="6"/>
  <c r="J497" i="6" s="1"/>
  <c r="E480" i="6"/>
  <c r="D503" i="6" s="1"/>
  <c r="L443" i="6"/>
  <c r="L434" i="6"/>
  <c r="K434" i="6"/>
  <c r="K443" i="6"/>
  <c r="J434" i="6"/>
  <c r="J443" i="6"/>
  <c r="I434" i="6"/>
  <c r="I443" i="6"/>
  <c r="H434" i="6"/>
  <c r="H443" i="6"/>
  <c r="G443" i="6"/>
  <c r="G434" i="6"/>
  <c r="F443" i="6"/>
  <c r="F434" i="6"/>
  <c r="E443" i="6"/>
  <c r="J451" i="6" s="1"/>
  <c r="E434" i="6"/>
  <c r="D457" i="6" s="1"/>
  <c r="M397" i="6"/>
  <c r="M388" i="6"/>
  <c r="L397" i="6"/>
  <c r="L388" i="6"/>
  <c r="K388" i="6"/>
  <c r="K397" i="6"/>
  <c r="J397" i="6"/>
  <c r="J388" i="6"/>
  <c r="I397" i="6"/>
  <c r="I388" i="6"/>
  <c r="H397" i="6"/>
  <c r="H388" i="6"/>
  <c r="G397" i="6"/>
  <c r="G388" i="6"/>
  <c r="F388" i="6"/>
  <c r="F397" i="6"/>
  <c r="E397" i="6"/>
  <c r="J405" i="6" s="1"/>
  <c r="E388" i="6"/>
  <c r="D411" i="6" s="1"/>
  <c r="M342" i="6"/>
  <c r="M351" i="6"/>
  <c r="L342" i="6"/>
  <c r="L351" i="6"/>
  <c r="K342" i="6"/>
  <c r="K351" i="6"/>
  <c r="J342" i="6"/>
  <c r="J351" i="6"/>
  <c r="I351" i="6"/>
  <c r="I342" i="6"/>
  <c r="H342" i="6"/>
  <c r="H351" i="6"/>
  <c r="G351" i="6"/>
  <c r="G342" i="6"/>
  <c r="F351" i="6"/>
  <c r="F342" i="6"/>
  <c r="E342" i="6"/>
  <c r="E351" i="6"/>
  <c r="J359" i="6" s="1"/>
  <c r="M305" i="6"/>
  <c r="M296" i="6"/>
  <c r="L305" i="6"/>
  <c r="L296" i="6"/>
  <c r="K296" i="6"/>
  <c r="K305" i="6"/>
  <c r="J305" i="6"/>
  <c r="J296" i="6"/>
  <c r="I296" i="6"/>
  <c r="I305" i="6"/>
  <c r="H296" i="6"/>
  <c r="H305" i="6"/>
  <c r="G305" i="6"/>
  <c r="G296" i="6"/>
  <c r="F296" i="6"/>
  <c r="F305" i="6"/>
  <c r="E296" i="6"/>
  <c r="D319" i="6" s="1"/>
  <c r="E305" i="6"/>
  <c r="J313" i="6" s="1"/>
  <c r="M259" i="6"/>
  <c r="M250" i="6"/>
  <c r="L250" i="6"/>
  <c r="L259" i="6"/>
  <c r="K250" i="6"/>
  <c r="K259" i="6"/>
  <c r="J250" i="6"/>
  <c r="J259" i="6"/>
  <c r="I250" i="6"/>
  <c r="I259" i="6"/>
  <c r="H250" i="6"/>
  <c r="H259" i="6"/>
  <c r="G250" i="6"/>
  <c r="G259" i="6"/>
  <c r="F259" i="6"/>
  <c r="F250" i="6"/>
  <c r="E259" i="6"/>
  <c r="J267" i="6" s="1"/>
  <c r="E250" i="6"/>
  <c r="D273" i="6" s="1"/>
  <c r="M204" i="6"/>
  <c r="M213" i="6"/>
  <c r="L213" i="6"/>
  <c r="L204" i="6"/>
  <c r="K204" i="6"/>
  <c r="K213" i="6"/>
  <c r="J204" i="6"/>
  <c r="J213" i="6"/>
  <c r="I213" i="6"/>
  <c r="I204" i="6"/>
  <c r="H213" i="6"/>
  <c r="H204" i="6"/>
  <c r="G213" i="6"/>
  <c r="G204" i="6"/>
  <c r="F213" i="6"/>
  <c r="F204" i="6"/>
  <c r="E213" i="6"/>
  <c r="J221" i="6" s="1"/>
  <c r="E204" i="6"/>
  <c r="D227" i="6" s="1"/>
  <c r="M167" i="6"/>
  <c r="M158" i="6"/>
  <c r="L167" i="6"/>
  <c r="L158" i="6"/>
  <c r="K167" i="6"/>
  <c r="K158" i="6"/>
  <c r="J167" i="6"/>
  <c r="J158" i="6"/>
  <c r="I158" i="6"/>
  <c r="I167" i="6"/>
  <c r="H158" i="6"/>
  <c r="H167" i="6"/>
  <c r="G158" i="6"/>
  <c r="G167" i="6"/>
  <c r="F167" i="6"/>
  <c r="F158" i="6"/>
  <c r="E167" i="6"/>
  <c r="J175" i="6" s="1"/>
  <c r="E158" i="6"/>
  <c r="D181" i="6" s="1"/>
  <c r="M112" i="6"/>
  <c r="M121" i="6"/>
  <c r="L121" i="6"/>
  <c r="L112" i="6"/>
  <c r="K121" i="6"/>
  <c r="K112" i="6"/>
  <c r="J121" i="6"/>
  <c r="J112" i="6"/>
  <c r="I112" i="6"/>
  <c r="I121" i="6"/>
  <c r="H121" i="6"/>
  <c r="H112" i="6"/>
  <c r="G112" i="6"/>
  <c r="G121" i="6"/>
  <c r="F112" i="6"/>
  <c r="F121" i="6"/>
  <c r="E121" i="6"/>
  <c r="J129" i="6" s="1"/>
  <c r="E112" i="6"/>
  <c r="D135" i="6" s="1"/>
  <c r="M66" i="6"/>
  <c r="M75" i="6"/>
  <c r="L75" i="6"/>
  <c r="L66" i="6"/>
  <c r="K66" i="6"/>
  <c r="K75" i="6"/>
  <c r="J66" i="6"/>
  <c r="J75" i="6"/>
  <c r="I66" i="6"/>
  <c r="I75" i="6"/>
  <c r="H75" i="6"/>
  <c r="H66" i="6"/>
  <c r="G75" i="6"/>
  <c r="G66" i="6"/>
  <c r="F75" i="6"/>
  <c r="F66" i="6"/>
  <c r="E75" i="6"/>
  <c r="J83" i="6" s="1"/>
  <c r="E66" i="6"/>
  <c r="D89" i="6" s="1"/>
  <c r="M29" i="6"/>
  <c r="M20" i="6"/>
  <c r="L20" i="6"/>
  <c r="L29" i="6"/>
  <c r="K20" i="6"/>
  <c r="K29" i="6"/>
  <c r="J29" i="6"/>
  <c r="J20" i="6"/>
  <c r="I29" i="6"/>
  <c r="I20" i="6"/>
  <c r="H29" i="6"/>
  <c r="H20" i="6"/>
  <c r="G29" i="6"/>
  <c r="G20" i="6"/>
  <c r="F29" i="6"/>
  <c r="F20" i="6"/>
  <c r="D2183" i="6" l="1"/>
  <c r="F2183" i="6"/>
  <c r="D343" i="14"/>
  <c r="D2505" i="14"/>
  <c r="D2689" i="14"/>
  <c r="D2781" i="14"/>
  <c r="D2827" i="14"/>
  <c r="D3241" i="14"/>
  <c r="D3333" i="14"/>
  <c r="D3379" i="14"/>
  <c r="D3609" i="14"/>
  <c r="D3655" i="14"/>
  <c r="D3701" i="14"/>
  <c r="K67" i="6"/>
  <c r="J4959" i="6"/>
  <c r="F849" i="6"/>
  <c r="D297" i="6"/>
  <c r="J297" i="6"/>
  <c r="K435" i="6"/>
  <c r="K1125" i="6"/>
  <c r="I895" i="6"/>
  <c r="I1217" i="6"/>
  <c r="M1217" i="6"/>
  <c r="H1217" i="6"/>
  <c r="L1401" i="6"/>
  <c r="G1493" i="6"/>
  <c r="D389" i="6"/>
  <c r="L389" i="6"/>
  <c r="L159" i="14"/>
  <c r="G803" i="14"/>
  <c r="E1631" i="6"/>
  <c r="E481" i="6"/>
  <c r="I2321" i="6"/>
  <c r="F3241" i="6"/>
  <c r="E3241" i="6"/>
  <c r="F3885" i="6"/>
  <c r="K4161" i="6"/>
  <c r="I159" i="14"/>
  <c r="G4483" i="6"/>
  <c r="M4483" i="6"/>
  <c r="E4667" i="6"/>
  <c r="F4667" i="6"/>
  <c r="G4667" i="6"/>
  <c r="E895" i="14"/>
  <c r="D457" i="14"/>
  <c r="H941" i="14"/>
  <c r="L941" i="14"/>
  <c r="F1033" i="14"/>
  <c r="E1033" i="14"/>
  <c r="E2367" i="14"/>
  <c r="G3563" i="14"/>
  <c r="J4023" i="14"/>
  <c r="K1447" i="14"/>
  <c r="G2137" i="14"/>
  <c r="K2321" i="14"/>
  <c r="I2321" i="14"/>
  <c r="F3563" i="14"/>
  <c r="K3977" i="14"/>
  <c r="D779" i="14"/>
  <c r="D503" i="14"/>
  <c r="J221" i="14"/>
  <c r="D4827" i="6"/>
  <c r="D4689" i="6"/>
  <c r="F2459" i="14"/>
  <c r="I2551" i="14"/>
  <c r="F2597" i="14"/>
  <c r="H2689" i="14"/>
  <c r="M2689" i="14"/>
  <c r="J2689" i="14"/>
  <c r="M2735" i="14"/>
  <c r="I2735" i="14"/>
  <c r="H2735" i="14"/>
  <c r="M2827" i="14"/>
  <c r="L2919" i="14"/>
  <c r="E3103" i="14"/>
  <c r="L3103" i="14"/>
  <c r="J3103" i="14"/>
  <c r="H3103" i="14"/>
  <c r="E3149" i="14"/>
  <c r="M3195" i="14"/>
  <c r="G3471" i="14"/>
  <c r="H3333" i="14"/>
  <c r="M3333" i="14"/>
  <c r="L3379" i="14"/>
  <c r="L3563" i="14"/>
  <c r="I3609" i="14"/>
  <c r="G3655" i="14"/>
  <c r="J1417" i="14"/>
  <c r="D1423" i="14"/>
  <c r="D4597" i="6"/>
  <c r="J681" i="6"/>
  <c r="D2711" i="14"/>
  <c r="J3671" i="6"/>
  <c r="D3677" i="6"/>
  <c r="D365" i="6"/>
  <c r="J2751" i="6"/>
  <c r="D687" i="6"/>
  <c r="D38" i="6"/>
  <c r="J38" i="6"/>
  <c r="J360" i="6"/>
  <c r="D360" i="6"/>
  <c r="D84" i="6"/>
  <c r="J84" i="6"/>
  <c r="D590" i="6"/>
  <c r="J590" i="6"/>
  <c r="J636" i="6"/>
  <c r="D636" i="6"/>
  <c r="D774" i="6"/>
  <c r="J774" i="6"/>
  <c r="D820" i="6"/>
  <c r="J820" i="6"/>
  <c r="D866" i="6"/>
  <c r="J866" i="6"/>
  <c r="J130" i="6"/>
  <c r="D130" i="6"/>
  <c r="D314" i="6"/>
  <c r="J314" i="6"/>
  <c r="D452" i="6"/>
  <c r="J452" i="6"/>
  <c r="D1050" i="6"/>
  <c r="J1050" i="6"/>
  <c r="D1096" i="6"/>
  <c r="J1096" i="6"/>
  <c r="D1142" i="6"/>
  <c r="J1142" i="6"/>
  <c r="D1188" i="6"/>
  <c r="J1188" i="6"/>
  <c r="J544" i="6"/>
  <c r="D544" i="6"/>
  <c r="J682" i="6"/>
  <c r="D682" i="6"/>
  <c r="D912" i="6"/>
  <c r="J912" i="6"/>
  <c r="D1234" i="6"/>
  <c r="J1234" i="6"/>
  <c r="D1418" i="6"/>
  <c r="J1418" i="6"/>
  <c r="D1464" i="6"/>
  <c r="J1464" i="6"/>
  <c r="D1510" i="6"/>
  <c r="J1510" i="6"/>
  <c r="D406" i="6"/>
  <c r="J406" i="6"/>
  <c r="J728" i="6"/>
  <c r="D728" i="6"/>
  <c r="D958" i="6"/>
  <c r="J958" i="6"/>
  <c r="J1004" i="6"/>
  <c r="D1004" i="6"/>
  <c r="J1556" i="6"/>
  <c r="D1556" i="6"/>
  <c r="D1602" i="6"/>
  <c r="J1602" i="6"/>
  <c r="D1648" i="6"/>
  <c r="J1648" i="6"/>
  <c r="D1694" i="6"/>
  <c r="J1694" i="6"/>
  <c r="D1740" i="6"/>
  <c r="J1740" i="6"/>
  <c r="D1786" i="6"/>
  <c r="J1786" i="6"/>
  <c r="D1832" i="6"/>
  <c r="J1832" i="6"/>
  <c r="J498" i="6"/>
  <c r="D498" i="6"/>
  <c r="D1326" i="6"/>
  <c r="J1326" i="6"/>
  <c r="D1372" i="6"/>
  <c r="J1372" i="6"/>
  <c r="J1924" i="6"/>
  <c r="D1924" i="6"/>
  <c r="J1970" i="6"/>
  <c r="D1970" i="6"/>
  <c r="D2062" i="6"/>
  <c r="J2062" i="6"/>
  <c r="D2108" i="6"/>
  <c r="J2108" i="6"/>
  <c r="D2154" i="6"/>
  <c r="D2160" i="6" s="1"/>
  <c r="J2154" i="6"/>
  <c r="J2200" i="6"/>
  <c r="D2200" i="6"/>
  <c r="D2246" i="6"/>
  <c r="J2246" i="6"/>
  <c r="D2292" i="6"/>
  <c r="D2298" i="6" s="1"/>
  <c r="J2292" i="6"/>
  <c r="D2338" i="6"/>
  <c r="D2344" i="6" s="1"/>
  <c r="J2338" i="6"/>
  <c r="D2384" i="6"/>
  <c r="D2390" i="6" s="1"/>
  <c r="J2384" i="6"/>
  <c r="D2430" i="6"/>
  <c r="D2436" i="6" s="1"/>
  <c r="J2430" i="6"/>
  <c r="D2476" i="6"/>
  <c r="D2482" i="6" s="1"/>
  <c r="J2476" i="6"/>
  <c r="J1280" i="6"/>
  <c r="D1280" i="6"/>
  <c r="D1286" i="6" s="1"/>
  <c r="J1878" i="6"/>
  <c r="D1878" i="6"/>
  <c r="D1884" i="6" s="1"/>
  <c r="D2016" i="6"/>
  <c r="D2022" i="6" s="1"/>
  <c r="J2016" i="6"/>
  <c r="D2522" i="6"/>
  <c r="D2528" i="6" s="1"/>
  <c r="J2522" i="6"/>
  <c r="D2568" i="6"/>
  <c r="J2568" i="6"/>
  <c r="D2614" i="6"/>
  <c r="J2614" i="6"/>
  <c r="D2660" i="6"/>
  <c r="J2660" i="6"/>
  <c r="D2706" i="6"/>
  <c r="J2706" i="6"/>
  <c r="D2752" i="6"/>
  <c r="J2752" i="6"/>
  <c r="D2798" i="6"/>
  <c r="J2798" i="6"/>
  <c r="D3718" i="6"/>
  <c r="J3718" i="6"/>
  <c r="J2890" i="6"/>
  <c r="D2890" i="6"/>
  <c r="D4040" i="6"/>
  <c r="J4040" i="6"/>
  <c r="J3258" i="6"/>
  <c r="D3258" i="6"/>
  <c r="D3902" i="6"/>
  <c r="J3902" i="6"/>
  <c r="J4086" i="6"/>
  <c r="D4086" i="6"/>
  <c r="D4132" i="6"/>
  <c r="J4132" i="6"/>
  <c r="D4178" i="6"/>
  <c r="J4178" i="6"/>
  <c r="D4224" i="6"/>
  <c r="J4224" i="6"/>
  <c r="D4270" i="6"/>
  <c r="J4270" i="6"/>
  <c r="D4316" i="6"/>
  <c r="J4316" i="6"/>
  <c r="D4362" i="6"/>
  <c r="J4362" i="6"/>
  <c r="J3580" i="6"/>
  <c r="D3580" i="6"/>
  <c r="D4454" i="6"/>
  <c r="J4454" i="6"/>
  <c r="D4500" i="6"/>
  <c r="J4500" i="6"/>
  <c r="D4546" i="6"/>
  <c r="J4546" i="6"/>
  <c r="D4592" i="6"/>
  <c r="J4592" i="6"/>
  <c r="D4638" i="6"/>
  <c r="J4638" i="6"/>
  <c r="D4684" i="6"/>
  <c r="J4684" i="6"/>
  <c r="J3212" i="6"/>
  <c r="D3212" i="6"/>
  <c r="D3994" i="6"/>
  <c r="J3994" i="6"/>
  <c r="J4730" i="6"/>
  <c r="D4730" i="6"/>
  <c r="D4776" i="6"/>
  <c r="J4776" i="6"/>
  <c r="D4822" i="6"/>
  <c r="J4822" i="6"/>
  <c r="D4868" i="6"/>
  <c r="J4868" i="6"/>
  <c r="D4914" i="6"/>
  <c r="J4914" i="6"/>
  <c r="D4960" i="6"/>
  <c r="J4960" i="6"/>
  <c r="D5006" i="6"/>
  <c r="J5006" i="6"/>
  <c r="D2844" i="6"/>
  <c r="J2844" i="6"/>
  <c r="D3166" i="6"/>
  <c r="J3166" i="6"/>
  <c r="D3856" i="6"/>
  <c r="J3856" i="6"/>
  <c r="J3948" i="6"/>
  <c r="D3948" i="6"/>
  <c r="D5052" i="6"/>
  <c r="J5052" i="6"/>
  <c r="D5098" i="6"/>
  <c r="J5098" i="6"/>
  <c r="D5144" i="6"/>
  <c r="D5150" i="6" s="1"/>
  <c r="J5144" i="6"/>
  <c r="D3534" i="6"/>
  <c r="D3540" i="6" s="1"/>
  <c r="J3534" i="6"/>
  <c r="J4408" i="6"/>
  <c r="D4408" i="6"/>
  <c r="D4414" i="6" s="1"/>
  <c r="J38" i="14"/>
  <c r="D38" i="14"/>
  <c r="D44" i="14" s="1"/>
  <c r="D84" i="14"/>
  <c r="D90" i="14" s="1"/>
  <c r="J84" i="14"/>
  <c r="D130" i="14"/>
  <c r="D136" i="14" s="1"/>
  <c r="J130" i="14"/>
  <c r="D176" i="14"/>
  <c r="J176" i="14"/>
  <c r="D222" i="14"/>
  <c r="D228" i="14" s="1"/>
  <c r="J222" i="14"/>
  <c r="D268" i="14"/>
  <c r="D274" i="14" s="1"/>
  <c r="J268" i="14"/>
  <c r="D314" i="14"/>
  <c r="D320" i="14" s="1"/>
  <c r="J314" i="14"/>
  <c r="J3028" i="6"/>
  <c r="D3028" i="6"/>
  <c r="D3034" i="6" s="1"/>
  <c r="D3350" i="6"/>
  <c r="D3356" i="6" s="1"/>
  <c r="J3350" i="6"/>
  <c r="D3396" i="6"/>
  <c r="D3402" i="6" s="1"/>
  <c r="J3396" i="6"/>
  <c r="J360" i="14"/>
  <c r="D360" i="14"/>
  <c r="D366" i="14" s="1"/>
  <c r="D406" i="14"/>
  <c r="D412" i="14" s="1"/>
  <c r="J406" i="14"/>
  <c r="D452" i="14"/>
  <c r="D458" i="14" s="1"/>
  <c r="J452" i="14"/>
  <c r="D498" i="14"/>
  <c r="D504" i="14" s="1"/>
  <c r="J498" i="14"/>
  <c r="D544" i="14"/>
  <c r="D550" i="14" s="1"/>
  <c r="J544" i="14"/>
  <c r="D590" i="14"/>
  <c r="D596" i="14" s="1"/>
  <c r="J590" i="14"/>
  <c r="D636" i="14"/>
  <c r="D642" i="14" s="1"/>
  <c r="J636" i="14"/>
  <c r="D3672" i="6"/>
  <c r="D3678" i="6" s="1"/>
  <c r="J3672" i="6"/>
  <c r="D728" i="14"/>
  <c r="D734" i="14" s="1"/>
  <c r="J728" i="14"/>
  <c r="D774" i="14"/>
  <c r="D780" i="14" s="1"/>
  <c r="J774" i="14"/>
  <c r="D820" i="14"/>
  <c r="D826" i="14" s="1"/>
  <c r="J820" i="14"/>
  <c r="D866" i="14"/>
  <c r="D872" i="14" s="1"/>
  <c r="J866" i="14"/>
  <c r="D912" i="14"/>
  <c r="D918" i="14" s="1"/>
  <c r="J912" i="14"/>
  <c r="D958" i="14"/>
  <c r="D964" i="14" s="1"/>
  <c r="J958" i="14"/>
  <c r="J682" i="14"/>
  <c r="D682" i="14"/>
  <c r="D688" i="14" s="1"/>
  <c r="D1004" i="14"/>
  <c r="D1010" i="14" s="1"/>
  <c r="J1004" i="14"/>
  <c r="D1050" i="14"/>
  <c r="D1056" i="14" s="1"/>
  <c r="J1050" i="14"/>
  <c r="D1096" i="14"/>
  <c r="D1102" i="14" s="1"/>
  <c r="J1096" i="14"/>
  <c r="D1142" i="14"/>
  <c r="D1148" i="14" s="1"/>
  <c r="J1142" i="14"/>
  <c r="D1188" i="14"/>
  <c r="D1194" i="14" s="1"/>
  <c r="J1188" i="14"/>
  <c r="D1234" i="14"/>
  <c r="D1240" i="14" s="1"/>
  <c r="J1234" i="14"/>
  <c r="D2936" i="6"/>
  <c r="J2936" i="6"/>
  <c r="J2982" i="6"/>
  <c r="D2982" i="6"/>
  <c r="D1510" i="14"/>
  <c r="J1510" i="14"/>
  <c r="D1556" i="14"/>
  <c r="J1556" i="14"/>
  <c r="J3074" i="6"/>
  <c r="D3074" i="6"/>
  <c r="D3120" i="6"/>
  <c r="J3120" i="6"/>
  <c r="J3304" i="6"/>
  <c r="D3304" i="6"/>
  <c r="J3442" i="6"/>
  <c r="D3442" i="6"/>
  <c r="J3488" i="6"/>
  <c r="D3488" i="6"/>
  <c r="D1280" i="14"/>
  <c r="J1280" i="14"/>
  <c r="D1326" i="14"/>
  <c r="J1326" i="14"/>
  <c r="D1372" i="14"/>
  <c r="J1372" i="14"/>
  <c r="D1418" i="14"/>
  <c r="J1418" i="14"/>
  <c r="D1464" i="14"/>
  <c r="J1464" i="14"/>
  <c r="J1602" i="14"/>
  <c r="D1602" i="14"/>
  <c r="D1648" i="14"/>
  <c r="J1648" i="14"/>
  <c r="D1694" i="14"/>
  <c r="J1694" i="14"/>
  <c r="D1740" i="14"/>
  <c r="D1746" i="14" s="1"/>
  <c r="J1740" i="14"/>
  <c r="D1786" i="14"/>
  <c r="J1786" i="14"/>
  <c r="D1832" i="14"/>
  <c r="J1832" i="14"/>
  <c r="D1878" i="14"/>
  <c r="J1878" i="14"/>
  <c r="J3626" i="6"/>
  <c r="D3626" i="6"/>
  <c r="D3764" i="6"/>
  <c r="J3764" i="6"/>
  <c r="D3810" i="6"/>
  <c r="J3810" i="6"/>
  <c r="J1924" i="14"/>
  <c r="D1924" i="14"/>
  <c r="D1970" i="14"/>
  <c r="J1970" i="14"/>
  <c r="D2016" i="14"/>
  <c r="J2016" i="14"/>
  <c r="D2062" i="14"/>
  <c r="J2062" i="14"/>
  <c r="D2108" i="14"/>
  <c r="J2108" i="14"/>
  <c r="D2154" i="14"/>
  <c r="J2154" i="14"/>
  <c r="D2200" i="14"/>
  <c r="J2200" i="14"/>
  <c r="D2246" i="14"/>
  <c r="J2246" i="14"/>
  <c r="D2292" i="14"/>
  <c r="J2292" i="14"/>
  <c r="D2338" i="14"/>
  <c r="J2338" i="14"/>
  <c r="D2384" i="14"/>
  <c r="J2384" i="14"/>
  <c r="D2430" i="14"/>
  <c r="J2430" i="14"/>
  <c r="D2476" i="14"/>
  <c r="D2482" i="14" s="1"/>
  <c r="J2476" i="14"/>
  <c r="D2522" i="14"/>
  <c r="J2522" i="14"/>
  <c r="J2568" i="14"/>
  <c r="D2568" i="14"/>
  <c r="D2574" i="14" s="1"/>
  <c r="D2614" i="14"/>
  <c r="J2614" i="14"/>
  <c r="D2660" i="14"/>
  <c r="J2660" i="14"/>
  <c r="D2706" i="14"/>
  <c r="J2706" i="14"/>
  <c r="D2752" i="14"/>
  <c r="J2752" i="14"/>
  <c r="D2798" i="14"/>
  <c r="J2798" i="14"/>
  <c r="D2844" i="14"/>
  <c r="J2844" i="14"/>
  <c r="J2890" i="14"/>
  <c r="D2890" i="14"/>
  <c r="D2936" i="14"/>
  <c r="J2936" i="14"/>
  <c r="D2982" i="14"/>
  <c r="J2982" i="14"/>
  <c r="D3028" i="14"/>
  <c r="J3028" i="14"/>
  <c r="D3074" i="14"/>
  <c r="J3074" i="14"/>
  <c r="D3120" i="14"/>
  <c r="D3126" i="14" s="1"/>
  <c r="J3120" i="14"/>
  <c r="D3166" i="14"/>
  <c r="J3166" i="14"/>
  <c r="D3212" i="14"/>
  <c r="J3212" i="14"/>
  <c r="D3488" i="14"/>
  <c r="J3488" i="14"/>
  <c r="D3258" i="14"/>
  <c r="J3258" i="14"/>
  <c r="D3304" i="14"/>
  <c r="D3310" i="14" s="1"/>
  <c r="J3304" i="14"/>
  <c r="D3350" i="14"/>
  <c r="J3350" i="14"/>
  <c r="D3396" i="14"/>
  <c r="J3396" i="14"/>
  <c r="D3442" i="14"/>
  <c r="J3442" i="14"/>
  <c r="D3534" i="14"/>
  <c r="D3540" i="14" s="1"/>
  <c r="J3534" i="14"/>
  <c r="D3580" i="14"/>
  <c r="J3580" i="14"/>
  <c r="D3626" i="14"/>
  <c r="J3626" i="14"/>
  <c r="D3672" i="14"/>
  <c r="J3672" i="14"/>
  <c r="D3718" i="14"/>
  <c r="J3718" i="14"/>
  <c r="D3764" i="14"/>
  <c r="D3770" i="14" s="1"/>
  <c r="J3764" i="14"/>
  <c r="D3902" i="14"/>
  <c r="D3908" i="14" s="1"/>
  <c r="J3902" i="14"/>
  <c r="D3948" i="14"/>
  <c r="D3954" i="14" s="1"/>
  <c r="J3948" i="14"/>
  <c r="D3994" i="14"/>
  <c r="D4000" i="14" s="1"/>
  <c r="J3994" i="14"/>
  <c r="D4040" i="14"/>
  <c r="J4040" i="14"/>
  <c r="D4086" i="14"/>
  <c r="D4092" i="14" s="1"/>
  <c r="J4086" i="14"/>
  <c r="J3810" i="14"/>
  <c r="D3810" i="14"/>
  <c r="D3856" i="14"/>
  <c r="D3862" i="14" s="1"/>
  <c r="J3856" i="14"/>
  <c r="J4132" i="14"/>
  <c r="D4132" i="14"/>
  <c r="D4138" i="14" s="1"/>
  <c r="D4178" i="14"/>
  <c r="D4184" i="14" s="1"/>
  <c r="J4178" i="14"/>
  <c r="D4224" i="14"/>
  <c r="D4230" i="14" s="1"/>
  <c r="J4224" i="14"/>
  <c r="D4270" i="14"/>
  <c r="J4270" i="14"/>
  <c r="D4316" i="14"/>
  <c r="J4316" i="14"/>
  <c r="D4362" i="14"/>
  <c r="J4362" i="14"/>
  <c r="D4408" i="14"/>
  <c r="J4408" i="14"/>
  <c r="D38" i="16"/>
  <c r="J38" i="16"/>
  <c r="D84" i="16"/>
  <c r="J84" i="16"/>
  <c r="D130" i="16"/>
  <c r="J130" i="16"/>
  <c r="D176" i="6"/>
  <c r="J176" i="6"/>
  <c r="D222" i="6"/>
  <c r="J222" i="6"/>
  <c r="J268" i="6"/>
  <c r="D268" i="6"/>
  <c r="D3747" i="14"/>
  <c r="D3885" i="14"/>
  <c r="D3931" i="14"/>
  <c r="D3977" i="14"/>
  <c r="D4023" i="14"/>
  <c r="D3793" i="14"/>
  <c r="D3839" i="14"/>
  <c r="D4115" i="14"/>
  <c r="D4161" i="14"/>
  <c r="D4207" i="14"/>
  <c r="I4253" i="14"/>
  <c r="D4345" i="14"/>
  <c r="E21" i="6"/>
  <c r="D43" i="6"/>
  <c r="J37" i="6"/>
  <c r="I21" i="6"/>
  <c r="M21" i="6"/>
  <c r="L21" i="6"/>
  <c r="K21" i="6"/>
  <c r="J21" i="6"/>
  <c r="H21" i="6"/>
  <c r="G21" i="6"/>
  <c r="F21" i="6"/>
  <c r="L343" i="6"/>
  <c r="K343" i="6"/>
  <c r="M343" i="6"/>
  <c r="D435" i="6"/>
  <c r="F1033" i="6"/>
  <c r="E1033" i="6"/>
  <c r="J1033" i="6"/>
  <c r="F1079" i="6"/>
  <c r="J1125" i="6"/>
  <c r="G1125" i="6"/>
  <c r="M1171" i="6"/>
  <c r="K1171" i="6"/>
  <c r="M527" i="6"/>
  <c r="H527" i="6"/>
  <c r="L527" i="6"/>
  <c r="H665" i="6"/>
  <c r="E665" i="6"/>
  <c r="K895" i="6"/>
  <c r="I1401" i="6"/>
  <c r="F1447" i="6"/>
  <c r="K1447" i="6"/>
  <c r="J2827" i="14"/>
  <c r="I2827" i="14"/>
  <c r="H2873" i="14"/>
  <c r="I2965" i="14"/>
  <c r="I3011" i="14"/>
  <c r="E3471" i="14"/>
  <c r="K3241" i="14"/>
  <c r="L3425" i="14"/>
  <c r="H3609" i="14"/>
  <c r="F3931" i="14"/>
  <c r="G4023" i="14"/>
  <c r="M3793" i="14"/>
  <c r="G3839" i="14"/>
  <c r="F4115" i="14"/>
  <c r="L4115" i="14"/>
  <c r="G4161" i="14"/>
  <c r="G4207" i="14"/>
  <c r="I4299" i="14"/>
  <c r="J4299" i="14"/>
  <c r="F4345" i="14"/>
  <c r="M67" i="16"/>
  <c r="G67" i="16"/>
  <c r="J497" i="14"/>
  <c r="D319" i="14"/>
  <c r="J83" i="14"/>
  <c r="D3149" i="14"/>
  <c r="D3195" i="14"/>
  <c r="H67" i="6"/>
  <c r="L67" i="6"/>
  <c r="J67" i="6"/>
  <c r="M67" i="6"/>
  <c r="F67" i="6"/>
  <c r="D67" i="6"/>
  <c r="M573" i="6"/>
  <c r="G573" i="6"/>
  <c r="L573" i="6"/>
  <c r="K573" i="6"/>
  <c r="H619" i="6"/>
  <c r="G619" i="6"/>
  <c r="F619" i="6"/>
  <c r="J619" i="6"/>
  <c r="E619" i="6"/>
  <c r="L757" i="6"/>
  <c r="K757" i="6"/>
  <c r="D757" i="6"/>
  <c r="J757" i="6"/>
  <c r="I757" i="6"/>
  <c r="H757" i="6"/>
  <c r="G757" i="6"/>
  <c r="F757" i="6"/>
  <c r="J803" i="6"/>
  <c r="D803" i="6"/>
  <c r="L849" i="6"/>
  <c r="I849" i="6"/>
  <c r="I113" i="6"/>
  <c r="K113" i="6"/>
  <c r="M113" i="6"/>
  <c r="H113" i="6"/>
  <c r="H297" i="6"/>
  <c r="G297" i="6"/>
  <c r="I297" i="6"/>
  <c r="M297" i="6"/>
  <c r="H435" i="6"/>
  <c r="L435" i="6"/>
  <c r="M1033" i="6"/>
  <c r="D1171" i="6"/>
  <c r="L1171" i="6"/>
  <c r="M665" i="6"/>
  <c r="J665" i="6"/>
  <c r="I665" i="6"/>
  <c r="L665" i="6"/>
  <c r="G665" i="6"/>
  <c r="J1401" i="6"/>
  <c r="E1447" i="6"/>
  <c r="L1447" i="6"/>
  <c r="F1493" i="6"/>
  <c r="F3057" i="14"/>
  <c r="G3195" i="14"/>
  <c r="I3793" i="14"/>
  <c r="M389" i="6"/>
  <c r="L711" i="6"/>
  <c r="K711" i="6"/>
  <c r="J711" i="6"/>
  <c r="J941" i="6"/>
  <c r="I941" i="6"/>
  <c r="H941" i="6"/>
  <c r="G941" i="6"/>
  <c r="K941" i="6"/>
  <c r="F941" i="6"/>
  <c r="J987" i="6"/>
  <c r="K987" i="6"/>
  <c r="G987" i="6"/>
  <c r="F987" i="6"/>
  <c r="E987" i="6"/>
  <c r="H1539" i="6"/>
  <c r="I1539" i="6"/>
  <c r="J1539" i="6"/>
  <c r="K1539" i="6"/>
  <c r="E1539" i="6"/>
  <c r="F1585" i="6"/>
  <c r="E1585" i="6"/>
  <c r="K1585" i="6"/>
  <c r="J1585" i="6"/>
  <c r="M1585" i="6"/>
  <c r="F1631" i="6"/>
  <c r="I1631" i="6"/>
  <c r="H1631" i="6"/>
  <c r="G1631" i="6"/>
  <c r="K1631" i="6"/>
  <c r="J1631" i="6"/>
  <c r="M1723" i="6"/>
  <c r="K1723" i="6"/>
  <c r="H1723" i="6"/>
  <c r="G1723" i="6"/>
  <c r="J1769" i="6"/>
  <c r="M1769" i="6"/>
  <c r="L1769" i="6"/>
  <c r="I1769" i="6"/>
  <c r="H1815" i="6"/>
  <c r="E1815" i="6"/>
  <c r="G1815" i="6"/>
  <c r="J3241" i="6"/>
  <c r="G3885" i="6"/>
  <c r="M3885" i="6"/>
  <c r="K4069" i="6"/>
  <c r="L4161" i="6"/>
  <c r="F4161" i="6"/>
  <c r="H4207" i="6"/>
  <c r="I4253" i="6"/>
  <c r="J4253" i="6"/>
  <c r="J4299" i="6"/>
  <c r="F3563" i="6"/>
  <c r="M4529" i="6"/>
  <c r="J4529" i="6"/>
  <c r="F4575" i="6"/>
  <c r="K4575" i="6"/>
  <c r="G4575" i="6"/>
  <c r="K2229" i="14"/>
  <c r="M2275" i="14"/>
  <c r="H2413" i="14"/>
  <c r="L2459" i="14"/>
  <c r="K2735" i="14"/>
  <c r="G2873" i="14"/>
  <c r="I3241" i="14"/>
  <c r="L3609" i="14"/>
  <c r="E3747" i="14"/>
  <c r="I4023" i="14"/>
  <c r="M4023" i="14"/>
  <c r="H4069" i="14"/>
  <c r="L3793" i="14"/>
  <c r="H4207" i="14"/>
  <c r="M481" i="6"/>
  <c r="I481" i="6"/>
  <c r="H481" i="6"/>
  <c r="K481" i="6"/>
  <c r="J481" i="6"/>
  <c r="G481" i="6"/>
  <c r="L1309" i="6"/>
  <c r="G1309" i="6"/>
  <c r="E1309" i="6"/>
  <c r="K1309" i="6"/>
  <c r="K1355" i="6"/>
  <c r="G1907" i="6"/>
  <c r="F1907" i="6"/>
  <c r="L1907" i="6"/>
  <c r="K1907" i="6"/>
  <c r="I1907" i="6"/>
  <c r="H1953" i="6"/>
  <c r="G1953" i="6"/>
  <c r="E1953" i="6"/>
  <c r="I2045" i="6"/>
  <c r="M2045" i="6"/>
  <c r="L2045" i="6"/>
  <c r="K2045" i="6"/>
  <c r="G2091" i="6"/>
  <c r="F2091" i="6"/>
  <c r="E2091" i="6"/>
  <c r="M2091" i="6"/>
  <c r="F2137" i="6"/>
  <c r="I2137" i="6"/>
  <c r="E2183" i="6"/>
  <c r="E2229" i="6"/>
  <c r="I2229" i="6"/>
  <c r="M2229" i="6"/>
  <c r="L2229" i="6"/>
  <c r="K2229" i="6"/>
  <c r="J2229" i="6"/>
  <c r="G2229" i="6"/>
  <c r="F2229" i="6"/>
  <c r="L2275" i="6"/>
  <c r="H2275" i="6"/>
  <c r="G2275" i="6"/>
  <c r="E2275" i="6"/>
  <c r="G2321" i="6"/>
  <c r="K2321" i="6"/>
  <c r="F2321" i="6"/>
  <c r="M2321" i="6"/>
  <c r="L2321" i="6"/>
  <c r="J2321" i="6"/>
  <c r="H1861" i="6"/>
  <c r="F1861" i="6"/>
  <c r="K1999" i="6"/>
  <c r="E1999" i="6"/>
  <c r="G2597" i="6"/>
  <c r="J2597" i="6"/>
  <c r="M2643" i="6"/>
  <c r="L2643" i="6"/>
  <c r="G2643" i="6"/>
  <c r="M2689" i="6"/>
  <c r="I2735" i="6"/>
  <c r="F2735" i="6"/>
  <c r="M2781" i="6"/>
  <c r="L2781" i="6"/>
  <c r="J2781" i="6"/>
  <c r="H2781" i="6"/>
  <c r="E2781" i="6"/>
  <c r="M3701" i="6"/>
  <c r="L3701" i="6"/>
  <c r="J2873" i="6"/>
  <c r="I2873" i="6"/>
  <c r="F2873" i="6"/>
  <c r="H4023" i="6"/>
  <c r="I4023" i="6"/>
  <c r="J4023" i="6"/>
  <c r="F4023" i="6"/>
  <c r="E4023" i="6"/>
  <c r="G3241" i="6"/>
  <c r="L3885" i="6"/>
  <c r="I3885" i="6"/>
  <c r="E4115" i="6"/>
  <c r="H4115" i="6"/>
  <c r="I4115" i="6"/>
  <c r="M4115" i="6"/>
  <c r="E4161" i="6"/>
  <c r="J4161" i="6"/>
  <c r="J4207" i="6"/>
  <c r="M4207" i="6"/>
  <c r="H4253" i="6"/>
  <c r="G4253" i="6"/>
  <c r="M4253" i="6"/>
  <c r="E4299" i="6"/>
  <c r="F4299" i="6"/>
  <c r="H4345" i="6"/>
  <c r="K4345" i="6"/>
  <c r="G3563" i="6"/>
  <c r="E3563" i="6"/>
  <c r="F4437" i="6"/>
  <c r="G4437" i="6"/>
  <c r="J4483" i="6"/>
  <c r="E4483" i="6"/>
  <c r="G4529" i="6"/>
  <c r="I4529" i="6"/>
  <c r="E4529" i="6"/>
  <c r="J4575" i="6"/>
  <c r="H4621" i="6"/>
  <c r="H4667" i="6"/>
  <c r="K4667" i="6"/>
  <c r="M2137" i="14"/>
  <c r="G2275" i="14"/>
  <c r="J2321" i="14"/>
  <c r="I2367" i="14"/>
  <c r="J2413" i="14"/>
  <c r="F2735" i="14"/>
  <c r="H2827" i="14"/>
  <c r="L2827" i="14"/>
  <c r="G2919" i="14"/>
  <c r="K2965" i="14"/>
  <c r="M2965" i="14"/>
  <c r="M3011" i="14"/>
  <c r="H3057" i="14"/>
  <c r="F3103" i="14"/>
  <c r="K3103" i="14"/>
  <c r="G3103" i="14"/>
  <c r="J3425" i="14"/>
  <c r="I3977" i="14"/>
  <c r="K4023" i="14"/>
  <c r="K4115" i="14"/>
  <c r="I4115" i="14"/>
  <c r="E4115" i="14"/>
  <c r="M4161" i="14"/>
  <c r="K4161" i="14"/>
  <c r="J4207" i="14"/>
  <c r="I4391" i="14"/>
  <c r="L21" i="16"/>
  <c r="H2321" i="6"/>
  <c r="E2367" i="6"/>
  <c r="M2367" i="6"/>
  <c r="L2367" i="6"/>
  <c r="K2367" i="6"/>
  <c r="J2367" i="6"/>
  <c r="I2367" i="6"/>
  <c r="H2367" i="6"/>
  <c r="G2367" i="6"/>
  <c r="F2367" i="6"/>
  <c r="K2413" i="6"/>
  <c r="E2413" i="6"/>
  <c r="J2413" i="6"/>
  <c r="M2413" i="6"/>
  <c r="J2459" i="6"/>
  <c r="H2459" i="6"/>
  <c r="E2459" i="6"/>
  <c r="G1263" i="6"/>
  <c r="G1999" i="6"/>
  <c r="G2505" i="6"/>
  <c r="J2505" i="6"/>
  <c r="F2597" i="6"/>
  <c r="F2643" i="6"/>
  <c r="G2781" i="6"/>
  <c r="F3701" i="6"/>
  <c r="I3701" i="6"/>
  <c r="M4023" i="6"/>
  <c r="H3241" i="6"/>
  <c r="K3241" i="6"/>
  <c r="M4069" i="6"/>
  <c r="E4069" i="6"/>
  <c r="M4161" i="6"/>
  <c r="G4161" i="6"/>
  <c r="I4161" i="6"/>
  <c r="L4207" i="6"/>
  <c r="H4299" i="6"/>
  <c r="E4345" i="6"/>
  <c r="I4345" i="6"/>
  <c r="M4437" i="6"/>
  <c r="L4529" i="6"/>
  <c r="K4529" i="6"/>
  <c r="H4529" i="6"/>
  <c r="K2183" i="14"/>
  <c r="H2183" i="14"/>
  <c r="L2183" i="14"/>
  <c r="G2183" i="14"/>
  <c r="E2229" i="14"/>
  <c r="H2229" i="14"/>
  <c r="J2275" i="14"/>
  <c r="I2505" i="14"/>
  <c r="J2597" i="14"/>
  <c r="L2689" i="14"/>
  <c r="E2735" i="14"/>
  <c r="G2827" i="14"/>
  <c r="J2965" i="14"/>
  <c r="E3011" i="14"/>
  <c r="L3011" i="14"/>
  <c r="I3057" i="14"/>
  <c r="M3103" i="14"/>
  <c r="L3471" i="14"/>
  <c r="H3241" i="14"/>
  <c r="E3333" i="14"/>
  <c r="E3517" i="14"/>
  <c r="H3517" i="14"/>
  <c r="E3563" i="14"/>
  <c r="K3609" i="14"/>
  <c r="K3885" i="14"/>
  <c r="K3931" i="14"/>
  <c r="L3977" i="14"/>
  <c r="E4069" i="14"/>
  <c r="E4161" i="14"/>
  <c r="H4299" i="14"/>
  <c r="G4391" i="14"/>
  <c r="G21" i="16"/>
  <c r="L67" i="16"/>
  <c r="J67" i="16"/>
  <c r="D2965" i="14"/>
  <c r="L4667" i="6"/>
  <c r="M4667" i="6"/>
  <c r="I4667" i="6"/>
  <c r="M3195" i="6"/>
  <c r="J3195" i="6"/>
  <c r="I3195" i="6"/>
  <c r="H3195" i="6"/>
  <c r="G3195" i="6"/>
  <c r="E3195" i="6"/>
  <c r="L3195" i="6"/>
  <c r="E3977" i="6"/>
  <c r="L3977" i="6"/>
  <c r="F3977" i="6"/>
  <c r="I3977" i="6"/>
  <c r="K3977" i="6"/>
  <c r="J4759" i="6"/>
  <c r="I4759" i="6"/>
  <c r="F4759" i="6"/>
  <c r="M4759" i="6"/>
  <c r="G4759" i="6"/>
  <c r="K4759" i="6"/>
  <c r="E4759" i="6"/>
  <c r="H4759" i="6"/>
  <c r="I4805" i="6"/>
  <c r="E4805" i="6"/>
  <c r="M4805" i="6"/>
  <c r="G4805" i="6"/>
  <c r="J4805" i="6"/>
  <c r="K4805" i="6"/>
  <c r="H4805" i="6"/>
  <c r="I4851" i="6"/>
  <c r="K4851" i="6"/>
  <c r="J4851" i="6"/>
  <c r="F4851" i="6"/>
  <c r="F4897" i="6"/>
  <c r="K4897" i="6"/>
  <c r="L4897" i="6"/>
  <c r="M4897" i="6"/>
  <c r="E4897" i="6"/>
  <c r="E4943" i="6"/>
  <c r="G4943" i="6"/>
  <c r="F4943" i="6"/>
  <c r="M4943" i="6"/>
  <c r="K4943" i="6"/>
  <c r="J4943" i="6"/>
  <c r="I4943" i="6"/>
  <c r="L4989" i="6"/>
  <c r="M4989" i="6"/>
  <c r="K4989" i="6"/>
  <c r="F4989" i="6"/>
  <c r="F2827" i="6"/>
  <c r="L3149" i="6"/>
  <c r="K3149" i="6"/>
  <c r="J3149" i="6"/>
  <c r="E3149" i="6"/>
  <c r="I3149" i="6"/>
  <c r="F3149" i="6"/>
  <c r="G3839" i="6"/>
  <c r="J67" i="14"/>
  <c r="M159" i="14"/>
  <c r="M3655" i="6"/>
  <c r="G711" i="14"/>
  <c r="L757" i="14"/>
  <c r="M757" i="14"/>
  <c r="F849" i="14"/>
  <c r="E849" i="14"/>
  <c r="H895" i="14"/>
  <c r="E941" i="14"/>
  <c r="F665" i="14"/>
  <c r="F987" i="14"/>
  <c r="M987" i="14"/>
  <c r="I987" i="14"/>
  <c r="H987" i="14"/>
  <c r="L2229" i="14"/>
  <c r="M2413" i="14"/>
  <c r="E2505" i="14"/>
  <c r="F2689" i="14"/>
  <c r="J3609" i="14"/>
  <c r="F3609" i="14"/>
  <c r="E3655" i="14"/>
  <c r="M3885" i="14"/>
  <c r="E3885" i="14"/>
  <c r="J3931" i="14"/>
  <c r="F4069" i="14"/>
  <c r="L3839" i="14"/>
  <c r="K4253" i="14"/>
  <c r="G4253" i="14"/>
  <c r="M4299" i="14"/>
  <c r="K4299" i="14"/>
  <c r="E4391" i="14"/>
  <c r="J405" i="14"/>
  <c r="D89" i="14"/>
  <c r="F3839" i="6"/>
  <c r="M3839" i="6"/>
  <c r="L3839" i="6"/>
  <c r="K3839" i="6"/>
  <c r="E3839" i="6"/>
  <c r="M3931" i="6"/>
  <c r="L3931" i="6"/>
  <c r="J3931" i="6"/>
  <c r="G5035" i="6"/>
  <c r="J5035" i="6"/>
  <c r="M5035" i="6"/>
  <c r="M5081" i="6"/>
  <c r="H5081" i="6"/>
  <c r="G5081" i="6"/>
  <c r="K5127" i="6"/>
  <c r="J5127" i="6"/>
  <c r="I5127" i="6"/>
  <c r="M5127" i="6"/>
  <c r="H5127" i="6"/>
  <c r="L5127" i="6"/>
  <c r="G5127" i="6"/>
  <c r="E5127" i="6"/>
  <c r="L3517" i="6"/>
  <c r="F3517" i="6"/>
  <c r="K3517" i="6"/>
  <c r="E3517" i="6"/>
  <c r="G3517" i="6"/>
  <c r="J3517" i="6"/>
  <c r="I3517" i="6"/>
  <c r="H3517" i="6"/>
  <c r="M3517" i="6"/>
  <c r="F4391" i="6"/>
  <c r="E4391" i="6"/>
  <c r="J4391" i="6"/>
  <c r="K4391" i="6"/>
  <c r="K21" i="14"/>
  <c r="H21" i="14"/>
  <c r="G21" i="14"/>
  <c r="L21" i="14"/>
  <c r="J21" i="14"/>
  <c r="F67" i="14"/>
  <c r="G67" i="14"/>
  <c r="E67" i="14"/>
  <c r="M67" i="14"/>
  <c r="J113" i="14"/>
  <c r="L113" i="14"/>
  <c r="J159" i="14"/>
  <c r="H3655" i="6"/>
  <c r="G3655" i="6"/>
  <c r="J757" i="14"/>
  <c r="K757" i="14"/>
  <c r="F803" i="14"/>
  <c r="G665" i="14"/>
  <c r="J987" i="14"/>
  <c r="G987" i="14"/>
  <c r="I1033" i="14"/>
  <c r="E2137" i="14"/>
  <c r="I2229" i="14"/>
  <c r="H2275" i="14"/>
  <c r="E2413" i="14"/>
  <c r="G2413" i="14"/>
  <c r="M2459" i="14"/>
  <c r="L2505" i="14"/>
  <c r="K2551" i="14"/>
  <c r="L2735" i="14"/>
  <c r="L3195" i="14"/>
  <c r="K3471" i="14"/>
  <c r="M3241" i="14"/>
  <c r="L3241" i="14"/>
  <c r="M3425" i="14"/>
  <c r="M3563" i="14"/>
  <c r="E3793" i="14"/>
  <c r="I4207" i="14"/>
  <c r="H67" i="16"/>
  <c r="D411" i="14"/>
  <c r="K3287" i="14"/>
  <c r="K205" i="14"/>
  <c r="M205" i="14"/>
  <c r="J205" i="14"/>
  <c r="H205" i="14"/>
  <c r="E205" i="14"/>
  <c r="F251" i="14"/>
  <c r="M251" i="14"/>
  <c r="M297" i="14"/>
  <c r="L297" i="14"/>
  <c r="J297" i="14"/>
  <c r="G297" i="14"/>
  <c r="I297" i="14"/>
  <c r="I3333" i="6"/>
  <c r="H3333" i="6"/>
  <c r="G3333" i="6"/>
  <c r="F3333" i="6"/>
  <c r="M3333" i="6"/>
  <c r="L3333" i="6"/>
  <c r="K3333" i="6"/>
  <c r="I3379" i="6"/>
  <c r="H3379" i="6"/>
  <c r="G3379" i="6"/>
  <c r="F3379" i="6"/>
  <c r="E3379" i="6"/>
  <c r="L3379" i="6"/>
  <c r="E389" i="14"/>
  <c r="H389" i="14"/>
  <c r="L435" i="14"/>
  <c r="G435" i="14"/>
  <c r="K435" i="14"/>
  <c r="M435" i="14"/>
  <c r="J435" i="14"/>
  <c r="I481" i="14"/>
  <c r="L481" i="14"/>
  <c r="H527" i="14"/>
  <c r="I527" i="14"/>
  <c r="M527" i="14"/>
  <c r="L527" i="14"/>
  <c r="I573" i="14"/>
  <c r="F573" i="14"/>
  <c r="J573" i="14"/>
  <c r="H573" i="14"/>
  <c r="G573" i="14"/>
  <c r="M619" i="14"/>
  <c r="F619" i="14"/>
  <c r="G619" i="14"/>
  <c r="I619" i="14"/>
  <c r="K619" i="14"/>
  <c r="E711" i="14"/>
  <c r="J711" i="14"/>
  <c r="K803" i="14"/>
  <c r="M849" i="14"/>
  <c r="H849" i="14"/>
  <c r="L895" i="14"/>
  <c r="J895" i="14"/>
  <c r="F941" i="14"/>
  <c r="H665" i="14"/>
  <c r="L987" i="14"/>
  <c r="K987" i="14"/>
  <c r="J2229" i="14"/>
  <c r="E2275" i="14"/>
  <c r="H2321" i="14"/>
  <c r="L2321" i="14"/>
  <c r="J2367" i="14"/>
  <c r="G2367" i="14"/>
  <c r="F2367" i="14"/>
  <c r="G2505" i="14"/>
  <c r="H2597" i="14"/>
  <c r="G2597" i="14"/>
  <c r="F2643" i="14"/>
  <c r="K2689" i="14"/>
  <c r="L2965" i="14"/>
  <c r="F2965" i="14"/>
  <c r="E3195" i="14"/>
  <c r="J3471" i="14"/>
  <c r="F3471" i="14"/>
  <c r="L3333" i="14"/>
  <c r="M3379" i="14"/>
  <c r="E3379" i="14"/>
  <c r="I3425" i="14"/>
  <c r="L3517" i="14"/>
  <c r="H3885" i="14"/>
  <c r="G3885" i="14"/>
  <c r="L3931" i="14"/>
  <c r="G3931" i="14"/>
  <c r="H3977" i="14"/>
  <c r="H4023" i="14"/>
  <c r="J4069" i="14"/>
  <c r="G3793" i="14"/>
  <c r="K3839" i="14"/>
  <c r="G4299" i="14"/>
  <c r="L4299" i="14"/>
  <c r="I4345" i="14"/>
  <c r="K4345" i="14"/>
  <c r="L4391" i="14"/>
  <c r="K67" i="16"/>
  <c r="D4091" i="14"/>
  <c r="H1033" i="14"/>
  <c r="J1033" i="14"/>
  <c r="K1033" i="14"/>
  <c r="M1079" i="14"/>
  <c r="I1079" i="14"/>
  <c r="J1125" i="14"/>
  <c r="M1125" i="14"/>
  <c r="G1125" i="14"/>
  <c r="M1171" i="14"/>
  <c r="E1217" i="14"/>
  <c r="L1217" i="14"/>
  <c r="H1217" i="14"/>
  <c r="G1217" i="14"/>
  <c r="F1217" i="14"/>
  <c r="K1217" i="14"/>
  <c r="J1217" i="14"/>
  <c r="L2919" i="6"/>
  <c r="K2919" i="6"/>
  <c r="H2919" i="6"/>
  <c r="J2919" i="6"/>
  <c r="G2919" i="6"/>
  <c r="M2919" i="6"/>
  <c r="E2965" i="6"/>
  <c r="L2965" i="6"/>
  <c r="G1493" i="14"/>
  <c r="I1493" i="14"/>
  <c r="K1493" i="14"/>
  <c r="E1493" i="14"/>
  <c r="M1493" i="14"/>
  <c r="G1539" i="14"/>
  <c r="K1539" i="14"/>
  <c r="F1539" i="14"/>
  <c r="E1539" i="14"/>
  <c r="I1539" i="14"/>
  <c r="M1539" i="14"/>
  <c r="I3057" i="6"/>
  <c r="M3057" i="6"/>
  <c r="L3057" i="6"/>
  <c r="K3057" i="6"/>
  <c r="J3057" i="6"/>
  <c r="H3057" i="6"/>
  <c r="G3057" i="6"/>
  <c r="F3057" i="6"/>
  <c r="E3057" i="6"/>
  <c r="J3103" i="6"/>
  <c r="M3103" i="6"/>
  <c r="G3287" i="6"/>
  <c r="J3425" i="6"/>
  <c r="I3425" i="6"/>
  <c r="H3425" i="6"/>
  <c r="K3471" i="6"/>
  <c r="J3471" i="6"/>
  <c r="I3471" i="6"/>
  <c r="L3471" i="6"/>
  <c r="H3471" i="6"/>
  <c r="M3471" i="6"/>
  <c r="H1263" i="14"/>
  <c r="G1263" i="14"/>
  <c r="F1263" i="14"/>
  <c r="L1263" i="14"/>
  <c r="J1263" i="14"/>
  <c r="K1263" i="14"/>
  <c r="I1263" i="14"/>
  <c r="M1309" i="14"/>
  <c r="F1309" i="14"/>
  <c r="H1309" i="14"/>
  <c r="K1355" i="14"/>
  <c r="J1355" i="14"/>
  <c r="F1355" i="14"/>
  <c r="H1355" i="14"/>
  <c r="G1401" i="14"/>
  <c r="L1401" i="14"/>
  <c r="J1401" i="14"/>
  <c r="M1401" i="14"/>
  <c r="M1447" i="14"/>
  <c r="J1447" i="14"/>
  <c r="I1447" i="14"/>
  <c r="G1447" i="14"/>
  <c r="E1447" i="14"/>
  <c r="F1447" i="14"/>
  <c r="L1447" i="14"/>
  <c r="M1585" i="14"/>
  <c r="L1585" i="14"/>
  <c r="G1585" i="14"/>
  <c r="K1585" i="14"/>
  <c r="J1585" i="14"/>
  <c r="E1585" i="14"/>
  <c r="M1631" i="14"/>
  <c r="G1631" i="14"/>
  <c r="F1631" i="14"/>
  <c r="H1631" i="14"/>
  <c r="J1631" i="14"/>
  <c r="E1677" i="14"/>
  <c r="K1677" i="14"/>
  <c r="L1677" i="14"/>
  <c r="M1677" i="14"/>
  <c r="J1677" i="14"/>
  <c r="G1677" i="14"/>
  <c r="H1677" i="14"/>
  <c r="E1723" i="14"/>
  <c r="F1723" i="14"/>
  <c r="G1723" i="14"/>
  <c r="K1723" i="14"/>
  <c r="H1723" i="14"/>
  <c r="F1769" i="14"/>
  <c r="M1769" i="14"/>
  <c r="K1769" i="14"/>
  <c r="I1769" i="14"/>
  <c r="G1769" i="14"/>
  <c r="M1815" i="14"/>
  <c r="F1815" i="14"/>
  <c r="J1815" i="14"/>
  <c r="I1815" i="14"/>
  <c r="M1861" i="14"/>
  <c r="F1861" i="14"/>
  <c r="K1861" i="14"/>
  <c r="H1861" i="14"/>
  <c r="J1861" i="14"/>
  <c r="K3609" i="6"/>
  <c r="G3609" i="6"/>
  <c r="F3609" i="6"/>
  <c r="E3609" i="6"/>
  <c r="K3747" i="6"/>
  <c r="M3747" i="6"/>
  <c r="F3747" i="6"/>
  <c r="L3747" i="6"/>
  <c r="J3747" i="6"/>
  <c r="J3793" i="6"/>
  <c r="M1907" i="14"/>
  <c r="E1907" i="14"/>
  <c r="G1907" i="14"/>
  <c r="I1907" i="14"/>
  <c r="K1907" i="14"/>
  <c r="J1907" i="14"/>
  <c r="H1953" i="14"/>
  <c r="K1953" i="14"/>
  <c r="I1953" i="14"/>
  <c r="G1953" i="14"/>
  <c r="F1953" i="14"/>
  <c r="K1999" i="14"/>
  <c r="L1999" i="14"/>
  <c r="M1999" i="14"/>
  <c r="E2045" i="14"/>
  <c r="G2045" i="14"/>
  <c r="H2045" i="14"/>
  <c r="K2045" i="14"/>
  <c r="M2045" i="14"/>
  <c r="H2091" i="14"/>
  <c r="E2091" i="14"/>
  <c r="L2091" i="14"/>
  <c r="I2091" i="14"/>
  <c r="G2091" i="14"/>
  <c r="K2137" i="14"/>
  <c r="H2137" i="14"/>
  <c r="G2229" i="14"/>
  <c r="I2275" i="14"/>
  <c r="M2321" i="14"/>
  <c r="F2321" i="14"/>
  <c r="M2367" i="14"/>
  <c r="E2643" i="14"/>
  <c r="J2735" i="14"/>
  <c r="L2781" i="14"/>
  <c r="E2781" i="14"/>
  <c r="I2781" i="14"/>
  <c r="E2827" i="14"/>
  <c r="F3011" i="14"/>
  <c r="I3103" i="14"/>
  <c r="M3149" i="14"/>
  <c r="J313" i="14"/>
  <c r="F67" i="16"/>
  <c r="I113" i="16"/>
  <c r="J113" i="16"/>
  <c r="H113" i="16"/>
  <c r="M113" i="16"/>
  <c r="G113" i="16"/>
  <c r="L113" i="16"/>
  <c r="F113" i="16"/>
  <c r="K113" i="16"/>
  <c r="E113" i="16"/>
  <c r="E159" i="6"/>
  <c r="J159" i="6"/>
  <c r="L159" i="6"/>
  <c r="G159" i="6"/>
  <c r="H159" i="6"/>
  <c r="D159" i="6"/>
  <c r="J205" i="6"/>
  <c r="E205" i="6"/>
  <c r="D205" i="6"/>
  <c r="I205" i="6"/>
  <c r="H205" i="6"/>
  <c r="G205" i="6"/>
  <c r="M205" i="6"/>
  <c r="L205" i="6"/>
  <c r="H251" i="6"/>
  <c r="G251" i="6"/>
  <c r="F251" i="6"/>
  <c r="E251" i="6"/>
  <c r="D251" i="6"/>
  <c r="M251" i="6"/>
  <c r="L251" i="6"/>
  <c r="K251" i="6"/>
  <c r="J251" i="6"/>
  <c r="I251" i="6"/>
  <c r="D4275" i="14"/>
  <c r="D3999" i="14"/>
  <c r="J3993" i="14"/>
  <c r="D3011" i="14"/>
  <c r="J3027" i="14"/>
  <c r="D3033" i="14"/>
  <c r="D5103" i="6"/>
  <c r="J5097" i="6"/>
  <c r="M2873" i="14"/>
  <c r="D3057" i="14"/>
  <c r="I2873" i="14"/>
  <c r="D1009" i="6"/>
  <c r="D343" i="6"/>
  <c r="D573" i="6"/>
  <c r="D619" i="6"/>
  <c r="D1033" i="6"/>
  <c r="D1079" i="6"/>
  <c r="D1125" i="6"/>
  <c r="E1171" i="6"/>
  <c r="D527" i="6"/>
  <c r="D665" i="6"/>
  <c r="D895" i="6"/>
  <c r="D1217" i="6"/>
  <c r="F1217" i="6"/>
  <c r="D1447" i="6"/>
  <c r="D711" i="6"/>
  <c r="D941" i="6"/>
  <c r="D987" i="6"/>
  <c r="D1539" i="6"/>
  <c r="D1585" i="6"/>
  <c r="D1631" i="6"/>
  <c r="D1677" i="6"/>
  <c r="D1723" i="6"/>
  <c r="D1769" i="6"/>
  <c r="D1815" i="6"/>
  <c r="D481" i="6"/>
  <c r="D1309" i="6"/>
  <c r="D1355" i="6"/>
  <c r="D1907" i="6"/>
  <c r="D1953" i="6"/>
  <c r="D2045" i="6"/>
  <c r="D2091" i="6"/>
  <c r="K2183" i="6"/>
  <c r="I2183" i="6"/>
  <c r="D2229" i="6"/>
  <c r="D2275" i="6"/>
  <c r="D2321" i="6"/>
  <c r="D2367" i="6"/>
  <c r="D2413" i="6"/>
  <c r="D2459" i="6"/>
  <c r="D1263" i="6"/>
  <c r="D1861" i="6"/>
  <c r="D1999" i="6"/>
  <c r="D2505" i="6"/>
  <c r="D2551" i="6"/>
  <c r="D2597" i="6"/>
  <c r="D2643" i="6"/>
  <c r="D2689" i="6"/>
  <c r="D2735" i="6"/>
  <c r="D2781" i="6"/>
  <c r="D2873" i="6"/>
  <c r="D3241" i="6"/>
  <c r="D3885" i="6"/>
  <c r="D4069" i="6"/>
  <c r="D4115" i="6"/>
  <c r="D4161" i="6"/>
  <c r="D4207" i="6"/>
  <c r="D4253" i="6"/>
  <c r="D4299" i="6"/>
  <c r="D3563" i="6"/>
  <c r="D4437" i="6"/>
  <c r="D4483" i="6"/>
  <c r="D4529" i="6"/>
  <c r="D4575" i="6"/>
  <c r="D4621" i="6"/>
  <c r="D4667" i="6"/>
  <c r="D3195" i="6"/>
  <c r="D3977" i="6"/>
  <c r="J4713" i="6"/>
  <c r="K4713" i="6"/>
  <c r="D4759" i="6"/>
  <c r="D4805" i="6"/>
  <c r="D4851" i="6"/>
  <c r="D4897" i="6"/>
  <c r="D4943" i="6"/>
  <c r="D4989" i="6"/>
  <c r="D2827" i="6"/>
  <c r="D3149" i="6"/>
  <c r="D3839" i="6"/>
  <c r="D3931" i="6"/>
  <c r="D5035" i="6"/>
  <c r="D5081" i="6"/>
  <c r="D5127" i="6"/>
  <c r="D3517" i="6"/>
  <c r="D4391" i="6"/>
  <c r="D21" i="14"/>
  <c r="D67" i="14"/>
  <c r="D159" i="14"/>
  <c r="D205" i="14"/>
  <c r="D251" i="14"/>
  <c r="D297" i="14"/>
  <c r="D3011" i="6"/>
  <c r="D3333" i="6"/>
  <c r="D3379" i="6"/>
  <c r="L343" i="14"/>
  <c r="I343" i="14"/>
  <c r="D389" i="14"/>
  <c r="D435" i="14"/>
  <c r="D481" i="14"/>
  <c r="D527" i="14"/>
  <c r="D573" i="14"/>
  <c r="D3655" i="6"/>
  <c r="D711" i="14"/>
  <c r="E803" i="14"/>
  <c r="D665" i="14"/>
  <c r="D1079" i="14"/>
  <c r="D1125" i="14"/>
  <c r="D1171" i="14"/>
  <c r="D2919" i="6"/>
  <c r="F2919" i="6"/>
  <c r="D2965" i="6"/>
  <c r="D1493" i="14"/>
  <c r="D3057" i="6"/>
  <c r="D3103" i="6"/>
  <c r="D3287" i="6"/>
  <c r="D3425" i="6"/>
  <c r="D3471" i="6"/>
  <c r="D1263" i="14"/>
  <c r="D1309" i="14"/>
  <c r="D1355" i="14"/>
  <c r="D1401" i="14"/>
  <c r="D1447" i="14"/>
  <c r="D1677" i="14"/>
  <c r="D1769" i="14"/>
  <c r="D1815" i="14"/>
  <c r="D3609" i="6"/>
  <c r="D3747" i="6"/>
  <c r="D3793" i="6"/>
  <c r="D1907" i="14"/>
  <c r="D1953" i="14"/>
  <c r="D1999" i="14"/>
  <c r="D2045" i="14"/>
  <c r="D2091" i="14"/>
  <c r="D2137" i="14"/>
  <c r="D2183" i="14"/>
  <c r="D2229" i="14"/>
  <c r="D2275" i="14"/>
  <c r="D2321" i="14"/>
  <c r="D2367" i="14"/>
  <c r="D2413" i="14"/>
  <c r="D2643" i="14"/>
  <c r="D1516" i="6" l="1"/>
  <c r="D412" i="6"/>
  <c r="D2574" i="6"/>
  <c r="D2712" i="6"/>
  <c r="D2758" i="6"/>
  <c r="D2896" i="6"/>
  <c r="D3908" i="6"/>
  <c r="D4138" i="6"/>
  <c r="D4276" i="6"/>
  <c r="D3586" i="6"/>
  <c r="D4506" i="6"/>
  <c r="D5104" i="6"/>
  <c r="D182" i="14"/>
  <c r="D4598" i="6"/>
  <c r="D4644" i="6"/>
  <c r="D4690" i="6"/>
  <c r="D3218" i="6"/>
  <c r="D4000" i="6"/>
  <c r="D4736" i="6"/>
  <c r="D4782" i="6"/>
  <c r="D4828" i="6"/>
  <c r="D4874" i="6"/>
  <c r="D4920" i="6"/>
  <c r="D4966" i="6"/>
  <c r="D5012" i="6"/>
  <c r="D2850" i="6"/>
  <c r="D3172" i="6"/>
  <c r="D3862" i="6"/>
  <c r="D3954" i="6"/>
  <c r="D5058" i="6"/>
  <c r="D2942" i="6"/>
  <c r="D2988" i="6"/>
  <c r="D1516" i="14"/>
  <c r="D1562" i="14"/>
  <c r="D3080" i="6"/>
  <c r="D3126" i="6"/>
  <c r="D3310" i="6"/>
  <c r="D3448" i="6"/>
  <c r="D3494" i="6"/>
  <c r="D1286" i="14"/>
  <c r="D1332" i="14"/>
  <c r="D1378" i="14"/>
  <c r="D1424" i="14"/>
  <c r="D1470" i="14"/>
  <c r="D1608" i="14"/>
  <c r="D1654" i="14"/>
  <c r="D1700" i="14"/>
  <c r="D1792" i="14"/>
  <c r="D1838" i="14"/>
  <c r="D1884" i="14"/>
  <c r="D3632" i="6"/>
  <c r="D3770" i="6"/>
  <c r="D3816" i="6"/>
  <c r="D1930" i="14"/>
  <c r="D1976" i="14"/>
  <c r="J1965" i="14" s="1"/>
  <c r="J1966" i="14" s="1"/>
  <c r="D2022" i="14"/>
  <c r="D2068" i="14"/>
  <c r="D2114" i="14"/>
  <c r="D2160" i="14"/>
  <c r="D2344" i="14"/>
  <c r="D2390" i="14"/>
  <c r="D2436" i="14"/>
  <c r="D2666" i="14"/>
  <c r="D2804" i="14"/>
  <c r="D2942" i="14"/>
  <c r="D3080" i="14"/>
  <c r="D3494" i="14"/>
  <c r="D3264" i="14"/>
  <c r="D3356" i="14"/>
  <c r="D3402" i="14"/>
  <c r="D3448" i="14"/>
  <c r="D3586" i="14"/>
  <c r="D3632" i="14"/>
  <c r="D3678" i="14"/>
  <c r="D3724" i="14"/>
  <c r="D4046" i="14"/>
  <c r="D3816" i="14"/>
  <c r="D4276" i="14"/>
  <c r="D4322" i="14"/>
  <c r="D4368" i="14"/>
  <c r="D4414" i="14"/>
  <c r="D44" i="16"/>
  <c r="D90" i="16"/>
  <c r="D136" i="16"/>
  <c r="D182" i="6"/>
  <c r="D228" i="6"/>
  <c r="D274" i="6"/>
  <c r="J1511" i="6"/>
  <c r="D1504" i="6" s="1"/>
  <c r="J1505" i="6"/>
  <c r="J1506" i="6" s="1"/>
  <c r="J407" i="6"/>
  <c r="D400" i="6" s="1"/>
  <c r="J401" i="6"/>
  <c r="J402" i="6" s="1"/>
  <c r="J2155" i="6"/>
  <c r="D2148" i="6" s="1"/>
  <c r="J2149" i="6"/>
  <c r="J2150" i="6" s="1"/>
  <c r="J2293" i="6"/>
  <c r="D2286" i="6" s="1"/>
  <c r="J2287" i="6"/>
  <c r="J2288" i="6" s="1"/>
  <c r="J2339" i="6"/>
  <c r="D2332" i="6" s="1"/>
  <c r="J2333" i="6"/>
  <c r="J2334" i="6" s="1"/>
  <c r="J2385" i="6"/>
  <c r="D2378" i="6" s="1"/>
  <c r="J2379" i="6"/>
  <c r="J2380" i="6" s="1"/>
  <c r="J2431" i="6"/>
  <c r="D2424" i="6" s="1"/>
  <c r="J2425" i="6"/>
  <c r="J2426" i="6" s="1"/>
  <c r="J2477" i="6"/>
  <c r="D2470" i="6" s="1"/>
  <c r="J2471" i="6"/>
  <c r="J2472" i="6" s="1"/>
  <c r="J1281" i="6"/>
  <c r="D1274" i="6" s="1"/>
  <c r="J1275" i="6"/>
  <c r="J1276" i="6" s="1"/>
  <c r="J1879" i="6"/>
  <c r="D1872" i="6" s="1"/>
  <c r="J1873" i="6"/>
  <c r="J1874" i="6" s="1"/>
  <c r="J2017" i="6"/>
  <c r="D2010" i="6" s="1"/>
  <c r="J2011" i="6"/>
  <c r="J2012" i="6" s="1"/>
  <c r="J2523" i="6"/>
  <c r="D2516" i="6" s="1"/>
  <c r="J2517" i="6"/>
  <c r="J2518" i="6" s="1"/>
  <c r="J2569" i="6"/>
  <c r="D2562" i="6" s="1"/>
  <c r="J2563" i="6"/>
  <c r="J2564" i="6" s="1"/>
  <c r="J2707" i="6"/>
  <c r="D2700" i="6" s="1"/>
  <c r="J2701" i="6"/>
  <c r="J2702" i="6" s="1"/>
  <c r="J2753" i="6"/>
  <c r="D2746" i="6" s="1"/>
  <c r="J2747" i="6"/>
  <c r="J2748" i="6" s="1"/>
  <c r="J2891" i="6"/>
  <c r="D2884" i="6" s="1"/>
  <c r="J2885" i="6"/>
  <c r="J2886" i="6" s="1"/>
  <c r="J3903" i="6"/>
  <c r="D3896" i="6" s="1"/>
  <c r="J3897" i="6"/>
  <c r="J3898" i="6" s="1"/>
  <c r="J4133" i="6"/>
  <c r="D4126" i="6" s="1"/>
  <c r="J4127" i="6"/>
  <c r="J4128" i="6" s="1"/>
  <c r="J4271" i="6"/>
  <c r="D4264" i="6" s="1"/>
  <c r="J4265" i="6"/>
  <c r="J4266" i="6" s="1"/>
  <c r="J3581" i="6"/>
  <c r="D3574" i="6" s="1"/>
  <c r="J3575" i="6"/>
  <c r="J3576" i="6" s="1"/>
  <c r="J4501" i="6"/>
  <c r="D4494" i="6" s="1"/>
  <c r="J4495" i="6"/>
  <c r="J4496" i="6" s="1"/>
  <c r="J4593" i="6"/>
  <c r="D4586" i="6" s="1"/>
  <c r="J4587" i="6"/>
  <c r="J4588" i="6" s="1"/>
  <c r="J4639" i="6"/>
  <c r="D4632" i="6" s="1"/>
  <c r="J4633" i="6"/>
  <c r="J4634" i="6" s="1"/>
  <c r="J4685" i="6"/>
  <c r="D4678" i="6" s="1"/>
  <c r="J4679" i="6"/>
  <c r="J4680" i="6" s="1"/>
  <c r="J3213" i="6"/>
  <c r="D3206" i="6" s="1"/>
  <c r="J3207" i="6"/>
  <c r="J3208" i="6" s="1"/>
  <c r="J3995" i="6"/>
  <c r="D3988" i="6" s="1"/>
  <c r="J3989" i="6"/>
  <c r="J3990" i="6" s="1"/>
  <c r="J4731" i="6"/>
  <c r="D4724" i="6" s="1"/>
  <c r="J4725" i="6"/>
  <c r="J4726" i="6" s="1"/>
  <c r="J4777" i="6"/>
  <c r="D4770" i="6" s="1"/>
  <c r="J4771" i="6"/>
  <c r="J4772" i="6" s="1"/>
  <c r="J4823" i="6"/>
  <c r="D4816" i="6" s="1"/>
  <c r="J4817" i="6"/>
  <c r="J4818" i="6" s="1"/>
  <c r="J4869" i="6"/>
  <c r="D4862" i="6" s="1"/>
  <c r="J4863" i="6"/>
  <c r="J4864" i="6" s="1"/>
  <c r="J4915" i="6"/>
  <c r="D4908" i="6" s="1"/>
  <c r="J4909" i="6"/>
  <c r="J4910" i="6" s="1"/>
  <c r="J4961" i="6"/>
  <c r="D4954" i="6" s="1"/>
  <c r="J4955" i="6"/>
  <c r="J4956" i="6" s="1"/>
  <c r="J5007" i="6"/>
  <c r="D5000" i="6" s="1"/>
  <c r="J5001" i="6"/>
  <c r="J5002" i="6" s="1"/>
  <c r="J2845" i="6"/>
  <c r="D2838" i="6" s="1"/>
  <c r="J2839" i="6"/>
  <c r="J2840" i="6" s="1"/>
  <c r="J3167" i="6"/>
  <c r="D3160" i="6" s="1"/>
  <c r="J3161" i="6"/>
  <c r="J3162" i="6" s="1"/>
  <c r="J3857" i="6"/>
  <c r="D3850" i="6" s="1"/>
  <c r="J3851" i="6"/>
  <c r="J3852" i="6" s="1"/>
  <c r="J3949" i="6"/>
  <c r="D3942" i="6" s="1"/>
  <c r="J3943" i="6"/>
  <c r="J3944" i="6" s="1"/>
  <c r="J5053" i="6"/>
  <c r="D5046" i="6" s="1"/>
  <c r="J5047" i="6"/>
  <c r="J5048" i="6" s="1"/>
  <c r="J5099" i="6"/>
  <c r="D5092" i="6" s="1"/>
  <c r="J5093" i="6"/>
  <c r="J5094" i="6" s="1"/>
  <c r="J5145" i="6"/>
  <c r="D5138" i="6" s="1"/>
  <c r="J5139" i="6"/>
  <c r="J5140" i="6" s="1"/>
  <c r="J3535" i="6"/>
  <c r="D3528" i="6" s="1"/>
  <c r="J3529" i="6"/>
  <c r="J3530" i="6" s="1"/>
  <c r="J4409" i="6"/>
  <c r="D4402" i="6" s="1"/>
  <c r="J4403" i="6"/>
  <c r="J4404" i="6" s="1"/>
  <c r="J39" i="14"/>
  <c r="D32" i="14" s="1"/>
  <c r="J33" i="14"/>
  <c r="J34" i="14" s="1"/>
  <c r="J85" i="14"/>
  <c r="D78" i="14" s="1"/>
  <c r="J79" i="14"/>
  <c r="J80" i="14" s="1"/>
  <c r="J131" i="14"/>
  <c r="D124" i="14" s="1"/>
  <c r="J125" i="14"/>
  <c r="J126" i="14" s="1"/>
  <c r="J177" i="14"/>
  <c r="D170" i="14" s="1"/>
  <c r="J171" i="14"/>
  <c r="J172" i="14" s="1"/>
  <c r="J223" i="14"/>
  <c r="D216" i="14" s="1"/>
  <c r="J217" i="14"/>
  <c r="J218" i="14" s="1"/>
  <c r="J269" i="14"/>
  <c r="D262" i="14" s="1"/>
  <c r="J263" i="14"/>
  <c r="J264" i="14" s="1"/>
  <c r="J315" i="14"/>
  <c r="D308" i="14" s="1"/>
  <c r="J309" i="14"/>
  <c r="J310" i="14" s="1"/>
  <c r="J3029" i="6"/>
  <c r="D3022" i="6" s="1"/>
  <c r="J3023" i="6"/>
  <c r="J3024" i="6" s="1"/>
  <c r="J3351" i="6"/>
  <c r="D3344" i="6" s="1"/>
  <c r="J3345" i="6"/>
  <c r="J3346" i="6" s="1"/>
  <c r="J3397" i="6"/>
  <c r="D3390" i="6" s="1"/>
  <c r="J3391" i="6"/>
  <c r="J3392" i="6" s="1"/>
  <c r="J361" i="14"/>
  <c r="D354" i="14" s="1"/>
  <c r="J355" i="14"/>
  <c r="J356" i="14" s="1"/>
  <c r="J407" i="14"/>
  <c r="D400" i="14" s="1"/>
  <c r="J401" i="14"/>
  <c r="J402" i="14" s="1"/>
  <c r="J453" i="14"/>
  <c r="D446" i="14" s="1"/>
  <c r="J447" i="14"/>
  <c r="J448" i="14" s="1"/>
  <c r="J499" i="14"/>
  <c r="D492" i="14" s="1"/>
  <c r="J493" i="14"/>
  <c r="J494" i="14" s="1"/>
  <c r="J545" i="14"/>
  <c r="D538" i="14" s="1"/>
  <c r="J539" i="14"/>
  <c r="J540" i="14" s="1"/>
  <c r="J591" i="14"/>
  <c r="D584" i="14" s="1"/>
  <c r="J585" i="14"/>
  <c r="J586" i="14" s="1"/>
  <c r="J637" i="14"/>
  <c r="D630" i="14" s="1"/>
  <c r="J631" i="14"/>
  <c r="J632" i="14" s="1"/>
  <c r="J3673" i="6"/>
  <c r="D3666" i="6" s="1"/>
  <c r="J3667" i="6"/>
  <c r="J3668" i="6" s="1"/>
  <c r="J729" i="14"/>
  <c r="D722" i="14" s="1"/>
  <c r="J723" i="14"/>
  <c r="J724" i="14" s="1"/>
  <c r="J775" i="14"/>
  <c r="D768" i="14" s="1"/>
  <c r="J769" i="14"/>
  <c r="J770" i="14" s="1"/>
  <c r="J821" i="14"/>
  <c r="D814" i="14" s="1"/>
  <c r="J815" i="14"/>
  <c r="J816" i="14" s="1"/>
  <c r="J867" i="14"/>
  <c r="D860" i="14" s="1"/>
  <c r="J861" i="14"/>
  <c r="J862" i="14" s="1"/>
  <c r="J913" i="14"/>
  <c r="D906" i="14" s="1"/>
  <c r="J907" i="14"/>
  <c r="J908" i="14" s="1"/>
  <c r="J959" i="14"/>
  <c r="D952" i="14" s="1"/>
  <c r="J953" i="14"/>
  <c r="J954" i="14" s="1"/>
  <c r="J683" i="14"/>
  <c r="D676" i="14" s="1"/>
  <c r="J677" i="14"/>
  <c r="J678" i="14" s="1"/>
  <c r="J1005" i="14"/>
  <c r="D998" i="14" s="1"/>
  <c r="J999" i="14"/>
  <c r="J1000" i="14" s="1"/>
  <c r="J1051" i="14"/>
  <c r="D1044" i="14" s="1"/>
  <c r="J1045" i="14"/>
  <c r="J1046" i="14" s="1"/>
  <c r="J1097" i="14"/>
  <c r="D1090" i="14" s="1"/>
  <c r="J1091" i="14"/>
  <c r="J1092" i="14" s="1"/>
  <c r="J1143" i="14"/>
  <c r="D1136" i="14" s="1"/>
  <c r="J1137" i="14"/>
  <c r="J1138" i="14" s="1"/>
  <c r="J1189" i="14"/>
  <c r="D1182" i="14" s="1"/>
  <c r="J1183" i="14"/>
  <c r="J1184" i="14" s="1"/>
  <c r="J1235" i="14"/>
  <c r="D1228" i="14" s="1"/>
  <c r="J1229" i="14"/>
  <c r="J1230" i="14" s="1"/>
  <c r="J2937" i="6"/>
  <c r="D2930" i="6" s="1"/>
  <c r="J2931" i="6"/>
  <c r="J2932" i="6" s="1"/>
  <c r="J2983" i="6"/>
  <c r="D2976" i="6" s="1"/>
  <c r="J2977" i="6"/>
  <c r="J2978" i="6" s="1"/>
  <c r="J1511" i="14"/>
  <c r="D1504" i="14" s="1"/>
  <c r="J1505" i="14"/>
  <c r="J1506" i="14" s="1"/>
  <c r="J1557" i="14"/>
  <c r="D1550" i="14" s="1"/>
  <c r="J1551" i="14"/>
  <c r="J1552" i="14" s="1"/>
  <c r="J3075" i="6"/>
  <c r="D3068" i="6" s="1"/>
  <c r="J3069" i="6"/>
  <c r="J3070" i="6" s="1"/>
  <c r="J3121" i="6"/>
  <c r="D3114" i="6" s="1"/>
  <c r="J3115" i="6"/>
  <c r="J3116" i="6" s="1"/>
  <c r="J3305" i="6"/>
  <c r="D3298" i="6" s="1"/>
  <c r="J3299" i="6"/>
  <c r="J3300" i="6" s="1"/>
  <c r="J3443" i="6"/>
  <c r="D3436" i="6" s="1"/>
  <c r="J3437" i="6"/>
  <c r="J3438" i="6" s="1"/>
  <c r="J3489" i="6"/>
  <c r="D3482" i="6" s="1"/>
  <c r="J3483" i="6"/>
  <c r="J3484" i="6" s="1"/>
  <c r="J1281" i="14"/>
  <c r="D1274" i="14" s="1"/>
  <c r="J1275" i="14"/>
  <c r="J1276" i="14" s="1"/>
  <c r="J1327" i="14"/>
  <c r="D1320" i="14" s="1"/>
  <c r="J1321" i="14"/>
  <c r="J1322" i="14" s="1"/>
  <c r="J1373" i="14"/>
  <c r="D1366" i="14" s="1"/>
  <c r="J1367" i="14"/>
  <c r="J1368" i="14" s="1"/>
  <c r="J1419" i="14"/>
  <c r="D1412" i="14" s="1"/>
  <c r="J1413" i="14"/>
  <c r="J1414" i="14" s="1"/>
  <c r="J1465" i="14"/>
  <c r="D1458" i="14" s="1"/>
  <c r="J1459" i="14"/>
  <c r="J1460" i="14" s="1"/>
  <c r="J1603" i="14"/>
  <c r="D1596" i="14" s="1"/>
  <c r="J1597" i="14"/>
  <c r="J1598" i="14" s="1"/>
  <c r="J1649" i="14"/>
  <c r="D1642" i="14" s="1"/>
  <c r="J1643" i="14"/>
  <c r="J1644" i="14" s="1"/>
  <c r="J1695" i="14"/>
  <c r="D1688" i="14" s="1"/>
  <c r="J1689" i="14"/>
  <c r="J1690" i="14" s="1"/>
  <c r="J1741" i="14"/>
  <c r="D1734" i="14" s="1"/>
  <c r="J1735" i="14"/>
  <c r="J1736" i="14" s="1"/>
  <c r="J1787" i="14"/>
  <c r="D1780" i="14" s="1"/>
  <c r="J1781" i="14"/>
  <c r="J1782" i="14" s="1"/>
  <c r="J1833" i="14"/>
  <c r="D1826" i="14" s="1"/>
  <c r="J1827" i="14"/>
  <c r="J1828" i="14" s="1"/>
  <c r="J1879" i="14"/>
  <c r="D1872" i="14" s="1"/>
  <c r="J1873" i="14"/>
  <c r="J1874" i="14" s="1"/>
  <c r="J3627" i="6"/>
  <c r="D3620" i="6" s="1"/>
  <c r="J3621" i="6"/>
  <c r="J3622" i="6" s="1"/>
  <c r="J3765" i="6"/>
  <c r="D3758" i="6" s="1"/>
  <c r="J3759" i="6"/>
  <c r="J3760" i="6" s="1"/>
  <c r="J3811" i="6"/>
  <c r="D3804" i="6" s="1"/>
  <c r="J3805" i="6"/>
  <c r="J3806" i="6" s="1"/>
  <c r="J1925" i="14"/>
  <c r="D1918" i="14" s="1"/>
  <c r="J1919" i="14"/>
  <c r="J1920" i="14" s="1"/>
  <c r="J1971" i="14"/>
  <c r="D1964" i="14" s="1"/>
  <c r="J2477" i="14"/>
  <c r="D2470" i="14" s="1"/>
  <c r="J2471" i="14"/>
  <c r="J2472" i="14" s="1"/>
  <c r="J2569" i="14"/>
  <c r="D2562" i="14" s="1"/>
  <c r="J2563" i="14"/>
  <c r="J2564" i="14" s="1"/>
  <c r="J3121" i="14"/>
  <c r="D3114" i="14" s="1"/>
  <c r="J3115" i="14"/>
  <c r="J3116" i="14" s="1"/>
  <c r="J3305" i="14"/>
  <c r="D3298" i="14" s="1"/>
  <c r="J3299" i="14"/>
  <c r="J3300" i="14" s="1"/>
  <c r="J3535" i="14"/>
  <c r="D3528" i="14" s="1"/>
  <c r="J3529" i="14"/>
  <c r="J3530" i="14" s="1"/>
  <c r="J3765" i="14"/>
  <c r="D3758" i="14" s="1"/>
  <c r="J3759" i="14"/>
  <c r="J3760" i="14" s="1"/>
  <c r="J3903" i="14"/>
  <c r="D3896" i="14" s="1"/>
  <c r="J3897" i="14"/>
  <c r="J3898" i="14" s="1"/>
  <c r="J3949" i="14"/>
  <c r="D3942" i="14" s="1"/>
  <c r="J3943" i="14"/>
  <c r="J3944" i="14" s="1"/>
  <c r="J3995" i="14"/>
  <c r="D3988" i="14" s="1"/>
  <c r="J3989" i="14"/>
  <c r="J3990" i="14" s="1"/>
  <c r="J4087" i="14"/>
  <c r="D4080" i="14" s="1"/>
  <c r="J4081" i="14"/>
  <c r="J4082" i="14" s="1"/>
  <c r="J3857" i="14"/>
  <c r="D3850" i="14" s="1"/>
  <c r="J3851" i="14"/>
  <c r="J3852" i="14" s="1"/>
  <c r="J4133" i="14"/>
  <c r="D4126" i="14" s="1"/>
  <c r="J4127" i="14"/>
  <c r="J4128" i="14" s="1"/>
  <c r="J4179" i="14"/>
  <c r="D4172" i="14" s="1"/>
  <c r="J4173" i="14"/>
  <c r="J4174" i="14" s="1"/>
  <c r="J4225" i="14"/>
  <c r="D4218" i="14" s="1"/>
  <c r="J4219" i="14"/>
  <c r="J4220" i="14" s="1"/>
  <c r="D1562" i="6"/>
  <c r="D1838" i="6"/>
  <c r="D1332" i="6"/>
  <c r="D1976" i="6"/>
  <c r="D2114" i="6"/>
  <c r="D2252" i="6"/>
  <c r="D2620" i="6"/>
  <c r="D2666" i="6"/>
  <c r="D2804" i="6"/>
  <c r="D3724" i="6"/>
  <c r="D4046" i="6"/>
  <c r="D3264" i="6"/>
  <c r="D4092" i="6"/>
  <c r="D4184" i="6"/>
  <c r="D4230" i="6"/>
  <c r="D4322" i="6"/>
  <c r="D4368" i="6"/>
  <c r="D4460" i="6"/>
  <c r="D4552" i="6"/>
  <c r="D2206" i="14"/>
  <c r="D2252" i="14"/>
  <c r="D2298" i="14"/>
  <c r="D2528" i="14"/>
  <c r="D2620" i="14"/>
  <c r="D2712" i="14"/>
  <c r="D2758" i="14"/>
  <c r="D2850" i="14"/>
  <c r="D2896" i="14"/>
  <c r="D2988" i="14"/>
  <c r="D3034" i="14"/>
  <c r="D3172" i="14"/>
  <c r="D3218" i="14"/>
  <c r="D918" i="6"/>
  <c r="D1240" i="6"/>
  <c r="D1424" i="6"/>
  <c r="D1470" i="6"/>
  <c r="D734" i="6"/>
  <c r="D1608" i="6"/>
  <c r="D1654" i="6"/>
  <c r="D1746" i="6"/>
  <c r="D1792" i="6"/>
  <c r="D1378" i="6"/>
  <c r="D1930" i="6"/>
  <c r="D2068" i="6"/>
  <c r="D2206" i="6"/>
  <c r="D44" i="6"/>
  <c r="D366" i="6"/>
  <c r="D90" i="6"/>
  <c r="D596" i="6"/>
  <c r="D642" i="6"/>
  <c r="D780" i="6"/>
  <c r="D826" i="6"/>
  <c r="D872" i="6"/>
  <c r="D136" i="6"/>
  <c r="D320" i="6"/>
  <c r="D458" i="6"/>
  <c r="D1056" i="6"/>
  <c r="D1102" i="6"/>
  <c r="D1148" i="6"/>
  <c r="D1194" i="6"/>
  <c r="D550" i="6"/>
  <c r="D688" i="6"/>
  <c r="D964" i="6"/>
  <c r="D1010" i="6"/>
  <c r="D1700" i="6"/>
  <c r="D504" i="6"/>
  <c r="J2017" i="14" l="1"/>
  <c r="D2010" i="14" s="1"/>
  <c r="J2011" i="14"/>
  <c r="J2012" i="14" s="1"/>
  <c r="J2063" i="14"/>
  <c r="D2056" i="14" s="1"/>
  <c r="J2057" i="14"/>
  <c r="J2058" i="14" s="1"/>
  <c r="J2109" i="14"/>
  <c r="D2102" i="14" s="1"/>
  <c r="J2103" i="14"/>
  <c r="J2104" i="14" s="1"/>
  <c r="J2155" i="14"/>
  <c r="D2148" i="14" s="1"/>
  <c r="J2149" i="14"/>
  <c r="J2150" i="14" s="1"/>
  <c r="J2339" i="14"/>
  <c r="D2332" i="14" s="1"/>
  <c r="J2333" i="14"/>
  <c r="J2334" i="14" s="1"/>
  <c r="J2385" i="14"/>
  <c r="D2378" i="14" s="1"/>
  <c r="J2379" i="14"/>
  <c r="J2380" i="14" s="1"/>
  <c r="J2431" i="14"/>
  <c r="D2424" i="14" s="1"/>
  <c r="J2425" i="14"/>
  <c r="J2426" i="14" s="1"/>
  <c r="J2661" i="14"/>
  <c r="D2654" i="14" s="1"/>
  <c r="J2655" i="14"/>
  <c r="J2656" i="14" s="1"/>
  <c r="J2799" i="14"/>
  <c r="D2792" i="14" s="1"/>
  <c r="J2793" i="14"/>
  <c r="J2794" i="14" s="1"/>
  <c r="J2937" i="14"/>
  <c r="D2930" i="14" s="1"/>
  <c r="J2931" i="14"/>
  <c r="J2932" i="14" s="1"/>
  <c r="J3075" i="14"/>
  <c r="D3068" i="14" s="1"/>
  <c r="J3069" i="14"/>
  <c r="J3070" i="14" s="1"/>
  <c r="J3489" i="14"/>
  <c r="D3482" i="14" s="1"/>
  <c r="J3483" i="14"/>
  <c r="J3484" i="14" s="1"/>
  <c r="J3259" i="14"/>
  <c r="D3252" i="14" s="1"/>
  <c r="J3253" i="14"/>
  <c r="J3254" i="14" s="1"/>
  <c r="J3351" i="14"/>
  <c r="D3344" i="14" s="1"/>
  <c r="J3345" i="14"/>
  <c r="J3346" i="14" s="1"/>
  <c r="J3397" i="14"/>
  <c r="D3390" i="14" s="1"/>
  <c r="J3391" i="14"/>
  <c r="J3392" i="14" s="1"/>
  <c r="J3443" i="14"/>
  <c r="D3436" i="14" s="1"/>
  <c r="J3437" i="14"/>
  <c r="J3438" i="14" s="1"/>
  <c r="J3581" i="14"/>
  <c r="D3574" i="14" s="1"/>
  <c r="J3575" i="14"/>
  <c r="J3576" i="14" s="1"/>
  <c r="J3627" i="14"/>
  <c r="D3620" i="14" s="1"/>
  <c r="J3621" i="14"/>
  <c r="J3622" i="14" s="1"/>
  <c r="J3673" i="14"/>
  <c r="D3666" i="14" s="1"/>
  <c r="J3667" i="14"/>
  <c r="J3668" i="14" s="1"/>
  <c r="J3719" i="14"/>
  <c r="D3712" i="14" s="1"/>
  <c r="J3713" i="14"/>
  <c r="J3714" i="14" s="1"/>
  <c r="J4041" i="14"/>
  <c r="D4034" i="14" s="1"/>
  <c r="J4035" i="14"/>
  <c r="J4036" i="14" s="1"/>
  <c r="J3811" i="14"/>
  <c r="D3804" i="14" s="1"/>
  <c r="J3805" i="14"/>
  <c r="J3806" i="14" s="1"/>
  <c r="J4271" i="14"/>
  <c r="D4264" i="14" s="1"/>
  <c r="J4265" i="14"/>
  <c r="J4266" i="14" s="1"/>
  <c r="J4317" i="14"/>
  <c r="D4310" i="14" s="1"/>
  <c r="J4311" i="14"/>
  <c r="J4312" i="14" s="1"/>
  <c r="J4363" i="14"/>
  <c r="D4356" i="14" s="1"/>
  <c r="J4357" i="14"/>
  <c r="J4358" i="14" s="1"/>
  <c r="J4409" i="14"/>
  <c r="D4402" i="14" s="1"/>
  <c r="J4403" i="14"/>
  <c r="J4404" i="14" s="1"/>
  <c r="J39" i="16"/>
  <c r="D32" i="16" s="1"/>
  <c r="J33" i="16"/>
  <c r="J34" i="16" s="1"/>
  <c r="J85" i="16"/>
  <c r="D78" i="16" s="1"/>
  <c r="J79" i="16"/>
  <c r="J80" i="16" s="1"/>
  <c r="J131" i="16"/>
  <c r="D124" i="16" s="1"/>
  <c r="J125" i="16"/>
  <c r="J126" i="16" s="1"/>
  <c r="J177" i="6"/>
  <c r="D170" i="6" s="1"/>
  <c r="J171" i="6"/>
  <c r="J172" i="6" s="1"/>
  <c r="J223" i="6"/>
  <c r="D216" i="6" s="1"/>
  <c r="J217" i="6"/>
  <c r="J218" i="6" s="1"/>
  <c r="J269" i="6"/>
  <c r="D262" i="6" s="1"/>
  <c r="J263" i="6"/>
  <c r="J264" i="6" s="1"/>
  <c r="D1520" i="6"/>
  <c r="J1504" i="6"/>
  <c r="D1511" i="6"/>
  <c r="D1512" i="6" s="1"/>
  <c r="D1494" i="6"/>
  <c r="D1495" i="6" s="1"/>
  <c r="D1498" i="6"/>
  <c r="E1498" i="6"/>
  <c r="E1494" i="6"/>
  <c r="E1495" i="6" s="1"/>
  <c r="F1498" i="6"/>
  <c r="F1494" i="6"/>
  <c r="F1495" i="6" s="1"/>
  <c r="G1498" i="6"/>
  <c r="G1494" i="6"/>
  <c r="G1495" i="6" s="1"/>
  <c r="H1498" i="6"/>
  <c r="H1494" i="6"/>
  <c r="H1495" i="6" s="1"/>
  <c r="I1498" i="6"/>
  <c r="I1494" i="6"/>
  <c r="I1495" i="6" s="1"/>
  <c r="J1498" i="6"/>
  <c r="J1494" i="6"/>
  <c r="J1495" i="6" s="1"/>
  <c r="K1498" i="6"/>
  <c r="K1494" i="6"/>
  <c r="K1495" i="6" s="1"/>
  <c r="L1498" i="6"/>
  <c r="M1498" i="6"/>
  <c r="M1494" i="6"/>
  <c r="M1495" i="6" s="1"/>
  <c r="L1494" i="6"/>
  <c r="L1495" i="6" s="1"/>
  <c r="D416" i="6"/>
  <c r="J400" i="6"/>
  <c r="D407" i="6"/>
  <c r="D408" i="6" s="1"/>
  <c r="D394" i="6"/>
  <c r="D390" i="6"/>
  <c r="D391" i="6" s="1"/>
  <c r="E394" i="6"/>
  <c r="E390" i="6"/>
  <c r="E391" i="6" s="1"/>
  <c r="F394" i="6"/>
  <c r="F390" i="6"/>
  <c r="F391" i="6" s="1"/>
  <c r="G394" i="6"/>
  <c r="G390" i="6"/>
  <c r="G391" i="6" s="1"/>
  <c r="H394" i="6"/>
  <c r="H390" i="6"/>
  <c r="H391" i="6" s="1"/>
  <c r="I394" i="6"/>
  <c r="I390" i="6"/>
  <c r="I391" i="6" s="1"/>
  <c r="J394" i="6"/>
  <c r="J390" i="6"/>
  <c r="J391" i="6" s="1"/>
  <c r="K394" i="6"/>
  <c r="K390" i="6"/>
  <c r="K391" i="6" s="1"/>
  <c r="L394" i="6"/>
  <c r="L390" i="6"/>
  <c r="L391" i="6" s="1"/>
  <c r="M394" i="6"/>
  <c r="M390" i="6"/>
  <c r="M391" i="6" s="1"/>
  <c r="D2164" i="6"/>
  <c r="J2148" i="6"/>
  <c r="D2155" i="6"/>
  <c r="D2156" i="6" s="1"/>
  <c r="D2142" i="6"/>
  <c r="D2138" i="6"/>
  <c r="D2139" i="6" s="1"/>
  <c r="M2138" i="6"/>
  <c r="M2139" i="6" s="1"/>
  <c r="M2142" i="6"/>
  <c r="L2138" i="6"/>
  <c r="L2139" i="6" s="1"/>
  <c r="L2142" i="6"/>
  <c r="K2138" i="6"/>
  <c r="K2139" i="6" s="1"/>
  <c r="K2142" i="6"/>
  <c r="J2138" i="6"/>
  <c r="J2139" i="6" s="1"/>
  <c r="J2142" i="6"/>
  <c r="I2138" i="6"/>
  <c r="I2139" i="6" s="1"/>
  <c r="I2142" i="6"/>
  <c r="H2138" i="6"/>
  <c r="H2139" i="6" s="1"/>
  <c r="H2142" i="6"/>
  <c r="G2138" i="6"/>
  <c r="G2139" i="6" s="1"/>
  <c r="G2142" i="6"/>
  <c r="F2138" i="6"/>
  <c r="F2139" i="6" s="1"/>
  <c r="F2142" i="6"/>
  <c r="E2138" i="6"/>
  <c r="E2139" i="6" s="1"/>
  <c r="E2142" i="6"/>
  <c r="E2280" i="6"/>
  <c r="F2280" i="6"/>
  <c r="G2280" i="6"/>
  <c r="H2280" i="6"/>
  <c r="I2280" i="6"/>
  <c r="J2280" i="6"/>
  <c r="K2280" i="6"/>
  <c r="L2280" i="6"/>
  <c r="M2280" i="6"/>
  <c r="D2302" i="6"/>
  <c r="J2286" i="6"/>
  <c r="D2293" i="6"/>
  <c r="D2294" i="6" s="1"/>
  <c r="D2280" i="6"/>
  <c r="D2276" i="6"/>
  <c r="D2277" i="6" s="1"/>
  <c r="E2276" i="6"/>
  <c r="E2277" i="6" s="1"/>
  <c r="F2276" i="6"/>
  <c r="F2277" i="6" s="1"/>
  <c r="G2276" i="6"/>
  <c r="G2277" i="6" s="1"/>
  <c r="H2276" i="6"/>
  <c r="H2277" i="6" s="1"/>
  <c r="I2276" i="6"/>
  <c r="I2277" i="6" s="1"/>
  <c r="J2276" i="6"/>
  <c r="J2277" i="6" s="1"/>
  <c r="K2276" i="6"/>
  <c r="K2277" i="6" s="1"/>
  <c r="L2276" i="6"/>
  <c r="L2277" i="6" s="1"/>
  <c r="M2276" i="6"/>
  <c r="M2277" i="6" s="1"/>
  <c r="E2326" i="6"/>
  <c r="F2326" i="6"/>
  <c r="G2326" i="6"/>
  <c r="H2326" i="6"/>
  <c r="I2326" i="6"/>
  <c r="J2326" i="6"/>
  <c r="K2326" i="6"/>
  <c r="L2326" i="6"/>
  <c r="M2326" i="6"/>
  <c r="D2348" i="6"/>
  <c r="J2332" i="6"/>
  <c r="D2339" i="6"/>
  <c r="D2340" i="6" s="1"/>
  <c r="D2326" i="6"/>
  <c r="D2322" i="6"/>
  <c r="D2323" i="6" s="1"/>
  <c r="E2322" i="6"/>
  <c r="E2323" i="6" s="1"/>
  <c r="F2322" i="6"/>
  <c r="F2323" i="6" s="1"/>
  <c r="G2322" i="6"/>
  <c r="G2323" i="6" s="1"/>
  <c r="H2322" i="6"/>
  <c r="H2323" i="6" s="1"/>
  <c r="I2322" i="6"/>
  <c r="I2323" i="6" s="1"/>
  <c r="J2322" i="6"/>
  <c r="J2323" i="6" s="1"/>
  <c r="K2322" i="6"/>
  <c r="K2323" i="6" s="1"/>
  <c r="L2322" i="6"/>
  <c r="L2323" i="6" s="1"/>
  <c r="M2322" i="6"/>
  <c r="M2323" i="6" s="1"/>
  <c r="D2394" i="6"/>
  <c r="J2378" i="6"/>
  <c r="D2385" i="6"/>
  <c r="D2386" i="6" s="1"/>
  <c r="D2372" i="6"/>
  <c r="D2368" i="6"/>
  <c r="D2369" i="6" s="1"/>
  <c r="M2368" i="6"/>
  <c r="M2369" i="6" s="1"/>
  <c r="M2372" i="6"/>
  <c r="L2368" i="6"/>
  <c r="L2369" i="6" s="1"/>
  <c r="L2372" i="6"/>
  <c r="K2368" i="6"/>
  <c r="K2369" i="6" s="1"/>
  <c r="K2372" i="6"/>
  <c r="J2368" i="6"/>
  <c r="J2369" i="6" s="1"/>
  <c r="J2372" i="6"/>
  <c r="I2368" i="6"/>
  <c r="I2369" i="6" s="1"/>
  <c r="I2372" i="6"/>
  <c r="H2368" i="6"/>
  <c r="H2369" i="6" s="1"/>
  <c r="H2372" i="6"/>
  <c r="G2368" i="6"/>
  <c r="G2369" i="6" s="1"/>
  <c r="G2372" i="6"/>
  <c r="F2368" i="6"/>
  <c r="F2369" i="6" s="1"/>
  <c r="F2372" i="6"/>
  <c r="E2368" i="6"/>
  <c r="E2369" i="6" s="1"/>
  <c r="E2372" i="6"/>
  <c r="D2440" i="6"/>
  <c r="J2424" i="6"/>
  <c r="D2431" i="6"/>
  <c r="D2432" i="6" s="1"/>
  <c r="D2418" i="6"/>
  <c r="D2414" i="6"/>
  <c r="D2415" i="6" s="1"/>
  <c r="M2414" i="6"/>
  <c r="M2415" i="6" s="1"/>
  <c r="M2418" i="6"/>
  <c r="L2414" i="6"/>
  <c r="L2415" i="6" s="1"/>
  <c r="L2418" i="6"/>
  <c r="K2414" i="6"/>
  <c r="K2415" i="6" s="1"/>
  <c r="K2418" i="6"/>
  <c r="J2414" i="6"/>
  <c r="J2415" i="6" s="1"/>
  <c r="J2418" i="6"/>
  <c r="I2414" i="6"/>
  <c r="I2415" i="6" s="1"/>
  <c r="I2418" i="6"/>
  <c r="H2414" i="6"/>
  <c r="H2415" i="6" s="1"/>
  <c r="H2418" i="6"/>
  <c r="G2414" i="6"/>
  <c r="G2415" i="6" s="1"/>
  <c r="G2418" i="6"/>
  <c r="F2414" i="6"/>
  <c r="F2415" i="6" s="1"/>
  <c r="F2418" i="6"/>
  <c r="E2414" i="6"/>
  <c r="E2415" i="6" s="1"/>
  <c r="E2418" i="6"/>
  <c r="D2486" i="6"/>
  <c r="J2470" i="6"/>
  <c r="D2477" i="6"/>
  <c r="D2478" i="6" s="1"/>
  <c r="D2464" i="6"/>
  <c r="D2460" i="6"/>
  <c r="D2461" i="6" s="1"/>
  <c r="M2460" i="6"/>
  <c r="M2461" i="6" s="1"/>
  <c r="M2464" i="6"/>
  <c r="L2460" i="6"/>
  <c r="L2461" i="6" s="1"/>
  <c r="L2464" i="6"/>
  <c r="K2460" i="6"/>
  <c r="K2461" i="6" s="1"/>
  <c r="K2464" i="6"/>
  <c r="J2460" i="6"/>
  <c r="J2461" i="6" s="1"/>
  <c r="J2464" i="6"/>
  <c r="I2460" i="6"/>
  <c r="I2461" i="6" s="1"/>
  <c r="I2464" i="6"/>
  <c r="H2460" i="6"/>
  <c r="H2461" i="6" s="1"/>
  <c r="H2464" i="6"/>
  <c r="G2460" i="6"/>
  <c r="G2461" i="6" s="1"/>
  <c r="G2464" i="6"/>
  <c r="F2460" i="6"/>
  <c r="F2461" i="6" s="1"/>
  <c r="F2464" i="6"/>
  <c r="E2460" i="6"/>
  <c r="E2461" i="6" s="1"/>
  <c r="E2464" i="6"/>
  <c r="D1290" i="6"/>
  <c r="J1274" i="6"/>
  <c r="D1281" i="6"/>
  <c r="D1282" i="6" s="1"/>
  <c r="D1268" i="6"/>
  <c r="D1264" i="6"/>
  <c r="D1265" i="6" s="1"/>
  <c r="M1264" i="6"/>
  <c r="M1265" i="6" s="1"/>
  <c r="M1268" i="6"/>
  <c r="L1264" i="6"/>
  <c r="L1265" i="6" s="1"/>
  <c r="L1268" i="6"/>
  <c r="K1264" i="6"/>
  <c r="K1265" i="6" s="1"/>
  <c r="K1268" i="6"/>
  <c r="J1264" i="6"/>
  <c r="J1265" i="6" s="1"/>
  <c r="J1268" i="6"/>
  <c r="I1264" i="6"/>
  <c r="I1265" i="6" s="1"/>
  <c r="I1268" i="6"/>
  <c r="H1264" i="6"/>
  <c r="H1265" i="6" s="1"/>
  <c r="H1268" i="6"/>
  <c r="G1264" i="6"/>
  <c r="G1265" i="6" s="1"/>
  <c r="G1268" i="6"/>
  <c r="F1264" i="6"/>
  <c r="F1265" i="6" s="1"/>
  <c r="F1268" i="6"/>
  <c r="E1264" i="6"/>
  <c r="E1265" i="6" s="1"/>
  <c r="E1268" i="6"/>
  <c r="D1879" i="6"/>
  <c r="D1880" i="6" s="1"/>
  <c r="D1888" i="6"/>
  <c r="J1872" i="6"/>
  <c r="D1866" i="6"/>
  <c r="D1862" i="6"/>
  <c r="D1863" i="6" s="1"/>
  <c r="M1866" i="6"/>
  <c r="L1862" i="6"/>
  <c r="L1863" i="6" s="1"/>
  <c r="L1866" i="6"/>
  <c r="K1862" i="6"/>
  <c r="K1863" i="6" s="1"/>
  <c r="K1866" i="6"/>
  <c r="J1862" i="6"/>
  <c r="J1863" i="6" s="1"/>
  <c r="J1866" i="6"/>
  <c r="I1862" i="6"/>
  <c r="I1863" i="6" s="1"/>
  <c r="I1866" i="6"/>
  <c r="H1862" i="6"/>
  <c r="H1863" i="6" s="1"/>
  <c r="H1866" i="6"/>
  <c r="G1862" i="6"/>
  <c r="G1863" i="6" s="1"/>
  <c r="G1866" i="6"/>
  <c r="F1862" i="6"/>
  <c r="F1863" i="6" s="1"/>
  <c r="F1866" i="6"/>
  <c r="E1862" i="6"/>
  <c r="E1863" i="6" s="1"/>
  <c r="E1866" i="6"/>
  <c r="M1862" i="6"/>
  <c r="M1863" i="6" s="1"/>
  <c r="D2026" i="6"/>
  <c r="J2010" i="6"/>
  <c r="D2017" i="6"/>
  <c r="D2018" i="6" s="1"/>
  <c r="D2004" i="6"/>
  <c r="D2000" i="6"/>
  <c r="D2001" i="6" s="1"/>
  <c r="M2000" i="6"/>
  <c r="M2001" i="6" s="1"/>
  <c r="M2004" i="6"/>
  <c r="L2000" i="6"/>
  <c r="L2001" i="6" s="1"/>
  <c r="L2004" i="6"/>
  <c r="K2000" i="6"/>
  <c r="K2001" i="6" s="1"/>
  <c r="K2004" i="6"/>
  <c r="J2000" i="6"/>
  <c r="J2001" i="6" s="1"/>
  <c r="J2004" i="6"/>
  <c r="I2000" i="6"/>
  <c r="I2001" i="6" s="1"/>
  <c r="I2004" i="6"/>
  <c r="H2000" i="6"/>
  <c r="H2001" i="6" s="1"/>
  <c r="H2004" i="6"/>
  <c r="G2000" i="6"/>
  <c r="G2001" i="6" s="1"/>
  <c r="G2004" i="6"/>
  <c r="F2000" i="6"/>
  <c r="F2001" i="6" s="1"/>
  <c r="F2004" i="6"/>
  <c r="E2000" i="6"/>
  <c r="E2001" i="6" s="1"/>
  <c r="E2004" i="6"/>
  <c r="D2532" i="6"/>
  <c r="J2516" i="6"/>
  <c r="D2523" i="6"/>
  <c r="D2524" i="6" s="1"/>
  <c r="D2510" i="6"/>
  <c r="D2506" i="6"/>
  <c r="D2507" i="6" s="1"/>
  <c r="M2506" i="6"/>
  <c r="M2507" i="6" s="1"/>
  <c r="M2510" i="6"/>
  <c r="L2506" i="6"/>
  <c r="L2507" i="6" s="1"/>
  <c r="L2510" i="6"/>
  <c r="K2506" i="6"/>
  <c r="K2507" i="6" s="1"/>
  <c r="K2510" i="6"/>
  <c r="J2506" i="6"/>
  <c r="J2507" i="6" s="1"/>
  <c r="J2510" i="6"/>
  <c r="I2506" i="6"/>
  <c r="I2507" i="6" s="1"/>
  <c r="I2510" i="6"/>
  <c r="H2506" i="6"/>
  <c r="H2507" i="6" s="1"/>
  <c r="H2510" i="6"/>
  <c r="G2506" i="6"/>
  <c r="G2507" i="6" s="1"/>
  <c r="G2510" i="6"/>
  <c r="F2506" i="6"/>
  <c r="F2507" i="6" s="1"/>
  <c r="F2510" i="6"/>
  <c r="E2506" i="6"/>
  <c r="E2507" i="6" s="1"/>
  <c r="E2510" i="6"/>
  <c r="D2578" i="6"/>
  <c r="J2562" i="6"/>
  <c r="D2569" i="6"/>
  <c r="D2570" i="6" s="1"/>
  <c r="D2556" i="6"/>
  <c r="D2552" i="6"/>
  <c r="D2553" i="6" s="1"/>
  <c r="M2552" i="6"/>
  <c r="M2553" i="6" s="1"/>
  <c r="M2556" i="6"/>
  <c r="L2552" i="6"/>
  <c r="L2553" i="6" s="1"/>
  <c r="L2556" i="6"/>
  <c r="K2552" i="6"/>
  <c r="K2553" i="6" s="1"/>
  <c r="K2556" i="6"/>
  <c r="J2552" i="6"/>
  <c r="J2553" i="6" s="1"/>
  <c r="J2556" i="6"/>
  <c r="I2552" i="6"/>
  <c r="I2553" i="6" s="1"/>
  <c r="I2556" i="6"/>
  <c r="H2552" i="6"/>
  <c r="H2553" i="6" s="1"/>
  <c r="H2556" i="6"/>
  <c r="G2552" i="6"/>
  <c r="G2553" i="6" s="1"/>
  <c r="G2556" i="6"/>
  <c r="F2552" i="6"/>
  <c r="F2553" i="6" s="1"/>
  <c r="F2556" i="6"/>
  <c r="E2552" i="6"/>
  <c r="E2553" i="6" s="1"/>
  <c r="E2556" i="6"/>
  <c r="D2716" i="6"/>
  <c r="J2700" i="6"/>
  <c r="D2707" i="6"/>
  <c r="D2708" i="6" s="1"/>
  <c r="D2694" i="6"/>
  <c r="D2690" i="6"/>
  <c r="D2691" i="6" s="1"/>
  <c r="M2690" i="6"/>
  <c r="M2691" i="6" s="1"/>
  <c r="M2694" i="6"/>
  <c r="L2690" i="6"/>
  <c r="L2691" i="6" s="1"/>
  <c r="L2694" i="6"/>
  <c r="K2690" i="6"/>
  <c r="K2691" i="6" s="1"/>
  <c r="K2694" i="6"/>
  <c r="J2690" i="6"/>
  <c r="J2691" i="6" s="1"/>
  <c r="J2694" i="6"/>
  <c r="I2690" i="6"/>
  <c r="I2691" i="6" s="1"/>
  <c r="I2694" i="6"/>
  <c r="H2690" i="6"/>
  <c r="H2691" i="6" s="1"/>
  <c r="H2694" i="6"/>
  <c r="G2690" i="6"/>
  <c r="G2691" i="6" s="1"/>
  <c r="G2694" i="6"/>
  <c r="F2690" i="6"/>
  <c r="F2691" i="6" s="1"/>
  <c r="F2694" i="6"/>
  <c r="E2690" i="6"/>
  <c r="E2691" i="6" s="1"/>
  <c r="E2694" i="6"/>
  <c r="D2762" i="6"/>
  <c r="J2746" i="6"/>
  <c r="D2753" i="6"/>
  <c r="D2754" i="6" s="1"/>
  <c r="D2740" i="6"/>
  <c r="D2736" i="6"/>
  <c r="D2737" i="6" s="1"/>
  <c r="M2736" i="6"/>
  <c r="M2737" i="6" s="1"/>
  <c r="M2740" i="6"/>
  <c r="L2736" i="6"/>
  <c r="L2737" i="6" s="1"/>
  <c r="L2740" i="6"/>
  <c r="K2736" i="6"/>
  <c r="K2737" i="6" s="1"/>
  <c r="K2740" i="6"/>
  <c r="J2736" i="6"/>
  <c r="J2737" i="6" s="1"/>
  <c r="J2740" i="6"/>
  <c r="I2736" i="6"/>
  <c r="I2737" i="6" s="1"/>
  <c r="I2740" i="6"/>
  <c r="H2736" i="6"/>
  <c r="H2737" i="6" s="1"/>
  <c r="H2740" i="6"/>
  <c r="G2736" i="6"/>
  <c r="G2737" i="6" s="1"/>
  <c r="G2740" i="6"/>
  <c r="F2736" i="6"/>
  <c r="F2737" i="6" s="1"/>
  <c r="F2740" i="6"/>
  <c r="E2736" i="6"/>
  <c r="E2737" i="6" s="1"/>
  <c r="E2740" i="6"/>
  <c r="D2900" i="6"/>
  <c r="J2884" i="6"/>
  <c r="D2891" i="6"/>
  <c r="D2892" i="6" s="1"/>
  <c r="D2878" i="6"/>
  <c r="D2874" i="6"/>
  <c r="D2875" i="6" s="1"/>
  <c r="M2874" i="6"/>
  <c r="M2875" i="6" s="1"/>
  <c r="M2878" i="6"/>
  <c r="L2874" i="6"/>
  <c r="L2875" i="6" s="1"/>
  <c r="L2878" i="6"/>
  <c r="K2874" i="6"/>
  <c r="K2875" i="6" s="1"/>
  <c r="K2878" i="6"/>
  <c r="J2874" i="6"/>
  <c r="J2875" i="6" s="1"/>
  <c r="J2878" i="6"/>
  <c r="I2874" i="6"/>
  <c r="I2875" i="6" s="1"/>
  <c r="I2878" i="6"/>
  <c r="H2874" i="6"/>
  <c r="H2875" i="6" s="1"/>
  <c r="H2878" i="6"/>
  <c r="G2874" i="6"/>
  <c r="G2875" i="6" s="1"/>
  <c r="G2878" i="6"/>
  <c r="F2874" i="6"/>
  <c r="F2875" i="6" s="1"/>
  <c r="F2878" i="6"/>
  <c r="E2874" i="6"/>
  <c r="E2875" i="6" s="1"/>
  <c r="E2878" i="6"/>
  <c r="D3912" i="6"/>
  <c r="J3896" i="6"/>
  <c r="D3903" i="6"/>
  <c r="D3904" i="6" s="1"/>
  <c r="D3890" i="6"/>
  <c r="D3886" i="6"/>
  <c r="D3887" i="6" s="1"/>
  <c r="J3886" i="6"/>
  <c r="J3887" i="6" s="1"/>
  <c r="H3886" i="6"/>
  <c r="H3887" i="6" s="1"/>
  <c r="F3886" i="6"/>
  <c r="F3887" i="6" s="1"/>
  <c r="E3890" i="6"/>
  <c r="F3890" i="6"/>
  <c r="M3890" i="6"/>
  <c r="K3890" i="6"/>
  <c r="I3886" i="6"/>
  <c r="I3887" i="6" s="1"/>
  <c r="G3890" i="6"/>
  <c r="L3886" i="6"/>
  <c r="L3887" i="6" s="1"/>
  <c r="J3890" i="6"/>
  <c r="H3890" i="6"/>
  <c r="E3886" i="6"/>
  <c r="E3887" i="6" s="1"/>
  <c r="M3886" i="6"/>
  <c r="M3887" i="6" s="1"/>
  <c r="L3890" i="6"/>
  <c r="G3886" i="6"/>
  <c r="G3887" i="6" s="1"/>
  <c r="K3886" i="6"/>
  <c r="K3887" i="6" s="1"/>
  <c r="I3890" i="6"/>
  <c r="D4142" i="6"/>
  <c r="J4126" i="6"/>
  <c r="D4133" i="6"/>
  <c r="D4134" i="6" s="1"/>
  <c r="D4120" i="6"/>
  <c r="D4116" i="6"/>
  <c r="D4117" i="6" s="1"/>
  <c r="M4116" i="6"/>
  <c r="M4117" i="6" s="1"/>
  <c r="J4116" i="6"/>
  <c r="J4117" i="6" s="1"/>
  <c r="I4116" i="6"/>
  <c r="I4117" i="6" s="1"/>
  <c r="I4120" i="6"/>
  <c r="H4116" i="6"/>
  <c r="H4117" i="6" s="1"/>
  <c r="G4120" i="6"/>
  <c r="K4116" i="6"/>
  <c r="K4117" i="6" s="1"/>
  <c r="E4120" i="6"/>
  <c r="M4120" i="6"/>
  <c r="J4120" i="6"/>
  <c r="E4116" i="6"/>
  <c r="E4117" i="6" s="1"/>
  <c r="L4120" i="6"/>
  <c r="L4116" i="6"/>
  <c r="L4117" i="6" s="1"/>
  <c r="K4120" i="6"/>
  <c r="H4120" i="6"/>
  <c r="F4116" i="6"/>
  <c r="F4117" i="6" s="1"/>
  <c r="F4120" i="6"/>
  <c r="G4116" i="6"/>
  <c r="G4117" i="6" s="1"/>
  <c r="D4280" i="6"/>
  <c r="J4264" i="6"/>
  <c r="D4271" i="6"/>
  <c r="D4272" i="6" s="1"/>
  <c r="D4258" i="6"/>
  <c r="D4254" i="6"/>
  <c r="D4255" i="6" s="1"/>
  <c r="M4258" i="6"/>
  <c r="L4258" i="6"/>
  <c r="H4254" i="6"/>
  <c r="H4255" i="6" s="1"/>
  <c r="E4254" i="6"/>
  <c r="E4255" i="6" s="1"/>
  <c r="M4254" i="6"/>
  <c r="M4255" i="6" s="1"/>
  <c r="L4254" i="6"/>
  <c r="L4255" i="6" s="1"/>
  <c r="K4254" i="6"/>
  <c r="K4255" i="6" s="1"/>
  <c r="J4258" i="6"/>
  <c r="F4254" i="6"/>
  <c r="F4255" i="6" s="1"/>
  <c r="F4258" i="6"/>
  <c r="G4254" i="6"/>
  <c r="G4255" i="6" s="1"/>
  <c r="K4258" i="6"/>
  <c r="I4258" i="6"/>
  <c r="E4258" i="6"/>
  <c r="J4254" i="6"/>
  <c r="J4255" i="6" s="1"/>
  <c r="I4254" i="6"/>
  <c r="I4255" i="6" s="1"/>
  <c r="H4258" i="6"/>
  <c r="G4258" i="6"/>
  <c r="J3574" i="6"/>
  <c r="D3590" i="6"/>
  <c r="D3581" i="6"/>
  <c r="D3582" i="6" s="1"/>
  <c r="D3568" i="6"/>
  <c r="D3564" i="6"/>
  <c r="D3565" i="6" s="1"/>
  <c r="M3564" i="6"/>
  <c r="M3565" i="6" s="1"/>
  <c r="M3568" i="6"/>
  <c r="L3564" i="6"/>
  <c r="L3565" i="6" s="1"/>
  <c r="L3568" i="6"/>
  <c r="K3564" i="6"/>
  <c r="K3565" i="6" s="1"/>
  <c r="K3568" i="6"/>
  <c r="J3564" i="6"/>
  <c r="J3565" i="6" s="1"/>
  <c r="J3568" i="6"/>
  <c r="I3564" i="6"/>
  <c r="I3565" i="6" s="1"/>
  <c r="I3568" i="6"/>
  <c r="H3564" i="6"/>
  <c r="H3565" i="6" s="1"/>
  <c r="H3568" i="6"/>
  <c r="G3564" i="6"/>
  <c r="G3565" i="6" s="1"/>
  <c r="G3568" i="6"/>
  <c r="F3564" i="6"/>
  <c r="F3565" i="6" s="1"/>
  <c r="F3568" i="6"/>
  <c r="E3564" i="6"/>
  <c r="E3565" i="6" s="1"/>
  <c r="E3568" i="6"/>
  <c r="H22" i="17"/>
  <c r="D4510" i="6"/>
  <c r="J4494" i="6"/>
  <c r="D4501" i="6"/>
  <c r="D4502" i="6" s="1"/>
  <c r="D4488" i="6"/>
  <c r="D4484" i="6"/>
  <c r="D4485" i="6" s="1"/>
  <c r="K4488" i="6"/>
  <c r="E4488" i="6"/>
  <c r="F4488" i="6"/>
  <c r="F4484" i="6"/>
  <c r="F4485" i="6" s="1"/>
  <c r="G4484" i="6"/>
  <c r="G4485" i="6" s="1"/>
  <c r="I4488" i="6"/>
  <c r="I4484" i="6"/>
  <c r="I4485" i="6" s="1"/>
  <c r="J4484" i="6"/>
  <c r="J4485" i="6" s="1"/>
  <c r="L4488" i="6"/>
  <c r="M4488" i="6"/>
  <c r="K4484" i="6"/>
  <c r="K4485" i="6" s="1"/>
  <c r="H4488" i="6"/>
  <c r="H4484" i="6"/>
  <c r="H4485" i="6" s="1"/>
  <c r="J4488" i="6"/>
  <c r="L4484" i="6"/>
  <c r="L4485" i="6" s="1"/>
  <c r="M4484" i="6"/>
  <c r="M4485" i="6" s="1"/>
  <c r="E4484" i="6"/>
  <c r="E4485" i="6" s="1"/>
  <c r="G4488" i="6"/>
  <c r="H23" i="17"/>
  <c r="D4602" i="6"/>
  <c r="J4586" i="6"/>
  <c r="D4593" i="6"/>
  <c r="D4594" i="6" s="1"/>
  <c r="D4580" i="6"/>
  <c r="D4576" i="6"/>
  <c r="D4577" i="6" s="1"/>
  <c r="I4576" i="6"/>
  <c r="I4577" i="6" s="1"/>
  <c r="J4576" i="6"/>
  <c r="J4577" i="6" s="1"/>
  <c r="L4580" i="6"/>
  <c r="M4576" i="6"/>
  <c r="M4577" i="6" s="1"/>
  <c r="E4576" i="6"/>
  <c r="E4577" i="6" s="1"/>
  <c r="G4580" i="6"/>
  <c r="H4580" i="6"/>
  <c r="H4576" i="6"/>
  <c r="H4577" i="6" s="1"/>
  <c r="J4580" i="6"/>
  <c r="K4580" i="6"/>
  <c r="K4576" i="6"/>
  <c r="K4577" i="6" s="1"/>
  <c r="M4580" i="6"/>
  <c r="F4580" i="6"/>
  <c r="L4576" i="6"/>
  <c r="L4577" i="6" s="1"/>
  <c r="E4580" i="6"/>
  <c r="F4576" i="6"/>
  <c r="F4577" i="6" s="1"/>
  <c r="G4576" i="6"/>
  <c r="G4577" i="6" s="1"/>
  <c r="I4580" i="6"/>
  <c r="H16" i="17"/>
  <c r="D4648" i="6"/>
  <c r="J4632" i="6"/>
  <c r="D4639" i="6"/>
  <c r="D4640" i="6" s="1"/>
  <c r="D4626" i="6"/>
  <c r="D4622" i="6"/>
  <c r="D4623" i="6" s="1"/>
  <c r="G4622" i="6"/>
  <c r="G4623" i="6" s="1"/>
  <c r="J4626" i="6"/>
  <c r="M4626" i="6"/>
  <c r="E4626" i="6"/>
  <c r="G4626" i="6"/>
  <c r="H4626" i="6"/>
  <c r="I4622" i="6"/>
  <c r="I4623" i="6" s="1"/>
  <c r="J4622" i="6"/>
  <c r="J4623" i="6" s="1"/>
  <c r="K4626" i="6"/>
  <c r="E4622" i="6"/>
  <c r="E4623" i="6" s="1"/>
  <c r="H4622" i="6"/>
  <c r="H4623" i="6" s="1"/>
  <c r="K4622" i="6"/>
  <c r="K4623" i="6" s="1"/>
  <c r="I4626" i="6"/>
  <c r="L4626" i="6"/>
  <c r="F4626" i="6"/>
  <c r="F4622" i="6"/>
  <c r="F4623" i="6" s="1"/>
  <c r="L4622" i="6"/>
  <c r="L4623" i="6" s="1"/>
  <c r="M4622" i="6"/>
  <c r="M4623" i="6" s="1"/>
  <c r="H24" i="17"/>
  <c r="D4694" i="6"/>
  <c r="J4678" i="6"/>
  <c r="D4685" i="6"/>
  <c r="D4686" i="6" s="1"/>
  <c r="D4672" i="6"/>
  <c r="D4668" i="6"/>
  <c r="D4669" i="6" s="1"/>
  <c r="F4672" i="6"/>
  <c r="J4668" i="6"/>
  <c r="J4669" i="6" s="1"/>
  <c r="M4668" i="6"/>
  <c r="M4669" i="6" s="1"/>
  <c r="L4672" i="6"/>
  <c r="F4668" i="6"/>
  <c r="F4669" i="6" s="1"/>
  <c r="G4672" i="6"/>
  <c r="H4668" i="6"/>
  <c r="H4669" i="6" s="1"/>
  <c r="I4668" i="6"/>
  <c r="I4669" i="6" s="1"/>
  <c r="E4668" i="6"/>
  <c r="E4669" i="6" s="1"/>
  <c r="I4672" i="6"/>
  <c r="K4668" i="6"/>
  <c r="K4669" i="6" s="1"/>
  <c r="M4672" i="6"/>
  <c r="E4672" i="6"/>
  <c r="G4668" i="6"/>
  <c r="G4669" i="6" s="1"/>
  <c r="H4672" i="6"/>
  <c r="J4672" i="6"/>
  <c r="K4672" i="6"/>
  <c r="L4668" i="6"/>
  <c r="L4669" i="6" s="1"/>
  <c r="J3206" i="6"/>
  <c r="D3222" i="6"/>
  <c r="L3196" i="6"/>
  <c r="L3197" i="6" s="1"/>
  <c r="D3213" i="6"/>
  <c r="D3214" i="6" s="1"/>
  <c r="D3200" i="6"/>
  <c r="D3196" i="6"/>
  <c r="D3197" i="6" s="1"/>
  <c r="K3196" i="6"/>
  <c r="K3197" i="6" s="1"/>
  <c r="M3196" i="6"/>
  <c r="M3197" i="6" s="1"/>
  <c r="M3200" i="6"/>
  <c r="J3196" i="6"/>
  <c r="J3197" i="6" s="1"/>
  <c r="J3200" i="6"/>
  <c r="I3196" i="6"/>
  <c r="I3197" i="6" s="1"/>
  <c r="I3200" i="6"/>
  <c r="H3196" i="6"/>
  <c r="H3197" i="6" s="1"/>
  <c r="H3200" i="6"/>
  <c r="G3196" i="6"/>
  <c r="G3197" i="6" s="1"/>
  <c r="G3200" i="6"/>
  <c r="F3196" i="6"/>
  <c r="F3197" i="6" s="1"/>
  <c r="F3200" i="6"/>
  <c r="E3196" i="6"/>
  <c r="E3197" i="6" s="1"/>
  <c r="E3200" i="6"/>
  <c r="L3200" i="6"/>
  <c r="K3200" i="6"/>
  <c r="J3988" i="6"/>
  <c r="D4004" i="6"/>
  <c r="D3995" i="6"/>
  <c r="D3996" i="6" s="1"/>
  <c r="D3982" i="6"/>
  <c r="D3978" i="6"/>
  <c r="D3979" i="6" s="1"/>
  <c r="J3978" i="6"/>
  <c r="J3979" i="6" s="1"/>
  <c r="I3978" i="6"/>
  <c r="I3979" i="6" s="1"/>
  <c r="I3982" i="6"/>
  <c r="H3982" i="6"/>
  <c r="G3982" i="6"/>
  <c r="E3982" i="6"/>
  <c r="K3982" i="6"/>
  <c r="F3978" i="6"/>
  <c r="F3979" i="6" s="1"/>
  <c r="F3982" i="6"/>
  <c r="L3978" i="6"/>
  <c r="L3979" i="6" s="1"/>
  <c r="K3978" i="6"/>
  <c r="K3979" i="6" s="1"/>
  <c r="M3978" i="6"/>
  <c r="M3979" i="6" s="1"/>
  <c r="M3982" i="6"/>
  <c r="L3982" i="6"/>
  <c r="H3978" i="6"/>
  <c r="H3979" i="6" s="1"/>
  <c r="G3978" i="6"/>
  <c r="G3979" i="6" s="1"/>
  <c r="E3978" i="6"/>
  <c r="E3979" i="6" s="1"/>
  <c r="J3982" i="6"/>
  <c r="H17" i="17"/>
  <c r="D4740" i="6"/>
  <c r="D4731" i="6"/>
  <c r="D4732" i="6" s="1"/>
  <c r="J4724" i="6"/>
  <c r="D4718" i="6"/>
  <c r="M4714" i="6"/>
  <c r="M4715" i="6" s="1"/>
  <c r="M4718" i="6"/>
  <c r="L4714" i="6"/>
  <c r="L4715" i="6" s="1"/>
  <c r="L4718" i="6"/>
  <c r="K4718" i="6"/>
  <c r="K4714" i="6"/>
  <c r="K4715" i="6" s="1"/>
  <c r="J4718" i="6"/>
  <c r="J4714" i="6"/>
  <c r="J4715" i="6" s="1"/>
  <c r="I4714" i="6"/>
  <c r="I4715" i="6" s="1"/>
  <c r="I4718" i="6"/>
  <c r="H4714" i="6"/>
  <c r="H4715" i="6" s="1"/>
  <c r="H4718" i="6"/>
  <c r="G4714" i="6"/>
  <c r="G4715" i="6" s="1"/>
  <c r="G4718" i="6"/>
  <c r="F4714" i="6"/>
  <c r="F4715" i="6" s="1"/>
  <c r="F4718" i="6"/>
  <c r="E4718" i="6"/>
  <c r="E4714" i="6"/>
  <c r="E4715" i="6" s="1"/>
  <c r="D4714" i="6"/>
  <c r="D4715" i="6" s="1"/>
  <c r="H25" i="17"/>
  <c r="D4786" i="6"/>
  <c r="J4770" i="6"/>
  <c r="D4777" i="6"/>
  <c r="D4778" i="6" s="1"/>
  <c r="D4764" i="6"/>
  <c r="D4760" i="6"/>
  <c r="D4761" i="6" s="1"/>
  <c r="M4764" i="6"/>
  <c r="L4764" i="6"/>
  <c r="J4760" i="6"/>
  <c r="J4761" i="6" s="1"/>
  <c r="I4760" i="6"/>
  <c r="I4761" i="6" s="1"/>
  <c r="H4760" i="6"/>
  <c r="H4761" i="6" s="1"/>
  <c r="H4764" i="6"/>
  <c r="G4760" i="6"/>
  <c r="G4761" i="6" s="1"/>
  <c r="F4760" i="6"/>
  <c r="F4761" i="6" s="1"/>
  <c r="E4760" i="6"/>
  <c r="E4761" i="6" s="1"/>
  <c r="M4760" i="6"/>
  <c r="M4761" i="6" s="1"/>
  <c r="L4760" i="6"/>
  <c r="L4761" i="6" s="1"/>
  <c r="K4760" i="6"/>
  <c r="K4761" i="6" s="1"/>
  <c r="K4764" i="6"/>
  <c r="E4764" i="6"/>
  <c r="J4764" i="6"/>
  <c r="F4764" i="6"/>
  <c r="I4764" i="6"/>
  <c r="G4764" i="6"/>
  <c r="E4810" i="6"/>
  <c r="F4810" i="6"/>
  <c r="H4810" i="6"/>
  <c r="K4810" i="6"/>
  <c r="I4810" i="6"/>
  <c r="G4810" i="6"/>
  <c r="J4810" i="6"/>
  <c r="L4810" i="6"/>
  <c r="M4810" i="6"/>
  <c r="H18" i="17"/>
  <c r="D4832" i="6"/>
  <c r="J4816" i="6"/>
  <c r="D4823" i="6"/>
  <c r="D4824" i="6" s="1"/>
  <c r="D4810" i="6"/>
  <c r="D4806" i="6"/>
  <c r="D4807" i="6" s="1"/>
  <c r="F4806" i="6"/>
  <c r="F4807" i="6" s="1"/>
  <c r="H4806" i="6"/>
  <c r="H4807" i="6" s="1"/>
  <c r="L4806" i="6"/>
  <c r="L4807" i="6" s="1"/>
  <c r="I4806" i="6"/>
  <c r="I4807" i="6" s="1"/>
  <c r="K4806" i="6"/>
  <c r="K4807" i="6" s="1"/>
  <c r="E4806" i="6"/>
  <c r="E4807" i="6" s="1"/>
  <c r="J4806" i="6"/>
  <c r="J4807" i="6" s="1"/>
  <c r="G4806" i="6"/>
  <c r="G4807" i="6" s="1"/>
  <c r="M4806" i="6"/>
  <c r="M4807" i="6" s="1"/>
  <c r="I4856" i="6"/>
  <c r="J4856" i="6"/>
  <c r="K4856" i="6"/>
  <c r="H4856" i="6"/>
  <c r="M4856" i="6"/>
  <c r="G4856" i="6"/>
  <c r="L4856" i="6"/>
  <c r="E4856" i="6"/>
  <c r="F4856" i="6"/>
  <c r="H26" i="17"/>
  <c r="D4878" i="6"/>
  <c r="J4862" i="6"/>
  <c r="D4869" i="6"/>
  <c r="D4870" i="6" s="1"/>
  <c r="D4856" i="6"/>
  <c r="D4852" i="6"/>
  <c r="D4853" i="6" s="1"/>
  <c r="E4852" i="6"/>
  <c r="E4853" i="6" s="1"/>
  <c r="F4852" i="6"/>
  <c r="F4853" i="6" s="1"/>
  <c r="G4852" i="6"/>
  <c r="G4853" i="6" s="1"/>
  <c r="I4852" i="6"/>
  <c r="I4853" i="6" s="1"/>
  <c r="M4852" i="6"/>
  <c r="M4853" i="6" s="1"/>
  <c r="H4852" i="6"/>
  <c r="H4853" i="6" s="1"/>
  <c r="J4852" i="6"/>
  <c r="J4853" i="6" s="1"/>
  <c r="L4852" i="6"/>
  <c r="L4853" i="6" s="1"/>
  <c r="K4852" i="6"/>
  <c r="K4853" i="6" s="1"/>
  <c r="H19" i="17"/>
  <c r="D4924" i="6"/>
  <c r="J4908" i="6"/>
  <c r="D4915" i="6"/>
  <c r="D4916" i="6" s="1"/>
  <c r="D4902" i="6"/>
  <c r="D4898" i="6"/>
  <c r="D4899" i="6" s="1"/>
  <c r="M4902" i="6"/>
  <c r="H4898" i="6"/>
  <c r="H4899" i="6" s="1"/>
  <c r="H4902" i="6"/>
  <c r="E4902" i="6"/>
  <c r="M4898" i="6"/>
  <c r="M4899" i="6" s="1"/>
  <c r="F4902" i="6"/>
  <c r="L4902" i="6"/>
  <c r="J4898" i="6"/>
  <c r="J4899" i="6" s="1"/>
  <c r="I4898" i="6"/>
  <c r="I4899" i="6" s="1"/>
  <c r="G4898" i="6"/>
  <c r="G4899" i="6" s="1"/>
  <c r="E4898" i="6"/>
  <c r="E4899" i="6" s="1"/>
  <c r="L4898" i="6"/>
  <c r="L4899" i="6" s="1"/>
  <c r="K4898" i="6"/>
  <c r="K4899" i="6" s="1"/>
  <c r="K4902" i="6"/>
  <c r="J4902" i="6"/>
  <c r="I4902" i="6"/>
  <c r="G4902" i="6"/>
  <c r="F4898" i="6"/>
  <c r="F4899" i="6" s="1"/>
  <c r="H27" i="17"/>
  <c r="D4970" i="6"/>
  <c r="J4954" i="6"/>
  <c r="D4961" i="6"/>
  <c r="D4962" i="6" s="1"/>
  <c r="D4948" i="6"/>
  <c r="D4944" i="6"/>
  <c r="D4945" i="6" s="1"/>
  <c r="L4944" i="6"/>
  <c r="L4945" i="6" s="1"/>
  <c r="J4944" i="6"/>
  <c r="J4945" i="6" s="1"/>
  <c r="G4944" i="6"/>
  <c r="G4945" i="6" s="1"/>
  <c r="G4948" i="6"/>
  <c r="F4948" i="6"/>
  <c r="E4948" i="6"/>
  <c r="J4948" i="6"/>
  <c r="H4948" i="6"/>
  <c r="E4944" i="6"/>
  <c r="E4945" i="6" s="1"/>
  <c r="M4944" i="6"/>
  <c r="M4945" i="6" s="1"/>
  <c r="F4944" i="6"/>
  <c r="F4945" i="6" s="1"/>
  <c r="I4948" i="6"/>
  <c r="M4948" i="6"/>
  <c r="L4948" i="6"/>
  <c r="K4944" i="6"/>
  <c r="K4945" i="6" s="1"/>
  <c r="K4948" i="6"/>
  <c r="I4944" i="6"/>
  <c r="I4945" i="6" s="1"/>
  <c r="H4944" i="6"/>
  <c r="H4945" i="6" s="1"/>
  <c r="H20" i="17"/>
  <c r="D5016" i="6"/>
  <c r="J5000" i="6"/>
  <c r="D5007" i="6"/>
  <c r="D5008" i="6" s="1"/>
  <c r="D4994" i="6"/>
  <c r="D4990" i="6"/>
  <c r="D4991" i="6" s="1"/>
  <c r="G4990" i="6"/>
  <c r="G4991" i="6" s="1"/>
  <c r="I4994" i="6"/>
  <c r="K4994" i="6"/>
  <c r="L4994" i="6"/>
  <c r="L4990" i="6"/>
  <c r="L4991" i="6" s="1"/>
  <c r="M4994" i="6"/>
  <c r="M4990" i="6"/>
  <c r="M4991" i="6" s="1"/>
  <c r="F4990" i="6"/>
  <c r="F4991" i="6" s="1"/>
  <c r="G4994" i="6"/>
  <c r="H4994" i="6"/>
  <c r="H4990" i="6"/>
  <c r="H4991" i="6" s="1"/>
  <c r="I4990" i="6"/>
  <c r="I4991" i="6" s="1"/>
  <c r="J4990" i="6"/>
  <c r="J4991" i="6" s="1"/>
  <c r="E4990" i="6"/>
  <c r="E4991" i="6" s="1"/>
  <c r="E4994" i="6"/>
  <c r="F4994" i="6"/>
  <c r="J4994" i="6"/>
  <c r="K4990" i="6"/>
  <c r="K4991" i="6" s="1"/>
  <c r="J2838" i="6"/>
  <c r="D2854" i="6"/>
  <c r="D2845" i="6"/>
  <c r="D2846" i="6" s="1"/>
  <c r="D2832" i="6"/>
  <c r="D2828" i="6"/>
  <c r="D2829" i="6" s="1"/>
  <c r="M2828" i="6"/>
  <c r="M2829" i="6" s="1"/>
  <c r="M2832" i="6"/>
  <c r="L2828" i="6"/>
  <c r="L2829" i="6" s="1"/>
  <c r="L2832" i="6"/>
  <c r="K2828" i="6"/>
  <c r="K2829" i="6" s="1"/>
  <c r="K2832" i="6"/>
  <c r="J2828" i="6"/>
  <c r="J2829" i="6" s="1"/>
  <c r="J2832" i="6"/>
  <c r="I2828" i="6"/>
  <c r="I2829" i="6" s="1"/>
  <c r="I2832" i="6"/>
  <c r="H2828" i="6"/>
  <c r="H2829" i="6" s="1"/>
  <c r="H2832" i="6"/>
  <c r="G2828" i="6"/>
  <c r="G2829" i="6" s="1"/>
  <c r="G2832" i="6"/>
  <c r="F2828" i="6"/>
  <c r="F2829" i="6" s="1"/>
  <c r="F2832" i="6"/>
  <c r="E2828" i="6"/>
  <c r="E2829" i="6" s="1"/>
  <c r="E2832" i="6"/>
  <c r="D3176" i="6"/>
  <c r="J3160" i="6"/>
  <c r="D3167" i="6"/>
  <c r="D3168" i="6" s="1"/>
  <c r="D3154" i="6"/>
  <c r="D3150" i="6"/>
  <c r="D3151" i="6" s="1"/>
  <c r="M3150" i="6"/>
  <c r="M3151" i="6" s="1"/>
  <c r="M3154" i="6"/>
  <c r="L3150" i="6"/>
  <c r="L3151" i="6" s="1"/>
  <c r="L3154" i="6"/>
  <c r="K3150" i="6"/>
  <c r="K3151" i="6" s="1"/>
  <c r="K3154" i="6"/>
  <c r="J3150" i="6"/>
  <c r="J3151" i="6" s="1"/>
  <c r="J3154" i="6"/>
  <c r="I3150" i="6"/>
  <c r="I3151" i="6" s="1"/>
  <c r="I3154" i="6"/>
  <c r="H3150" i="6"/>
  <c r="H3151" i="6" s="1"/>
  <c r="H3154" i="6"/>
  <c r="G3150" i="6"/>
  <c r="G3151" i="6" s="1"/>
  <c r="G3154" i="6"/>
  <c r="F3150" i="6"/>
  <c r="F3151" i="6" s="1"/>
  <c r="F3154" i="6"/>
  <c r="E3150" i="6"/>
  <c r="E3151" i="6" s="1"/>
  <c r="E3154" i="6"/>
  <c r="J3850" i="6"/>
  <c r="D3866" i="6"/>
  <c r="D3857" i="6"/>
  <c r="D3858" i="6" s="1"/>
  <c r="D3844" i="6"/>
  <c r="D3840" i="6"/>
  <c r="D3841" i="6" s="1"/>
  <c r="J3840" i="6"/>
  <c r="J3841" i="6" s="1"/>
  <c r="H3840" i="6"/>
  <c r="H3841" i="6" s="1"/>
  <c r="F3840" i="6"/>
  <c r="F3841" i="6" s="1"/>
  <c r="E3840" i="6"/>
  <c r="E3841" i="6" s="1"/>
  <c r="M3844" i="6"/>
  <c r="M3840" i="6"/>
  <c r="M3841" i="6" s="1"/>
  <c r="L3840" i="6"/>
  <c r="L3841" i="6" s="1"/>
  <c r="K3840" i="6"/>
  <c r="K3841" i="6" s="1"/>
  <c r="I3840" i="6"/>
  <c r="I3841" i="6" s="1"/>
  <c r="E3844" i="6"/>
  <c r="L3844" i="6"/>
  <c r="J3844" i="6"/>
  <c r="K3844" i="6"/>
  <c r="I3844" i="6"/>
  <c r="G3840" i="6"/>
  <c r="G3841" i="6" s="1"/>
  <c r="G3844" i="6"/>
  <c r="H3844" i="6"/>
  <c r="F3844" i="6"/>
  <c r="J3942" i="6"/>
  <c r="D3958" i="6"/>
  <c r="D3949" i="6"/>
  <c r="D3950" i="6" s="1"/>
  <c r="D3936" i="6"/>
  <c r="D3932" i="6"/>
  <c r="D3933" i="6" s="1"/>
  <c r="L3932" i="6"/>
  <c r="L3933" i="6" s="1"/>
  <c r="K3932" i="6"/>
  <c r="K3933" i="6" s="1"/>
  <c r="H3936" i="6"/>
  <c r="E3936" i="6"/>
  <c r="G3932" i="6"/>
  <c r="G3933" i="6" s="1"/>
  <c r="K3936" i="6"/>
  <c r="M3932" i="6"/>
  <c r="M3933" i="6" s="1"/>
  <c r="M3936" i="6"/>
  <c r="L3936" i="6"/>
  <c r="J3932" i="6"/>
  <c r="J3933" i="6" s="1"/>
  <c r="J3936" i="6"/>
  <c r="I3932" i="6"/>
  <c r="I3933" i="6" s="1"/>
  <c r="I3936" i="6"/>
  <c r="G3936" i="6"/>
  <c r="F3932" i="6"/>
  <c r="F3933" i="6" s="1"/>
  <c r="F3936" i="6"/>
  <c r="E3932" i="6"/>
  <c r="E3933" i="6" s="1"/>
  <c r="H3932" i="6"/>
  <c r="H3933" i="6" s="1"/>
  <c r="K5040" i="6"/>
  <c r="L5040" i="6"/>
  <c r="E5040" i="6"/>
  <c r="F5040" i="6"/>
  <c r="G5040" i="6"/>
  <c r="H5040" i="6"/>
  <c r="I5040" i="6"/>
  <c r="J5040" i="6"/>
  <c r="M5040" i="6"/>
  <c r="H28" i="17"/>
  <c r="D5062" i="6"/>
  <c r="J5046" i="6"/>
  <c r="D5053" i="6"/>
  <c r="D5054" i="6" s="1"/>
  <c r="D5040" i="6"/>
  <c r="D5036" i="6"/>
  <c r="D5037" i="6" s="1"/>
  <c r="J5036" i="6"/>
  <c r="J5037" i="6" s="1"/>
  <c r="L5036" i="6"/>
  <c r="L5037" i="6" s="1"/>
  <c r="E5036" i="6"/>
  <c r="E5037" i="6" s="1"/>
  <c r="F5036" i="6"/>
  <c r="F5037" i="6" s="1"/>
  <c r="G5036" i="6"/>
  <c r="G5037" i="6" s="1"/>
  <c r="H5036" i="6"/>
  <c r="H5037" i="6" s="1"/>
  <c r="I5036" i="6"/>
  <c r="I5037" i="6" s="1"/>
  <c r="K5036" i="6"/>
  <c r="K5037" i="6" s="1"/>
  <c r="M5036" i="6"/>
  <c r="M5037" i="6" s="1"/>
  <c r="H21" i="17"/>
  <c r="D5108" i="6"/>
  <c r="J5092" i="6"/>
  <c r="D5099" i="6"/>
  <c r="D5100" i="6" s="1"/>
  <c r="D5086" i="6"/>
  <c r="D5082" i="6"/>
  <c r="D5083" i="6" s="1"/>
  <c r="L5082" i="6"/>
  <c r="L5083" i="6" s="1"/>
  <c r="L5086" i="6"/>
  <c r="K5082" i="6"/>
  <c r="K5083" i="6" s="1"/>
  <c r="K5086" i="6"/>
  <c r="J5082" i="6"/>
  <c r="J5083" i="6" s="1"/>
  <c r="J5086" i="6"/>
  <c r="I5086" i="6"/>
  <c r="H5086" i="6"/>
  <c r="G5086" i="6"/>
  <c r="F5086" i="6"/>
  <c r="M5082" i="6"/>
  <c r="M5083" i="6" s="1"/>
  <c r="M5086" i="6"/>
  <c r="I5082" i="6"/>
  <c r="I5083" i="6" s="1"/>
  <c r="H5082" i="6"/>
  <c r="H5083" i="6" s="1"/>
  <c r="G5082" i="6"/>
  <c r="G5083" i="6" s="1"/>
  <c r="F5082" i="6"/>
  <c r="F5083" i="6" s="1"/>
  <c r="E5082" i="6"/>
  <c r="E5083" i="6" s="1"/>
  <c r="E5086" i="6"/>
  <c r="H29" i="17"/>
  <c r="D5154" i="6"/>
  <c r="J5138" i="6"/>
  <c r="D5145" i="6"/>
  <c r="D5146" i="6" s="1"/>
  <c r="D5132" i="6"/>
  <c r="D5128" i="6"/>
  <c r="D5129" i="6" s="1"/>
  <c r="M5132" i="6"/>
  <c r="L5128" i="6"/>
  <c r="L5129" i="6" s="1"/>
  <c r="L5132" i="6"/>
  <c r="K5132" i="6"/>
  <c r="J5132" i="6"/>
  <c r="I5132" i="6"/>
  <c r="H5128" i="6"/>
  <c r="H5129" i="6" s="1"/>
  <c r="H5132" i="6"/>
  <c r="G5132" i="6"/>
  <c r="F5128" i="6"/>
  <c r="F5129" i="6" s="1"/>
  <c r="F5132" i="6"/>
  <c r="E5132" i="6"/>
  <c r="M5128" i="6"/>
  <c r="M5129" i="6" s="1"/>
  <c r="K5128" i="6"/>
  <c r="K5129" i="6" s="1"/>
  <c r="J5128" i="6"/>
  <c r="J5129" i="6" s="1"/>
  <c r="I5128" i="6"/>
  <c r="I5129" i="6" s="1"/>
  <c r="G5128" i="6"/>
  <c r="G5129" i="6" s="1"/>
  <c r="E5128" i="6"/>
  <c r="E5129" i="6" s="1"/>
  <c r="D3544" i="6"/>
  <c r="J3528" i="6"/>
  <c r="D3535" i="6"/>
  <c r="D3536" i="6" s="1"/>
  <c r="D3522" i="6"/>
  <c r="D3518" i="6"/>
  <c r="D3519" i="6" s="1"/>
  <c r="M3518" i="6"/>
  <c r="M3519" i="6" s="1"/>
  <c r="M3522" i="6"/>
  <c r="L3518" i="6"/>
  <c r="L3519" i="6" s="1"/>
  <c r="L3522" i="6"/>
  <c r="K3518" i="6"/>
  <c r="K3519" i="6" s="1"/>
  <c r="K3522" i="6"/>
  <c r="J3518" i="6"/>
  <c r="J3519" i="6" s="1"/>
  <c r="J3522" i="6"/>
  <c r="I3518" i="6"/>
  <c r="I3519" i="6" s="1"/>
  <c r="I3522" i="6"/>
  <c r="H3518" i="6"/>
  <c r="H3519" i="6" s="1"/>
  <c r="H3522" i="6"/>
  <c r="G3518" i="6"/>
  <c r="G3519" i="6" s="1"/>
  <c r="G3522" i="6"/>
  <c r="F3518" i="6"/>
  <c r="F3519" i="6" s="1"/>
  <c r="F3522" i="6"/>
  <c r="E3518" i="6"/>
  <c r="E3519" i="6" s="1"/>
  <c r="E3522" i="6"/>
  <c r="D4418" i="6"/>
  <c r="D4409" i="6"/>
  <c r="D4410" i="6" s="1"/>
  <c r="J4402" i="6"/>
  <c r="D4396" i="6"/>
  <c r="D4392" i="6"/>
  <c r="D4393" i="6" s="1"/>
  <c r="L4392" i="6"/>
  <c r="L4393" i="6" s="1"/>
  <c r="J4396" i="6"/>
  <c r="I4392" i="6"/>
  <c r="I4393" i="6" s="1"/>
  <c r="I4396" i="6"/>
  <c r="H4396" i="6"/>
  <c r="G4392" i="6"/>
  <c r="G4393" i="6" s="1"/>
  <c r="F4392" i="6"/>
  <c r="F4393" i="6" s="1"/>
  <c r="F4396" i="6"/>
  <c r="M4396" i="6"/>
  <c r="K4396" i="6"/>
  <c r="E4392" i="6"/>
  <c r="E4393" i="6" s="1"/>
  <c r="L4396" i="6"/>
  <c r="H4392" i="6"/>
  <c r="H4393" i="6" s="1"/>
  <c r="E4396" i="6"/>
  <c r="J4392" i="6"/>
  <c r="J4393" i="6" s="1"/>
  <c r="G4396" i="6"/>
  <c r="K4392" i="6"/>
  <c r="K4393" i="6" s="1"/>
  <c r="M4392" i="6"/>
  <c r="M4393" i="6" s="1"/>
  <c r="D6" i="15"/>
  <c r="D48" i="14"/>
  <c r="F6" i="15" s="1"/>
  <c r="D39" i="14"/>
  <c r="D40" i="14" s="1"/>
  <c r="J32" i="14"/>
  <c r="E6" i="15" s="1"/>
  <c r="D26" i="14"/>
  <c r="D22" i="14"/>
  <c r="D23" i="14" s="1"/>
  <c r="M26" i="14"/>
  <c r="F26" i="14"/>
  <c r="F22" i="14"/>
  <c r="F23" i="14" s="1"/>
  <c r="G22" i="14"/>
  <c r="G23" i="14" s="1"/>
  <c r="H22" i="14"/>
  <c r="H23" i="14" s="1"/>
  <c r="J26" i="14"/>
  <c r="L22" i="14"/>
  <c r="L23" i="14" s="1"/>
  <c r="M22" i="14"/>
  <c r="M23" i="14" s="1"/>
  <c r="E26" i="14"/>
  <c r="E22" i="14"/>
  <c r="E23" i="14" s="1"/>
  <c r="G26" i="14"/>
  <c r="H26" i="14"/>
  <c r="I26" i="14"/>
  <c r="I22" i="14"/>
  <c r="I23" i="14" s="1"/>
  <c r="J22" i="14"/>
  <c r="J23" i="14" s="1"/>
  <c r="K26" i="14"/>
  <c r="K22" i="14"/>
  <c r="K23" i="14" s="1"/>
  <c r="L26" i="14"/>
  <c r="D7" i="15"/>
  <c r="D94" i="14"/>
  <c r="F7" i="15" s="1"/>
  <c r="J78" i="14"/>
  <c r="E7" i="15" s="1"/>
  <c r="D85" i="14"/>
  <c r="D86" i="14" s="1"/>
  <c r="D72" i="14"/>
  <c r="D68" i="14"/>
  <c r="D69" i="14" s="1"/>
  <c r="H68" i="14"/>
  <c r="H69" i="14" s="1"/>
  <c r="I68" i="14"/>
  <c r="I69" i="14" s="1"/>
  <c r="L68" i="14"/>
  <c r="L69" i="14" s="1"/>
  <c r="M72" i="14"/>
  <c r="M68" i="14"/>
  <c r="M69" i="14" s="1"/>
  <c r="E72" i="14"/>
  <c r="E68" i="14"/>
  <c r="E69" i="14" s="1"/>
  <c r="F72" i="14"/>
  <c r="F68" i="14"/>
  <c r="F69" i="14" s="1"/>
  <c r="G72" i="14"/>
  <c r="G68" i="14"/>
  <c r="G69" i="14" s="1"/>
  <c r="H72" i="14"/>
  <c r="I72" i="14"/>
  <c r="J72" i="14"/>
  <c r="J68" i="14"/>
  <c r="J69" i="14" s="1"/>
  <c r="K72" i="14"/>
  <c r="K68" i="14"/>
  <c r="K69" i="14" s="1"/>
  <c r="L72" i="14"/>
  <c r="D8" i="15"/>
  <c r="D140" i="14"/>
  <c r="F8" i="15" s="1"/>
  <c r="J124" i="14"/>
  <c r="E8" i="15" s="1"/>
  <c r="D131" i="14"/>
  <c r="D132" i="14" s="1"/>
  <c r="D118" i="14"/>
  <c r="D114" i="14"/>
  <c r="D115" i="14" s="1"/>
  <c r="F114" i="14"/>
  <c r="F115" i="14" s="1"/>
  <c r="H114" i="14"/>
  <c r="H115" i="14" s="1"/>
  <c r="I114" i="14"/>
  <c r="I115" i="14" s="1"/>
  <c r="K118" i="14"/>
  <c r="K114" i="14"/>
  <c r="K115" i="14" s="1"/>
  <c r="M118" i="14"/>
  <c r="M114" i="14"/>
  <c r="M115" i="14" s="1"/>
  <c r="E118" i="14"/>
  <c r="E114" i="14"/>
  <c r="E115" i="14" s="1"/>
  <c r="F118" i="14"/>
  <c r="G118" i="14"/>
  <c r="G114" i="14"/>
  <c r="G115" i="14" s="1"/>
  <c r="H118" i="14"/>
  <c r="I118" i="14"/>
  <c r="J118" i="14"/>
  <c r="J114" i="14"/>
  <c r="J115" i="14" s="1"/>
  <c r="L118" i="14"/>
  <c r="L114" i="14"/>
  <c r="L115" i="14" s="1"/>
  <c r="D9" i="15"/>
  <c r="D186" i="14"/>
  <c r="F9" i="15" s="1"/>
  <c r="J170" i="14"/>
  <c r="E9" i="15" s="1"/>
  <c r="D177" i="14"/>
  <c r="D178" i="14" s="1"/>
  <c r="D164" i="14"/>
  <c r="D160" i="14"/>
  <c r="D161" i="14" s="1"/>
  <c r="H160" i="14"/>
  <c r="H161" i="14" s="1"/>
  <c r="J164" i="14"/>
  <c r="M164" i="14"/>
  <c r="M160" i="14"/>
  <c r="M161" i="14" s="1"/>
  <c r="E164" i="14"/>
  <c r="E160" i="14"/>
  <c r="E161" i="14" s="1"/>
  <c r="F164" i="14"/>
  <c r="F160" i="14"/>
  <c r="F161" i="14" s="1"/>
  <c r="G164" i="14"/>
  <c r="G160" i="14"/>
  <c r="G161" i="14" s="1"/>
  <c r="H164" i="14"/>
  <c r="I164" i="14"/>
  <c r="I160" i="14"/>
  <c r="I161" i="14" s="1"/>
  <c r="J160" i="14"/>
  <c r="J161" i="14" s="1"/>
  <c r="K164" i="14"/>
  <c r="K160" i="14"/>
  <c r="K161" i="14" s="1"/>
  <c r="L164" i="14"/>
  <c r="L160" i="14"/>
  <c r="L161" i="14" s="1"/>
  <c r="D10" i="15"/>
  <c r="D232" i="14"/>
  <c r="F10" i="15" s="1"/>
  <c r="J216" i="14"/>
  <c r="E10" i="15" s="1"/>
  <c r="D223" i="14"/>
  <c r="D224" i="14" s="1"/>
  <c r="D210" i="14"/>
  <c r="D206" i="14"/>
  <c r="D207" i="14" s="1"/>
  <c r="E210" i="14"/>
  <c r="E206" i="14"/>
  <c r="E207" i="14" s="1"/>
  <c r="H206" i="14"/>
  <c r="H207" i="14" s="1"/>
  <c r="I206" i="14"/>
  <c r="I207" i="14" s="1"/>
  <c r="J206" i="14"/>
  <c r="J207" i="14" s="1"/>
  <c r="K206" i="14"/>
  <c r="K207" i="14" s="1"/>
  <c r="M210" i="14"/>
  <c r="M206" i="14"/>
  <c r="M207" i="14" s="1"/>
  <c r="F210" i="14"/>
  <c r="F206" i="14"/>
  <c r="F207" i="14" s="1"/>
  <c r="G210" i="14"/>
  <c r="G206" i="14"/>
  <c r="G207" i="14" s="1"/>
  <c r="H210" i="14"/>
  <c r="I210" i="14"/>
  <c r="J210" i="14"/>
  <c r="K210" i="14"/>
  <c r="L210" i="14"/>
  <c r="L206" i="14"/>
  <c r="L207" i="14" s="1"/>
  <c r="D11" i="15"/>
  <c r="D278" i="14"/>
  <c r="F11" i="15" s="1"/>
  <c r="J262" i="14"/>
  <c r="E11" i="15" s="1"/>
  <c r="D269" i="14"/>
  <c r="D270" i="14" s="1"/>
  <c r="D256" i="14"/>
  <c r="D252" i="14"/>
  <c r="D253" i="14" s="1"/>
  <c r="E252" i="14"/>
  <c r="E253" i="14" s="1"/>
  <c r="G252" i="14"/>
  <c r="G253" i="14" s="1"/>
  <c r="H252" i="14"/>
  <c r="H253" i="14" s="1"/>
  <c r="I252" i="14"/>
  <c r="I253" i="14" s="1"/>
  <c r="J252" i="14"/>
  <c r="J253" i="14" s="1"/>
  <c r="K252" i="14"/>
  <c r="K253" i="14" s="1"/>
  <c r="M256" i="14"/>
  <c r="M252" i="14"/>
  <c r="M253" i="14" s="1"/>
  <c r="E256" i="14"/>
  <c r="F256" i="14"/>
  <c r="F252" i="14"/>
  <c r="F253" i="14" s="1"/>
  <c r="G256" i="14"/>
  <c r="H256" i="14"/>
  <c r="I256" i="14"/>
  <c r="J256" i="14"/>
  <c r="K256" i="14"/>
  <c r="L256" i="14"/>
  <c r="L252" i="14"/>
  <c r="L253" i="14" s="1"/>
  <c r="D12" i="15"/>
  <c r="D324" i="14"/>
  <c r="F12" i="15" s="1"/>
  <c r="J308" i="14"/>
  <c r="E12" i="15" s="1"/>
  <c r="D315" i="14"/>
  <c r="D316" i="14" s="1"/>
  <c r="D302" i="14"/>
  <c r="D298" i="14"/>
  <c r="D299" i="14" s="1"/>
  <c r="G298" i="14"/>
  <c r="G299" i="14" s="1"/>
  <c r="K302" i="14"/>
  <c r="K298" i="14"/>
  <c r="K299" i="14" s="1"/>
  <c r="M298" i="14"/>
  <c r="M299" i="14" s="1"/>
  <c r="E302" i="14"/>
  <c r="E298" i="14"/>
  <c r="E299" i="14" s="1"/>
  <c r="F302" i="14"/>
  <c r="F298" i="14"/>
  <c r="F299" i="14" s="1"/>
  <c r="G302" i="14"/>
  <c r="H302" i="14"/>
  <c r="H298" i="14"/>
  <c r="H299" i="14" s="1"/>
  <c r="I302" i="14"/>
  <c r="I298" i="14"/>
  <c r="I299" i="14" s="1"/>
  <c r="J302" i="14"/>
  <c r="J298" i="14"/>
  <c r="J299" i="14" s="1"/>
  <c r="L302" i="14"/>
  <c r="L298" i="14"/>
  <c r="L299" i="14" s="1"/>
  <c r="M302" i="14"/>
  <c r="D3038" i="6"/>
  <c r="J3022" i="6"/>
  <c r="D3029" i="6"/>
  <c r="D3030" i="6" s="1"/>
  <c r="D3016" i="6"/>
  <c r="D3012" i="6"/>
  <c r="D3013" i="6" s="1"/>
  <c r="M3012" i="6"/>
  <c r="M3013" i="6" s="1"/>
  <c r="M3016" i="6"/>
  <c r="L3012" i="6"/>
  <c r="L3013" i="6" s="1"/>
  <c r="L3016" i="6"/>
  <c r="K3012" i="6"/>
  <c r="K3013" i="6" s="1"/>
  <c r="K3016" i="6"/>
  <c r="J3012" i="6"/>
  <c r="J3013" i="6" s="1"/>
  <c r="J3016" i="6"/>
  <c r="I3012" i="6"/>
  <c r="I3013" i="6" s="1"/>
  <c r="I3016" i="6"/>
  <c r="H3012" i="6"/>
  <c r="H3013" i="6" s="1"/>
  <c r="H3016" i="6"/>
  <c r="G3012" i="6"/>
  <c r="G3013" i="6" s="1"/>
  <c r="G3016" i="6"/>
  <c r="F3012" i="6"/>
  <c r="F3013" i="6" s="1"/>
  <c r="F3016" i="6"/>
  <c r="E3012" i="6"/>
  <c r="E3013" i="6" s="1"/>
  <c r="E3016" i="6"/>
  <c r="E3338" i="6"/>
  <c r="F3338" i="6"/>
  <c r="G3338" i="6"/>
  <c r="H3338" i="6"/>
  <c r="I3338" i="6"/>
  <c r="J3338" i="6"/>
  <c r="K3338" i="6"/>
  <c r="L3338" i="6"/>
  <c r="M3338" i="6"/>
  <c r="J3344" i="6"/>
  <c r="D3360" i="6"/>
  <c r="D3351" i="6"/>
  <c r="D3352" i="6" s="1"/>
  <c r="D3338" i="6"/>
  <c r="D3334" i="6"/>
  <c r="D3335" i="6" s="1"/>
  <c r="E3334" i="6"/>
  <c r="E3335" i="6" s="1"/>
  <c r="F3334" i="6"/>
  <c r="F3335" i="6" s="1"/>
  <c r="G3334" i="6"/>
  <c r="G3335" i="6" s="1"/>
  <c r="H3334" i="6"/>
  <c r="H3335" i="6" s="1"/>
  <c r="I3334" i="6"/>
  <c r="I3335" i="6" s="1"/>
  <c r="J3334" i="6"/>
  <c r="J3335" i="6" s="1"/>
  <c r="K3334" i="6"/>
  <c r="K3335" i="6" s="1"/>
  <c r="L3334" i="6"/>
  <c r="L3335" i="6" s="1"/>
  <c r="M3334" i="6"/>
  <c r="M3335" i="6" s="1"/>
  <c r="D3406" i="6"/>
  <c r="J3390" i="6"/>
  <c r="D3397" i="6"/>
  <c r="D3398" i="6" s="1"/>
  <c r="D3384" i="6"/>
  <c r="D3380" i="6"/>
  <c r="D3381" i="6" s="1"/>
  <c r="E3384" i="6"/>
  <c r="E3380" i="6"/>
  <c r="E3381" i="6" s="1"/>
  <c r="F3384" i="6"/>
  <c r="F3380" i="6"/>
  <c r="F3381" i="6" s="1"/>
  <c r="G3384" i="6"/>
  <c r="G3380" i="6"/>
  <c r="G3381" i="6" s="1"/>
  <c r="H3384" i="6"/>
  <c r="H3380" i="6"/>
  <c r="H3381" i="6" s="1"/>
  <c r="I3384" i="6"/>
  <c r="I3380" i="6"/>
  <c r="I3381" i="6" s="1"/>
  <c r="J3384" i="6"/>
  <c r="J3380" i="6"/>
  <c r="J3381" i="6" s="1"/>
  <c r="K3384" i="6"/>
  <c r="K3380" i="6"/>
  <c r="K3381" i="6" s="1"/>
  <c r="L3384" i="6"/>
  <c r="L3380" i="6"/>
  <c r="L3381" i="6" s="1"/>
  <c r="M3384" i="6"/>
  <c r="M3380" i="6"/>
  <c r="M3381" i="6" s="1"/>
  <c r="D13" i="15"/>
  <c r="D370" i="14"/>
  <c r="F13" i="15" s="1"/>
  <c r="D361" i="14"/>
  <c r="D362" i="14" s="1"/>
  <c r="J354" i="14"/>
  <c r="E13" i="15" s="1"/>
  <c r="D348" i="14"/>
  <c r="K348" i="14"/>
  <c r="I344" i="14"/>
  <c r="I345" i="14" s="1"/>
  <c r="G348" i="14"/>
  <c r="E348" i="14"/>
  <c r="M344" i="14"/>
  <c r="M345" i="14" s="1"/>
  <c r="L344" i="14"/>
  <c r="L345" i="14" s="1"/>
  <c r="M348" i="14"/>
  <c r="L348" i="14"/>
  <c r="K344" i="14"/>
  <c r="K345" i="14" s="1"/>
  <c r="J344" i="14"/>
  <c r="J345" i="14" s="1"/>
  <c r="J348" i="14"/>
  <c r="F344" i="14"/>
  <c r="F345" i="14" s="1"/>
  <c r="F348" i="14"/>
  <c r="I348" i="14"/>
  <c r="H344" i="14"/>
  <c r="H345" i="14" s="1"/>
  <c r="H348" i="14"/>
  <c r="G344" i="14"/>
  <c r="G345" i="14" s="1"/>
  <c r="E344" i="14"/>
  <c r="E345" i="14" s="1"/>
  <c r="D344" i="14"/>
  <c r="D345" i="14" s="1"/>
  <c r="D14" i="15"/>
  <c r="D416" i="14"/>
  <c r="F14" i="15" s="1"/>
  <c r="J400" i="14"/>
  <c r="E14" i="15" s="1"/>
  <c r="D407" i="14"/>
  <c r="D408" i="14" s="1"/>
  <c r="D390" i="14"/>
  <c r="D391" i="14" s="1"/>
  <c r="D394" i="14"/>
  <c r="F390" i="14"/>
  <c r="F391" i="14" s="1"/>
  <c r="H390" i="14"/>
  <c r="H391" i="14" s="1"/>
  <c r="I390" i="14"/>
  <c r="I391" i="14" s="1"/>
  <c r="K394" i="14"/>
  <c r="K390" i="14"/>
  <c r="K391" i="14" s="1"/>
  <c r="L390" i="14"/>
  <c r="L391" i="14" s="1"/>
  <c r="E394" i="14"/>
  <c r="E390" i="14"/>
  <c r="E391" i="14" s="1"/>
  <c r="F394" i="14"/>
  <c r="G394" i="14"/>
  <c r="G390" i="14"/>
  <c r="G391" i="14" s="1"/>
  <c r="H394" i="14"/>
  <c r="I394" i="14"/>
  <c r="J394" i="14"/>
  <c r="J390" i="14"/>
  <c r="J391" i="14" s="1"/>
  <c r="L394" i="14"/>
  <c r="M394" i="14"/>
  <c r="M390" i="14"/>
  <c r="M391" i="14" s="1"/>
  <c r="D15" i="15"/>
  <c r="D462" i="14"/>
  <c r="F15" i="15" s="1"/>
  <c r="J446" i="14"/>
  <c r="E15" i="15" s="1"/>
  <c r="D453" i="14"/>
  <c r="D454" i="14" s="1"/>
  <c r="D440" i="14"/>
  <c r="D436" i="14"/>
  <c r="D437" i="14" s="1"/>
  <c r="F436" i="14"/>
  <c r="F437" i="14" s="1"/>
  <c r="G436" i="14"/>
  <c r="G437" i="14" s="1"/>
  <c r="I436" i="14"/>
  <c r="I437" i="14" s="1"/>
  <c r="J436" i="14"/>
  <c r="J437" i="14" s="1"/>
  <c r="L436" i="14"/>
  <c r="L437" i="14" s="1"/>
  <c r="M440" i="14"/>
  <c r="M436" i="14"/>
  <c r="M437" i="14" s="1"/>
  <c r="E440" i="14"/>
  <c r="E436" i="14"/>
  <c r="E437" i="14" s="1"/>
  <c r="F440" i="14"/>
  <c r="G440" i="14"/>
  <c r="H440" i="14"/>
  <c r="H436" i="14"/>
  <c r="H437" i="14" s="1"/>
  <c r="I440" i="14"/>
  <c r="J440" i="14"/>
  <c r="K440" i="14"/>
  <c r="K436" i="14"/>
  <c r="K437" i="14" s="1"/>
  <c r="L440" i="14"/>
  <c r="D16" i="15"/>
  <c r="D508" i="14"/>
  <c r="F16" i="15" s="1"/>
  <c r="J492" i="14"/>
  <c r="E16" i="15" s="1"/>
  <c r="D499" i="14"/>
  <c r="D500" i="14" s="1"/>
  <c r="D486" i="14"/>
  <c r="D482" i="14"/>
  <c r="D483" i="14" s="1"/>
  <c r="E482" i="14"/>
  <c r="E483" i="14" s="1"/>
  <c r="F482" i="14"/>
  <c r="F483" i="14" s="1"/>
  <c r="G482" i="14"/>
  <c r="G483" i="14" s="1"/>
  <c r="H482" i="14"/>
  <c r="H483" i="14" s="1"/>
  <c r="I482" i="14"/>
  <c r="I483" i="14" s="1"/>
  <c r="L486" i="14"/>
  <c r="M482" i="14"/>
  <c r="M483" i="14" s="1"/>
  <c r="E486" i="14"/>
  <c r="F486" i="14"/>
  <c r="G486" i="14"/>
  <c r="H486" i="14"/>
  <c r="I486" i="14"/>
  <c r="J486" i="14"/>
  <c r="J482" i="14"/>
  <c r="J483" i="14" s="1"/>
  <c r="K486" i="14"/>
  <c r="K482" i="14"/>
  <c r="K483" i="14" s="1"/>
  <c r="L482" i="14"/>
  <c r="L483" i="14" s="1"/>
  <c r="M486" i="14"/>
  <c r="D17" i="15"/>
  <c r="D554" i="14"/>
  <c r="F17" i="15" s="1"/>
  <c r="J538" i="14"/>
  <c r="E17" i="15" s="1"/>
  <c r="D545" i="14"/>
  <c r="D546" i="14" s="1"/>
  <c r="D532" i="14"/>
  <c r="D528" i="14"/>
  <c r="D529" i="14" s="1"/>
  <c r="E528" i="14"/>
  <c r="E529" i="14" s="1"/>
  <c r="G532" i="14"/>
  <c r="G528" i="14"/>
  <c r="G529" i="14" s="1"/>
  <c r="I532" i="14"/>
  <c r="I528" i="14"/>
  <c r="I529" i="14" s="1"/>
  <c r="E532" i="14"/>
  <c r="F532" i="14"/>
  <c r="F528" i="14"/>
  <c r="F529" i="14" s="1"/>
  <c r="H532" i="14"/>
  <c r="H528" i="14"/>
  <c r="H529" i="14" s="1"/>
  <c r="J532" i="14"/>
  <c r="J528" i="14"/>
  <c r="J529" i="14" s="1"/>
  <c r="K532" i="14"/>
  <c r="K528" i="14"/>
  <c r="K529" i="14" s="1"/>
  <c r="L532" i="14"/>
  <c r="L528" i="14"/>
  <c r="L529" i="14" s="1"/>
  <c r="M532" i="14"/>
  <c r="M528" i="14"/>
  <c r="M529" i="14" s="1"/>
  <c r="D18" i="15"/>
  <c r="D600" i="14"/>
  <c r="F18" i="15" s="1"/>
  <c r="J584" i="14"/>
  <c r="E18" i="15" s="1"/>
  <c r="D591" i="14"/>
  <c r="D592" i="14" s="1"/>
  <c r="D578" i="14"/>
  <c r="D574" i="14"/>
  <c r="D575" i="14" s="1"/>
  <c r="E574" i="14"/>
  <c r="E575" i="14" s="1"/>
  <c r="G574" i="14"/>
  <c r="G575" i="14" s="1"/>
  <c r="H574" i="14"/>
  <c r="H575" i="14" s="1"/>
  <c r="J574" i="14"/>
  <c r="J575" i="14" s="1"/>
  <c r="M574" i="14"/>
  <c r="M575" i="14" s="1"/>
  <c r="E578" i="14"/>
  <c r="F578" i="14"/>
  <c r="F574" i="14"/>
  <c r="F575" i="14" s="1"/>
  <c r="G578" i="14"/>
  <c r="H578" i="14"/>
  <c r="I578" i="14"/>
  <c r="I574" i="14"/>
  <c r="I575" i="14" s="1"/>
  <c r="J578" i="14"/>
  <c r="K578" i="14"/>
  <c r="K574" i="14"/>
  <c r="K575" i="14" s="1"/>
  <c r="L578" i="14"/>
  <c r="L574" i="14"/>
  <c r="L575" i="14" s="1"/>
  <c r="M578" i="14"/>
  <c r="D19" i="15"/>
  <c r="D646" i="14"/>
  <c r="F19" i="15" s="1"/>
  <c r="J630" i="14"/>
  <c r="E19" i="15" s="1"/>
  <c r="D637" i="14"/>
  <c r="D638" i="14" s="1"/>
  <c r="D620" i="14"/>
  <c r="D621" i="14" s="1"/>
  <c r="D624" i="14"/>
  <c r="E620" i="14"/>
  <c r="E621" i="14" s="1"/>
  <c r="G620" i="14"/>
  <c r="G621" i="14" s="1"/>
  <c r="K624" i="14"/>
  <c r="L620" i="14"/>
  <c r="L621" i="14" s="1"/>
  <c r="E624" i="14"/>
  <c r="F624" i="14"/>
  <c r="F620" i="14"/>
  <c r="F621" i="14" s="1"/>
  <c r="G624" i="14"/>
  <c r="H624" i="14"/>
  <c r="H620" i="14"/>
  <c r="H621" i="14" s="1"/>
  <c r="I624" i="14"/>
  <c r="I620" i="14"/>
  <c r="I621" i="14" s="1"/>
  <c r="J624" i="14"/>
  <c r="J620" i="14"/>
  <c r="J621" i="14" s="1"/>
  <c r="K620" i="14"/>
  <c r="K621" i="14" s="1"/>
  <c r="L624" i="14"/>
  <c r="M624" i="14"/>
  <c r="M620" i="14"/>
  <c r="M621" i="14" s="1"/>
  <c r="E3660" i="6"/>
  <c r="F3660" i="6"/>
  <c r="G3660" i="6"/>
  <c r="H3660" i="6"/>
  <c r="I3660" i="6"/>
  <c r="J3660" i="6"/>
  <c r="K3660" i="6"/>
  <c r="L3660" i="6"/>
  <c r="M3660" i="6"/>
  <c r="D3682" i="6"/>
  <c r="J3666" i="6"/>
  <c r="D3673" i="6"/>
  <c r="D3674" i="6" s="1"/>
  <c r="D3660" i="6"/>
  <c r="D3656" i="6"/>
  <c r="D3657" i="6" s="1"/>
  <c r="E3656" i="6"/>
  <c r="E3657" i="6" s="1"/>
  <c r="F3656" i="6"/>
  <c r="F3657" i="6" s="1"/>
  <c r="G3656" i="6"/>
  <c r="G3657" i="6" s="1"/>
  <c r="H3656" i="6"/>
  <c r="H3657" i="6" s="1"/>
  <c r="I3656" i="6"/>
  <c r="I3657" i="6" s="1"/>
  <c r="J3656" i="6"/>
  <c r="J3657" i="6" s="1"/>
  <c r="K3656" i="6"/>
  <c r="K3657" i="6" s="1"/>
  <c r="L3656" i="6"/>
  <c r="L3657" i="6" s="1"/>
  <c r="M3656" i="6"/>
  <c r="M3657" i="6" s="1"/>
  <c r="D21" i="15"/>
  <c r="D738" i="14"/>
  <c r="F21" i="15" s="1"/>
  <c r="J722" i="14"/>
  <c r="E21" i="15" s="1"/>
  <c r="D729" i="14"/>
  <c r="D730" i="14" s="1"/>
  <c r="D712" i="14"/>
  <c r="D713" i="14" s="1"/>
  <c r="D716" i="14"/>
  <c r="G716" i="14"/>
  <c r="G712" i="14"/>
  <c r="G713" i="14" s="1"/>
  <c r="H712" i="14"/>
  <c r="H713" i="14" s="1"/>
  <c r="I712" i="14"/>
  <c r="I713" i="14" s="1"/>
  <c r="M712" i="14"/>
  <c r="M713" i="14" s="1"/>
  <c r="E716" i="14"/>
  <c r="E712" i="14"/>
  <c r="E713" i="14" s="1"/>
  <c r="F716" i="14"/>
  <c r="F712" i="14"/>
  <c r="F713" i="14" s="1"/>
  <c r="H716" i="14"/>
  <c r="I716" i="14"/>
  <c r="J716" i="14"/>
  <c r="J712" i="14"/>
  <c r="J713" i="14" s="1"/>
  <c r="K716" i="14"/>
  <c r="K712" i="14"/>
  <c r="K713" i="14" s="1"/>
  <c r="L716" i="14"/>
  <c r="L712" i="14"/>
  <c r="L713" i="14" s="1"/>
  <c r="M716" i="14"/>
  <c r="D22" i="15"/>
  <c r="D784" i="14"/>
  <c r="F22" i="15" s="1"/>
  <c r="J768" i="14"/>
  <c r="E22" i="15" s="1"/>
  <c r="D775" i="14"/>
  <c r="D776" i="14" s="1"/>
  <c r="F758" i="14"/>
  <c r="F759" i="14" s="1"/>
  <c r="D758" i="14"/>
  <c r="D759" i="14" s="1"/>
  <c r="D762" i="14"/>
  <c r="F762" i="14"/>
  <c r="E758" i="14"/>
  <c r="E759" i="14" s="1"/>
  <c r="G758" i="14"/>
  <c r="G759" i="14" s="1"/>
  <c r="H758" i="14"/>
  <c r="H759" i="14" s="1"/>
  <c r="I758" i="14"/>
  <c r="I759" i="14" s="1"/>
  <c r="M762" i="14"/>
  <c r="M758" i="14"/>
  <c r="M759" i="14" s="1"/>
  <c r="E762" i="14"/>
  <c r="G762" i="14"/>
  <c r="H762" i="14"/>
  <c r="I762" i="14"/>
  <c r="J762" i="14"/>
  <c r="J758" i="14"/>
  <c r="J759" i="14" s="1"/>
  <c r="K762" i="14"/>
  <c r="K758" i="14"/>
  <c r="K759" i="14" s="1"/>
  <c r="L762" i="14"/>
  <c r="L758" i="14"/>
  <c r="L759" i="14" s="1"/>
  <c r="D23" i="15"/>
  <c r="D830" i="14"/>
  <c r="F23" i="15" s="1"/>
  <c r="J814" i="14"/>
  <c r="E23" i="15" s="1"/>
  <c r="D821" i="14"/>
  <c r="D822" i="14" s="1"/>
  <c r="D804" i="14"/>
  <c r="D805" i="14" s="1"/>
  <c r="E808" i="14"/>
  <c r="D808" i="14"/>
  <c r="E804" i="14"/>
  <c r="E805" i="14" s="1"/>
  <c r="G804" i="14"/>
  <c r="G805" i="14" s="1"/>
  <c r="J808" i="14"/>
  <c r="J804" i="14"/>
  <c r="J805" i="14" s="1"/>
  <c r="L808" i="14"/>
  <c r="F808" i="14"/>
  <c r="F804" i="14"/>
  <c r="F805" i="14" s="1"/>
  <c r="G808" i="14"/>
  <c r="H808" i="14"/>
  <c r="H804" i="14"/>
  <c r="H805" i="14" s="1"/>
  <c r="I808" i="14"/>
  <c r="I804" i="14"/>
  <c r="I805" i="14" s="1"/>
  <c r="K808" i="14"/>
  <c r="K804" i="14"/>
  <c r="K805" i="14" s="1"/>
  <c r="L804" i="14"/>
  <c r="L805" i="14" s="1"/>
  <c r="M808" i="14"/>
  <c r="M804" i="14"/>
  <c r="M805" i="14" s="1"/>
  <c r="D24" i="15"/>
  <c r="D876" i="14"/>
  <c r="F24" i="15" s="1"/>
  <c r="J860" i="14"/>
  <c r="E24" i="15" s="1"/>
  <c r="D867" i="14"/>
  <c r="D868" i="14" s="1"/>
  <c r="D854" i="14"/>
  <c r="D850" i="14"/>
  <c r="D851" i="14" s="1"/>
  <c r="E854" i="14"/>
  <c r="H850" i="14"/>
  <c r="H851" i="14" s="1"/>
  <c r="J850" i="14"/>
  <c r="J851" i="14" s="1"/>
  <c r="K850" i="14"/>
  <c r="K851" i="14" s="1"/>
  <c r="M854" i="14"/>
  <c r="M850" i="14"/>
  <c r="M851" i="14" s="1"/>
  <c r="E850" i="14"/>
  <c r="E851" i="14" s="1"/>
  <c r="F854" i="14"/>
  <c r="F850" i="14"/>
  <c r="F851" i="14" s="1"/>
  <c r="G854" i="14"/>
  <c r="G850" i="14"/>
  <c r="G851" i="14" s="1"/>
  <c r="H854" i="14"/>
  <c r="I854" i="14"/>
  <c r="I850" i="14"/>
  <c r="I851" i="14" s="1"/>
  <c r="J854" i="14"/>
  <c r="K854" i="14"/>
  <c r="L854" i="14"/>
  <c r="L850" i="14"/>
  <c r="L851" i="14" s="1"/>
  <c r="D25" i="15"/>
  <c r="D922" i="14"/>
  <c r="F25" i="15" s="1"/>
  <c r="J906" i="14"/>
  <c r="E25" i="15" s="1"/>
  <c r="D896" i="14"/>
  <c r="D897" i="14" s="1"/>
  <c r="D913" i="14"/>
  <c r="D914" i="14" s="1"/>
  <c r="D900" i="14"/>
  <c r="I896" i="14"/>
  <c r="I897" i="14" s="1"/>
  <c r="J896" i="14"/>
  <c r="J897" i="14" s="1"/>
  <c r="E900" i="14"/>
  <c r="E896" i="14"/>
  <c r="E897" i="14" s="1"/>
  <c r="F900" i="14"/>
  <c r="F896" i="14"/>
  <c r="F897" i="14" s="1"/>
  <c r="G900" i="14"/>
  <c r="G896" i="14"/>
  <c r="G897" i="14" s="1"/>
  <c r="H900" i="14"/>
  <c r="H896" i="14"/>
  <c r="H897" i="14" s="1"/>
  <c r="I900" i="14"/>
  <c r="J900" i="14"/>
  <c r="K900" i="14"/>
  <c r="K896" i="14"/>
  <c r="K897" i="14" s="1"/>
  <c r="L900" i="14"/>
  <c r="L896" i="14"/>
  <c r="L897" i="14" s="1"/>
  <c r="M900" i="14"/>
  <c r="M896" i="14"/>
  <c r="M897" i="14" s="1"/>
  <c r="D26" i="15"/>
  <c r="D968" i="14"/>
  <c r="F26" i="15" s="1"/>
  <c r="J952" i="14"/>
  <c r="E26" i="15" s="1"/>
  <c r="D959" i="14"/>
  <c r="D960" i="14" s="1"/>
  <c r="D942" i="14"/>
  <c r="D943" i="14" s="1"/>
  <c r="D946" i="14"/>
  <c r="H942" i="14"/>
  <c r="H943" i="14" s="1"/>
  <c r="J942" i="14"/>
  <c r="J943" i="14" s="1"/>
  <c r="E946" i="14"/>
  <c r="E942" i="14"/>
  <c r="E943" i="14" s="1"/>
  <c r="F946" i="14"/>
  <c r="F942" i="14"/>
  <c r="F943" i="14" s="1"/>
  <c r="G946" i="14"/>
  <c r="G942" i="14"/>
  <c r="G943" i="14" s="1"/>
  <c r="H946" i="14"/>
  <c r="I946" i="14"/>
  <c r="I942" i="14"/>
  <c r="I943" i="14" s="1"/>
  <c r="J946" i="14"/>
  <c r="K946" i="14"/>
  <c r="K942" i="14"/>
  <c r="K943" i="14" s="1"/>
  <c r="L946" i="14"/>
  <c r="L942" i="14"/>
  <c r="L943" i="14" s="1"/>
  <c r="M946" i="14"/>
  <c r="M942" i="14"/>
  <c r="M943" i="14" s="1"/>
  <c r="D692" i="14"/>
  <c r="F20" i="15" s="1"/>
  <c r="D20" i="15"/>
  <c r="J676" i="14"/>
  <c r="E20" i="15" s="1"/>
  <c r="D683" i="14"/>
  <c r="D684" i="14" s="1"/>
  <c r="D670" i="14"/>
  <c r="D666" i="14"/>
  <c r="D667" i="14" s="1"/>
  <c r="E666" i="14"/>
  <c r="E667" i="14" s="1"/>
  <c r="F666" i="14"/>
  <c r="F667" i="14" s="1"/>
  <c r="G666" i="14"/>
  <c r="G667" i="14" s="1"/>
  <c r="H666" i="14"/>
  <c r="H667" i="14" s="1"/>
  <c r="I666" i="14"/>
  <c r="I667" i="14" s="1"/>
  <c r="J670" i="14"/>
  <c r="L670" i="14"/>
  <c r="M666" i="14"/>
  <c r="M667" i="14" s="1"/>
  <c r="E670" i="14"/>
  <c r="F670" i="14"/>
  <c r="G670" i="14"/>
  <c r="H670" i="14"/>
  <c r="I670" i="14"/>
  <c r="J666" i="14"/>
  <c r="J667" i="14" s="1"/>
  <c r="K670" i="14"/>
  <c r="K666" i="14"/>
  <c r="K667" i="14" s="1"/>
  <c r="L666" i="14"/>
  <c r="L667" i="14" s="1"/>
  <c r="M670" i="14"/>
  <c r="D27" i="15"/>
  <c r="D1014" i="14"/>
  <c r="F27" i="15" s="1"/>
  <c r="J998" i="14"/>
  <c r="D1005" i="14"/>
  <c r="D1006" i="14" s="1"/>
  <c r="D988" i="14"/>
  <c r="D989" i="14" s="1"/>
  <c r="D992" i="14"/>
  <c r="F992" i="14"/>
  <c r="G992" i="14"/>
  <c r="L992" i="14"/>
  <c r="E992" i="14"/>
  <c r="E988" i="14"/>
  <c r="E989" i="14" s="1"/>
  <c r="F988" i="14"/>
  <c r="F989" i="14" s="1"/>
  <c r="G988" i="14"/>
  <c r="G989" i="14" s="1"/>
  <c r="H992" i="14"/>
  <c r="H988" i="14"/>
  <c r="H989" i="14" s="1"/>
  <c r="I992" i="14"/>
  <c r="I988" i="14"/>
  <c r="I989" i="14" s="1"/>
  <c r="J992" i="14"/>
  <c r="J988" i="14"/>
  <c r="J989" i="14" s="1"/>
  <c r="K992" i="14"/>
  <c r="K988" i="14"/>
  <c r="K989" i="14" s="1"/>
  <c r="L988" i="14"/>
  <c r="L989" i="14" s="1"/>
  <c r="M992" i="14"/>
  <c r="M988" i="14"/>
  <c r="M989" i="14" s="1"/>
  <c r="D28" i="15"/>
  <c r="D1060" i="14"/>
  <c r="F28" i="15" s="1"/>
  <c r="J1044" i="14"/>
  <c r="E28" i="15" s="1"/>
  <c r="D1051" i="14"/>
  <c r="D1052" i="14" s="1"/>
  <c r="D1038" i="14"/>
  <c r="D1034" i="14"/>
  <c r="D1035" i="14" s="1"/>
  <c r="E1038" i="14"/>
  <c r="E1034" i="14"/>
  <c r="E1035" i="14" s="1"/>
  <c r="F1038" i="14"/>
  <c r="F1034" i="14"/>
  <c r="F1035" i="14" s="1"/>
  <c r="G1038" i="14"/>
  <c r="G1034" i="14"/>
  <c r="G1035" i="14" s="1"/>
  <c r="H1038" i="14"/>
  <c r="H1034" i="14"/>
  <c r="H1035" i="14" s="1"/>
  <c r="I1038" i="14"/>
  <c r="I1034" i="14"/>
  <c r="I1035" i="14" s="1"/>
  <c r="J1038" i="14"/>
  <c r="J1034" i="14"/>
  <c r="J1035" i="14" s="1"/>
  <c r="K1038" i="14"/>
  <c r="K1034" i="14"/>
  <c r="K1035" i="14" s="1"/>
  <c r="L1038" i="14"/>
  <c r="L1034" i="14"/>
  <c r="L1035" i="14" s="1"/>
  <c r="M1038" i="14"/>
  <c r="M1034" i="14"/>
  <c r="M1035" i="14" s="1"/>
  <c r="D29" i="15"/>
  <c r="D1106" i="14"/>
  <c r="F29" i="15" s="1"/>
  <c r="J1090" i="14"/>
  <c r="E29" i="15" s="1"/>
  <c r="D1097" i="14"/>
  <c r="D1098" i="14" s="1"/>
  <c r="D1084" i="14"/>
  <c r="D1080" i="14"/>
  <c r="D1081" i="14" s="1"/>
  <c r="G1080" i="14"/>
  <c r="G1081" i="14" s="1"/>
  <c r="H1080" i="14"/>
  <c r="H1081" i="14" s="1"/>
  <c r="L1080" i="14"/>
  <c r="L1081" i="14" s="1"/>
  <c r="M1080" i="14"/>
  <c r="M1081" i="14" s="1"/>
  <c r="E1084" i="14"/>
  <c r="E1080" i="14"/>
  <c r="E1081" i="14" s="1"/>
  <c r="F1084" i="14"/>
  <c r="F1080" i="14"/>
  <c r="F1081" i="14" s="1"/>
  <c r="G1084" i="14"/>
  <c r="H1084" i="14"/>
  <c r="I1084" i="14"/>
  <c r="I1080" i="14"/>
  <c r="I1081" i="14" s="1"/>
  <c r="J1084" i="14"/>
  <c r="J1080" i="14"/>
  <c r="J1081" i="14" s="1"/>
  <c r="K1084" i="14"/>
  <c r="K1080" i="14"/>
  <c r="K1081" i="14" s="1"/>
  <c r="L1084" i="14"/>
  <c r="M1084" i="14"/>
  <c r="D30" i="15"/>
  <c r="D1152" i="14"/>
  <c r="F30" i="15" s="1"/>
  <c r="J1136" i="14"/>
  <c r="E30" i="15" s="1"/>
  <c r="D1143" i="14"/>
  <c r="D1144" i="14" s="1"/>
  <c r="D1130" i="14"/>
  <c r="D1126" i="14"/>
  <c r="D1127" i="14" s="1"/>
  <c r="E1126" i="14"/>
  <c r="E1127" i="14" s="1"/>
  <c r="G1126" i="14"/>
  <c r="G1127" i="14" s="1"/>
  <c r="H1126" i="14"/>
  <c r="H1127" i="14" s="1"/>
  <c r="I1126" i="14"/>
  <c r="I1127" i="14" s="1"/>
  <c r="J1130" i="14"/>
  <c r="J1126" i="14"/>
  <c r="J1127" i="14" s="1"/>
  <c r="K1130" i="14"/>
  <c r="K1126" i="14"/>
  <c r="K1127" i="14" s="1"/>
  <c r="L1130" i="14"/>
  <c r="E1130" i="14"/>
  <c r="F1130" i="14"/>
  <c r="F1126" i="14"/>
  <c r="F1127" i="14" s="1"/>
  <c r="G1130" i="14"/>
  <c r="H1130" i="14"/>
  <c r="I1130" i="14"/>
  <c r="L1126" i="14"/>
  <c r="L1127" i="14" s="1"/>
  <c r="M1130" i="14"/>
  <c r="M1126" i="14"/>
  <c r="M1127" i="14" s="1"/>
  <c r="D31" i="15"/>
  <c r="D1198" i="14"/>
  <c r="F31" i="15" s="1"/>
  <c r="J1182" i="14"/>
  <c r="E31" i="15" s="1"/>
  <c r="D1189" i="14"/>
  <c r="D1190" i="14" s="1"/>
  <c r="D1176" i="14"/>
  <c r="D1172" i="14"/>
  <c r="D1173" i="14" s="1"/>
  <c r="E1176" i="14"/>
  <c r="E1172" i="14"/>
  <c r="E1173" i="14" s="1"/>
  <c r="F1176" i="14"/>
  <c r="F1172" i="14"/>
  <c r="F1173" i="14" s="1"/>
  <c r="G1176" i="14"/>
  <c r="G1172" i="14"/>
  <c r="G1173" i="14" s="1"/>
  <c r="H1176" i="14"/>
  <c r="H1172" i="14"/>
  <c r="H1173" i="14" s="1"/>
  <c r="I1176" i="14"/>
  <c r="I1172" i="14"/>
  <c r="I1173" i="14" s="1"/>
  <c r="J1176" i="14"/>
  <c r="J1172" i="14"/>
  <c r="J1173" i="14" s="1"/>
  <c r="K1176" i="14"/>
  <c r="K1172" i="14"/>
  <c r="K1173" i="14" s="1"/>
  <c r="L1176" i="14"/>
  <c r="L1172" i="14"/>
  <c r="L1173" i="14" s="1"/>
  <c r="M1176" i="14"/>
  <c r="M1172" i="14"/>
  <c r="M1173" i="14" s="1"/>
  <c r="D32" i="15"/>
  <c r="D1244" i="14"/>
  <c r="F32" i="15" s="1"/>
  <c r="J1228" i="14"/>
  <c r="E32" i="15" s="1"/>
  <c r="D1218" i="14"/>
  <c r="D1219" i="14" s="1"/>
  <c r="D1235" i="14"/>
  <c r="D1236" i="14" s="1"/>
  <c r="D1222" i="14"/>
  <c r="E1222" i="14"/>
  <c r="E1218" i="14"/>
  <c r="E1219" i="14" s="1"/>
  <c r="F1222" i="14"/>
  <c r="F1218" i="14"/>
  <c r="F1219" i="14" s="1"/>
  <c r="G1222" i="14"/>
  <c r="G1218" i="14"/>
  <c r="G1219" i="14" s="1"/>
  <c r="H1222" i="14"/>
  <c r="H1218" i="14"/>
  <c r="H1219" i="14" s="1"/>
  <c r="I1222" i="14"/>
  <c r="I1218" i="14"/>
  <c r="I1219" i="14" s="1"/>
  <c r="J1222" i="14"/>
  <c r="J1218" i="14"/>
  <c r="J1219" i="14" s="1"/>
  <c r="K1222" i="14"/>
  <c r="K1218" i="14"/>
  <c r="K1219" i="14" s="1"/>
  <c r="L1222" i="14"/>
  <c r="L1218" i="14"/>
  <c r="L1219" i="14" s="1"/>
  <c r="M1222" i="14"/>
  <c r="M1218" i="14"/>
  <c r="M1219" i="14" s="1"/>
  <c r="D2946" i="6"/>
  <c r="J2930" i="6"/>
  <c r="D2937" i="6"/>
  <c r="D2938" i="6" s="1"/>
  <c r="F2924" i="6"/>
  <c r="F2920" i="6"/>
  <c r="F2921" i="6" s="1"/>
  <c r="D2924" i="6"/>
  <c r="D2920" i="6"/>
  <c r="D2921" i="6" s="1"/>
  <c r="M2920" i="6"/>
  <c r="M2921" i="6" s="1"/>
  <c r="M2924" i="6"/>
  <c r="L2920" i="6"/>
  <c r="L2921" i="6" s="1"/>
  <c r="L2924" i="6"/>
  <c r="K2920" i="6"/>
  <c r="K2921" i="6" s="1"/>
  <c r="K2924" i="6"/>
  <c r="J2920" i="6"/>
  <c r="J2921" i="6" s="1"/>
  <c r="J2924" i="6"/>
  <c r="I2920" i="6"/>
  <c r="I2921" i="6" s="1"/>
  <c r="I2924" i="6"/>
  <c r="H2920" i="6"/>
  <c r="H2921" i="6" s="1"/>
  <c r="H2924" i="6"/>
  <c r="G2920" i="6"/>
  <c r="G2921" i="6" s="1"/>
  <c r="G2924" i="6"/>
  <c r="E2920" i="6"/>
  <c r="E2921" i="6" s="1"/>
  <c r="E2924" i="6"/>
  <c r="D2992" i="6"/>
  <c r="J2976" i="6"/>
  <c r="D2983" i="6"/>
  <c r="D2984" i="6" s="1"/>
  <c r="D2970" i="6"/>
  <c r="D2966" i="6"/>
  <c r="D2967" i="6" s="1"/>
  <c r="M2966" i="6"/>
  <c r="M2967" i="6" s="1"/>
  <c r="M2970" i="6"/>
  <c r="L2966" i="6"/>
  <c r="L2967" i="6" s="1"/>
  <c r="L2970" i="6"/>
  <c r="K2966" i="6"/>
  <c r="K2967" i="6" s="1"/>
  <c r="K2970" i="6"/>
  <c r="J2966" i="6"/>
  <c r="J2967" i="6" s="1"/>
  <c r="J2970" i="6"/>
  <c r="I2966" i="6"/>
  <c r="I2967" i="6" s="1"/>
  <c r="I2970" i="6"/>
  <c r="H2966" i="6"/>
  <c r="H2967" i="6" s="1"/>
  <c r="H2970" i="6"/>
  <c r="G2966" i="6"/>
  <c r="G2967" i="6" s="1"/>
  <c r="G2970" i="6"/>
  <c r="F2966" i="6"/>
  <c r="F2967" i="6" s="1"/>
  <c r="F2970" i="6"/>
  <c r="E2966" i="6"/>
  <c r="E2967" i="6" s="1"/>
  <c r="E2970" i="6"/>
  <c r="D38" i="15"/>
  <c r="D1520" i="14"/>
  <c r="F38" i="15" s="1"/>
  <c r="J1504" i="14"/>
  <c r="E38" i="15" s="1"/>
  <c r="D1511" i="14"/>
  <c r="D1512" i="14" s="1"/>
  <c r="D1498" i="14"/>
  <c r="D1494" i="14"/>
  <c r="D1495" i="14" s="1"/>
  <c r="E1498" i="14"/>
  <c r="E1494" i="14"/>
  <c r="E1495" i="14" s="1"/>
  <c r="F1498" i="14"/>
  <c r="F1494" i="14"/>
  <c r="F1495" i="14" s="1"/>
  <c r="G1498" i="14"/>
  <c r="G1494" i="14"/>
  <c r="G1495" i="14" s="1"/>
  <c r="H1498" i="14"/>
  <c r="H1494" i="14"/>
  <c r="H1495" i="14" s="1"/>
  <c r="I1498" i="14"/>
  <c r="I1494" i="14"/>
  <c r="I1495" i="14" s="1"/>
  <c r="J1498" i="14"/>
  <c r="J1494" i="14"/>
  <c r="J1495" i="14" s="1"/>
  <c r="M1498" i="14"/>
  <c r="K1498" i="14"/>
  <c r="M1494" i="14"/>
  <c r="M1495" i="14" s="1"/>
  <c r="K1494" i="14"/>
  <c r="K1495" i="14" s="1"/>
  <c r="L1498" i="14"/>
  <c r="L1494" i="14"/>
  <c r="L1495" i="14" s="1"/>
  <c r="D39" i="15"/>
  <c r="D1566" i="14"/>
  <c r="F39" i="15" s="1"/>
  <c r="J1550" i="14"/>
  <c r="E39" i="15" s="1"/>
  <c r="D1540" i="14"/>
  <c r="D1541" i="14" s="1"/>
  <c r="D1557" i="14"/>
  <c r="D1558" i="14" s="1"/>
  <c r="D1544" i="14"/>
  <c r="F1544" i="14"/>
  <c r="J1540" i="14"/>
  <c r="J1541" i="14" s="1"/>
  <c r="M1544" i="14"/>
  <c r="E1544" i="14"/>
  <c r="G1544" i="14"/>
  <c r="I1540" i="14"/>
  <c r="I1541" i="14" s="1"/>
  <c r="K1540" i="14"/>
  <c r="K1541" i="14" s="1"/>
  <c r="L1540" i="14"/>
  <c r="L1541" i="14" s="1"/>
  <c r="G1540" i="14"/>
  <c r="G1541" i="14" s="1"/>
  <c r="K1544" i="14"/>
  <c r="E1540" i="14"/>
  <c r="E1541" i="14" s="1"/>
  <c r="F1540" i="14"/>
  <c r="F1541" i="14" s="1"/>
  <c r="H1544" i="14"/>
  <c r="H1540" i="14"/>
  <c r="H1541" i="14" s="1"/>
  <c r="I1544" i="14"/>
  <c r="J1544" i="14"/>
  <c r="L1544" i="14"/>
  <c r="M1540" i="14"/>
  <c r="M1541" i="14" s="1"/>
  <c r="D3084" i="6"/>
  <c r="J3068" i="6"/>
  <c r="D3075" i="6"/>
  <c r="D3076" i="6" s="1"/>
  <c r="D3062" i="6"/>
  <c r="D3058" i="6"/>
  <c r="D3059" i="6" s="1"/>
  <c r="M3058" i="6"/>
  <c r="M3059" i="6" s="1"/>
  <c r="M3062" i="6"/>
  <c r="L3058" i="6"/>
  <c r="L3059" i="6" s="1"/>
  <c r="L3062" i="6"/>
  <c r="K3058" i="6"/>
  <c r="K3059" i="6" s="1"/>
  <c r="K3062" i="6"/>
  <c r="J3058" i="6"/>
  <c r="J3059" i="6" s="1"/>
  <c r="J3062" i="6"/>
  <c r="I3058" i="6"/>
  <c r="I3059" i="6" s="1"/>
  <c r="I3062" i="6"/>
  <c r="H3058" i="6"/>
  <c r="H3059" i="6" s="1"/>
  <c r="H3062" i="6"/>
  <c r="G3058" i="6"/>
  <c r="G3059" i="6" s="1"/>
  <c r="G3062" i="6"/>
  <c r="F3058" i="6"/>
  <c r="F3059" i="6" s="1"/>
  <c r="F3062" i="6"/>
  <c r="E3058" i="6"/>
  <c r="E3059" i="6" s="1"/>
  <c r="E3062" i="6"/>
  <c r="D3130" i="6"/>
  <c r="J3114" i="6"/>
  <c r="D3121" i="6"/>
  <c r="D3122" i="6" s="1"/>
  <c r="D3108" i="6"/>
  <c r="D3104" i="6"/>
  <c r="D3105" i="6" s="1"/>
  <c r="M3104" i="6"/>
  <c r="M3105" i="6" s="1"/>
  <c r="M3108" i="6"/>
  <c r="L3104" i="6"/>
  <c r="L3105" i="6" s="1"/>
  <c r="L3108" i="6"/>
  <c r="K3104" i="6"/>
  <c r="K3105" i="6" s="1"/>
  <c r="K3108" i="6"/>
  <c r="J3104" i="6"/>
  <c r="J3105" i="6" s="1"/>
  <c r="J3108" i="6"/>
  <c r="I3104" i="6"/>
  <c r="I3105" i="6" s="1"/>
  <c r="I3108" i="6"/>
  <c r="H3104" i="6"/>
  <c r="H3105" i="6" s="1"/>
  <c r="H3108" i="6"/>
  <c r="G3104" i="6"/>
  <c r="G3105" i="6" s="1"/>
  <c r="G3108" i="6"/>
  <c r="F3104" i="6"/>
  <c r="F3105" i="6" s="1"/>
  <c r="F3108" i="6"/>
  <c r="E3104" i="6"/>
  <c r="E3105" i="6" s="1"/>
  <c r="E3108" i="6"/>
  <c r="J3298" i="6"/>
  <c r="D3314" i="6"/>
  <c r="D3305" i="6"/>
  <c r="D3306" i="6" s="1"/>
  <c r="D3292" i="6"/>
  <c r="D3288" i="6"/>
  <c r="D3289" i="6" s="1"/>
  <c r="M3288" i="6"/>
  <c r="M3289" i="6" s="1"/>
  <c r="M3292" i="6"/>
  <c r="L3288" i="6"/>
  <c r="L3289" i="6" s="1"/>
  <c r="L3292" i="6"/>
  <c r="K3288" i="6"/>
  <c r="K3289" i="6" s="1"/>
  <c r="K3292" i="6"/>
  <c r="J3288" i="6"/>
  <c r="J3289" i="6" s="1"/>
  <c r="J3292" i="6"/>
  <c r="I3288" i="6"/>
  <c r="I3289" i="6" s="1"/>
  <c r="I3292" i="6"/>
  <c r="H3288" i="6"/>
  <c r="H3289" i="6" s="1"/>
  <c r="H3292" i="6"/>
  <c r="G3288" i="6"/>
  <c r="G3289" i="6" s="1"/>
  <c r="G3292" i="6"/>
  <c r="F3288" i="6"/>
  <c r="F3289" i="6" s="1"/>
  <c r="F3292" i="6"/>
  <c r="E3288" i="6"/>
  <c r="E3289" i="6" s="1"/>
  <c r="E3292" i="6"/>
  <c r="E3430" i="6"/>
  <c r="F3430" i="6"/>
  <c r="G3430" i="6"/>
  <c r="H3430" i="6"/>
  <c r="I3430" i="6"/>
  <c r="J3430" i="6"/>
  <c r="K3430" i="6"/>
  <c r="L3430" i="6"/>
  <c r="M3430" i="6"/>
  <c r="J3436" i="6"/>
  <c r="D3452" i="6"/>
  <c r="D3443" i="6"/>
  <c r="D3444" i="6" s="1"/>
  <c r="D3430" i="6"/>
  <c r="D3426" i="6"/>
  <c r="D3427" i="6" s="1"/>
  <c r="E3426" i="6"/>
  <c r="E3427" i="6" s="1"/>
  <c r="F3426" i="6"/>
  <c r="F3427" i="6" s="1"/>
  <c r="G3426" i="6"/>
  <c r="G3427" i="6" s="1"/>
  <c r="H3426" i="6"/>
  <c r="H3427" i="6" s="1"/>
  <c r="I3426" i="6"/>
  <c r="I3427" i="6" s="1"/>
  <c r="J3426" i="6"/>
  <c r="J3427" i="6" s="1"/>
  <c r="K3426" i="6"/>
  <c r="K3427" i="6" s="1"/>
  <c r="L3426" i="6"/>
  <c r="L3427" i="6" s="1"/>
  <c r="M3426" i="6"/>
  <c r="M3427" i="6" s="1"/>
  <c r="D3498" i="6"/>
  <c r="J3482" i="6"/>
  <c r="D3489" i="6"/>
  <c r="D3490" i="6" s="1"/>
  <c r="D3476" i="6"/>
  <c r="D3472" i="6"/>
  <c r="D3473" i="6" s="1"/>
  <c r="M3472" i="6"/>
  <c r="M3473" i="6" s="1"/>
  <c r="M3476" i="6"/>
  <c r="L3472" i="6"/>
  <c r="L3473" i="6" s="1"/>
  <c r="L3476" i="6"/>
  <c r="K3472" i="6"/>
  <c r="K3473" i="6" s="1"/>
  <c r="K3476" i="6"/>
  <c r="J3472" i="6"/>
  <c r="J3473" i="6" s="1"/>
  <c r="J3476" i="6"/>
  <c r="I3472" i="6"/>
  <c r="I3473" i="6" s="1"/>
  <c r="I3476" i="6"/>
  <c r="H3472" i="6"/>
  <c r="H3473" i="6" s="1"/>
  <c r="H3476" i="6"/>
  <c r="G3472" i="6"/>
  <c r="G3473" i="6" s="1"/>
  <c r="G3476" i="6"/>
  <c r="F3472" i="6"/>
  <c r="F3473" i="6" s="1"/>
  <c r="F3476" i="6"/>
  <c r="E3472" i="6"/>
  <c r="E3473" i="6" s="1"/>
  <c r="E3476" i="6"/>
  <c r="D1290" i="14"/>
  <c r="F33" i="15" s="1"/>
  <c r="D1281" i="14"/>
  <c r="D1282" i="14" s="1"/>
  <c r="D33" i="15"/>
  <c r="J1274" i="14"/>
  <c r="E33" i="15" s="1"/>
  <c r="D1268" i="14"/>
  <c r="D1264" i="14"/>
  <c r="D1265" i="14" s="1"/>
  <c r="M1264" i="14"/>
  <c r="M1265" i="14" s="1"/>
  <c r="M1268" i="14"/>
  <c r="E1268" i="14"/>
  <c r="E1264" i="14"/>
  <c r="E1265" i="14" s="1"/>
  <c r="F1268" i="14"/>
  <c r="F1264" i="14"/>
  <c r="F1265" i="14" s="1"/>
  <c r="G1268" i="14"/>
  <c r="G1264" i="14"/>
  <c r="G1265" i="14" s="1"/>
  <c r="H1268" i="14"/>
  <c r="H1264" i="14"/>
  <c r="H1265" i="14" s="1"/>
  <c r="I1268" i="14"/>
  <c r="I1264" i="14"/>
  <c r="I1265" i="14" s="1"/>
  <c r="J1268" i="14"/>
  <c r="J1264" i="14"/>
  <c r="J1265" i="14" s="1"/>
  <c r="K1268" i="14"/>
  <c r="K1264" i="14"/>
  <c r="K1265" i="14" s="1"/>
  <c r="L1268" i="14"/>
  <c r="L1264" i="14"/>
  <c r="L1265" i="14" s="1"/>
  <c r="D34" i="15"/>
  <c r="D1336" i="14"/>
  <c r="F34" i="15" s="1"/>
  <c r="J1320" i="14"/>
  <c r="E34" i="15" s="1"/>
  <c r="D1327" i="14"/>
  <c r="D1328" i="14" s="1"/>
  <c r="D1314" i="14"/>
  <c r="D1310" i="14"/>
  <c r="D1311" i="14" s="1"/>
  <c r="E1314" i="14"/>
  <c r="E1310" i="14"/>
  <c r="E1311" i="14" s="1"/>
  <c r="F1314" i="14"/>
  <c r="F1310" i="14"/>
  <c r="F1311" i="14" s="1"/>
  <c r="G1314" i="14"/>
  <c r="G1310" i="14"/>
  <c r="G1311" i="14" s="1"/>
  <c r="H1314" i="14"/>
  <c r="H1310" i="14"/>
  <c r="H1311" i="14" s="1"/>
  <c r="I1314" i="14"/>
  <c r="I1310" i="14"/>
  <c r="I1311" i="14" s="1"/>
  <c r="J1314" i="14"/>
  <c r="J1310" i="14"/>
  <c r="J1311" i="14" s="1"/>
  <c r="K1314" i="14"/>
  <c r="K1310" i="14"/>
  <c r="K1311" i="14" s="1"/>
  <c r="L1314" i="14"/>
  <c r="L1310" i="14"/>
  <c r="L1311" i="14" s="1"/>
  <c r="M1314" i="14"/>
  <c r="M1310" i="14"/>
  <c r="M1311" i="14" s="1"/>
  <c r="D35" i="15"/>
  <c r="D1382" i="14"/>
  <c r="F35" i="15" s="1"/>
  <c r="J1366" i="14"/>
  <c r="E35" i="15" s="1"/>
  <c r="D1373" i="14"/>
  <c r="D1374" i="14" s="1"/>
  <c r="D1360" i="14"/>
  <c r="D1356" i="14"/>
  <c r="D1357" i="14" s="1"/>
  <c r="E1360" i="14"/>
  <c r="E1356" i="14"/>
  <c r="E1357" i="14" s="1"/>
  <c r="F1360" i="14"/>
  <c r="F1356" i="14"/>
  <c r="F1357" i="14" s="1"/>
  <c r="G1360" i="14"/>
  <c r="G1356" i="14"/>
  <c r="G1357" i="14" s="1"/>
  <c r="H1360" i="14"/>
  <c r="H1356" i="14"/>
  <c r="H1357" i="14" s="1"/>
  <c r="I1360" i="14"/>
  <c r="I1356" i="14"/>
  <c r="I1357" i="14" s="1"/>
  <c r="J1360" i="14"/>
  <c r="J1356" i="14"/>
  <c r="J1357" i="14" s="1"/>
  <c r="K1360" i="14"/>
  <c r="K1356" i="14"/>
  <c r="K1357" i="14" s="1"/>
  <c r="L1360" i="14"/>
  <c r="L1356" i="14"/>
  <c r="L1357" i="14" s="1"/>
  <c r="M1360" i="14"/>
  <c r="M1356" i="14"/>
  <c r="M1357" i="14" s="1"/>
  <c r="D36" i="15"/>
  <c r="D1428" i="14"/>
  <c r="F36" i="15" s="1"/>
  <c r="J1412" i="14"/>
  <c r="E36" i="15" s="1"/>
  <c r="D1419" i="14"/>
  <c r="D1420" i="14" s="1"/>
  <c r="D1406" i="14"/>
  <c r="D1402" i="14"/>
  <c r="D1403" i="14" s="1"/>
  <c r="E1406" i="14"/>
  <c r="E1402" i="14"/>
  <c r="E1403" i="14" s="1"/>
  <c r="F1406" i="14"/>
  <c r="F1402" i="14"/>
  <c r="F1403" i="14" s="1"/>
  <c r="G1406" i="14"/>
  <c r="G1402" i="14"/>
  <c r="G1403" i="14" s="1"/>
  <c r="H1406" i="14"/>
  <c r="H1402" i="14"/>
  <c r="H1403" i="14" s="1"/>
  <c r="I1406" i="14"/>
  <c r="I1402" i="14"/>
  <c r="I1403" i="14" s="1"/>
  <c r="J1406" i="14"/>
  <c r="J1402" i="14"/>
  <c r="J1403" i="14" s="1"/>
  <c r="K1406" i="14"/>
  <c r="K1402" i="14"/>
  <c r="K1403" i="14" s="1"/>
  <c r="L1406" i="14"/>
  <c r="L1402" i="14"/>
  <c r="L1403" i="14" s="1"/>
  <c r="M1406" i="14"/>
  <c r="M1402" i="14"/>
  <c r="M1403" i="14" s="1"/>
  <c r="D1474" i="14"/>
  <c r="F37" i="15" s="1"/>
  <c r="J1458" i="14"/>
  <c r="E37" i="15" s="1"/>
  <c r="D37" i="15"/>
  <c r="D1465" i="14"/>
  <c r="D1466" i="14" s="1"/>
  <c r="D1452" i="14"/>
  <c r="D1448" i="14"/>
  <c r="D1449" i="14" s="1"/>
  <c r="E1452" i="14"/>
  <c r="E1448" i="14"/>
  <c r="E1449" i="14" s="1"/>
  <c r="F1452" i="14"/>
  <c r="F1448" i="14"/>
  <c r="F1449" i="14" s="1"/>
  <c r="G1452" i="14"/>
  <c r="G1448" i="14"/>
  <c r="G1449" i="14" s="1"/>
  <c r="H1452" i="14"/>
  <c r="H1448" i="14"/>
  <c r="H1449" i="14" s="1"/>
  <c r="I1452" i="14"/>
  <c r="I1448" i="14"/>
  <c r="I1449" i="14" s="1"/>
  <c r="J1452" i="14"/>
  <c r="J1448" i="14"/>
  <c r="J1449" i="14" s="1"/>
  <c r="K1452" i="14"/>
  <c r="K1448" i="14"/>
  <c r="K1449" i="14" s="1"/>
  <c r="L1452" i="14"/>
  <c r="L1448" i="14"/>
  <c r="L1449" i="14" s="1"/>
  <c r="M1452" i="14"/>
  <c r="M1448" i="14"/>
  <c r="M1449" i="14" s="1"/>
  <c r="D40" i="15"/>
  <c r="D1612" i="14"/>
  <c r="F40" i="15" s="1"/>
  <c r="D1603" i="14"/>
  <c r="D1604" i="14" s="1"/>
  <c r="J1596" i="14"/>
  <c r="E40" i="15" s="1"/>
  <c r="D1586" i="14"/>
  <c r="D1587" i="14" s="1"/>
  <c r="D1590" i="14"/>
  <c r="M1590" i="14"/>
  <c r="M1586" i="14"/>
  <c r="M1587" i="14" s="1"/>
  <c r="E1590" i="14"/>
  <c r="I1590" i="14"/>
  <c r="J1590" i="14"/>
  <c r="G1590" i="14"/>
  <c r="G1586" i="14"/>
  <c r="G1587" i="14" s="1"/>
  <c r="K1590" i="14"/>
  <c r="K1586" i="14"/>
  <c r="K1587" i="14" s="1"/>
  <c r="F1590" i="14"/>
  <c r="J1586" i="14"/>
  <c r="J1587" i="14" s="1"/>
  <c r="E1586" i="14"/>
  <c r="E1587" i="14" s="1"/>
  <c r="F1586" i="14"/>
  <c r="F1587" i="14" s="1"/>
  <c r="H1590" i="14"/>
  <c r="H1586" i="14"/>
  <c r="H1587" i="14" s="1"/>
  <c r="I1586" i="14"/>
  <c r="I1587" i="14" s="1"/>
  <c r="L1590" i="14"/>
  <c r="L1586" i="14"/>
  <c r="L1587" i="14" s="1"/>
  <c r="D41" i="15"/>
  <c r="D1658" i="14"/>
  <c r="F41" i="15" s="1"/>
  <c r="J1642" i="14"/>
  <c r="E41" i="15" s="1"/>
  <c r="D1649" i="14"/>
  <c r="D1650" i="14" s="1"/>
  <c r="D1636" i="14"/>
  <c r="D1632" i="14"/>
  <c r="D1633" i="14" s="1"/>
  <c r="H1632" i="14"/>
  <c r="H1633" i="14" s="1"/>
  <c r="E1636" i="14"/>
  <c r="E1632" i="14"/>
  <c r="E1633" i="14" s="1"/>
  <c r="G1636" i="14"/>
  <c r="G1632" i="14"/>
  <c r="G1633" i="14" s="1"/>
  <c r="J1632" i="14"/>
  <c r="J1633" i="14" s="1"/>
  <c r="K1632" i="14"/>
  <c r="K1633" i="14" s="1"/>
  <c r="J1636" i="14"/>
  <c r="L1636" i="14"/>
  <c r="M1632" i="14"/>
  <c r="M1633" i="14" s="1"/>
  <c r="F1636" i="14"/>
  <c r="F1632" i="14"/>
  <c r="F1633" i="14" s="1"/>
  <c r="H1636" i="14"/>
  <c r="I1636" i="14"/>
  <c r="I1632" i="14"/>
  <c r="I1633" i="14" s="1"/>
  <c r="K1636" i="14"/>
  <c r="L1632" i="14"/>
  <c r="L1633" i="14" s="1"/>
  <c r="M1636" i="14"/>
  <c r="D42" i="15"/>
  <c r="D1704" i="14"/>
  <c r="F42" i="15" s="1"/>
  <c r="J1688" i="14"/>
  <c r="E42" i="15" s="1"/>
  <c r="D1695" i="14"/>
  <c r="D1696" i="14" s="1"/>
  <c r="D1682" i="14"/>
  <c r="D1678" i="14"/>
  <c r="D1679" i="14" s="1"/>
  <c r="E1682" i="14"/>
  <c r="F1682" i="14"/>
  <c r="G1682" i="14"/>
  <c r="H1682" i="14"/>
  <c r="H1678" i="14"/>
  <c r="H1679" i="14" s="1"/>
  <c r="J1682" i="14"/>
  <c r="K1678" i="14"/>
  <c r="K1679" i="14" s="1"/>
  <c r="M1682" i="14"/>
  <c r="E1678" i="14"/>
  <c r="E1679" i="14" s="1"/>
  <c r="F1678" i="14"/>
  <c r="F1679" i="14" s="1"/>
  <c r="G1678" i="14"/>
  <c r="G1679" i="14" s="1"/>
  <c r="I1682" i="14"/>
  <c r="I1678" i="14"/>
  <c r="I1679" i="14" s="1"/>
  <c r="J1678" i="14"/>
  <c r="J1679" i="14" s="1"/>
  <c r="K1682" i="14"/>
  <c r="L1682" i="14"/>
  <c r="L1678" i="14"/>
  <c r="L1679" i="14" s="1"/>
  <c r="M1678" i="14"/>
  <c r="M1679" i="14" s="1"/>
  <c r="D43" i="15"/>
  <c r="D1750" i="14"/>
  <c r="F43" i="15" s="1"/>
  <c r="J1734" i="14"/>
  <c r="E43" i="15" s="1"/>
  <c r="D1741" i="14"/>
  <c r="D1742" i="14" s="1"/>
  <c r="D1724" i="14"/>
  <c r="D1725" i="14" s="1"/>
  <c r="D1728" i="14"/>
  <c r="F1728" i="14"/>
  <c r="H1728" i="14"/>
  <c r="H1724" i="14"/>
  <c r="H1725" i="14" s="1"/>
  <c r="J1724" i="14"/>
  <c r="J1725" i="14" s="1"/>
  <c r="K1724" i="14"/>
  <c r="K1725" i="14" s="1"/>
  <c r="E1724" i="14"/>
  <c r="E1725" i="14" s="1"/>
  <c r="G1724" i="14"/>
  <c r="G1725" i="14" s="1"/>
  <c r="J1728" i="14"/>
  <c r="K1728" i="14"/>
  <c r="L1728" i="14"/>
  <c r="E1728" i="14"/>
  <c r="F1724" i="14"/>
  <c r="F1725" i="14" s="1"/>
  <c r="G1728" i="14"/>
  <c r="I1728" i="14"/>
  <c r="I1724" i="14"/>
  <c r="I1725" i="14" s="1"/>
  <c r="L1724" i="14"/>
  <c r="L1725" i="14" s="1"/>
  <c r="M1728" i="14"/>
  <c r="M1724" i="14"/>
  <c r="M1725" i="14" s="1"/>
  <c r="D44" i="15"/>
  <c r="D1796" i="14"/>
  <c r="F44" i="15" s="1"/>
  <c r="J1780" i="14"/>
  <c r="E44" i="15" s="1"/>
  <c r="D1787" i="14"/>
  <c r="D1788" i="14" s="1"/>
  <c r="D1770" i="14"/>
  <c r="D1771" i="14" s="1"/>
  <c r="D1774" i="14"/>
  <c r="G1774" i="14"/>
  <c r="H1774" i="14"/>
  <c r="I1774" i="14"/>
  <c r="I1770" i="14"/>
  <c r="I1771" i="14" s="1"/>
  <c r="L1774" i="14"/>
  <c r="L1770" i="14"/>
  <c r="L1771" i="14" s="1"/>
  <c r="F1774" i="14"/>
  <c r="J1774" i="14"/>
  <c r="J1770" i="14"/>
  <c r="J1771" i="14" s="1"/>
  <c r="H1770" i="14"/>
  <c r="H1771" i="14" s="1"/>
  <c r="K1774" i="14"/>
  <c r="K1770" i="14"/>
  <c r="K1771" i="14" s="1"/>
  <c r="E1774" i="14"/>
  <c r="E1770" i="14"/>
  <c r="E1771" i="14" s="1"/>
  <c r="F1770" i="14"/>
  <c r="F1771" i="14" s="1"/>
  <c r="G1770" i="14"/>
  <c r="G1771" i="14" s="1"/>
  <c r="M1774" i="14"/>
  <c r="M1770" i="14"/>
  <c r="M1771" i="14" s="1"/>
  <c r="D45" i="15"/>
  <c r="D1842" i="14"/>
  <c r="F45" i="15" s="1"/>
  <c r="J1826" i="14"/>
  <c r="E45" i="15" s="1"/>
  <c r="D1833" i="14"/>
  <c r="D1834" i="14" s="1"/>
  <c r="D1816" i="14"/>
  <c r="D1817" i="14" s="1"/>
  <c r="D1820" i="14"/>
  <c r="F1820" i="14"/>
  <c r="H1820" i="14"/>
  <c r="L1820" i="14"/>
  <c r="G1820" i="14"/>
  <c r="I1820" i="14"/>
  <c r="I1816" i="14"/>
  <c r="I1817" i="14" s="1"/>
  <c r="L1816" i="14"/>
  <c r="L1817" i="14" s="1"/>
  <c r="E1816" i="14"/>
  <c r="E1817" i="14" s="1"/>
  <c r="K1816" i="14"/>
  <c r="K1817" i="14" s="1"/>
  <c r="E1820" i="14"/>
  <c r="F1816" i="14"/>
  <c r="F1817" i="14" s="1"/>
  <c r="G1816" i="14"/>
  <c r="G1817" i="14" s="1"/>
  <c r="H1816" i="14"/>
  <c r="H1817" i="14" s="1"/>
  <c r="J1820" i="14"/>
  <c r="J1816" i="14"/>
  <c r="J1817" i="14" s="1"/>
  <c r="K1820" i="14"/>
  <c r="M1820" i="14"/>
  <c r="M1816" i="14"/>
  <c r="M1817" i="14" s="1"/>
  <c r="D46" i="15"/>
  <c r="D1888" i="14"/>
  <c r="F46" i="15" s="1"/>
  <c r="J1872" i="14"/>
  <c r="E46" i="15" s="1"/>
  <c r="D1862" i="14"/>
  <c r="D1863" i="14" s="1"/>
  <c r="D1879" i="14"/>
  <c r="D1880" i="14" s="1"/>
  <c r="D1866" i="14"/>
  <c r="G1866" i="14"/>
  <c r="H1866" i="14"/>
  <c r="K1866" i="14"/>
  <c r="K1862" i="14"/>
  <c r="K1863" i="14" s="1"/>
  <c r="M1862" i="14"/>
  <c r="M1863" i="14" s="1"/>
  <c r="G1862" i="14"/>
  <c r="G1863" i="14" s="1"/>
  <c r="F1866" i="14"/>
  <c r="I1866" i="14"/>
  <c r="I1862" i="14"/>
  <c r="I1863" i="14" s="1"/>
  <c r="J1862" i="14"/>
  <c r="J1863" i="14" s="1"/>
  <c r="L1866" i="14"/>
  <c r="L1862" i="14"/>
  <c r="L1863" i="14" s="1"/>
  <c r="M1866" i="14"/>
  <c r="E1866" i="14"/>
  <c r="E1862" i="14"/>
  <c r="E1863" i="14" s="1"/>
  <c r="F1862" i="14"/>
  <c r="F1863" i="14" s="1"/>
  <c r="H1862" i="14"/>
  <c r="H1863" i="14" s="1"/>
  <c r="J1866" i="14"/>
  <c r="D3636" i="6"/>
  <c r="J3620" i="6"/>
  <c r="D3627" i="6"/>
  <c r="D3628" i="6" s="1"/>
  <c r="D3614" i="6"/>
  <c r="D3610" i="6"/>
  <c r="D3611" i="6" s="1"/>
  <c r="E3614" i="6"/>
  <c r="E3610" i="6"/>
  <c r="E3611" i="6" s="1"/>
  <c r="F3614" i="6"/>
  <c r="F3610" i="6"/>
  <c r="F3611" i="6" s="1"/>
  <c r="G3614" i="6"/>
  <c r="G3610" i="6"/>
  <c r="G3611" i="6" s="1"/>
  <c r="H3614" i="6"/>
  <c r="H3610" i="6"/>
  <c r="H3611" i="6" s="1"/>
  <c r="I3614" i="6"/>
  <c r="I3610" i="6"/>
  <c r="I3611" i="6" s="1"/>
  <c r="J3614" i="6"/>
  <c r="J3610" i="6"/>
  <c r="J3611" i="6" s="1"/>
  <c r="K3614" i="6"/>
  <c r="K3610" i="6"/>
  <c r="K3611" i="6" s="1"/>
  <c r="L3614" i="6"/>
  <c r="L3610" i="6"/>
  <c r="L3611" i="6" s="1"/>
  <c r="M3614" i="6"/>
  <c r="M3610" i="6"/>
  <c r="M3611" i="6" s="1"/>
  <c r="D3774" i="6"/>
  <c r="D3765" i="6"/>
  <c r="D3766" i="6" s="1"/>
  <c r="J3758" i="6"/>
  <c r="D3752" i="6"/>
  <c r="D3748" i="6"/>
  <c r="D3749" i="6" s="1"/>
  <c r="J3752" i="6"/>
  <c r="H3748" i="6"/>
  <c r="H3749" i="6" s="1"/>
  <c r="G3748" i="6"/>
  <c r="G3749" i="6" s="1"/>
  <c r="E3748" i="6"/>
  <c r="E3749" i="6" s="1"/>
  <c r="L3752" i="6"/>
  <c r="I3752" i="6"/>
  <c r="K3748" i="6"/>
  <c r="K3749" i="6" s="1"/>
  <c r="K3752" i="6"/>
  <c r="L3748" i="6"/>
  <c r="L3749" i="6" s="1"/>
  <c r="J3748" i="6"/>
  <c r="J3749" i="6" s="1"/>
  <c r="G3752" i="6"/>
  <c r="F3748" i="6"/>
  <c r="F3749" i="6" s="1"/>
  <c r="F3752" i="6"/>
  <c r="I3748" i="6"/>
  <c r="I3749" i="6" s="1"/>
  <c r="H3752" i="6"/>
  <c r="E3752" i="6"/>
  <c r="M3748" i="6"/>
  <c r="M3749" i="6" s="1"/>
  <c r="M3752" i="6"/>
  <c r="D3820" i="6"/>
  <c r="J3804" i="6"/>
  <c r="D3811" i="6"/>
  <c r="D3812" i="6" s="1"/>
  <c r="D3798" i="6"/>
  <c r="D3794" i="6"/>
  <c r="D3795" i="6" s="1"/>
  <c r="M3798" i="6"/>
  <c r="L3798" i="6"/>
  <c r="K3798" i="6"/>
  <c r="F3794" i="6"/>
  <c r="F3795" i="6" s="1"/>
  <c r="E3794" i="6"/>
  <c r="E3795" i="6" s="1"/>
  <c r="I3794" i="6"/>
  <c r="I3795" i="6" s="1"/>
  <c r="I3798" i="6"/>
  <c r="E3798" i="6"/>
  <c r="M3794" i="6"/>
  <c r="M3795" i="6" s="1"/>
  <c r="G3794" i="6"/>
  <c r="G3795" i="6" s="1"/>
  <c r="L3794" i="6"/>
  <c r="L3795" i="6" s="1"/>
  <c r="K3794" i="6"/>
  <c r="K3795" i="6" s="1"/>
  <c r="J3794" i="6"/>
  <c r="J3795" i="6" s="1"/>
  <c r="J3798" i="6"/>
  <c r="H3794" i="6"/>
  <c r="H3795" i="6" s="1"/>
  <c r="H3798" i="6"/>
  <c r="G3798" i="6"/>
  <c r="F3798" i="6"/>
  <c r="D1934" i="14"/>
  <c r="F47" i="15" s="1"/>
  <c r="J1918" i="14"/>
  <c r="E47" i="15" s="1"/>
  <c r="D47" i="15"/>
  <c r="D1925" i="14"/>
  <c r="D1926" i="14" s="1"/>
  <c r="D1912" i="14"/>
  <c r="D1908" i="14"/>
  <c r="D1909" i="14" s="1"/>
  <c r="M1908" i="14"/>
  <c r="M1909" i="14" s="1"/>
  <c r="M1912" i="14"/>
  <c r="F1912" i="14"/>
  <c r="G1912" i="14"/>
  <c r="I1912" i="14"/>
  <c r="I1908" i="14"/>
  <c r="I1909" i="14" s="1"/>
  <c r="L1908" i="14"/>
  <c r="L1909" i="14" s="1"/>
  <c r="E1912" i="14"/>
  <c r="E1908" i="14"/>
  <c r="E1909" i="14" s="1"/>
  <c r="F1908" i="14"/>
  <c r="F1909" i="14" s="1"/>
  <c r="G1908" i="14"/>
  <c r="G1909" i="14" s="1"/>
  <c r="J1912" i="14"/>
  <c r="K1912" i="14"/>
  <c r="L1912" i="14"/>
  <c r="H1908" i="14"/>
  <c r="H1909" i="14" s="1"/>
  <c r="K1908" i="14"/>
  <c r="K1909" i="14" s="1"/>
  <c r="H1912" i="14"/>
  <c r="J1908" i="14"/>
  <c r="J1909" i="14" s="1"/>
  <c r="D1980" i="14"/>
  <c r="F48" i="15" s="1"/>
  <c r="J1964" i="14"/>
  <c r="E48" i="15" s="1"/>
  <c r="D48" i="15"/>
  <c r="D1971" i="14"/>
  <c r="D1972" i="14" s="1"/>
  <c r="D1958" i="14"/>
  <c r="D1954" i="14"/>
  <c r="D1955" i="14" s="1"/>
  <c r="J1954" i="14"/>
  <c r="J1955" i="14" s="1"/>
  <c r="M1954" i="14"/>
  <c r="M1955" i="14" s="1"/>
  <c r="E1958" i="14"/>
  <c r="F1958" i="14"/>
  <c r="H1958" i="14"/>
  <c r="H1954" i="14"/>
  <c r="H1955" i="14" s="1"/>
  <c r="I1954" i="14"/>
  <c r="I1955" i="14" s="1"/>
  <c r="K1958" i="14"/>
  <c r="L1958" i="14"/>
  <c r="L1954" i="14"/>
  <c r="L1955" i="14" s="1"/>
  <c r="G1958" i="14"/>
  <c r="G1954" i="14"/>
  <c r="G1955" i="14" s="1"/>
  <c r="M1958" i="14"/>
  <c r="E1954" i="14"/>
  <c r="E1955" i="14" s="1"/>
  <c r="F1954" i="14"/>
  <c r="F1955" i="14" s="1"/>
  <c r="I1958" i="14"/>
  <c r="J1958" i="14"/>
  <c r="K1954" i="14"/>
  <c r="K1955" i="14" s="1"/>
  <c r="D59" i="15"/>
  <c r="D2486" i="14"/>
  <c r="F59" i="15" s="1"/>
  <c r="J2470" i="14"/>
  <c r="E59" i="15" s="1"/>
  <c r="D2477" i="14"/>
  <c r="D2478" i="14" s="1"/>
  <c r="D2464" i="14"/>
  <c r="D2460" i="14"/>
  <c r="D2461" i="14" s="1"/>
  <c r="E2464" i="14"/>
  <c r="E2460" i="14"/>
  <c r="E2461" i="14" s="1"/>
  <c r="F2464" i="14"/>
  <c r="F2460" i="14"/>
  <c r="F2461" i="14" s="1"/>
  <c r="G2464" i="14"/>
  <c r="G2460" i="14"/>
  <c r="G2461" i="14" s="1"/>
  <c r="H2464" i="14"/>
  <c r="H2460" i="14"/>
  <c r="H2461" i="14" s="1"/>
  <c r="I2464" i="14"/>
  <c r="I2460" i="14"/>
  <c r="I2461" i="14" s="1"/>
  <c r="J2464" i="14"/>
  <c r="J2460" i="14"/>
  <c r="J2461" i="14" s="1"/>
  <c r="K2464" i="14"/>
  <c r="K2460" i="14"/>
  <c r="K2461" i="14" s="1"/>
  <c r="L2464" i="14"/>
  <c r="L2460" i="14"/>
  <c r="L2461" i="14" s="1"/>
  <c r="M2464" i="14"/>
  <c r="M2460" i="14"/>
  <c r="M2461" i="14" s="1"/>
  <c r="D61" i="15"/>
  <c r="D2578" i="14"/>
  <c r="F61" i="15" s="1"/>
  <c r="D2569" i="14"/>
  <c r="D2570" i="14" s="1"/>
  <c r="J2562" i="14"/>
  <c r="E61" i="15" s="1"/>
  <c r="D2552" i="14"/>
  <c r="D2553" i="14" s="1"/>
  <c r="D2556" i="14"/>
  <c r="M2556" i="14"/>
  <c r="E2556" i="14"/>
  <c r="E2552" i="14"/>
  <c r="E2553" i="14" s="1"/>
  <c r="F2556" i="14"/>
  <c r="F2552" i="14"/>
  <c r="F2553" i="14" s="1"/>
  <c r="G2556" i="14"/>
  <c r="G2552" i="14"/>
  <c r="G2553" i="14" s="1"/>
  <c r="H2556" i="14"/>
  <c r="H2552" i="14"/>
  <c r="H2553" i="14" s="1"/>
  <c r="I2556" i="14"/>
  <c r="I2552" i="14"/>
  <c r="I2553" i="14" s="1"/>
  <c r="J2556" i="14"/>
  <c r="J2552" i="14"/>
  <c r="J2553" i="14" s="1"/>
  <c r="K2556" i="14"/>
  <c r="K2552" i="14"/>
  <c r="K2553" i="14" s="1"/>
  <c r="L2556" i="14"/>
  <c r="L2552" i="14"/>
  <c r="L2553" i="14" s="1"/>
  <c r="M2552" i="14"/>
  <c r="M2553" i="14" s="1"/>
  <c r="D73" i="15"/>
  <c r="D3130" i="14"/>
  <c r="F73" i="15" s="1"/>
  <c r="J3114" i="14"/>
  <c r="E73" i="15" s="1"/>
  <c r="D3121" i="14"/>
  <c r="D3122" i="14" s="1"/>
  <c r="D3104" i="14"/>
  <c r="D3105" i="14" s="1"/>
  <c r="D3108" i="14"/>
  <c r="E3108" i="14"/>
  <c r="E3104" i="14"/>
  <c r="E3105" i="14" s="1"/>
  <c r="F3108" i="14"/>
  <c r="F3104" i="14"/>
  <c r="F3105" i="14" s="1"/>
  <c r="G3108" i="14"/>
  <c r="G3104" i="14"/>
  <c r="G3105" i="14" s="1"/>
  <c r="H3108" i="14"/>
  <c r="H3104" i="14"/>
  <c r="H3105" i="14" s="1"/>
  <c r="I3108" i="14"/>
  <c r="I3104" i="14"/>
  <c r="I3105" i="14" s="1"/>
  <c r="J3108" i="14"/>
  <c r="J3104" i="14"/>
  <c r="J3105" i="14" s="1"/>
  <c r="K3108" i="14"/>
  <c r="K3104" i="14"/>
  <c r="K3105" i="14" s="1"/>
  <c r="L3108" i="14"/>
  <c r="L3104" i="14"/>
  <c r="L3105" i="14" s="1"/>
  <c r="M3108" i="14"/>
  <c r="M3104" i="14"/>
  <c r="M3105" i="14" s="1"/>
  <c r="D77" i="15"/>
  <c r="D3314" i="14"/>
  <c r="F77" i="15" s="1"/>
  <c r="J3298" i="14"/>
  <c r="E77" i="15" s="1"/>
  <c r="D3305" i="14"/>
  <c r="D3306" i="14" s="1"/>
  <c r="K3288" i="14"/>
  <c r="K3289" i="14" s="1"/>
  <c r="D3292" i="14"/>
  <c r="D3288" i="14"/>
  <c r="D3289" i="14" s="1"/>
  <c r="K3292" i="14"/>
  <c r="E3292" i="14"/>
  <c r="E3288" i="14"/>
  <c r="E3289" i="14" s="1"/>
  <c r="F3292" i="14"/>
  <c r="F3288" i="14"/>
  <c r="F3289" i="14" s="1"/>
  <c r="G3292" i="14"/>
  <c r="G3288" i="14"/>
  <c r="G3289" i="14" s="1"/>
  <c r="H3292" i="14"/>
  <c r="H3288" i="14"/>
  <c r="H3289" i="14" s="1"/>
  <c r="I3292" i="14"/>
  <c r="I3288" i="14"/>
  <c r="I3289" i="14" s="1"/>
  <c r="J3292" i="14"/>
  <c r="J3288" i="14"/>
  <c r="J3289" i="14" s="1"/>
  <c r="L3292" i="14"/>
  <c r="L3288" i="14"/>
  <c r="L3289" i="14" s="1"/>
  <c r="M3292" i="14"/>
  <c r="M3288" i="14"/>
  <c r="M3289" i="14" s="1"/>
  <c r="E3522" i="14"/>
  <c r="F3522" i="14"/>
  <c r="G3522" i="14"/>
  <c r="H3522" i="14"/>
  <c r="I3522" i="14"/>
  <c r="J3522" i="14"/>
  <c r="K3522" i="14"/>
  <c r="L3522" i="14"/>
  <c r="M3522" i="14"/>
  <c r="D82" i="15"/>
  <c r="D3544" i="14"/>
  <c r="F82" i="15" s="1"/>
  <c r="J3528" i="14"/>
  <c r="E82" i="15" s="1"/>
  <c r="D3535" i="14"/>
  <c r="D3536" i="14" s="1"/>
  <c r="D3518" i="14"/>
  <c r="D3519" i="14" s="1"/>
  <c r="D3522" i="14"/>
  <c r="E3518" i="14"/>
  <c r="E3519" i="14" s="1"/>
  <c r="F3518" i="14"/>
  <c r="F3519" i="14" s="1"/>
  <c r="G3518" i="14"/>
  <c r="G3519" i="14" s="1"/>
  <c r="H3518" i="14"/>
  <c r="H3519" i="14" s="1"/>
  <c r="I3518" i="14"/>
  <c r="I3519" i="14" s="1"/>
  <c r="J3518" i="14"/>
  <c r="J3519" i="14" s="1"/>
  <c r="K3518" i="14"/>
  <c r="K3519" i="14" s="1"/>
  <c r="L3518" i="14"/>
  <c r="L3519" i="14" s="1"/>
  <c r="M3518" i="14"/>
  <c r="M3519" i="14" s="1"/>
  <c r="E3752" i="14"/>
  <c r="F3752" i="14"/>
  <c r="G3752" i="14"/>
  <c r="H3752" i="14"/>
  <c r="I3752" i="14"/>
  <c r="J3752" i="14"/>
  <c r="K3752" i="14"/>
  <c r="L3752" i="14"/>
  <c r="M3752" i="14"/>
  <c r="D87" i="15"/>
  <c r="D3774" i="14"/>
  <c r="F87" i="15" s="1"/>
  <c r="J3758" i="14"/>
  <c r="E87" i="15" s="1"/>
  <c r="D3765" i="14"/>
  <c r="D3766" i="14" s="1"/>
  <c r="D3752" i="14"/>
  <c r="D3748" i="14"/>
  <c r="D3749" i="14" s="1"/>
  <c r="E3748" i="14"/>
  <c r="E3749" i="14" s="1"/>
  <c r="F3748" i="14"/>
  <c r="F3749" i="14" s="1"/>
  <c r="G3748" i="14"/>
  <c r="G3749" i="14" s="1"/>
  <c r="H3748" i="14"/>
  <c r="H3749" i="14" s="1"/>
  <c r="I3748" i="14"/>
  <c r="I3749" i="14" s="1"/>
  <c r="J3748" i="14"/>
  <c r="J3749" i="14" s="1"/>
  <c r="K3748" i="14"/>
  <c r="K3749" i="14" s="1"/>
  <c r="L3748" i="14"/>
  <c r="L3749" i="14" s="1"/>
  <c r="M3748" i="14"/>
  <c r="M3749" i="14" s="1"/>
  <c r="E3890" i="14"/>
  <c r="F3890" i="14"/>
  <c r="G3890" i="14"/>
  <c r="H3890" i="14"/>
  <c r="I3890" i="14"/>
  <c r="J3890" i="14"/>
  <c r="K3890" i="14"/>
  <c r="L3890" i="14"/>
  <c r="M3890" i="14"/>
  <c r="D90" i="15"/>
  <c r="J3896" i="14"/>
  <c r="E90" i="15" s="1"/>
  <c r="D3912" i="14"/>
  <c r="F90" i="15" s="1"/>
  <c r="D3903" i="14"/>
  <c r="D3904" i="14" s="1"/>
  <c r="D3886" i="14"/>
  <c r="D3887" i="14" s="1"/>
  <c r="D3890" i="14"/>
  <c r="E3886" i="14"/>
  <c r="E3887" i="14" s="1"/>
  <c r="F3886" i="14"/>
  <c r="F3887" i="14" s="1"/>
  <c r="G3886" i="14"/>
  <c r="G3887" i="14" s="1"/>
  <c r="H3886" i="14"/>
  <c r="H3887" i="14" s="1"/>
  <c r="I3886" i="14"/>
  <c r="I3887" i="14" s="1"/>
  <c r="J3886" i="14"/>
  <c r="J3887" i="14" s="1"/>
  <c r="K3886" i="14"/>
  <c r="K3887" i="14" s="1"/>
  <c r="L3886" i="14"/>
  <c r="L3887" i="14" s="1"/>
  <c r="M3886" i="14"/>
  <c r="M3887" i="14" s="1"/>
  <c r="E3936" i="14"/>
  <c r="F3936" i="14"/>
  <c r="G3936" i="14"/>
  <c r="H3936" i="14"/>
  <c r="I3936" i="14"/>
  <c r="J3936" i="14"/>
  <c r="K3936" i="14"/>
  <c r="L3936" i="14"/>
  <c r="M3936" i="14"/>
  <c r="D91" i="15"/>
  <c r="D3958" i="14"/>
  <c r="F91" i="15" s="1"/>
  <c r="J3942" i="14"/>
  <c r="E91" i="15" s="1"/>
  <c r="D3949" i="14"/>
  <c r="D3950" i="14" s="1"/>
  <c r="D3932" i="14"/>
  <c r="D3933" i="14" s="1"/>
  <c r="D3936" i="14"/>
  <c r="E3932" i="14"/>
  <c r="E3933" i="14" s="1"/>
  <c r="F3932" i="14"/>
  <c r="F3933" i="14" s="1"/>
  <c r="G3932" i="14"/>
  <c r="G3933" i="14" s="1"/>
  <c r="H3932" i="14"/>
  <c r="H3933" i="14" s="1"/>
  <c r="I3932" i="14"/>
  <c r="I3933" i="14" s="1"/>
  <c r="J3932" i="14"/>
  <c r="J3933" i="14" s="1"/>
  <c r="K3932" i="14"/>
  <c r="K3933" i="14" s="1"/>
  <c r="L3932" i="14"/>
  <c r="L3933" i="14" s="1"/>
  <c r="M3932" i="14"/>
  <c r="M3933" i="14" s="1"/>
  <c r="E3982" i="14"/>
  <c r="F3982" i="14"/>
  <c r="G3982" i="14"/>
  <c r="H3982" i="14"/>
  <c r="I3982" i="14"/>
  <c r="J3982" i="14"/>
  <c r="K3982" i="14"/>
  <c r="L3982" i="14"/>
  <c r="M3982" i="14"/>
  <c r="D92" i="15"/>
  <c r="D4004" i="14"/>
  <c r="F92" i="15" s="1"/>
  <c r="J3988" i="14"/>
  <c r="E92" i="15" s="1"/>
  <c r="D3995" i="14"/>
  <c r="D3996" i="14" s="1"/>
  <c r="D3982" i="14"/>
  <c r="D3978" i="14"/>
  <c r="D3979" i="14" s="1"/>
  <c r="E3978" i="14"/>
  <c r="E3979" i="14" s="1"/>
  <c r="F3978" i="14"/>
  <c r="F3979" i="14" s="1"/>
  <c r="G3978" i="14"/>
  <c r="G3979" i="14" s="1"/>
  <c r="H3978" i="14"/>
  <c r="H3979" i="14" s="1"/>
  <c r="I3978" i="14"/>
  <c r="I3979" i="14" s="1"/>
  <c r="J3978" i="14"/>
  <c r="J3979" i="14" s="1"/>
  <c r="K3978" i="14"/>
  <c r="K3979" i="14" s="1"/>
  <c r="L3978" i="14"/>
  <c r="L3979" i="14" s="1"/>
  <c r="M3978" i="14"/>
  <c r="M3979" i="14" s="1"/>
  <c r="E4074" i="14"/>
  <c r="F4074" i="14"/>
  <c r="G4074" i="14"/>
  <c r="H4074" i="14"/>
  <c r="I4074" i="14"/>
  <c r="J4074" i="14"/>
  <c r="K4074" i="14"/>
  <c r="L4074" i="14"/>
  <c r="M4074" i="14"/>
  <c r="D94" i="15"/>
  <c r="D4096" i="14"/>
  <c r="F94" i="15" s="1"/>
  <c r="J4080" i="14"/>
  <c r="E94" i="15" s="1"/>
  <c r="D4070" i="14"/>
  <c r="D4071" i="14" s="1"/>
  <c r="D4087" i="14"/>
  <c r="D4088" i="14" s="1"/>
  <c r="D4074" i="14"/>
  <c r="E4070" i="14"/>
  <c r="E4071" i="14" s="1"/>
  <c r="F4070" i="14"/>
  <c r="F4071" i="14" s="1"/>
  <c r="G4070" i="14"/>
  <c r="G4071" i="14" s="1"/>
  <c r="H4070" i="14"/>
  <c r="H4071" i="14" s="1"/>
  <c r="I4070" i="14"/>
  <c r="I4071" i="14" s="1"/>
  <c r="J4070" i="14"/>
  <c r="J4071" i="14" s="1"/>
  <c r="K4070" i="14"/>
  <c r="K4071" i="14" s="1"/>
  <c r="L4070" i="14"/>
  <c r="L4071" i="14" s="1"/>
  <c r="M4070" i="14"/>
  <c r="M4071" i="14" s="1"/>
  <c r="E3844" i="14"/>
  <c r="F3844" i="14"/>
  <c r="G3844" i="14"/>
  <c r="H3844" i="14"/>
  <c r="I3844" i="14"/>
  <c r="J3844" i="14"/>
  <c r="K3844" i="14"/>
  <c r="L3844" i="14"/>
  <c r="M3844" i="14"/>
  <c r="D89" i="15"/>
  <c r="D3866" i="14"/>
  <c r="F89" i="15" s="1"/>
  <c r="J3850" i="14"/>
  <c r="E89" i="15" s="1"/>
  <c r="D3857" i="14"/>
  <c r="D3858" i="14" s="1"/>
  <c r="D3844" i="14"/>
  <c r="D3840" i="14"/>
  <c r="D3841" i="14" s="1"/>
  <c r="E3840" i="14"/>
  <c r="E3841" i="14" s="1"/>
  <c r="F3840" i="14"/>
  <c r="F3841" i="14" s="1"/>
  <c r="G3840" i="14"/>
  <c r="G3841" i="14" s="1"/>
  <c r="H3840" i="14"/>
  <c r="H3841" i="14" s="1"/>
  <c r="I3840" i="14"/>
  <c r="I3841" i="14" s="1"/>
  <c r="J3840" i="14"/>
  <c r="J3841" i="14" s="1"/>
  <c r="K3840" i="14"/>
  <c r="K3841" i="14" s="1"/>
  <c r="L3840" i="14"/>
  <c r="L3841" i="14" s="1"/>
  <c r="M3840" i="14"/>
  <c r="M3841" i="14" s="1"/>
  <c r="E4120" i="14"/>
  <c r="F4120" i="14"/>
  <c r="G4120" i="14"/>
  <c r="H4120" i="14"/>
  <c r="I4120" i="14"/>
  <c r="J4120" i="14"/>
  <c r="K4120" i="14"/>
  <c r="L4120" i="14"/>
  <c r="D95" i="15"/>
  <c r="D4142" i="14"/>
  <c r="F95" i="15" s="1"/>
  <c r="D4133" i="14"/>
  <c r="D4134" i="14" s="1"/>
  <c r="J4126" i="14"/>
  <c r="E95" i="15" s="1"/>
  <c r="D4120" i="14"/>
  <c r="D4116" i="14"/>
  <c r="D4117" i="14" s="1"/>
  <c r="M4116" i="14"/>
  <c r="M4117" i="14" s="1"/>
  <c r="E4116" i="14"/>
  <c r="E4117" i="14" s="1"/>
  <c r="F4116" i="14"/>
  <c r="F4117" i="14" s="1"/>
  <c r="G4116" i="14"/>
  <c r="G4117" i="14" s="1"/>
  <c r="H4116" i="14"/>
  <c r="H4117" i="14" s="1"/>
  <c r="I4116" i="14"/>
  <c r="I4117" i="14" s="1"/>
  <c r="J4116" i="14"/>
  <c r="J4117" i="14" s="1"/>
  <c r="K4116" i="14"/>
  <c r="K4117" i="14" s="1"/>
  <c r="L4116" i="14"/>
  <c r="L4117" i="14" s="1"/>
  <c r="M4120" i="14"/>
  <c r="E4166" i="14"/>
  <c r="F4166" i="14"/>
  <c r="G4166" i="14"/>
  <c r="H4166" i="14"/>
  <c r="I4166" i="14"/>
  <c r="J4166" i="14"/>
  <c r="K4166" i="14"/>
  <c r="L4166" i="14"/>
  <c r="M4166" i="14"/>
  <c r="D96" i="15"/>
  <c r="D4188" i="14"/>
  <c r="F96" i="15" s="1"/>
  <c r="J4172" i="14"/>
  <c r="E96" i="15" s="1"/>
  <c r="D4179" i="14"/>
  <c r="D4180" i="14" s="1"/>
  <c r="D4166" i="14"/>
  <c r="D4162" i="14"/>
  <c r="D4163" i="14" s="1"/>
  <c r="E4162" i="14"/>
  <c r="E4163" i="14" s="1"/>
  <c r="F4162" i="14"/>
  <c r="F4163" i="14" s="1"/>
  <c r="G4162" i="14"/>
  <c r="G4163" i="14" s="1"/>
  <c r="H4162" i="14"/>
  <c r="H4163" i="14" s="1"/>
  <c r="I4162" i="14"/>
  <c r="I4163" i="14" s="1"/>
  <c r="J4162" i="14"/>
  <c r="J4163" i="14" s="1"/>
  <c r="K4162" i="14"/>
  <c r="K4163" i="14" s="1"/>
  <c r="L4162" i="14"/>
  <c r="L4163" i="14" s="1"/>
  <c r="M4162" i="14"/>
  <c r="M4163" i="14" s="1"/>
  <c r="E4212" i="14"/>
  <c r="F4212" i="14"/>
  <c r="G4212" i="14"/>
  <c r="H4212" i="14"/>
  <c r="I4212" i="14"/>
  <c r="J4212" i="14"/>
  <c r="K4212" i="14"/>
  <c r="L4212" i="14"/>
  <c r="M4212" i="14"/>
  <c r="D97" i="15"/>
  <c r="D4234" i="14"/>
  <c r="F97" i="15" s="1"/>
  <c r="J4218" i="14"/>
  <c r="E97" i="15" s="1"/>
  <c r="D4225" i="14"/>
  <c r="D4226" i="14" s="1"/>
  <c r="D4212" i="14"/>
  <c r="D4208" i="14"/>
  <c r="D4209" i="14" s="1"/>
  <c r="E4208" i="14"/>
  <c r="E4209" i="14" s="1"/>
  <c r="F4208" i="14"/>
  <c r="F4209" i="14" s="1"/>
  <c r="G4208" i="14"/>
  <c r="G4209" i="14" s="1"/>
  <c r="H4208" i="14"/>
  <c r="H4209" i="14" s="1"/>
  <c r="I4208" i="14"/>
  <c r="I4209" i="14" s="1"/>
  <c r="J4208" i="14"/>
  <c r="J4209" i="14" s="1"/>
  <c r="K4208" i="14"/>
  <c r="K4209" i="14" s="1"/>
  <c r="L4208" i="14"/>
  <c r="L4209" i="14" s="1"/>
  <c r="M4208" i="14"/>
  <c r="M4209" i="14" s="1"/>
  <c r="J1551" i="6"/>
  <c r="J1552" i="6" s="1"/>
  <c r="J1557" i="6"/>
  <c r="D1550" i="6" s="1"/>
  <c r="J1827" i="6"/>
  <c r="J1828" i="6" s="1"/>
  <c r="J1833" i="6"/>
  <c r="D1826" i="6" s="1"/>
  <c r="J1321" i="6"/>
  <c r="J1322" i="6" s="1"/>
  <c r="J1327" i="6"/>
  <c r="D1320" i="6" s="1"/>
  <c r="J1965" i="6"/>
  <c r="J1966" i="6" s="1"/>
  <c r="J1971" i="6"/>
  <c r="D1964" i="6" s="1"/>
  <c r="J2103" i="6"/>
  <c r="J2104" i="6" s="1"/>
  <c r="J2109" i="6"/>
  <c r="D2102" i="6" s="1"/>
  <c r="J2241" i="6"/>
  <c r="J2242" i="6" s="1"/>
  <c r="J2247" i="6"/>
  <c r="D2240" i="6" s="1"/>
  <c r="J2609" i="6"/>
  <c r="J2610" i="6" s="1"/>
  <c r="J2615" i="6"/>
  <c r="D2608" i="6" s="1"/>
  <c r="J2655" i="6"/>
  <c r="J2656" i="6" s="1"/>
  <c r="J2661" i="6"/>
  <c r="D2654" i="6" s="1"/>
  <c r="J2793" i="6"/>
  <c r="J2794" i="6" s="1"/>
  <c r="J2799" i="6"/>
  <c r="D2792" i="6" s="1"/>
  <c r="J3713" i="6"/>
  <c r="J3714" i="6" s="1"/>
  <c r="J3719" i="6"/>
  <c r="D3712" i="6" s="1"/>
  <c r="J4035" i="6"/>
  <c r="J4036" i="6" s="1"/>
  <c r="J4041" i="6"/>
  <c r="D4034" i="6" s="1"/>
  <c r="J3253" i="6"/>
  <c r="J3254" i="6" s="1"/>
  <c r="J3259" i="6"/>
  <c r="D3252" i="6" s="1"/>
  <c r="J4081" i="6"/>
  <c r="J4082" i="6" s="1"/>
  <c r="J4087" i="6"/>
  <c r="D4080" i="6" s="1"/>
  <c r="J4173" i="6"/>
  <c r="J4174" i="6" s="1"/>
  <c r="J4179" i="6"/>
  <c r="D4172" i="6" s="1"/>
  <c r="J4219" i="6"/>
  <c r="J4220" i="6" s="1"/>
  <c r="J4225" i="6"/>
  <c r="D4218" i="6" s="1"/>
  <c r="J4311" i="6"/>
  <c r="J4312" i="6" s="1"/>
  <c r="J4317" i="6"/>
  <c r="D4310" i="6" s="1"/>
  <c r="J4357" i="6"/>
  <c r="J4358" i="6" s="1"/>
  <c r="J4363" i="6"/>
  <c r="D4356" i="6" s="1"/>
  <c r="J4449" i="6"/>
  <c r="J4450" i="6" s="1"/>
  <c r="J4455" i="6"/>
  <c r="D4448" i="6" s="1"/>
  <c r="J4541" i="6"/>
  <c r="J4542" i="6" s="1"/>
  <c r="J4547" i="6"/>
  <c r="D4540" i="6" s="1"/>
  <c r="J2195" i="14"/>
  <c r="J2196" i="14" s="1"/>
  <c r="J2201" i="14"/>
  <c r="D2194" i="14" s="1"/>
  <c r="J2241" i="14"/>
  <c r="J2242" i="14" s="1"/>
  <c r="J2247" i="14"/>
  <c r="D2240" i="14" s="1"/>
  <c r="J2287" i="14"/>
  <c r="J2288" i="14" s="1"/>
  <c r="J2293" i="14"/>
  <c r="D2286" i="14" s="1"/>
  <c r="J2517" i="14"/>
  <c r="J2518" i="14" s="1"/>
  <c r="J2523" i="14"/>
  <c r="D2516" i="14" s="1"/>
  <c r="J2609" i="14"/>
  <c r="J2610" i="14" s="1"/>
  <c r="J2615" i="14"/>
  <c r="D2608" i="14" s="1"/>
  <c r="J2701" i="14"/>
  <c r="J2702" i="14" s="1"/>
  <c r="J2707" i="14"/>
  <c r="D2700" i="14" s="1"/>
  <c r="J2747" i="14"/>
  <c r="J2748" i="14" s="1"/>
  <c r="J2753" i="14"/>
  <c r="D2746" i="14" s="1"/>
  <c r="J2839" i="14"/>
  <c r="J2840" i="14" s="1"/>
  <c r="J2845" i="14"/>
  <c r="D2838" i="14" s="1"/>
  <c r="J2885" i="14"/>
  <c r="J2886" i="14" s="1"/>
  <c r="J2891" i="14"/>
  <c r="D2884" i="14" s="1"/>
  <c r="J2977" i="14"/>
  <c r="J2978" i="14" s="1"/>
  <c r="J2983" i="14"/>
  <c r="D2976" i="14" s="1"/>
  <c r="J3023" i="14"/>
  <c r="J3024" i="14" s="1"/>
  <c r="J3029" i="14"/>
  <c r="D3022" i="14" s="1"/>
  <c r="J3161" i="14"/>
  <c r="J3162" i="14" s="1"/>
  <c r="J3167" i="14"/>
  <c r="D3160" i="14" s="1"/>
  <c r="J3207" i="14"/>
  <c r="J3208" i="14" s="1"/>
  <c r="J3213" i="14"/>
  <c r="D3206" i="14" s="1"/>
  <c r="J907" i="6"/>
  <c r="J908" i="6" s="1"/>
  <c r="J913" i="6"/>
  <c r="D906" i="6" s="1"/>
  <c r="J1229" i="6"/>
  <c r="J1230" i="6" s="1"/>
  <c r="J1235" i="6"/>
  <c r="D1228" i="6" s="1"/>
  <c r="J1413" i="6"/>
  <c r="J1414" i="6" s="1"/>
  <c r="J1419" i="6"/>
  <c r="D1412" i="6" s="1"/>
  <c r="J1459" i="6"/>
  <c r="J1460" i="6" s="1"/>
  <c r="J1465" i="6"/>
  <c r="D1458" i="6" s="1"/>
  <c r="J723" i="6"/>
  <c r="J724" i="6" s="1"/>
  <c r="J729" i="6"/>
  <c r="D722" i="6" s="1"/>
  <c r="J1597" i="6"/>
  <c r="J1598" i="6" s="1"/>
  <c r="J1603" i="6"/>
  <c r="D1596" i="6" s="1"/>
  <c r="J1643" i="6"/>
  <c r="J1644" i="6" s="1"/>
  <c r="J1649" i="6"/>
  <c r="D1642" i="6" s="1"/>
  <c r="J1735" i="6"/>
  <c r="J1736" i="6" s="1"/>
  <c r="J1741" i="6"/>
  <c r="D1734" i="6" s="1"/>
  <c r="J1781" i="6"/>
  <c r="J1782" i="6" s="1"/>
  <c r="J1787" i="6"/>
  <c r="D1780" i="6" s="1"/>
  <c r="J1367" i="6"/>
  <c r="J1368" i="6" s="1"/>
  <c r="J1373" i="6"/>
  <c r="D1366" i="6" s="1"/>
  <c r="J1919" i="6"/>
  <c r="J1920" i="6" s="1"/>
  <c r="J1925" i="6"/>
  <c r="D1918" i="6" s="1"/>
  <c r="J2057" i="6"/>
  <c r="J2058" i="6" s="1"/>
  <c r="J2063" i="6"/>
  <c r="D2056" i="6" s="1"/>
  <c r="J2195" i="6"/>
  <c r="J2196" i="6" s="1"/>
  <c r="J2201" i="6"/>
  <c r="D2194" i="6" s="1"/>
  <c r="J33" i="6"/>
  <c r="J34" i="6" s="1"/>
  <c r="J39" i="6"/>
  <c r="D32" i="6" s="1"/>
  <c r="J355" i="6"/>
  <c r="J356" i="6" s="1"/>
  <c r="J361" i="6"/>
  <c r="D354" i="6" s="1"/>
  <c r="J79" i="6"/>
  <c r="J80" i="6" s="1"/>
  <c r="J85" i="6"/>
  <c r="D78" i="6" s="1"/>
  <c r="J585" i="6"/>
  <c r="J586" i="6" s="1"/>
  <c r="J591" i="6"/>
  <c r="D584" i="6" s="1"/>
  <c r="J631" i="6"/>
  <c r="J632" i="6" s="1"/>
  <c r="J637" i="6"/>
  <c r="D630" i="6" s="1"/>
  <c r="J769" i="6"/>
  <c r="J770" i="6" s="1"/>
  <c r="J775" i="6"/>
  <c r="D768" i="6" s="1"/>
  <c r="J815" i="6"/>
  <c r="J816" i="6" s="1"/>
  <c r="J821" i="6"/>
  <c r="D814" i="6" s="1"/>
  <c r="J861" i="6"/>
  <c r="J862" i="6" s="1"/>
  <c r="J867" i="6"/>
  <c r="D860" i="6" s="1"/>
  <c r="J125" i="6"/>
  <c r="J126" i="6" s="1"/>
  <c r="J131" i="6"/>
  <c r="D124" i="6" s="1"/>
  <c r="J309" i="6"/>
  <c r="J310" i="6" s="1"/>
  <c r="J315" i="6"/>
  <c r="D308" i="6" s="1"/>
  <c r="J447" i="6"/>
  <c r="J448" i="6" s="1"/>
  <c r="J453" i="6"/>
  <c r="D446" i="6" s="1"/>
  <c r="J1045" i="6"/>
  <c r="J1046" i="6" s="1"/>
  <c r="J1051" i="6"/>
  <c r="D1044" i="6" s="1"/>
  <c r="J1091" i="6"/>
  <c r="J1092" i="6" s="1"/>
  <c r="J1097" i="6"/>
  <c r="D1090" i="6" s="1"/>
  <c r="J1137" i="6"/>
  <c r="J1138" i="6" s="1"/>
  <c r="J1143" i="6"/>
  <c r="D1136" i="6" s="1"/>
  <c r="J1183" i="6"/>
  <c r="J1184" i="6" s="1"/>
  <c r="J1189" i="6"/>
  <c r="D1182" i="6" s="1"/>
  <c r="J539" i="6"/>
  <c r="J540" i="6" s="1"/>
  <c r="J545" i="6"/>
  <c r="D538" i="6" s="1"/>
  <c r="J677" i="6"/>
  <c r="J678" i="6" s="1"/>
  <c r="J683" i="6"/>
  <c r="D676" i="6" s="1"/>
  <c r="J953" i="6"/>
  <c r="J954" i="6" s="1"/>
  <c r="J959" i="6"/>
  <c r="D952" i="6" s="1"/>
  <c r="J999" i="6"/>
  <c r="J1000" i="6" s="1"/>
  <c r="J1005" i="6"/>
  <c r="D998" i="6" s="1"/>
  <c r="J1689" i="6"/>
  <c r="J1690" i="6" s="1"/>
  <c r="J1695" i="6"/>
  <c r="D1688" i="6" s="1"/>
  <c r="J493" i="6"/>
  <c r="J494" i="6" s="1"/>
  <c r="J499" i="6"/>
  <c r="D492" i="6" s="1"/>
  <c r="D49" i="15" l="1"/>
  <c r="D2026" i="14"/>
  <c r="F49" i="15" s="1"/>
  <c r="J2010" i="14"/>
  <c r="E49" i="15" s="1"/>
  <c r="D2017" i="14"/>
  <c r="D2018" i="14" s="1"/>
  <c r="D2004" i="14"/>
  <c r="D2000" i="14"/>
  <c r="D2001" i="14" s="1"/>
  <c r="E2000" i="14"/>
  <c r="E2001" i="14" s="1"/>
  <c r="I2004" i="14"/>
  <c r="G2000" i="14"/>
  <c r="G2001" i="14" s="1"/>
  <c r="I2000" i="14"/>
  <c r="I2001" i="14" s="1"/>
  <c r="K2004" i="14"/>
  <c r="K2000" i="14"/>
  <c r="K2001" i="14" s="1"/>
  <c r="M2004" i="14"/>
  <c r="M2000" i="14"/>
  <c r="M2001" i="14" s="1"/>
  <c r="F2004" i="14"/>
  <c r="F2000" i="14"/>
  <c r="F2001" i="14" s="1"/>
  <c r="L2000" i="14"/>
  <c r="L2001" i="14" s="1"/>
  <c r="E2004" i="14"/>
  <c r="G2004" i="14"/>
  <c r="H2004" i="14"/>
  <c r="H2000" i="14"/>
  <c r="H2001" i="14" s="1"/>
  <c r="J2004" i="14"/>
  <c r="J2000" i="14"/>
  <c r="J2001" i="14" s="1"/>
  <c r="L2004" i="14"/>
  <c r="D50" i="15"/>
  <c r="D2072" i="14"/>
  <c r="F50" i="15" s="1"/>
  <c r="J2056" i="14"/>
  <c r="E50" i="15" s="1"/>
  <c r="D2063" i="14"/>
  <c r="D2064" i="14" s="1"/>
  <c r="D2050" i="14"/>
  <c r="D2046" i="14"/>
  <c r="D2047" i="14" s="1"/>
  <c r="F2050" i="14"/>
  <c r="G2050" i="14"/>
  <c r="L2050" i="14"/>
  <c r="E2046" i="14"/>
  <c r="E2047" i="14" s="1"/>
  <c r="H2050" i="14"/>
  <c r="I2050" i="14"/>
  <c r="J2050" i="14"/>
  <c r="K2050" i="14"/>
  <c r="K2046" i="14"/>
  <c r="K2047" i="14" s="1"/>
  <c r="M2046" i="14"/>
  <c r="M2047" i="14" s="1"/>
  <c r="E2050" i="14"/>
  <c r="F2046" i="14"/>
  <c r="F2047" i="14" s="1"/>
  <c r="G2046" i="14"/>
  <c r="G2047" i="14" s="1"/>
  <c r="H2046" i="14"/>
  <c r="H2047" i="14" s="1"/>
  <c r="I2046" i="14"/>
  <c r="I2047" i="14" s="1"/>
  <c r="J2046" i="14"/>
  <c r="J2047" i="14" s="1"/>
  <c r="L2046" i="14"/>
  <c r="L2047" i="14" s="1"/>
  <c r="M2050" i="14"/>
  <c r="D51" i="15"/>
  <c r="D2118" i="14"/>
  <c r="F51" i="15" s="1"/>
  <c r="J2102" i="14"/>
  <c r="D2109" i="14"/>
  <c r="D2110" i="14" s="1"/>
  <c r="D2096" i="14"/>
  <c r="D2092" i="14"/>
  <c r="D2093" i="14" s="1"/>
  <c r="E2092" i="14"/>
  <c r="E2093" i="14" s="1"/>
  <c r="I2096" i="14"/>
  <c r="I2092" i="14"/>
  <c r="I2093" i="14" s="1"/>
  <c r="M2096" i="14"/>
  <c r="E2096" i="14"/>
  <c r="J2096" i="14"/>
  <c r="M2092" i="14"/>
  <c r="M2093" i="14" s="1"/>
  <c r="G2096" i="14"/>
  <c r="G2092" i="14"/>
  <c r="G2093" i="14" s="1"/>
  <c r="H2092" i="14"/>
  <c r="H2093" i="14" s="1"/>
  <c r="K2096" i="14"/>
  <c r="K2092" i="14"/>
  <c r="K2093" i="14" s="1"/>
  <c r="F2096" i="14"/>
  <c r="F2092" i="14"/>
  <c r="F2093" i="14" s="1"/>
  <c r="H2096" i="14"/>
  <c r="J2092" i="14"/>
  <c r="J2093" i="14" s="1"/>
  <c r="L2096" i="14"/>
  <c r="L2092" i="14"/>
  <c r="L2093" i="14" s="1"/>
  <c r="D52" i="15"/>
  <c r="D2164" i="14"/>
  <c r="F52" i="15" s="1"/>
  <c r="J2148" i="14"/>
  <c r="E52" i="15" s="1"/>
  <c r="D2155" i="14"/>
  <c r="D2156" i="14" s="1"/>
  <c r="D2142" i="14"/>
  <c r="D2138" i="14"/>
  <c r="D2139" i="14" s="1"/>
  <c r="F2138" i="14"/>
  <c r="F2139" i="14" s="1"/>
  <c r="G2142" i="14"/>
  <c r="I2138" i="14"/>
  <c r="I2139" i="14" s="1"/>
  <c r="J2138" i="14"/>
  <c r="J2139" i="14" s="1"/>
  <c r="E2138" i="14"/>
  <c r="E2139" i="14" s="1"/>
  <c r="H2142" i="14"/>
  <c r="I2142" i="14"/>
  <c r="K2142" i="14"/>
  <c r="K2138" i="14"/>
  <c r="K2139" i="14" s="1"/>
  <c r="M2142" i="14"/>
  <c r="M2138" i="14"/>
  <c r="M2139" i="14" s="1"/>
  <c r="E2142" i="14"/>
  <c r="F2142" i="14"/>
  <c r="G2138" i="14"/>
  <c r="G2139" i="14" s="1"/>
  <c r="H2138" i="14"/>
  <c r="H2139" i="14" s="1"/>
  <c r="J2142" i="14"/>
  <c r="L2142" i="14"/>
  <c r="L2138" i="14"/>
  <c r="L2139" i="14" s="1"/>
  <c r="D56" i="15"/>
  <c r="D2348" i="14"/>
  <c r="F56" i="15" s="1"/>
  <c r="J2332" i="14"/>
  <c r="E56" i="15" s="1"/>
  <c r="D2339" i="14"/>
  <c r="D2340" i="14" s="1"/>
  <c r="D2322" i="14"/>
  <c r="D2323" i="14" s="1"/>
  <c r="D2326" i="14"/>
  <c r="H2322" i="14"/>
  <c r="H2323" i="14" s="1"/>
  <c r="I2322" i="14"/>
  <c r="I2323" i="14" s="1"/>
  <c r="J2322" i="14"/>
  <c r="J2323" i="14" s="1"/>
  <c r="E2322" i="14"/>
  <c r="E2323" i="14" s="1"/>
  <c r="L2326" i="14"/>
  <c r="M2326" i="14"/>
  <c r="M2322" i="14"/>
  <c r="M2323" i="14" s="1"/>
  <c r="E2326" i="14"/>
  <c r="F2326" i="14"/>
  <c r="H2326" i="14"/>
  <c r="I2326" i="14"/>
  <c r="K2326" i="14"/>
  <c r="K2322" i="14"/>
  <c r="K2323" i="14" s="1"/>
  <c r="L2322" i="14"/>
  <c r="L2323" i="14" s="1"/>
  <c r="F2322" i="14"/>
  <c r="F2323" i="14" s="1"/>
  <c r="G2326" i="14"/>
  <c r="G2322" i="14"/>
  <c r="G2323" i="14" s="1"/>
  <c r="J2326" i="14"/>
  <c r="D57" i="15"/>
  <c r="D2394" i="14"/>
  <c r="F57" i="15" s="1"/>
  <c r="J2378" i="14"/>
  <c r="E57" i="15" s="1"/>
  <c r="D2385" i="14"/>
  <c r="D2386" i="14" s="1"/>
  <c r="D2372" i="14"/>
  <c r="D2368" i="14"/>
  <c r="D2369" i="14" s="1"/>
  <c r="E2368" i="14"/>
  <c r="E2369" i="14" s="1"/>
  <c r="H2372" i="14"/>
  <c r="H2368" i="14"/>
  <c r="H2369" i="14" s="1"/>
  <c r="J2372" i="14"/>
  <c r="J2368" i="14"/>
  <c r="J2369" i="14" s="1"/>
  <c r="L2372" i="14"/>
  <c r="M2372" i="14"/>
  <c r="F2372" i="14"/>
  <c r="F2368" i="14"/>
  <c r="F2369" i="14" s="1"/>
  <c r="G2368" i="14"/>
  <c r="G2369" i="14" s="1"/>
  <c r="K2372" i="14"/>
  <c r="K2368" i="14"/>
  <c r="K2369" i="14" s="1"/>
  <c r="M2368" i="14"/>
  <c r="M2369" i="14" s="1"/>
  <c r="E2372" i="14"/>
  <c r="G2372" i="14"/>
  <c r="I2372" i="14"/>
  <c r="I2368" i="14"/>
  <c r="I2369" i="14" s="1"/>
  <c r="L2368" i="14"/>
  <c r="L2369" i="14" s="1"/>
  <c r="D58" i="15"/>
  <c r="D2440" i="14"/>
  <c r="F58" i="15" s="1"/>
  <c r="J2424" i="14"/>
  <c r="E58" i="15" s="1"/>
  <c r="D2431" i="14"/>
  <c r="D2432" i="14" s="1"/>
  <c r="D2414" i="14"/>
  <c r="D2415" i="14" s="1"/>
  <c r="D2418" i="14"/>
  <c r="F2418" i="14"/>
  <c r="G2418" i="14"/>
  <c r="G2414" i="14"/>
  <c r="G2415" i="14" s="1"/>
  <c r="I2418" i="14"/>
  <c r="K2418" i="14"/>
  <c r="L2418" i="14"/>
  <c r="F2414" i="14"/>
  <c r="F2415" i="14" s="1"/>
  <c r="I2414" i="14"/>
  <c r="I2415" i="14" s="1"/>
  <c r="J2414" i="14"/>
  <c r="J2415" i="14" s="1"/>
  <c r="K2414" i="14"/>
  <c r="K2415" i="14" s="1"/>
  <c r="M2414" i="14"/>
  <c r="M2415" i="14" s="1"/>
  <c r="E2418" i="14"/>
  <c r="E2414" i="14"/>
  <c r="E2415" i="14" s="1"/>
  <c r="H2418" i="14"/>
  <c r="H2414" i="14"/>
  <c r="H2415" i="14" s="1"/>
  <c r="J2418" i="14"/>
  <c r="L2414" i="14"/>
  <c r="L2415" i="14" s="1"/>
  <c r="M2418" i="14"/>
  <c r="D63" i="15"/>
  <c r="D2670" i="14"/>
  <c r="F63" i="15" s="1"/>
  <c r="J2654" i="14"/>
  <c r="E63" i="15" s="1"/>
  <c r="D2661" i="14"/>
  <c r="D2662" i="14" s="1"/>
  <c r="D2648" i="14"/>
  <c r="D2644" i="14"/>
  <c r="D2645" i="14" s="1"/>
  <c r="E2648" i="14"/>
  <c r="E2644" i="14"/>
  <c r="E2645" i="14" s="1"/>
  <c r="F2648" i="14"/>
  <c r="F2644" i="14"/>
  <c r="F2645" i="14" s="1"/>
  <c r="G2648" i="14"/>
  <c r="G2644" i="14"/>
  <c r="G2645" i="14" s="1"/>
  <c r="H2648" i="14"/>
  <c r="H2644" i="14"/>
  <c r="H2645" i="14" s="1"/>
  <c r="I2648" i="14"/>
  <c r="I2644" i="14"/>
  <c r="I2645" i="14" s="1"/>
  <c r="J2648" i="14"/>
  <c r="J2644" i="14"/>
  <c r="J2645" i="14" s="1"/>
  <c r="K2648" i="14"/>
  <c r="K2644" i="14"/>
  <c r="K2645" i="14" s="1"/>
  <c r="L2648" i="14"/>
  <c r="L2644" i="14"/>
  <c r="L2645" i="14" s="1"/>
  <c r="M2648" i="14"/>
  <c r="M2644" i="14"/>
  <c r="M2645" i="14" s="1"/>
  <c r="D66" i="15"/>
  <c r="D2808" i="14"/>
  <c r="F66" i="15" s="1"/>
  <c r="J2792" i="14"/>
  <c r="E66" i="15" s="1"/>
  <c r="D2799" i="14"/>
  <c r="D2800" i="14" s="1"/>
  <c r="D2786" i="14"/>
  <c r="D2782" i="14"/>
  <c r="D2783" i="14" s="1"/>
  <c r="E2786" i="14"/>
  <c r="E2782" i="14"/>
  <c r="E2783" i="14" s="1"/>
  <c r="F2786" i="14"/>
  <c r="F2782" i="14"/>
  <c r="F2783" i="14" s="1"/>
  <c r="G2786" i="14"/>
  <c r="G2782" i="14"/>
  <c r="G2783" i="14" s="1"/>
  <c r="H2786" i="14"/>
  <c r="H2782" i="14"/>
  <c r="H2783" i="14" s="1"/>
  <c r="I2786" i="14"/>
  <c r="I2782" i="14"/>
  <c r="I2783" i="14" s="1"/>
  <c r="J2786" i="14"/>
  <c r="J2782" i="14"/>
  <c r="J2783" i="14" s="1"/>
  <c r="K2786" i="14"/>
  <c r="K2782" i="14"/>
  <c r="K2783" i="14" s="1"/>
  <c r="L2786" i="14"/>
  <c r="L2782" i="14"/>
  <c r="L2783" i="14" s="1"/>
  <c r="M2786" i="14"/>
  <c r="M2782" i="14"/>
  <c r="M2783" i="14" s="1"/>
  <c r="D69" i="15"/>
  <c r="D2946" i="14"/>
  <c r="F69" i="15" s="1"/>
  <c r="J2930" i="14"/>
  <c r="E69" i="15" s="1"/>
  <c r="D2937" i="14"/>
  <c r="D2938" i="14" s="1"/>
  <c r="D2920" i="14"/>
  <c r="D2921" i="14" s="1"/>
  <c r="D2924" i="14"/>
  <c r="E2924" i="14"/>
  <c r="E2920" i="14"/>
  <c r="E2921" i="14" s="1"/>
  <c r="F2924" i="14"/>
  <c r="F2920" i="14"/>
  <c r="F2921" i="14" s="1"/>
  <c r="G2924" i="14"/>
  <c r="G2920" i="14"/>
  <c r="G2921" i="14" s="1"/>
  <c r="H2924" i="14"/>
  <c r="H2920" i="14"/>
  <c r="H2921" i="14" s="1"/>
  <c r="I2924" i="14"/>
  <c r="I2920" i="14"/>
  <c r="I2921" i="14" s="1"/>
  <c r="J2924" i="14"/>
  <c r="J2920" i="14"/>
  <c r="J2921" i="14" s="1"/>
  <c r="K2924" i="14"/>
  <c r="K2920" i="14"/>
  <c r="K2921" i="14" s="1"/>
  <c r="L2924" i="14"/>
  <c r="L2920" i="14"/>
  <c r="L2921" i="14" s="1"/>
  <c r="M2924" i="14"/>
  <c r="M2920" i="14"/>
  <c r="M2921" i="14" s="1"/>
  <c r="D72" i="15"/>
  <c r="D3084" i="14"/>
  <c r="F72" i="15" s="1"/>
  <c r="J3068" i="14"/>
  <c r="E72" i="15" s="1"/>
  <c r="D3075" i="14"/>
  <c r="D3076" i="14" s="1"/>
  <c r="D3058" i="14"/>
  <c r="D3059" i="14" s="1"/>
  <c r="D3062" i="14"/>
  <c r="E3062" i="14"/>
  <c r="E3058" i="14"/>
  <c r="E3059" i="14" s="1"/>
  <c r="F3062" i="14"/>
  <c r="F3058" i="14"/>
  <c r="F3059" i="14" s="1"/>
  <c r="G3062" i="14"/>
  <c r="G3058" i="14"/>
  <c r="G3059" i="14" s="1"/>
  <c r="H3062" i="14"/>
  <c r="H3058" i="14"/>
  <c r="H3059" i="14" s="1"/>
  <c r="I3062" i="14"/>
  <c r="I3058" i="14"/>
  <c r="I3059" i="14" s="1"/>
  <c r="J3062" i="14"/>
  <c r="J3058" i="14"/>
  <c r="J3059" i="14" s="1"/>
  <c r="K3062" i="14"/>
  <c r="K3058" i="14"/>
  <c r="K3059" i="14" s="1"/>
  <c r="L3062" i="14"/>
  <c r="L3058" i="14"/>
  <c r="L3059" i="14" s="1"/>
  <c r="M3062" i="14"/>
  <c r="M3058" i="14"/>
  <c r="M3059" i="14" s="1"/>
  <c r="D81" i="15"/>
  <c r="D3498" i="14"/>
  <c r="F81" i="15" s="1"/>
  <c r="J3482" i="14"/>
  <c r="E81" i="15" s="1"/>
  <c r="D3489" i="14"/>
  <c r="D3490" i="14" s="1"/>
  <c r="D3472" i="14"/>
  <c r="D3473" i="14" s="1"/>
  <c r="D3476" i="14"/>
  <c r="E3476" i="14"/>
  <c r="E3472" i="14"/>
  <c r="E3473" i="14" s="1"/>
  <c r="F3476" i="14"/>
  <c r="F3472" i="14"/>
  <c r="F3473" i="14" s="1"/>
  <c r="G3476" i="14"/>
  <c r="G3472" i="14"/>
  <c r="G3473" i="14" s="1"/>
  <c r="H3476" i="14"/>
  <c r="H3472" i="14"/>
  <c r="H3473" i="14" s="1"/>
  <c r="I3476" i="14"/>
  <c r="I3472" i="14"/>
  <c r="I3473" i="14" s="1"/>
  <c r="J3476" i="14"/>
  <c r="J3472" i="14"/>
  <c r="J3473" i="14" s="1"/>
  <c r="K3476" i="14"/>
  <c r="K3472" i="14"/>
  <c r="K3473" i="14" s="1"/>
  <c r="L3476" i="14"/>
  <c r="L3472" i="14"/>
  <c r="L3473" i="14" s="1"/>
  <c r="M3476" i="14"/>
  <c r="M3472" i="14"/>
  <c r="M3473" i="14" s="1"/>
  <c r="D76" i="15"/>
  <c r="D3268" i="14"/>
  <c r="F76" i="15" s="1"/>
  <c r="J3252" i="14"/>
  <c r="E76" i="15" s="1"/>
  <c r="D3259" i="14"/>
  <c r="D3260" i="14" s="1"/>
  <c r="D3246" i="14"/>
  <c r="D3242" i="14"/>
  <c r="D3243" i="14" s="1"/>
  <c r="E3246" i="14"/>
  <c r="E3242" i="14"/>
  <c r="E3243" i="14" s="1"/>
  <c r="F3246" i="14"/>
  <c r="F3242" i="14"/>
  <c r="F3243" i="14" s="1"/>
  <c r="G3246" i="14"/>
  <c r="G3242" i="14"/>
  <c r="G3243" i="14" s="1"/>
  <c r="H3246" i="14"/>
  <c r="H3242" i="14"/>
  <c r="H3243" i="14" s="1"/>
  <c r="I3246" i="14"/>
  <c r="I3242" i="14"/>
  <c r="I3243" i="14" s="1"/>
  <c r="J3246" i="14"/>
  <c r="J3242" i="14"/>
  <c r="J3243" i="14" s="1"/>
  <c r="K3246" i="14"/>
  <c r="K3242" i="14"/>
  <c r="K3243" i="14" s="1"/>
  <c r="L3246" i="14"/>
  <c r="L3242" i="14"/>
  <c r="L3243" i="14" s="1"/>
  <c r="M3246" i="14"/>
  <c r="M3242" i="14"/>
  <c r="M3243" i="14" s="1"/>
  <c r="E3338" i="14"/>
  <c r="F3338" i="14"/>
  <c r="G3338" i="14"/>
  <c r="H3338" i="14"/>
  <c r="I3338" i="14"/>
  <c r="J3338" i="14"/>
  <c r="K3338" i="14"/>
  <c r="L3338" i="14"/>
  <c r="M3338" i="14"/>
  <c r="D78" i="15"/>
  <c r="D3360" i="14"/>
  <c r="F78" i="15" s="1"/>
  <c r="J3344" i="14"/>
  <c r="E78" i="15" s="1"/>
  <c r="D3351" i="14"/>
  <c r="D3352" i="14" s="1"/>
  <c r="D3338" i="14"/>
  <c r="D3334" i="14"/>
  <c r="D3335" i="14" s="1"/>
  <c r="E3334" i="14"/>
  <c r="E3335" i="14" s="1"/>
  <c r="F3334" i="14"/>
  <c r="F3335" i="14" s="1"/>
  <c r="G3334" i="14"/>
  <c r="G3335" i="14" s="1"/>
  <c r="H3334" i="14"/>
  <c r="H3335" i="14" s="1"/>
  <c r="I3334" i="14"/>
  <c r="I3335" i="14" s="1"/>
  <c r="J3334" i="14"/>
  <c r="J3335" i="14" s="1"/>
  <c r="K3334" i="14"/>
  <c r="K3335" i="14" s="1"/>
  <c r="L3334" i="14"/>
  <c r="L3335" i="14" s="1"/>
  <c r="M3334" i="14"/>
  <c r="M3335" i="14" s="1"/>
  <c r="D79" i="15"/>
  <c r="D3406" i="14"/>
  <c r="F79" i="15" s="1"/>
  <c r="J3390" i="14"/>
  <c r="E79" i="15" s="1"/>
  <c r="D3397" i="14"/>
  <c r="D3398" i="14" s="1"/>
  <c r="D3384" i="14"/>
  <c r="D3380" i="14"/>
  <c r="D3381" i="14" s="1"/>
  <c r="E3384" i="14"/>
  <c r="E3380" i="14"/>
  <c r="E3381" i="14" s="1"/>
  <c r="F3384" i="14"/>
  <c r="F3380" i="14"/>
  <c r="F3381" i="14" s="1"/>
  <c r="G3384" i="14"/>
  <c r="G3380" i="14"/>
  <c r="G3381" i="14" s="1"/>
  <c r="H3384" i="14"/>
  <c r="H3380" i="14"/>
  <c r="H3381" i="14" s="1"/>
  <c r="I3384" i="14"/>
  <c r="I3380" i="14"/>
  <c r="I3381" i="14" s="1"/>
  <c r="J3384" i="14"/>
  <c r="J3380" i="14"/>
  <c r="J3381" i="14" s="1"/>
  <c r="K3384" i="14"/>
  <c r="K3380" i="14"/>
  <c r="K3381" i="14" s="1"/>
  <c r="L3384" i="14"/>
  <c r="L3380" i="14"/>
  <c r="L3381" i="14" s="1"/>
  <c r="M3384" i="14"/>
  <c r="M3380" i="14"/>
  <c r="M3381" i="14" s="1"/>
  <c r="E3430" i="14"/>
  <c r="F3430" i="14"/>
  <c r="G3430" i="14"/>
  <c r="H3430" i="14"/>
  <c r="I3430" i="14"/>
  <c r="J3430" i="14"/>
  <c r="K3430" i="14"/>
  <c r="L3430" i="14"/>
  <c r="M3430" i="14"/>
  <c r="D80" i="15"/>
  <c r="D3452" i="14"/>
  <c r="F80" i="15" s="1"/>
  <c r="J3436" i="14"/>
  <c r="E80" i="15" s="1"/>
  <c r="D3443" i="14"/>
  <c r="D3444" i="14" s="1"/>
  <c r="D3426" i="14"/>
  <c r="D3427" i="14" s="1"/>
  <c r="D3430" i="14"/>
  <c r="E3426" i="14"/>
  <c r="E3427" i="14" s="1"/>
  <c r="F3426" i="14"/>
  <c r="F3427" i="14" s="1"/>
  <c r="G3426" i="14"/>
  <c r="G3427" i="14" s="1"/>
  <c r="H3426" i="14"/>
  <c r="H3427" i="14" s="1"/>
  <c r="I3426" i="14"/>
  <c r="I3427" i="14" s="1"/>
  <c r="J3426" i="14"/>
  <c r="J3427" i="14" s="1"/>
  <c r="K3426" i="14"/>
  <c r="K3427" i="14" s="1"/>
  <c r="L3426" i="14"/>
  <c r="L3427" i="14" s="1"/>
  <c r="M3426" i="14"/>
  <c r="M3427" i="14" s="1"/>
  <c r="E3568" i="14"/>
  <c r="F3568" i="14"/>
  <c r="G3568" i="14"/>
  <c r="H3568" i="14"/>
  <c r="I3568" i="14"/>
  <c r="J3568" i="14"/>
  <c r="K3568" i="14"/>
  <c r="L3568" i="14"/>
  <c r="M3568" i="14"/>
  <c r="D83" i="15"/>
  <c r="D3590" i="14"/>
  <c r="F83" i="15" s="1"/>
  <c r="J3574" i="14"/>
  <c r="E83" i="15" s="1"/>
  <c r="D3581" i="14"/>
  <c r="D3582" i="14" s="1"/>
  <c r="D3564" i="14"/>
  <c r="D3565" i="14" s="1"/>
  <c r="D3568" i="14"/>
  <c r="E3564" i="14"/>
  <c r="E3565" i="14" s="1"/>
  <c r="F3564" i="14"/>
  <c r="F3565" i="14" s="1"/>
  <c r="G3564" i="14"/>
  <c r="G3565" i="14" s="1"/>
  <c r="H3564" i="14"/>
  <c r="H3565" i="14" s="1"/>
  <c r="I3564" i="14"/>
  <c r="I3565" i="14" s="1"/>
  <c r="J3564" i="14"/>
  <c r="J3565" i="14" s="1"/>
  <c r="K3564" i="14"/>
  <c r="K3565" i="14" s="1"/>
  <c r="L3564" i="14"/>
  <c r="L3565" i="14" s="1"/>
  <c r="M3564" i="14"/>
  <c r="M3565" i="14" s="1"/>
  <c r="E3614" i="14"/>
  <c r="F3614" i="14"/>
  <c r="G3614" i="14"/>
  <c r="H3614" i="14"/>
  <c r="I3614" i="14"/>
  <c r="J3614" i="14"/>
  <c r="K3614" i="14"/>
  <c r="L3614" i="14"/>
  <c r="M3614" i="14"/>
  <c r="D84" i="15"/>
  <c r="D3636" i="14"/>
  <c r="F84" i="15" s="1"/>
  <c r="J3620" i="14"/>
  <c r="E84" i="15" s="1"/>
  <c r="D3627" i="14"/>
  <c r="D3628" i="14" s="1"/>
  <c r="D3614" i="14"/>
  <c r="D3610" i="14"/>
  <c r="D3611" i="14" s="1"/>
  <c r="E3610" i="14"/>
  <c r="E3611" i="14" s="1"/>
  <c r="F3610" i="14"/>
  <c r="F3611" i="14" s="1"/>
  <c r="G3610" i="14"/>
  <c r="G3611" i="14" s="1"/>
  <c r="H3610" i="14"/>
  <c r="H3611" i="14" s="1"/>
  <c r="I3610" i="14"/>
  <c r="I3611" i="14" s="1"/>
  <c r="J3610" i="14"/>
  <c r="J3611" i="14" s="1"/>
  <c r="K3610" i="14"/>
  <c r="K3611" i="14" s="1"/>
  <c r="L3610" i="14"/>
  <c r="L3611" i="14" s="1"/>
  <c r="M3610" i="14"/>
  <c r="M3611" i="14" s="1"/>
  <c r="D85" i="15"/>
  <c r="D3682" i="14"/>
  <c r="F85" i="15" s="1"/>
  <c r="J3666" i="14"/>
  <c r="E85" i="15" s="1"/>
  <c r="D3673" i="14"/>
  <c r="D3674" i="14" s="1"/>
  <c r="D3660" i="14"/>
  <c r="D3656" i="14"/>
  <c r="D3657" i="14" s="1"/>
  <c r="E3660" i="14"/>
  <c r="E3656" i="14"/>
  <c r="E3657" i="14" s="1"/>
  <c r="F3660" i="14"/>
  <c r="F3656" i="14"/>
  <c r="F3657" i="14" s="1"/>
  <c r="G3660" i="14"/>
  <c r="G3656" i="14"/>
  <c r="G3657" i="14" s="1"/>
  <c r="H3660" i="14"/>
  <c r="H3656" i="14"/>
  <c r="H3657" i="14" s="1"/>
  <c r="I3660" i="14"/>
  <c r="I3656" i="14"/>
  <c r="I3657" i="14" s="1"/>
  <c r="J3660" i="14"/>
  <c r="J3656" i="14"/>
  <c r="J3657" i="14" s="1"/>
  <c r="K3660" i="14"/>
  <c r="K3656" i="14"/>
  <c r="K3657" i="14" s="1"/>
  <c r="L3660" i="14"/>
  <c r="L3656" i="14"/>
  <c r="L3657" i="14" s="1"/>
  <c r="M3660" i="14"/>
  <c r="M3656" i="14"/>
  <c r="M3657" i="14" s="1"/>
  <c r="E3706" i="14"/>
  <c r="F3706" i="14"/>
  <c r="G3706" i="14"/>
  <c r="H3706" i="14"/>
  <c r="I3706" i="14"/>
  <c r="J3706" i="14"/>
  <c r="K3706" i="14"/>
  <c r="L3706" i="14"/>
  <c r="M3706" i="14"/>
  <c r="D86" i="15"/>
  <c r="D3728" i="14"/>
  <c r="F86" i="15" s="1"/>
  <c r="J3712" i="14"/>
  <c r="E86" i="15" s="1"/>
  <c r="D3719" i="14"/>
  <c r="D3720" i="14" s="1"/>
  <c r="D3706" i="14"/>
  <c r="D3702" i="14"/>
  <c r="D3703" i="14" s="1"/>
  <c r="E3702" i="14"/>
  <c r="E3703" i="14" s="1"/>
  <c r="F3702" i="14"/>
  <c r="F3703" i="14" s="1"/>
  <c r="G3702" i="14"/>
  <c r="G3703" i="14" s="1"/>
  <c r="H3702" i="14"/>
  <c r="H3703" i="14" s="1"/>
  <c r="I3702" i="14"/>
  <c r="I3703" i="14" s="1"/>
  <c r="J3702" i="14"/>
  <c r="J3703" i="14" s="1"/>
  <c r="K3702" i="14"/>
  <c r="K3703" i="14" s="1"/>
  <c r="L3702" i="14"/>
  <c r="L3703" i="14" s="1"/>
  <c r="M3702" i="14"/>
  <c r="M3703" i="14" s="1"/>
  <c r="E4028" i="14"/>
  <c r="F4028" i="14"/>
  <c r="G4028" i="14"/>
  <c r="H4028" i="14"/>
  <c r="I4028" i="14"/>
  <c r="J4028" i="14"/>
  <c r="K4028" i="14"/>
  <c r="L4028" i="14"/>
  <c r="M4028" i="14"/>
  <c r="D93" i="15"/>
  <c r="D4050" i="14"/>
  <c r="F93" i="15" s="1"/>
  <c r="J4034" i="14"/>
  <c r="E93" i="15" s="1"/>
  <c r="D4041" i="14"/>
  <c r="D4042" i="14" s="1"/>
  <c r="D4024" i="14"/>
  <c r="D4025" i="14" s="1"/>
  <c r="D4028" i="14"/>
  <c r="E4024" i="14"/>
  <c r="E4025" i="14" s="1"/>
  <c r="F4024" i="14"/>
  <c r="F4025" i="14" s="1"/>
  <c r="G4024" i="14"/>
  <c r="G4025" i="14" s="1"/>
  <c r="H4024" i="14"/>
  <c r="H4025" i="14" s="1"/>
  <c r="I4024" i="14"/>
  <c r="I4025" i="14" s="1"/>
  <c r="J4024" i="14"/>
  <c r="J4025" i="14" s="1"/>
  <c r="K4024" i="14"/>
  <c r="K4025" i="14" s="1"/>
  <c r="L4024" i="14"/>
  <c r="L4025" i="14" s="1"/>
  <c r="M4024" i="14"/>
  <c r="M4025" i="14" s="1"/>
  <c r="E3798" i="14"/>
  <c r="F3798" i="14"/>
  <c r="G3798" i="14"/>
  <c r="H3798" i="14"/>
  <c r="I3798" i="14"/>
  <c r="J3798" i="14"/>
  <c r="K3798" i="14"/>
  <c r="L3798" i="14"/>
  <c r="D88" i="15"/>
  <c r="D3820" i="14"/>
  <c r="F88" i="15" s="1"/>
  <c r="D3811" i="14"/>
  <c r="D3812" i="14" s="1"/>
  <c r="J3804" i="14"/>
  <c r="E88" i="15" s="1"/>
  <c r="D3798" i="14"/>
  <c r="D3794" i="14"/>
  <c r="D3795" i="14" s="1"/>
  <c r="E3794" i="14"/>
  <c r="E3795" i="14" s="1"/>
  <c r="F3794" i="14"/>
  <c r="F3795" i="14" s="1"/>
  <c r="G3794" i="14"/>
  <c r="G3795" i="14" s="1"/>
  <c r="H3794" i="14"/>
  <c r="H3795" i="14" s="1"/>
  <c r="I3794" i="14"/>
  <c r="I3795" i="14" s="1"/>
  <c r="J3794" i="14"/>
  <c r="J3795" i="14" s="1"/>
  <c r="K3794" i="14"/>
  <c r="K3795" i="14" s="1"/>
  <c r="L3794" i="14"/>
  <c r="L3795" i="14" s="1"/>
  <c r="M3794" i="14"/>
  <c r="M3795" i="14" s="1"/>
  <c r="M3798" i="14"/>
  <c r="E4258" i="14"/>
  <c r="F4258" i="14"/>
  <c r="G4258" i="14"/>
  <c r="H4258" i="14"/>
  <c r="J4258" i="14"/>
  <c r="K4258" i="14"/>
  <c r="L4258" i="14"/>
  <c r="M4258" i="14"/>
  <c r="D98" i="15"/>
  <c r="D4280" i="14"/>
  <c r="F98" i="15" s="1"/>
  <c r="J4264" i="14"/>
  <c r="E98" i="15" s="1"/>
  <c r="D4271" i="14"/>
  <c r="D4272" i="14" s="1"/>
  <c r="I4258" i="14"/>
  <c r="D4254" i="14"/>
  <c r="D4255" i="14" s="1"/>
  <c r="D4256" i="14" s="1"/>
  <c r="I4254" i="14"/>
  <c r="I4255" i="14" s="1"/>
  <c r="I4256" i="14" s="1"/>
  <c r="I4257" i="14" s="1"/>
  <c r="I4259" i="14" s="1"/>
  <c r="I4260" i="14" s="1"/>
  <c r="D4258" i="14"/>
  <c r="E4254" i="14"/>
  <c r="E4255" i="14" s="1"/>
  <c r="E4256" i="14" s="1"/>
  <c r="E4257" i="14" s="1"/>
  <c r="E4259" i="14" s="1"/>
  <c r="E4260" i="14" s="1"/>
  <c r="F4254" i="14"/>
  <c r="F4255" i="14" s="1"/>
  <c r="G4254" i="14"/>
  <c r="G4255" i="14" s="1"/>
  <c r="G4256" i="14" s="1"/>
  <c r="G4257" i="14" s="1"/>
  <c r="G4259" i="14" s="1"/>
  <c r="G4260" i="14" s="1"/>
  <c r="H4254" i="14"/>
  <c r="H4255" i="14" s="1"/>
  <c r="H4256" i="14" s="1"/>
  <c r="H4257" i="14" s="1"/>
  <c r="H4259" i="14" s="1"/>
  <c r="H4260" i="14" s="1"/>
  <c r="J4254" i="14"/>
  <c r="J4255" i="14" s="1"/>
  <c r="J4256" i="14" s="1"/>
  <c r="J4257" i="14" s="1"/>
  <c r="J4259" i="14" s="1"/>
  <c r="J4260" i="14" s="1"/>
  <c r="K4254" i="14"/>
  <c r="K4255" i="14" s="1"/>
  <c r="K4256" i="14" s="1"/>
  <c r="K4257" i="14" s="1"/>
  <c r="K4259" i="14" s="1"/>
  <c r="K4260" i="14" s="1"/>
  <c r="L4254" i="14"/>
  <c r="L4255" i="14" s="1"/>
  <c r="L4256" i="14" s="1"/>
  <c r="L4257" i="14" s="1"/>
  <c r="L4259" i="14" s="1"/>
  <c r="L4260" i="14" s="1"/>
  <c r="M4254" i="14"/>
  <c r="M4255" i="14" s="1"/>
  <c r="M4256" i="14" s="1"/>
  <c r="M4257" i="14" s="1"/>
  <c r="M4259" i="14" s="1"/>
  <c r="M4260" i="14" s="1"/>
  <c r="E4304" i="14"/>
  <c r="F4304" i="14"/>
  <c r="G4304" i="14"/>
  <c r="H4304" i="14"/>
  <c r="I4304" i="14"/>
  <c r="J4304" i="14"/>
  <c r="K4304" i="14"/>
  <c r="L4304" i="14"/>
  <c r="M4304" i="14"/>
  <c r="D99" i="15"/>
  <c r="D4326" i="14"/>
  <c r="F99" i="15" s="1"/>
  <c r="J4310" i="14"/>
  <c r="D4317" i="14"/>
  <c r="D4318" i="14" s="1"/>
  <c r="D4304" i="14"/>
  <c r="D4300" i="14"/>
  <c r="D4301" i="14" s="1"/>
  <c r="D4302" i="14" s="1"/>
  <c r="E4300" i="14"/>
  <c r="E4301" i="14" s="1"/>
  <c r="E4302" i="14" s="1"/>
  <c r="E4303" i="14" s="1"/>
  <c r="E4305" i="14" s="1"/>
  <c r="E4306" i="14" s="1"/>
  <c r="F4300" i="14"/>
  <c r="F4301" i="14" s="1"/>
  <c r="F4302" i="14" s="1"/>
  <c r="F4303" i="14" s="1"/>
  <c r="F4305" i="14" s="1"/>
  <c r="F4306" i="14" s="1"/>
  <c r="G4300" i="14"/>
  <c r="G4301" i="14" s="1"/>
  <c r="G4302" i="14" s="1"/>
  <c r="G4303" i="14" s="1"/>
  <c r="G4305" i="14" s="1"/>
  <c r="G4306" i="14" s="1"/>
  <c r="H4300" i="14"/>
  <c r="H4301" i="14" s="1"/>
  <c r="H4302" i="14" s="1"/>
  <c r="H4303" i="14" s="1"/>
  <c r="H4305" i="14" s="1"/>
  <c r="H4306" i="14" s="1"/>
  <c r="I4300" i="14"/>
  <c r="I4301" i="14" s="1"/>
  <c r="I4302" i="14" s="1"/>
  <c r="I4303" i="14" s="1"/>
  <c r="I4305" i="14" s="1"/>
  <c r="I4306" i="14" s="1"/>
  <c r="J4300" i="14"/>
  <c r="J4301" i="14" s="1"/>
  <c r="J4302" i="14" s="1"/>
  <c r="J4303" i="14" s="1"/>
  <c r="J4305" i="14" s="1"/>
  <c r="J4306" i="14" s="1"/>
  <c r="K4300" i="14"/>
  <c r="K4301" i="14" s="1"/>
  <c r="K4302" i="14" s="1"/>
  <c r="K4303" i="14" s="1"/>
  <c r="K4305" i="14" s="1"/>
  <c r="K4306" i="14" s="1"/>
  <c r="L4300" i="14"/>
  <c r="L4301" i="14" s="1"/>
  <c r="L4302" i="14" s="1"/>
  <c r="L4303" i="14" s="1"/>
  <c r="L4305" i="14" s="1"/>
  <c r="L4306" i="14" s="1"/>
  <c r="M4300" i="14"/>
  <c r="M4301" i="14" s="1"/>
  <c r="M4302" i="14" s="1"/>
  <c r="M4303" i="14" s="1"/>
  <c r="M4305" i="14" s="1"/>
  <c r="M4306" i="14" s="1"/>
  <c r="E4350" i="14"/>
  <c r="F4350" i="14"/>
  <c r="G4350" i="14"/>
  <c r="H4350" i="14"/>
  <c r="I4350" i="14"/>
  <c r="J4350" i="14"/>
  <c r="K4350" i="14"/>
  <c r="L4350" i="14"/>
  <c r="M4350" i="14"/>
  <c r="D100" i="15"/>
  <c r="D4372" i="14"/>
  <c r="F100" i="15" s="1"/>
  <c r="J4356" i="14"/>
  <c r="E100" i="15" s="1"/>
  <c r="D4363" i="14"/>
  <c r="D4364" i="14" s="1"/>
  <c r="D4350" i="14"/>
  <c r="D4346" i="14"/>
  <c r="D4347" i="14" s="1"/>
  <c r="D4348" i="14" s="1"/>
  <c r="E4346" i="14"/>
  <c r="E4347" i="14" s="1"/>
  <c r="E4348" i="14" s="1"/>
  <c r="E4349" i="14" s="1"/>
  <c r="E4351" i="14" s="1"/>
  <c r="E4352" i="14" s="1"/>
  <c r="F4346" i="14"/>
  <c r="F4347" i="14" s="1"/>
  <c r="F4348" i="14" s="1"/>
  <c r="F4349" i="14" s="1"/>
  <c r="F4351" i="14" s="1"/>
  <c r="F4352" i="14" s="1"/>
  <c r="G4346" i="14"/>
  <c r="G4347" i="14" s="1"/>
  <c r="G4348" i="14" s="1"/>
  <c r="G4349" i="14" s="1"/>
  <c r="G4351" i="14" s="1"/>
  <c r="G4352" i="14" s="1"/>
  <c r="H4346" i="14"/>
  <c r="H4347" i="14" s="1"/>
  <c r="H4348" i="14" s="1"/>
  <c r="H4349" i="14" s="1"/>
  <c r="H4351" i="14" s="1"/>
  <c r="H4352" i="14" s="1"/>
  <c r="I4346" i="14"/>
  <c r="I4347" i="14" s="1"/>
  <c r="I4348" i="14" s="1"/>
  <c r="I4349" i="14" s="1"/>
  <c r="I4351" i="14" s="1"/>
  <c r="I4352" i="14" s="1"/>
  <c r="J4346" i="14"/>
  <c r="J4347" i="14" s="1"/>
  <c r="J4348" i="14" s="1"/>
  <c r="J4349" i="14" s="1"/>
  <c r="J4351" i="14" s="1"/>
  <c r="J4352" i="14" s="1"/>
  <c r="K4346" i="14"/>
  <c r="K4347" i="14" s="1"/>
  <c r="K4348" i="14" s="1"/>
  <c r="K4349" i="14" s="1"/>
  <c r="K4351" i="14" s="1"/>
  <c r="K4352" i="14" s="1"/>
  <c r="L4346" i="14"/>
  <c r="L4347" i="14" s="1"/>
  <c r="L4348" i="14" s="1"/>
  <c r="L4349" i="14" s="1"/>
  <c r="L4351" i="14" s="1"/>
  <c r="L4352" i="14" s="1"/>
  <c r="M4346" i="14"/>
  <c r="M4347" i="14" s="1"/>
  <c r="M4348" i="14" s="1"/>
  <c r="M4349" i="14" s="1"/>
  <c r="M4351" i="14" s="1"/>
  <c r="M4352" i="14" s="1"/>
  <c r="E4396" i="14"/>
  <c r="F4396" i="14"/>
  <c r="G4396" i="14"/>
  <c r="H4396" i="14"/>
  <c r="I4396" i="14"/>
  <c r="J4396" i="14"/>
  <c r="K4396" i="14"/>
  <c r="L4396" i="14"/>
  <c r="M4396" i="14"/>
  <c r="D101" i="15"/>
  <c r="D4418" i="14"/>
  <c r="F101" i="15" s="1"/>
  <c r="J4402" i="14"/>
  <c r="E101" i="15" s="1"/>
  <c r="D4392" i="14"/>
  <c r="D4393" i="14" s="1"/>
  <c r="D4394" i="14" s="1"/>
  <c r="D4409" i="14"/>
  <c r="D4410" i="14" s="1"/>
  <c r="D4396" i="14"/>
  <c r="E4392" i="14"/>
  <c r="E4393" i="14" s="1"/>
  <c r="E4394" i="14" s="1"/>
  <c r="E4395" i="14" s="1"/>
  <c r="E4397" i="14" s="1"/>
  <c r="E4398" i="14" s="1"/>
  <c r="F4392" i="14"/>
  <c r="F4393" i="14" s="1"/>
  <c r="F4394" i="14" s="1"/>
  <c r="F4395" i="14" s="1"/>
  <c r="F4397" i="14" s="1"/>
  <c r="F4398" i="14" s="1"/>
  <c r="G4392" i="14"/>
  <c r="G4393" i="14" s="1"/>
  <c r="G4394" i="14" s="1"/>
  <c r="G4395" i="14" s="1"/>
  <c r="G4397" i="14" s="1"/>
  <c r="G4398" i="14" s="1"/>
  <c r="H4392" i="14"/>
  <c r="H4393" i="14" s="1"/>
  <c r="H4394" i="14" s="1"/>
  <c r="H4395" i="14" s="1"/>
  <c r="H4397" i="14" s="1"/>
  <c r="H4398" i="14" s="1"/>
  <c r="I4392" i="14"/>
  <c r="I4393" i="14" s="1"/>
  <c r="I4394" i="14" s="1"/>
  <c r="I4395" i="14" s="1"/>
  <c r="I4397" i="14" s="1"/>
  <c r="I4398" i="14" s="1"/>
  <c r="J4392" i="14"/>
  <c r="J4393" i="14" s="1"/>
  <c r="J4394" i="14" s="1"/>
  <c r="J4395" i="14" s="1"/>
  <c r="J4397" i="14" s="1"/>
  <c r="J4398" i="14" s="1"/>
  <c r="K4392" i="14"/>
  <c r="K4393" i="14" s="1"/>
  <c r="K4394" i="14" s="1"/>
  <c r="K4395" i="14" s="1"/>
  <c r="K4397" i="14" s="1"/>
  <c r="K4398" i="14" s="1"/>
  <c r="L4392" i="14"/>
  <c r="L4393" i="14" s="1"/>
  <c r="L4394" i="14" s="1"/>
  <c r="L4395" i="14" s="1"/>
  <c r="L4397" i="14" s="1"/>
  <c r="L4398" i="14" s="1"/>
  <c r="M4392" i="14"/>
  <c r="M4393" i="14" s="1"/>
  <c r="M4394" i="14" s="1"/>
  <c r="M4395" i="14" s="1"/>
  <c r="M4397" i="14" s="1"/>
  <c r="M4398" i="14" s="1"/>
  <c r="E26" i="16"/>
  <c r="E22" i="16"/>
  <c r="E23" i="16" s="1"/>
  <c r="E24" i="16" s="1"/>
  <c r="E25" i="16" s="1"/>
  <c r="E27" i="16" s="1"/>
  <c r="E28" i="16" s="1"/>
  <c r="F26" i="16"/>
  <c r="F22" i="16"/>
  <c r="F23" i="16" s="1"/>
  <c r="F24" i="16" s="1"/>
  <c r="F25" i="16" s="1"/>
  <c r="F27" i="16" s="1"/>
  <c r="F28" i="16" s="1"/>
  <c r="G26" i="16"/>
  <c r="G22" i="16"/>
  <c r="G23" i="16" s="1"/>
  <c r="G24" i="16" s="1"/>
  <c r="G25" i="16" s="1"/>
  <c r="G27" i="16" s="1"/>
  <c r="G28" i="16" s="1"/>
  <c r="H26" i="16"/>
  <c r="H22" i="16"/>
  <c r="H23" i="16" s="1"/>
  <c r="H24" i="16" s="1"/>
  <c r="H25" i="16" s="1"/>
  <c r="H27" i="16" s="1"/>
  <c r="H28" i="16" s="1"/>
  <c r="I26" i="16"/>
  <c r="I22" i="16"/>
  <c r="I23" i="16" s="1"/>
  <c r="I24" i="16" s="1"/>
  <c r="I25" i="16" s="1"/>
  <c r="I27" i="16" s="1"/>
  <c r="I28" i="16" s="1"/>
  <c r="J26" i="16"/>
  <c r="J22" i="16"/>
  <c r="J23" i="16" s="1"/>
  <c r="J24" i="16" s="1"/>
  <c r="J25" i="16" s="1"/>
  <c r="J27" i="16" s="1"/>
  <c r="J28" i="16" s="1"/>
  <c r="K26" i="16"/>
  <c r="K22" i="16"/>
  <c r="K23" i="16" s="1"/>
  <c r="K24" i="16" s="1"/>
  <c r="K25" i="16" s="1"/>
  <c r="K27" i="16" s="1"/>
  <c r="K28" i="16" s="1"/>
  <c r="L26" i="16"/>
  <c r="L22" i="16"/>
  <c r="L23" i="16" s="1"/>
  <c r="L24" i="16" s="1"/>
  <c r="L25" i="16" s="1"/>
  <c r="L27" i="16" s="1"/>
  <c r="L28" i="16" s="1"/>
  <c r="M26" i="16"/>
  <c r="M22" i="16"/>
  <c r="M23" i="16" s="1"/>
  <c r="M24" i="16" s="1"/>
  <c r="M25" i="16" s="1"/>
  <c r="M27" i="16" s="1"/>
  <c r="M28" i="16" s="1"/>
  <c r="D22" i="16"/>
  <c r="D23" i="16" s="1"/>
  <c r="D24" i="16" s="1"/>
  <c r="D26" i="16"/>
  <c r="B54" i="19"/>
  <c r="D13" i="17"/>
  <c r="D12" i="17"/>
  <c r="D11" i="17"/>
  <c r="D10" i="17"/>
  <c r="D9" i="17"/>
  <c r="D8" i="17"/>
  <c r="D7" i="17"/>
  <c r="D6" i="17"/>
  <c r="D48" i="16"/>
  <c r="J32" i="16"/>
  <c r="D39" i="16"/>
  <c r="D40" i="16" s="1"/>
  <c r="E72" i="16"/>
  <c r="E68" i="16"/>
  <c r="E69" i="16" s="1"/>
  <c r="E70" i="16" s="1"/>
  <c r="E71" i="16" s="1"/>
  <c r="E73" i="16" s="1"/>
  <c r="E74" i="16" s="1"/>
  <c r="F72" i="16"/>
  <c r="F68" i="16"/>
  <c r="F69" i="16" s="1"/>
  <c r="F70" i="16" s="1"/>
  <c r="F71" i="16" s="1"/>
  <c r="F73" i="16" s="1"/>
  <c r="F74" i="16" s="1"/>
  <c r="G72" i="16"/>
  <c r="G68" i="16"/>
  <c r="G69" i="16" s="1"/>
  <c r="G70" i="16" s="1"/>
  <c r="G71" i="16" s="1"/>
  <c r="G73" i="16" s="1"/>
  <c r="G74" i="16" s="1"/>
  <c r="H72" i="16"/>
  <c r="H68" i="16"/>
  <c r="H69" i="16" s="1"/>
  <c r="H70" i="16" s="1"/>
  <c r="H71" i="16" s="1"/>
  <c r="H73" i="16" s="1"/>
  <c r="H74" i="16" s="1"/>
  <c r="I72" i="16"/>
  <c r="I68" i="16"/>
  <c r="I69" i="16" s="1"/>
  <c r="I70" i="16" s="1"/>
  <c r="I71" i="16" s="1"/>
  <c r="I73" i="16" s="1"/>
  <c r="I74" i="16" s="1"/>
  <c r="J72" i="16"/>
  <c r="J68" i="16"/>
  <c r="J69" i="16" s="1"/>
  <c r="J70" i="16" s="1"/>
  <c r="J71" i="16" s="1"/>
  <c r="J73" i="16" s="1"/>
  <c r="J74" i="16" s="1"/>
  <c r="K72" i="16"/>
  <c r="K68" i="16"/>
  <c r="K69" i="16" s="1"/>
  <c r="K70" i="16" s="1"/>
  <c r="K71" i="16" s="1"/>
  <c r="K73" i="16" s="1"/>
  <c r="K74" i="16" s="1"/>
  <c r="L72" i="16"/>
  <c r="L68" i="16"/>
  <c r="L69" i="16" s="1"/>
  <c r="L70" i="16" s="1"/>
  <c r="L71" i="16" s="1"/>
  <c r="L73" i="16" s="1"/>
  <c r="L74" i="16" s="1"/>
  <c r="M72" i="16"/>
  <c r="M68" i="16"/>
  <c r="M69" i="16" s="1"/>
  <c r="M70" i="16" s="1"/>
  <c r="M71" i="16" s="1"/>
  <c r="M73" i="16" s="1"/>
  <c r="M74" i="16" s="1"/>
  <c r="D68" i="16"/>
  <c r="D69" i="16" s="1"/>
  <c r="D70" i="16" s="1"/>
  <c r="D72" i="16"/>
  <c r="B63" i="19"/>
  <c r="D21" i="17"/>
  <c r="I21" i="17" s="1"/>
  <c r="D20" i="17"/>
  <c r="D19" i="17"/>
  <c r="D18" i="17"/>
  <c r="D17" i="17"/>
  <c r="D16" i="17"/>
  <c r="D15" i="17"/>
  <c r="G15" i="17" s="1"/>
  <c r="B65" i="19" s="1"/>
  <c r="D14" i="17"/>
  <c r="G14" i="17" s="1"/>
  <c r="B64" i="19" s="1"/>
  <c r="D94" i="16"/>
  <c r="J78" i="16"/>
  <c r="D85" i="16"/>
  <c r="D86" i="16" s="1"/>
  <c r="E118" i="16"/>
  <c r="E114" i="16"/>
  <c r="E115" i="16" s="1"/>
  <c r="E116" i="16" s="1"/>
  <c r="E117" i="16" s="1"/>
  <c r="E119" i="16" s="1"/>
  <c r="E120" i="16" s="1"/>
  <c r="F118" i="16"/>
  <c r="F114" i="16"/>
  <c r="F115" i="16" s="1"/>
  <c r="F116" i="16" s="1"/>
  <c r="F117" i="16" s="1"/>
  <c r="F119" i="16" s="1"/>
  <c r="F120" i="16" s="1"/>
  <c r="G118" i="16"/>
  <c r="G114" i="16"/>
  <c r="G115" i="16" s="1"/>
  <c r="G116" i="16" s="1"/>
  <c r="G117" i="16" s="1"/>
  <c r="G119" i="16" s="1"/>
  <c r="G120" i="16" s="1"/>
  <c r="H118" i="16"/>
  <c r="H114" i="16"/>
  <c r="H115" i="16" s="1"/>
  <c r="H116" i="16" s="1"/>
  <c r="H117" i="16" s="1"/>
  <c r="H119" i="16" s="1"/>
  <c r="H120" i="16" s="1"/>
  <c r="I118" i="16"/>
  <c r="I114" i="16"/>
  <c r="I115" i="16" s="1"/>
  <c r="I116" i="16" s="1"/>
  <c r="I117" i="16" s="1"/>
  <c r="I119" i="16" s="1"/>
  <c r="I120" i="16" s="1"/>
  <c r="J118" i="16"/>
  <c r="J114" i="16"/>
  <c r="J115" i="16" s="1"/>
  <c r="J116" i="16" s="1"/>
  <c r="J117" i="16" s="1"/>
  <c r="J119" i="16" s="1"/>
  <c r="J120" i="16" s="1"/>
  <c r="K118" i="16"/>
  <c r="K114" i="16"/>
  <c r="K115" i="16" s="1"/>
  <c r="K116" i="16" s="1"/>
  <c r="K117" i="16" s="1"/>
  <c r="K119" i="16" s="1"/>
  <c r="K120" i="16" s="1"/>
  <c r="L118" i="16"/>
  <c r="L114" i="16"/>
  <c r="L115" i="16" s="1"/>
  <c r="L116" i="16" s="1"/>
  <c r="L117" i="16" s="1"/>
  <c r="L119" i="16" s="1"/>
  <c r="L120" i="16" s="1"/>
  <c r="M118" i="16"/>
  <c r="M114" i="16"/>
  <c r="M115" i="16" s="1"/>
  <c r="M116" i="16" s="1"/>
  <c r="M117" i="16" s="1"/>
  <c r="M119" i="16" s="1"/>
  <c r="M120" i="16" s="1"/>
  <c r="D114" i="16"/>
  <c r="D115" i="16" s="1"/>
  <c r="D116" i="16" s="1"/>
  <c r="D118" i="16"/>
  <c r="B72" i="19"/>
  <c r="D29" i="17"/>
  <c r="D28" i="17"/>
  <c r="D27" i="17"/>
  <c r="D26" i="17"/>
  <c r="D25" i="17"/>
  <c r="D24" i="17"/>
  <c r="D23" i="17"/>
  <c r="D22" i="17"/>
  <c r="D140" i="16"/>
  <c r="J124" i="16"/>
  <c r="D131" i="16"/>
  <c r="D132" i="16" s="1"/>
  <c r="B10" i="19"/>
  <c r="F23" i="17"/>
  <c r="F15" i="17"/>
  <c r="H7" i="17"/>
  <c r="F7" i="17"/>
  <c r="D186" i="6"/>
  <c r="B12" i="19" s="1"/>
  <c r="J170" i="6"/>
  <c r="B11" i="19" s="1"/>
  <c r="D177" i="6"/>
  <c r="D178" i="6" s="1"/>
  <c r="D164" i="6"/>
  <c r="D160" i="6"/>
  <c r="D161" i="6" s="1"/>
  <c r="D162" i="6" s="1"/>
  <c r="E164" i="6"/>
  <c r="E160" i="6"/>
  <c r="E161" i="6" s="1"/>
  <c r="E162" i="6" s="1"/>
  <c r="E163" i="6" s="1"/>
  <c r="E165" i="6" s="1"/>
  <c r="E166" i="6" s="1"/>
  <c r="F164" i="6"/>
  <c r="F160" i="6"/>
  <c r="F161" i="6" s="1"/>
  <c r="F162" i="6" s="1"/>
  <c r="F163" i="6" s="1"/>
  <c r="F165" i="6" s="1"/>
  <c r="F166" i="6" s="1"/>
  <c r="G164" i="6"/>
  <c r="G160" i="6"/>
  <c r="G161" i="6" s="1"/>
  <c r="G162" i="6" s="1"/>
  <c r="G163" i="6" s="1"/>
  <c r="G165" i="6" s="1"/>
  <c r="G166" i="6" s="1"/>
  <c r="H164" i="6"/>
  <c r="H160" i="6"/>
  <c r="H161" i="6" s="1"/>
  <c r="H162" i="6" s="1"/>
  <c r="H163" i="6" s="1"/>
  <c r="H165" i="6" s="1"/>
  <c r="H166" i="6" s="1"/>
  <c r="I164" i="6"/>
  <c r="I160" i="6"/>
  <c r="I161" i="6" s="1"/>
  <c r="I162" i="6" s="1"/>
  <c r="I163" i="6" s="1"/>
  <c r="I165" i="6" s="1"/>
  <c r="I166" i="6" s="1"/>
  <c r="J164" i="6"/>
  <c r="J160" i="6"/>
  <c r="J161" i="6" s="1"/>
  <c r="J162" i="6" s="1"/>
  <c r="J163" i="6" s="1"/>
  <c r="J165" i="6" s="1"/>
  <c r="J166" i="6" s="1"/>
  <c r="K164" i="6"/>
  <c r="K160" i="6"/>
  <c r="K161" i="6" s="1"/>
  <c r="K162" i="6" s="1"/>
  <c r="K163" i="6" s="1"/>
  <c r="K165" i="6" s="1"/>
  <c r="K166" i="6" s="1"/>
  <c r="L164" i="6"/>
  <c r="L160" i="6"/>
  <c r="L161" i="6" s="1"/>
  <c r="M164" i="6"/>
  <c r="M160" i="6"/>
  <c r="M161" i="6" s="1"/>
  <c r="D232" i="6"/>
  <c r="J216" i="6"/>
  <c r="D223" i="6"/>
  <c r="D224" i="6" s="1"/>
  <c r="D210" i="6"/>
  <c r="D206" i="6"/>
  <c r="D207" i="6" s="1"/>
  <c r="E210" i="6"/>
  <c r="E206" i="6"/>
  <c r="E207" i="6" s="1"/>
  <c r="F210" i="6"/>
  <c r="F206" i="6"/>
  <c r="F207" i="6" s="1"/>
  <c r="G210" i="6"/>
  <c r="G206" i="6"/>
  <c r="G207" i="6" s="1"/>
  <c r="H210" i="6"/>
  <c r="H206" i="6"/>
  <c r="H207" i="6" s="1"/>
  <c r="I210" i="6"/>
  <c r="I206" i="6"/>
  <c r="I207" i="6" s="1"/>
  <c r="J210" i="6"/>
  <c r="J206" i="6"/>
  <c r="J207" i="6" s="1"/>
  <c r="K210" i="6"/>
  <c r="K206" i="6"/>
  <c r="K207" i="6" s="1"/>
  <c r="L210" i="6"/>
  <c r="L206" i="6"/>
  <c r="L207" i="6" s="1"/>
  <c r="M210" i="6"/>
  <c r="M206" i="6"/>
  <c r="M207" i="6" s="1"/>
  <c r="D278" i="6"/>
  <c r="J262" i="6"/>
  <c r="D269" i="6"/>
  <c r="D270" i="6" s="1"/>
  <c r="D256" i="6"/>
  <c r="D252" i="6"/>
  <c r="D253" i="6" s="1"/>
  <c r="E256" i="6"/>
  <c r="E252" i="6"/>
  <c r="E253" i="6" s="1"/>
  <c r="F256" i="6"/>
  <c r="F252" i="6"/>
  <c r="F253" i="6" s="1"/>
  <c r="G256" i="6"/>
  <c r="G252" i="6"/>
  <c r="G253" i="6" s="1"/>
  <c r="H256" i="6"/>
  <c r="H252" i="6"/>
  <c r="H253" i="6" s="1"/>
  <c r="I256" i="6"/>
  <c r="I252" i="6"/>
  <c r="I253" i="6" s="1"/>
  <c r="J256" i="6"/>
  <c r="J252" i="6"/>
  <c r="J253" i="6" s="1"/>
  <c r="K256" i="6"/>
  <c r="K252" i="6"/>
  <c r="K253" i="6" s="1"/>
  <c r="L256" i="6"/>
  <c r="L252" i="6"/>
  <c r="L253" i="6" s="1"/>
  <c r="M256" i="6"/>
  <c r="M252" i="6"/>
  <c r="M253" i="6" s="1"/>
  <c r="D1496" i="6"/>
  <c r="E1496" i="6"/>
  <c r="E1497" i="6" s="1"/>
  <c r="E1499" i="6" s="1"/>
  <c r="E1500" i="6" s="1"/>
  <c r="F1496" i="6"/>
  <c r="F1497" i="6" s="1"/>
  <c r="F1499" i="6" s="1"/>
  <c r="F1500" i="6" s="1"/>
  <c r="G1496" i="6"/>
  <c r="G1497" i="6" s="1"/>
  <c r="G1499" i="6" s="1"/>
  <c r="G1500" i="6" s="1"/>
  <c r="H1496" i="6"/>
  <c r="H1497" i="6" s="1"/>
  <c r="H1499" i="6" s="1"/>
  <c r="H1500" i="6" s="1"/>
  <c r="I1496" i="6"/>
  <c r="I1497" i="6" s="1"/>
  <c r="I1499" i="6" s="1"/>
  <c r="I1500" i="6" s="1"/>
  <c r="J1496" i="6"/>
  <c r="J1497" i="6" s="1"/>
  <c r="J1499" i="6" s="1"/>
  <c r="J1500" i="6" s="1"/>
  <c r="K1496" i="6"/>
  <c r="K1497" i="6" s="1"/>
  <c r="K1499" i="6" s="1"/>
  <c r="K1500" i="6" s="1"/>
  <c r="M1496" i="6"/>
  <c r="M1497" i="6" s="1"/>
  <c r="M1499" i="6" s="1"/>
  <c r="M1500" i="6" s="1"/>
  <c r="L1496" i="6"/>
  <c r="L1497" i="6" s="1"/>
  <c r="L1499" i="6" s="1"/>
  <c r="L1500" i="6" s="1"/>
  <c r="D392" i="6"/>
  <c r="E392" i="6"/>
  <c r="E393" i="6" s="1"/>
  <c r="E395" i="6"/>
  <c r="E396" i="6" s="1"/>
  <c r="F392" i="6"/>
  <c r="F393" i="6" s="1"/>
  <c r="F395" i="6"/>
  <c r="F396" i="6" s="1"/>
  <c r="G392" i="6"/>
  <c r="G393" i="6" s="1"/>
  <c r="G395" i="6"/>
  <c r="G396" i="6" s="1"/>
  <c r="H392" i="6"/>
  <c r="H393" i="6" s="1"/>
  <c r="H395" i="6" s="1"/>
  <c r="H396" i="6" s="1"/>
  <c r="I392" i="6"/>
  <c r="I393" i="6" s="1"/>
  <c r="I395" i="6" s="1"/>
  <c r="I396" i="6" s="1"/>
  <c r="J392" i="6"/>
  <c r="J393" i="6" s="1"/>
  <c r="J395" i="6" s="1"/>
  <c r="J396" i="6" s="1"/>
  <c r="K392" i="6"/>
  <c r="K393" i="6" s="1"/>
  <c r="K395" i="6" s="1"/>
  <c r="K396" i="6" s="1"/>
  <c r="L392" i="6"/>
  <c r="L393" i="6" s="1"/>
  <c r="L395" i="6" s="1"/>
  <c r="L396" i="6" s="1"/>
  <c r="M392" i="6"/>
  <c r="M393" i="6" s="1"/>
  <c r="M395" i="6"/>
  <c r="M396" i="6" s="1"/>
  <c r="D2140" i="6"/>
  <c r="M2140" i="6"/>
  <c r="M2141" i="6" s="1"/>
  <c r="M2143" i="6" s="1"/>
  <c r="M2144" i="6" s="1"/>
  <c r="L2140" i="6"/>
  <c r="L2141" i="6" s="1"/>
  <c r="L2143" i="6" s="1"/>
  <c r="L2144" i="6" s="1"/>
  <c r="K2140" i="6"/>
  <c r="K2141" i="6" s="1"/>
  <c r="K2143" i="6" s="1"/>
  <c r="K2144" i="6" s="1"/>
  <c r="J2140" i="6"/>
  <c r="J2141" i="6" s="1"/>
  <c r="J2143" i="6" s="1"/>
  <c r="J2144" i="6" s="1"/>
  <c r="I2140" i="6"/>
  <c r="I2141" i="6" s="1"/>
  <c r="I2143" i="6" s="1"/>
  <c r="I2144" i="6" s="1"/>
  <c r="H2140" i="6"/>
  <c r="H2141" i="6" s="1"/>
  <c r="H2143" i="6" s="1"/>
  <c r="H2144" i="6" s="1"/>
  <c r="G2140" i="6"/>
  <c r="G2141" i="6" s="1"/>
  <c r="G2143" i="6" s="1"/>
  <c r="G2144" i="6" s="1"/>
  <c r="F2140" i="6"/>
  <c r="F2141" i="6" s="1"/>
  <c r="F2143" i="6" s="1"/>
  <c r="F2144" i="6" s="1"/>
  <c r="E2140" i="6"/>
  <c r="E2141" i="6" s="1"/>
  <c r="E2143" i="6" s="1"/>
  <c r="E2144" i="6" s="1"/>
  <c r="D2278" i="6"/>
  <c r="E2278" i="6"/>
  <c r="E2279" i="6" s="1"/>
  <c r="E2281" i="6" s="1"/>
  <c r="E2282" i="6" s="1"/>
  <c r="F2278" i="6"/>
  <c r="F2279" i="6" s="1"/>
  <c r="F2281" i="6" s="1"/>
  <c r="F2282" i="6" s="1"/>
  <c r="G2278" i="6"/>
  <c r="G2279" i="6" s="1"/>
  <c r="G2281" i="6" s="1"/>
  <c r="G2282" i="6" s="1"/>
  <c r="H2278" i="6"/>
  <c r="H2279" i="6" s="1"/>
  <c r="H2281" i="6" s="1"/>
  <c r="H2282" i="6" s="1"/>
  <c r="I2278" i="6"/>
  <c r="I2279" i="6" s="1"/>
  <c r="I2281" i="6" s="1"/>
  <c r="I2282" i="6" s="1"/>
  <c r="J2278" i="6"/>
  <c r="J2279" i="6" s="1"/>
  <c r="J2281" i="6" s="1"/>
  <c r="J2282" i="6" s="1"/>
  <c r="K2278" i="6"/>
  <c r="K2279" i="6" s="1"/>
  <c r="K2281" i="6" s="1"/>
  <c r="K2282" i="6" s="1"/>
  <c r="L2278" i="6"/>
  <c r="L2279" i="6" s="1"/>
  <c r="L2281" i="6" s="1"/>
  <c r="L2282" i="6" s="1"/>
  <c r="M2278" i="6"/>
  <c r="M2279" i="6" s="1"/>
  <c r="M2281" i="6" s="1"/>
  <c r="M2282" i="6" s="1"/>
  <c r="D2324" i="6"/>
  <c r="E2324" i="6"/>
  <c r="E2325" i="6" s="1"/>
  <c r="E2327" i="6" s="1"/>
  <c r="E2328" i="6" s="1"/>
  <c r="F2324" i="6"/>
  <c r="F2325" i="6" s="1"/>
  <c r="F2327" i="6" s="1"/>
  <c r="F2328" i="6" s="1"/>
  <c r="G2324" i="6"/>
  <c r="G2325" i="6" s="1"/>
  <c r="G2327" i="6" s="1"/>
  <c r="G2328" i="6" s="1"/>
  <c r="H2324" i="6"/>
  <c r="H2325" i="6" s="1"/>
  <c r="H2327" i="6" s="1"/>
  <c r="H2328" i="6" s="1"/>
  <c r="I2324" i="6"/>
  <c r="I2325" i="6" s="1"/>
  <c r="I2327" i="6" s="1"/>
  <c r="I2328" i="6" s="1"/>
  <c r="J2324" i="6"/>
  <c r="J2325" i="6" s="1"/>
  <c r="J2327" i="6" s="1"/>
  <c r="J2328" i="6" s="1"/>
  <c r="K2324" i="6"/>
  <c r="K2325" i="6" s="1"/>
  <c r="K2327" i="6" s="1"/>
  <c r="K2328" i="6" s="1"/>
  <c r="L2324" i="6"/>
  <c r="L2325" i="6" s="1"/>
  <c r="L2327" i="6" s="1"/>
  <c r="L2328" i="6" s="1"/>
  <c r="M2324" i="6"/>
  <c r="M2325" i="6" s="1"/>
  <c r="M2327" i="6" s="1"/>
  <c r="M2328" i="6" s="1"/>
  <c r="D2370" i="6"/>
  <c r="M2370" i="6"/>
  <c r="M2371" i="6" s="1"/>
  <c r="M2373" i="6" s="1"/>
  <c r="M2374" i="6" s="1"/>
  <c r="L2370" i="6"/>
  <c r="L2371" i="6" s="1"/>
  <c r="L2373" i="6" s="1"/>
  <c r="L2374" i="6" s="1"/>
  <c r="K2370" i="6"/>
  <c r="K2371" i="6" s="1"/>
  <c r="K2373" i="6" s="1"/>
  <c r="K2374" i="6" s="1"/>
  <c r="J2370" i="6"/>
  <c r="J2371" i="6" s="1"/>
  <c r="J2373" i="6" s="1"/>
  <c r="J2374" i="6" s="1"/>
  <c r="I2370" i="6"/>
  <c r="I2371" i="6" s="1"/>
  <c r="I2373" i="6" s="1"/>
  <c r="I2374" i="6" s="1"/>
  <c r="H2370" i="6"/>
  <c r="H2371" i="6" s="1"/>
  <c r="H2373" i="6" s="1"/>
  <c r="H2374" i="6" s="1"/>
  <c r="G2370" i="6"/>
  <c r="G2371" i="6" s="1"/>
  <c r="G2373" i="6" s="1"/>
  <c r="G2374" i="6" s="1"/>
  <c r="F2370" i="6"/>
  <c r="F2371" i="6" s="1"/>
  <c r="F2373" i="6" s="1"/>
  <c r="F2374" i="6" s="1"/>
  <c r="E2370" i="6"/>
  <c r="E2371" i="6" s="1"/>
  <c r="E2373" i="6" s="1"/>
  <c r="E2374" i="6" s="1"/>
  <c r="D2416" i="6"/>
  <c r="M2416" i="6"/>
  <c r="M2417" i="6" s="1"/>
  <c r="M2419" i="6" s="1"/>
  <c r="M2420" i="6" s="1"/>
  <c r="L2416" i="6"/>
  <c r="L2417" i="6" s="1"/>
  <c r="L2419" i="6" s="1"/>
  <c r="L2420" i="6" s="1"/>
  <c r="K2416" i="6"/>
  <c r="K2417" i="6" s="1"/>
  <c r="K2419" i="6" s="1"/>
  <c r="K2420" i="6" s="1"/>
  <c r="J2416" i="6"/>
  <c r="J2417" i="6" s="1"/>
  <c r="J2419" i="6" s="1"/>
  <c r="J2420" i="6" s="1"/>
  <c r="I2416" i="6"/>
  <c r="I2417" i="6" s="1"/>
  <c r="I2419" i="6" s="1"/>
  <c r="I2420" i="6" s="1"/>
  <c r="H2416" i="6"/>
  <c r="H2417" i="6" s="1"/>
  <c r="H2419" i="6" s="1"/>
  <c r="H2420" i="6" s="1"/>
  <c r="G2416" i="6"/>
  <c r="G2417" i="6" s="1"/>
  <c r="G2419" i="6" s="1"/>
  <c r="G2420" i="6" s="1"/>
  <c r="F2416" i="6"/>
  <c r="F2417" i="6" s="1"/>
  <c r="F2419" i="6" s="1"/>
  <c r="F2420" i="6" s="1"/>
  <c r="E2416" i="6"/>
  <c r="E2417" i="6" s="1"/>
  <c r="E2419" i="6" s="1"/>
  <c r="E2420" i="6" s="1"/>
  <c r="D2462" i="6"/>
  <c r="M2462" i="6"/>
  <c r="M2463" i="6" s="1"/>
  <c r="M2465" i="6" s="1"/>
  <c r="M2466" i="6" s="1"/>
  <c r="L2462" i="6"/>
  <c r="L2463" i="6" s="1"/>
  <c r="L2465" i="6" s="1"/>
  <c r="L2466" i="6" s="1"/>
  <c r="K2462" i="6"/>
  <c r="K2463" i="6" s="1"/>
  <c r="K2465" i="6" s="1"/>
  <c r="K2466" i="6" s="1"/>
  <c r="J2462" i="6"/>
  <c r="J2463" i="6" s="1"/>
  <c r="J2465" i="6" s="1"/>
  <c r="J2466" i="6" s="1"/>
  <c r="I2462" i="6"/>
  <c r="I2463" i="6" s="1"/>
  <c r="I2465" i="6" s="1"/>
  <c r="I2466" i="6" s="1"/>
  <c r="H2462" i="6"/>
  <c r="H2463" i="6" s="1"/>
  <c r="H2465" i="6" s="1"/>
  <c r="H2466" i="6" s="1"/>
  <c r="G2462" i="6"/>
  <c r="G2463" i="6" s="1"/>
  <c r="G2465" i="6" s="1"/>
  <c r="G2466" i="6" s="1"/>
  <c r="F2462" i="6"/>
  <c r="F2463" i="6" s="1"/>
  <c r="F2465" i="6" s="1"/>
  <c r="F2466" i="6" s="1"/>
  <c r="E2462" i="6"/>
  <c r="E2463" i="6" s="1"/>
  <c r="E2465" i="6" s="1"/>
  <c r="E2466" i="6" s="1"/>
  <c r="D1266" i="6"/>
  <c r="M1266" i="6"/>
  <c r="M1267" i="6" s="1"/>
  <c r="M1269" i="6" s="1"/>
  <c r="M1270" i="6" s="1"/>
  <c r="L1266" i="6"/>
  <c r="L1267" i="6" s="1"/>
  <c r="L1269" i="6"/>
  <c r="L1270" i="6" s="1"/>
  <c r="K1266" i="6"/>
  <c r="K1267" i="6" s="1"/>
  <c r="K1269" i="6"/>
  <c r="K1270" i="6" s="1"/>
  <c r="J1266" i="6"/>
  <c r="J1267" i="6" s="1"/>
  <c r="J1269" i="6"/>
  <c r="J1270" i="6" s="1"/>
  <c r="I1266" i="6"/>
  <c r="I1267" i="6" s="1"/>
  <c r="I1269" i="6" s="1"/>
  <c r="I1270" i="6" s="1"/>
  <c r="H1266" i="6"/>
  <c r="H1267" i="6" s="1"/>
  <c r="H1269" i="6" s="1"/>
  <c r="H1270" i="6" s="1"/>
  <c r="G1266" i="6"/>
  <c r="G1267" i="6" s="1"/>
  <c r="G1269" i="6"/>
  <c r="G1270" i="6" s="1"/>
  <c r="F1266" i="6"/>
  <c r="F1267" i="6" s="1"/>
  <c r="F1269" i="6"/>
  <c r="F1270" i="6" s="1"/>
  <c r="E1266" i="6"/>
  <c r="E1267" i="6" s="1"/>
  <c r="E1269" i="6" s="1"/>
  <c r="E1270" i="6" s="1"/>
  <c r="D1864" i="6"/>
  <c r="L1864" i="6"/>
  <c r="L1865" i="6" s="1"/>
  <c r="L1867" i="6" s="1"/>
  <c r="L1868" i="6" s="1"/>
  <c r="K1864" i="6"/>
  <c r="K1865" i="6" s="1"/>
  <c r="K1867" i="6" s="1"/>
  <c r="K1868" i="6" s="1"/>
  <c r="J1864" i="6"/>
  <c r="J1865" i="6" s="1"/>
  <c r="J1867" i="6" s="1"/>
  <c r="J1868" i="6" s="1"/>
  <c r="I1864" i="6"/>
  <c r="I1865" i="6" s="1"/>
  <c r="I1867" i="6" s="1"/>
  <c r="I1868" i="6" s="1"/>
  <c r="H1864" i="6"/>
  <c r="H1865" i="6" s="1"/>
  <c r="H1867" i="6" s="1"/>
  <c r="H1868" i="6" s="1"/>
  <c r="G1864" i="6"/>
  <c r="G1865" i="6" s="1"/>
  <c r="G1867" i="6" s="1"/>
  <c r="G1868" i="6" s="1"/>
  <c r="F1864" i="6"/>
  <c r="F1865" i="6" s="1"/>
  <c r="F1867" i="6" s="1"/>
  <c r="F1868" i="6" s="1"/>
  <c r="E1864" i="6"/>
  <c r="E1865" i="6" s="1"/>
  <c r="E1867" i="6" s="1"/>
  <c r="E1868" i="6" s="1"/>
  <c r="M1864" i="6"/>
  <c r="M1865" i="6" s="1"/>
  <c r="M1867" i="6" s="1"/>
  <c r="M1868" i="6" s="1"/>
  <c r="D2002" i="6"/>
  <c r="M2002" i="6"/>
  <c r="M2003" i="6" s="1"/>
  <c r="M2005" i="6" s="1"/>
  <c r="M2006" i="6" s="1"/>
  <c r="L2002" i="6"/>
  <c r="L2003" i="6" s="1"/>
  <c r="L2005" i="6" s="1"/>
  <c r="L2006" i="6" s="1"/>
  <c r="K2002" i="6"/>
  <c r="K2003" i="6" s="1"/>
  <c r="K2005" i="6" s="1"/>
  <c r="K2006" i="6" s="1"/>
  <c r="J2002" i="6"/>
  <c r="J2003" i="6" s="1"/>
  <c r="J2005" i="6" s="1"/>
  <c r="J2006" i="6" s="1"/>
  <c r="I2002" i="6"/>
  <c r="I2003" i="6" s="1"/>
  <c r="I2005" i="6" s="1"/>
  <c r="I2006" i="6" s="1"/>
  <c r="H2002" i="6"/>
  <c r="H2003" i="6" s="1"/>
  <c r="H2005" i="6" s="1"/>
  <c r="H2006" i="6" s="1"/>
  <c r="G2002" i="6"/>
  <c r="G2003" i="6" s="1"/>
  <c r="G2005" i="6" s="1"/>
  <c r="G2006" i="6" s="1"/>
  <c r="F2002" i="6"/>
  <c r="F2003" i="6" s="1"/>
  <c r="F2005" i="6" s="1"/>
  <c r="F2006" i="6" s="1"/>
  <c r="E2002" i="6"/>
  <c r="E2003" i="6" s="1"/>
  <c r="E2005" i="6" s="1"/>
  <c r="E2006" i="6" s="1"/>
  <c r="D2508" i="6"/>
  <c r="M2508" i="6"/>
  <c r="M2509" i="6" s="1"/>
  <c r="M2511" i="6" s="1"/>
  <c r="M2512" i="6" s="1"/>
  <c r="L2508" i="6"/>
  <c r="L2509" i="6" s="1"/>
  <c r="L2511" i="6" s="1"/>
  <c r="L2512" i="6" s="1"/>
  <c r="K2508" i="6"/>
  <c r="K2509" i="6" s="1"/>
  <c r="K2511" i="6" s="1"/>
  <c r="K2512" i="6" s="1"/>
  <c r="J2508" i="6"/>
  <c r="J2509" i="6" s="1"/>
  <c r="J2511" i="6" s="1"/>
  <c r="J2512" i="6" s="1"/>
  <c r="I2508" i="6"/>
  <c r="I2509" i="6" s="1"/>
  <c r="I2511" i="6" s="1"/>
  <c r="I2512" i="6" s="1"/>
  <c r="H2508" i="6"/>
  <c r="H2509" i="6" s="1"/>
  <c r="H2511" i="6" s="1"/>
  <c r="H2512" i="6" s="1"/>
  <c r="G2508" i="6"/>
  <c r="G2509" i="6" s="1"/>
  <c r="G2511" i="6" s="1"/>
  <c r="G2512" i="6" s="1"/>
  <c r="F2508" i="6"/>
  <c r="F2509" i="6" s="1"/>
  <c r="F2511" i="6" s="1"/>
  <c r="F2512" i="6" s="1"/>
  <c r="E2508" i="6"/>
  <c r="E2509" i="6" s="1"/>
  <c r="E2511" i="6" s="1"/>
  <c r="E2512" i="6" s="1"/>
  <c r="D2554" i="6"/>
  <c r="M2554" i="6"/>
  <c r="M2555" i="6" s="1"/>
  <c r="M2557" i="6" s="1"/>
  <c r="M2558" i="6" s="1"/>
  <c r="L2554" i="6"/>
  <c r="L2555" i="6" s="1"/>
  <c r="L2557" i="6" s="1"/>
  <c r="L2558" i="6" s="1"/>
  <c r="K2554" i="6"/>
  <c r="K2555" i="6" s="1"/>
  <c r="K2557" i="6" s="1"/>
  <c r="K2558" i="6" s="1"/>
  <c r="J2554" i="6"/>
  <c r="J2555" i="6" s="1"/>
  <c r="J2557" i="6" s="1"/>
  <c r="J2558" i="6" s="1"/>
  <c r="I2554" i="6"/>
  <c r="I2555" i="6" s="1"/>
  <c r="I2557" i="6" s="1"/>
  <c r="I2558" i="6" s="1"/>
  <c r="H2554" i="6"/>
  <c r="H2555" i="6" s="1"/>
  <c r="H2557" i="6" s="1"/>
  <c r="H2558" i="6" s="1"/>
  <c r="G2554" i="6"/>
  <c r="G2555" i="6" s="1"/>
  <c r="G2557" i="6" s="1"/>
  <c r="G2558" i="6" s="1"/>
  <c r="F2554" i="6"/>
  <c r="F2555" i="6" s="1"/>
  <c r="F2557" i="6" s="1"/>
  <c r="F2558" i="6" s="1"/>
  <c r="E2554" i="6"/>
  <c r="E2555" i="6" s="1"/>
  <c r="E2557" i="6" s="1"/>
  <c r="E2558" i="6" s="1"/>
  <c r="D2692" i="6"/>
  <c r="M2692" i="6"/>
  <c r="M2693" i="6" s="1"/>
  <c r="M2695" i="6" s="1"/>
  <c r="M2696" i="6" s="1"/>
  <c r="L2692" i="6"/>
  <c r="L2693" i="6" s="1"/>
  <c r="L2695" i="6" s="1"/>
  <c r="L2696" i="6" s="1"/>
  <c r="K2692" i="6"/>
  <c r="K2693" i="6" s="1"/>
  <c r="K2695" i="6" s="1"/>
  <c r="K2696" i="6" s="1"/>
  <c r="J2692" i="6"/>
  <c r="J2693" i="6" s="1"/>
  <c r="J2695" i="6" s="1"/>
  <c r="J2696" i="6" s="1"/>
  <c r="I2692" i="6"/>
  <c r="I2693" i="6" s="1"/>
  <c r="I2695" i="6" s="1"/>
  <c r="I2696" i="6" s="1"/>
  <c r="H2692" i="6"/>
  <c r="H2693" i="6" s="1"/>
  <c r="H2695" i="6" s="1"/>
  <c r="H2696" i="6" s="1"/>
  <c r="G2692" i="6"/>
  <c r="G2693" i="6" s="1"/>
  <c r="G2695" i="6" s="1"/>
  <c r="G2696" i="6" s="1"/>
  <c r="F2692" i="6"/>
  <c r="F2693" i="6" s="1"/>
  <c r="F2695" i="6" s="1"/>
  <c r="F2696" i="6" s="1"/>
  <c r="E2692" i="6"/>
  <c r="E2693" i="6" s="1"/>
  <c r="E2695" i="6" s="1"/>
  <c r="E2696" i="6" s="1"/>
  <c r="D2738" i="6"/>
  <c r="M2738" i="6"/>
  <c r="M2739" i="6" s="1"/>
  <c r="M2741" i="6" s="1"/>
  <c r="M2742" i="6" s="1"/>
  <c r="L2738" i="6"/>
  <c r="L2739" i="6" s="1"/>
  <c r="L2741" i="6" s="1"/>
  <c r="L2742" i="6" s="1"/>
  <c r="K2738" i="6"/>
  <c r="K2739" i="6" s="1"/>
  <c r="K2741" i="6" s="1"/>
  <c r="K2742" i="6" s="1"/>
  <c r="J2738" i="6"/>
  <c r="J2739" i="6" s="1"/>
  <c r="J2741" i="6" s="1"/>
  <c r="J2742" i="6" s="1"/>
  <c r="I2738" i="6"/>
  <c r="I2739" i="6" s="1"/>
  <c r="I2741" i="6" s="1"/>
  <c r="I2742" i="6" s="1"/>
  <c r="H2738" i="6"/>
  <c r="H2739" i="6" s="1"/>
  <c r="H2741" i="6" s="1"/>
  <c r="H2742" i="6" s="1"/>
  <c r="G2738" i="6"/>
  <c r="G2739" i="6" s="1"/>
  <c r="G2741" i="6" s="1"/>
  <c r="G2742" i="6" s="1"/>
  <c r="F2738" i="6"/>
  <c r="F2739" i="6" s="1"/>
  <c r="F2741" i="6" s="1"/>
  <c r="F2742" i="6" s="1"/>
  <c r="E2738" i="6"/>
  <c r="E2739" i="6" s="1"/>
  <c r="E2741" i="6" s="1"/>
  <c r="E2742" i="6" s="1"/>
  <c r="D2876" i="6"/>
  <c r="M2876" i="6"/>
  <c r="M2877" i="6" s="1"/>
  <c r="M2879" i="6" s="1"/>
  <c r="M2880" i="6" s="1"/>
  <c r="L2876" i="6"/>
  <c r="L2877" i="6" s="1"/>
  <c r="L2879" i="6" s="1"/>
  <c r="L2880" i="6" s="1"/>
  <c r="K2876" i="6"/>
  <c r="K2877" i="6" s="1"/>
  <c r="K2879" i="6" s="1"/>
  <c r="K2880" i="6" s="1"/>
  <c r="J2876" i="6"/>
  <c r="J2877" i="6" s="1"/>
  <c r="J2879" i="6"/>
  <c r="J2880" i="6" s="1"/>
  <c r="I2876" i="6"/>
  <c r="I2877" i="6" s="1"/>
  <c r="I2879" i="6" s="1"/>
  <c r="I2880" i="6" s="1"/>
  <c r="H2876" i="6"/>
  <c r="H2877" i="6" s="1"/>
  <c r="H2879" i="6" s="1"/>
  <c r="H2880" i="6" s="1"/>
  <c r="G2876" i="6"/>
  <c r="G2877" i="6" s="1"/>
  <c r="G2879" i="6" s="1"/>
  <c r="G2880" i="6" s="1"/>
  <c r="F2876" i="6"/>
  <c r="F2877" i="6" s="1"/>
  <c r="F2879" i="6" s="1"/>
  <c r="F2880" i="6" s="1"/>
  <c r="E2876" i="6"/>
  <c r="E2877" i="6" s="1"/>
  <c r="E2879" i="6" s="1"/>
  <c r="E2880" i="6" s="1"/>
  <c r="D3888" i="6"/>
  <c r="J3888" i="6"/>
  <c r="J3889" i="6" s="1"/>
  <c r="J3891" i="6"/>
  <c r="J3892" i="6" s="1"/>
  <c r="H3888" i="6"/>
  <c r="H3889" i="6" s="1"/>
  <c r="H3891" i="6" s="1"/>
  <c r="H3892" i="6" s="1"/>
  <c r="F3888" i="6"/>
  <c r="F3889" i="6" s="1"/>
  <c r="F3891" i="6" s="1"/>
  <c r="F3892" i="6" s="1"/>
  <c r="I3888" i="6"/>
  <c r="I3889" i="6" s="1"/>
  <c r="I3891" i="6" s="1"/>
  <c r="I3892" i="6" s="1"/>
  <c r="L3888" i="6"/>
  <c r="L3889" i="6" s="1"/>
  <c r="L3891" i="6" s="1"/>
  <c r="L3892" i="6" s="1"/>
  <c r="E3888" i="6"/>
  <c r="E3889" i="6" s="1"/>
  <c r="E3891" i="6" s="1"/>
  <c r="E3892" i="6" s="1"/>
  <c r="M3888" i="6"/>
  <c r="M3889" i="6" s="1"/>
  <c r="M3891" i="6" s="1"/>
  <c r="M3892" i="6" s="1"/>
  <c r="G3888" i="6"/>
  <c r="G3889" i="6" s="1"/>
  <c r="G3891" i="6" s="1"/>
  <c r="G3892" i="6" s="1"/>
  <c r="K3888" i="6"/>
  <c r="K3889" i="6" s="1"/>
  <c r="K3891" i="6"/>
  <c r="K3892" i="6" s="1"/>
  <c r="D4118" i="6"/>
  <c r="M4118" i="6"/>
  <c r="M4119" i="6" s="1"/>
  <c r="M4121" i="6" s="1"/>
  <c r="M4122" i="6" s="1"/>
  <c r="J4118" i="6"/>
  <c r="J4119" i="6" s="1"/>
  <c r="J4121" i="6" s="1"/>
  <c r="J4122" i="6" s="1"/>
  <c r="I4118" i="6"/>
  <c r="I4119" i="6" s="1"/>
  <c r="I4121" i="6" s="1"/>
  <c r="I4122" i="6" s="1"/>
  <c r="H4118" i="6"/>
  <c r="H4119" i="6" s="1"/>
  <c r="H4121" i="6" s="1"/>
  <c r="H4122" i="6" s="1"/>
  <c r="K4118" i="6"/>
  <c r="K4119" i="6" s="1"/>
  <c r="K4121" i="6" s="1"/>
  <c r="K4122" i="6" s="1"/>
  <c r="E4118" i="6"/>
  <c r="E4119" i="6" s="1"/>
  <c r="E4121" i="6" s="1"/>
  <c r="E4122" i="6" s="1"/>
  <c r="L4118" i="6"/>
  <c r="L4119" i="6" s="1"/>
  <c r="L4121" i="6" s="1"/>
  <c r="L4122" i="6" s="1"/>
  <c r="F4118" i="6"/>
  <c r="F4119" i="6" s="1"/>
  <c r="F4121" i="6" s="1"/>
  <c r="F4122" i="6" s="1"/>
  <c r="G4118" i="6"/>
  <c r="G4119" i="6" s="1"/>
  <c r="G4121" i="6" s="1"/>
  <c r="G4122" i="6" s="1"/>
  <c r="D4256" i="6"/>
  <c r="H4256" i="6"/>
  <c r="H4257" i="6" s="1"/>
  <c r="H4259" i="6" s="1"/>
  <c r="H4260" i="6" s="1"/>
  <c r="E4256" i="6"/>
  <c r="E4257" i="6" s="1"/>
  <c r="E4259" i="6" s="1"/>
  <c r="E4260" i="6" s="1"/>
  <c r="M4256" i="6"/>
  <c r="M4257" i="6" s="1"/>
  <c r="M4259" i="6" s="1"/>
  <c r="M4260" i="6" s="1"/>
  <c r="L4256" i="6"/>
  <c r="L4257" i="6" s="1"/>
  <c r="L4259" i="6" s="1"/>
  <c r="L4260" i="6" s="1"/>
  <c r="K4256" i="6"/>
  <c r="K4257" i="6" s="1"/>
  <c r="K4259" i="6" s="1"/>
  <c r="K4260" i="6" s="1"/>
  <c r="F4256" i="6"/>
  <c r="F4257" i="6" s="1"/>
  <c r="F4259" i="6" s="1"/>
  <c r="F4260" i="6" s="1"/>
  <c r="G4256" i="6"/>
  <c r="G4257" i="6" s="1"/>
  <c r="G4259" i="6" s="1"/>
  <c r="G4260" i="6" s="1"/>
  <c r="J4256" i="6"/>
  <c r="J4257" i="6" s="1"/>
  <c r="J4259" i="6" s="1"/>
  <c r="J4260" i="6" s="1"/>
  <c r="I4256" i="6"/>
  <c r="I4257" i="6" s="1"/>
  <c r="I4259" i="6" s="1"/>
  <c r="I4260" i="6" s="1"/>
  <c r="D3566" i="6"/>
  <c r="M3566" i="6"/>
  <c r="M3567" i="6" s="1"/>
  <c r="M3569" i="6" s="1"/>
  <c r="M3570" i="6" s="1"/>
  <c r="L3566" i="6"/>
  <c r="L3567" i="6" s="1"/>
  <c r="L3569" i="6" s="1"/>
  <c r="L3570" i="6" s="1"/>
  <c r="K3566" i="6"/>
  <c r="K3567" i="6" s="1"/>
  <c r="K3569" i="6" s="1"/>
  <c r="K3570" i="6" s="1"/>
  <c r="J3566" i="6"/>
  <c r="J3567" i="6" s="1"/>
  <c r="J3569" i="6" s="1"/>
  <c r="J3570" i="6" s="1"/>
  <c r="I3566" i="6"/>
  <c r="I3567" i="6" s="1"/>
  <c r="I3569" i="6" s="1"/>
  <c r="I3570" i="6" s="1"/>
  <c r="H3566" i="6"/>
  <c r="H3567" i="6" s="1"/>
  <c r="H3569" i="6" s="1"/>
  <c r="H3570" i="6" s="1"/>
  <c r="G3566" i="6"/>
  <c r="G3567" i="6" s="1"/>
  <c r="G3569" i="6"/>
  <c r="G3570" i="6" s="1"/>
  <c r="F3566" i="6"/>
  <c r="F3567" i="6" s="1"/>
  <c r="F3569" i="6" s="1"/>
  <c r="F3570" i="6" s="1"/>
  <c r="E3566" i="6"/>
  <c r="E3567" i="6" s="1"/>
  <c r="E3569" i="6" s="1"/>
  <c r="E3570" i="6" s="1"/>
  <c r="D4486" i="6"/>
  <c r="F4486" i="6"/>
  <c r="F4487" i="6" s="1"/>
  <c r="F4489" i="6" s="1"/>
  <c r="F4490" i="6" s="1"/>
  <c r="G4486" i="6"/>
  <c r="G4487" i="6" s="1"/>
  <c r="G4489" i="6" s="1"/>
  <c r="G4490" i="6" s="1"/>
  <c r="I4486" i="6"/>
  <c r="I4487" i="6" s="1"/>
  <c r="I4489" i="6" s="1"/>
  <c r="I4490" i="6" s="1"/>
  <c r="J4486" i="6"/>
  <c r="J4487" i="6" s="1"/>
  <c r="J4489" i="6" s="1"/>
  <c r="J4490" i="6" s="1"/>
  <c r="K4486" i="6"/>
  <c r="K4487" i="6" s="1"/>
  <c r="K4489" i="6" s="1"/>
  <c r="K4490" i="6" s="1"/>
  <c r="H4486" i="6"/>
  <c r="H4487" i="6" s="1"/>
  <c r="H4489" i="6" s="1"/>
  <c r="H4490" i="6" s="1"/>
  <c r="L4486" i="6"/>
  <c r="L4487" i="6" s="1"/>
  <c r="L4489" i="6" s="1"/>
  <c r="L4490" i="6" s="1"/>
  <c r="M4486" i="6"/>
  <c r="M4487" i="6" s="1"/>
  <c r="M4489" i="6" s="1"/>
  <c r="M4490" i="6" s="1"/>
  <c r="E4486" i="6"/>
  <c r="E4487" i="6" s="1"/>
  <c r="E4489" i="6" s="1"/>
  <c r="E4490" i="6" s="1"/>
  <c r="D4578" i="6"/>
  <c r="I4578" i="6"/>
  <c r="I4579" i="6" s="1"/>
  <c r="I4581" i="6" s="1"/>
  <c r="I4582" i="6" s="1"/>
  <c r="J4578" i="6"/>
  <c r="J4579" i="6" s="1"/>
  <c r="J4581" i="6" s="1"/>
  <c r="J4582" i="6" s="1"/>
  <c r="M4578" i="6"/>
  <c r="M4579" i="6" s="1"/>
  <c r="M4581" i="6" s="1"/>
  <c r="M4582" i="6" s="1"/>
  <c r="E4578" i="6"/>
  <c r="E4579" i="6" s="1"/>
  <c r="E4581" i="6" s="1"/>
  <c r="E4582" i="6" s="1"/>
  <c r="H4578" i="6"/>
  <c r="H4579" i="6" s="1"/>
  <c r="H4581" i="6" s="1"/>
  <c r="H4582" i="6" s="1"/>
  <c r="K4578" i="6"/>
  <c r="K4579" i="6" s="1"/>
  <c r="K4581" i="6" s="1"/>
  <c r="K4582" i="6" s="1"/>
  <c r="L4578" i="6"/>
  <c r="L4579" i="6" s="1"/>
  <c r="L4581" i="6" s="1"/>
  <c r="L4582" i="6" s="1"/>
  <c r="F4578" i="6"/>
  <c r="F4579" i="6" s="1"/>
  <c r="F4581" i="6" s="1"/>
  <c r="F4582" i="6" s="1"/>
  <c r="G4578" i="6"/>
  <c r="G4579" i="6" s="1"/>
  <c r="G4581" i="6" s="1"/>
  <c r="G4582" i="6" s="1"/>
  <c r="D4624" i="6"/>
  <c r="G4624" i="6"/>
  <c r="G4625" i="6" s="1"/>
  <c r="G4627" i="6" s="1"/>
  <c r="G4628" i="6" s="1"/>
  <c r="I4624" i="6"/>
  <c r="I4625" i="6" s="1"/>
  <c r="I4627" i="6" s="1"/>
  <c r="I4628" i="6" s="1"/>
  <c r="J4624" i="6"/>
  <c r="J4625" i="6" s="1"/>
  <c r="J4627" i="6" s="1"/>
  <c r="J4628" i="6" s="1"/>
  <c r="E4624" i="6"/>
  <c r="E4625" i="6" s="1"/>
  <c r="E4627" i="6" s="1"/>
  <c r="E4628" i="6" s="1"/>
  <c r="H4624" i="6"/>
  <c r="H4625" i="6" s="1"/>
  <c r="H4627" i="6" s="1"/>
  <c r="H4628" i="6" s="1"/>
  <c r="K4624" i="6"/>
  <c r="K4625" i="6" s="1"/>
  <c r="K4627" i="6" s="1"/>
  <c r="K4628" i="6" s="1"/>
  <c r="F4624" i="6"/>
  <c r="F4625" i="6" s="1"/>
  <c r="F4627" i="6" s="1"/>
  <c r="F4628" i="6" s="1"/>
  <c r="L4624" i="6"/>
  <c r="L4625" i="6" s="1"/>
  <c r="L4627" i="6" s="1"/>
  <c r="L4628" i="6" s="1"/>
  <c r="M4624" i="6"/>
  <c r="M4625" i="6" s="1"/>
  <c r="M4627" i="6" s="1"/>
  <c r="M4628" i="6" s="1"/>
  <c r="D4670" i="6"/>
  <c r="J4670" i="6"/>
  <c r="J4671" i="6" s="1"/>
  <c r="J4673" i="6" s="1"/>
  <c r="J4674" i="6" s="1"/>
  <c r="M4670" i="6"/>
  <c r="M4671" i="6" s="1"/>
  <c r="M4673" i="6" s="1"/>
  <c r="M4674" i="6" s="1"/>
  <c r="F4670" i="6"/>
  <c r="F4671" i="6" s="1"/>
  <c r="F4673" i="6" s="1"/>
  <c r="F4674" i="6" s="1"/>
  <c r="H4670" i="6"/>
  <c r="H4671" i="6" s="1"/>
  <c r="H4673" i="6" s="1"/>
  <c r="H4674" i="6" s="1"/>
  <c r="I4670" i="6"/>
  <c r="I4671" i="6" s="1"/>
  <c r="I4673" i="6" s="1"/>
  <c r="I4674" i="6" s="1"/>
  <c r="E4670" i="6"/>
  <c r="E4671" i="6" s="1"/>
  <c r="E4673" i="6" s="1"/>
  <c r="E4674" i="6" s="1"/>
  <c r="K4670" i="6"/>
  <c r="K4671" i="6" s="1"/>
  <c r="K4673" i="6" s="1"/>
  <c r="K4674" i="6" s="1"/>
  <c r="G4670" i="6"/>
  <c r="G4671" i="6" s="1"/>
  <c r="G4673" i="6" s="1"/>
  <c r="G4674" i="6" s="1"/>
  <c r="L4670" i="6"/>
  <c r="L4671" i="6" s="1"/>
  <c r="L4673" i="6" s="1"/>
  <c r="L4674" i="6" s="1"/>
  <c r="L3198" i="6"/>
  <c r="L3199" i="6" s="1"/>
  <c r="L3201" i="6"/>
  <c r="L3202" i="6" s="1"/>
  <c r="D3198" i="6"/>
  <c r="K3198" i="6"/>
  <c r="K3199" i="6" s="1"/>
  <c r="K3201" i="6"/>
  <c r="K3202" i="6" s="1"/>
  <c r="M3198" i="6"/>
  <c r="M3199" i="6" s="1"/>
  <c r="M3201" i="6" s="1"/>
  <c r="M3202" i="6" s="1"/>
  <c r="J3198" i="6"/>
  <c r="J3199" i="6" s="1"/>
  <c r="J3201" i="6" s="1"/>
  <c r="J3202" i="6" s="1"/>
  <c r="I3198" i="6"/>
  <c r="I3199" i="6" s="1"/>
  <c r="I3201" i="6" s="1"/>
  <c r="I3202" i="6" s="1"/>
  <c r="H3198" i="6"/>
  <c r="H3199" i="6" s="1"/>
  <c r="H3201" i="6"/>
  <c r="H3202" i="6" s="1"/>
  <c r="G3198" i="6"/>
  <c r="G3199" i="6" s="1"/>
  <c r="G3201" i="6"/>
  <c r="G3202" i="6" s="1"/>
  <c r="F3198" i="6"/>
  <c r="F3199" i="6" s="1"/>
  <c r="F3201" i="6" s="1"/>
  <c r="F3202" i="6" s="1"/>
  <c r="E3198" i="6"/>
  <c r="E3199" i="6" s="1"/>
  <c r="E3201" i="6"/>
  <c r="E3202" i="6" s="1"/>
  <c r="D3980" i="6"/>
  <c r="J3980" i="6"/>
  <c r="J3981" i="6" s="1"/>
  <c r="J3983" i="6"/>
  <c r="J3984" i="6" s="1"/>
  <c r="I3980" i="6"/>
  <c r="I3981" i="6" s="1"/>
  <c r="I3983" i="6"/>
  <c r="I3984" i="6" s="1"/>
  <c r="F3980" i="6"/>
  <c r="F3981" i="6" s="1"/>
  <c r="F3983" i="6" s="1"/>
  <c r="F3984" i="6" s="1"/>
  <c r="L3980" i="6"/>
  <c r="L3981" i="6" s="1"/>
  <c r="L3983" i="6" s="1"/>
  <c r="L3984" i="6" s="1"/>
  <c r="K3980" i="6"/>
  <c r="K3981" i="6" s="1"/>
  <c r="K3983" i="6" s="1"/>
  <c r="K3984" i="6" s="1"/>
  <c r="M3980" i="6"/>
  <c r="M3981" i="6" s="1"/>
  <c r="M3983" i="6" s="1"/>
  <c r="M3984" i="6" s="1"/>
  <c r="H3980" i="6"/>
  <c r="H3981" i="6" s="1"/>
  <c r="H3983" i="6"/>
  <c r="H3984" i="6" s="1"/>
  <c r="G3980" i="6"/>
  <c r="G3981" i="6" s="1"/>
  <c r="G3983" i="6" s="1"/>
  <c r="G3984" i="6" s="1"/>
  <c r="E3980" i="6"/>
  <c r="E3981" i="6" s="1"/>
  <c r="E3983" i="6"/>
  <c r="E3984" i="6" s="1"/>
  <c r="M4716" i="6"/>
  <c r="M4717" i="6" s="1"/>
  <c r="M4719" i="6" s="1"/>
  <c r="M4720" i="6" s="1"/>
  <c r="L4716" i="6"/>
  <c r="L4717" i="6" s="1"/>
  <c r="L4719" i="6" s="1"/>
  <c r="L4720" i="6" s="1"/>
  <c r="K4716" i="6"/>
  <c r="K4717" i="6" s="1"/>
  <c r="K4719" i="6" s="1"/>
  <c r="K4720" i="6" s="1"/>
  <c r="J4716" i="6"/>
  <c r="J4717" i="6" s="1"/>
  <c r="J4719" i="6" s="1"/>
  <c r="J4720" i="6" s="1"/>
  <c r="I4716" i="6"/>
  <c r="I4717" i="6" s="1"/>
  <c r="I4719" i="6" s="1"/>
  <c r="I4720" i="6" s="1"/>
  <c r="H4716" i="6"/>
  <c r="H4717" i="6" s="1"/>
  <c r="H4719" i="6" s="1"/>
  <c r="H4720" i="6" s="1"/>
  <c r="G4716" i="6"/>
  <c r="G4717" i="6" s="1"/>
  <c r="G4719" i="6" s="1"/>
  <c r="G4720" i="6" s="1"/>
  <c r="F4716" i="6"/>
  <c r="F4717" i="6" s="1"/>
  <c r="F4719" i="6" s="1"/>
  <c r="F4720" i="6" s="1"/>
  <c r="E4716" i="6"/>
  <c r="E4717" i="6" s="1"/>
  <c r="E4719" i="6" s="1"/>
  <c r="E4720" i="6" s="1"/>
  <c r="D4716" i="6"/>
  <c r="D4762" i="6"/>
  <c r="J4762" i="6"/>
  <c r="J4763" i="6" s="1"/>
  <c r="J4765" i="6" s="1"/>
  <c r="J4766" i="6" s="1"/>
  <c r="I4762" i="6"/>
  <c r="I4763" i="6" s="1"/>
  <c r="I4765" i="6" s="1"/>
  <c r="I4766" i="6" s="1"/>
  <c r="H4762" i="6"/>
  <c r="H4763" i="6" s="1"/>
  <c r="H4765" i="6" s="1"/>
  <c r="H4766" i="6" s="1"/>
  <c r="G4762" i="6"/>
  <c r="G4763" i="6" s="1"/>
  <c r="G4765" i="6" s="1"/>
  <c r="G4766" i="6" s="1"/>
  <c r="F4762" i="6"/>
  <c r="F4763" i="6" s="1"/>
  <c r="F4765" i="6" s="1"/>
  <c r="F4766" i="6" s="1"/>
  <c r="E4762" i="6"/>
  <c r="E4763" i="6" s="1"/>
  <c r="E4765" i="6" s="1"/>
  <c r="E4766" i="6" s="1"/>
  <c r="M4762" i="6"/>
  <c r="M4763" i="6" s="1"/>
  <c r="M4765" i="6" s="1"/>
  <c r="M4766" i="6" s="1"/>
  <c r="L4762" i="6"/>
  <c r="L4763" i="6" s="1"/>
  <c r="L4765" i="6" s="1"/>
  <c r="L4766" i="6" s="1"/>
  <c r="K4762" i="6"/>
  <c r="K4763" i="6" s="1"/>
  <c r="K4765" i="6" s="1"/>
  <c r="K4766" i="6" s="1"/>
  <c r="D4808" i="6"/>
  <c r="F4808" i="6"/>
  <c r="F4809" i="6" s="1"/>
  <c r="F4811" i="6" s="1"/>
  <c r="F4812" i="6" s="1"/>
  <c r="H4808" i="6"/>
  <c r="H4809" i="6" s="1"/>
  <c r="H4811" i="6" s="1"/>
  <c r="H4812" i="6" s="1"/>
  <c r="L4808" i="6"/>
  <c r="L4809" i="6" s="1"/>
  <c r="L4811" i="6" s="1"/>
  <c r="L4812" i="6" s="1"/>
  <c r="I4808" i="6"/>
  <c r="I4809" i="6" s="1"/>
  <c r="I4811" i="6" s="1"/>
  <c r="I4812" i="6" s="1"/>
  <c r="K4808" i="6"/>
  <c r="K4809" i="6" s="1"/>
  <c r="K4811" i="6" s="1"/>
  <c r="K4812" i="6" s="1"/>
  <c r="E4808" i="6"/>
  <c r="E4809" i="6" s="1"/>
  <c r="E4811" i="6" s="1"/>
  <c r="E4812" i="6" s="1"/>
  <c r="J4808" i="6"/>
  <c r="J4809" i="6" s="1"/>
  <c r="J4811" i="6" s="1"/>
  <c r="J4812" i="6" s="1"/>
  <c r="G4808" i="6"/>
  <c r="G4809" i="6" s="1"/>
  <c r="G4811" i="6" s="1"/>
  <c r="G4812" i="6" s="1"/>
  <c r="M4808" i="6"/>
  <c r="M4809" i="6" s="1"/>
  <c r="M4811" i="6" s="1"/>
  <c r="M4812" i="6" s="1"/>
  <c r="D4854" i="6"/>
  <c r="E4854" i="6"/>
  <c r="E4855" i="6" s="1"/>
  <c r="E4857" i="6" s="1"/>
  <c r="E4858" i="6" s="1"/>
  <c r="F4854" i="6"/>
  <c r="F4855" i="6" s="1"/>
  <c r="F4857" i="6" s="1"/>
  <c r="F4858" i="6" s="1"/>
  <c r="G4854" i="6"/>
  <c r="G4855" i="6" s="1"/>
  <c r="G4857" i="6" s="1"/>
  <c r="G4858" i="6" s="1"/>
  <c r="I4854" i="6"/>
  <c r="I4855" i="6" s="1"/>
  <c r="I4857" i="6" s="1"/>
  <c r="I4858" i="6" s="1"/>
  <c r="M4854" i="6"/>
  <c r="M4855" i="6" s="1"/>
  <c r="M4857" i="6" s="1"/>
  <c r="M4858" i="6" s="1"/>
  <c r="H4854" i="6"/>
  <c r="H4855" i="6" s="1"/>
  <c r="H4857" i="6" s="1"/>
  <c r="H4858" i="6" s="1"/>
  <c r="J4854" i="6"/>
  <c r="J4855" i="6" s="1"/>
  <c r="J4857" i="6" s="1"/>
  <c r="J4858" i="6" s="1"/>
  <c r="L4854" i="6"/>
  <c r="L4855" i="6" s="1"/>
  <c r="L4857" i="6" s="1"/>
  <c r="L4858" i="6" s="1"/>
  <c r="K4854" i="6"/>
  <c r="K4855" i="6" s="1"/>
  <c r="K4857" i="6" s="1"/>
  <c r="K4858" i="6" s="1"/>
  <c r="D4900" i="6"/>
  <c r="H4900" i="6"/>
  <c r="H4901" i="6" s="1"/>
  <c r="H4903" i="6" s="1"/>
  <c r="H4904" i="6" s="1"/>
  <c r="M4900" i="6"/>
  <c r="M4901" i="6" s="1"/>
  <c r="M4903" i="6" s="1"/>
  <c r="M4904" i="6" s="1"/>
  <c r="J4900" i="6"/>
  <c r="J4901" i="6" s="1"/>
  <c r="J4903" i="6" s="1"/>
  <c r="J4904" i="6" s="1"/>
  <c r="I4900" i="6"/>
  <c r="I4901" i="6" s="1"/>
  <c r="I4903" i="6" s="1"/>
  <c r="I4904" i="6" s="1"/>
  <c r="G4900" i="6"/>
  <c r="G4901" i="6" s="1"/>
  <c r="G4903" i="6" s="1"/>
  <c r="G4904" i="6" s="1"/>
  <c r="E4900" i="6"/>
  <c r="E4901" i="6" s="1"/>
  <c r="E4903" i="6" s="1"/>
  <c r="E4904" i="6" s="1"/>
  <c r="L4900" i="6"/>
  <c r="L4901" i="6" s="1"/>
  <c r="L4903" i="6" s="1"/>
  <c r="L4904" i="6" s="1"/>
  <c r="K4900" i="6"/>
  <c r="K4901" i="6" s="1"/>
  <c r="K4903" i="6" s="1"/>
  <c r="K4904" i="6" s="1"/>
  <c r="F4900" i="6"/>
  <c r="F4901" i="6" s="1"/>
  <c r="F4903" i="6" s="1"/>
  <c r="F4904" i="6" s="1"/>
  <c r="D4946" i="6"/>
  <c r="L4946" i="6"/>
  <c r="L4947" i="6" s="1"/>
  <c r="L4949" i="6" s="1"/>
  <c r="L4950" i="6" s="1"/>
  <c r="J4946" i="6"/>
  <c r="J4947" i="6" s="1"/>
  <c r="J4949" i="6" s="1"/>
  <c r="J4950" i="6" s="1"/>
  <c r="G4946" i="6"/>
  <c r="G4947" i="6" s="1"/>
  <c r="G4949" i="6" s="1"/>
  <c r="G4950" i="6" s="1"/>
  <c r="E4946" i="6"/>
  <c r="E4947" i="6" s="1"/>
  <c r="E4949" i="6" s="1"/>
  <c r="E4950" i="6" s="1"/>
  <c r="M4946" i="6"/>
  <c r="M4947" i="6" s="1"/>
  <c r="M4949" i="6" s="1"/>
  <c r="M4950" i="6" s="1"/>
  <c r="F4946" i="6"/>
  <c r="F4947" i="6" s="1"/>
  <c r="F4949" i="6" s="1"/>
  <c r="F4950" i="6" s="1"/>
  <c r="K4946" i="6"/>
  <c r="K4947" i="6" s="1"/>
  <c r="K4949" i="6" s="1"/>
  <c r="K4950" i="6" s="1"/>
  <c r="I4946" i="6"/>
  <c r="I4947" i="6" s="1"/>
  <c r="I4949" i="6" s="1"/>
  <c r="I4950" i="6" s="1"/>
  <c r="H4946" i="6"/>
  <c r="H4947" i="6" s="1"/>
  <c r="H4949" i="6" s="1"/>
  <c r="H4950" i="6" s="1"/>
  <c r="D4992" i="6"/>
  <c r="G4992" i="6"/>
  <c r="G4993" i="6" s="1"/>
  <c r="G4995" i="6" s="1"/>
  <c r="G4996" i="6" s="1"/>
  <c r="L4992" i="6"/>
  <c r="L4993" i="6" s="1"/>
  <c r="L4995" i="6" s="1"/>
  <c r="L4996" i="6" s="1"/>
  <c r="M4992" i="6"/>
  <c r="M4993" i="6" s="1"/>
  <c r="M4995" i="6" s="1"/>
  <c r="M4996" i="6" s="1"/>
  <c r="F4992" i="6"/>
  <c r="F4993" i="6" s="1"/>
  <c r="F4995" i="6" s="1"/>
  <c r="F4996" i="6" s="1"/>
  <c r="H4992" i="6"/>
  <c r="H4993" i="6" s="1"/>
  <c r="H4995" i="6" s="1"/>
  <c r="H4996" i="6" s="1"/>
  <c r="I4992" i="6"/>
  <c r="I4993" i="6" s="1"/>
  <c r="I4995" i="6" s="1"/>
  <c r="I4996" i="6" s="1"/>
  <c r="J4992" i="6"/>
  <c r="J4993" i="6" s="1"/>
  <c r="J4995" i="6" s="1"/>
  <c r="J4996" i="6" s="1"/>
  <c r="E4992" i="6"/>
  <c r="E4993" i="6" s="1"/>
  <c r="E4995" i="6" s="1"/>
  <c r="E4996" i="6" s="1"/>
  <c r="K4992" i="6"/>
  <c r="K4993" i="6" s="1"/>
  <c r="K4995" i="6" s="1"/>
  <c r="K4996" i="6" s="1"/>
  <c r="D2830" i="6"/>
  <c r="M2830" i="6"/>
  <c r="M2831" i="6" s="1"/>
  <c r="M2833" i="6" s="1"/>
  <c r="M2834" i="6" s="1"/>
  <c r="L2830" i="6"/>
  <c r="L2831" i="6" s="1"/>
  <c r="L2833" i="6" s="1"/>
  <c r="L2834" i="6" s="1"/>
  <c r="K2830" i="6"/>
  <c r="K2831" i="6" s="1"/>
  <c r="K2833" i="6" s="1"/>
  <c r="K2834" i="6" s="1"/>
  <c r="J2830" i="6"/>
  <c r="J2831" i="6" s="1"/>
  <c r="J2833" i="6" s="1"/>
  <c r="J2834" i="6" s="1"/>
  <c r="I2830" i="6"/>
  <c r="I2831" i="6" s="1"/>
  <c r="I2833" i="6" s="1"/>
  <c r="I2834" i="6" s="1"/>
  <c r="H2830" i="6"/>
  <c r="H2831" i="6" s="1"/>
  <c r="H2833" i="6" s="1"/>
  <c r="H2834" i="6" s="1"/>
  <c r="G2830" i="6"/>
  <c r="G2831" i="6" s="1"/>
  <c r="G2833" i="6" s="1"/>
  <c r="G2834" i="6" s="1"/>
  <c r="F2830" i="6"/>
  <c r="F2831" i="6" s="1"/>
  <c r="F2833" i="6" s="1"/>
  <c r="F2834" i="6" s="1"/>
  <c r="E2830" i="6"/>
  <c r="E2831" i="6" s="1"/>
  <c r="E2833" i="6" s="1"/>
  <c r="E2834" i="6" s="1"/>
  <c r="D3152" i="6"/>
  <c r="M3152" i="6"/>
  <c r="M3153" i="6" s="1"/>
  <c r="M3155" i="6" s="1"/>
  <c r="M3156" i="6" s="1"/>
  <c r="L3152" i="6"/>
  <c r="L3153" i="6" s="1"/>
  <c r="L3155" i="6" s="1"/>
  <c r="L3156" i="6" s="1"/>
  <c r="K3152" i="6"/>
  <c r="K3153" i="6" s="1"/>
  <c r="K3155" i="6" s="1"/>
  <c r="K3156" i="6" s="1"/>
  <c r="J3152" i="6"/>
  <c r="J3153" i="6" s="1"/>
  <c r="J3155" i="6" s="1"/>
  <c r="J3156" i="6" s="1"/>
  <c r="I3152" i="6"/>
  <c r="I3153" i="6" s="1"/>
  <c r="I3155" i="6" s="1"/>
  <c r="I3156" i="6" s="1"/>
  <c r="H3152" i="6"/>
  <c r="H3153" i="6" s="1"/>
  <c r="H3155" i="6" s="1"/>
  <c r="H3156" i="6" s="1"/>
  <c r="G3152" i="6"/>
  <c r="G3153" i="6" s="1"/>
  <c r="G3155" i="6" s="1"/>
  <c r="G3156" i="6" s="1"/>
  <c r="F3152" i="6"/>
  <c r="F3153" i="6" s="1"/>
  <c r="F3155" i="6" s="1"/>
  <c r="F3156" i="6" s="1"/>
  <c r="E3152" i="6"/>
  <c r="E3153" i="6" s="1"/>
  <c r="E3155" i="6" s="1"/>
  <c r="E3156" i="6" s="1"/>
  <c r="D3842" i="6"/>
  <c r="J3842" i="6"/>
  <c r="J3843" i="6" s="1"/>
  <c r="J3845" i="6" s="1"/>
  <c r="J3846" i="6" s="1"/>
  <c r="H3842" i="6"/>
  <c r="H3843" i="6" s="1"/>
  <c r="H3845" i="6" s="1"/>
  <c r="H3846" i="6" s="1"/>
  <c r="F3842" i="6"/>
  <c r="F3843" i="6" s="1"/>
  <c r="F3845" i="6" s="1"/>
  <c r="F3846" i="6" s="1"/>
  <c r="E3842" i="6"/>
  <c r="E3843" i="6" s="1"/>
  <c r="E3845" i="6" s="1"/>
  <c r="E3846" i="6" s="1"/>
  <c r="M3842" i="6"/>
  <c r="M3843" i="6" s="1"/>
  <c r="M3845" i="6" s="1"/>
  <c r="M3846" i="6" s="1"/>
  <c r="L3842" i="6"/>
  <c r="L3843" i="6" s="1"/>
  <c r="L3845" i="6" s="1"/>
  <c r="L3846" i="6" s="1"/>
  <c r="K3842" i="6"/>
  <c r="K3843" i="6" s="1"/>
  <c r="K3845" i="6" s="1"/>
  <c r="K3846" i="6" s="1"/>
  <c r="I3842" i="6"/>
  <c r="I3843" i="6" s="1"/>
  <c r="I3845" i="6" s="1"/>
  <c r="I3846" i="6" s="1"/>
  <c r="G3842" i="6"/>
  <c r="G3843" i="6" s="1"/>
  <c r="G3845" i="6" s="1"/>
  <c r="G3846" i="6" s="1"/>
  <c r="D3934" i="6"/>
  <c r="L3934" i="6"/>
  <c r="L3935" i="6" s="1"/>
  <c r="L3937" i="6"/>
  <c r="L3938" i="6" s="1"/>
  <c r="K3934" i="6"/>
  <c r="K3935" i="6" s="1"/>
  <c r="K3937" i="6" s="1"/>
  <c r="K3938" i="6" s="1"/>
  <c r="G3934" i="6"/>
  <c r="G3935" i="6" s="1"/>
  <c r="G3937" i="6"/>
  <c r="G3938" i="6" s="1"/>
  <c r="M3934" i="6"/>
  <c r="M3935" i="6" s="1"/>
  <c r="M3937" i="6" s="1"/>
  <c r="M3938" i="6" s="1"/>
  <c r="J3934" i="6"/>
  <c r="J3935" i="6" s="1"/>
  <c r="J3937" i="6"/>
  <c r="J3938" i="6" s="1"/>
  <c r="I3934" i="6"/>
  <c r="I3935" i="6" s="1"/>
  <c r="I3937" i="6" s="1"/>
  <c r="I3938" i="6" s="1"/>
  <c r="F3934" i="6"/>
  <c r="F3935" i="6" s="1"/>
  <c r="F3937" i="6" s="1"/>
  <c r="F3938" i="6" s="1"/>
  <c r="E3934" i="6"/>
  <c r="E3935" i="6" s="1"/>
  <c r="E3937" i="6" s="1"/>
  <c r="E3938" i="6" s="1"/>
  <c r="H3934" i="6"/>
  <c r="H3935" i="6" s="1"/>
  <c r="H3937" i="6"/>
  <c r="H3938" i="6" s="1"/>
  <c r="D5038" i="6"/>
  <c r="J5038" i="6"/>
  <c r="J5039" i="6" s="1"/>
  <c r="J5041" i="6" s="1"/>
  <c r="J5042" i="6" s="1"/>
  <c r="L5038" i="6"/>
  <c r="L5039" i="6" s="1"/>
  <c r="L5041" i="6" s="1"/>
  <c r="L5042" i="6" s="1"/>
  <c r="E5038" i="6"/>
  <c r="E5039" i="6" s="1"/>
  <c r="E5041" i="6" s="1"/>
  <c r="E5042" i="6" s="1"/>
  <c r="F5038" i="6"/>
  <c r="F5039" i="6" s="1"/>
  <c r="F5041" i="6" s="1"/>
  <c r="F5042" i="6" s="1"/>
  <c r="G5038" i="6"/>
  <c r="G5039" i="6" s="1"/>
  <c r="G5041" i="6" s="1"/>
  <c r="G5042" i="6" s="1"/>
  <c r="H5038" i="6"/>
  <c r="H5039" i="6" s="1"/>
  <c r="H5041" i="6" s="1"/>
  <c r="H5042" i="6" s="1"/>
  <c r="I5038" i="6"/>
  <c r="I5039" i="6" s="1"/>
  <c r="I5041" i="6" s="1"/>
  <c r="I5042" i="6" s="1"/>
  <c r="K5038" i="6"/>
  <c r="K5039" i="6" s="1"/>
  <c r="K5041" i="6" s="1"/>
  <c r="K5042" i="6" s="1"/>
  <c r="M5038" i="6"/>
  <c r="M5039" i="6" s="1"/>
  <c r="M5041" i="6" s="1"/>
  <c r="M5042" i="6" s="1"/>
  <c r="D5084" i="6"/>
  <c r="L5084" i="6"/>
  <c r="L5085" i="6" s="1"/>
  <c r="L5087" i="6" s="1"/>
  <c r="L5088" i="6" s="1"/>
  <c r="K5084" i="6"/>
  <c r="K5085" i="6" s="1"/>
  <c r="K5087" i="6" s="1"/>
  <c r="K5088" i="6" s="1"/>
  <c r="J5084" i="6"/>
  <c r="J5085" i="6" s="1"/>
  <c r="J5087" i="6" s="1"/>
  <c r="J5088" i="6" s="1"/>
  <c r="M5084" i="6"/>
  <c r="M5085" i="6" s="1"/>
  <c r="M5087" i="6" s="1"/>
  <c r="M5088" i="6" s="1"/>
  <c r="I5084" i="6"/>
  <c r="I5085" i="6" s="1"/>
  <c r="I5087" i="6" s="1"/>
  <c r="I5088" i="6" s="1"/>
  <c r="H5084" i="6"/>
  <c r="H5085" i="6" s="1"/>
  <c r="H5087" i="6" s="1"/>
  <c r="H5088" i="6" s="1"/>
  <c r="G5084" i="6"/>
  <c r="G5085" i="6" s="1"/>
  <c r="G5087" i="6" s="1"/>
  <c r="G5088" i="6" s="1"/>
  <c r="F5084" i="6"/>
  <c r="F5085" i="6" s="1"/>
  <c r="F5087" i="6" s="1"/>
  <c r="F5088" i="6" s="1"/>
  <c r="E5084" i="6"/>
  <c r="E5085" i="6" s="1"/>
  <c r="E5087" i="6" s="1"/>
  <c r="E5088" i="6" s="1"/>
  <c r="D5130" i="6"/>
  <c r="L5130" i="6"/>
  <c r="L5131" i="6" s="1"/>
  <c r="L5133" i="6" s="1"/>
  <c r="L5134" i="6" s="1"/>
  <c r="H5130" i="6"/>
  <c r="H5131" i="6" s="1"/>
  <c r="H5133" i="6" s="1"/>
  <c r="H5134" i="6" s="1"/>
  <c r="F5130" i="6"/>
  <c r="F5131" i="6" s="1"/>
  <c r="F5133" i="6" s="1"/>
  <c r="F5134" i="6" s="1"/>
  <c r="M5130" i="6"/>
  <c r="M5131" i="6" s="1"/>
  <c r="M5133" i="6" s="1"/>
  <c r="M5134" i="6" s="1"/>
  <c r="K5130" i="6"/>
  <c r="K5131" i="6" s="1"/>
  <c r="K5133" i="6" s="1"/>
  <c r="K5134" i="6" s="1"/>
  <c r="J5130" i="6"/>
  <c r="J5131" i="6" s="1"/>
  <c r="J5133" i="6" s="1"/>
  <c r="J5134" i="6" s="1"/>
  <c r="I5130" i="6"/>
  <c r="I5131" i="6" s="1"/>
  <c r="I5133" i="6" s="1"/>
  <c r="I5134" i="6" s="1"/>
  <c r="G5130" i="6"/>
  <c r="G5131" i="6" s="1"/>
  <c r="G5133" i="6" s="1"/>
  <c r="G5134" i="6" s="1"/>
  <c r="E5130" i="6"/>
  <c r="E5131" i="6" s="1"/>
  <c r="E5133" i="6" s="1"/>
  <c r="E5134" i="6" s="1"/>
  <c r="D3520" i="6"/>
  <c r="M3520" i="6"/>
  <c r="M3521" i="6" s="1"/>
  <c r="M3523" i="6" s="1"/>
  <c r="M3524" i="6" s="1"/>
  <c r="L3520" i="6"/>
  <c r="L3521" i="6" s="1"/>
  <c r="L3523" i="6" s="1"/>
  <c r="L3524" i="6" s="1"/>
  <c r="K3520" i="6"/>
  <c r="K3521" i="6" s="1"/>
  <c r="K3523" i="6" s="1"/>
  <c r="K3524" i="6" s="1"/>
  <c r="J3520" i="6"/>
  <c r="J3521" i="6" s="1"/>
  <c r="J3523" i="6" s="1"/>
  <c r="J3524" i="6" s="1"/>
  <c r="I3520" i="6"/>
  <c r="I3521" i="6" s="1"/>
  <c r="I3523" i="6" s="1"/>
  <c r="I3524" i="6" s="1"/>
  <c r="H3520" i="6"/>
  <c r="H3521" i="6" s="1"/>
  <c r="H3523" i="6" s="1"/>
  <c r="H3524" i="6" s="1"/>
  <c r="G3520" i="6"/>
  <c r="G3521" i="6" s="1"/>
  <c r="G3523" i="6" s="1"/>
  <c r="G3524" i="6" s="1"/>
  <c r="F3520" i="6"/>
  <c r="F3521" i="6" s="1"/>
  <c r="F3523" i="6" s="1"/>
  <c r="F3524" i="6" s="1"/>
  <c r="E3520" i="6"/>
  <c r="E3521" i="6" s="1"/>
  <c r="E3523" i="6" s="1"/>
  <c r="E3524" i="6" s="1"/>
  <c r="D4394" i="6"/>
  <c r="L4394" i="6"/>
  <c r="L4395" i="6" s="1"/>
  <c r="L4397" i="6" s="1"/>
  <c r="L4398" i="6" s="1"/>
  <c r="I4394" i="6"/>
  <c r="I4395" i="6" s="1"/>
  <c r="I4397" i="6" s="1"/>
  <c r="I4398" i="6" s="1"/>
  <c r="G4394" i="6"/>
  <c r="G4395" i="6" s="1"/>
  <c r="G4397" i="6" s="1"/>
  <c r="G4398" i="6" s="1"/>
  <c r="F4394" i="6"/>
  <c r="F4395" i="6" s="1"/>
  <c r="F4397" i="6" s="1"/>
  <c r="F4398" i="6" s="1"/>
  <c r="E4394" i="6"/>
  <c r="E4395" i="6" s="1"/>
  <c r="E4397" i="6" s="1"/>
  <c r="E4398" i="6" s="1"/>
  <c r="H4394" i="6"/>
  <c r="H4395" i="6" s="1"/>
  <c r="H4397" i="6" s="1"/>
  <c r="H4398" i="6" s="1"/>
  <c r="J4394" i="6"/>
  <c r="J4395" i="6" s="1"/>
  <c r="J4397" i="6" s="1"/>
  <c r="J4398" i="6" s="1"/>
  <c r="K4394" i="6"/>
  <c r="K4395" i="6" s="1"/>
  <c r="K4397" i="6" s="1"/>
  <c r="K4398" i="6" s="1"/>
  <c r="M4394" i="6"/>
  <c r="M4395" i="6" s="1"/>
  <c r="M4397" i="6" s="1"/>
  <c r="M4398" i="6" s="1"/>
  <c r="D24" i="14"/>
  <c r="F24" i="14"/>
  <c r="F25" i="14" s="1"/>
  <c r="F27" i="14" s="1"/>
  <c r="F28" i="14" s="1"/>
  <c r="G24" i="14"/>
  <c r="G25" i="14" s="1"/>
  <c r="G27" i="14" s="1"/>
  <c r="G28" i="14" s="1"/>
  <c r="H24" i="14"/>
  <c r="H25" i="14" s="1"/>
  <c r="H27" i="14" s="1"/>
  <c r="H28" i="14" s="1"/>
  <c r="L24" i="14"/>
  <c r="L25" i="14" s="1"/>
  <c r="L27" i="14" s="1"/>
  <c r="L28" i="14" s="1"/>
  <c r="M24" i="14"/>
  <c r="M25" i="14" s="1"/>
  <c r="M27" i="14" s="1"/>
  <c r="M28" i="14" s="1"/>
  <c r="E24" i="14"/>
  <c r="E25" i="14" s="1"/>
  <c r="E27" i="14" s="1"/>
  <c r="E28" i="14" s="1"/>
  <c r="I24" i="14"/>
  <c r="I25" i="14" s="1"/>
  <c r="I27" i="14" s="1"/>
  <c r="I28" i="14" s="1"/>
  <c r="J24" i="14"/>
  <c r="J25" i="14" s="1"/>
  <c r="J27" i="14" s="1"/>
  <c r="J28" i="14" s="1"/>
  <c r="K24" i="14"/>
  <c r="K25" i="14" s="1"/>
  <c r="K27" i="14" s="1"/>
  <c r="K28" i="14" s="1"/>
  <c r="D70" i="14"/>
  <c r="H70" i="14"/>
  <c r="H71" i="14" s="1"/>
  <c r="H73" i="14" s="1"/>
  <c r="H74" i="14" s="1"/>
  <c r="I70" i="14"/>
  <c r="I71" i="14" s="1"/>
  <c r="I73" i="14" s="1"/>
  <c r="I74" i="14" s="1"/>
  <c r="L70" i="14"/>
  <c r="L71" i="14" s="1"/>
  <c r="L73" i="14" s="1"/>
  <c r="L74" i="14" s="1"/>
  <c r="M70" i="14"/>
  <c r="M71" i="14" s="1"/>
  <c r="M73" i="14" s="1"/>
  <c r="M74" i="14" s="1"/>
  <c r="E70" i="14"/>
  <c r="E71" i="14" s="1"/>
  <c r="E73" i="14" s="1"/>
  <c r="E74" i="14" s="1"/>
  <c r="F70" i="14"/>
  <c r="F71" i="14" s="1"/>
  <c r="F73" i="14" s="1"/>
  <c r="F74" i="14" s="1"/>
  <c r="G70" i="14"/>
  <c r="G71" i="14" s="1"/>
  <c r="G73" i="14" s="1"/>
  <c r="G74" i="14" s="1"/>
  <c r="J70" i="14"/>
  <c r="J71" i="14" s="1"/>
  <c r="J73" i="14" s="1"/>
  <c r="J74" i="14" s="1"/>
  <c r="K70" i="14"/>
  <c r="K71" i="14" s="1"/>
  <c r="K73" i="14" s="1"/>
  <c r="K74" i="14" s="1"/>
  <c r="D116" i="14"/>
  <c r="F116" i="14"/>
  <c r="F117" i="14" s="1"/>
  <c r="F119" i="14" s="1"/>
  <c r="F120" i="14" s="1"/>
  <c r="H116" i="14"/>
  <c r="H117" i="14" s="1"/>
  <c r="H119" i="14" s="1"/>
  <c r="H120" i="14" s="1"/>
  <c r="I116" i="14"/>
  <c r="I117" i="14" s="1"/>
  <c r="I119" i="14" s="1"/>
  <c r="I120" i="14" s="1"/>
  <c r="K116" i="14"/>
  <c r="K117" i="14" s="1"/>
  <c r="K119" i="14" s="1"/>
  <c r="K120" i="14" s="1"/>
  <c r="M116" i="14"/>
  <c r="M117" i="14" s="1"/>
  <c r="M119" i="14" s="1"/>
  <c r="M120" i="14" s="1"/>
  <c r="E116" i="14"/>
  <c r="E117" i="14" s="1"/>
  <c r="E119" i="14" s="1"/>
  <c r="E120" i="14" s="1"/>
  <c r="G116" i="14"/>
  <c r="G117" i="14" s="1"/>
  <c r="G119" i="14" s="1"/>
  <c r="G120" i="14" s="1"/>
  <c r="J116" i="14"/>
  <c r="J117" i="14" s="1"/>
  <c r="J119" i="14" s="1"/>
  <c r="J120" i="14" s="1"/>
  <c r="L116" i="14"/>
  <c r="L117" i="14" s="1"/>
  <c r="L119" i="14" s="1"/>
  <c r="L120" i="14" s="1"/>
  <c r="D162" i="14"/>
  <c r="H162" i="14"/>
  <c r="H163" i="14" s="1"/>
  <c r="H165" i="14" s="1"/>
  <c r="H166" i="14" s="1"/>
  <c r="M162" i="14"/>
  <c r="M163" i="14" s="1"/>
  <c r="M165" i="14" s="1"/>
  <c r="M166" i="14" s="1"/>
  <c r="E162" i="14"/>
  <c r="E163" i="14" s="1"/>
  <c r="E165" i="14" s="1"/>
  <c r="E166" i="14" s="1"/>
  <c r="F162" i="14"/>
  <c r="F163" i="14" s="1"/>
  <c r="F165" i="14" s="1"/>
  <c r="F166" i="14" s="1"/>
  <c r="G162" i="14"/>
  <c r="G163" i="14" s="1"/>
  <c r="G165" i="14" s="1"/>
  <c r="G166" i="14" s="1"/>
  <c r="I162" i="14"/>
  <c r="I163" i="14" s="1"/>
  <c r="I165" i="14" s="1"/>
  <c r="I166" i="14" s="1"/>
  <c r="J162" i="14"/>
  <c r="J163" i="14" s="1"/>
  <c r="J165" i="14" s="1"/>
  <c r="J166" i="14" s="1"/>
  <c r="K162" i="14"/>
  <c r="K163" i="14" s="1"/>
  <c r="K165" i="14" s="1"/>
  <c r="K166" i="14" s="1"/>
  <c r="L162" i="14"/>
  <c r="L163" i="14" s="1"/>
  <c r="L165" i="14" s="1"/>
  <c r="L166" i="14" s="1"/>
  <c r="D208" i="14"/>
  <c r="E208" i="14"/>
  <c r="E209" i="14" s="1"/>
  <c r="E211" i="14" s="1"/>
  <c r="E212" i="14" s="1"/>
  <c r="H208" i="14"/>
  <c r="H209" i="14" s="1"/>
  <c r="H211" i="14" s="1"/>
  <c r="H212" i="14" s="1"/>
  <c r="I208" i="14"/>
  <c r="I209" i="14" s="1"/>
  <c r="I211" i="14" s="1"/>
  <c r="I212" i="14" s="1"/>
  <c r="J208" i="14"/>
  <c r="J209" i="14" s="1"/>
  <c r="J211" i="14" s="1"/>
  <c r="J212" i="14" s="1"/>
  <c r="K208" i="14"/>
  <c r="K209" i="14" s="1"/>
  <c r="K211" i="14" s="1"/>
  <c r="K212" i="14" s="1"/>
  <c r="M208" i="14"/>
  <c r="M209" i="14" s="1"/>
  <c r="M211" i="14" s="1"/>
  <c r="M212" i="14" s="1"/>
  <c r="F208" i="14"/>
  <c r="F209" i="14" s="1"/>
  <c r="F211" i="14" s="1"/>
  <c r="F212" i="14" s="1"/>
  <c r="G208" i="14"/>
  <c r="G209" i="14" s="1"/>
  <c r="G211" i="14" s="1"/>
  <c r="G212" i="14" s="1"/>
  <c r="L208" i="14"/>
  <c r="L209" i="14" s="1"/>
  <c r="L211" i="14" s="1"/>
  <c r="L212" i="14" s="1"/>
  <c r="D254" i="14"/>
  <c r="E254" i="14"/>
  <c r="E255" i="14" s="1"/>
  <c r="E257" i="14" s="1"/>
  <c r="E258" i="14" s="1"/>
  <c r="G254" i="14"/>
  <c r="G255" i="14" s="1"/>
  <c r="G257" i="14" s="1"/>
  <c r="G258" i="14" s="1"/>
  <c r="H254" i="14"/>
  <c r="H255" i="14" s="1"/>
  <c r="H257" i="14" s="1"/>
  <c r="H258" i="14" s="1"/>
  <c r="I254" i="14"/>
  <c r="I255" i="14" s="1"/>
  <c r="I257" i="14" s="1"/>
  <c r="I258" i="14" s="1"/>
  <c r="J254" i="14"/>
  <c r="J255" i="14" s="1"/>
  <c r="J257" i="14" s="1"/>
  <c r="J258" i="14" s="1"/>
  <c r="K254" i="14"/>
  <c r="K255" i="14" s="1"/>
  <c r="K257" i="14" s="1"/>
  <c r="K258" i="14" s="1"/>
  <c r="M254" i="14"/>
  <c r="M255" i="14" s="1"/>
  <c r="M257" i="14" s="1"/>
  <c r="M258" i="14" s="1"/>
  <c r="F254" i="14"/>
  <c r="F255" i="14" s="1"/>
  <c r="F257" i="14" s="1"/>
  <c r="F258" i="14" s="1"/>
  <c r="L254" i="14"/>
  <c r="L255" i="14" s="1"/>
  <c r="L257" i="14" s="1"/>
  <c r="L258" i="14" s="1"/>
  <c r="D300" i="14"/>
  <c r="G300" i="14"/>
  <c r="G301" i="14" s="1"/>
  <c r="G303" i="14" s="1"/>
  <c r="G304" i="14" s="1"/>
  <c r="K300" i="14"/>
  <c r="K301" i="14" s="1"/>
  <c r="K303" i="14" s="1"/>
  <c r="K304" i="14" s="1"/>
  <c r="M300" i="14"/>
  <c r="M301" i="14" s="1"/>
  <c r="M303" i="14" s="1"/>
  <c r="M304" i="14" s="1"/>
  <c r="E300" i="14"/>
  <c r="E301" i="14" s="1"/>
  <c r="E303" i="14" s="1"/>
  <c r="E304" i="14" s="1"/>
  <c r="F300" i="14"/>
  <c r="F301" i="14" s="1"/>
  <c r="F303" i="14" s="1"/>
  <c r="F304" i="14" s="1"/>
  <c r="H300" i="14"/>
  <c r="H301" i="14" s="1"/>
  <c r="H303" i="14" s="1"/>
  <c r="H304" i="14" s="1"/>
  <c r="I300" i="14"/>
  <c r="I301" i="14" s="1"/>
  <c r="I303" i="14" s="1"/>
  <c r="I304" i="14" s="1"/>
  <c r="J300" i="14"/>
  <c r="J301" i="14" s="1"/>
  <c r="J303" i="14" s="1"/>
  <c r="J304" i="14" s="1"/>
  <c r="L300" i="14"/>
  <c r="L301" i="14" s="1"/>
  <c r="L303" i="14" s="1"/>
  <c r="L304" i="14" s="1"/>
  <c r="D3014" i="6"/>
  <c r="M3014" i="6"/>
  <c r="M3015" i="6" s="1"/>
  <c r="M3017" i="6" s="1"/>
  <c r="M3018" i="6" s="1"/>
  <c r="L3014" i="6"/>
  <c r="L3015" i="6" s="1"/>
  <c r="L3017" i="6" s="1"/>
  <c r="L3018" i="6" s="1"/>
  <c r="K3014" i="6"/>
  <c r="K3015" i="6" s="1"/>
  <c r="K3017" i="6" s="1"/>
  <c r="K3018" i="6" s="1"/>
  <c r="J3014" i="6"/>
  <c r="J3015" i="6" s="1"/>
  <c r="J3017" i="6"/>
  <c r="J3018" i="6" s="1"/>
  <c r="I3014" i="6"/>
  <c r="I3015" i="6" s="1"/>
  <c r="I3017" i="6"/>
  <c r="I3018" i="6" s="1"/>
  <c r="H3014" i="6"/>
  <c r="H3015" i="6" s="1"/>
  <c r="H3017" i="6" s="1"/>
  <c r="H3018" i="6" s="1"/>
  <c r="G3014" i="6"/>
  <c r="G3015" i="6" s="1"/>
  <c r="G3017" i="6"/>
  <c r="G3018" i="6" s="1"/>
  <c r="F3014" i="6"/>
  <c r="F3015" i="6" s="1"/>
  <c r="F3017" i="6"/>
  <c r="F3018" i="6" s="1"/>
  <c r="E3014" i="6"/>
  <c r="E3015" i="6" s="1"/>
  <c r="E3017" i="6"/>
  <c r="E3018" i="6" s="1"/>
  <c r="D3336" i="6"/>
  <c r="E3336" i="6"/>
  <c r="E3337" i="6" s="1"/>
  <c r="E3339" i="6"/>
  <c r="E3340" i="6" s="1"/>
  <c r="F3336" i="6"/>
  <c r="F3337" i="6" s="1"/>
  <c r="F3339" i="6" s="1"/>
  <c r="F3340" i="6" s="1"/>
  <c r="G3336" i="6"/>
  <c r="G3337" i="6" s="1"/>
  <c r="G3339" i="6" s="1"/>
  <c r="G3340" i="6" s="1"/>
  <c r="H3336" i="6"/>
  <c r="H3337" i="6" s="1"/>
  <c r="H3339" i="6" s="1"/>
  <c r="H3340" i="6" s="1"/>
  <c r="I3336" i="6"/>
  <c r="I3337" i="6" s="1"/>
  <c r="I3339" i="6"/>
  <c r="I3340" i="6" s="1"/>
  <c r="J3336" i="6"/>
  <c r="J3337" i="6" s="1"/>
  <c r="J3339" i="6" s="1"/>
  <c r="J3340" i="6" s="1"/>
  <c r="K3336" i="6"/>
  <c r="K3337" i="6" s="1"/>
  <c r="K3339" i="6" s="1"/>
  <c r="K3340" i="6" s="1"/>
  <c r="L3336" i="6"/>
  <c r="L3337" i="6" s="1"/>
  <c r="L3339" i="6" s="1"/>
  <c r="L3340" i="6" s="1"/>
  <c r="M3336" i="6"/>
  <c r="M3337" i="6" s="1"/>
  <c r="M3339" i="6" s="1"/>
  <c r="M3340" i="6" s="1"/>
  <c r="D3382" i="6"/>
  <c r="E3382" i="6"/>
  <c r="E3383" i="6" s="1"/>
  <c r="E3385" i="6"/>
  <c r="E3386" i="6" s="1"/>
  <c r="F3382" i="6"/>
  <c r="F3383" i="6" s="1"/>
  <c r="F3385" i="6" s="1"/>
  <c r="F3386" i="6" s="1"/>
  <c r="G3382" i="6"/>
  <c r="G3383" i="6" s="1"/>
  <c r="G3385" i="6" s="1"/>
  <c r="G3386" i="6" s="1"/>
  <c r="H3382" i="6"/>
  <c r="H3383" i="6" s="1"/>
  <c r="H3385" i="6" s="1"/>
  <c r="H3386" i="6" s="1"/>
  <c r="I3382" i="6"/>
  <c r="I3383" i="6" s="1"/>
  <c r="I3385" i="6"/>
  <c r="I3386" i="6" s="1"/>
  <c r="J3382" i="6"/>
  <c r="J3383" i="6" s="1"/>
  <c r="J3385" i="6" s="1"/>
  <c r="J3386" i="6" s="1"/>
  <c r="K3382" i="6"/>
  <c r="K3383" i="6" s="1"/>
  <c r="K3385" i="6" s="1"/>
  <c r="K3386" i="6" s="1"/>
  <c r="L3382" i="6"/>
  <c r="L3383" i="6" s="1"/>
  <c r="L3385" i="6" s="1"/>
  <c r="L3386" i="6" s="1"/>
  <c r="M3382" i="6"/>
  <c r="M3383" i="6" s="1"/>
  <c r="M3385" i="6" s="1"/>
  <c r="M3386" i="6" s="1"/>
  <c r="I346" i="14"/>
  <c r="I347" i="14" s="1"/>
  <c r="I349" i="14" s="1"/>
  <c r="I350" i="14" s="1"/>
  <c r="M346" i="14"/>
  <c r="M347" i="14" s="1"/>
  <c r="M349" i="14" s="1"/>
  <c r="M350" i="14" s="1"/>
  <c r="L346" i="14"/>
  <c r="L347" i="14" s="1"/>
  <c r="L349" i="14" s="1"/>
  <c r="L350" i="14" s="1"/>
  <c r="K346" i="14"/>
  <c r="K347" i="14" s="1"/>
  <c r="K349" i="14" s="1"/>
  <c r="K350" i="14" s="1"/>
  <c r="J346" i="14"/>
  <c r="J347" i="14" s="1"/>
  <c r="J349" i="14" s="1"/>
  <c r="J350" i="14" s="1"/>
  <c r="F346" i="14"/>
  <c r="F347" i="14" s="1"/>
  <c r="F349" i="14" s="1"/>
  <c r="F350" i="14" s="1"/>
  <c r="H346" i="14"/>
  <c r="H347" i="14" s="1"/>
  <c r="H349" i="14" s="1"/>
  <c r="H350" i="14" s="1"/>
  <c r="G346" i="14"/>
  <c r="G347" i="14" s="1"/>
  <c r="G349" i="14" s="1"/>
  <c r="G350" i="14" s="1"/>
  <c r="E346" i="14"/>
  <c r="E347" i="14" s="1"/>
  <c r="E349" i="14" s="1"/>
  <c r="E350" i="14" s="1"/>
  <c r="D346" i="14"/>
  <c r="D392" i="14"/>
  <c r="F392" i="14"/>
  <c r="F393" i="14" s="1"/>
  <c r="F395" i="14" s="1"/>
  <c r="F396" i="14" s="1"/>
  <c r="H392" i="14"/>
  <c r="H393" i="14" s="1"/>
  <c r="H395" i="14" s="1"/>
  <c r="H396" i="14" s="1"/>
  <c r="I392" i="14"/>
  <c r="I393" i="14" s="1"/>
  <c r="I395" i="14" s="1"/>
  <c r="I396" i="14" s="1"/>
  <c r="K392" i="14"/>
  <c r="K393" i="14" s="1"/>
  <c r="K395" i="14" s="1"/>
  <c r="K396" i="14" s="1"/>
  <c r="L392" i="14"/>
  <c r="L393" i="14" s="1"/>
  <c r="L395" i="14" s="1"/>
  <c r="L396" i="14" s="1"/>
  <c r="E392" i="14"/>
  <c r="E393" i="14" s="1"/>
  <c r="E395" i="14" s="1"/>
  <c r="E396" i="14" s="1"/>
  <c r="G392" i="14"/>
  <c r="G393" i="14" s="1"/>
  <c r="G395" i="14" s="1"/>
  <c r="G396" i="14" s="1"/>
  <c r="J392" i="14"/>
  <c r="J393" i="14" s="1"/>
  <c r="J395" i="14" s="1"/>
  <c r="J396" i="14" s="1"/>
  <c r="M392" i="14"/>
  <c r="M393" i="14" s="1"/>
  <c r="M395" i="14" s="1"/>
  <c r="M396" i="14" s="1"/>
  <c r="D438" i="14"/>
  <c r="F438" i="14"/>
  <c r="F439" i="14" s="1"/>
  <c r="F441" i="14" s="1"/>
  <c r="F442" i="14" s="1"/>
  <c r="G438" i="14"/>
  <c r="G439" i="14" s="1"/>
  <c r="G441" i="14" s="1"/>
  <c r="G442" i="14" s="1"/>
  <c r="I438" i="14"/>
  <c r="I439" i="14" s="1"/>
  <c r="I441" i="14" s="1"/>
  <c r="I442" i="14" s="1"/>
  <c r="J438" i="14"/>
  <c r="J439" i="14" s="1"/>
  <c r="J441" i="14" s="1"/>
  <c r="J442" i="14" s="1"/>
  <c r="L438" i="14"/>
  <c r="L439" i="14" s="1"/>
  <c r="L441" i="14" s="1"/>
  <c r="L442" i="14" s="1"/>
  <c r="M438" i="14"/>
  <c r="M439" i="14" s="1"/>
  <c r="M441" i="14" s="1"/>
  <c r="M442" i="14" s="1"/>
  <c r="E438" i="14"/>
  <c r="E439" i="14" s="1"/>
  <c r="E441" i="14" s="1"/>
  <c r="E442" i="14" s="1"/>
  <c r="H438" i="14"/>
  <c r="H439" i="14" s="1"/>
  <c r="H441" i="14" s="1"/>
  <c r="H442" i="14" s="1"/>
  <c r="K438" i="14"/>
  <c r="K439" i="14" s="1"/>
  <c r="K441" i="14" s="1"/>
  <c r="K442" i="14" s="1"/>
  <c r="D484" i="14"/>
  <c r="E484" i="14"/>
  <c r="E485" i="14" s="1"/>
  <c r="E487" i="14" s="1"/>
  <c r="E488" i="14" s="1"/>
  <c r="F484" i="14"/>
  <c r="F485" i="14" s="1"/>
  <c r="F487" i="14" s="1"/>
  <c r="F488" i="14" s="1"/>
  <c r="G484" i="14"/>
  <c r="G485" i="14" s="1"/>
  <c r="G487" i="14" s="1"/>
  <c r="G488" i="14" s="1"/>
  <c r="H484" i="14"/>
  <c r="H485" i="14" s="1"/>
  <c r="H487" i="14" s="1"/>
  <c r="H488" i="14" s="1"/>
  <c r="I484" i="14"/>
  <c r="I485" i="14" s="1"/>
  <c r="I487" i="14" s="1"/>
  <c r="I488" i="14" s="1"/>
  <c r="M484" i="14"/>
  <c r="M485" i="14" s="1"/>
  <c r="M487" i="14" s="1"/>
  <c r="M488" i="14" s="1"/>
  <c r="J484" i="14"/>
  <c r="J485" i="14" s="1"/>
  <c r="J487" i="14" s="1"/>
  <c r="J488" i="14" s="1"/>
  <c r="K484" i="14"/>
  <c r="K485" i="14" s="1"/>
  <c r="K487" i="14" s="1"/>
  <c r="K488" i="14" s="1"/>
  <c r="L484" i="14"/>
  <c r="L485" i="14" s="1"/>
  <c r="L487" i="14" s="1"/>
  <c r="L488" i="14" s="1"/>
  <c r="D530" i="14"/>
  <c r="E530" i="14"/>
  <c r="E531" i="14" s="1"/>
  <c r="E533" i="14" s="1"/>
  <c r="E534" i="14" s="1"/>
  <c r="G530" i="14"/>
  <c r="G531" i="14" s="1"/>
  <c r="G533" i="14" s="1"/>
  <c r="G534" i="14" s="1"/>
  <c r="I530" i="14"/>
  <c r="I531" i="14" s="1"/>
  <c r="I533" i="14" s="1"/>
  <c r="I534" i="14" s="1"/>
  <c r="F530" i="14"/>
  <c r="F531" i="14" s="1"/>
  <c r="F533" i="14" s="1"/>
  <c r="F534" i="14" s="1"/>
  <c r="H530" i="14"/>
  <c r="H531" i="14" s="1"/>
  <c r="H533" i="14" s="1"/>
  <c r="H534" i="14" s="1"/>
  <c r="J530" i="14"/>
  <c r="J531" i="14" s="1"/>
  <c r="J533" i="14" s="1"/>
  <c r="J534" i="14" s="1"/>
  <c r="K530" i="14"/>
  <c r="K531" i="14" s="1"/>
  <c r="K533" i="14" s="1"/>
  <c r="K534" i="14" s="1"/>
  <c r="L530" i="14"/>
  <c r="L531" i="14" s="1"/>
  <c r="L533" i="14" s="1"/>
  <c r="L534" i="14" s="1"/>
  <c r="M530" i="14"/>
  <c r="M531" i="14" s="1"/>
  <c r="M533" i="14" s="1"/>
  <c r="M534" i="14" s="1"/>
  <c r="D576" i="14"/>
  <c r="E576" i="14"/>
  <c r="E577" i="14" s="1"/>
  <c r="E579" i="14" s="1"/>
  <c r="E580" i="14" s="1"/>
  <c r="G576" i="14"/>
  <c r="G577" i="14" s="1"/>
  <c r="G579" i="14" s="1"/>
  <c r="G580" i="14" s="1"/>
  <c r="H576" i="14"/>
  <c r="H577" i="14" s="1"/>
  <c r="H579" i="14" s="1"/>
  <c r="H580" i="14" s="1"/>
  <c r="J576" i="14"/>
  <c r="J577" i="14" s="1"/>
  <c r="J579" i="14" s="1"/>
  <c r="J580" i="14" s="1"/>
  <c r="M576" i="14"/>
  <c r="M577" i="14" s="1"/>
  <c r="M579" i="14" s="1"/>
  <c r="M580" i="14" s="1"/>
  <c r="F576" i="14"/>
  <c r="F577" i="14" s="1"/>
  <c r="F579" i="14" s="1"/>
  <c r="F580" i="14" s="1"/>
  <c r="I576" i="14"/>
  <c r="I577" i="14" s="1"/>
  <c r="I579" i="14" s="1"/>
  <c r="I580" i="14" s="1"/>
  <c r="K576" i="14"/>
  <c r="K577" i="14" s="1"/>
  <c r="K579" i="14" s="1"/>
  <c r="K580" i="14" s="1"/>
  <c r="L576" i="14"/>
  <c r="L577" i="14" s="1"/>
  <c r="L579" i="14" s="1"/>
  <c r="L580" i="14" s="1"/>
  <c r="D622" i="14"/>
  <c r="E622" i="14"/>
  <c r="E623" i="14" s="1"/>
  <c r="E625" i="14" s="1"/>
  <c r="E626" i="14" s="1"/>
  <c r="G622" i="14"/>
  <c r="G623" i="14" s="1"/>
  <c r="G625" i="14" s="1"/>
  <c r="G626" i="14" s="1"/>
  <c r="L622" i="14"/>
  <c r="L623" i="14" s="1"/>
  <c r="L625" i="14" s="1"/>
  <c r="L626" i="14" s="1"/>
  <c r="F622" i="14"/>
  <c r="F623" i="14" s="1"/>
  <c r="F625" i="14" s="1"/>
  <c r="F626" i="14" s="1"/>
  <c r="H622" i="14"/>
  <c r="H623" i="14" s="1"/>
  <c r="H625" i="14" s="1"/>
  <c r="H626" i="14" s="1"/>
  <c r="I622" i="14"/>
  <c r="I623" i="14" s="1"/>
  <c r="I625" i="14" s="1"/>
  <c r="I626" i="14" s="1"/>
  <c r="J622" i="14"/>
  <c r="J623" i="14" s="1"/>
  <c r="J625" i="14" s="1"/>
  <c r="J626" i="14" s="1"/>
  <c r="K622" i="14"/>
  <c r="K623" i="14" s="1"/>
  <c r="K625" i="14" s="1"/>
  <c r="K626" i="14" s="1"/>
  <c r="M622" i="14"/>
  <c r="M623" i="14" s="1"/>
  <c r="M625" i="14" s="1"/>
  <c r="M626" i="14" s="1"/>
  <c r="D3658" i="6"/>
  <c r="E3658" i="6"/>
  <c r="E3659" i="6" s="1"/>
  <c r="E3661" i="6" s="1"/>
  <c r="E3662" i="6" s="1"/>
  <c r="F3658" i="6"/>
  <c r="F3659" i="6" s="1"/>
  <c r="F3661" i="6" s="1"/>
  <c r="F3662" i="6" s="1"/>
  <c r="G3658" i="6"/>
  <c r="G3659" i="6" s="1"/>
  <c r="G3661" i="6" s="1"/>
  <c r="G3662" i="6" s="1"/>
  <c r="H3658" i="6"/>
  <c r="H3659" i="6" s="1"/>
  <c r="H3661" i="6" s="1"/>
  <c r="H3662" i="6" s="1"/>
  <c r="I3658" i="6"/>
  <c r="I3659" i="6" s="1"/>
  <c r="I3661" i="6" s="1"/>
  <c r="I3662" i="6" s="1"/>
  <c r="J3658" i="6"/>
  <c r="J3659" i="6" s="1"/>
  <c r="J3661" i="6" s="1"/>
  <c r="J3662" i="6" s="1"/>
  <c r="K3658" i="6"/>
  <c r="K3659" i="6" s="1"/>
  <c r="K3661" i="6" s="1"/>
  <c r="K3662" i="6" s="1"/>
  <c r="L3658" i="6"/>
  <c r="L3659" i="6" s="1"/>
  <c r="L3661" i="6" s="1"/>
  <c r="L3662" i="6" s="1"/>
  <c r="M3658" i="6"/>
  <c r="M3659" i="6" s="1"/>
  <c r="M3661" i="6" s="1"/>
  <c r="M3662" i="6" s="1"/>
  <c r="D714" i="14"/>
  <c r="G714" i="14"/>
  <c r="G715" i="14" s="1"/>
  <c r="G717" i="14" s="1"/>
  <c r="G718" i="14" s="1"/>
  <c r="H714" i="14"/>
  <c r="H715" i="14" s="1"/>
  <c r="H717" i="14" s="1"/>
  <c r="H718" i="14" s="1"/>
  <c r="I714" i="14"/>
  <c r="I715" i="14" s="1"/>
  <c r="I717" i="14" s="1"/>
  <c r="I718" i="14" s="1"/>
  <c r="M714" i="14"/>
  <c r="M715" i="14" s="1"/>
  <c r="M717" i="14" s="1"/>
  <c r="M718" i="14" s="1"/>
  <c r="E714" i="14"/>
  <c r="E715" i="14" s="1"/>
  <c r="E717" i="14" s="1"/>
  <c r="E718" i="14" s="1"/>
  <c r="F714" i="14"/>
  <c r="F715" i="14" s="1"/>
  <c r="F717" i="14" s="1"/>
  <c r="F718" i="14" s="1"/>
  <c r="J714" i="14"/>
  <c r="J715" i="14" s="1"/>
  <c r="J717" i="14" s="1"/>
  <c r="J718" i="14" s="1"/>
  <c r="K714" i="14"/>
  <c r="K715" i="14" s="1"/>
  <c r="K717" i="14" s="1"/>
  <c r="K718" i="14" s="1"/>
  <c r="L714" i="14"/>
  <c r="L715" i="14" s="1"/>
  <c r="L717" i="14" s="1"/>
  <c r="L718" i="14" s="1"/>
  <c r="F760" i="14"/>
  <c r="F761" i="14" s="1"/>
  <c r="F763" i="14" s="1"/>
  <c r="F764" i="14" s="1"/>
  <c r="D760" i="14"/>
  <c r="E760" i="14"/>
  <c r="E761" i="14" s="1"/>
  <c r="E763" i="14" s="1"/>
  <c r="E764" i="14" s="1"/>
  <c r="G760" i="14"/>
  <c r="G761" i="14" s="1"/>
  <c r="G763" i="14" s="1"/>
  <c r="G764" i="14" s="1"/>
  <c r="H760" i="14"/>
  <c r="H761" i="14" s="1"/>
  <c r="H763" i="14" s="1"/>
  <c r="H764" i="14" s="1"/>
  <c r="I760" i="14"/>
  <c r="I761" i="14" s="1"/>
  <c r="I763" i="14" s="1"/>
  <c r="I764" i="14" s="1"/>
  <c r="M760" i="14"/>
  <c r="M761" i="14" s="1"/>
  <c r="M763" i="14" s="1"/>
  <c r="M764" i="14" s="1"/>
  <c r="J760" i="14"/>
  <c r="J761" i="14" s="1"/>
  <c r="J763" i="14" s="1"/>
  <c r="J764" i="14" s="1"/>
  <c r="K760" i="14"/>
  <c r="K761" i="14" s="1"/>
  <c r="K763" i="14" s="1"/>
  <c r="K764" i="14" s="1"/>
  <c r="L760" i="14"/>
  <c r="L761" i="14" s="1"/>
  <c r="L763" i="14" s="1"/>
  <c r="L764" i="14" s="1"/>
  <c r="D806" i="14"/>
  <c r="E806" i="14"/>
  <c r="E807" i="14" s="1"/>
  <c r="E809" i="14" s="1"/>
  <c r="E810" i="14" s="1"/>
  <c r="G806" i="14"/>
  <c r="G807" i="14" s="1"/>
  <c r="G809" i="14" s="1"/>
  <c r="G810" i="14" s="1"/>
  <c r="J806" i="14"/>
  <c r="J807" i="14" s="1"/>
  <c r="J809" i="14" s="1"/>
  <c r="J810" i="14" s="1"/>
  <c r="F806" i="14"/>
  <c r="F807" i="14" s="1"/>
  <c r="F809" i="14" s="1"/>
  <c r="F810" i="14" s="1"/>
  <c r="H806" i="14"/>
  <c r="H807" i="14" s="1"/>
  <c r="H809" i="14" s="1"/>
  <c r="H810" i="14" s="1"/>
  <c r="I806" i="14"/>
  <c r="I807" i="14" s="1"/>
  <c r="I809" i="14" s="1"/>
  <c r="I810" i="14" s="1"/>
  <c r="K806" i="14"/>
  <c r="K807" i="14" s="1"/>
  <c r="K809" i="14" s="1"/>
  <c r="K810" i="14" s="1"/>
  <c r="L806" i="14"/>
  <c r="L807" i="14" s="1"/>
  <c r="L809" i="14" s="1"/>
  <c r="L810" i="14" s="1"/>
  <c r="M806" i="14"/>
  <c r="M807" i="14" s="1"/>
  <c r="M809" i="14" s="1"/>
  <c r="M810" i="14" s="1"/>
  <c r="D852" i="14"/>
  <c r="H852" i="14"/>
  <c r="H853" i="14" s="1"/>
  <c r="H855" i="14" s="1"/>
  <c r="H856" i="14" s="1"/>
  <c r="J852" i="14"/>
  <c r="J853" i="14" s="1"/>
  <c r="J855" i="14" s="1"/>
  <c r="J856" i="14" s="1"/>
  <c r="K852" i="14"/>
  <c r="K853" i="14" s="1"/>
  <c r="K855" i="14" s="1"/>
  <c r="K856" i="14" s="1"/>
  <c r="M852" i="14"/>
  <c r="M853" i="14" s="1"/>
  <c r="M855" i="14" s="1"/>
  <c r="M856" i="14" s="1"/>
  <c r="E852" i="14"/>
  <c r="E853" i="14" s="1"/>
  <c r="E855" i="14" s="1"/>
  <c r="E856" i="14" s="1"/>
  <c r="F852" i="14"/>
  <c r="F853" i="14" s="1"/>
  <c r="F855" i="14" s="1"/>
  <c r="F856" i="14" s="1"/>
  <c r="G852" i="14"/>
  <c r="G853" i="14" s="1"/>
  <c r="G855" i="14" s="1"/>
  <c r="G856" i="14" s="1"/>
  <c r="I852" i="14"/>
  <c r="I853" i="14" s="1"/>
  <c r="I855" i="14" s="1"/>
  <c r="I856" i="14" s="1"/>
  <c r="L852" i="14"/>
  <c r="L853" i="14" s="1"/>
  <c r="L855" i="14" s="1"/>
  <c r="L856" i="14" s="1"/>
  <c r="D898" i="14"/>
  <c r="I898" i="14"/>
  <c r="I899" i="14" s="1"/>
  <c r="I901" i="14" s="1"/>
  <c r="I902" i="14" s="1"/>
  <c r="J898" i="14"/>
  <c r="J899" i="14" s="1"/>
  <c r="J901" i="14" s="1"/>
  <c r="J902" i="14" s="1"/>
  <c r="E898" i="14"/>
  <c r="E899" i="14" s="1"/>
  <c r="E901" i="14" s="1"/>
  <c r="E902" i="14" s="1"/>
  <c r="F898" i="14"/>
  <c r="F899" i="14" s="1"/>
  <c r="F901" i="14" s="1"/>
  <c r="F902" i="14" s="1"/>
  <c r="G898" i="14"/>
  <c r="G899" i="14" s="1"/>
  <c r="G901" i="14" s="1"/>
  <c r="G902" i="14" s="1"/>
  <c r="H898" i="14"/>
  <c r="H899" i="14" s="1"/>
  <c r="H901" i="14" s="1"/>
  <c r="H902" i="14" s="1"/>
  <c r="K898" i="14"/>
  <c r="K899" i="14" s="1"/>
  <c r="K901" i="14" s="1"/>
  <c r="K902" i="14" s="1"/>
  <c r="L898" i="14"/>
  <c r="L899" i="14" s="1"/>
  <c r="L901" i="14" s="1"/>
  <c r="L902" i="14" s="1"/>
  <c r="M898" i="14"/>
  <c r="M899" i="14" s="1"/>
  <c r="M901" i="14" s="1"/>
  <c r="M902" i="14" s="1"/>
  <c r="D944" i="14"/>
  <c r="H944" i="14"/>
  <c r="H945" i="14" s="1"/>
  <c r="H947" i="14" s="1"/>
  <c r="H948" i="14" s="1"/>
  <c r="J944" i="14"/>
  <c r="J945" i="14" s="1"/>
  <c r="J947" i="14" s="1"/>
  <c r="J948" i="14" s="1"/>
  <c r="E944" i="14"/>
  <c r="E945" i="14" s="1"/>
  <c r="E947" i="14" s="1"/>
  <c r="E948" i="14" s="1"/>
  <c r="F944" i="14"/>
  <c r="F945" i="14" s="1"/>
  <c r="F947" i="14" s="1"/>
  <c r="F948" i="14" s="1"/>
  <c r="G944" i="14"/>
  <c r="G945" i="14" s="1"/>
  <c r="G947" i="14" s="1"/>
  <c r="G948" i="14" s="1"/>
  <c r="I944" i="14"/>
  <c r="I945" i="14" s="1"/>
  <c r="I947" i="14" s="1"/>
  <c r="I948" i="14" s="1"/>
  <c r="K944" i="14"/>
  <c r="K945" i="14" s="1"/>
  <c r="K947" i="14" s="1"/>
  <c r="K948" i="14" s="1"/>
  <c r="L944" i="14"/>
  <c r="L945" i="14" s="1"/>
  <c r="L947" i="14" s="1"/>
  <c r="L948" i="14" s="1"/>
  <c r="M944" i="14"/>
  <c r="M945" i="14" s="1"/>
  <c r="M947" i="14" s="1"/>
  <c r="M948" i="14" s="1"/>
  <c r="D668" i="14"/>
  <c r="E668" i="14"/>
  <c r="E669" i="14" s="1"/>
  <c r="E671" i="14" s="1"/>
  <c r="E672" i="14" s="1"/>
  <c r="F668" i="14"/>
  <c r="F669" i="14" s="1"/>
  <c r="F671" i="14" s="1"/>
  <c r="F672" i="14" s="1"/>
  <c r="G668" i="14"/>
  <c r="G669" i="14" s="1"/>
  <c r="G671" i="14" s="1"/>
  <c r="G672" i="14" s="1"/>
  <c r="H668" i="14"/>
  <c r="H669" i="14" s="1"/>
  <c r="H671" i="14" s="1"/>
  <c r="H672" i="14" s="1"/>
  <c r="I668" i="14"/>
  <c r="I669" i="14" s="1"/>
  <c r="I671" i="14" s="1"/>
  <c r="I672" i="14" s="1"/>
  <c r="M668" i="14"/>
  <c r="M669" i="14" s="1"/>
  <c r="M671" i="14" s="1"/>
  <c r="M672" i="14" s="1"/>
  <c r="J668" i="14"/>
  <c r="J669" i="14" s="1"/>
  <c r="J671" i="14" s="1"/>
  <c r="J672" i="14" s="1"/>
  <c r="K668" i="14"/>
  <c r="K669" i="14" s="1"/>
  <c r="K671" i="14" s="1"/>
  <c r="K672" i="14" s="1"/>
  <c r="L668" i="14"/>
  <c r="L669" i="14" s="1"/>
  <c r="L671" i="14" s="1"/>
  <c r="L672" i="14" s="1"/>
  <c r="E27" i="15"/>
  <c r="D29" i="1"/>
  <c r="D990" i="14"/>
  <c r="E990" i="14"/>
  <c r="E991" i="14" s="1"/>
  <c r="E993" i="14" s="1"/>
  <c r="E994" i="14" s="1"/>
  <c r="F990" i="14"/>
  <c r="F991" i="14" s="1"/>
  <c r="F993" i="14" s="1"/>
  <c r="F994" i="14" s="1"/>
  <c r="G990" i="14"/>
  <c r="G991" i="14" s="1"/>
  <c r="G993" i="14" s="1"/>
  <c r="G994" i="14" s="1"/>
  <c r="H990" i="14"/>
  <c r="H991" i="14" s="1"/>
  <c r="H993" i="14" s="1"/>
  <c r="H994" i="14" s="1"/>
  <c r="I990" i="14"/>
  <c r="I991" i="14" s="1"/>
  <c r="I993" i="14" s="1"/>
  <c r="I994" i="14" s="1"/>
  <c r="J990" i="14"/>
  <c r="J991" i="14" s="1"/>
  <c r="J993" i="14" s="1"/>
  <c r="J994" i="14" s="1"/>
  <c r="K990" i="14"/>
  <c r="K991" i="14" s="1"/>
  <c r="K993" i="14" s="1"/>
  <c r="K994" i="14" s="1"/>
  <c r="L990" i="14"/>
  <c r="L991" i="14" s="1"/>
  <c r="L993" i="14" s="1"/>
  <c r="L994" i="14" s="1"/>
  <c r="M990" i="14"/>
  <c r="M991" i="14" s="1"/>
  <c r="M993" i="14" s="1"/>
  <c r="M994" i="14" s="1"/>
  <c r="D1036" i="14"/>
  <c r="E1036" i="14"/>
  <c r="E1037" i="14" s="1"/>
  <c r="E1039" i="14" s="1"/>
  <c r="E1040" i="14" s="1"/>
  <c r="F1036" i="14"/>
  <c r="F1037" i="14" s="1"/>
  <c r="F1039" i="14" s="1"/>
  <c r="F1040" i="14" s="1"/>
  <c r="G1036" i="14"/>
  <c r="G1037" i="14" s="1"/>
  <c r="G1039" i="14" s="1"/>
  <c r="G1040" i="14" s="1"/>
  <c r="H1036" i="14"/>
  <c r="H1037" i="14" s="1"/>
  <c r="H1039" i="14" s="1"/>
  <c r="H1040" i="14" s="1"/>
  <c r="I1036" i="14"/>
  <c r="I1037" i="14" s="1"/>
  <c r="I1039" i="14" s="1"/>
  <c r="I1040" i="14" s="1"/>
  <c r="J1036" i="14"/>
  <c r="J1037" i="14" s="1"/>
  <c r="J1039" i="14" s="1"/>
  <c r="J1040" i="14" s="1"/>
  <c r="K1036" i="14"/>
  <c r="K1037" i="14" s="1"/>
  <c r="K1039" i="14" s="1"/>
  <c r="K1040" i="14" s="1"/>
  <c r="L1036" i="14"/>
  <c r="L1037" i="14" s="1"/>
  <c r="L1039" i="14" s="1"/>
  <c r="L1040" i="14" s="1"/>
  <c r="M1036" i="14"/>
  <c r="M1037" i="14" s="1"/>
  <c r="M1039" i="14" s="1"/>
  <c r="M1040" i="14" s="1"/>
  <c r="D1082" i="14"/>
  <c r="G1082" i="14"/>
  <c r="G1083" i="14" s="1"/>
  <c r="G1085" i="14" s="1"/>
  <c r="G1086" i="14" s="1"/>
  <c r="H1082" i="14"/>
  <c r="H1083" i="14" s="1"/>
  <c r="H1085" i="14" s="1"/>
  <c r="H1086" i="14" s="1"/>
  <c r="L1082" i="14"/>
  <c r="L1083" i="14" s="1"/>
  <c r="L1085" i="14" s="1"/>
  <c r="L1086" i="14" s="1"/>
  <c r="M1082" i="14"/>
  <c r="M1083" i="14" s="1"/>
  <c r="M1085" i="14" s="1"/>
  <c r="M1086" i="14" s="1"/>
  <c r="E1082" i="14"/>
  <c r="E1083" i="14" s="1"/>
  <c r="E1085" i="14" s="1"/>
  <c r="E1086" i="14" s="1"/>
  <c r="F1082" i="14"/>
  <c r="F1083" i="14" s="1"/>
  <c r="F1085" i="14" s="1"/>
  <c r="F1086" i="14" s="1"/>
  <c r="I1082" i="14"/>
  <c r="I1083" i="14" s="1"/>
  <c r="I1085" i="14" s="1"/>
  <c r="I1086" i="14" s="1"/>
  <c r="J1082" i="14"/>
  <c r="J1083" i="14" s="1"/>
  <c r="J1085" i="14" s="1"/>
  <c r="J1086" i="14" s="1"/>
  <c r="K1082" i="14"/>
  <c r="K1083" i="14" s="1"/>
  <c r="K1085" i="14" s="1"/>
  <c r="K1086" i="14" s="1"/>
  <c r="D1128" i="14"/>
  <c r="E1128" i="14"/>
  <c r="E1129" i="14" s="1"/>
  <c r="E1131" i="14" s="1"/>
  <c r="E1132" i="14" s="1"/>
  <c r="G1128" i="14"/>
  <c r="G1129" i="14" s="1"/>
  <c r="G1131" i="14" s="1"/>
  <c r="G1132" i="14" s="1"/>
  <c r="H1128" i="14"/>
  <c r="H1129" i="14" s="1"/>
  <c r="H1131" i="14" s="1"/>
  <c r="H1132" i="14" s="1"/>
  <c r="I1128" i="14"/>
  <c r="I1129" i="14" s="1"/>
  <c r="I1131" i="14" s="1"/>
  <c r="I1132" i="14" s="1"/>
  <c r="J1128" i="14"/>
  <c r="J1129" i="14" s="1"/>
  <c r="J1131" i="14" s="1"/>
  <c r="J1132" i="14" s="1"/>
  <c r="K1128" i="14"/>
  <c r="K1129" i="14" s="1"/>
  <c r="K1131" i="14" s="1"/>
  <c r="K1132" i="14" s="1"/>
  <c r="F1128" i="14"/>
  <c r="F1129" i="14" s="1"/>
  <c r="F1131" i="14" s="1"/>
  <c r="F1132" i="14" s="1"/>
  <c r="L1128" i="14"/>
  <c r="L1129" i="14" s="1"/>
  <c r="L1131" i="14" s="1"/>
  <c r="L1132" i="14" s="1"/>
  <c r="M1128" i="14"/>
  <c r="M1129" i="14" s="1"/>
  <c r="M1131" i="14" s="1"/>
  <c r="M1132" i="14" s="1"/>
  <c r="D1174" i="14"/>
  <c r="E1174" i="14"/>
  <c r="E1175" i="14" s="1"/>
  <c r="E1177" i="14" s="1"/>
  <c r="E1178" i="14" s="1"/>
  <c r="F1174" i="14"/>
  <c r="F1175" i="14" s="1"/>
  <c r="F1177" i="14" s="1"/>
  <c r="F1178" i="14" s="1"/>
  <c r="G1174" i="14"/>
  <c r="G1175" i="14" s="1"/>
  <c r="G1177" i="14" s="1"/>
  <c r="G1178" i="14" s="1"/>
  <c r="H1174" i="14"/>
  <c r="H1175" i="14" s="1"/>
  <c r="H1177" i="14" s="1"/>
  <c r="H1178" i="14" s="1"/>
  <c r="I1174" i="14"/>
  <c r="I1175" i="14" s="1"/>
  <c r="I1177" i="14" s="1"/>
  <c r="I1178" i="14" s="1"/>
  <c r="J1174" i="14"/>
  <c r="J1175" i="14" s="1"/>
  <c r="J1177" i="14" s="1"/>
  <c r="J1178" i="14" s="1"/>
  <c r="K1174" i="14"/>
  <c r="K1175" i="14" s="1"/>
  <c r="K1177" i="14" s="1"/>
  <c r="K1178" i="14" s="1"/>
  <c r="L1174" i="14"/>
  <c r="L1175" i="14" s="1"/>
  <c r="L1177" i="14" s="1"/>
  <c r="L1178" i="14" s="1"/>
  <c r="M1174" i="14"/>
  <c r="M1175" i="14" s="1"/>
  <c r="M1177" i="14" s="1"/>
  <c r="M1178" i="14" s="1"/>
  <c r="D1220" i="14"/>
  <c r="E1220" i="14"/>
  <c r="E1221" i="14" s="1"/>
  <c r="E1223" i="14" s="1"/>
  <c r="E1224" i="14" s="1"/>
  <c r="F1220" i="14"/>
  <c r="F1221" i="14" s="1"/>
  <c r="F1223" i="14" s="1"/>
  <c r="F1224" i="14" s="1"/>
  <c r="G1220" i="14"/>
  <c r="G1221" i="14" s="1"/>
  <c r="G1223" i="14" s="1"/>
  <c r="G1224" i="14" s="1"/>
  <c r="H1220" i="14"/>
  <c r="H1221" i="14" s="1"/>
  <c r="H1223" i="14" s="1"/>
  <c r="H1224" i="14" s="1"/>
  <c r="I1220" i="14"/>
  <c r="I1221" i="14" s="1"/>
  <c r="I1223" i="14" s="1"/>
  <c r="I1224" i="14" s="1"/>
  <c r="J1220" i="14"/>
  <c r="J1221" i="14" s="1"/>
  <c r="J1223" i="14" s="1"/>
  <c r="J1224" i="14" s="1"/>
  <c r="K1220" i="14"/>
  <c r="K1221" i="14" s="1"/>
  <c r="K1223" i="14" s="1"/>
  <c r="K1224" i="14" s="1"/>
  <c r="L1220" i="14"/>
  <c r="L1221" i="14" s="1"/>
  <c r="L1223" i="14" s="1"/>
  <c r="L1224" i="14" s="1"/>
  <c r="M1220" i="14"/>
  <c r="M1221" i="14" s="1"/>
  <c r="M1223" i="14" s="1"/>
  <c r="M1224" i="14" s="1"/>
  <c r="F2922" i="6"/>
  <c r="F2923" i="6" s="1"/>
  <c r="F2925" i="6" s="1"/>
  <c r="F2926" i="6" s="1"/>
  <c r="D2922" i="6"/>
  <c r="M2922" i="6"/>
  <c r="M2923" i="6" s="1"/>
  <c r="M2925" i="6" s="1"/>
  <c r="M2926" i="6" s="1"/>
  <c r="L2922" i="6"/>
  <c r="L2923" i="6" s="1"/>
  <c r="L2925" i="6" s="1"/>
  <c r="L2926" i="6" s="1"/>
  <c r="K2922" i="6"/>
  <c r="K2923" i="6" s="1"/>
  <c r="K2925" i="6" s="1"/>
  <c r="K2926" i="6" s="1"/>
  <c r="J2922" i="6"/>
  <c r="J2923" i="6" s="1"/>
  <c r="J2925" i="6" s="1"/>
  <c r="J2926" i="6" s="1"/>
  <c r="I2922" i="6"/>
  <c r="I2923" i="6" s="1"/>
  <c r="I2925" i="6" s="1"/>
  <c r="I2926" i="6" s="1"/>
  <c r="H2922" i="6"/>
  <c r="H2923" i="6" s="1"/>
  <c r="H2925" i="6" s="1"/>
  <c r="H2926" i="6" s="1"/>
  <c r="G2922" i="6"/>
  <c r="G2923" i="6" s="1"/>
  <c r="G2925" i="6" s="1"/>
  <c r="G2926" i="6" s="1"/>
  <c r="E2922" i="6"/>
  <c r="E2923" i="6" s="1"/>
  <c r="E2925" i="6" s="1"/>
  <c r="E2926" i="6" s="1"/>
  <c r="D2968" i="6"/>
  <c r="M2968" i="6"/>
  <c r="M2969" i="6" s="1"/>
  <c r="M2971" i="6" s="1"/>
  <c r="M2972" i="6" s="1"/>
  <c r="L2968" i="6"/>
  <c r="L2969" i="6" s="1"/>
  <c r="L2971" i="6" s="1"/>
  <c r="L2972" i="6" s="1"/>
  <c r="K2968" i="6"/>
  <c r="K2969" i="6" s="1"/>
  <c r="K2971" i="6" s="1"/>
  <c r="K2972" i="6" s="1"/>
  <c r="J2968" i="6"/>
  <c r="J2969" i="6" s="1"/>
  <c r="J2971" i="6" s="1"/>
  <c r="J2972" i="6" s="1"/>
  <c r="I2968" i="6"/>
  <c r="I2969" i="6" s="1"/>
  <c r="I2971" i="6" s="1"/>
  <c r="I2972" i="6" s="1"/>
  <c r="H2968" i="6"/>
  <c r="H2969" i="6" s="1"/>
  <c r="H2971" i="6" s="1"/>
  <c r="H2972" i="6" s="1"/>
  <c r="G2968" i="6"/>
  <c r="G2969" i="6" s="1"/>
  <c r="G2971" i="6" s="1"/>
  <c r="G2972" i="6" s="1"/>
  <c r="F2968" i="6"/>
  <c r="F2969" i="6" s="1"/>
  <c r="F2971" i="6" s="1"/>
  <c r="F2972" i="6" s="1"/>
  <c r="E2968" i="6"/>
  <c r="E2969" i="6" s="1"/>
  <c r="E2971" i="6" s="1"/>
  <c r="E2972" i="6" s="1"/>
  <c r="D1496" i="14"/>
  <c r="E1496" i="14"/>
  <c r="E1497" i="14" s="1"/>
  <c r="E1499" i="14" s="1"/>
  <c r="E1500" i="14" s="1"/>
  <c r="F1496" i="14"/>
  <c r="F1497" i="14" s="1"/>
  <c r="F1499" i="14" s="1"/>
  <c r="F1500" i="14" s="1"/>
  <c r="G1496" i="14"/>
  <c r="G1497" i="14" s="1"/>
  <c r="G1499" i="14" s="1"/>
  <c r="G1500" i="14" s="1"/>
  <c r="H1496" i="14"/>
  <c r="H1497" i="14" s="1"/>
  <c r="H1499" i="14" s="1"/>
  <c r="H1500" i="14" s="1"/>
  <c r="I1496" i="14"/>
  <c r="I1497" i="14" s="1"/>
  <c r="I1499" i="14" s="1"/>
  <c r="I1500" i="14" s="1"/>
  <c r="J1496" i="14"/>
  <c r="J1497" i="14" s="1"/>
  <c r="J1499" i="14" s="1"/>
  <c r="J1500" i="14" s="1"/>
  <c r="M1496" i="14"/>
  <c r="M1497" i="14" s="1"/>
  <c r="M1499" i="14" s="1"/>
  <c r="M1500" i="14" s="1"/>
  <c r="K1496" i="14"/>
  <c r="K1497" i="14" s="1"/>
  <c r="K1499" i="14" s="1"/>
  <c r="K1500" i="14" s="1"/>
  <c r="L1496" i="14"/>
  <c r="L1497" i="14" s="1"/>
  <c r="L1499" i="14" s="1"/>
  <c r="L1500" i="14" s="1"/>
  <c r="D1542" i="14"/>
  <c r="J1542" i="14"/>
  <c r="J1543" i="14" s="1"/>
  <c r="J1545" i="14" s="1"/>
  <c r="J1546" i="14" s="1"/>
  <c r="I1542" i="14"/>
  <c r="I1543" i="14" s="1"/>
  <c r="I1545" i="14" s="1"/>
  <c r="I1546" i="14" s="1"/>
  <c r="K1542" i="14"/>
  <c r="K1543" i="14" s="1"/>
  <c r="K1545" i="14" s="1"/>
  <c r="K1546" i="14" s="1"/>
  <c r="L1542" i="14"/>
  <c r="L1543" i="14" s="1"/>
  <c r="L1545" i="14" s="1"/>
  <c r="L1546" i="14" s="1"/>
  <c r="G1542" i="14"/>
  <c r="G1543" i="14" s="1"/>
  <c r="G1545" i="14" s="1"/>
  <c r="G1546" i="14" s="1"/>
  <c r="E1542" i="14"/>
  <c r="E1543" i="14" s="1"/>
  <c r="E1545" i="14" s="1"/>
  <c r="E1546" i="14" s="1"/>
  <c r="F1542" i="14"/>
  <c r="F1543" i="14" s="1"/>
  <c r="F1545" i="14" s="1"/>
  <c r="F1546" i="14" s="1"/>
  <c r="H1542" i="14"/>
  <c r="H1543" i="14" s="1"/>
  <c r="H1545" i="14" s="1"/>
  <c r="H1546" i="14" s="1"/>
  <c r="M1542" i="14"/>
  <c r="M1543" i="14" s="1"/>
  <c r="M1545" i="14" s="1"/>
  <c r="M1546" i="14" s="1"/>
  <c r="D3060" i="6"/>
  <c r="M3060" i="6"/>
  <c r="M3061" i="6" s="1"/>
  <c r="M3063" i="6" s="1"/>
  <c r="M3064" i="6" s="1"/>
  <c r="L3060" i="6"/>
  <c r="L3061" i="6" s="1"/>
  <c r="L3063" i="6" s="1"/>
  <c r="L3064" i="6" s="1"/>
  <c r="K3060" i="6"/>
  <c r="K3061" i="6" s="1"/>
  <c r="K3063" i="6" s="1"/>
  <c r="K3064" i="6" s="1"/>
  <c r="J3060" i="6"/>
  <c r="J3061" i="6" s="1"/>
  <c r="J3063" i="6" s="1"/>
  <c r="J3064" i="6" s="1"/>
  <c r="I3060" i="6"/>
  <c r="I3061" i="6" s="1"/>
  <c r="I3063" i="6" s="1"/>
  <c r="I3064" i="6" s="1"/>
  <c r="H3060" i="6"/>
  <c r="H3061" i="6" s="1"/>
  <c r="H3063" i="6" s="1"/>
  <c r="H3064" i="6" s="1"/>
  <c r="G3060" i="6"/>
  <c r="G3061" i="6" s="1"/>
  <c r="G3063" i="6" s="1"/>
  <c r="G3064" i="6" s="1"/>
  <c r="F3060" i="6"/>
  <c r="F3061" i="6" s="1"/>
  <c r="F3063" i="6" s="1"/>
  <c r="F3064" i="6" s="1"/>
  <c r="E3060" i="6"/>
  <c r="E3061" i="6" s="1"/>
  <c r="E3063" i="6" s="1"/>
  <c r="E3064" i="6" s="1"/>
  <c r="D3106" i="6"/>
  <c r="M3106" i="6"/>
  <c r="M3107" i="6" s="1"/>
  <c r="M3109" i="6" s="1"/>
  <c r="M3110" i="6" s="1"/>
  <c r="L3106" i="6"/>
  <c r="L3107" i="6" s="1"/>
  <c r="L3109" i="6" s="1"/>
  <c r="L3110" i="6" s="1"/>
  <c r="K3106" i="6"/>
  <c r="K3107" i="6" s="1"/>
  <c r="K3109" i="6" s="1"/>
  <c r="K3110" i="6" s="1"/>
  <c r="J3106" i="6"/>
  <c r="J3107" i="6" s="1"/>
  <c r="J3109" i="6" s="1"/>
  <c r="J3110" i="6" s="1"/>
  <c r="I3106" i="6"/>
  <c r="I3107" i="6" s="1"/>
  <c r="I3109" i="6" s="1"/>
  <c r="I3110" i="6" s="1"/>
  <c r="H3106" i="6"/>
  <c r="H3107" i="6" s="1"/>
  <c r="H3109" i="6" s="1"/>
  <c r="H3110" i="6" s="1"/>
  <c r="G3106" i="6"/>
  <c r="G3107" i="6" s="1"/>
  <c r="G3109" i="6" s="1"/>
  <c r="G3110" i="6" s="1"/>
  <c r="F3106" i="6"/>
  <c r="F3107" i="6" s="1"/>
  <c r="F3109" i="6" s="1"/>
  <c r="F3110" i="6" s="1"/>
  <c r="E3106" i="6"/>
  <c r="E3107" i="6" s="1"/>
  <c r="E3109" i="6" s="1"/>
  <c r="E3110" i="6" s="1"/>
  <c r="D3290" i="6"/>
  <c r="M3290" i="6"/>
  <c r="M3291" i="6" s="1"/>
  <c r="M3293" i="6" s="1"/>
  <c r="M3294" i="6" s="1"/>
  <c r="L3290" i="6"/>
  <c r="L3291" i="6" s="1"/>
  <c r="L3293" i="6" s="1"/>
  <c r="L3294" i="6" s="1"/>
  <c r="K3290" i="6"/>
  <c r="K3291" i="6" s="1"/>
  <c r="K3293" i="6" s="1"/>
  <c r="K3294" i="6" s="1"/>
  <c r="J3290" i="6"/>
  <c r="J3291" i="6" s="1"/>
  <c r="J3293" i="6" s="1"/>
  <c r="J3294" i="6" s="1"/>
  <c r="I3290" i="6"/>
  <c r="I3291" i="6" s="1"/>
  <c r="I3293" i="6" s="1"/>
  <c r="I3294" i="6" s="1"/>
  <c r="H3290" i="6"/>
  <c r="H3291" i="6" s="1"/>
  <c r="H3293" i="6" s="1"/>
  <c r="H3294" i="6" s="1"/>
  <c r="G3290" i="6"/>
  <c r="G3291" i="6" s="1"/>
  <c r="G3293" i="6" s="1"/>
  <c r="G3294" i="6" s="1"/>
  <c r="F3290" i="6"/>
  <c r="F3291" i="6" s="1"/>
  <c r="F3293" i="6" s="1"/>
  <c r="F3294" i="6" s="1"/>
  <c r="E3290" i="6"/>
  <c r="E3291" i="6" s="1"/>
  <c r="E3293" i="6" s="1"/>
  <c r="E3294" i="6" s="1"/>
  <c r="D3428" i="6"/>
  <c r="E3428" i="6"/>
  <c r="E3429" i="6" s="1"/>
  <c r="E3431" i="6" s="1"/>
  <c r="E3432" i="6" s="1"/>
  <c r="F3428" i="6"/>
  <c r="F3429" i="6" s="1"/>
  <c r="F3431" i="6" s="1"/>
  <c r="F3432" i="6" s="1"/>
  <c r="G3428" i="6"/>
  <c r="G3429" i="6" s="1"/>
  <c r="G3431" i="6" s="1"/>
  <c r="G3432" i="6" s="1"/>
  <c r="H3428" i="6"/>
  <c r="H3429" i="6" s="1"/>
  <c r="H3431" i="6" s="1"/>
  <c r="H3432" i="6" s="1"/>
  <c r="I3428" i="6"/>
  <c r="I3429" i="6" s="1"/>
  <c r="I3431" i="6" s="1"/>
  <c r="I3432" i="6" s="1"/>
  <c r="J3428" i="6"/>
  <c r="J3429" i="6" s="1"/>
  <c r="J3431" i="6" s="1"/>
  <c r="J3432" i="6" s="1"/>
  <c r="K3428" i="6"/>
  <c r="K3429" i="6" s="1"/>
  <c r="K3431" i="6" s="1"/>
  <c r="K3432" i="6" s="1"/>
  <c r="L3428" i="6"/>
  <c r="L3429" i="6" s="1"/>
  <c r="L3431" i="6" s="1"/>
  <c r="L3432" i="6" s="1"/>
  <c r="M3428" i="6"/>
  <c r="M3429" i="6" s="1"/>
  <c r="M3431" i="6" s="1"/>
  <c r="M3432" i="6" s="1"/>
  <c r="D3474" i="6"/>
  <c r="M3474" i="6"/>
  <c r="M3475" i="6" s="1"/>
  <c r="M3477" i="6" s="1"/>
  <c r="M3478" i="6" s="1"/>
  <c r="L3474" i="6"/>
  <c r="L3475" i="6" s="1"/>
  <c r="L3477" i="6" s="1"/>
  <c r="L3478" i="6" s="1"/>
  <c r="K3474" i="6"/>
  <c r="K3475" i="6" s="1"/>
  <c r="K3477" i="6" s="1"/>
  <c r="K3478" i="6" s="1"/>
  <c r="J3474" i="6"/>
  <c r="J3475" i="6" s="1"/>
  <c r="J3477" i="6" s="1"/>
  <c r="J3478" i="6" s="1"/>
  <c r="I3474" i="6"/>
  <c r="I3475" i="6" s="1"/>
  <c r="I3477" i="6" s="1"/>
  <c r="I3478" i="6" s="1"/>
  <c r="H3474" i="6"/>
  <c r="H3475" i="6" s="1"/>
  <c r="H3477" i="6" s="1"/>
  <c r="H3478" i="6" s="1"/>
  <c r="G3474" i="6"/>
  <c r="G3475" i="6" s="1"/>
  <c r="G3477" i="6" s="1"/>
  <c r="G3478" i="6" s="1"/>
  <c r="F3474" i="6"/>
  <c r="F3475" i="6" s="1"/>
  <c r="F3477" i="6" s="1"/>
  <c r="F3478" i="6" s="1"/>
  <c r="E3474" i="6"/>
  <c r="E3475" i="6" s="1"/>
  <c r="E3477" i="6" s="1"/>
  <c r="E3478" i="6" s="1"/>
  <c r="D1266" i="14"/>
  <c r="M1266" i="14"/>
  <c r="M1267" i="14" s="1"/>
  <c r="M1269" i="14" s="1"/>
  <c r="M1270" i="14" s="1"/>
  <c r="E1266" i="14"/>
  <c r="E1267" i="14" s="1"/>
  <c r="E1269" i="14" s="1"/>
  <c r="E1270" i="14" s="1"/>
  <c r="F1266" i="14"/>
  <c r="F1267" i="14" s="1"/>
  <c r="F1269" i="14" s="1"/>
  <c r="F1270" i="14" s="1"/>
  <c r="G1266" i="14"/>
  <c r="G1267" i="14" s="1"/>
  <c r="G1269" i="14" s="1"/>
  <c r="G1270" i="14" s="1"/>
  <c r="H1266" i="14"/>
  <c r="H1267" i="14" s="1"/>
  <c r="H1269" i="14" s="1"/>
  <c r="H1270" i="14" s="1"/>
  <c r="I1266" i="14"/>
  <c r="I1267" i="14" s="1"/>
  <c r="I1269" i="14" s="1"/>
  <c r="I1270" i="14" s="1"/>
  <c r="J1266" i="14"/>
  <c r="J1267" i="14" s="1"/>
  <c r="J1269" i="14" s="1"/>
  <c r="J1270" i="14" s="1"/>
  <c r="K1266" i="14"/>
  <c r="K1267" i="14" s="1"/>
  <c r="K1269" i="14" s="1"/>
  <c r="K1270" i="14" s="1"/>
  <c r="L1266" i="14"/>
  <c r="L1267" i="14" s="1"/>
  <c r="L1269" i="14" s="1"/>
  <c r="L1270" i="14" s="1"/>
  <c r="D1312" i="14"/>
  <c r="E1312" i="14"/>
  <c r="E1313" i="14" s="1"/>
  <c r="E1315" i="14" s="1"/>
  <c r="E1316" i="14" s="1"/>
  <c r="F1312" i="14"/>
  <c r="F1313" i="14" s="1"/>
  <c r="F1315" i="14" s="1"/>
  <c r="F1316" i="14" s="1"/>
  <c r="G1312" i="14"/>
  <c r="G1313" i="14" s="1"/>
  <c r="G1315" i="14" s="1"/>
  <c r="G1316" i="14" s="1"/>
  <c r="H1312" i="14"/>
  <c r="H1313" i="14" s="1"/>
  <c r="H1315" i="14" s="1"/>
  <c r="H1316" i="14" s="1"/>
  <c r="I1312" i="14"/>
  <c r="I1313" i="14" s="1"/>
  <c r="I1315" i="14" s="1"/>
  <c r="I1316" i="14" s="1"/>
  <c r="J1312" i="14"/>
  <c r="J1313" i="14" s="1"/>
  <c r="J1315" i="14" s="1"/>
  <c r="J1316" i="14" s="1"/>
  <c r="K1312" i="14"/>
  <c r="K1313" i="14" s="1"/>
  <c r="K1315" i="14" s="1"/>
  <c r="K1316" i="14" s="1"/>
  <c r="L1312" i="14"/>
  <c r="L1313" i="14" s="1"/>
  <c r="L1315" i="14" s="1"/>
  <c r="L1316" i="14" s="1"/>
  <c r="M1312" i="14"/>
  <c r="M1313" i="14" s="1"/>
  <c r="M1315" i="14" s="1"/>
  <c r="M1316" i="14" s="1"/>
  <c r="D1358" i="14"/>
  <c r="E1358" i="14"/>
  <c r="E1359" i="14" s="1"/>
  <c r="E1361" i="14" s="1"/>
  <c r="E1362" i="14" s="1"/>
  <c r="F1358" i="14"/>
  <c r="F1359" i="14" s="1"/>
  <c r="F1361" i="14" s="1"/>
  <c r="F1362" i="14" s="1"/>
  <c r="G1358" i="14"/>
  <c r="G1359" i="14" s="1"/>
  <c r="G1361" i="14" s="1"/>
  <c r="G1362" i="14" s="1"/>
  <c r="H1358" i="14"/>
  <c r="H1359" i="14" s="1"/>
  <c r="H1361" i="14" s="1"/>
  <c r="H1362" i="14" s="1"/>
  <c r="I1358" i="14"/>
  <c r="I1359" i="14" s="1"/>
  <c r="I1361" i="14" s="1"/>
  <c r="I1362" i="14" s="1"/>
  <c r="J1358" i="14"/>
  <c r="J1359" i="14" s="1"/>
  <c r="J1361" i="14" s="1"/>
  <c r="J1362" i="14" s="1"/>
  <c r="K1358" i="14"/>
  <c r="K1359" i="14" s="1"/>
  <c r="K1361" i="14" s="1"/>
  <c r="K1362" i="14" s="1"/>
  <c r="L1358" i="14"/>
  <c r="L1359" i="14" s="1"/>
  <c r="L1361" i="14" s="1"/>
  <c r="L1362" i="14" s="1"/>
  <c r="M1358" i="14"/>
  <c r="M1359" i="14" s="1"/>
  <c r="M1361" i="14" s="1"/>
  <c r="M1362" i="14" s="1"/>
  <c r="D1404" i="14"/>
  <c r="E1404" i="14"/>
  <c r="E1405" i="14" s="1"/>
  <c r="E1407" i="14" s="1"/>
  <c r="E1408" i="14" s="1"/>
  <c r="F1404" i="14"/>
  <c r="F1405" i="14" s="1"/>
  <c r="F1407" i="14" s="1"/>
  <c r="F1408" i="14" s="1"/>
  <c r="G1404" i="14"/>
  <c r="G1405" i="14" s="1"/>
  <c r="G1407" i="14" s="1"/>
  <c r="G1408" i="14" s="1"/>
  <c r="H1404" i="14"/>
  <c r="H1405" i="14" s="1"/>
  <c r="H1407" i="14" s="1"/>
  <c r="H1408" i="14" s="1"/>
  <c r="I1404" i="14"/>
  <c r="I1405" i="14" s="1"/>
  <c r="I1407" i="14" s="1"/>
  <c r="I1408" i="14" s="1"/>
  <c r="J1404" i="14"/>
  <c r="J1405" i="14" s="1"/>
  <c r="J1407" i="14" s="1"/>
  <c r="J1408" i="14" s="1"/>
  <c r="K1404" i="14"/>
  <c r="K1405" i="14" s="1"/>
  <c r="K1407" i="14" s="1"/>
  <c r="K1408" i="14" s="1"/>
  <c r="L1404" i="14"/>
  <c r="L1405" i="14" s="1"/>
  <c r="L1407" i="14" s="1"/>
  <c r="L1408" i="14" s="1"/>
  <c r="M1404" i="14"/>
  <c r="M1405" i="14" s="1"/>
  <c r="M1407" i="14" s="1"/>
  <c r="M1408" i="14" s="1"/>
  <c r="D1450" i="14"/>
  <c r="E1450" i="14"/>
  <c r="E1451" i="14" s="1"/>
  <c r="E1453" i="14" s="1"/>
  <c r="E1454" i="14" s="1"/>
  <c r="F1450" i="14"/>
  <c r="F1451" i="14" s="1"/>
  <c r="F1453" i="14" s="1"/>
  <c r="F1454" i="14" s="1"/>
  <c r="G1450" i="14"/>
  <c r="G1451" i="14" s="1"/>
  <c r="G1453" i="14" s="1"/>
  <c r="G1454" i="14" s="1"/>
  <c r="H1450" i="14"/>
  <c r="H1451" i="14" s="1"/>
  <c r="H1453" i="14" s="1"/>
  <c r="H1454" i="14" s="1"/>
  <c r="I1450" i="14"/>
  <c r="I1451" i="14" s="1"/>
  <c r="I1453" i="14" s="1"/>
  <c r="I1454" i="14" s="1"/>
  <c r="J1450" i="14"/>
  <c r="J1451" i="14" s="1"/>
  <c r="J1453" i="14" s="1"/>
  <c r="J1454" i="14" s="1"/>
  <c r="K1450" i="14"/>
  <c r="K1451" i="14" s="1"/>
  <c r="K1453" i="14" s="1"/>
  <c r="K1454" i="14" s="1"/>
  <c r="L1450" i="14"/>
  <c r="L1451" i="14" s="1"/>
  <c r="L1453" i="14" s="1"/>
  <c r="L1454" i="14" s="1"/>
  <c r="M1450" i="14"/>
  <c r="M1451" i="14" s="1"/>
  <c r="M1453" i="14" s="1"/>
  <c r="M1454" i="14" s="1"/>
  <c r="D1588" i="14"/>
  <c r="M1588" i="14"/>
  <c r="M1589" i="14" s="1"/>
  <c r="M1591" i="14" s="1"/>
  <c r="M1592" i="14" s="1"/>
  <c r="G1588" i="14"/>
  <c r="G1589" i="14" s="1"/>
  <c r="G1591" i="14" s="1"/>
  <c r="G1592" i="14" s="1"/>
  <c r="K1588" i="14"/>
  <c r="K1589" i="14" s="1"/>
  <c r="K1591" i="14" s="1"/>
  <c r="K1592" i="14" s="1"/>
  <c r="J1588" i="14"/>
  <c r="J1589" i="14" s="1"/>
  <c r="J1591" i="14" s="1"/>
  <c r="J1592" i="14" s="1"/>
  <c r="E1588" i="14"/>
  <c r="E1589" i="14" s="1"/>
  <c r="E1591" i="14" s="1"/>
  <c r="E1592" i="14" s="1"/>
  <c r="F1588" i="14"/>
  <c r="F1589" i="14" s="1"/>
  <c r="F1591" i="14" s="1"/>
  <c r="F1592" i="14" s="1"/>
  <c r="H1588" i="14"/>
  <c r="H1589" i="14" s="1"/>
  <c r="H1591" i="14" s="1"/>
  <c r="H1592" i="14" s="1"/>
  <c r="I1588" i="14"/>
  <c r="I1589" i="14" s="1"/>
  <c r="I1591" i="14" s="1"/>
  <c r="I1592" i="14" s="1"/>
  <c r="L1588" i="14"/>
  <c r="L1589" i="14" s="1"/>
  <c r="L1591" i="14" s="1"/>
  <c r="L1592" i="14" s="1"/>
  <c r="D1634" i="14"/>
  <c r="H1634" i="14"/>
  <c r="H1635" i="14" s="1"/>
  <c r="H1637" i="14" s="1"/>
  <c r="H1638" i="14" s="1"/>
  <c r="E1634" i="14"/>
  <c r="E1635" i="14" s="1"/>
  <c r="E1637" i="14" s="1"/>
  <c r="E1638" i="14" s="1"/>
  <c r="G1634" i="14"/>
  <c r="G1635" i="14" s="1"/>
  <c r="G1637" i="14" s="1"/>
  <c r="G1638" i="14" s="1"/>
  <c r="J1634" i="14"/>
  <c r="J1635" i="14" s="1"/>
  <c r="J1637" i="14" s="1"/>
  <c r="J1638" i="14" s="1"/>
  <c r="K1634" i="14"/>
  <c r="K1635" i="14" s="1"/>
  <c r="K1637" i="14" s="1"/>
  <c r="K1638" i="14" s="1"/>
  <c r="M1634" i="14"/>
  <c r="M1635" i="14" s="1"/>
  <c r="M1637" i="14" s="1"/>
  <c r="M1638" i="14" s="1"/>
  <c r="F1634" i="14"/>
  <c r="F1635" i="14" s="1"/>
  <c r="F1637" i="14" s="1"/>
  <c r="F1638" i="14" s="1"/>
  <c r="I1634" i="14"/>
  <c r="I1635" i="14" s="1"/>
  <c r="I1637" i="14" s="1"/>
  <c r="I1638" i="14" s="1"/>
  <c r="L1634" i="14"/>
  <c r="L1635" i="14" s="1"/>
  <c r="L1637" i="14" s="1"/>
  <c r="L1638" i="14" s="1"/>
  <c r="D1680" i="14"/>
  <c r="H1680" i="14"/>
  <c r="H1681" i="14" s="1"/>
  <c r="H1683" i="14" s="1"/>
  <c r="H1684" i="14" s="1"/>
  <c r="K1680" i="14"/>
  <c r="K1681" i="14" s="1"/>
  <c r="K1683" i="14" s="1"/>
  <c r="K1684" i="14" s="1"/>
  <c r="E1680" i="14"/>
  <c r="E1681" i="14" s="1"/>
  <c r="E1683" i="14" s="1"/>
  <c r="E1684" i="14" s="1"/>
  <c r="F1680" i="14"/>
  <c r="F1681" i="14" s="1"/>
  <c r="F1683" i="14" s="1"/>
  <c r="F1684" i="14" s="1"/>
  <c r="G1680" i="14"/>
  <c r="G1681" i="14" s="1"/>
  <c r="G1683" i="14" s="1"/>
  <c r="G1684" i="14" s="1"/>
  <c r="I1680" i="14"/>
  <c r="I1681" i="14" s="1"/>
  <c r="I1683" i="14" s="1"/>
  <c r="I1684" i="14" s="1"/>
  <c r="J1680" i="14"/>
  <c r="J1681" i="14" s="1"/>
  <c r="J1683" i="14" s="1"/>
  <c r="J1684" i="14" s="1"/>
  <c r="L1680" i="14"/>
  <c r="L1681" i="14" s="1"/>
  <c r="L1683" i="14" s="1"/>
  <c r="L1684" i="14" s="1"/>
  <c r="M1680" i="14"/>
  <c r="M1681" i="14" s="1"/>
  <c r="M1683" i="14" s="1"/>
  <c r="M1684" i="14" s="1"/>
  <c r="D1726" i="14"/>
  <c r="H1726" i="14"/>
  <c r="H1727" i="14" s="1"/>
  <c r="H1729" i="14" s="1"/>
  <c r="H1730" i="14" s="1"/>
  <c r="J1726" i="14"/>
  <c r="J1727" i="14" s="1"/>
  <c r="J1729" i="14" s="1"/>
  <c r="J1730" i="14" s="1"/>
  <c r="K1726" i="14"/>
  <c r="K1727" i="14" s="1"/>
  <c r="K1729" i="14" s="1"/>
  <c r="K1730" i="14" s="1"/>
  <c r="E1726" i="14"/>
  <c r="E1727" i="14" s="1"/>
  <c r="E1729" i="14" s="1"/>
  <c r="E1730" i="14" s="1"/>
  <c r="G1726" i="14"/>
  <c r="G1727" i="14" s="1"/>
  <c r="G1729" i="14" s="1"/>
  <c r="G1730" i="14" s="1"/>
  <c r="F1726" i="14"/>
  <c r="F1727" i="14" s="1"/>
  <c r="F1729" i="14" s="1"/>
  <c r="F1730" i="14" s="1"/>
  <c r="I1726" i="14"/>
  <c r="I1727" i="14" s="1"/>
  <c r="I1729" i="14" s="1"/>
  <c r="I1730" i="14" s="1"/>
  <c r="L1726" i="14"/>
  <c r="L1727" i="14" s="1"/>
  <c r="L1729" i="14" s="1"/>
  <c r="L1730" i="14" s="1"/>
  <c r="M1726" i="14"/>
  <c r="M1727" i="14" s="1"/>
  <c r="M1729" i="14" s="1"/>
  <c r="M1730" i="14" s="1"/>
  <c r="D1772" i="14"/>
  <c r="I1772" i="14"/>
  <c r="I1773" i="14" s="1"/>
  <c r="I1775" i="14" s="1"/>
  <c r="I1776" i="14" s="1"/>
  <c r="L1772" i="14"/>
  <c r="L1773" i="14" s="1"/>
  <c r="L1775" i="14" s="1"/>
  <c r="L1776" i="14" s="1"/>
  <c r="J1772" i="14"/>
  <c r="J1773" i="14" s="1"/>
  <c r="J1775" i="14" s="1"/>
  <c r="J1776" i="14" s="1"/>
  <c r="H1772" i="14"/>
  <c r="H1773" i="14" s="1"/>
  <c r="H1775" i="14" s="1"/>
  <c r="H1776" i="14" s="1"/>
  <c r="K1772" i="14"/>
  <c r="K1773" i="14" s="1"/>
  <c r="K1775" i="14" s="1"/>
  <c r="K1776" i="14" s="1"/>
  <c r="E1772" i="14"/>
  <c r="E1773" i="14" s="1"/>
  <c r="E1775" i="14" s="1"/>
  <c r="E1776" i="14" s="1"/>
  <c r="F1772" i="14"/>
  <c r="F1773" i="14" s="1"/>
  <c r="F1775" i="14" s="1"/>
  <c r="F1776" i="14" s="1"/>
  <c r="G1772" i="14"/>
  <c r="G1773" i="14" s="1"/>
  <c r="G1775" i="14" s="1"/>
  <c r="G1776" i="14" s="1"/>
  <c r="M1772" i="14"/>
  <c r="M1773" i="14" s="1"/>
  <c r="M1775" i="14" s="1"/>
  <c r="M1776" i="14" s="1"/>
  <c r="D1818" i="14"/>
  <c r="I1818" i="14"/>
  <c r="I1819" i="14" s="1"/>
  <c r="I1821" i="14" s="1"/>
  <c r="I1822" i="14" s="1"/>
  <c r="L1818" i="14"/>
  <c r="L1819" i="14" s="1"/>
  <c r="L1821" i="14" s="1"/>
  <c r="L1822" i="14" s="1"/>
  <c r="E1818" i="14"/>
  <c r="E1819" i="14" s="1"/>
  <c r="E1821" i="14" s="1"/>
  <c r="E1822" i="14" s="1"/>
  <c r="K1818" i="14"/>
  <c r="K1819" i="14" s="1"/>
  <c r="K1821" i="14" s="1"/>
  <c r="K1822" i="14" s="1"/>
  <c r="F1818" i="14"/>
  <c r="F1819" i="14" s="1"/>
  <c r="F1821" i="14" s="1"/>
  <c r="F1822" i="14" s="1"/>
  <c r="G1818" i="14"/>
  <c r="G1819" i="14" s="1"/>
  <c r="G1821" i="14" s="1"/>
  <c r="G1822" i="14" s="1"/>
  <c r="H1818" i="14"/>
  <c r="H1819" i="14" s="1"/>
  <c r="H1821" i="14" s="1"/>
  <c r="H1822" i="14" s="1"/>
  <c r="J1818" i="14"/>
  <c r="J1819" i="14" s="1"/>
  <c r="J1821" i="14" s="1"/>
  <c r="J1822" i="14" s="1"/>
  <c r="M1818" i="14"/>
  <c r="M1819" i="14" s="1"/>
  <c r="M1821" i="14" s="1"/>
  <c r="M1822" i="14" s="1"/>
  <c r="D1864" i="14"/>
  <c r="K1864" i="14"/>
  <c r="K1865" i="14" s="1"/>
  <c r="K1867" i="14" s="1"/>
  <c r="K1868" i="14" s="1"/>
  <c r="M1864" i="14"/>
  <c r="M1865" i="14" s="1"/>
  <c r="M1867" i="14" s="1"/>
  <c r="M1868" i="14" s="1"/>
  <c r="G1864" i="14"/>
  <c r="G1865" i="14" s="1"/>
  <c r="G1867" i="14" s="1"/>
  <c r="G1868" i="14" s="1"/>
  <c r="I1864" i="14"/>
  <c r="I1865" i="14" s="1"/>
  <c r="I1867" i="14" s="1"/>
  <c r="I1868" i="14" s="1"/>
  <c r="J1864" i="14"/>
  <c r="J1865" i="14" s="1"/>
  <c r="J1867" i="14" s="1"/>
  <c r="J1868" i="14" s="1"/>
  <c r="L1864" i="14"/>
  <c r="L1865" i="14" s="1"/>
  <c r="L1867" i="14" s="1"/>
  <c r="L1868" i="14" s="1"/>
  <c r="E1864" i="14"/>
  <c r="E1865" i="14" s="1"/>
  <c r="E1867" i="14" s="1"/>
  <c r="E1868" i="14" s="1"/>
  <c r="F1864" i="14"/>
  <c r="F1865" i="14" s="1"/>
  <c r="F1867" i="14" s="1"/>
  <c r="F1868" i="14" s="1"/>
  <c r="H1864" i="14"/>
  <c r="H1865" i="14" s="1"/>
  <c r="H1867" i="14" s="1"/>
  <c r="H1868" i="14" s="1"/>
  <c r="D3612" i="6"/>
  <c r="E3612" i="6"/>
  <c r="E3613" i="6" s="1"/>
  <c r="E3615" i="6" s="1"/>
  <c r="E3616" i="6" s="1"/>
  <c r="F3612" i="6"/>
  <c r="F3613" i="6" s="1"/>
  <c r="F3615" i="6" s="1"/>
  <c r="F3616" i="6" s="1"/>
  <c r="G3612" i="6"/>
  <c r="G3613" i="6" s="1"/>
  <c r="G3615" i="6" s="1"/>
  <c r="G3616" i="6" s="1"/>
  <c r="H3612" i="6"/>
  <c r="H3613" i="6" s="1"/>
  <c r="H3615" i="6" s="1"/>
  <c r="H3616" i="6" s="1"/>
  <c r="I3612" i="6"/>
  <c r="I3613" i="6" s="1"/>
  <c r="I3615" i="6" s="1"/>
  <c r="I3616" i="6" s="1"/>
  <c r="J3612" i="6"/>
  <c r="J3613" i="6" s="1"/>
  <c r="J3615" i="6" s="1"/>
  <c r="J3616" i="6" s="1"/>
  <c r="K3612" i="6"/>
  <c r="K3613" i="6" s="1"/>
  <c r="K3615" i="6" s="1"/>
  <c r="K3616" i="6" s="1"/>
  <c r="L3612" i="6"/>
  <c r="L3613" i="6" s="1"/>
  <c r="L3615" i="6" s="1"/>
  <c r="L3616" i="6" s="1"/>
  <c r="M3612" i="6"/>
  <c r="M3613" i="6" s="1"/>
  <c r="M3615" i="6" s="1"/>
  <c r="M3616" i="6" s="1"/>
  <c r="D3750" i="6"/>
  <c r="H3750" i="6"/>
  <c r="H3751" i="6" s="1"/>
  <c r="H3753" i="6" s="1"/>
  <c r="H3754" i="6" s="1"/>
  <c r="G3750" i="6"/>
  <c r="G3751" i="6" s="1"/>
  <c r="G3753" i="6" s="1"/>
  <c r="G3754" i="6" s="1"/>
  <c r="E3750" i="6"/>
  <c r="E3751" i="6" s="1"/>
  <c r="E3753" i="6" s="1"/>
  <c r="E3754" i="6" s="1"/>
  <c r="K3750" i="6"/>
  <c r="K3751" i="6" s="1"/>
  <c r="K3753" i="6" s="1"/>
  <c r="K3754" i="6" s="1"/>
  <c r="L3750" i="6"/>
  <c r="L3751" i="6" s="1"/>
  <c r="L3753" i="6" s="1"/>
  <c r="L3754" i="6" s="1"/>
  <c r="J3750" i="6"/>
  <c r="J3751" i="6" s="1"/>
  <c r="J3753" i="6" s="1"/>
  <c r="J3754" i="6" s="1"/>
  <c r="F3750" i="6"/>
  <c r="F3751" i="6" s="1"/>
  <c r="F3753" i="6"/>
  <c r="F3754" i="6" s="1"/>
  <c r="I3750" i="6"/>
  <c r="I3751" i="6" s="1"/>
  <c r="I3753" i="6" s="1"/>
  <c r="I3754" i="6" s="1"/>
  <c r="M3750" i="6"/>
  <c r="M3751" i="6" s="1"/>
  <c r="M3753" i="6" s="1"/>
  <c r="M3754" i="6" s="1"/>
  <c r="D3796" i="6"/>
  <c r="F3796" i="6"/>
  <c r="F3797" i="6" s="1"/>
  <c r="F3799" i="6" s="1"/>
  <c r="F3800" i="6" s="1"/>
  <c r="E3796" i="6"/>
  <c r="E3797" i="6" s="1"/>
  <c r="E3799" i="6" s="1"/>
  <c r="E3800" i="6" s="1"/>
  <c r="I3796" i="6"/>
  <c r="I3797" i="6" s="1"/>
  <c r="I3799" i="6" s="1"/>
  <c r="I3800" i="6" s="1"/>
  <c r="M3796" i="6"/>
  <c r="M3797" i="6" s="1"/>
  <c r="M3799" i="6" s="1"/>
  <c r="M3800" i="6" s="1"/>
  <c r="G3796" i="6"/>
  <c r="G3797" i="6" s="1"/>
  <c r="G3799" i="6" s="1"/>
  <c r="G3800" i="6" s="1"/>
  <c r="L3796" i="6"/>
  <c r="L3797" i="6" s="1"/>
  <c r="L3799" i="6" s="1"/>
  <c r="L3800" i="6" s="1"/>
  <c r="K3796" i="6"/>
  <c r="K3797" i="6" s="1"/>
  <c r="K3799" i="6" s="1"/>
  <c r="K3800" i="6" s="1"/>
  <c r="J3796" i="6"/>
  <c r="J3797" i="6" s="1"/>
  <c r="J3799" i="6" s="1"/>
  <c r="J3800" i="6" s="1"/>
  <c r="H3796" i="6"/>
  <c r="H3797" i="6" s="1"/>
  <c r="H3799" i="6" s="1"/>
  <c r="H3800" i="6" s="1"/>
  <c r="D1910" i="14"/>
  <c r="M1910" i="14"/>
  <c r="M1911" i="14" s="1"/>
  <c r="M1913" i="14" s="1"/>
  <c r="M1914" i="14" s="1"/>
  <c r="I1910" i="14"/>
  <c r="I1911" i="14" s="1"/>
  <c r="I1913" i="14" s="1"/>
  <c r="I1914" i="14" s="1"/>
  <c r="L1910" i="14"/>
  <c r="L1911" i="14" s="1"/>
  <c r="L1913" i="14" s="1"/>
  <c r="L1914" i="14" s="1"/>
  <c r="E1910" i="14"/>
  <c r="E1911" i="14" s="1"/>
  <c r="E1913" i="14" s="1"/>
  <c r="E1914" i="14" s="1"/>
  <c r="F1910" i="14"/>
  <c r="F1911" i="14" s="1"/>
  <c r="F1913" i="14" s="1"/>
  <c r="F1914" i="14" s="1"/>
  <c r="G1910" i="14"/>
  <c r="G1911" i="14" s="1"/>
  <c r="G1913" i="14" s="1"/>
  <c r="G1914" i="14" s="1"/>
  <c r="H1910" i="14"/>
  <c r="H1911" i="14" s="1"/>
  <c r="H1913" i="14" s="1"/>
  <c r="H1914" i="14" s="1"/>
  <c r="K1910" i="14"/>
  <c r="K1911" i="14" s="1"/>
  <c r="K1913" i="14" s="1"/>
  <c r="K1914" i="14" s="1"/>
  <c r="J1910" i="14"/>
  <c r="J1911" i="14" s="1"/>
  <c r="J1913" i="14" s="1"/>
  <c r="J1914" i="14" s="1"/>
  <c r="D1956" i="14"/>
  <c r="J1956" i="14"/>
  <c r="J1957" i="14" s="1"/>
  <c r="J1959" i="14" s="1"/>
  <c r="J1960" i="14" s="1"/>
  <c r="M1956" i="14"/>
  <c r="M1957" i="14" s="1"/>
  <c r="M1959" i="14" s="1"/>
  <c r="M1960" i="14" s="1"/>
  <c r="H1956" i="14"/>
  <c r="H1957" i="14" s="1"/>
  <c r="H1959" i="14" s="1"/>
  <c r="H1960" i="14" s="1"/>
  <c r="I1956" i="14"/>
  <c r="I1957" i="14" s="1"/>
  <c r="I1959" i="14" s="1"/>
  <c r="I1960" i="14" s="1"/>
  <c r="L1956" i="14"/>
  <c r="L1957" i="14" s="1"/>
  <c r="L1959" i="14" s="1"/>
  <c r="L1960" i="14" s="1"/>
  <c r="G1956" i="14"/>
  <c r="G1957" i="14" s="1"/>
  <c r="G1959" i="14" s="1"/>
  <c r="G1960" i="14" s="1"/>
  <c r="E1956" i="14"/>
  <c r="E1957" i="14" s="1"/>
  <c r="E1959" i="14" s="1"/>
  <c r="E1960" i="14" s="1"/>
  <c r="F1956" i="14"/>
  <c r="F1957" i="14" s="1"/>
  <c r="F1959" i="14" s="1"/>
  <c r="F1960" i="14" s="1"/>
  <c r="K1956" i="14"/>
  <c r="K1957" i="14" s="1"/>
  <c r="K1959" i="14" s="1"/>
  <c r="K1960" i="14" s="1"/>
  <c r="D2002" i="14"/>
  <c r="E2002" i="14"/>
  <c r="E2003" i="14" s="1"/>
  <c r="E2005" i="14" s="1"/>
  <c r="E2006" i="14" s="1"/>
  <c r="G2002" i="14"/>
  <c r="G2003" i="14" s="1"/>
  <c r="G2005" i="14" s="1"/>
  <c r="G2006" i="14" s="1"/>
  <c r="I2002" i="14"/>
  <c r="I2003" i="14" s="1"/>
  <c r="I2005" i="14" s="1"/>
  <c r="I2006" i="14" s="1"/>
  <c r="K2002" i="14"/>
  <c r="K2003" i="14" s="1"/>
  <c r="K2005" i="14" s="1"/>
  <c r="K2006" i="14" s="1"/>
  <c r="M2002" i="14"/>
  <c r="M2003" i="14" s="1"/>
  <c r="M2005" i="14" s="1"/>
  <c r="M2006" i="14" s="1"/>
  <c r="F2002" i="14"/>
  <c r="F2003" i="14" s="1"/>
  <c r="F2005" i="14" s="1"/>
  <c r="F2006" i="14" s="1"/>
  <c r="L2002" i="14"/>
  <c r="L2003" i="14" s="1"/>
  <c r="L2005" i="14" s="1"/>
  <c r="L2006" i="14" s="1"/>
  <c r="H2002" i="14"/>
  <c r="H2003" i="14" s="1"/>
  <c r="H2005" i="14" s="1"/>
  <c r="H2006" i="14" s="1"/>
  <c r="J2002" i="14"/>
  <c r="J2003" i="14" s="1"/>
  <c r="J2005" i="14" s="1"/>
  <c r="J2006" i="14" s="1"/>
  <c r="D2048" i="14"/>
  <c r="E2048" i="14"/>
  <c r="E2049" i="14" s="1"/>
  <c r="E2051" i="14" s="1"/>
  <c r="E2052" i="14" s="1"/>
  <c r="K2048" i="14"/>
  <c r="K2049" i="14" s="1"/>
  <c r="K2051" i="14" s="1"/>
  <c r="K2052" i="14" s="1"/>
  <c r="M2048" i="14"/>
  <c r="M2049" i="14" s="1"/>
  <c r="M2051" i="14" s="1"/>
  <c r="M2052" i="14" s="1"/>
  <c r="F2048" i="14"/>
  <c r="F2049" i="14" s="1"/>
  <c r="F2051" i="14" s="1"/>
  <c r="F2052" i="14" s="1"/>
  <c r="G2048" i="14"/>
  <c r="G2049" i="14" s="1"/>
  <c r="G2051" i="14" s="1"/>
  <c r="G2052" i="14" s="1"/>
  <c r="H2048" i="14"/>
  <c r="H2049" i="14" s="1"/>
  <c r="H2051" i="14" s="1"/>
  <c r="H2052" i="14" s="1"/>
  <c r="I2048" i="14"/>
  <c r="I2049" i="14" s="1"/>
  <c r="I2051" i="14" s="1"/>
  <c r="I2052" i="14" s="1"/>
  <c r="J2048" i="14"/>
  <c r="J2049" i="14" s="1"/>
  <c r="J2051" i="14" s="1"/>
  <c r="J2052" i="14" s="1"/>
  <c r="L2048" i="14"/>
  <c r="L2049" i="14" s="1"/>
  <c r="L2051" i="14" s="1"/>
  <c r="L2052" i="14" s="1"/>
  <c r="E51" i="15"/>
  <c r="D30" i="1"/>
  <c r="D2094" i="14"/>
  <c r="E2094" i="14"/>
  <c r="E2095" i="14" s="1"/>
  <c r="E2097" i="14" s="1"/>
  <c r="E2098" i="14" s="1"/>
  <c r="I2094" i="14"/>
  <c r="I2095" i="14" s="1"/>
  <c r="I2097" i="14" s="1"/>
  <c r="I2098" i="14" s="1"/>
  <c r="M2094" i="14"/>
  <c r="M2095" i="14" s="1"/>
  <c r="M2097" i="14" s="1"/>
  <c r="M2098" i="14" s="1"/>
  <c r="G2094" i="14"/>
  <c r="G2095" i="14" s="1"/>
  <c r="G2097" i="14" s="1"/>
  <c r="G2098" i="14" s="1"/>
  <c r="H2094" i="14"/>
  <c r="H2095" i="14" s="1"/>
  <c r="H2097" i="14" s="1"/>
  <c r="H2098" i="14" s="1"/>
  <c r="K2094" i="14"/>
  <c r="K2095" i="14" s="1"/>
  <c r="K2097" i="14" s="1"/>
  <c r="K2098" i="14" s="1"/>
  <c r="F2094" i="14"/>
  <c r="F2095" i="14" s="1"/>
  <c r="F2097" i="14" s="1"/>
  <c r="F2098" i="14" s="1"/>
  <c r="J2094" i="14"/>
  <c r="J2095" i="14" s="1"/>
  <c r="J2097" i="14" s="1"/>
  <c r="J2098" i="14" s="1"/>
  <c r="L2094" i="14"/>
  <c r="L2095" i="14" s="1"/>
  <c r="L2097" i="14" s="1"/>
  <c r="L2098" i="14" s="1"/>
  <c r="D2140" i="14"/>
  <c r="F2140" i="14"/>
  <c r="F2141" i="14" s="1"/>
  <c r="F2143" i="14" s="1"/>
  <c r="F2144" i="14" s="1"/>
  <c r="I2140" i="14"/>
  <c r="I2141" i="14" s="1"/>
  <c r="I2143" i="14" s="1"/>
  <c r="I2144" i="14" s="1"/>
  <c r="J2140" i="14"/>
  <c r="J2141" i="14" s="1"/>
  <c r="J2143" i="14" s="1"/>
  <c r="J2144" i="14" s="1"/>
  <c r="E2140" i="14"/>
  <c r="E2141" i="14" s="1"/>
  <c r="E2143" i="14" s="1"/>
  <c r="E2144" i="14" s="1"/>
  <c r="K2140" i="14"/>
  <c r="K2141" i="14" s="1"/>
  <c r="K2143" i="14" s="1"/>
  <c r="K2144" i="14" s="1"/>
  <c r="M2140" i="14"/>
  <c r="M2141" i="14" s="1"/>
  <c r="M2143" i="14" s="1"/>
  <c r="M2144" i="14" s="1"/>
  <c r="G2140" i="14"/>
  <c r="G2141" i="14" s="1"/>
  <c r="G2143" i="14" s="1"/>
  <c r="G2144" i="14" s="1"/>
  <c r="H2140" i="14"/>
  <c r="H2141" i="14" s="1"/>
  <c r="H2143" i="14" s="1"/>
  <c r="H2144" i="14" s="1"/>
  <c r="L2140" i="14"/>
  <c r="L2141" i="14" s="1"/>
  <c r="L2143" i="14" s="1"/>
  <c r="L2144" i="14" s="1"/>
  <c r="D2324" i="14"/>
  <c r="H2324" i="14"/>
  <c r="H2325" i="14" s="1"/>
  <c r="H2327" i="14" s="1"/>
  <c r="H2328" i="14" s="1"/>
  <c r="I2324" i="14"/>
  <c r="I2325" i="14" s="1"/>
  <c r="I2327" i="14" s="1"/>
  <c r="I2328" i="14" s="1"/>
  <c r="J2324" i="14"/>
  <c r="J2325" i="14" s="1"/>
  <c r="J2327" i="14" s="1"/>
  <c r="J2328" i="14" s="1"/>
  <c r="E2324" i="14"/>
  <c r="E2325" i="14" s="1"/>
  <c r="E2327" i="14" s="1"/>
  <c r="E2328" i="14" s="1"/>
  <c r="M2324" i="14"/>
  <c r="M2325" i="14" s="1"/>
  <c r="M2327" i="14" s="1"/>
  <c r="M2328" i="14" s="1"/>
  <c r="K2324" i="14"/>
  <c r="K2325" i="14" s="1"/>
  <c r="K2327" i="14" s="1"/>
  <c r="K2328" i="14" s="1"/>
  <c r="L2324" i="14"/>
  <c r="L2325" i="14" s="1"/>
  <c r="L2327" i="14" s="1"/>
  <c r="L2328" i="14" s="1"/>
  <c r="F2324" i="14"/>
  <c r="F2325" i="14" s="1"/>
  <c r="F2327" i="14" s="1"/>
  <c r="F2328" i="14" s="1"/>
  <c r="G2324" i="14"/>
  <c r="G2325" i="14" s="1"/>
  <c r="G2327" i="14" s="1"/>
  <c r="G2328" i="14" s="1"/>
  <c r="D2370" i="14"/>
  <c r="E2370" i="14"/>
  <c r="E2371" i="14" s="1"/>
  <c r="E2373" i="14" s="1"/>
  <c r="E2374" i="14" s="1"/>
  <c r="H2370" i="14"/>
  <c r="H2371" i="14" s="1"/>
  <c r="H2373" i="14" s="1"/>
  <c r="H2374" i="14" s="1"/>
  <c r="J2370" i="14"/>
  <c r="J2371" i="14" s="1"/>
  <c r="J2373" i="14" s="1"/>
  <c r="J2374" i="14" s="1"/>
  <c r="F2370" i="14"/>
  <c r="F2371" i="14" s="1"/>
  <c r="F2373" i="14" s="1"/>
  <c r="F2374" i="14" s="1"/>
  <c r="G2370" i="14"/>
  <c r="G2371" i="14" s="1"/>
  <c r="G2373" i="14" s="1"/>
  <c r="G2374" i="14" s="1"/>
  <c r="K2370" i="14"/>
  <c r="K2371" i="14" s="1"/>
  <c r="K2373" i="14" s="1"/>
  <c r="K2374" i="14" s="1"/>
  <c r="M2370" i="14"/>
  <c r="M2371" i="14" s="1"/>
  <c r="M2373" i="14" s="1"/>
  <c r="M2374" i="14" s="1"/>
  <c r="I2370" i="14"/>
  <c r="I2371" i="14" s="1"/>
  <c r="I2373" i="14" s="1"/>
  <c r="I2374" i="14" s="1"/>
  <c r="L2370" i="14"/>
  <c r="L2371" i="14" s="1"/>
  <c r="L2373" i="14" s="1"/>
  <c r="L2374" i="14" s="1"/>
  <c r="D2416" i="14"/>
  <c r="G2416" i="14"/>
  <c r="G2417" i="14" s="1"/>
  <c r="G2419" i="14" s="1"/>
  <c r="G2420" i="14" s="1"/>
  <c r="F2416" i="14"/>
  <c r="F2417" i="14" s="1"/>
  <c r="F2419" i="14" s="1"/>
  <c r="F2420" i="14" s="1"/>
  <c r="I2416" i="14"/>
  <c r="I2417" i="14" s="1"/>
  <c r="I2419" i="14" s="1"/>
  <c r="I2420" i="14" s="1"/>
  <c r="J2416" i="14"/>
  <c r="J2417" i="14" s="1"/>
  <c r="J2419" i="14" s="1"/>
  <c r="J2420" i="14" s="1"/>
  <c r="K2416" i="14"/>
  <c r="K2417" i="14" s="1"/>
  <c r="K2419" i="14" s="1"/>
  <c r="K2420" i="14" s="1"/>
  <c r="M2416" i="14"/>
  <c r="M2417" i="14" s="1"/>
  <c r="M2419" i="14" s="1"/>
  <c r="M2420" i="14" s="1"/>
  <c r="E2416" i="14"/>
  <c r="E2417" i="14" s="1"/>
  <c r="E2419" i="14" s="1"/>
  <c r="E2420" i="14" s="1"/>
  <c r="H2416" i="14"/>
  <c r="H2417" i="14" s="1"/>
  <c r="H2419" i="14" s="1"/>
  <c r="H2420" i="14" s="1"/>
  <c r="L2416" i="14"/>
  <c r="L2417" i="14" s="1"/>
  <c r="L2419" i="14" s="1"/>
  <c r="L2420" i="14" s="1"/>
  <c r="D2462" i="14"/>
  <c r="E2462" i="14"/>
  <c r="E2463" i="14" s="1"/>
  <c r="E2465" i="14" s="1"/>
  <c r="E2466" i="14" s="1"/>
  <c r="F2462" i="14"/>
  <c r="F2463" i="14" s="1"/>
  <c r="F2465" i="14" s="1"/>
  <c r="F2466" i="14" s="1"/>
  <c r="G2462" i="14"/>
  <c r="G2463" i="14" s="1"/>
  <c r="G2465" i="14" s="1"/>
  <c r="G2466" i="14" s="1"/>
  <c r="H2462" i="14"/>
  <c r="H2463" i="14" s="1"/>
  <c r="H2465" i="14" s="1"/>
  <c r="H2466" i="14" s="1"/>
  <c r="I2462" i="14"/>
  <c r="I2463" i="14" s="1"/>
  <c r="I2465" i="14" s="1"/>
  <c r="I2466" i="14" s="1"/>
  <c r="J2462" i="14"/>
  <c r="J2463" i="14" s="1"/>
  <c r="J2465" i="14" s="1"/>
  <c r="J2466" i="14" s="1"/>
  <c r="K2462" i="14"/>
  <c r="K2463" i="14" s="1"/>
  <c r="K2465" i="14" s="1"/>
  <c r="K2466" i="14" s="1"/>
  <c r="L2462" i="14"/>
  <c r="L2463" i="14" s="1"/>
  <c r="L2465" i="14" s="1"/>
  <c r="L2466" i="14" s="1"/>
  <c r="M2462" i="14"/>
  <c r="M2463" i="14" s="1"/>
  <c r="M2465" i="14" s="1"/>
  <c r="M2466" i="14" s="1"/>
  <c r="D2554" i="14"/>
  <c r="E2554" i="14"/>
  <c r="E2555" i="14" s="1"/>
  <c r="E2557" i="14" s="1"/>
  <c r="E2558" i="14" s="1"/>
  <c r="F2554" i="14"/>
  <c r="F2555" i="14" s="1"/>
  <c r="F2557" i="14" s="1"/>
  <c r="F2558" i="14" s="1"/>
  <c r="G2554" i="14"/>
  <c r="G2555" i="14" s="1"/>
  <c r="G2557" i="14" s="1"/>
  <c r="G2558" i="14" s="1"/>
  <c r="H2554" i="14"/>
  <c r="H2555" i="14" s="1"/>
  <c r="H2557" i="14" s="1"/>
  <c r="H2558" i="14" s="1"/>
  <c r="I2554" i="14"/>
  <c r="I2555" i="14" s="1"/>
  <c r="I2557" i="14" s="1"/>
  <c r="I2558" i="14" s="1"/>
  <c r="J2554" i="14"/>
  <c r="J2555" i="14" s="1"/>
  <c r="J2557" i="14" s="1"/>
  <c r="J2558" i="14" s="1"/>
  <c r="K2554" i="14"/>
  <c r="K2555" i="14" s="1"/>
  <c r="K2557" i="14" s="1"/>
  <c r="K2558" i="14" s="1"/>
  <c r="L2554" i="14"/>
  <c r="L2555" i="14" s="1"/>
  <c r="L2557" i="14" s="1"/>
  <c r="L2558" i="14" s="1"/>
  <c r="M2554" i="14"/>
  <c r="M2555" i="14" s="1"/>
  <c r="M2557" i="14" s="1"/>
  <c r="M2558" i="14" s="1"/>
  <c r="D2646" i="14"/>
  <c r="E2646" i="14"/>
  <c r="E2647" i="14" s="1"/>
  <c r="E2649" i="14" s="1"/>
  <c r="E2650" i="14" s="1"/>
  <c r="F2646" i="14"/>
  <c r="F2647" i="14" s="1"/>
  <c r="F2649" i="14" s="1"/>
  <c r="F2650" i="14" s="1"/>
  <c r="G2646" i="14"/>
  <c r="G2647" i="14" s="1"/>
  <c r="G2649" i="14" s="1"/>
  <c r="G2650" i="14" s="1"/>
  <c r="H2646" i="14"/>
  <c r="H2647" i="14" s="1"/>
  <c r="H2649" i="14" s="1"/>
  <c r="H2650" i="14" s="1"/>
  <c r="I2646" i="14"/>
  <c r="I2647" i="14" s="1"/>
  <c r="I2649" i="14" s="1"/>
  <c r="I2650" i="14" s="1"/>
  <c r="J2646" i="14"/>
  <c r="J2647" i="14" s="1"/>
  <c r="J2649" i="14" s="1"/>
  <c r="J2650" i="14" s="1"/>
  <c r="K2646" i="14"/>
  <c r="K2647" i="14" s="1"/>
  <c r="K2649" i="14" s="1"/>
  <c r="K2650" i="14" s="1"/>
  <c r="L2646" i="14"/>
  <c r="L2647" i="14" s="1"/>
  <c r="L2649" i="14" s="1"/>
  <c r="L2650" i="14" s="1"/>
  <c r="M2646" i="14"/>
  <c r="M2647" i="14" s="1"/>
  <c r="M2649" i="14" s="1"/>
  <c r="M2650" i="14" s="1"/>
  <c r="D2784" i="14"/>
  <c r="E2784" i="14"/>
  <c r="E2785" i="14" s="1"/>
  <c r="E2787" i="14" s="1"/>
  <c r="E2788" i="14" s="1"/>
  <c r="F2784" i="14"/>
  <c r="F2785" i="14" s="1"/>
  <c r="F2787" i="14" s="1"/>
  <c r="F2788" i="14" s="1"/>
  <c r="G2784" i="14"/>
  <c r="G2785" i="14" s="1"/>
  <c r="G2787" i="14" s="1"/>
  <c r="G2788" i="14" s="1"/>
  <c r="H2784" i="14"/>
  <c r="H2785" i="14" s="1"/>
  <c r="H2787" i="14" s="1"/>
  <c r="H2788" i="14" s="1"/>
  <c r="I2784" i="14"/>
  <c r="I2785" i="14" s="1"/>
  <c r="I2787" i="14" s="1"/>
  <c r="I2788" i="14" s="1"/>
  <c r="J2784" i="14"/>
  <c r="J2785" i="14" s="1"/>
  <c r="J2787" i="14" s="1"/>
  <c r="J2788" i="14" s="1"/>
  <c r="K2784" i="14"/>
  <c r="K2785" i="14" s="1"/>
  <c r="K2787" i="14" s="1"/>
  <c r="K2788" i="14" s="1"/>
  <c r="L2784" i="14"/>
  <c r="L2785" i="14" s="1"/>
  <c r="L2787" i="14" s="1"/>
  <c r="L2788" i="14" s="1"/>
  <c r="M2784" i="14"/>
  <c r="M2785" i="14" s="1"/>
  <c r="M2787" i="14" s="1"/>
  <c r="M2788" i="14" s="1"/>
  <c r="D2922" i="14"/>
  <c r="E2922" i="14"/>
  <c r="E2923" i="14" s="1"/>
  <c r="E2925" i="14" s="1"/>
  <c r="E2926" i="14" s="1"/>
  <c r="F2922" i="14"/>
  <c r="F2923" i="14" s="1"/>
  <c r="F2925" i="14" s="1"/>
  <c r="F2926" i="14" s="1"/>
  <c r="G2922" i="14"/>
  <c r="G2923" i="14" s="1"/>
  <c r="G2925" i="14" s="1"/>
  <c r="G2926" i="14" s="1"/>
  <c r="H2922" i="14"/>
  <c r="H2923" i="14" s="1"/>
  <c r="H2925" i="14" s="1"/>
  <c r="H2926" i="14" s="1"/>
  <c r="I2922" i="14"/>
  <c r="I2923" i="14" s="1"/>
  <c r="I2925" i="14" s="1"/>
  <c r="I2926" i="14" s="1"/>
  <c r="J2922" i="14"/>
  <c r="J2923" i="14" s="1"/>
  <c r="J2925" i="14" s="1"/>
  <c r="J2926" i="14" s="1"/>
  <c r="K2922" i="14"/>
  <c r="K2923" i="14" s="1"/>
  <c r="K2925" i="14" s="1"/>
  <c r="K2926" i="14" s="1"/>
  <c r="L2922" i="14"/>
  <c r="L2923" i="14" s="1"/>
  <c r="L2925" i="14" s="1"/>
  <c r="L2926" i="14" s="1"/>
  <c r="M2922" i="14"/>
  <c r="M2923" i="14" s="1"/>
  <c r="M2925" i="14" s="1"/>
  <c r="M2926" i="14" s="1"/>
  <c r="D3060" i="14"/>
  <c r="E3060" i="14"/>
  <c r="E3061" i="14" s="1"/>
  <c r="E3063" i="14" s="1"/>
  <c r="E3064" i="14" s="1"/>
  <c r="F3060" i="14"/>
  <c r="F3061" i="14" s="1"/>
  <c r="F3063" i="14" s="1"/>
  <c r="F3064" i="14" s="1"/>
  <c r="G3060" i="14"/>
  <c r="G3061" i="14" s="1"/>
  <c r="G3063" i="14" s="1"/>
  <c r="G3064" i="14" s="1"/>
  <c r="H3060" i="14"/>
  <c r="H3061" i="14" s="1"/>
  <c r="H3063" i="14" s="1"/>
  <c r="H3064" i="14" s="1"/>
  <c r="I3060" i="14"/>
  <c r="I3061" i="14" s="1"/>
  <c r="I3063" i="14" s="1"/>
  <c r="I3064" i="14" s="1"/>
  <c r="J3060" i="14"/>
  <c r="J3061" i="14" s="1"/>
  <c r="J3063" i="14" s="1"/>
  <c r="J3064" i="14" s="1"/>
  <c r="K3060" i="14"/>
  <c r="K3061" i="14" s="1"/>
  <c r="K3063" i="14" s="1"/>
  <c r="K3064" i="14" s="1"/>
  <c r="L3060" i="14"/>
  <c r="L3061" i="14" s="1"/>
  <c r="L3063" i="14" s="1"/>
  <c r="L3064" i="14" s="1"/>
  <c r="M3060" i="14"/>
  <c r="M3061" i="14" s="1"/>
  <c r="M3063" i="14" s="1"/>
  <c r="M3064" i="14" s="1"/>
  <c r="D3106" i="14"/>
  <c r="E3106" i="14"/>
  <c r="E3107" i="14" s="1"/>
  <c r="E3109" i="14" s="1"/>
  <c r="E3110" i="14" s="1"/>
  <c r="F3106" i="14"/>
  <c r="F3107" i="14" s="1"/>
  <c r="F3109" i="14" s="1"/>
  <c r="F3110" i="14" s="1"/>
  <c r="G3106" i="14"/>
  <c r="G3107" i="14" s="1"/>
  <c r="G3109" i="14" s="1"/>
  <c r="G3110" i="14" s="1"/>
  <c r="H3106" i="14"/>
  <c r="H3107" i="14" s="1"/>
  <c r="H3109" i="14" s="1"/>
  <c r="H3110" i="14" s="1"/>
  <c r="I3106" i="14"/>
  <c r="I3107" i="14" s="1"/>
  <c r="I3109" i="14" s="1"/>
  <c r="I3110" i="14" s="1"/>
  <c r="J3106" i="14"/>
  <c r="J3107" i="14" s="1"/>
  <c r="J3109" i="14" s="1"/>
  <c r="J3110" i="14" s="1"/>
  <c r="K3106" i="14"/>
  <c r="K3107" i="14" s="1"/>
  <c r="K3109" i="14" s="1"/>
  <c r="K3110" i="14" s="1"/>
  <c r="L3106" i="14"/>
  <c r="L3107" i="14" s="1"/>
  <c r="L3109" i="14" s="1"/>
  <c r="L3110" i="14" s="1"/>
  <c r="M3106" i="14"/>
  <c r="M3107" i="14" s="1"/>
  <c r="M3109" i="14" s="1"/>
  <c r="M3110" i="14" s="1"/>
  <c r="D3474" i="14"/>
  <c r="E3474" i="14"/>
  <c r="E3475" i="14" s="1"/>
  <c r="E3477" i="14" s="1"/>
  <c r="E3478" i="14" s="1"/>
  <c r="F3474" i="14"/>
  <c r="F3475" i="14" s="1"/>
  <c r="F3477" i="14" s="1"/>
  <c r="F3478" i="14" s="1"/>
  <c r="G3474" i="14"/>
  <c r="G3475" i="14" s="1"/>
  <c r="G3477" i="14" s="1"/>
  <c r="G3478" i="14" s="1"/>
  <c r="H3474" i="14"/>
  <c r="H3475" i="14" s="1"/>
  <c r="H3477" i="14" s="1"/>
  <c r="H3478" i="14" s="1"/>
  <c r="I3474" i="14"/>
  <c r="I3475" i="14" s="1"/>
  <c r="I3477" i="14" s="1"/>
  <c r="I3478" i="14" s="1"/>
  <c r="J3474" i="14"/>
  <c r="J3475" i="14" s="1"/>
  <c r="J3477" i="14" s="1"/>
  <c r="J3478" i="14" s="1"/>
  <c r="K3474" i="14"/>
  <c r="K3475" i="14" s="1"/>
  <c r="K3477" i="14" s="1"/>
  <c r="K3478" i="14" s="1"/>
  <c r="L3474" i="14"/>
  <c r="L3475" i="14" s="1"/>
  <c r="L3477" i="14" s="1"/>
  <c r="L3478" i="14" s="1"/>
  <c r="M3474" i="14"/>
  <c r="M3475" i="14" s="1"/>
  <c r="M3477" i="14" s="1"/>
  <c r="M3478" i="14" s="1"/>
  <c r="D3244" i="14"/>
  <c r="E3244" i="14"/>
  <c r="E3245" i="14" s="1"/>
  <c r="E3247" i="14" s="1"/>
  <c r="E3248" i="14" s="1"/>
  <c r="F3244" i="14"/>
  <c r="F3245" i="14" s="1"/>
  <c r="F3247" i="14" s="1"/>
  <c r="F3248" i="14" s="1"/>
  <c r="G3244" i="14"/>
  <c r="G3245" i="14" s="1"/>
  <c r="G3247" i="14" s="1"/>
  <c r="G3248" i="14" s="1"/>
  <c r="H3244" i="14"/>
  <c r="H3245" i="14" s="1"/>
  <c r="H3247" i="14" s="1"/>
  <c r="H3248" i="14" s="1"/>
  <c r="I3244" i="14"/>
  <c r="I3245" i="14" s="1"/>
  <c r="I3247" i="14" s="1"/>
  <c r="I3248" i="14" s="1"/>
  <c r="J3244" i="14"/>
  <c r="J3245" i="14" s="1"/>
  <c r="J3247" i="14" s="1"/>
  <c r="J3248" i="14" s="1"/>
  <c r="K3244" i="14"/>
  <c r="K3245" i="14" s="1"/>
  <c r="K3247" i="14" s="1"/>
  <c r="K3248" i="14" s="1"/>
  <c r="L3244" i="14"/>
  <c r="L3245" i="14" s="1"/>
  <c r="L3247" i="14" s="1"/>
  <c r="L3248" i="14" s="1"/>
  <c r="M3244" i="14"/>
  <c r="M3245" i="14" s="1"/>
  <c r="M3247" i="14" s="1"/>
  <c r="M3248" i="14" s="1"/>
  <c r="K3290" i="14"/>
  <c r="K3291" i="14" s="1"/>
  <c r="K3293" i="14" s="1"/>
  <c r="K3294" i="14" s="1"/>
  <c r="D3290" i="14"/>
  <c r="E3290" i="14"/>
  <c r="E3291" i="14" s="1"/>
  <c r="E3293" i="14" s="1"/>
  <c r="E3294" i="14" s="1"/>
  <c r="F3290" i="14"/>
  <c r="F3291" i="14" s="1"/>
  <c r="F3293" i="14" s="1"/>
  <c r="F3294" i="14" s="1"/>
  <c r="G3290" i="14"/>
  <c r="G3291" i="14" s="1"/>
  <c r="G3293" i="14" s="1"/>
  <c r="G3294" i="14" s="1"/>
  <c r="H3290" i="14"/>
  <c r="H3291" i="14" s="1"/>
  <c r="H3293" i="14" s="1"/>
  <c r="H3294" i="14" s="1"/>
  <c r="I3290" i="14"/>
  <c r="I3291" i="14" s="1"/>
  <c r="I3293" i="14" s="1"/>
  <c r="I3294" i="14" s="1"/>
  <c r="J3290" i="14"/>
  <c r="J3291" i="14" s="1"/>
  <c r="J3293" i="14" s="1"/>
  <c r="J3294" i="14" s="1"/>
  <c r="L3290" i="14"/>
  <c r="L3291" i="14" s="1"/>
  <c r="L3293" i="14" s="1"/>
  <c r="L3294" i="14" s="1"/>
  <c r="M3290" i="14"/>
  <c r="M3291" i="14" s="1"/>
  <c r="M3293" i="14" s="1"/>
  <c r="M3294" i="14" s="1"/>
  <c r="D3336" i="14"/>
  <c r="E3336" i="14"/>
  <c r="E3337" i="14" s="1"/>
  <c r="E3339" i="14" s="1"/>
  <c r="E3340" i="14" s="1"/>
  <c r="F3336" i="14"/>
  <c r="F3337" i="14" s="1"/>
  <c r="F3339" i="14" s="1"/>
  <c r="F3340" i="14" s="1"/>
  <c r="G3336" i="14"/>
  <c r="G3337" i="14" s="1"/>
  <c r="G3339" i="14" s="1"/>
  <c r="G3340" i="14" s="1"/>
  <c r="H3336" i="14"/>
  <c r="H3337" i="14" s="1"/>
  <c r="H3339" i="14" s="1"/>
  <c r="H3340" i="14" s="1"/>
  <c r="I3336" i="14"/>
  <c r="I3337" i="14" s="1"/>
  <c r="I3339" i="14" s="1"/>
  <c r="I3340" i="14" s="1"/>
  <c r="J3336" i="14"/>
  <c r="J3337" i="14" s="1"/>
  <c r="J3339" i="14" s="1"/>
  <c r="J3340" i="14" s="1"/>
  <c r="K3336" i="14"/>
  <c r="K3337" i="14" s="1"/>
  <c r="K3339" i="14" s="1"/>
  <c r="K3340" i="14" s="1"/>
  <c r="L3336" i="14"/>
  <c r="L3337" i="14" s="1"/>
  <c r="L3339" i="14" s="1"/>
  <c r="L3340" i="14" s="1"/>
  <c r="M3336" i="14"/>
  <c r="M3337" i="14" s="1"/>
  <c r="M3339" i="14" s="1"/>
  <c r="M3340" i="14" s="1"/>
  <c r="D3382" i="14"/>
  <c r="E3382" i="14"/>
  <c r="E3383" i="14" s="1"/>
  <c r="E3385" i="14" s="1"/>
  <c r="E3386" i="14" s="1"/>
  <c r="F3382" i="14"/>
  <c r="F3383" i="14" s="1"/>
  <c r="F3385" i="14" s="1"/>
  <c r="F3386" i="14" s="1"/>
  <c r="G3382" i="14"/>
  <c r="G3383" i="14" s="1"/>
  <c r="G3385" i="14" s="1"/>
  <c r="G3386" i="14" s="1"/>
  <c r="H3382" i="14"/>
  <c r="H3383" i="14" s="1"/>
  <c r="H3385" i="14" s="1"/>
  <c r="H3386" i="14" s="1"/>
  <c r="I3382" i="14"/>
  <c r="I3383" i="14" s="1"/>
  <c r="I3385" i="14" s="1"/>
  <c r="I3386" i="14" s="1"/>
  <c r="J3382" i="14"/>
  <c r="J3383" i="14" s="1"/>
  <c r="J3385" i="14" s="1"/>
  <c r="J3386" i="14" s="1"/>
  <c r="K3382" i="14"/>
  <c r="K3383" i="14" s="1"/>
  <c r="K3385" i="14" s="1"/>
  <c r="K3386" i="14" s="1"/>
  <c r="L3382" i="14"/>
  <c r="L3383" i="14" s="1"/>
  <c r="L3385" i="14" s="1"/>
  <c r="L3386" i="14" s="1"/>
  <c r="M3382" i="14"/>
  <c r="M3383" i="14" s="1"/>
  <c r="M3385" i="14" s="1"/>
  <c r="M3386" i="14" s="1"/>
  <c r="D3428" i="14"/>
  <c r="E3428" i="14"/>
  <c r="E3429" i="14" s="1"/>
  <c r="E3431" i="14" s="1"/>
  <c r="E3432" i="14" s="1"/>
  <c r="F3428" i="14"/>
  <c r="F3429" i="14" s="1"/>
  <c r="F3431" i="14" s="1"/>
  <c r="F3432" i="14" s="1"/>
  <c r="G3428" i="14"/>
  <c r="G3429" i="14" s="1"/>
  <c r="G3431" i="14" s="1"/>
  <c r="G3432" i="14" s="1"/>
  <c r="H3428" i="14"/>
  <c r="H3429" i="14" s="1"/>
  <c r="H3431" i="14" s="1"/>
  <c r="H3432" i="14" s="1"/>
  <c r="I3428" i="14"/>
  <c r="I3429" i="14" s="1"/>
  <c r="I3431" i="14" s="1"/>
  <c r="I3432" i="14" s="1"/>
  <c r="J3428" i="14"/>
  <c r="J3429" i="14" s="1"/>
  <c r="J3431" i="14" s="1"/>
  <c r="J3432" i="14" s="1"/>
  <c r="K3428" i="14"/>
  <c r="K3429" i="14" s="1"/>
  <c r="K3431" i="14" s="1"/>
  <c r="K3432" i="14" s="1"/>
  <c r="L3428" i="14"/>
  <c r="L3429" i="14" s="1"/>
  <c r="L3431" i="14" s="1"/>
  <c r="L3432" i="14" s="1"/>
  <c r="M3428" i="14"/>
  <c r="M3429" i="14" s="1"/>
  <c r="M3431" i="14" s="1"/>
  <c r="M3432" i="14" s="1"/>
  <c r="D3520" i="14"/>
  <c r="E3520" i="14"/>
  <c r="E3521" i="14" s="1"/>
  <c r="E3523" i="14" s="1"/>
  <c r="E3524" i="14" s="1"/>
  <c r="F3520" i="14"/>
  <c r="F3521" i="14" s="1"/>
  <c r="F3523" i="14" s="1"/>
  <c r="F3524" i="14" s="1"/>
  <c r="G3520" i="14"/>
  <c r="G3521" i="14" s="1"/>
  <c r="G3523" i="14" s="1"/>
  <c r="G3524" i="14" s="1"/>
  <c r="H3520" i="14"/>
  <c r="H3521" i="14" s="1"/>
  <c r="H3523" i="14" s="1"/>
  <c r="H3524" i="14" s="1"/>
  <c r="I3520" i="14"/>
  <c r="I3521" i="14" s="1"/>
  <c r="I3523" i="14" s="1"/>
  <c r="I3524" i="14" s="1"/>
  <c r="J3520" i="14"/>
  <c r="J3521" i="14" s="1"/>
  <c r="J3523" i="14" s="1"/>
  <c r="J3524" i="14" s="1"/>
  <c r="K3520" i="14"/>
  <c r="K3521" i="14" s="1"/>
  <c r="K3523" i="14" s="1"/>
  <c r="K3524" i="14" s="1"/>
  <c r="L3520" i="14"/>
  <c r="L3521" i="14" s="1"/>
  <c r="L3523" i="14" s="1"/>
  <c r="L3524" i="14" s="1"/>
  <c r="M3520" i="14"/>
  <c r="M3521" i="14" s="1"/>
  <c r="M3523" i="14" s="1"/>
  <c r="M3524" i="14" s="1"/>
  <c r="D3566" i="14"/>
  <c r="E3566" i="14"/>
  <c r="E3567" i="14" s="1"/>
  <c r="E3569" i="14" s="1"/>
  <c r="E3570" i="14" s="1"/>
  <c r="F3566" i="14"/>
  <c r="F3567" i="14" s="1"/>
  <c r="F3569" i="14" s="1"/>
  <c r="F3570" i="14" s="1"/>
  <c r="G3566" i="14"/>
  <c r="G3567" i="14" s="1"/>
  <c r="G3569" i="14" s="1"/>
  <c r="G3570" i="14" s="1"/>
  <c r="H3566" i="14"/>
  <c r="H3567" i="14" s="1"/>
  <c r="H3569" i="14" s="1"/>
  <c r="H3570" i="14" s="1"/>
  <c r="I3566" i="14"/>
  <c r="I3567" i="14" s="1"/>
  <c r="I3569" i="14" s="1"/>
  <c r="I3570" i="14" s="1"/>
  <c r="J3566" i="14"/>
  <c r="J3567" i="14" s="1"/>
  <c r="J3569" i="14" s="1"/>
  <c r="J3570" i="14" s="1"/>
  <c r="K3566" i="14"/>
  <c r="K3567" i="14" s="1"/>
  <c r="K3569" i="14" s="1"/>
  <c r="K3570" i="14" s="1"/>
  <c r="L3566" i="14"/>
  <c r="L3567" i="14" s="1"/>
  <c r="L3569" i="14" s="1"/>
  <c r="L3570" i="14" s="1"/>
  <c r="M3566" i="14"/>
  <c r="M3567" i="14" s="1"/>
  <c r="M3569" i="14" s="1"/>
  <c r="M3570" i="14" s="1"/>
  <c r="D3612" i="14"/>
  <c r="E3612" i="14"/>
  <c r="E3613" i="14" s="1"/>
  <c r="E3615" i="14" s="1"/>
  <c r="E3616" i="14" s="1"/>
  <c r="F3612" i="14"/>
  <c r="F3613" i="14" s="1"/>
  <c r="F3615" i="14" s="1"/>
  <c r="F3616" i="14" s="1"/>
  <c r="G3612" i="14"/>
  <c r="G3613" i="14" s="1"/>
  <c r="G3615" i="14" s="1"/>
  <c r="G3616" i="14" s="1"/>
  <c r="H3612" i="14"/>
  <c r="H3613" i="14" s="1"/>
  <c r="H3615" i="14" s="1"/>
  <c r="H3616" i="14" s="1"/>
  <c r="I3612" i="14"/>
  <c r="I3613" i="14" s="1"/>
  <c r="I3615" i="14" s="1"/>
  <c r="I3616" i="14" s="1"/>
  <c r="J3612" i="14"/>
  <c r="J3613" i="14" s="1"/>
  <c r="J3615" i="14" s="1"/>
  <c r="J3616" i="14" s="1"/>
  <c r="K3612" i="14"/>
  <c r="K3613" i="14" s="1"/>
  <c r="K3615" i="14" s="1"/>
  <c r="K3616" i="14" s="1"/>
  <c r="L3612" i="14"/>
  <c r="L3613" i="14" s="1"/>
  <c r="L3615" i="14" s="1"/>
  <c r="L3616" i="14" s="1"/>
  <c r="M3612" i="14"/>
  <c r="M3613" i="14" s="1"/>
  <c r="M3615" i="14" s="1"/>
  <c r="M3616" i="14" s="1"/>
  <c r="D3658" i="14"/>
  <c r="E3658" i="14"/>
  <c r="E3659" i="14" s="1"/>
  <c r="E3661" i="14" s="1"/>
  <c r="E3662" i="14" s="1"/>
  <c r="F3658" i="14"/>
  <c r="F3659" i="14" s="1"/>
  <c r="F3661" i="14" s="1"/>
  <c r="F3662" i="14" s="1"/>
  <c r="G3658" i="14"/>
  <c r="G3659" i="14" s="1"/>
  <c r="G3661" i="14" s="1"/>
  <c r="G3662" i="14" s="1"/>
  <c r="H3658" i="14"/>
  <c r="H3659" i="14" s="1"/>
  <c r="H3661" i="14" s="1"/>
  <c r="H3662" i="14" s="1"/>
  <c r="I3658" i="14"/>
  <c r="I3659" i="14" s="1"/>
  <c r="I3661" i="14" s="1"/>
  <c r="I3662" i="14" s="1"/>
  <c r="J3658" i="14"/>
  <c r="J3659" i="14" s="1"/>
  <c r="J3661" i="14" s="1"/>
  <c r="J3662" i="14" s="1"/>
  <c r="K3658" i="14"/>
  <c r="K3659" i="14" s="1"/>
  <c r="K3661" i="14" s="1"/>
  <c r="K3662" i="14" s="1"/>
  <c r="L3658" i="14"/>
  <c r="L3659" i="14" s="1"/>
  <c r="L3661" i="14" s="1"/>
  <c r="L3662" i="14" s="1"/>
  <c r="M3658" i="14"/>
  <c r="M3659" i="14" s="1"/>
  <c r="M3661" i="14" s="1"/>
  <c r="M3662" i="14" s="1"/>
  <c r="D3704" i="14"/>
  <c r="E3704" i="14"/>
  <c r="E3705" i="14" s="1"/>
  <c r="E3707" i="14" s="1"/>
  <c r="E3708" i="14" s="1"/>
  <c r="F3704" i="14"/>
  <c r="F3705" i="14" s="1"/>
  <c r="F3707" i="14" s="1"/>
  <c r="F3708" i="14" s="1"/>
  <c r="G3704" i="14"/>
  <c r="G3705" i="14" s="1"/>
  <c r="G3707" i="14" s="1"/>
  <c r="G3708" i="14" s="1"/>
  <c r="H3704" i="14"/>
  <c r="H3705" i="14" s="1"/>
  <c r="H3707" i="14" s="1"/>
  <c r="H3708" i="14" s="1"/>
  <c r="I3704" i="14"/>
  <c r="I3705" i="14" s="1"/>
  <c r="I3707" i="14" s="1"/>
  <c r="I3708" i="14" s="1"/>
  <c r="J3704" i="14"/>
  <c r="J3705" i="14" s="1"/>
  <c r="J3707" i="14" s="1"/>
  <c r="J3708" i="14" s="1"/>
  <c r="K3704" i="14"/>
  <c r="K3705" i="14" s="1"/>
  <c r="K3707" i="14" s="1"/>
  <c r="K3708" i="14" s="1"/>
  <c r="L3704" i="14"/>
  <c r="L3705" i="14" s="1"/>
  <c r="L3707" i="14" s="1"/>
  <c r="L3708" i="14" s="1"/>
  <c r="M3704" i="14"/>
  <c r="M3705" i="14" s="1"/>
  <c r="M3707" i="14" s="1"/>
  <c r="M3708" i="14" s="1"/>
  <c r="D3750" i="14"/>
  <c r="E3750" i="14"/>
  <c r="E3751" i="14" s="1"/>
  <c r="E3753" i="14" s="1"/>
  <c r="E3754" i="14" s="1"/>
  <c r="F3750" i="14"/>
  <c r="F3751" i="14" s="1"/>
  <c r="F3753" i="14" s="1"/>
  <c r="F3754" i="14" s="1"/>
  <c r="G3750" i="14"/>
  <c r="G3751" i="14" s="1"/>
  <c r="G3753" i="14" s="1"/>
  <c r="G3754" i="14" s="1"/>
  <c r="H3750" i="14"/>
  <c r="H3751" i="14" s="1"/>
  <c r="H3753" i="14" s="1"/>
  <c r="H3754" i="14" s="1"/>
  <c r="I3750" i="14"/>
  <c r="I3751" i="14" s="1"/>
  <c r="I3753" i="14" s="1"/>
  <c r="I3754" i="14" s="1"/>
  <c r="J3750" i="14"/>
  <c r="J3751" i="14" s="1"/>
  <c r="J3753" i="14" s="1"/>
  <c r="J3754" i="14" s="1"/>
  <c r="K3750" i="14"/>
  <c r="K3751" i="14" s="1"/>
  <c r="K3753" i="14" s="1"/>
  <c r="K3754" i="14" s="1"/>
  <c r="L3750" i="14"/>
  <c r="L3751" i="14" s="1"/>
  <c r="L3753" i="14" s="1"/>
  <c r="L3754" i="14" s="1"/>
  <c r="M3750" i="14"/>
  <c r="M3751" i="14" s="1"/>
  <c r="M3753" i="14" s="1"/>
  <c r="M3754" i="14" s="1"/>
  <c r="D3888" i="14"/>
  <c r="E3888" i="14"/>
  <c r="E3889" i="14" s="1"/>
  <c r="E3891" i="14" s="1"/>
  <c r="E3892" i="14" s="1"/>
  <c r="F3888" i="14"/>
  <c r="F3889" i="14" s="1"/>
  <c r="F3891" i="14" s="1"/>
  <c r="F3892" i="14" s="1"/>
  <c r="G3888" i="14"/>
  <c r="G3889" i="14" s="1"/>
  <c r="G3891" i="14" s="1"/>
  <c r="G3892" i="14" s="1"/>
  <c r="H3888" i="14"/>
  <c r="H3889" i="14" s="1"/>
  <c r="H3891" i="14" s="1"/>
  <c r="H3892" i="14" s="1"/>
  <c r="I3888" i="14"/>
  <c r="I3889" i="14" s="1"/>
  <c r="I3891" i="14" s="1"/>
  <c r="I3892" i="14" s="1"/>
  <c r="J3888" i="14"/>
  <c r="J3889" i="14" s="1"/>
  <c r="J3891" i="14" s="1"/>
  <c r="J3892" i="14" s="1"/>
  <c r="K3888" i="14"/>
  <c r="K3889" i="14" s="1"/>
  <c r="K3891" i="14" s="1"/>
  <c r="K3892" i="14" s="1"/>
  <c r="L3888" i="14"/>
  <c r="L3889" i="14" s="1"/>
  <c r="L3891" i="14" s="1"/>
  <c r="L3892" i="14" s="1"/>
  <c r="M3888" i="14"/>
  <c r="M3889" i="14" s="1"/>
  <c r="M3891" i="14" s="1"/>
  <c r="M3892" i="14" s="1"/>
  <c r="D3934" i="14"/>
  <c r="E3934" i="14"/>
  <c r="E3935" i="14" s="1"/>
  <c r="E3937" i="14" s="1"/>
  <c r="E3938" i="14" s="1"/>
  <c r="F3934" i="14"/>
  <c r="F3935" i="14" s="1"/>
  <c r="F3937" i="14" s="1"/>
  <c r="F3938" i="14" s="1"/>
  <c r="G3934" i="14"/>
  <c r="G3935" i="14" s="1"/>
  <c r="G3937" i="14" s="1"/>
  <c r="G3938" i="14" s="1"/>
  <c r="H3934" i="14"/>
  <c r="H3935" i="14" s="1"/>
  <c r="H3937" i="14" s="1"/>
  <c r="H3938" i="14" s="1"/>
  <c r="I3934" i="14"/>
  <c r="I3935" i="14" s="1"/>
  <c r="I3937" i="14" s="1"/>
  <c r="I3938" i="14" s="1"/>
  <c r="J3934" i="14"/>
  <c r="J3935" i="14" s="1"/>
  <c r="J3937" i="14" s="1"/>
  <c r="J3938" i="14" s="1"/>
  <c r="K3934" i="14"/>
  <c r="K3935" i="14" s="1"/>
  <c r="K3937" i="14" s="1"/>
  <c r="K3938" i="14" s="1"/>
  <c r="L3934" i="14"/>
  <c r="L3935" i="14" s="1"/>
  <c r="L3937" i="14" s="1"/>
  <c r="L3938" i="14" s="1"/>
  <c r="M3934" i="14"/>
  <c r="M3935" i="14" s="1"/>
  <c r="M3937" i="14" s="1"/>
  <c r="M3938" i="14" s="1"/>
  <c r="D3980" i="14"/>
  <c r="E3980" i="14"/>
  <c r="E3981" i="14" s="1"/>
  <c r="E3983" i="14" s="1"/>
  <c r="E3984" i="14" s="1"/>
  <c r="F3980" i="14"/>
  <c r="F3981" i="14" s="1"/>
  <c r="F3983" i="14" s="1"/>
  <c r="F3984" i="14" s="1"/>
  <c r="G3980" i="14"/>
  <c r="G3981" i="14" s="1"/>
  <c r="G3983" i="14" s="1"/>
  <c r="G3984" i="14" s="1"/>
  <c r="H3980" i="14"/>
  <c r="H3981" i="14" s="1"/>
  <c r="H3983" i="14" s="1"/>
  <c r="H3984" i="14" s="1"/>
  <c r="I3980" i="14"/>
  <c r="I3981" i="14" s="1"/>
  <c r="I3983" i="14" s="1"/>
  <c r="I3984" i="14" s="1"/>
  <c r="J3980" i="14"/>
  <c r="J3981" i="14" s="1"/>
  <c r="J3983" i="14" s="1"/>
  <c r="J3984" i="14" s="1"/>
  <c r="K3980" i="14"/>
  <c r="K3981" i="14" s="1"/>
  <c r="K3983" i="14" s="1"/>
  <c r="K3984" i="14" s="1"/>
  <c r="L3980" i="14"/>
  <c r="L3981" i="14" s="1"/>
  <c r="L3983" i="14" s="1"/>
  <c r="L3984" i="14" s="1"/>
  <c r="M3980" i="14"/>
  <c r="M3981" i="14" s="1"/>
  <c r="M3983" i="14" s="1"/>
  <c r="M3984" i="14" s="1"/>
  <c r="D4026" i="14"/>
  <c r="E4026" i="14"/>
  <c r="E4027" i="14" s="1"/>
  <c r="E4029" i="14" s="1"/>
  <c r="E4030" i="14" s="1"/>
  <c r="F4026" i="14"/>
  <c r="F4027" i="14" s="1"/>
  <c r="F4029" i="14" s="1"/>
  <c r="F4030" i="14" s="1"/>
  <c r="G4026" i="14"/>
  <c r="G4027" i="14" s="1"/>
  <c r="G4029" i="14" s="1"/>
  <c r="G4030" i="14" s="1"/>
  <c r="H4026" i="14"/>
  <c r="H4027" i="14" s="1"/>
  <c r="H4029" i="14" s="1"/>
  <c r="H4030" i="14" s="1"/>
  <c r="I4026" i="14"/>
  <c r="I4027" i="14" s="1"/>
  <c r="I4029" i="14" s="1"/>
  <c r="I4030" i="14" s="1"/>
  <c r="J4026" i="14"/>
  <c r="J4027" i="14" s="1"/>
  <c r="J4029" i="14" s="1"/>
  <c r="J4030" i="14" s="1"/>
  <c r="K4026" i="14"/>
  <c r="K4027" i="14" s="1"/>
  <c r="K4029" i="14" s="1"/>
  <c r="K4030" i="14" s="1"/>
  <c r="L4026" i="14"/>
  <c r="L4027" i="14" s="1"/>
  <c r="L4029" i="14" s="1"/>
  <c r="L4030" i="14" s="1"/>
  <c r="M4026" i="14"/>
  <c r="M4027" i="14" s="1"/>
  <c r="M4029" i="14" s="1"/>
  <c r="M4030" i="14" s="1"/>
  <c r="D4072" i="14"/>
  <c r="E4072" i="14"/>
  <c r="E4073" i="14" s="1"/>
  <c r="E4075" i="14" s="1"/>
  <c r="E4076" i="14" s="1"/>
  <c r="F4072" i="14"/>
  <c r="F4073" i="14" s="1"/>
  <c r="F4075" i="14" s="1"/>
  <c r="F4076" i="14" s="1"/>
  <c r="G4072" i="14"/>
  <c r="G4073" i="14" s="1"/>
  <c r="G4075" i="14" s="1"/>
  <c r="G4076" i="14" s="1"/>
  <c r="H4072" i="14"/>
  <c r="H4073" i="14" s="1"/>
  <c r="H4075" i="14" s="1"/>
  <c r="H4076" i="14" s="1"/>
  <c r="I4072" i="14"/>
  <c r="I4073" i="14" s="1"/>
  <c r="I4075" i="14" s="1"/>
  <c r="I4076" i="14" s="1"/>
  <c r="J4072" i="14"/>
  <c r="J4073" i="14" s="1"/>
  <c r="J4075" i="14" s="1"/>
  <c r="J4076" i="14" s="1"/>
  <c r="K4072" i="14"/>
  <c r="K4073" i="14" s="1"/>
  <c r="K4075" i="14" s="1"/>
  <c r="K4076" i="14" s="1"/>
  <c r="L4072" i="14"/>
  <c r="L4073" i="14" s="1"/>
  <c r="L4075" i="14" s="1"/>
  <c r="L4076" i="14" s="1"/>
  <c r="M4072" i="14"/>
  <c r="M4073" i="14" s="1"/>
  <c r="M4075" i="14" s="1"/>
  <c r="M4076" i="14" s="1"/>
  <c r="D3796" i="14"/>
  <c r="E3796" i="14"/>
  <c r="E3797" i="14" s="1"/>
  <c r="E3799" i="14" s="1"/>
  <c r="E3800" i="14" s="1"/>
  <c r="F3796" i="14"/>
  <c r="F3797" i="14" s="1"/>
  <c r="F3799" i="14" s="1"/>
  <c r="F3800" i="14" s="1"/>
  <c r="G3796" i="14"/>
  <c r="G3797" i="14" s="1"/>
  <c r="G3799" i="14" s="1"/>
  <c r="G3800" i="14" s="1"/>
  <c r="H3796" i="14"/>
  <c r="H3797" i="14" s="1"/>
  <c r="H3799" i="14" s="1"/>
  <c r="H3800" i="14" s="1"/>
  <c r="I3796" i="14"/>
  <c r="I3797" i="14" s="1"/>
  <c r="I3799" i="14" s="1"/>
  <c r="I3800" i="14" s="1"/>
  <c r="J3796" i="14"/>
  <c r="J3797" i="14" s="1"/>
  <c r="J3799" i="14" s="1"/>
  <c r="J3800" i="14" s="1"/>
  <c r="K3796" i="14"/>
  <c r="K3797" i="14" s="1"/>
  <c r="K3799" i="14" s="1"/>
  <c r="K3800" i="14" s="1"/>
  <c r="L3796" i="14"/>
  <c r="L3797" i="14" s="1"/>
  <c r="L3799" i="14" s="1"/>
  <c r="L3800" i="14" s="1"/>
  <c r="M3796" i="14"/>
  <c r="M3797" i="14" s="1"/>
  <c r="M3799" i="14" s="1"/>
  <c r="M3800" i="14" s="1"/>
  <c r="D3842" i="14"/>
  <c r="E3842" i="14"/>
  <c r="E3843" i="14" s="1"/>
  <c r="E3845" i="14" s="1"/>
  <c r="E3846" i="14" s="1"/>
  <c r="F3842" i="14"/>
  <c r="F3843" i="14" s="1"/>
  <c r="F3845" i="14" s="1"/>
  <c r="F3846" i="14" s="1"/>
  <c r="G3842" i="14"/>
  <c r="G3843" i="14" s="1"/>
  <c r="G3845" i="14" s="1"/>
  <c r="G3846" i="14" s="1"/>
  <c r="H3842" i="14"/>
  <c r="H3843" i="14" s="1"/>
  <c r="H3845" i="14" s="1"/>
  <c r="H3846" i="14" s="1"/>
  <c r="I3842" i="14"/>
  <c r="I3843" i="14" s="1"/>
  <c r="I3845" i="14" s="1"/>
  <c r="I3846" i="14" s="1"/>
  <c r="J3842" i="14"/>
  <c r="J3843" i="14" s="1"/>
  <c r="J3845" i="14" s="1"/>
  <c r="J3846" i="14" s="1"/>
  <c r="K3842" i="14"/>
  <c r="K3843" i="14" s="1"/>
  <c r="K3845" i="14" s="1"/>
  <c r="K3846" i="14" s="1"/>
  <c r="L3842" i="14"/>
  <c r="L3843" i="14" s="1"/>
  <c r="L3845" i="14" s="1"/>
  <c r="L3846" i="14" s="1"/>
  <c r="M3842" i="14"/>
  <c r="M3843" i="14" s="1"/>
  <c r="M3845" i="14" s="1"/>
  <c r="M3846" i="14" s="1"/>
  <c r="D4118" i="14"/>
  <c r="M4118" i="14"/>
  <c r="M4119" i="14" s="1"/>
  <c r="M4121" i="14" s="1"/>
  <c r="M4122" i="14" s="1"/>
  <c r="E4118" i="14"/>
  <c r="E4119" i="14" s="1"/>
  <c r="E4121" i="14" s="1"/>
  <c r="E4122" i="14" s="1"/>
  <c r="F4118" i="14"/>
  <c r="F4119" i="14" s="1"/>
  <c r="F4121" i="14" s="1"/>
  <c r="F4122" i="14" s="1"/>
  <c r="G4118" i="14"/>
  <c r="G4119" i="14" s="1"/>
  <c r="G4121" i="14" s="1"/>
  <c r="G4122" i="14" s="1"/>
  <c r="H4118" i="14"/>
  <c r="H4119" i="14" s="1"/>
  <c r="H4121" i="14" s="1"/>
  <c r="H4122" i="14" s="1"/>
  <c r="I4118" i="14"/>
  <c r="I4119" i="14" s="1"/>
  <c r="I4121" i="14" s="1"/>
  <c r="I4122" i="14" s="1"/>
  <c r="J4118" i="14"/>
  <c r="J4119" i="14" s="1"/>
  <c r="J4121" i="14" s="1"/>
  <c r="J4122" i="14" s="1"/>
  <c r="K4118" i="14"/>
  <c r="K4119" i="14" s="1"/>
  <c r="K4121" i="14" s="1"/>
  <c r="K4122" i="14" s="1"/>
  <c r="L4118" i="14"/>
  <c r="L4119" i="14" s="1"/>
  <c r="L4121" i="14" s="1"/>
  <c r="L4122" i="14" s="1"/>
  <c r="D4164" i="14"/>
  <c r="E4164" i="14"/>
  <c r="E4165" i="14" s="1"/>
  <c r="E4167" i="14" s="1"/>
  <c r="E4168" i="14" s="1"/>
  <c r="F4164" i="14"/>
  <c r="F4165" i="14" s="1"/>
  <c r="F4167" i="14" s="1"/>
  <c r="F4168" i="14" s="1"/>
  <c r="G4164" i="14"/>
  <c r="G4165" i="14" s="1"/>
  <c r="G4167" i="14" s="1"/>
  <c r="G4168" i="14" s="1"/>
  <c r="H4164" i="14"/>
  <c r="H4165" i="14" s="1"/>
  <c r="H4167" i="14" s="1"/>
  <c r="H4168" i="14" s="1"/>
  <c r="I4164" i="14"/>
  <c r="I4165" i="14" s="1"/>
  <c r="I4167" i="14" s="1"/>
  <c r="I4168" i="14" s="1"/>
  <c r="J4164" i="14"/>
  <c r="J4165" i="14" s="1"/>
  <c r="J4167" i="14" s="1"/>
  <c r="J4168" i="14" s="1"/>
  <c r="K4164" i="14"/>
  <c r="K4165" i="14" s="1"/>
  <c r="K4167" i="14" s="1"/>
  <c r="K4168" i="14" s="1"/>
  <c r="L4164" i="14"/>
  <c r="L4165" i="14" s="1"/>
  <c r="L4167" i="14" s="1"/>
  <c r="L4168" i="14" s="1"/>
  <c r="M4164" i="14"/>
  <c r="M4165" i="14" s="1"/>
  <c r="M4167" i="14" s="1"/>
  <c r="M4168" i="14" s="1"/>
  <c r="D4210" i="14"/>
  <c r="E4210" i="14"/>
  <c r="E4211" i="14" s="1"/>
  <c r="E4213" i="14" s="1"/>
  <c r="E4214" i="14" s="1"/>
  <c r="F4210" i="14"/>
  <c r="F4211" i="14" s="1"/>
  <c r="F4213" i="14" s="1"/>
  <c r="F4214" i="14" s="1"/>
  <c r="G4210" i="14"/>
  <c r="G4211" i="14" s="1"/>
  <c r="G4213" i="14" s="1"/>
  <c r="G4214" i="14" s="1"/>
  <c r="H4210" i="14"/>
  <c r="H4211" i="14" s="1"/>
  <c r="H4213" i="14" s="1"/>
  <c r="H4214" i="14" s="1"/>
  <c r="I4210" i="14"/>
  <c r="I4211" i="14" s="1"/>
  <c r="I4213" i="14" s="1"/>
  <c r="I4214" i="14" s="1"/>
  <c r="J4210" i="14"/>
  <c r="J4211" i="14" s="1"/>
  <c r="J4213" i="14" s="1"/>
  <c r="J4214" i="14" s="1"/>
  <c r="K4210" i="14"/>
  <c r="K4211" i="14" s="1"/>
  <c r="K4213" i="14" s="1"/>
  <c r="K4214" i="14" s="1"/>
  <c r="L4210" i="14"/>
  <c r="L4211" i="14" s="1"/>
  <c r="L4213" i="14" s="1"/>
  <c r="L4214" i="14" s="1"/>
  <c r="M4210" i="14"/>
  <c r="M4211" i="14" s="1"/>
  <c r="M4213" i="14" s="1"/>
  <c r="M4214" i="14" s="1"/>
  <c r="L162" i="6"/>
  <c r="L163" i="6" s="1"/>
  <c r="M162" i="6"/>
  <c r="M163" i="6" s="1"/>
  <c r="M165" i="6" s="1"/>
  <c r="M166" i="6" s="1"/>
  <c r="D208" i="6"/>
  <c r="E208" i="6"/>
  <c r="E209" i="6" s="1"/>
  <c r="E211" i="6" s="1"/>
  <c r="E212" i="6" s="1"/>
  <c r="F208" i="6"/>
  <c r="F209" i="6" s="1"/>
  <c r="F211" i="6" s="1"/>
  <c r="F212" i="6" s="1"/>
  <c r="G208" i="6"/>
  <c r="G209" i="6" s="1"/>
  <c r="G211" i="6" s="1"/>
  <c r="G212" i="6" s="1"/>
  <c r="H208" i="6"/>
  <c r="H209" i="6" s="1"/>
  <c r="H211" i="6" s="1"/>
  <c r="H212" i="6" s="1"/>
  <c r="I208" i="6"/>
  <c r="I209" i="6" s="1"/>
  <c r="I211" i="6" s="1"/>
  <c r="I212" i="6" s="1"/>
  <c r="J208" i="6"/>
  <c r="J209" i="6" s="1"/>
  <c r="J211" i="6" s="1"/>
  <c r="J212" i="6" s="1"/>
  <c r="K208" i="6"/>
  <c r="K209" i="6" s="1"/>
  <c r="K211" i="6" s="1"/>
  <c r="K212" i="6" s="1"/>
  <c r="L208" i="6"/>
  <c r="L209" i="6" s="1"/>
  <c r="L211" i="6" s="1"/>
  <c r="L212" i="6" s="1"/>
  <c r="M208" i="6"/>
  <c r="M209" i="6" s="1"/>
  <c r="M211" i="6" s="1"/>
  <c r="M212" i="6" s="1"/>
  <c r="D254" i="6"/>
  <c r="E254" i="6"/>
  <c r="E255" i="6" s="1"/>
  <c r="E257" i="6" s="1"/>
  <c r="E258" i="6" s="1"/>
  <c r="F254" i="6"/>
  <c r="F255" i="6" s="1"/>
  <c r="F257" i="6" s="1"/>
  <c r="F258" i="6" s="1"/>
  <c r="G254" i="6"/>
  <c r="G255" i="6" s="1"/>
  <c r="G257" i="6" s="1"/>
  <c r="G258" i="6" s="1"/>
  <c r="H254" i="6"/>
  <c r="H255" i="6" s="1"/>
  <c r="H257" i="6" s="1"/>
  <c r="H258" i="6" s="1"/>
  <c r="I254" i="6"/>
  <c r="I255" i="6" s="1"/>
  <c r="I257" i="6" s="1"/>
  <c r="I258" i="6" s="1"/>
  <c r="J254" i="6"/>
  <c r="J255" i="6" s="1"/>
  <c r="J257" i="6" s="1"/>
  <c r="J258" i="6" s="1"/>
  <c r="K254" i="6"/>
  <c r="K255" i="6" s="1"/>
  <c r="K257" i="6" s="1"/>
  <c r="K258" i="6" s="1"/>
  <c r="L254" i="6"/>
  <c r="L255" i="6" s="1"/>
  <c r="L257" i="6" s="1"/>
  <c r="L258" i="6" s="1"/>
  <c r="M254" i="6"/>
  <c r="M255" i="6" s="1"/>
  <c r="M257" i="6" s="1"/>
  <c r="M258" i="6" s="1"/>
  <c r="D1566" i="6"/>
  <c r="D1557" i="6"/>
  <c r="D1558" i="6" s="1"/>
  <c r="J1550" i="6"/>
  <c r="D1544" i="6"/>
  <c r="D1540" i="6"/>
  <c r="D1541" i="6" s="1"/>
  <c r="K1540" i="6"/>
  <c r="K1541" i="6" s="1"/>
  <c r="K1544" i="6"/>
  <c r="F1544" i="6"/>
  <c r="E1544" i="6"/>
  <c r="L1540" i="6"/>
  <c r="L1541" i="6" s="1"/>
  <c r="L1544" i="6"/>
  <c r="J1544" i="6"/>
  <c r="H1540" i="6"/>
  <c r="H1541" i="6" s="1"/>
  <c r="G1540" i="6"/>
  <c r="G1541" i="6" s="1"/>
  <c r="F1540" i="6"/>
  <c r="F1541" i="6" s="1"/>
  <c r="M1540" i="6"/>
  <c r="M1541" i="6" s="1"/>
  <c r="J1540" i="6"/>
  <c r="J1541" i="6" s="1"/>
  <c r="I1540" i="6"/>
  <c r="I1541" i="6" s="1"/>
  <c r="I1544" i="6"/>
  <c r="H1544" i="6"/>
  <c r="G1544" i="6"/>
  <c r="E1540" i="6"/>
  <c r="E1541" i="6" s="1"/>
  <c r="M1544" i="6"/>
  <c r="D1842" i="6"/>
  <c r="J1826" i="6"/>
  <c r="D1833" i="6"/>
  <c r="D1834" i="6" s="1"/>
  <c r="D1820" i="6"/>
  <c r="D1816" i="6"/>
  <c r="D1817" i="6" s="1"/>
  <c r="M1816" i="6"/>
  <c r="M1817" i="6" s="1"/>
  <c r="M1820" i="6"/>
  <c r="L1816" i="6"/>
  <c r="L1817" i="6" s="1"/>
  <c r="L1820" i="6"/>
  <c r="K1816" i="6"/>
  <c r="K1817" i="6" s="1"/>
  <c r="K1820" i="6"/>
  <c r="J1816" i="6"/>
  <c r="J1817" i="6" s="1"/>
  <c r="J1820" i="6"/>
  <c r="I1816" i="6"/>
  <c r="I1817" i="6" s="1"/>
  <c r="I1820" i="6"/>
  <c r="H1816" i="6"/>
  <c r="H1817" i="6" s="1"/>
  <c r="H1820" i="6"/>
  <c r="G1816" i="6"/>
  <c r="G1817" i="6" s="1"/>
  <c r="G1820" i="6"/>
  <c r="F1816" i="6"/>
  <c r="F1817" i="6" s="1"/>
  <c r="F1820" i="6"/>
  <c r="E1816" i="6"/>
  <c r="E1817" i="6" s="1"/>
  <c r="E1820" i="6"/>
  <c r="J1320" i="6"/>
  <c r="D1336" i="6"/>
  <c r="D1327" i="6"/>
  <c r="D1328" i="6" s="1"/>
  <c r="D1314" i="6"/>
  <c r="D1310" i="6"/>
  <c r="D1311" i="6" s="1"/>
  <c r="M1310" i="6"/>
  <c r="M1311" i="6" s="1"/>
  <c r="M1314" i="6"/>
  <c r="L1310" i="6"/>
  <c r="L1311" i="6" s="1"/>
  <c r="L1314" i="6"/>
  <c r="K1310" i="6"/>
  <c r="K1311" i="6" s="1"/>
  <c r="K1314" i="6"/>
  <c r="J1310" i="6"/>
  <c r="J1311" i="6" s="1"/>
  <c r="J1314" i="6"/>
  <c r="I1310" i="6"/>
  <c r="I1311" i="6" s="1"/>
  <c r="I1314" i="6"/>
  <c r="H1310" i="6"/>
  <c r="H1311" i="6" s="1"/>
  <c r="H1314" i="6"/>
  <c r="G1310" i="6"/>
  <c r="G1311" i="6" s="1"/>
  <c r="G1314" i="6"/>
  <c r="F1310" i="6"/>
  <c r="F1311" i="6" s="1"/>
  <c r="F1314" i="6"/>
  <c r="E1310" i="6"/>
  <c r="E1311" i="6" s="1"/>
  <c r="E1314" i="6"/>
  <c r="D1980" i="6"/>
  <c r="J1964" i="6"/>
  <c r="D1971" i="6"/>
  <c r="D1972" i="6" s="1"/>
  <c r="D1958" i="6"/>
  <c r="D1954" i="6"/>
  <c r="D1955" i="6" s="1"/>
  <c r="M1954" i="6"/>
  <c r="M1955" i="6" s="1"/>
  <c r="M1958" i="6"/>
  <c r="L1954" i="6"/>
  <c r="L1955" i="6" s="1"/>
  <c r="L1958" i="6"/>
  <c r="K1954" i="6"/>
  <c r="K1955" i="6" s="1"/>
  <c r="K1958" i="6"/>
  <c r="J1954" i="6"/>
  <c r="J1955" i="6" s="1"/>
  <c r="J1958" i="6"/>
  <c r="I1954" i="6"/>
  <c r="I1955" i="6" s="1"/>
  <c r="I1958" i="6"/>
  <c r="H1954" i="6"/>
  <c r="H1955" i="6" s="1"/>
  <c r="H1958" i="6"/>
  <c r="G1954" i="6"/>
  <c r="G1955" i="6" s="1"/>
  <c r="G1958" i="6"/>
  <c r="F1954" i="6"/>
  <c r="F1955" i="6" s="1"/>
  <c r="F1958" i="6"/>
  <c r="E1954" i="6"/>
  <c r="E1955" i="6" s="1"/>
  <c r="E1958" i="6"/>
  <c r="D2118" i="6"/>
  <c r="J2102" i="6"/>
  <c r="D2109" i="6"/>
  <c r="D2110" i="6" s="1"/>
  <c r="D2096" i="6"/>
  <c r="D2092" i="6"/>
  <c r="D2093" i="6" s="1"/>
  <c r="M2092" i="6"/>
  <c r="M2093" i="6" s="1"/>
  <c r="M2096" i="6"/>
  <c r="L2092" i="6"/>
  <c r="L2093" i="6" s="1"/>
  <c r="L2096" i="6"/>
  <c r="K2092" i="6"/>
  <c r="K2093" i="6" s="1"/>
  <c r="K2096" i="6"/>
  <c r="J2092" i="6"/>
  <c r="J2093" i="6" s="1"/>
  <c r="J2096" i="6"/>
  <c r="I2092" i="6"/>
  <c r="I2093" i="6" s="1"/>
  <c r="I2096" i="6"/>
  <c r="H2092" i="6"/>
  <c r="H2093" i="6" s="1"/>
  <c r="H2096" i="6"/>
  <c r="G2092" i="6"/>
  <c r="G2093" i="6" s="1"/>
  <c r="G2096" i="6"/>
  <c r="F2092" i="6"/>
  <c r="F2093" i="6" s="1"/>
  <c r="F2096" i="6"/>
  <c r="E2092" i="6"/>
  <c r="E2093" i="6" s="1"/>
  <c r="E2096" i="6"/>
  <c r="E2234" i="6"/>
  <c r="F2234" i="6"/>
  <c r="G2234" i="6"/>
  <c r="H2234" i="6"/>
  <c r="I2234" i="6"/>
  <c r="J2234" i="6"/>
  <c r="K2234" i="6"/>
  <c r="L2234" i="6"/>
  <c r="M2234" i="6"/>
  <c r="D2256" i="6"/>
  <c r="J2240" i="6"/>
  <c r="D2247" i="6"/>
  <c r="D2248" i="6" s="1"/>
  <c r="D2234" i="6"/>
  <c r="D2230" i="6"/>
  <c r="D2231" i="6" s="1"/>
  <c r="E2230" i="6"/>
  <c r="E2231" i="6" s="1"/>
  <c r="F2230" i="6"/>
  <c r="F2231" i="6" s="1"/>
  <c r="G2230" i="6"/>
  <c r="G2231" i="6" s="1"/>
  <c r="H2230" i="6"/>
  <c r="H2231" i="6" s="1"/>
  <c r="I2230" i="6"/>
  <c r="I2231" i="6" s="1"/>
  <c r="J2230" i="6"/>
  <c r="J2231" i="6" s="1"/>
  <c r="K2230" i="6"/>
  <c r="K2231" i="6" s="1"/>
  <c r="L2230" i="6"/>
  <c r="L2231" i="6" s="1"/>
  <c r="M2230" i="6"/>
  <c r="M2231" i="6" s="1"/>
  <c r="D2624" i="6"/>
  <c r="J2608" i="6"/>
  <c r="D2615" i="6"/>
  <c r="D2616" i="6" s="1"/>
  <c r="D2602" i="6"/>
  <c r="D2598" i="6"/>
  <c r="D2599" i="6" s="1"/>
  <c r="M2598" i="6"/>
  <c r="M2599" i="6" s="1"/>
  <c r="M2602" i="6"/>
  <c r="L2598" i="6"/>
  <c r="L2599" i="6" s="1"/>
  <c r="L2602" i="6"/>
  <c r="K2598" i="6"/>
  <c r="K2599" i="6" s="1"/>
  <c r="K2602" i="6"/>
  <c r="J2598" i="6"/>
  <c r="J2599" i="6" s="1"/>
  <c r="J2602" i="6"/>
  <c r="I2598" i="6"/>
  <c r="I2599" i="6" s="1"/>
  <c r="I2602" i="6"/>
  <c r="H2598" i="6"/>
  <c r="H2599" i="6" s="1"/>
  <c r="H2602" i="6"/>
  <c r="G2598" i="6"/>
  <c r="G2599" i="6" s="1"/>
  <c r="G2602" i="6"/>
  <c r="F2598" i="6"/>
  <c r="F2599" i="6" s="1"/>
  <c r="F2602" i="6"/>
  <c r="E2598" i="6"/>
  <c r="E2599" i="6" s="1"/>
  <c r="E2602" i="6"/>
  <c r="D2670" i="6"/>
  <c r="J2654" i="6"/>
  <c r="D2661" i="6"/>
  <c r="D2662" i="6" s="1"/>
  <c r="D2648" i="6"/>
  <c r="D2644" i="6"/>
  <c r="D2645" i="6" s="1"/>
  <c r="M2644" i="6"/>
  <c r="M2645" i="6" s="1"/>
  <c r="M2648" i="6"/>
  <c r="L2644" i="6"/>
  <c r="L2645" i="6" s="1"/>
  <c r="L2648" i="6"/>
  <c r="K2644" i="6"/>
  <c r="K2645" i="6" s="1"/>
  <c r="K2648" i="6"/>
  <c r="J2644" i="6"/>
  <c r="J2645" i="6" s="1"/>
  <c r="J2648" i="6"/>
  <c r="I2644" i="6"/>
  <c r="I2645" i="6" s="1"/>
  <c r="I2648" i="6"/>
  <c r="H2644" i="6"/>
  <c r="H2645" i="6" s="1"/>
  <c r="H2648" i="6"/>
  <c r="G2644" i="6"/>
  <c r="G2645" i="6" s="1"/>
  <c r="G2648" i="6"/>
  <c r="F2644" i="6"/>
  <c r="F2645" i="6" s="1"/>
  <c r="F2648" i="6"/>
  <c r="E2644" i="6"/>
  <c r="E2645" i="6" s="1"/>
  <c r="E2648" i="6"/>
  <c r="D2808" i="6"/>
  <c r="J2792" i="6"/>
  <c r="D2799" i="6"/>
  <c r="D2800" i="6" s="1"/>
  <c r="D2786" i="6"/>
  <c r="D2782" i="6"/>
  <c r="D2783" i="6" s="1"/>
  <c r="M2782" i="6"/>
  <c r="M2783" i="6" s="1"/>
  <c r="M2786" i="6"/>
  <c r="L2782" i="6"/>
  <c r="L2783" i="6" s="1"/>
  <c r="L2786" i="6"/>
  <c r="K2782" i="6"/>
  <c r="K2783" i="6" s="1"/>
  <c r="K2786" i="6"/>
  <c r="J2782" i="6"/>
  <c r="J2783" i="6" s="1"/>
  <c r="J2786" i="6"/>
  <c r="I2782" i="6"/>
  <c r="I2783" i="6" s="1"/>
  <c r="I2786" i="6"/>
  <c r="H2782" i="6"/>
  <c r="H2783" i="6" s="1"/>
  <c r="H2786" i="6"/>
  <c r="G2782" i="6"/>
  <c r="G2783" i="6" s="1"/>
  <c r="G2786" i="6"/>
  <c r="F2782" i="6"/>
  <c r="F2783" i="6" s="1"/>
  <c r="F2786" i="6"/>
  <c r="E2782" i="6"/>
  <c r="E2783" i="6" s="1"/>
  <c r="E2786" i="6"/>
  <c r="E3706" i="6"/>
  <c r="F3706" i="6"/>
  <c r="G3706" i="6"/>
  <c r="K3706" i="6"/>
  <c r="H3706" i="6"/>
  <c r="I3706" i="6"/>
  <c r="L3706" i="6"/>
  <c r="J3706" i="6"/>
  <c r="M3706" i="6"/>
  <c r="D3728" i="6"/>
  <c r="J3712" i="6"/>
  <c r="D3702" i="6"/>
  <c r="D3703" i="6" s="1"/>
  <c r="D3719" i="6"/>
  <c r="D3720" i="6" s="1"/>
  <c r="E3702" i="6"/>
  <c r="E3703" i="6" s="1"/>
  <c r="F3702" i="6"/>
  <c r="F3703" i="6" s="1"/>
  <c r="G3702" i="6"/>
  <c r="G3703" i="6" s="1"/>
  <c r="I3702" i="6"/>
  <c r="I3703" i="6" s="1"/>
  <c r="K3702" i="6"/>
  <c r="K3703" i="6" s="1"/>
  <c r="H3702" i="6"/>
  <c r="H3703" i="6" s="1"/>
  <c r="J3702" i="6"/>
  <c r="J3703" i="6" s="1"/>
  <c r="M3702" i="6"/>
  <c r="M3703" i="6" s="1"/>
  <c r="D3706" i="6"/>
  <c r="L3702" i="6"/>
  <c r="L3703" i="6" s="1"/>
  <c r="D4050" i="6"/>
  <c r="J4034" i="6"/>
  <c r="D4024" i="6"/>
  <c r="D4025" i="6" s="1"/>
  <c r="D4041" i="6"/>
  <c r="D4042" i="6" s="1"/>
  <c r="L4028" i="6"/>
  <c r="K4028" i="6"/>
  <c r="I4024" i="6"/>
  <c r="I4025" i="6" s="1"/>
  <c r="H4028" i="6"/>
  <c r="G4028" i="6"/>
  <c r="L4024" i="6"/>
  <c r="L4025" i="6" s="1"/>
  <c r="I4028" i="6"/>
  <c r="E4024" i="6"/>
  <c r="E4025" i="6" s="1"/>
  <c r="J4024" i="6"/>
  <c r="J4025" i="6" s="1"/>
  <c r="J4028" i="6"/>
  <c r="F4024" i="6"/>
  <c r="F4025" i="6" s="1"/>
  <c r="M4024" i="6"/>
  <c r="M4025" i="6" s="1"/>
  <c r="K4024" i="6"/>
  <c r="K4025" i="6" s="1"/>
  <c r="G4024" i="6"/>
  <c r="G4025" i="6" s="1"/>
  <c r="F4028" i="6"/>
  <c r="E4028" i="6"/>
  <c r="M4028" i="6"/>
  <c r="H4024" i="6"/>
  <c r="H4025" i="6" s="1"/>
  <c r="D4028" i="6"/>
  <c r="J3252" i="6"/>
  <c r="D3268" i="6"/>
  <c r="D3259" i="6"/>
  <c r="D3260" i="6" s="1"/>
  <c r="D3246" i="6"/>
  <c r="D3242" i="6"/>
  <c r="D3243" i="6" s="1"/>
  <c r="M3242" i="6"/>
  <c r="M3243" i="6" s="1"/>
  <c r="M3246" i="6"/>
  <c r="L3242" i="6"/>
  <c r="L3243" i="6" s="1"/>
  <c r="L3246" i="6"/>
  <c r="K3242" i="6"/>
  <c r="K3243" i="6" s="1"/>
  <c r="K3246" i="6"/>
  <c r="J3242" i="6"/>
  <c r="J3243" i="6" s="1"/>
  <c r="J3246" i="6"/>
  <c r="I3242" i="6"/>
  <c r="I3243" i="6" s="1"/>
  <c r="I3246" i="6"/>
  <c r="H3242" i="6"/>
  <c r="H3243" i="6" s="1"/>
  <c r="H3246" i="6"/>
  <c r="G3242" i="6"/>
  <c r="G3243" i="6" s="1"/>
  <c r="G3246" i="6"/>
  <c r="F3242" i="6"/>
  <c r="F3243" i="6" s="1"/>
  <c r="F3246" i="6"/>
  <c r="E3242" i="6"/>
  <c r="E3243" i="6" s="1"/>
  <c r="E3246" i="6"/>
  <c r="D4096" i="6"/>
  <c r="D4087" i="6"/>
  <c r="D4088" i="6" s="1"/>
  <c r="J4080" i="6"/>
  <c r="D4074" i="6"/>
  <c r="D4070" i="6"/>
  <c r="D4071" i="6" s="1"/>
  <c r="L4070" i="6"/>
  <c r="L4071" i="6" s="1"/>
  <c r="H4074" i="6"/>
  <c r="F4070" i="6"/>
  <c r="F4071" i="6" s="1"/>
  <c r="I4074" i="6"/>
  <c r="K4070" i="6"/>
  <c r="K4071" i="6" s="1"/>
  <c r="J4070" i="6"/>
  <c r="J4071" i="6" s="1"/>
  <c r="J4074" i="6"/>
  <c r="H4070" i="6"/>
  <c r="H4071" i="6" s="1"/>
  <c r="G4074" i="6"/>
  <c r="L4074" i="6"/>
  <c r="I4070" i="6"/>
  <c r="I4071" i="6" s="1"/>
  <c r="G4070" i="6"/>
  <c r="G4071" i="6" s="1"/>
  <c r="F4074" i="6"/>
  <c r="E4074" i="6"/>
  <c r="K4074" i="6"/>
  <c r="E4070" i="6"/>
  <c r="E4071" i="6" s="1"/>
  <c r="M4070" i="6"/>
  <c r="M4071" i="6" s="1"/>
  <c r="M4074" i="6"/>
  <c r="D4188" i="6"/>
  <c r="J4172" i="6"/>
  <c r="D4179" i="6"/>
  <c r="D4180" i="6" s="1"/>
  <c r="D4166" i="6"/>
  <c r="D4162" i="6"/>
  <c r="D4163" i="6" s="1"/>
  <c r="K4166" i="6"/>
  <c r="J4162" i="6"/>
  <c r="J4163" i="6" s="1"/>
  <c r="J4166" i="6"/>
  <c r="H4166" i="6"/>
  <c r="G4166" i="6"/>
  <c r="L4162" i="6"/>
  <c r="L4163" i="6" s="1"/>
  <c r="I4166" i="6"/>
  <c r="F4162" i="6"/>
  <c r="F4163" i="6" s="1"/>
  <c r="L4166" i="6"/>
  <c r="M4166" i="6"/>
  <c r="K4162" i="6"/>
  <c r="K4163" i="6" s="1"/>
  <c r="I4162" i="6"/>
  <c r="I4163" i="6" s="1"/>
  <c r="H4162" i="6"/>
  <c r="H4163" i="6" s="1"/>
  <c r="F4166" i="6"/>
  <c r="E4162" i="6"/>
  <c r="E4163" i="6" s="1"/>
  <c r="E4166" i="6"/>
  <c r="M4162" i="6"/>
  <c r="M4163" i="6" s="1"/>
  <c r="G4162" i="6"/>
  <c r="G4163" i="6" s="1"/>
  <c r="D4234" i="6"/>
  <c r="J4218" i="6"/>
  <c r="D4225" i="6"/>
  <c r="D4226" i="6" s="1"/>
  <c r="D4212" i="6"/>
  <c r="D4208" i="6"/>
  <c r="D4209" i="6" s="1"/>
  <c r="M4212" i="6"/>
  <c r="L4212" i="6"/>
  <c r="G4208" i="6"/>
  <c r="G4209" i="6" s="1"/>
  <c r="I4208" i="6"/>
  <c r="I4209" i="6" s="1"/>
  <c r="L4208" i="6"/>
  <c r="L4209" i="6" s="1"/>
  <c r="K4208" i="6"/>
  <c r="K4209" i="6" s="1"/>
  <c r="I4212" i="6"/>
  <c r="K4212" i="6"/>
  <c r="J4208" i="6"/>
  <c r="J4209" i="6" s="1"/>
  <c r="J4212" i="6"/>
  <c r="H4208" i="6"/>
  <c r="H4209" i="6" s="1"/>
  <c r="H4212" i="6"/>
  <c r="F4208" i="6"/>
  <c r="F4209" i="6" s="1"/>
  <c r="F4212" i="6"/>
  <c r="E4212" i="6"/>
  <c r="M4208" i="6"/>
  <c r="M4209" i="6" s="1"/>
  <c r="G4212" i="6"/>
  <c r="E4208" i="6"/>
  <c r="E4209" i="6" s="1"/>
  <c r="D4326" i="6"/>
  <c r="J4310" i="6"/>
  <c r="D4317" i="6"/>
  <c r="D4318" i="6" s="1"/>
  <c r="D4304" i="6"/>
  <c r="D4300" i="6"/>
  <c r="D4301" i="6" s="1"/>
  <c r="L4304" i="6"/>
  <c r="H4304" i="6"/>
  <c r="G4304" i="6"/>
  <c r="E4300" i="6"/>
  <c r="E4301" i="6" s="1"/>
  <c r="E4304" i="6"/>
  <c r="M4300" i="6"/>
  <c r="M4301" i="6" s="1"/>
  <c r="L4300" i="6"/>
  <c r="L4301" i="6" s="1"/>
  <c r="K4300" i="6"/>
  <c r="K4301" i="6" s="1"/>
  <c r="J4300" i="6"/>
  <c r="J4301" i="6" s="1"/>
  <c r="I4304" i="6"/>
  <c r="F4300" i="6"/>
  <c r="F4301" i="6" s="1"/>
  <c r="I4300" i="6"/>
  <c r="I4301" i="6" s="1"/>
  <c r="K4304" i="6"/>
  <c r="H4300" i="6"/>
  <c r="H4301" i="6" s="1"/>
  <c r="G4300" i="6"/>
  <c r="G4301" i="6" s="1"/>
  <c r="F4304" i="6"/>
  <c r="M4304" i="6"/>
  <c r="J4304" i="6"/>
  <c r="D4372" i="6"/>
  <c r="J4356" i="6"/>
  <c r="D4346" i="6"/>
  <c r="D4347" i="6" s="1"/>
  <c r="D4363" i="6"/>
  <c r="D4364" i="6" s="1"/>
  <c r="K4350" i="6"/>
  <c r="I4350" i="6"/>
  <c r="H4350" i="6"/>
  <c r="G4346" i="6"/>
  <c r="G4347" i="6" s="1"/>
  <c r="L4350" i="6"/>
  <c r="M4350" i="6"/>
  <c r="F4350" i="6"/>
  <c r="K4346" i="6"/>
  <c r="K4347" i="6" s="1"/>
  <c r="J4346" i="6"/>
  <c r="J4347" i="6" s="1"/>
  <c r="E4350" i="6"/>
  <c r="M4346" i="6"/>
  <c r="M4347" i="6" s="1"/>
  <c r="J4350" i="6"/>
  <c r="G4350" i="6"/>
  <c r="E4346" i="6"/>
  <c r="E4347" i="6" s="1"/>
  <c r="L4346" i="6"/>
  <c r="L4347" i="6" s="1"/>
  <c r="I4346" i="6"/>
  <c r="I4347" i="6" s="1"/>
  <c r="H4346" i="6"/>
  <c r="H4347" i="6" s="1"/>
  <c r="F4346" i="6"/>
  <c r="F4347" i="6" s="1"/>
  <c r="D4350" i="6"/>
  <c r="H14" i="17"/>
  <c r="D4464" i="6"/>
  <c r="J4448" i="6"/>
  <c r="D4455" i="6"/>
  <c r="D4456" i="6" s="1"/>
  <c r="D4442" i="6"/>
  <c r="D4438" i="6"/>
  <c r="D4439" i="6" s="1"/>
  <c r="F4442" i="6"/>
  <c r="F4438" i="6"/>
  <c r="F4439" i="6" s="1"/>
  <c r="G4438" i="6"/>
  <c r="G4439" i="6" s="1"/>
  <c r="G4442" i="6"/>
  <c r="H4442" i="6"/>
  <c r="L4442" i="6"/>
  <c r="L4438" i="6"/>
  <c r="L4439" i="6" s="1"/>
  <c r="E4438" i="6"/>
  <c r="E4439" i="6" s="1"/>
  <c r="I4442" i="6"/>
  <c r="I4438" i="6"/>
  <c r="I4439" i="6" s="1"/>
  <c r="K4442" i="6"/>
  <c r="K4438" i="6"/>
  <c r="K4439" i="6" s="1"/>
  <c r="E4442" i="6"/>
  <c r="H4438" i="6"/>
  <c r="H4439" i="6" s="1"/>
  <c r="J4442" i="6"/>
  <c r="J4438" i="6"/>
  <c r="J4439" i="6" s="1"/>
  <c r="M4442" i="6"/>
  <c r="M4438" i="6"/>
  <c r="M4439" i="6" s="1"/>
  <c r="H15" i="17"/>
  <c r="D4556" i="6"/>
  <c r="J4540" i="6"/>
  <c r="D4547" i="6"/>
  <c r="D4548" i="6" s="1"/>
  <c r="D4534" i="6"/>
  <c r="D4530" i="6"/>
  <c r="D4531" i="6" s="1"/>
  <c r="H4534" i="6"/>
  <c r="M4530" i="6"/>
  <c r="M4531" i="6" s="1"/>
  <c r="G4534" i="6"/>
  <c r="I4530" i="6"/>
  <c r="I4531" i="6" s="1"/>
  <c r="K4534" i="6"/>
  <c r="L4530" i="6"/>
  <c r="L4531" i="6" s="1"/>
  <c r="J4534" i="6"/>
  <c r="K4530" i="6"/>
  <c r="K4531" i="6" s="1"/>
  <c r="F4530" i="6"/>
  <c r="F4531" i="6" s="1"/>
  <c r="G4530" i="6"/>
  <c r="G4531" i="6" s="1"/>
  <c r="M4534" i="6"/>
  <c r="I4534" i="6"/>
  <c r="E4534" i="6"/>
  <c r="E4530" i="6"/>
  <c r="E4531" i="6" s="1"/>
  <c r="F4534" i="6"/>
  <c r="H4530" i="6"/>
  <c r="H4531" i="6" s="1"/>
  <c r="J4530" i="6"/>
  <c r="J4531" i="6" s="1"/>
  <c r="L4534" i="6"/>
  <c r="D53" i="15"/>
  <c r="D2210" i="14"/>
  <c r="F53" i="15" s="1"/>
  <c r="J2194" i="14"/>
  <c r="E53" i="15" s="1"/>
  <c r="D2201" i="14"/>
  <c r="D2202" i="14" s="1"/>
  <c r="D2188" i="14"/>
  <c r="D2184" i="14"/>
  <c r="D2185" i="14" s="1"/>
  <c r="E2188" i="14"/>
  <c r="E2184" i="14"/>
  <c r="E2185" i="14" s="1"/>
  <c r="H2184" i="14"/>
  <c r="H2185" i="14" s="1"/>
  <c r="L2188" i="14"/>
  <c r="L2184" i="14"/>
  <c r="L2185" i="14" s="1"/>
  <c r="F2188" i="14"/>
  <c r="G2188" i="14"/>
  <c r="H2188" i="14"/>
  <c r="I2188" i="14"/>
  <c r="G2184" i="14"/>
  <c r="G2185" i="14" s="1"/>
  <c r="K2188" i="14"/>
  <c r="M2188" i="14"/>
  <c r="M2184" i="14"/>
  <c r="M2185" i="14" s="1"/>
  <c r="F2184" i="14"/>
  <c r="F2185" i="14" s="1"/>
  <c r="I2184" i="14"/>
  <c r="I2185" i="14" s="1"/>
  <c r="J2188" i="14"/>
  <c r="J2184" i="14"/>
  <c r="J2185" i="14" s="1"/>
  <c r="K2184" i="14"/>
  <c r="K2185" i="14" s="1"/>
  <c r="I2234" i="14"/>
  <c r="E2234" i="14"/>
  <c r="M2234" i="14"/>
  <c r="G2234" i="14"/>
  <c r="F2234" i="14"/>
  <c r="L2234" i="14"/>
  <c r="H2234" i="14"/>
  <c r="K2234" i="14"/>
  <c r="D54" i="15"/>
  <c r="D2256" i="14"/>
  <c r="F54" i="15" s="1"/>
  <c r="J2240" i="14"/>
  <c r="E54" i="15" s="1"/>
  <c r="J2230" i="14"/>
  <c r="J2231" i="14" s="1"/>
  <c r="D2247" i="14"/>
  <c r="D2248" i="14" s="1"/>
  <c r="D2234" i="14"/>
  <c r="D2230" i="14"/>
  <c r="D2231" i="14" s="1"/>
  <c r="H2230" i="14"/>
  <c r="H2231" i="14" s="1"/>
  <c r="G2230" i="14"/>
  <c r="G2231" i="14" s="1"/>
  <c r="L2230" i="14"/>
  <c r="L2231" i="14" s="1"/>
  <c r="E2230" i="14"/>
  <c r="E2231" i="14" s="1"/>
  <c r="F2230" i="14"/>
  <c r="F2231" i="14" s="1"/>
  <c r="K2230" i="14"/>
  <c r="K2231" i="14" s="1"/>
  <c r="M2230" i="14"/>
  <c r="M2231" i="14" s="1"/>
  <c r="I2230" i="14"/>
  <c r="I2231" i="14" s="1"/>
  <c r="J2234" i="14"/>
  <c r="D55" i="15"/>
  <c r="D2302" i="14"/>
  <c r="F55" i="15" s="1"/>
  <c r="J2286" i="14"/>
  <c r="E55" i="15" s="1"/>
  <c r="D2293" i="14"/>
  <c r="D2294" i="14" s="1"/>
  <c r="D2280" i="14"/>
  <c r="D2276" i="14"/>
  <c r="D2277" i="14" s="1"/>
  <c r="E2280" i="14"/>
  <c r="E2276" i="14"/>
  <c r="E2277" i="14" s="1"/>
  <c r="G2276" i="14"/>
  <c r="G2277" i="14" s="1"/>
  <c r="J2276" i="14"/>
  <c r="J2277" i="14" s="1"/>
  <c r="M2276" i="14"/>
  <c r="M2277" i="14" s="1"/>
  <c r="L2280" i="14"/>
  <c r="F2276" i="14"/>
  <c r="F2277" i="14" s="1"/>
  <c r="H2280" i="14"/>
  <c r="H2276" i="14"/>
  <c r="H2277" i="14" s="1"/>
  <c r="K2280" i="14"/>
  <c r="K2276" i="14"/>
  <c r="K2277" i="14" s="1"/>
  <c r="F2280" i="14"/>
  <c r="G2280" i="14"/>
  <c r="I2280" i="14"/>
  <c r="I2276" i="14"/>
  <c r="I2277" i="14" s="1"/>
  <c r="J2280" i="14"/>
  <c r="L2276" i="14"/>
  <c r="L2277" i="14" s="1"/>
  <c r="M2280" i="14"/>
  <c r="D60" i="15"/>
  <c r="D2532" i="14"/>
  <c r="F60" i="15" s="1"/>
  <c r="J2516" i="14"/>
  <c r="E60" i="15" s="1"/>
  <c r="D2523" i="14"/>
  <c r="D2524" i="14" s="1"/>
  <c r="D2510" i="14"/>
  <c r="D2506" i="14"/>
  <c r="D2507" i="14" s="1"/>
  <c r="E2510" i="14"/>
  <c r="E2506" i="14"/>
  <c r="E2507" i="14" s="1"/>
  <c r="F2510" i="14"/>
  <c r="F2506" i="14"/>
  <c r="F2507" i="14" s="1"/>
  <c r="G2510" i="14"/>
  <c r="G2506" i="14"/>
  <c r="G2507" i="14" s="1"/>
  <c r="H2510" i="14"/>
  <c r="H2506" i="14"/>
  <c r="H2507" i="14" s="1"/>
  <c r="I2510" i="14"/>
  <c r="I2506" i="14"/>
  <c r="I2507" i="14" s="1"/>
  <c r="J2510" i="14"/>
  <c r="J2506" i="14"/>
  <c r="J2507" i="14" s="1"/>
  <c r="K2510" i="14"/>
  <c r="K2506" i="14"/>
  <c r="K2507" i="14" s="1"/>
  <c r="L2510" i="14"/>
  <c r="L2506" i="14"/>
  <c r="L2507" i="14" s="1"/>
  <c r="M2510" i="14"/>
  <c r="M2506" i="14"/>
  <c r="M2507" i="14" s="1"/>
  <c r="D62" i="15"/>
  <c r="D2624" i="14"/>
  <c r="F62" i="15" s="1"/>
  <c r="J2608" i="14"/>
  <c r="E62" i="15" s="1"/>
  <c r="D2615" i="14"/>
  <c r="D2616" i="14" s="1"/>
  <c r="D2598" i="14"/>
  <c r="D2599" i="14" s="1"/>
  <c r="D2602" i="14"/>
  <c r="E2602" i="14"/>
  <c r="E2598" i="14"/>
  <c r="E2599" i="14" s="1"/>
  <c r="F2602" i="14"/>
  <c r="F2598" i="14"/>
  <c r="F2599" i="14" s="1"/>
  <c r="G2602" i="14"/>
  <c r="G2598" i="14"/>
  <c r="G2599" i="14" s="1"/>
  <c r="H2602" i="14"/>
  <c r="H2598" i="14"/>
  <c r="H2599" i="14" s="1"/>
  <c r="I2598" i="14"/>
  <c r="I2599" i="14" s="1"/>
  <c r="J2598" i="14"/>
  <c r="J2599" i="14" s="1"/>
  <c r="K2602" i="14"/>
  <c r="K2598" i="14"/>
  <c r="K2599" i="14" s="1"/>
  <c r="L2602" i="14"/>
  <c r="L2598" i="14"/>
  <c r="L2599" i="14" s="1"/>
  <c r="M2602" i="14"/>
  <c r="M2598" i="14"/>
  <c r="M2599" i="14" s="1"/>
  <c r="I2602" i="14"/>
  <c r="J2602" i="14"/>
  <c r="D64" i="15"/>
  <c r="D2716" i="14"/>
  <c r="F64" i="15" s="1"/>
  <c r="J2700" i="14"/>
  <c r="E64" i="15" s="1"/>
  <c r="D2707" i="14"/>
  <c r="D2708" i="14" s="1"/>
  <c r="D2694" i="14"/>
  <c r="D2690" i="14"/>
  <c r="D2691" i="14" s="1"/>
  <c r="E2694" i="14"/>
  <c r="E2690" i="14"/>
  <c r="E2691" i="14" s="1"/>
  <c r="F2694" i="14"/>
  <c r="F2690" i="14"/>
  <c r="F2691" i="14" s="1"/>
  <c r="G2694" i="14"/>
  <c r="G2690" i="14"/>
  <c r="G2691" i="14" s="1"/>
  <c r="H2694" i="14"/>
  <c r="H2690" i="14"/>
  <c r="H2691" i="14" s="1"/>
  <c r="I2694" i="14"/>
  <c r="I2690" i="14"/>
  <c r="I2691" i="14" s="1"/>
  <c r="J2694" i="14"/>
  <c r="J2690" i="14"/>
  <c r="J2691" i="14" s="1"/>
  <c r="K2694" i="14"/>
  <c r="K2690" i="14"/>
  <c r="K2691" i="14" s="1"/>
  <c r="L2694" i="14"/>
  <c r="L2690" i="14"/>
  <c r="L2691" i="14" s="1"/>
  <c r="M2694" i="14"/>
  <c r="M2690" i="14"/>
  <c r="M2691" i="14" s="1"/>
  <c r="D65" i="15"/>
  <c r="D2762" i="14"/>
  <c r="F65" i="15" s="1"/>
  <c r="J2746" i="14"/>
  <c r="E65" i="15" s="1"/>
  <c r="D2753" i="14"/>
  <c r="D2754" i="14" s="1"/>
  <c r="D2736" i="14"/>
  <c r="D2737" i="14" s="1"/>
  <c r="D2740" i="14"/>
  <c r="E2740" i="14"/>
  <c r="E2736" i="14"/>
  <c r="E2737" i="14" s="1"/>
  <c r="F2740" i="14"/>
  <c r="F2736" i="14"/>
  <c r="F2737" i="14" s="1"/>
  <c r="G2740" i="14"/>
  <c r="G2736" i="14"/>
  <c r="G2737" i="14" s="1"/>
  <c r="H2740" i="14"/>
  <c r="H2736" i="14"/>
  <c r="H2737" i="14" s="1"/>
  <c r="I2740" i="14"/>
  <c r="I2736" i="14"/>
  <c r="I2737" i="14" s="1"/>
  <c r="J2740" i="14"/>
  <c r="J2736" i="14"/>
  <c r="J2737" i="14" s="1"/>
  <c r="K2740" i="14"/>
  <c r="K2736" i="14"/>
  <c r="K2737" i="14" s="1"/>
  <c r="L2740" i="14"/>
  <c r="L2736" i="14"/>
  <c r="L2737" i="14" s="1"/>
  <c r="M2740" i="14"/>
  <c r="M2736" i="14"/>
  <c r="M2737" i="14" s="1"/>
  <c r="D67" i="15"/>
  <c r="D2854" i="14"/>
  <c r="F67" i="15" s="1"/>
  <c r="J2838" i="14"/>
  <c r="E67" i="15" s="1"/>
  <c r="D2845" i="14"/>
  <c r="D2846" i="14" s="1"/>
  <c r="D2832" i="14"/>
  <c r="D2828" i="14"/>
  <c r="D2829" i="14" s="1"/>
  <c r="E2832" i="14"/>
  <c r="E2828" i="14"/>
  <c r="E2829" i="14" s="1"/>
  <c r="F2832" i="14"/>
  <c r="F2828" i="14"/>
  <c r="F2829" i="14" s="1"/>
  <c r="G2832" i="14"/>
  <c r="G2828" i="14"/>
  <c r="G2829" i="14" s="1"/>
  <c r="H2832" i="14"/>
  <c r="H2828" i="14"/>
  <c r="H2829" i="14" s="1"/>
  <c r="I2832" i="14"/>
  <c r="I2828" i="14"/>
  <c r="I2829" i="14" s="1"/>
  <c r="J2832" i="14"/>
  <c r="J2828" i="14"/>
  <c r="J2829" i="14" s="1"/>
  <c r="K2832" i="14"/>
  <c r="K2828" i="14"/>
  <c r="K2829" i="14" s="1"/>
  <c r="L2832" i="14"/>
  <c r="L2828" i="14"/>
  <c r="L2829" i="14" s="1"/>
  <c r="M2832" i="14"/>
  <c r="M2828" i="14"/>
  <c r="M2829" i="14" s="1"/>
  <c r="D2891" i="14"/>
  <c r="D2892" i="14" s="1"/>
  <c r="D68" i="15"/>
  <c r="D2900" i="14"/>
  <c r="F68" i="15" s="1"/>
  <c r="J2884" i="14"/>
  <c r="E68" i="15" s="1"/>
  <c r="J2874" i="14"/>
  <c r="J2875" i="14" s="1"/>
  <c r="M2874" i="14"/>
  <c r="M2875" i="14" s="1"/>
  <c r="M2878" i="14"/>
  <c r="L2878" i="14"/>
  <c r="K2874" i="14"/>
  <c r="K2875" i="14" s="1"/>
  <c r="K2878" i="14"/>
  <c r="J2878" i="14"/>
  <c r="I2874" i="14"/>
  <c r="I2875" i="14" s="1"/>
  <c r="D2874" i="14"/>
  <c r="D2875" i="14" s="1"/>
  <c r="I2878" i="14"/>
  <c r="D2878" i="14"/>
  <c r="L2874" i="14"/>
  <c r="L2875" i="14" s="1"/>
  <c r="H2874" i="14"/>
  <c r="H2875" i="14" s="1"/>
  <c r="H2878" i="14"/>
  <c r="E2878" i="14"/>
  <c r="E2874" i="14"/>
  <c r="E2875" i="14" s="1"/>
  <c r="F2878" i="14"/>
  <c r="F2874" i="14"/>
  <c r="F2875" i="14" s="1"/>
  <c r="G2878" i="14"/>
  <c r="G2874" i="14"/>
  <c r="G2875" i="14" s="1"/>
  <c r="D70" i="15"/>
  <c r="D2992" i="14"/>
  <c r="F70" i="15" s="1"/>
  <c r="J2976" i="14"/>
  <c r="E70" i="15" s="1"/>
  <c r="D2983" i="14"/>
  <c r="D2984" i="14" s="1"/>
  <c r="D2970" i="14"/>
  <c r="D2966" i="14"/>
  <c r="D2967" i="14" s="1"/>
  <c r="E2970" i="14"/>
  <c r="E2966" i="14"/>
  <c r="E2967" i="14" s="1"/>
  <c r="F2970" i="14"/>
  <c r="F2966" i="14"/>
  <c r="F2967" i="14" s="1"/>
  <c r="G2970" i="14"/>
  <c r="G2966" i="14"/>
  <c r="G2967" i="14" s="1"/>
  <c r="H2970" i="14"/>
  <c r="H2966" i="14"/>
  <c r="H2967" i="14" s="1"/>
  <c r="I2970" i="14"/>
  <c r="I2966" i="14"/>
  <c r="I2967" i="14" s="1"/>
  <c r="J2970" i="14"/>
  <c r="J2966" i="14"/>
  <c r="J2967" i="14" s="1"/>
  <c r="K2970" i="14"/>
  <c r="K2966" i="14"/>
  <c r="K2967" i="14" s="1"/>
  <c r="L2970" i="14"/>
  <c r="L2966" i="14"/>
  <c r="L2967" i="14" s="1"/>
  <c r="M2970" i="14"/>
  <c r="M2966" i="14"/>
  <c r="M2967" i="14" s="1"/>
  <c r="D71" i="15"/>
  <c r="D3038" i="14"/>
  <c r="F71" i="15" s="1"/>
  <c r="J3022" i="14"/>
  <c r="E71" i="15" s="1"/>
  <c r="D3029" i="14"/>
  <c r="D3030" i="14" s="1"/>
  <c r="D3016" i="14"/>
  <c r="D3012" i="14"/>
  <c r="D3013" i="14" s="1"/>
  <c r="E3016" i="14"/>
  <c r="E3012" i="14"/>
  <c r="E3013" i="14" s="1"/>
  <c r="F3016" i="14"/>
  <c r="F3012" i="14"/>
  <c r="F3013" i="14" s="1"/>
  <c r="G3016" i="14"/>
  <c r="G3012" i="14"/>
  <c r="G3013" i="14" s="1"/>
  <c r="H3016" i="14"/>
  <c r="H3012" i="14"/>
  <c r="H3013" i="14" s="1"/>
  <c r="I3016" i="14"/>
  <c r="I3012" i="14"/>
  <c r="I3013" i="14" s="1"/>
  <c r="J3016" i="14"/>
  <c r="J3012" i="14"/>
  <c r="J3013" i="14" s="1"/>
  <c r="K3016" i="14"/>
  <c r="K3012" i="14"/>
  <c r="K3013" i="14" s="1"/>
  <c r="L3016" i="14"/>
  <c r="L3012" i="14"/>
  <c r="L3013" i="14" s="1"/>
  <c r="M3016" i="14"/>
  <c r="M3012" i="14"/>
  <c r="M3013" i="14" s="1"/>
  <c r="D74" i="15"/>
  <c r="D3176" i="14"/>
  <c r="F74" i="15" s="1"/>
  <c r="J3160" i="14"/>
  <c r="E74" i="15" s="1"/>
  <c r="D3167" i="14"/>
  <c r="D3168" i="14" s="1"/>
  <c r="D3154" i="14"/>
  <c r="D3150" i="14"/>
  <c r="D3151" i="14" s="1"/>
  <c r="E3154" i="14"/>
  <c r="E3150" i="14"/>
  <c r="E3151" i="14" s="1"/>
  <c r="F3154" i="14"/>
  <c r="F3150" i="14"/>
  <c r="F3151" i="14" s="1"/>
  <c r="G3154" i="14"/>
  <c r="G3150" i="14"/>
  <c r="G3151" i="14" s="1"/>
  <c r="H3154" i="14"/>
  <c r="H3150" i="14"/>
  <c r="H3151" i="14" s="1"/>
  <c r="I3154" i="14"/>
  <c r="I3150" i="14"/>
  <c r="I3151" i="14" s="1"/>
  <c r="J3154" i="14"/>
  <c r="J3150" i="14"/>
  <c r="J3151" i="14" s="1"/>
  <c r="K3154" i="14"/>
  <c r="K3150" i="14"/>
  <c r="K3151" i="14" s="1"/>
  <c r="L3154" i="14"/>
  <c r="L3150" i="14"/>
  <c r="L3151" i="14" s="1"/>
  <c r="M3154" i="14"/>
  <c r="M3150" i="14"/>
  <c r="M3151" i="14" s="1"/>
  <c r="D75" i="15"/>
  <c r="D3222" i="14"/>
  <c r="F75" i="15" s="1"/>
  <c r="J3206" i="14"/>
  <c r="D3213" i="14"/>
  <c r="D3214" i="14" s="1"/>
  <c r="D3196" i="14"/>
  <c r="D3197" i="14" s="1"/>
  <c r="D3200" i="14"/>
  <c r="E3200" i="14"/>
  <c r="E3196" i="14"/>
  <c r="E3197" i="14" s="1"/>
  <c r="F3200" i="14"/>
  <c r="F3196" i="14"/>
  <c r="F3197" i="14" s="1"/>
  <c r="G3200" i="14"/>
  <c r="G3196" i="14"/>
  <c r="G3197" i="14" s="1"/>
  <c r="H3200" i="14"/>
  <c r="H3196" i="14"/>
  <c r="H3197" i="14" s="1"/>
  <c r="I3200" i="14"/>
  <c r="I3196" i="14"/>
  <c r="I3197" i="14" s="1"/>
  <c r="J3200" i="14"/>
  <c r="J3196" i="14"/>
  <c r="J3197" i="14" s="1"/>
  <c r="K3200" i="14"/>
  <c r="K3196" i="14"/>
  <c r="K3197" i="14" s="1"/>
  <c r="L3200" i="14"/>
  <c r="L3196" i="14"/>
  <c r="L3197" i="14" s="1"/>
  <c r="M3200" i="14"/>
  <c r="M3196" i="14"/>
  <c r="M3197" i="14" s="1"/>
  <c r="J906" i="6"/>
  <c r="D922" i="6"/>
  <c r="D913" i="6"/>
  <c r="D914" i="6" s="1"/>
  <c r="D900" i="6"/>
  <c r="D896" i="6"/>
  <c r="D897" i="6" s="1"/>
  <c r="M896" i="6"/>
  <c r="M897" i="6" s="1"/>
  <c r="M900" i="6"/>
  <c r="E900" i="6"/>
  <c r="G900" i="6"/>
  <c r="H896" i="6"/>
  <c r="H897" i="6" s="1"/>
  <c r="I896" i="6"/>
  <c r="I897" i="6" s="1"/>
  <c r="J900" i="6"/>
  <c r="K896" i="6"/>
  <c r="K897" i="6" s="1"/>
  <c r="L900" i="6"/>
  <c r="L896" i="6"/>
  <c r="L897" i="6" s="1"/>
  <c r="E896" i="6"/>
  <c r="E897" i="6" s="1"/>
  <c r="F900" i="6"/>
  <c r="F896" i="6"/>
  <c r="F897" i="6" s="1"/>
  <c r="G896" i="6"/>
  <c r="G897" i="6" s="1"/>
  <c r="H900" i="6"/>
  <c r="I900" i="6"/>
  <c r="J896" i="6"/>
  <c r="J897" i="6" s="1"/>
  <c r="K900" i="6"/>
  <c r="E1222" i="6"/>
  <c r="G1222" i="6"/>
  <c r="H1222" i="6"/>
  <c r="I1222" i="6"/>
  <c r="J1222" i="6"/>
  <c r="K1222" i="6"/>
  <c r="L1222" i="6"/>
  <c r="M1222" i="6"/>
  <c r="D1244" i="6"/>
  <c r="D1235" i="6"/>
  <c r="D1236" i="6" s="1"/>
  <c r="J1228" i="6"/>
  <c r="F1222" i="6"/>
  <c r="F1218" i="6"/>
  <c r="F1219" i="6" s="1"/>
  <c r="D1222" i="6"/>
  <c r="D1218" i="6"/>
  <c r="D1219" i="6" s="1"/>
  <c r="E1218" i="6"/>
  <c r="E1219" i="6" s="1"/>
  <c r="G1218" i="6"/>
  <c r="G1219" i="6" s="1"/>
  <c r="H1218" i="6"/>
  <c r="H1219" i="6" s="1"/>
  <c r="I1218" i="6"/>
  <c r="I1219" i="6" s="1"/>
  <c r="J1218" i="6"/>
  <c r="J1219" i="6" s="1"/>
  <c r="K1218" i="6"/>
  <c r="K1219" i="6" s="1"/>
  <c r="L1218" i="6"/>
  <c r="L1219" i="6" s="1"/>
  <c r="M1218" i="6"/>
  <c r="M1219" i="6" s="1"/>
  <c r="D1428" i="6"/>
  <c r="J1412" i="6"/>
  <c r="D1419" i="6"/>
  <c r="D1420" i="6" s="1"/>
  <c r="D1406" i="6"/>
  <c r="D1402" i="6"/>
  <c r="D1403" i="6" s="1"/>
  <c r="E1406" i="6"/>
  <c r="E1402" i="6"/>
  <c r="E1403" i="6" s="1"/>
  <c r="F1406" i="6"/>
  <c r="F1402" i="6"/>
  <c r="F1403" i="6" s="1"/>
  <c r="G1406" i="6"/>
  <c r="G1402" i="6"/>
  <c r="G1403" i="6" s="1"/>
  <c r="H1406" i="6"/>
  <c r="H1402" i="6"/>
  <c r="H1403" i="6" s="1"/>
  <c r="I1406" i="6"/>
  <c r="I1402" i="6"/>
  <c r="I1403" i="6" s="1"/>
  <c r="J1406" i="6"/>
  <c r="J1402" i="6"/>
  <c r="J1403" i="6" s="1"/>
  <c r="K1406" i="6"/>
  <c r="K1402" i="6"/>
  <c r="K1403" i="6" s="1"/>
  <c r="L1406" i="6"/>
  <c r="L1402" i="6"/>
  <c r="L1403" i="6" s="1"/>
  <c r="M1406" i="6"/>
  <c r="M1402" i="6"/>
  <c r="M1403" i="6" s="1"/>
  <c r="E1452" i="6"/>
  <c r="F1452" i="6"/>
  <c r="G1452" i="6"/>
  <c r="H1452" i="6"/>
  <c r="I1452" i="6"/>
  <c r="J1452" i="6"/>
  <c r="K1452" i="6"/>
  <c r="L1452" i="6"/>
  <c r="M1452" i="6"/>
  <c r="D1474" i="6"/>
  <c r="J1458" i="6"/>
  <c r="D1465" i="6"/>
  <c r="D1466" i="6" s="1"/>
  <c r="D1452" i="6"/>
  <c r="D1448" i="6"/>
  <c r="D1449" i="6" s="1"/>
  <c r="E1448" i="6"/>
  <c r="E1449" i="6" s="1"/>
  <c r="F1448" i="6"/>
  <c r="F1449" i="6" s="1"/>
  <c r="G1448" i="6"/>
  <c r="G1449" i="6" s="1"/>
  <c r="H1448" i="6"/>
  <c r="H1449" i="6" s="1"/>
  <c r="I1448" i="6"/>
  <c r="I1449" i="6" s="1"/>
  <c r="J1448" i="6"/>
  <c r="J1449" i="6" s="1"/>
  <c r="K1448" i="6"/>
  <c r="K1449" i="6" s="1"/>
  <c r="L1448" i="6"/>
  <c r="L1449" i="6" s="1"/>
  <c r="M1448" i="6"/>
  <c r="M1449" i="6" s="1"/>
  <c r="J722" i="6"/>
  <c r="B27" i="19" s="1"/>
  <c r="B26" i="19"/>
  <c r="F27" i="17"/>
  <c r="F19" i="17"/>
  <c r="H11" i="17"/>
  <c r="I11" i="17" s="1"/>
  <c r="F11" i="17"/>
  <c r="G11" i="17" s="1"/>
  <c r="B60" i="19" s="1"/>
  <c r="D738" i="6"/>
  <c r="B28" i="19" s="1"/>
  <c r="D729" i="6"/>
  <c r="D730" i="6" s="1"/>
  <c r="D716" i="6"/>
  <c r="D712" i="6"/>
  <c r="D713" i="6" s="1"/>
  <c r="M712" i="6"/>
  <c r="M713" i="6" s="1"/>
  <c r="M716" i="6"/>
  <c r="L712" i="6"/>
  <c r="L713" i="6" s="1"/>
  <c r="L716" i="6"/>
  <c r="K712" i="6"/>
  <c r="K713" i="6" s="1"/>
  <c r="K716" i="6"/>
  <c r="J712" i="6"/>
  <c r="J713" i="6" s="1"/>
  <c r="J716" i="6"/>
  <c r="I712" i="6"/>
  <c r="I713" i="6" s="1"/>
  <c r="I716" i="6"/>
  <c r="H712" i="6"/>
  <c r="H713" i="6" s="1"/>
  <c r="H716" i="6"/>
  <c r="G712" i="6"/>
  <c r="G713" i="6" s="1"/>
  <c r="G716" i="6"/>
  <c r="F712" i="6"/>
  <c r="F713" i="6" s="1"/>
  <c r="F716" i="6"/>
  <c r="E712" i="6"/>
  <c r="E713" i="6" s="1"/>
  <c r="E716" i="6"/>
  <c r="D1612" i="6"/>
  <c r="J1596" i="6"/>
  <c r="D1603" i="6"/>
  <c r="D1604" i="6" s="1"/>
  <c r="D1590" i="6"/>
  <c r="D1586" i="6"/>
  <c r="D1587" i="6" s="1"/>
  <c r="M1590" i="6"/>
  <c r="L1586" i="6"/>
  <c r="L1587" i="6" s="1"/>
  <c r="J1586" i="6"/>
  <c r="J1587" i="6" s="1"/>
  <c r="J1590" i="6"/>
  <c r="I1586" i="6"/>
  <c r="I1587" i="6" s="1"/>
  <c r="H1590" i="6"/>
  <c r="G1586" i="6"/>
  <c r="G1587" i="6" s="1"/>
  <c r="G1590" i="6"/>
  <c r="M1586" i="6"/>
  <c r="M1587" i="6" s="1"/>
  <c r="L1590" i="6"/>
  <c r="K1586" i="6"/>
  <c r="K1587" i="6" s="1"/>
  <c r="K1590" i="6"/>
  <c r="I1590" i="6"/>
  <c r="H1586" i="6"/>
  <c r="H1587" i="6" s="1"/>
  <c r="F1586" i="6"/>
  <c r="F1587" i="6" s="1"/>
  <c r="F1590" i="6"/>
  <c r="E1586" i="6"/>
  <c r="E1587" i="6" s="1"/>
  <c r="E1590" i="6"/>
  <c r="D1658" i="6"/>
  <c r="J1642" i="6"/>
  <c r="D1649" i="6"/>
  <c r="D1650" i="6" s="1"/>
  <c r="D1636" i="6"/>
  <c r="D1632" i="6"/>
  <c r="D1633" i="6" s="1"/>
  <c r="M1632" i="6"/>
  <c r="M1633" i="6" s="1"/>
  <c r="L1632" i="6"/>
  <c r="L1633" i="6" s="1"/>
  <c r="L1636" i="6"/>
  <c r="K1636" i="6"/>
  <c r="J1632" i="6"/>
  <c r="J1633" i="6" s="1"/>
  <c r="J1636" i="6"/>
  <c r="H1636" i="6"/>
  <c r="G1636" i="6"/>
  <c r="F1632" i="6"/>
  <c r="F1633" i="6" s="1"/>
  <c r="F1636" i="6"/>
  <c r="E1632" i="6"/>
  <c r="E1633" i="6" s="1"/>
  <c r="E1636" i="6"/>
  <c r="M1636" i="6"/>
  <c r="K1632" i="6"/>
  <c r="K1633" i="6" s="1"/>
  <c r="I1632" i="6"/>
  <c r="I1633" i="6" s="1"/>
  <c r="I1636" i="6"/>
  <c r="H1632" i="6"/>
  <c r="H1633" i="6" s="1"/>
  <c r="G1632" i="6"/>
  <c r="G1633" i="6" s="1"/>
  <c r="D1750" i="6"/>
  <c r="J1734" i="6"/>
  <c r="D1741" i="6"/>
  <c r="D1742" i="6" s="1"/>
  <c r="D1728" i="6"/>
  <c r="D1724" i="6"/>
  <c r="D1725" i="6" s="1"/>
  <c r="M1724" i="6"/>
  <c r="M1725" i="6" s="1"/>
  <c r="M1728" i="6"/>
  <c r="L1724" i="6"/>
  <c r="L1725" i="6" s="1"/>
  <c r="L1728" i="6"/>
  <c r="K1724" i="6"/>
  <c r="K1725" i="6" s="1"/>
  <c r="K1728" i="6"/>
  <c r="J1724" i="6"/>
  <c r="J1725" i="6" s="1"/>
  <c r="J1728" i="6"/>
  <c r="I1724" i="6"/>
  <c r="I1725" i="6" s="1"/>
  <c r="I1728" i="6"/>
  <c r="H1724" i="6"/>
  <c r="H1725" i="6" s="1"/>
  <c r="H1728" i="6"/>
  <c r="G1724" i="6"/>
  <c r="G1725" i="6" s="1"/>
  <c r="G1728" i="6"/>
  <c r="F1724" i="6"/>
  <c r="F1725" i="6" s="1"/>
  <c r="F1728" i="6"/>
  <c r="E1724" i="6"/>
  <c r="E1725" i="6" s="1"/>
  <c r="E1728" i="6"/>
  <c r="D1796" i="6"/>
  <c r="J1780" i="6"/>
  <c r="D1787" i="6"/>
  <c r="D1788" i="6" s="1"/>
  <c r="D1774" i="6"/>
  <c r="D1770" i="6"/>
  <c r="D1771" i="6" s="1"/>
  <c r="I1770" i="6"/>
  <c r="I1771" i="6" s="1"/>
  <c r="H1774" i="6"/>
  <c r="E1774" i="6"/>
  <c r="M1770" i="6"/>
  <c r="M1771" i="6" s="1"/>
  <c r="M1774" i="6"/>
  <c r="L1770" i="6"/>
  <c r="L1771" i="6" s="1"/>
  <c r="L1774" i="6"/>
  <c r="K1770" i="6"/>
  <c r="K1771" i="6" s="1"/>
  <c r="K1774" i="6"/>
  <c r="J1770" i="6"/>
  <c r="J1771" i="6" s="1"/>
  <c r="J1774" i="6"/>
  <c r="I1774" i="6"/>
  <c r="H1770" i="6"/>
  <c r="H1771" i="6" s="1"/>
  <c r="G1770" i="6"/>
  <c r="G1771" i="6" s="1"/>
  <c r="G1774" i="6"/>
  <c r="F1770" i="6"/>
  <c r="F1771" i="6" s="1"/>
  <c r="F1774" i="6"/>
  <c r="E1770" i="6"/>
  <c r="E1771" i="6" s="1"/>
  <c r="D1382" i="6"/>
  <c r="J1366" i="6"/>
  <c r="D1373" i="6"/>
  <c r="D1374" i="6" s="1"/>
  <c r="K1360" i="6"/>
  <c r="K1356" i="6"/>
  <c r="K1357" i="6" s="1"/>
  <c r="D1360" i="6"/>
  <c r="D1356" i="6"/>
  <c r="D1357" i="6" s="1"/>
  <c r="M1356" i="6"/>
  <c r="M1357" i="6" s="1"/>
  <c r="M1360" i="6"/>
  <c r="L1356" i="6"/>
  <c r="L1357" i="6" s="1"/>
  <c r="L1360" i="6"/>
  <c r="J1356" i="6"/>
  <c r="J1357" i="6" s="1"/>
  <c r="J1360" i="6"/>
  <c r="I1356" i="6"/>
  <c r="I1357" i="6" s="1"/>
  <c r="I1360" i="6"/>
  <c r="H1356" i="6"/>
  <c r="H1357" i="6" s="1"/>
  <c r="H1360" i="6"/>
  <c r="G1356" i="6"/>
  <c r="G1357" i="6" s="1"/>
  <c r="G1360" i="6"/>
  <c r="F1356" i="6"/>
  <c r="F1357" i="6" s="1"/>
  <c r="F1360" i="6"/>
  <c r="E1356" i="6"/>
  <c r="E1357" i="6" s="1"/>
  <c r="E1360" i="6"/>
  <c r="D1934" i="6"/>
  <c r="J1918" i="6"/>
  <c r="D1925" i="6"/>
  <c r="D1926" i="6" s="1"/>
  <c r="D1912" i="6"/>
  <c r="D1908" i="6"/>
  <c r="D1909" i="6" s="1"/>
  <c r="M1908" i="6"/>
  <c r="M1909" i="6" s="1"/>
  <c r="M1912" i="6"/>
  <c r="L1908" i="6"/>
  <c r="L1909" i="6" s="1"/>
  <c r="L1912" i="6"/>
  <c r="K1908" i="6"/>
  <c r="K1909" i="6" s="1"/>
  <c r="K1912" i="6"/>
  <c r="J1908" i="6"/>
  <c r="J1909" i="6" s="1"/>
  <c r="J1912" i="6"/>
  <c r="I1908" i="6"/>
  <c r="I1909" i="6" s="1"/>
  <c r="I1912" i="6"/>
  <c r="H1908" i="6"/>
  <c r="H1909" i="6" s="1"/>
  <c r="H1912" i="6"/>
  <c r="G1908" i="6"/>
  <c r="G1909" i="6" s="1"/>
  <c r="G1912" i="6"/>
  <c r="F1908" i="6"/>
  <c r="F1909" i="6" s="1"/>
  <c r="F1912" i="6"/>
  <c r="E1908" i="6"/>
  <c r="E1909" i="6" s="1"/>
  <c r="E1912" i="6"/>
  <c r="D2072" i="6"/>
  <c r="J2056" i="6"/>
  <c r="D2063" i="6"/>
  <c r="D2064" i="6" s="1"/>
  <c r="D2050" i="6"/>
  <c r="D2046" i="6"/>
  <c r="D2047" i="6" s="1"/>
  <c r="M2046" i="6"/>
  <c r="M2047" i="6" s="1"/>
  <c r="M2050" i="6"/>
  <c r="L2046" i="6"/>
  <c r="L2047" i="6" s="1"/>
  <c r="L2050" i="6"/>
  <c r="K2046" i="6"/>
  <c r="K2047" i="6" s="1"/>
  <c r="K2050" i="6"/>
  <c r="J2046" i="6"/>
  <c r="J2047" i="6" s="1"/>
  <c r="J2050" i="6"/>
  <c r="I2046" i="6"/>
  <c r="I2047" i="6" s="1"/>
  <c r="I2050" i="6"/>
  <c r="H2046" i="6"/>
  <c r="H2047" i="6" s="1"/>
  <c r="H2050" i="6"/>
  <c r="G2046" i="6"/>
  <c r="G2047" i="6" s="1"/>
  <c r="G2050" i="6"/>
  <c r="F2046" i="6"/>
  <c r="F2047" i="6" s="1"/>
  <c r="F2050" i="6"/>
  <c r="E2046" i="6"/>
  <c r="E2047" i="6" s="1"/>
  <c r="E2050" i="6"/>
  <c r="D2210" i="6"/>
  <c r="D2201" i="6"/>
  <c r="D2202" i="6" s="1"/>
  <c r="J2194" i="6"/>
  <c r="D2188" i="6"/>
  <c r="M2188" i="6"/>
  <c r="L2188" i="6"/>
  <c r="J2188" i="6"/>
  <c r="I2184" i="6"/>
  <c r="I2185" i="6" s="1"/>
  <c r="G2184" i="6"/>
  <c r="G2185" i="6" s="1"/>
  <c r="F2184" i="6"/>
  <c r="F2185" i="6" s="1"/>
  <c r="J2184" i="6"/>
  <c r="J2185" i="6" s="1"/>
  <c r="G2188" i="6"/>
  <c r="M2184" i="6"/>
  <c r="M2185" i="6" s="1"/>
  <c r="L2184" i="6"/>
  <c r="L2185" i="6" s="1"/>
  <c r="K2184" i="6"/>
  <c r="K2185" i="6" s="1"/>
  <c r="K2188" i="6"/>
  <c r="I2188" i="6"/>
  <c r="H2184" i="6"/>
  <c r="H2185" i="6" s="1"/>
  <c r="H2188" i="6"/>
  <c r="F2188" i="6"/>
  <c r="E2184" i="6"/>
  <c r="E2185" i="6" s="1"/>
  <c r="E2188" i="6"/>
  <c r="D2184" i="6"/>
  <c r="D2185" i="6" s="1"/>
  <c r="E22" i="6"/>
  <c r="E23" i="6" s="1"/>
  <c r="J32" i="6"/>
  <c r="B6" i="19"/>
  <c r="F22" i="17"/>
  <c r="F14" i="17"/>
  <c r="H6" i="17"/>
  <c r="I6" i="17" s="1"/>
  <c r="F6" i="17"/>
  <c r="G6" i="17" s="1"/>
  <c r="B55" i="19" s="1"/>
  <c r="D48" i="6"/>
  <c r="B8" i="19" s="1"/>
  <c r="D39" i="6"/>
  <c r="D40" i="6" s="1"/>
  <c r="D26" i="6"/>
  <c r="D22" i="6"/>
  <c r="D23" i="6" s="1"/>
  <c r="E26" i="6"/>
  <c r="F26" i="6"/>
  <c r="F22" i="6"/>
  <c r="F23" i="6" s="1"/>
  <c r="G26" i="6"/>
  <c r="G22" i="6"/>
  <c r="G23" i="6" s="1"/>
  <c r="H26" i="6"/>
  <c r="H22" i="6"/>
  <c r="H23" i="6" s="1"/>
  <c r="I26" i="6"/>
  <c r="I22" i="6"/>
  <c r="I23" i="6" s="1"/>
  <c r="J26" i="6"/>
  <c r="J22" i="6"/>
  <c r="J23" i="6" s="1"/>
  <c r="K26" i="6"/>
  <c r="K22" i="6"/>
  <c r="K23" i="6" s="1"/>
  <c r="L26" i="6"/>
  <c r="L22" i="6"/>
  <c r="L23" i="6" s="1"/>
  <c r="M26" i="6"/>
  <c r="M22" i="6"/>
  <c r="M23" i="6" s="1"/>
  <c r="J354" i="6"/>
  <c r="D370" i="6"/>
  <c r="D361" i="6"/>
  <c r="D362" i="6" s="1"/>
  <c r="D348" i="6"/>
  <c r="D344" i="6"/>
  <c r="D345" i="6" s="1"/>
  <c r="E348" i="6"/>
  <c r="E344" i="6"/>
  <c r="E345" i="6" s="1"/>
  <c r="F348" i="6"/>
  <c r="F344" i="6"/>
  <c r="F345" i="6" s="1"/>
  <c r="G348" i="6"/>
  <c r="G344" i="6"/>
  <c r="G345" i="6" s="1"/>
  <c r="H348" i="6"/>
  <c r="H344" i="6"/>
  <c r="H345" i="6" s="1"/>
  <c r="I348" i="6"/>
  <c r="I344" i="6"/>
  <c r="I345" i="6" s="1"/>
  <c r="J348" i="6"/>
  <c r="J344" i="6"/>
  <c r="J345" i="6" s="1"/>
  <c r="K348" i="6"/>
  <c r="K344" i="6"/>
  <c r="K345" i="6" s="1"/>
  <c r="L348" i="6"/>
  <c r="L344" i="6"/>
  <c r="L345" i="6" s="1"/>
  <c r="M348" i="6"/>
  <c r="M344" i="6"/>
  <c r="M345" i="6" s="1"/>
  <c r="J78" i="6"/>
  <c r="D94" i="6"/>
  <c r="D85" i="6"/>
  <c r="D86" i="6" s="1"/>
  <c r="D72" i="6"/>
  <c r="D68" i="6"/>
  <c r="D69" i="6" s="1"/>
  <c r="E72" i="6"/>
  <c r="E68" i="6"/>
  <c r="E69" i="6" s="1"/>
  <c r="F72" i="6"/>
  <c r="F68" i="6"/>
  <c r="F69" i="6" s="1"/>
  <c r="G72" i="6"/>
  <c r="G68" i="6"/>
  <c r="G69" i="6" s="1"/>
  <c r="H72" i="6"/>
  <c r="H68" i="6"/>
  <c r="H69" i="6" s="1"/>
  <c r="I72" i="6"/>
  <c r="I68" i="6"/>
  <c r="I69" i="6" s="1"/>
  <c r="J72" i="6"/>
  <c r="J68" i="6"/>
  <c r="J69" i="6" s="1"/>
  <c r="K72" i="6"/>
  <c r="K68" i="6"/>
  <c r="K69" i="6" s="1"/>
  <c r="L72" i="6"/>
  <c r="L68" i="6"/>
  <c r="L69" i="6" s="1"/>
  <c r="M72" i="6"/>
  <c r="M68" i="6"/>
  <c r="M69" i="6" s="1"/>
  <c r="J584" i="6"/>
  <c r="D600" i="6"/>
  <c r="B24" i="19" s="1"/>
  <c r="B22" i="19"/>
  <c r="F26" i="17"/>
  <c r="F18" i="17"/>
  <c r="H10" i="17"/>
  <c r="F10" i="17"/>
  <c r="D591" i="6"/>
  <c r="D592" i="6" s="1"/>
  <c r="D578" i="6"/>
  <c r="D574" i="6"/>
  <c r="D575" i="6" s="1"/>
  <c r="F578" i="6"/>
  <c r="F574" i="6"/>
  <c r="F575" i="6" s="1"/>
  <c r="H578" i="6"/>
  <c r="H574" i="6"/>
  <c r="H575" i="6" s="1"/>
  <c r="I578" i="6"/>
  <c r="I574" i="6"/>
  <c r="I575" i="6" s="1"/>
  <c r="J574" i="6"/>
  <c r="J575" i="6" s="1"/>
  <c r="K574" i="6"/>
  <c r="K575" i="6" s="1"/>
  <c r="L578" i="6"/>
  <c r="L574" i="6"/>
  <c r="L575" i="6" s="1"/>
  <c r="M578" i="6"/>
  <c r="M574" i="6"/>
  <c r="M575" i="6" s="1"/>
  <c r="E578" i="6"/>
  <c r="E574" i="6"/>
  <c r="E575" i="6" s="1"/>
  <c r="G578" i="6"/>
  <c r="G574" i="6"/>
  <c r="G575" i="6" s="1"/>
  <c r="J578" i="6"/>
  <c r="K578" i="6"/>
  <c r="D646" i="6"/>
  <c r="J630" i="6"/>
  <c r="D637" i="6"/>
  <c r="D638" i="6" s="1"/>
  <c r="D624" i="6"/>
  <c r="D620" i="6"/>
  <c r="D621" i="6" s="1"/>
  <c r="E624" i="6"/>
  <c r="E620" i="6"/>
  <c r="E621" i="6" s="1"/>
  <c r="F624" i="6"/>
  <c r="F620" i="6"/>
  <c r="F621" i="6" s="1"/>
  <c r="G624" i="6"/>
  <c r="G620" i="6"/>
  <c r="G621" i="6" s="1"/>
  <c r="H624" i="6"/>
  <c r="H620" i="6"/>
  <c r="H621" i="6" s="1"/>
  <c r="I624" i="6"/>
  <c r="I620" i="6"/>
  <c r="I621" i="6" s="1"/>
  <c r="J624" i="6"/>
  <c r="J620" i="6"/>
  <c r="J621" i="6" s="1"/>
  <c r="K624" i="6"/>
  <c r="K620" i="6"/>
  <c r="K621" i="6" s="1"/>
  <c r="L624" i="6"/>
  <c r="L620" i="6"/>
  <c r="L621" i="6" s="1"/>
  <c r="M624" i="6"/>
  <c r="M620" i="6"/>
  <c r="M621" i="6" s="1"/>
  <c r="D784" i="6"/>
  <c r="J768" i="6"/>
  <c r="D775" i="6"/>
  <c r="D776" i="6" s="1"/>
  <c r="D762" i="6"/>
  <c r="D758" i="6"/>
  <c r="D759" i="6" s="1"/>
  <c r="M758" i="6"/>
  <c r="M759" i="6" s="1"/>
  <c r="M762" i="6"/>
  <c r="L758" i="6"/>
  <c r="L759" i="6" s="1"/>
  <c r="L762" i="6"/>
  <c r="K758" i="6"/>
  <c r="K759" i="6" s="1"/>
  <c r="K762" i="6"/>
  <c r="J758" i="6"/>
  <c r="J759" i="6" s="1"/>
  <c r="J762" i="6"/>
  <c r="I758" i="6"/>
  <c r="I759" i="6" s="1"/>
  <c r="I762" i="6"/>
  <c r="H758" i="6"/>
  <c r="H759" i="6" s="1"/>
  <c r="H762" i="6"/>
  <c r="G758" i="6"/>
  <c r="G759" i="6" s="1"/>
  <c r="G762" i="6"/>
  <c r="F758" i="6"/>
  <c r="F759" i="6" s="1"/>
  <c r="F762" i="6"/>
  <c r="E758" i="6"/>
  <c r="E759" i="6" s="1"/>
  <c r="E762" i="6"/>
  <c r="D830" i="6"/>
  <c r="J814" i="6"/>
  <c r="D821" i="6"/>
  <c r="D822" i="6" s="1"/>
  <c r="D808" i="6"/>
  <c r="D804" i="6"/>
  <c r="D805" i="6" s="1"/>
  <c r="L808" i="6"/>
  <c r="I808" i="6"/>
  <c r="H804" i="6"/>
  <c r="H805" i="6" s="1"/>
  <c r="H808" i="6"/>
  <c r="G804" i="6"/>
  <c r="G805" i="6" s="1"/>
  <c r="G808" i="6"/>
  <c r="F804" i="6"/>
  <c r="F805" i="6" s="1"/>
  <c r="F808" i="6"/>
  <c r="E804" i="6"/>
  <c r="E805" i="6" s="1"/>
  <c r="E808" i="6"/>
  <c r="M804" i="6"/>
  <c r="M805" i="6" s="1"/>
  <c r="M808" i="6"/>
  <c r="L804" i="6"/>
  <c r="L805" i="6" s="1"/>
  <c r="K804" i="6"/>
  <c r="K805" i="6" s="1"/>
  <c r="K808" i="6"/>
  <c r="J804" i="6"/>
  <c r="J805" i="6" s="1"/>
  <c r="J808" i="6"/>
  <c r="I804" i="6"/>
  <c r="I805" i="6" s="1"/>
  <c r="B30" i="19"/>
  <c r="F28" i="17"/>
  <c r="F20" i="17"/>
  <c r="H12" i="17"/>
  <c r="F12" i="17"/>
  <c r="D876" i="6"/>
  <c r="B32" i="19" s="1"/>
  <c r="J860" i="6"/>
  <c r="D850" i="6"/>
  <c r="D851" i="6" s="1"/>
  <c r="D867" i="6"/>
  <c r="D868" i="6" s="1"/>
  <c r="D854" i="6"/>
  <c r="E854" i="6"/>
  <c r="E850" i="6"/>
  <c r="E851" i="6" s="1"/>
  <c r="F854" i="6"/>
  <c r="F850" i="6"/>
  <c r="F851" i="6" s="1"/>
  <c r="G854" i="6"/>
  <c r="G850" i="6"/>
  <c r="G851" i="6" s="1"/>
  <c r="H850" i="6"/>
  <c r="H851" i="6" s="1"/>
  <c r="I854" i="6"/>
  <c r="J854" i="6"/>
  <c r="K850" i="6"/>
  <c r="K851" i="6" s="1"/>
  <c r="M850" i="6"/>
  <c r="M851" i="6" s="1"/>
  <c r="H854" i="6"/>
  <c r="I850" i="6"/>
  <c r="I851" i="6" s="1"/>
  <c r="J850" i="6"/>
  <c r="J851" i="6" s="1"/>
  <c r="K854" i="6"/>
  <c r="L854" i="6"/>
  <c r="L850" i="6"/>
  <c r="L851" i="6" s="1"/>
  <c r="M854" i="6"/>
  <c r="D140" i="6"/>
  <c r="J124" i="6"/>
  <c r="D131" i="6"/>
  <c r="D132" i="6" s="1"/>
  <c r="D118" i="6"/>
  <c r="D114" i="6"/>
  <c r="D115" i="6" s="1"/>
  <c r="E118" i="6"/>
  <c r="E114" i="6"/>
  <c r="E115" i="6" s="1"/>
  <c r="F118" i="6"/>
  <c r="F114" i="6"/>
  <c r="F115" i="6" s="1"/>
  <c r="G118" i="6"/>
  <c r="G114" i="6"/>
  <c r="G115" i="6" s="1"/>
  <c r="H118" i="6"/>
  <c r="H114" i="6"/>
  <c r="H115" i="6" s="1"/>
  <c r="I118" i="6"/>
  <c r="I114" i="6"/>
  <c r="I115" i="6" s="1"/>
  <c r="J118" i="6"/>
  <c r="J114" i="6"/>
  <c r="J115" i="6" s="1"/>
  <c r="K118" i="6"/>
  <c r="K114" i="6"/>
  <c r="K115" i="6" s="1"/>
  <c r="L118" i="6"/>
  <c r="L114" i="6"/>
  <c r="L115" i="6" s="1"/>
  <c r="M118" i="6"/>
  <c r="M114" i="6"/>
  <c r="M115" i="6" s="1"/>
  <c r="D324" i="6"/>
  <c r="B16" i="19" s="1"/>
  <c r="J308" i="6"/>
  <c r="B14" i="19"/>
  <c r="F24" i="17"/>
  <c r="F16" i="17"/>
  <c r="H8" i="17"/>
  <c r="F8" i="17"/>
  <c r="D315" i="6"/>
  <c r="D316" i="6" s="1"/>
  <c r="D302" i="6"/>
  <c r="D298" i="6"/>
  <c r="D299" i="6" s="1"/>
  <c r="E302" i="6"/>
  <c r="E298" i="6"/>
  <c r="E299" i="6" s="1"/>
  <c r="F302" i="6"/>
  <c r="F298" i="6"/>
  <c r="F299" i="6" s="1"/>
  <c r="G302" i="6"/>
  <c r="G298" i="6"/>
  <c r="G299" i="6" s="1"/>
  <c r="H302" i="6"/>
  <c r="H298" i="6"/>
  <c r="H299" i="6" s="1"/>
  <c r="I302" i="6"/>
  <c r="I298" i="6"/>
  <c r="I299" i="6" s="1"/>
  <c r="J302" i="6"/>
  <c r="J298" i="6"/>
  <c r="J299" i="6" s="1"/>
  <c r="K302" i="6"/>
  <c r="K298" i="6"/>
  <c r="K299" i="6" s="1"/>
  <c r="L302" i="6"/>
  <c r="L298" i="6"/>
  <c r="L299" i="6" s="1"/>
  <c r="M302" i="6"/>
  <c r="M298" i="6"/>
  <c r="M299" i="6" s="1"/>
  <c r="J446" i="6"/>
  <c r="B19" i="19" s="1"/>
  <c r="B18" i="19"/>
  <c r="F25" i="17"/>
  <c r="F17" i="17"/>
  <c r="H9" i="17"/>
  <c r="F9" i="17"/>
  <c r="D462" i="6"/>
  <c r="B20" i="19" s="1"/>
  <c r="D453" i="6"/>
  <c r="D454" i="6" s="1"/>
  <c r="D440" i="6"/>
  <c r="D436" i="6"/>
  <c r="D437" i="6" s="1"/>
  <c r="L436" i="6"/>
  <c r="L437" i="6" s="1"/>
  <c r="J436" i="6"/>
  <c r="J437" i="6" s="1"/>
  <c r="H436" i="6"/>
  <c r="H437" i="6" s="1"/>
  <c r="G436" i="6"/>
  <c r="G437" i="6" s="1"/>
  <c r="G440" i="6"/>
  <c r="F436" i="6"/>
  <c r="F437" i="6" s="1"/>
  <c r="F440" i="6"/>
  <c r="E440" i="6"/>
  <c r="J440" i="6"/>
  <c r="M436" i="6"/>
  <c r="M437" i="6" s="1"/>
  <c r="M440" i="6"/>
  <c r="L440" i="6"/>
  <c r="K436" i="6"/>
  <c r="K437" i="6" s="1"/>
  <c r="K440" i="6"/>
  <c r="I436" i="6"/>
  <c r="I437" i="6" s="1"/>
  <c r="I440" i="6"/>
  <c r="H440" i="6"/>
  <c r="E436" i="6"/>
  <c r="E437" i="6" s="1"/>
  <c r="D1060" i="6"/>
  <c r="J1044" i="6"/>
  <c r="D1051" i="6"/>
  <c r="D1052" i="6" s="1"/>
  <c r="D1038" i="6"/>
  <c r="D1034" i="6"/>
  <c r="D1035" i="6" s="1"/>
  <c r="L1034" i="6"/>
  <c r="L1035" i="6" s="1"/>
  <c r="K1034" i="6"/>
  <c r="K1035" i="6" s="1"/>
  <c r="I1038" i="6"/>
  <c r="H1038" i="6"/>
  <c r="G1034" i="6"/>
  <c r="G1035" i="6" s="1"/>
  <c r="G1038" i="6"/>
  <c r="F1034" i="6"/>
  <c r="F1035" i="6" s="1"/>
  <c r="M1034" i="6"/>
  <c r="M1035" i="6" s="1"/>
  <c r="M1038" i="6"/>
  <c r="L1038" i="6"/>
  <c r="K1038" i="6"/>
  <c r="J1034" i="6"/>
  <c r="J1035" i="6" s="1"/>
  <c r="J1038" i="6"/>
  <c r="I1034" i="6"/>
  <c r="I1035" i="6" s="1"/>
  <c r="H1034" i="6"/>
  <c r="H1035" i="6" s="1"/>
  <c r="F1038" i="6"/>
  <c r="E1034" i="6"/>
  <c r="E1035" i="6" s="1"/>
  <c r="E1038" i="6"/>
  <c r="D1106" i="6"/>
  <c r="J1090" i="6"/>
  <c r="D1097" i="6"/>
  <c r="D1098" i="6" s="1"/>
  <c r="D1084" i="6"/>
  <c r="D1080" i="6"/>
  <c r="D1081" i="6" s="1"/>
  <c r="M1080" i="6"/>
  <c r="M1081" i="6" s="1"/>
  <c r="M1084" i="6"/>
  <c r="L1080" i="6"/>
  <c r="L1081" i="6" s="1"/>
  <c r="L1084" i="6"/>
  <c r="K1080" i="6"/>
  <c r="K1081" i="6" s="1"/>
  <c r="K1084" i="6"/>
  <c r="J1080" i="6"/>
  <c r="J1081" i="6" s="1"/>
  <c r="J1084" i="6"/>
  <c r="I1080" i="6"/>
  <c r="I1081" i="6" s="1"/>
  <c r="I1084" i="6"/>
  <c r="H1080" i="6"/>
  <c r="H1081" i="6" s="1"/>
  <c r="H1084" i="6"/>
  <c r="G1080" i="6"/>
  <c r="G1081" i="6" s="1"/>
  <c r="G1084" i="6"/>
  <c r="F1080" i="6"/>
  <c r="F1081" i="6" s="1"/>
  <c r="F1084" i="6"/>
  <c r="E1080" i="6"/>
  <c r="E1081" i="6" s="1"/>
  <c r="E1084" i="6"/>
  <c r="D31" i="17"/>
  <c r="B81" i="19" s="1"/>
  <c r="D1152" i="6"/>
  <c r="J1136" i="6"/>
  <c r="D1143" i="6"/>
  <c r="D1144" i="6" s="1"/>
  <c r="D1130" i="6"/>
  <c r="D1126" i="6"/>
  <c r="D1127" i="6" s="1"/>
  <c r="E1130" i="6"/>
  <c r="E1126" i="6"/>
  <c r="E1127" i="6" s="1"/>
  <c r="F1130" i="6"/>
  <c r="F1126" i="6"/>
  <c r="F1127" i="6" s="1"/>
  <c r="G1130" i="6"/>
  <c r="G1126" i="6"/>
  <c r="G1127" i="6" s="1"/>
  <c r="H1130" i="6"/>
  <c r="H1126" i="6"/>
  <c r="H1127" i="6" s="1"/>
  <c r="I1130" i="6"/>
  <c r="I1126" i="6"/>
  <c r="I1127" i="6" s="1"/>
  <c r="J1130" i="6"/>
  <c r="J1126" i="6"/>
  <c r="J1127" i="6" s="1"/>
  <c r="K1130" i="6"/>
  <c r="K1126" i="6"/>
  <c r="K1127" i="6" s="1"/>
  <c r="L1130" i="6"/>
  <c r="L1126" i="6"/>
  <c r="L1127" i="6" s="1"/>
  <c r="M1130" i="6"/>
  <c r="M1126" i="6"/>
  <c r="M1127" i="6" s="1"/>
  <c r="D1198" i="6"/>
  <c r="J1182" i="6"/>
  <c r="D1189" i="6"/>
  <c r="D1190" i="6" s="1"/>
  <c r="D1172" i="6"/>
  <c r="D1173" i="6" s="1"/>
  <c r="E1176" i="6"/>
  <c r="E1172" i="6"/>
  <c r="E1173" i="6" s="1"/>
  <c r="F1176" i="6"/>
  <c r="F1172" i="6"/>
  <c r="F1173" i="6" s="1"/>
  <c r="G1176" i="6"/>
  <c r="G1172" i="6"/>
  <c r="G1173" i="6" s="1"/>
  <c r="H1176" i="6"/>
  <c r="H1172" i="6"/>
  <c r="H1173" i="6" s="1"/>
  <c r="I1176" i="6"/>
  <c r="I1172" i="6"/>
  <c r="I1173" i="6" s="1"/>
  <c r="J1176" i="6"/>
  <c r="J1172" i="6"/>
  <c r="J1173" i="6" s="1"/>
  <c r="K1176" i="6"/>
  <c r="K1172" i="6"/>
  <c r="K1173" i="6" s="1"/>
  <c r="L1176" i="6"/>
  <c r="L1172" i="6"/>
  <c r="L1173" i="6" s="1"/>
  <c r="M1176" i="6"/>
  <c r="M1172" i="6"/>
  <c r="M1173" i="6" s="1"/>
  <c r="D1176" i="6"/>
  <c r="J538" i="6"/>
  <c r="D554" i="6"/>
  <c r="D545" i="6"/>
  <c r="D546" i="6" s="1"/>
  <c r="D532" i="6"/>
  <c r="D528" i="6"/>
  <c r="D529" i="6" s="1"/>
  <c r="M528" i="6"/>
  <c r="M529" i="6" s="1"/>
  <c r="M532" i="6"/>
  <c r="L528" i="6"/>
  <c r="L529" i="6" s="1"/>
  <c r="L532" i="6"/>
  <c r="I528" i="6"/>
  <c r="I529" i="6" s="1"/>
  <c r="H528" i="6"/>
  <c r="H529" i="6" s="1"/>
  <c r="E532" i="6"/>
  <c r="K528" i="6"/>
  <c r="K529" i="6" s="1"/>
  <c r="K532" i="6"/>
  <c r="G528" i="6"/>
  <c r="G529" i="6" s="1"/>
  <c r="G532" i="6"/>
  <c r="J528" i="6"/>
  <c r="J529" i="6" s="1"/>
  <c r="J532" i="6"/>
  <c r="I532" i="6"/>
  <c r="H532" i="6"/>
  <c r="F528" i="6"/>
  <c r="F529" i="6" s="1"/>
  <c r="F532" i="6"/>
  <c r="E528" i="6"/>
  <c r="E529" i="6" s="1"/>
  <c r="D692" i="6"/>
  <c r="J676" i="6"/>
  <c r="D683" i="6"/>
  <c r="D684" i="6" s="1"/>
  <c r="G666" i="6"/>
  <c r="G667" i="6" s="1"/>
  <c r="D670" i="6"/>
  <c r="D666" i="6"/>
  <c r="D667" i="6" s="1"/>
  <c r="F670" i="6"/>
  <c r="F666" i="6"/>
  <c r="F667" i="6" s="1"/>
  <c r="G670" i="6"/>
  <c r="E670" i="6"/>
  <c r="E666" i="6"/>
  <c r="E667" i="6" s="1"/>
  <c r="H670" i="6"/>
  <c r="H666" i="6"/>
  <c r="H667" i="6" s="1"/>
  <c r="I670" i="6"/>
  <c r="I666" i="6"/>
  <c r="I667" i="6" s="1"/>
  <c r="J670" i="6"/>
  <c r="J666" i="6"/>
  <c r="J667" i="6" s="1"/>
  <c r="K670" i="6"/>
  <c r="K666" i="6"/>
  <c r="K667" i="6" s="1"/>
  <c r="L670" i="6"/>
  <c r="L666" i="6"/>
  <c r="L667" i="6" s="1"/>
  <c r="M670" i="6"/>
  <c r="M666" i="6"/>
  <c r="M667" i="6" s="1"/>
  <c r="D968" i="6"/>
  <c r="J952" i="6"/>
  <c r="D959" i="6"/>
  <c r="D960" i="6" s="1"/>
  <c r="D946" i="6"/>
  <c r="D942" i="6"/>
  <c r="D943" i="6" s="1"/>
  <c r="F946" i="6"/>
  <c r="G946" i="6"/>
  <c r="H946" i="6"/>
  <c r="H942" i="6"/>
  <c r="H943" i="6" s="1"/>
  <c r="J946" i="6"/>
  <c r="K946" i="6"/>
  <c r="L946" i="6"/>
  <c r="E946" i="6"/>
  <c r="E942" i="6"/>
  <c r="E943" i="6" s="1"/>
  <c r="F942" i="6"/>
  <c r="F943" i="6" s="1"/>
  <c r="G942" i="6"/>
  <c r="G943" i="6" s="1"/>
  <c r="I946" i="6"/>
  <c r="I942" i="6"/>
  <c r="I943" i="6" s="1"/>
  <c r="J942" i="6"/>
  <c r="J943" i="6" s="1"/>
  <c r="K942" i="6"/>
  <c r="K943" i="6" s="1"/>
  <c r="L942" i="6"/>
  <c r="L943" i="6" s="1"/>
  <c r="M946" i="6"/>
  <c r="M942" i="6"/>
  <c r="M943" i="6" s="1"/>
  <c r="J998" i="6"/>
  <c r="B35" i="19" s="1"/>
  <c r="B34" i="19"/>
  <c r="F29" i="17"/>
  <c r="F21" i="17"/>
  <c r="G21" i="17" s="1"/>
  <c r="B71" i="19" s="1"/>
  <c r="H13" i="17"/>
  <c r="I13" i="17" s="1"/>
  <c r="F13" i="17"/>
  <c r="G13" i="17" s="1"/>
  <c r="B62" i="19" s="1"/>
  <c r="D1014" i="6"/>
  <c r="B36" i="19" s="1"/>
  <c r="D1005" i="6"/>
  <c r="D1006" i="6" s="1"/>
  <c r="D992" i="6"/>
  <c r="D988" i="6"/>
  <c r="D989" i="6" s="1"/>
  <c r="M988" i="6"/>
  <c r="M989" i="6" s="1"/>
  <c r="L992" i="6"/>
  <c r="K988" i="6"/>
  <c r="K989" i="6" s="1"/>
  <c r="J988" i="6"/>
  <c r="J989" i="6" s="1"/>
  <c r="J992" i="6"/>
  <c r="I988" i="6"/>
  <c r="I989" i="6" s="1"/>
  <c r="H988" i="6"/>
  <c r="H989" i="6" s="1"/>
  <c r="H992" i="6"/>
  <c r="F992" i="6"/>
  <c r="M992" i="6"/>
  <c r="L988" i="6"/>
  <c r="L989" i="6" s="1"/>
  <c r="K992" i="6"/>
  <c r="I992" i="6"/>
  <c r="G988" i="6"/>
  <c r="G989" i="6" s="1"/>
  <c r="G992" i="6"/>
  <c r="F988" i="6"/>
  <c r="F989" i="6" s="1"/>
  <c r="E988" i="6"/>
  <c r="E989" i="6" s="1"/>
  <c r="E992" i="6"/>
  <c r="D1704" i="6"/>
  <c r="J1688" i="6"/>
  <c r="D1695" i="6"/>
  <c r="D1696" i="6" s="1"/>
  <c r="D1682" i="6"/>
  <c r="D1678" i="6"/>
  <c r="D1679" i="6" s="1"/>
  <c r="M1678" i="6"/>
  <c r="M1679" i="6" s="1"/>
  <c r="M1682" i="6"/>
  <c r="L1678" i="6"/>
  <c r="L1679" i="6" s="1"/>
  <c r="L1682" i="6"/>
  <c r="K1678" i="6"/>
  <c r="K1679" i="6" s="1"/>
  <c r="K1682" i="6"/>
  <c r="J1678" i="6"/>
  <c r="J1679" i="6" s="1"/>
  <c r="J1682" i="6"/>
  <c r="I1678" i="6"/>
  <c r="I1679" i="6" s="1"/>
  <c r="I1682" i="6"/>
  <c r="H1678" i="6"/>
  <c r="H1679" i="6" s="1"/>
  <c r="H1682" i="6"/>
  <c r="G1678" i="6"/>
  <c r="G1679" i="6" s="1"/>
  <c r="G1682" i="6"/>
  <c r="F1678" i="6"/>
  <c r="F1679" i="6" s="1"/>
  <c r="F1682" i="6"/>
  <c r="E1678" i="6"/>
  <c r="E1679" i="6" s="1"/>
  <c r="E1682" i="6"/>
  <c r="J492" i="6"/>
  <c r="D508" i="6"/>
  <c r="D499" i="6"/>
  <c r="D500" i="6" s="1"/>
  <c r="D486" i="6"/>
  <c r="D482" i="6"/>
  <c r="D483" i="6" s="1"/>
  <c r="M486" i="6"/>
  <c r="L486" i="6"/>
  <c r="K486" i="6"/>
  <c r="J482" i="6"/>
  <c r="J483" i="6" s="1"/>
  <c r="J486" i="6"/>
  <c r="H482" i="6"/>
  <c r="H483" i="6" s="1"/>
  <c r="G482" i="6"/>
  <c r="G483" i="6" s="1"/>
  <c r="F482" i="6"/>
  <c r="F483" i="6" s="1"/>
  <c r="F486" i="6"/>
  <c r="E486" i="6"/>
  <c r="M482" i="6"/>
  <c r="M483" i="6" s="1"/>
  <c r="L482" i="6"/>
  <c r="L483" i="6" s="1"/>
  <c r="K482" i="6"/>
  <c r="K483" i="6" s="1"/>
  <c r="I482" i="6"/>
  <c r="I483" i="6" s="1"/>
  <c r="I486" i="6"/>
  <c r="H486" i="6"/>
  <c r="G486" i="6"/>
  <c r="E482" i="6"/>
  <c r="E483" i="6" s="1"/>
  <c r="I15" i="17" l="1"/>
  <c r="L165" i="6"/>
  <c r="L166" i="6" s="1"/>
  <c r="I14" i="17"/>
  <c r="I12" i="17"/>
  <c r="G12" i="17"/>
  <c r="B61" i="19" s="1"/>
  <c r="I8" i="17"/>
  <c r="G8" i="17"/>
  <c r="B57" i="19" s="1"/>
  <c r="I9" i="17"/>
  <c r="G9" i="17"/>
  <c r="B58" i="19" s="1"/>
  <c r="F4256" i="14"/>
  <c r="F4257" i="14" s="1"/>
  <c r="F4259" i="14" s="1"/>
  <c r="F4260" i="14" s="1"/>
  <c r="E99" i="15"/>
  <c r="D32" i="1"/>
  <c r="I10" i="17"/>
  <c r="G10" i="17"/>
  <c r="B59" i="19" s="1"/>
  <c r="I7" i="17"/>
  <c r="G7" i="17"/>
  <c r="B56" i="19" s="1"/>
  <c r="E8" i="17"/>
  <c r="E7" i="17"/>
  <c r="E6" i="17"/>
  <c r="E31" i="1"/>
  <c r="E32" i="1"/>
  <c r="E29" i="1"/>
  <c r="E13" i="17"/>
  <c r="E12" i="17"/>
  <c r="E11" i="17"/>
  <c r="E10" i="17"/>
  <c r="E9" i="17"/>
  <c r="E30" i="1"/>
  <c r="I20" i="17"/>
  <c r="G20" i="17"/>
  <c r="B70" i="19" s="1"/>
  <c r="G19" i="17"/>
  <c r="B69" i="19" s="1"/>
  <c r="I19" i="17"/>
  <c r="G18" i="17"/>
  <c r="B68" i="19" s="1"/>
  <c r="I18" i="17"/>
  <c r="G17" i="17"/>
  <c r="B67" i="19" s="1"/>
  <c r="I17" i="17"/>
  <c r="I16" i="17"/>
  <c r="G16" i="17"/>
  <c r="B66" i="19" s="1"/>
  <c r="E14" i="17"/>
  <c r="E15" i="17"/>
  <c r="E16" i="17"/>
  <c r="E17" i="17"/>
  <c r="E18" i="17"/>
  <c r="E19" i="17"/>
  <c r="E21" i="17"/>
  <c r="E20" i="17"/>
  <c r="G29" i="17"/>
  <c r="B80" i="19" s="1"/>
  <c r="I29" i="17"/>
  <c r="G28" i="17"/>
  <c r="B79" i="19" s="1"/>
  <c r="I28" i="17"/>
  <c r="G27" i="17"/>
  <c r="B78" i="19" s="1"/>
  <c r="I27" i="17"/>
  <c r="G26" i="17"/>
  <c r="B77" i="19" s="1"/>
  <c r="I26" i="17"/>
  <c r="G25" i="17"/>
  <c r="B76" i="19" s="1"/>
  <c r="I25" i="17"/>
  <c r="G24" i="17"/>
  <c r="B75" i="19" s="1"/>
  <c r="I24" i="17"/>
  <c r="I23" i="17"/>
  <c r="G23" i="17"/>
  <c r="B74" i="19" s="1"/>
  <c r="I22" i="17"/>
  <c r="G22" i="17"/>
  <c r="B73" i="19" s="1"/>
  <c r="E22" i="17"/>
  <c r="E23" i="17"/>
  <c r="E24" i="17"/>
  <c r="E25" i="17"/>
  <c r="E26" i="17"/>
  <c r="E27" i="17"/>
  <c r="E28" i="17"/>
  <c r="E29" i="17"/>
  <c r="J1512" i="6"/>
  <c r="J1513" i="6" s="1"/>
  <c r="D1497" i="6"/>
  <c r="D1499" i="6" s="1"/>
  <c r="D1500" i="6" s="1"/>
  <c r="D1517" i="6" s="1"/>
  <c r="J408" i="6"/>
  <c r="J409" i="6" s="1"/>
  <c r="D393" i="6"/>
  <c r="D395" i="6" s="1"/>
  <c r="D396" i="6" s="1"/>
  <c r="D413" i="6" s="1"/>
  <c r="J2156" i="6"/>
  <c r="J2157" i="6" s="1"/>
  <c r="D2141" i="6"/>
  <c r="D2143" i="6" s="1"/>
  <c r="D2144" i="6" s="1"/>
  <c r="D2161" i="6" s="1"/>
  <c r="J2294" i="6"/>
  <c r="J2295" i="6" s="1"/>
  <c r="D2279" i="6"/>
  <c r="D2281" i="6" s="1"/>
  <c r="D2282" i="6" s="1"/>
  <c r="D2299" i="6" s="1"/>
  <c r="J2340" i="6"/>
  <c r="J2341" i="6" s="1"/>
  <c r="D2325" i="6"/>
  <c r="D2327" i="6" s="1"/>
  <c r="D2328" i="6" s="1"/>
  <c r="D2345" i="6" s="1"/>
  <c r="J2386" i="6"/>
  <c r="J2387" i="6" s="1"/>
  <c r="D2371" i="6"/>
  <c r="D2373" i="6" s="1"/>
  <c r="D2374" i="6" s="1"/>
  <c r="D2391" i="6" s="1"/>
  <c r="J2432" i="6"/>
  <c r="J2433" i="6" s="1"/>
  <c r="D2417" i="6"/>
  <c r="D2419" i="6" s="1"/>
  <c r="D2420" i="6" s="1"/>
  <c r="D2437" i="6" s="1"/>
  <c r="J2478" i="6"/>
  <c r="J2479" i="6" s="1"/>
  <c r="D2463" i="6"/>
  <c r="D2465" i="6" s="1"/>
  <c r="D2466" i="6" s="1"/>
  <c r="D2483" i="6" s="1"/>
  <c r="J1282" i="6"/>
  <c r="J1283" i="6" s="1"/>
  <c r="D1267" i="6"/>
  <c r="D1269" i="6" s="1"/>
  <c r="D1270" i="6" s="1"/>
  <c r="D1287" i="6" s="1"/>
  <c r="D1289" i="6"/>
  <c r="J1285" i="6"/>
  <c r="D1288" i="6"/>
  <c r="J1880" i="6"/>
  <c r="J1881" i="6" s="1"/>
  <c r="D1865" i="6"/>
  <c r="D1867" i="6" s="1"/>
  <c r="D1868" i="6" s="1"/>
  <c r="D1885" i="6" s="1"/>
  <c r="J2018" i="6"/>
  <c r="J2019" i="6" s="1"/>
  <c r="D2003" i="6"/>
  <c r="D2005" i="6" s="1"/>
  <c r="D2006" i="6" s="1"/>
  <c r="D2023" i="6" s="1"/>
  <c r="J2524" i="6"/>
  <c r="J2525" i="6" s="1"/>
  <c r="D2509" i="6"/>
  <c r="D2511" i="6" s="1"/>
  <c r="D2512" i="6" s="1"/>
  <c r="D2529" i="6" s="1"/>
  <c r="J2570" i="6"/>
  <c r="J2571" i="6" s="1"/>
  <c r="D2555" i="6"/>
  <c r="D2557" i="6" s="1"/>
  <c r="D2558" i="6" s="1"/>
  <c r="D2575" i="6" s="1"/>
  <c r="J2708" i="6"/>
  <c r="J2709" i="6" s="1"/>
  <c r="D2693" i="6"/>
  <c r="D2695" i="6" s="1"/>
  <c r="D2696" i="6" s="1"/>
  <c r="D2713" i="6" s="1"/>
  <c r="J2754" i="6"/>
  <c r="J2755" i="6" s="1"/>
  <c r="D2739" i="6"/>
  <c r="D2741" i="6" s="1"/>
  <c r="D2742" i="6" s="1"/>
  <c r="D2759" i="6" s="1"/>
  <c r="J2892" i="6"/>
  <c r="J2893" i="6" s="1"/>
  <c r="D2877" i="6"/>
  <c r="D2879" i="6" s="1"/>
  <c r="D2880" i="6" s="1"/>
  <c r="D2897" i="6" s="1"/>
  <c r="J3904" i="6"/>
  <c r="J3905" i="6" s="1"/>
  <c r="D3889" i="6"/>
  <c r="D3891" i="6" s="1"/>
  <c r="D3892" i="6" s="1"/>
  <c r="D3909" i="6" s="1"/>
  <c r="J4134" i="6"/>
  <c r="J4135" i="6" s="1"/>
  <c r="D4119" i="6"/>
  <c r="D4121" i="6" s="1"/>
  <c r="D4122" i="6" s="1"/>
  <c r="D4139" i="6" s="1"/>
  <c r="J4272" i="6"/>
  <c r="J4273" i="6" s="1"/>
  <c r="D4257" i="6"/>
  <c r="D4259" i="6" s="1"/>
  <c r="D4260" i="6" s="1"/>
  <c r="D4277" i="6" s="1"/>
  <c r="J3582" i="6"/>
  <c r="J3583" i="6" s="1"/>
  <c r="D3567" i="6"/>
  <c r="D3569" i="6" s="1"/>
  <c r="D3570" i="6" s="1"/>
  <c r="D3587" i="6" s="1"/>
  <c r="J4502" i="6"/>
  <c r="J4503" i="6" s="1"/>
  <c r="D4487" i="6"/>
  <c r="D4489" i="6" s="1"/>
  <c r="D4490" i="6" s="1"/>
  <c r="D4507" i="6" s="1"/>
  <c r="J4594" i="6"/>
  <c r="J4595" i="6" s="1"/>
  <c r="D4579" i="6"/>
  <c r="D4581" i="6" s="1"/>
  <c r="D4582" i="6" s="1"/>
  <c r="D4599" i="6" s="1"/>
  <c r="J4640" i="6"/>
  <c r="J4641" i="6" s="1"/>
  <c r="D4625" i="6"/>
  <c r="D4627" i="6" s="1"/>
  <c r="D4628" i="6" s="1"/>
  <c r="D4645" i="6" s="1"/>
  <c r="J4686" i="6"/>
  <c r="J4687" i="6" s="1"/>
  <c r="D4671" i="6"/>
  <c r="D4673" i="6" s="1"/>
  <c r="D4674" i="6" s="1"/>
  <c r="D4691" i="6" s="1"/>
  <c r="J3214" i="6"/>
  <c r="J3215" i="6" s="1"/>
  <c r="D3199" i="6"/>
  <c r="D3201" i="6" s="1"/>
  <c r="D3202" i="6" s="1"/>
  <c r="D3219" i="6" s="1"/>
  <c r="J3996" i="6"/>
  <c r="J3997" i="6" s="1"/>
  <c r="D3981" i="6"/>
  <c r="D3983" i="6" s="1"/>
  <c r="D3984" i="6" s="1"/>
  <c r="D4001" i="6" s="1"/>
  <c r="J4732" i="6"/>
  <c r="J4733" i="6" s="1"/>
  <c r="D4717" i="6"/>
  <c r="D4719" i="6" s="1"/>
  <c r="D4720" i="6" s="1"/>
  <c r="D4737" i="6" s="1"/>
  <c r="J4778" i="6"/>
  <c r="J4779" i="6" s="1"/>
  <c r="D4763" i="6"/>
  <c r="D4765" i="6" s="1"/>
  <c r="D4766" i="6" s="1"/>
  <c r="D4783" i="6" s="1"/>
  <c r="J4824" i="6"/>
  <c r="J4825" i="6" s="1"/>
  <c r="D4809" i="6"/>
  <c r="D4811" i="6" s="1"/>
  <c r="D4812" i="6" s="1"/>
  <c r="D4829" i="6" s="1"/>
  <c r="J4870" i="6"/>
  <c r="J4871" i="6" s="1"/>
  <c r="D4855" i="6"/>
  <c r="D4857" i="6" s="1"/>
  <c r="D4858" i="6" s="1"/>
  <c r="D4875" i="6" s="1"/>
  <c r="J4916" i="6"/>
  <c r="J4917" i="6" s="1"/>
  <c r="D4901" i="6"/>
  <c r="D4903" i="6" s="1"/>
  <c r="D4904" i="6" s="1"/>
  <c r="D4921" i="6" s="1"/>
  <c r="J4962" i="6"/>
  <c r="J4963" i="6" s="1"/>
  <c r="D4947" i="6"/>
  <c r="D4949" i="6" s="1"/>
  <c r="D4950" i="6" s="1"/>
  <c r="D4967" i="6" s="1"/>
  <c r="J5008" i="6"/>
  <c r="J5009" i="6" s="1"/>
  <c r="D4993" i="6"/>
  <c r="D4995" i="6" s="1"/>
  <c r="D4996" i="6" s="1"/>
  <c r="D5013" i="6" s="1"/>
  <c r="J2846" i="6"/>
  <c r="J2847" i="6" s="1"/>
  <c r="D2831" i="6"/>
  <c r="D2833" i="6" s="1"/>
  <c r="D2834" i="6" s="1"/>
  <c r="D2851" i="6" s="1"/>
  <c r="J3168" i="6"/>
  <c r="J3169" i="6" s="1"/>
  <c r="D3153" i="6"/>
  <c r="D3155" i="6" s="1"/>
  <c r="D3156" i="6" s="1"/>
  <c r="D3173" i="6" s="1"/>
  <c r="J3858" i="6"/>
  <c r="J3859" i="6" s="1"/>
  <c r="D3843" i="6"/>
  <c r="D3845" i="6" s="1"/>
  <c r="D3846" i="6" s="1"/>
  <c r="D3863" i="6" s="1"/>
  <c r="J3950" i="6"/>
  <c r="J3951" i="6" s="1"/>
  <c r="D3935" i="6"/>
  <c r="D3937" i="6" s="1"/>
  <c r="D3938" i="6" s="1"/>
  <c r="D3955" i="6" s="1"/>
  <c r="J5054" i="6"/>
  <c r="J5055" i="6" s="1"/>
  <c r="D5039" i="6"/>
  <c r="D5041" i="6" s="1"/>
  <c r="D5042" i="6" s="1"/>
  <c r="D5059" i="6" s="1"/>
  <c r="J5100" i="6"/>
  <c r="J5101" i="6" s="1"/>
  <c r="D5085" i="6"/>
  <c r="D5087" i="6" s="1"/>
  <c r="D5088" i="6" s="1"/>
  <c r="D5105" i="6" s="1"/>
  <c r="J5146" i="6"/>
  <c r="J5147" i="6" s="1"/>
  <c r="D5131" i="6"/>
  <c r="D5133" i="6" s="1"/>
  <c r="D5134" i="6" s="1"/>
  <c r="D5151" i="6" s="1"/>
  <c r="J3536" i="6"/>
  <c r="J3537" i="6" s="1"/>
  <c r="D3521" i="6"/>
  <c r="D3523" i="6" s="1"/>
  <c r="D3524" i="6" s="1"/>
  <c r="D3541" i="6" s="1"/>
  <c r="J4410" i="6"/>
  <c r="J4411" i="6" s="1"/>
  <c r="D4395" i="6"/>
  <c r="D4397" i="6" s="1"/>
  <c r="D4398" i="6" s="1"/>
  <c r="D4415" i="6" s="1"/>
  <c r="J40" i="14"/>
  <c r="J41" i="14" s="1"/>
  <c r="J6" i="15" s="1"/>
  <c r="D25" i="14"/>
  <c r="D27" i="14" s="1"/>
  <c r="D28" i="14" s="1"/>
  <c r="D45" i="14" s="1"/>
  <c r="J86" i="14"/>
  <c r="J87" i="14" s="1"/>
  <c r="J7" i="15" s="1"/>
  <c r="D71" i="14"/>
  <c r="D73" i="14" s="1"/>
  <c r="D74" i="14" s="1"/>
  <c r="D91" i="14" s="1"/>
  <c r="J132" i="14"/>
  <c r="J133" i="14" s="1"/>
  <c r="J8" i="15" s="1"/>
  <c r="D117" i="14"/>
  <c r="D119" i="14" s="1"/>
  <c r="D120" i="14" s="1"/>
  <c r="D137" i="14" s="1"/>
  <c r="J178" i="14"/>
  <c r="J179" i="14" s="1"/>
  <c r="J9" i="15" s="1"/>
  <c r="D163" i="14"/>
  <c r="D165" i="14" s="1"/>
  <c r="D166" i="14" s="1"/>
  <c r="D183" i="14" s="1"/>
  <c r="J224" i="14"/>
  <c r="J225" i="14" s="1"/>
  <c r="J10" i="15" s="1"/>
  <c r="D209" i="14"/>
  <c r="D211" i="14" s="1"/>
  <c r="D212" i="14" s="1"/>
  <c r="D229" i="14" s="1"/>
  <c r="J270" i="14"/>
  <c r="J271" i="14" s="1"/>
  <c r="J11" i="15" s="1"/>
  <c r="D255" i="14"/>
  <c r="D257" i="14" s="1"/>
  <c r="D258" i="14" s="1"/>
  <c r="D275" i="14" s="1"/>
  <c r="J316" i="14"/>
  <c r="J317" i="14" s="1"/>
  <c r="J12" i="15" s="1"/>
  <c r="D301" i="14"/>
  <c r="D303" i="14" s="1"/>
  <c r="D304" i="14" s="1"/>
  <c r="D321" i="14" s="1"/>
  <c r="J3030" i="6"/>
  <c r="J3031" i="6" s="1"/>
  <c r="D3015" i="6"/>
  <c r="D3017" i="6" s="1"/>
  <c r="D3018" i="6" s="1"/>
  <c r="D3035" i="6" s="1"/>
  <c r="J3352" i="6"/>
  <c r="J3353" i="6" s="1"/>
  <c r="D3337" i="6"/>
  <c r="D3339" i="6" s="1"/>
  <c r="D3340" i="6" s="1"/>
  <c r="D3357" i="6" s="1"/>
  <c r="J3398" i="6"/>
  <c r="J3399" i="6" s="1"/>
  <c r="D3383" i="6"/>
  <c r="D3385" i="6" s="1"/>
  <c r="D3386" i="6" s="1"/>
  <c r="D3403" i="6" s="1"/>
  <c r="J362" i="14"/>
  <c r="J363" i="14" s="1"/>
  <c r="J13" i="15" s="1"/>
  <c r="D347" i="14"/>
  <c r="D349" i="14" s="1"/>
  <c r="D350" i="14" s="1"/>
  <c r="D367" i="14" s="1"/>
  <c r="J408" i="14"/>
  <c r="J409" i="14" s="1"/>
  <c r="J14" i="15" s="1"/>
  <c r="D393" i="14"/>
  <c r="D395" i="14" s="1"/>
  <c r="D396" i="14" s="1"/>
  <c r="D413" i="14" s="1"/>
  <c r="J454" i="14"/>
  <c r="J455" i="14" s="1"/>
  <c r="J15" i="15" s="1"/>
  <c r="D439" i="14"/>
  <c r="D441" i="14" s="1"/>
  <c r="D442" i="14" s="1"/>
  <c r="D459" i="14" s="1"/>
  <c r="J500" i="14"/>
  <c r="J501" i="14" s="1"/>
  <c r="J16" i="15" s="1"/>
  <c r="D485" i="14"/>
  <c r="D487" i="14" s="1"/>
  <c r="D488" i="14" s="1"/>
  <c r="D505" i="14" s="1"/>
  <c r="J546" i="14"/>
  <c r="J547" i="14" s="1"/>
  <c r="J17" i="15" s="1"/>
  <c r="D531" i="14"/>
  <c r="D533" i="14" s="1"/>
  <c r="D534" i="14" s="1"/>
  <c r="D551" i="14" s="1"/>
  <c r="J592" i="14"/>
  <c r="J593" i="14" s="1"/>
  <c r="J18" i="15" s="1"/>
  <c r="D577" i="14"/>
  <c r="D579" i="14" s="1"/>
  <c r="D580" i="14" s="1"/>
  <c r="D597" i="14" s="1"/>
  <c r="J638" i="14"/>
  <c r="J639" i="14" s="1"/>
  <c r="J19" i="15" s="1"/>
  <c r="D623" i="14"/>
  <c r="D625" i="14" s="1"/>
  <c r="D626" i="14" s="1"/>
  <c r="D643" i="14" s="1"/>
  <c r="J3674" i="6"/>
  <c r="J3675" i="6" s="1"/>
  <c r="D3659" i="6"/>
  <c r="D3661" i="6" s="1"/>
  <c r="D3662" i="6" s="1"/>
  <c r="D3679" i="6" s="1"/>
  <c r="J730" i="14"/>
  <c r="J731" i="14" s="1"/>
  <c r="J21" i="15" s="1"/>
  <c r="D715" i="14"/>
  <c r="D717" i="14" s="1"/>
  <c r="D718" i="14" s="1"/>
  <c r="D735" i="14" s="1"/>
  <c r="J776" i="14"/>
  <c r="J777" i="14" s="1"/>
  <c r="J22" i="15" s="1"/>
  <c r="D761" i="14"/>
  <c r="D763" i="14" s="1"/>
  <c r="D764" i="14" s="1"/>
  <c r="D781" i="14" s="1"/>
  <c r="J822" i="14"/>
  <c r="J823" i="14" s="1"/>
  <c r="J23" i="15" s="1"/>
  <c r="D807" i="14"/>
  <c r="D809" i="14" s="1"/>
  <c r="D810" i="14" s="1"/>
  <c r="D827" i="14" s="1"/>
  <c r="J868" i="14"/>
  <c r="J869" i="14" s="1"/>
  <c r="J24" i="15" s="1"/>
  <c r="D853" i="14"/>
  <c r="D855" i="14" s="1"/>
  <c r="D856" i="14" s="1"/>
  <c r="D873" i="14" s="1"/>
  <c r="J914" i="14"/>
  <c r="J915" i="14" s="1"/>
  <c r="J25" i="15" s="1"/>
  <c r="D899" i="14"/>
  <c r="D901" i="14" s="1"/>
  <c r="D902" i="14" s="1"/>
  <c r="D919" i="14" s="1"/>
  <c r="J960" i="14"/>
  <c r="J961" i="14" s="1"/>
  <c r="J26" i="15" s="1"/>
  <c r="D945" i="14"/>
  <c r="D947" i="14" s="1"/>
  <c r="D948" i="14" s="1"/>
  <c r="D965" i="14" s="1"/>
  <c r="J684" i="14"/>
  <c r="J685" i="14" s="1"/>
  <c r="J20" i="15" s="1"/>
  <c r="D669" i="14"/>
  <c r="D671" i="14" s="1"/>
  <c r="D672" i="14" s="1"/>
  <c r="D689" i="14" s="1"/>
  <c r="J1006" i="14"/>
  <c r="J1007" i="14" s="1"/>
  <c r="J27" i="15" s="1"/>
  <c r="D991" i="14"/>
  <c r="D993" i="14" s="1"/>
  <c r="D994" i="14" s="1"/>
  <c r="D1011" i="14" s="1"/>
  <c r="J1052" i="14"/>
  <c r="J1053" i="14" s="1"/>
  <c r="J28" i="15" s="1"/>
  <c r="D1037" i="14"/>
  <c r="D1039" i="14" s="1"/>
  <c r="D1040" i="14" s="1"/>
  <c r="D1057" i="14" s="1"/>
  <c r="J1098" i="14"/>
  <c r="J1099" i="14" s="1"/>
  <c r="J29" i="15" s="1"/>
  <c r="D1083" i="14"/>
  <c r="D1085" i="14" s="1"/>
  <c r="D1086" i="14" s="1"/>
  <c r="D1103" i="14" s="1"/>
  <c r="J1144" i="14"/>
  <c r="J1145" i="14" s="1"/>
  <c r="J30" i="15" s="1"/>
  <c r="D1129" i="14"/>
  <c r="D1131" i="14" s="1"/>
  <c r="D1132" i="14" s="1"/>
  <c r="D1149" i="14" s="1"/>
  <c r="J1190" i="14"/>
  <c r="J1191" i="14" s="1"/>
  <c r="J31" i="15" s="1"/>
  <c r="D1175" i="14"/>
  <c r="D1177" i="14" s="1"/>
  <c r="D1178" i="14" s="1"/>
  <c r="D1195" i="14" s="1"/>
  <c r="J1236" i="14"/>
  <c r="J1237" i="14" s="1"/>
  <c r="J32" i="15" s="1"/>
  <c r="D1221" i="14"/>
  <c r="D1223" i="14" s="1"/>
  <c r="D1224" i="14" s="1"/>
  <c r="D1241" i="14" s="1"/>
  <c r="J2938" i="6"/>
  <c r="J2939" i="6" s="1"/>
  <c r="D2923" i="6"/>
  <c r="D2925" i="6" s="1"/>
  <c r="D2926" i="6" s="1"/>
  <c r="D2943" i="6" s="1"/>
  <c r="J2984" i="6"/>
  <c r="J2985" i="6" s="1"/>
  <c r="D2969" i="6"/>
  <c r="D2971" i="6" s="1"/>
  <c r="D2972" i="6" s="1"/>
  <c r="D2989" i="6" s="1"/>
  <c r="J1512" i="14"/>
  <c r="J1513" i="14" s="1"/>
  <c r="J38" i="15" s="1"/>
  <c r="D1497" i="14"/>
  <c r="D1499" i="14" s="1"/>
  <c r="D1500" i="14" s="1"/>
  <c r="D1517" i="14" s="1"/>
  <c r="J1558" i="14"/>
  <c r="J1559" i="14" s="1"/>
  <c r="J39" i="15" s="1"/>
  <c r="D1543" i="14"/>
  <c r="D1545" i="14" s="1"/>
  <c r="D1546" i="14" s="1"/>
  <c r="D1563" i="14" s="1"/>
  <c r="J3076" i="6"/>
  <c r="J3077" i="6" s="1"/>
  <c r="D3061" i="6"/>
  <c r="D3063" i="6" s="1"/>
  <c r="D3064" i="6" s="1"/>
  <c r="D3081" i="6" s="1"/>
  <c r="J3122" i="6"/>
  <c r="J3123" i="6" s="1"/>
  <c r="D3107" i="6"/>
  <c r="D3109" i="6" s="1"/>
  <c r="D3110" i="6" s="1"/>
  <c r="D3127" i="6" s="1"/>
  <c r="J3306" i="6"/>
  <c r="J3307" i="6" s="1"/>
  <c r="D3291" i="6"/>
  <c r="D3293" i="6" s="1"/>
  <c r="D3294" i="6" s="1"/>
  <c r="D3311" i="6" s="1"/>
  <c r="J3444" i="6"/>
  <c r="J3445" i="6" s="1"/>
  <c r="D3429" i="6"/>
  <c r="D3431" i="6" s="1"/>
  <c r="D3432" i="6" s="1"/>
  <c r="D3449" i="6" s="1"/>
  <c r="J3490" i="6"/>
  <c r="J3491" i="6" s="1"/>
  <c r="D3475" i="6"/>
  <c r="D3477" i="6" s="1"/>
  <c r="D3478" i="6" s="1"/>
  <c r="D3495" i="6" s="1"/>
  <c r="J1282" i="14"/>
  <c r="J1283" i="14" s="1"/>
  <c r="J33" i="15" s="1"/>
  <c r="D1267" i="14"/>
  <c r="D1269" i="14" s="1"/>
  <c r="D1270" i="14" s="1"/>
  <c r="D1287" i="14" s="1"/>
  <c r="J1328" i="14"/>
  <c r="J1329" i="14" s="1"/>
  <c r="J34" i="15" s="1"/>
  <c r="D1313" i="14"/>
  <c r="D1315" i="14" s="1"/>
  <c r="D1316" i="14" s="1"/>
  <c r="D1333" i="14" s="1"/>
  <c r="J1374" i="14"/>
  <c r="J1375" i="14" s="1"/>
  <c r="J35" i="15" s="1"/>
  <c r="D1359" i="14"/>
  <c r="D1361" i="14" s="1"/>
  <c r="D1362" i="14" s="1"/>
  <c r="D1379" i="14" s="1"/>
  <c r="J1420" i="14"/>
  <c r="J1421" i="14" s="1"/>
  <c r="J36" i="15" s="1"/>
  <c r="D1405" i="14"/>
  <c r="D1407" i="14" s="1"/>
  <c r="D1408" i="14" s="1"/>
  <c r="D1425" i="14" s="1"/>
  <c r="J1466" i="14"/>
  <c r="J1467" i="14" s="1"/>
  <c r="J37" i="15" s="1"/>
  <c r="D1451" i="14"/>
  <c r="D1453" i="14" s="1"/>
  <c r="D1454" i="14" s="1"/>
  <c r="D1471" i="14" s="1"/>
  <c r="J1604" i="14"/>
  <c r="J1605" i="14" s="1"/>
  <c r="J40" i="15" s="1"/>
  <c r="D1589" i="14"/>
  <c r="D1591" i="14" s="1"/>
  <c r="D1592" i="14" s="1"/>
  <c r="D1609" i="14" s="1"/>
  <c r="J1650" i="14"/>
  <c r="J1651" i="14" s="1"/>
  <c r="J41" i="15" s="1"/>
  <c r="D1635" i="14"/>
  <c r="D1637" i="14" s="1"/>
  <c r="D1638" i="14" s="1"/>
  <c r="D1655" i="14" s="1"/>
  <c r="J1696" i="14"/>
  <c r="J1697" i="14" s="1"/>
  <c r="J42" i="15" s="1"/>
  <c r="D1681" i="14"/>
  <c r="D1683" i="14" s="1"/>
  <c r="D1684" i="14" s="1"/>
  <c r="D1701" i="14" s="1"/>
  <c r="J1742" i="14"/>
  <c r="J1743" i="14" s="1"/>
  <c r="J43" i="15" s="1"/>
  <c r="D1727" i="14"/>
  <c r="D1729" i="14" s="1"/>
  <c r="D1730" i="14" s="1"/>
  <c r="D1747" i="14" s="1"/>
  <c r="J1788" i="14"/>
  <c r="J1789" i="14" s="1"/>
  <c r="J44" i="15" s="1"/>
  <c r="D1773" i="14"/>
  <c r="D1775" i="14" s="1"/>
  <c r="D1776" i="14" s="1"/>
  <c r="D1793" i="14" s="1"/>
  <c r="J1834" i="14"/>
  <c r="J1835" i="14" s="1"/>
  <c r="J45" i="15" s="1"/>
  <c r="D1819" i="14"/>
  <c r="D1821" i="14" s="1"/>
  <c r="D1822" i="14" s="1"/>
  <c r="D1839" i="14" s="1"/>
  <c r="J1880" i="14"/>
  <c r="J1881" i="14" s="1"/>
  <c r="J46" i="15" s="1"/>
  <c r="D1865" i="14"/>
  <c r="D1867" i="14" s="1"/>
  <c r="D1868" i="14" s="1"/>
  <c r="D1885" i="14" s="1"/>
  <c r="J3628" i="6"/>
  <c r="J3629" i="6" s="1"/>
  <c r="D3613" i="6"/>
  <c r="D3615" i="6" s="1"/>
  <c r="D3616" i="6" s="1"/>
  <c r="D3633" i="6" s="1"/>
  <c r="J3766" i="6"/>
  <c r="J3767" i="6" s="1"/>
  <c r="D3751" i="6"/>
  <c r="D3753" i="6" s="1"/>
  <c r="D3754" i="6" s="1"/>
  <c r="D3771" i="6" s="1"/>
  <c r="J3812" i="6"/>
  <c r="J3813" i="6" s="1"/>
  <c r="D3797" i="6"/>
  <c r="D3799" i="6" s="1"/>
  <c r="D3800" i="6" s="1"/>
  <c r="D3817" i="6" s="1"/>
  <c r="J1926" i="14"/>
  <c r="J1927" i="14" s="1"/>
  <c r="J47" i="15" s="1"/>
  <c r="D1911" i="14"/>
  <c r="D1913" i="14" s="1"/>
  <c r="D1914" i="14" s="1"/>
  <c r="D1931" i="14" s="1"/>
  <c r="J1972" i="14"/>
  <c r="J1973" i="14" s="1"/>
  <c r="J48" i="15" s="1"/>
  <c r="D1957" i="14"/>
  <c r="D1959" i="14" s="1"/>
  <c r="D1960" i="14" s="1"/>
  <c r="D1977" i="14" s="1"/>
  <c r="J2018" i="14"/>
  <c r="J2019" i="14" s="1"/>
  <c r="J49" i="15" s="1"/>
  <c r="D2003" i="14"/>
  <c r="D2005" i="14" s="1"/>
  <c r="D2006" i="14" s="1"/>
  <c r="D2023" i="14" s="1"/>
  <c r="J2064" i="14"/>
  <c r="J2065" i="14" s="1"/>
  <c r="J50" i="15" s="1"/>
  <c r="D2049" i="14"/>
  <c r="D2051" i="14" s="1"/>
  <c r="D2052" i="14" s="1"/>
  <c r="D2069" i="14" s="1"/>
  <c r="J2110" i="14"/>
  <c r="J2111" i="14" s="1"/>
  <c r="J51" i="15" s="1"/>
  <c r="D2095" i="14"/>
  <c r="D2097" i="14" s="1"/>
  <c r="D2098" i="14" s="1"/>
  <c r="D2115" i="14" s="1"/>
  <c r="J2156" i="14"/>
  <c r="J2157" i="14" s="1"/>
  <c r="J52" i="15" s="1"/>
  <c r="D2141" i="14"/>
  <c r="D2143" i="14" s="1"/>
  <c r="D2144" i="14" s="1"/>
  <c r="D2161" i="14" s="1"/>
  <c r="J2340" i="14"/>
  <c r="J2341" i="14" s="1"/>
  <c r="J56" i="15" s="1"/>
  <c r="D2325" i="14"/>
  <c r="D2327" i="14" s="1"/>
  <c r="D2328" i="14" s="1"/>
  <c r="D2345" i="14" s="1"/>
  <c r="J2386" i="14"/>
  <c r="J2387" i="14" s="1"/>
  <c r="J57" i="15" s="1"/>
  <c r="D2371" i="14"/>
  <c r="D2373" i="14" s="1"/>
  <c r="D2374" i="14" s="1"/>
  <c r="D2391" i="14" s="1"/>
  <c r="J2432" i="14"/>
  <c r="J2433" i="14" s="1"/>
  <c r="J58" i="15" s="1"/>
  <c r="D2417" i="14"/>
  <c r="D2419" i="14" s="1"/>
  <c r="D2420" i="14" s="1"/>
  <c r="D2437" i="14" s="1"/>
  <c r="J2478" i="14"/>
  <c r="J2479" i="14" s="1"/>
  <c r="J59" i="15" s="1"/>
  <c r="D2463" i="14"/>
  <c r="D2465" i="14" s="1"/>
  <c r="D2466" i="14" s="1"/>
  <c r="D2483" i="14" s="1"/>
  <c r="J2570" i="14"/>
  <c r="J2571" i="14" s="1"/>
  <c r="J61" i="15" s="1"/>
  <c r="D2555" i="14"/>
  <c r="D2557" i="14" s="1"/>
  <c r="D2558" i="14" s="1"/>
  <c r="D2575" i="14" s="1"/>
  <c r="J2662" i="14"/>
  <c r="J2663" i="14" s="1"/>
  <c r="J63" i="15" s="1"/>
  <c r="D2647" i="14"/>
  <c r="D2649" i="14" s="1"/>
  <c r="D2650" i="14" s="1"/>
  <c r="D2667" i="14" s="1"/>
  <c r="J2800" i="14"/>
  <c r="J2801" i="14" s="1"/>
  <c r="J66" i="15" s="1"/>
  <c r="D2785" i="14"/>
  <c r="D2787" i="14" s="1"/>
  <c r="D2788" i="14" s="1"/>
  <c r="D2805" i="14" s="1"/>
  <c r="J2938" i="14"/>
  <c r="J2939" i="14" s="1"/>
  <c r="J69" i="15" s="1"/>
  <c r="D2923" i="14"/>
  <c r="D2925" i="14" s="1"/>
  <c r="D2926" i="14" s="1"/>
  <c r="D2943" i="14" s="1"/>
  <c r="J3076" i="14"/>
  <c r="J3077" i="14" s="1"/>
  <c r="J72" i="15" s="1"/>
  <c r="D3061" i="14"/>
  <c r="D3063" i="14" s="1"/>
  <c r="D3064" i="14" s="1"/>
  <c r="D3081" i="14" s="1"/>
  <c r="J3122" i="14"/>
  <c r="J3123" i="14" s="1"/>
  <c r="J73" i="15" s="1"/>
  <c r="D3107" i="14"/>
  <c r="D3109" i="14" s="1"/>
  <c r="D3110" i="14" s="1"/>
  <c r="D3127" i="14" s="1"/>
  <c r="J3490" i="14"/>
  <c r="J3491" i="14" s="1"/>
  <c r="J81" i="15" s="1"/>
  <c r="D3475" i="14"/>
  <c r="D3477" i="14" s="1"/>
  <c r="D3478" i="14" s="1"/>
  <c r="D3495" i="14" s="1"/>
  <c r="J3260" i="14"/>
  <c r="J3261" i="14" s="1"/>
  <c r="J76" i="15" s="1"/>
  <c r="D3245" i="14"/>
  <c r="D3247" i="14" s="1"/>
  <c r="D3248" i="14" s="1"/>
  <c r="D3265" i="14" s="1"/>
  <c r="J3306" i="14"/>
  <c r="J3307" i="14" s="1"/>
  <c r="J77" i="15" s="1"/>
  <c r="D3291" i="14"/>
  <c r="D3293" i="14" s="1"/>
  <c r="D3294" i="14" s="1"/>
  <c r="D3311" i="14" s="1"/>
  <c r="J3352" i="14"/>
  <c r="J3353" i="14" s="1"/>
  <c r="J78" i="15" s="1"/>
  <c r="D3337" i="14"/>
  <c r="D3339" i="14" s="1"/>
  <c r="D3340" i="14" s="1"/>
  <c r="D3357" i="14" s="1"/>
  <c r="J3398" i="14"/>
  <c r="J3399" i="14" s="1"/>
  <c r="J79" i="15" s="1"/>
  <c r="D3383" i="14"/>
  <c r="D3385" i="14" s="1"/>
  <c r="D3386" i="14" s="1"/>
  <c r="D3403" i="14" s="1"/>
  <c r="J3444" i="14"/>
  <c r="J3445" i="14" s="1"/>
  <c r="J80" i="15" s="1"/>
  <c r="D3429" i="14"/>
  <c r="D3431" i="14" s="1"/>
  <c r="D3432" i="14" s="1"/>
  <c r="D3449" i="14" s="1"/>
  <c r="J3536" i="14"/>
  <c r="J3537" i="14" s="1"/>
  <c r="J82" i="15" s="1"/>
  <c r="D3521" i="14"/>
  <c r="D3523" i="14" s="1"/>
  <c r="D3524" i="14" s="1"/>
  <c r="D3541" i="14" s="1"/>
  <c r="J3582" i="14"/>
  <c r="J3583" i="14" s="1"/>
  <c r="J83" i="15" s="1"/>
  <c r="D3567" i="14"/>
  <c r="D3569" i="14" s="1"/>
  <c r="D3570" i="14" s="1"/>
  <c r="D3587" i="14" s="1"/>
  <c r="J3628" i="14"/>
  <c r="J3629" i="14" s="1"/>
  <c r="J84" i="15" s="1"/>
  <c r="D3613" i="14"/>
  <c r="D3615" i="14" s="1"/>
  <c r="D3616" i="14" s="1"/>
  <c r="D3633" i="14" s="1"/>
  <c r="J3674" i="14"/>
  <c r="J3675" i="14" s="1"/>
  <c r="J85" i="15" s="1"/>
  <c r="D3659" i="14"/>
  <c r="D3661" i="14" s="1"/>
  <c r="D3662" i="14" s="1"/>
  <c r="D3679" i="14" s="1"/>
  <c r="J3720" i="14"/>
  <c r="J3721" i="14" s="1"/>
  <c r="J86" i="15" s="1"/>
  <c r="D3705" i="14"/>
  <c r="D3707" i="14" s="1"/>
  <c r="D3708" i="14" s="1"/>
  <c r="D3725" i="14" s="1"/>
  <c r="J3766" i="14"/>
  <c r="J3767" i="14" s="1"/>
  <c r="J87" i="15" s="1"/>
  <c r="D3751" i="14"/>
  <c r="D3753" i="14" s="1"/>
  <c r="D3754" i="14" s="1"/>
  <c r="D3771" i="14" s="1"/>
  <c r="J3904" i="14"/>
  <c r="J3905" i="14" s="1"/>
  <c r="J90" i="15" s="1"/>
  <c r="D3889" i="14"/>
  <c r="D3891" i="14" s="1"/>
  <c r="D3892" i="14" s="1"/>
  <c r="D3909" i="14" s="1"/>
  <c r="J3950" i="14"/>
  <c r="J3951" i="14" s="1"/>
  <c r="J91" i="15" s="1"/>
  <c r="D3935" i="14"/>
  <c r="D3937" i="14" s="1"/>
  <c r="D3938" i="14" s="1"/>
  <c r="D3955" i="14" s="1"/>
  <c r="J3996" i="14"/>
  <c r="J3997" i="14" s="1"/>
  <c r="J92" i="15" s="1"/>
  <c r="D3981" i="14"/>
  <c r="D3983" i="14" s="1"/>
  <c r="D3984" i="14" s="1"/>
  <c r="D4001" i="14" s="1"/>
  <c r="J4042" i="14"/>
  <c r="J4043" i="14" s="1"/>
  <c r="J93" i="15" s="1"/>
  <c r="D4027" i="14"/>
  <c r="D4029" i="14" s="1"/>
  <c r="D4030" i="14" s="1"/>
  <c r="D4047" i="14" s="1"/>
  <c r="J4088" i="14"/>
  <c r="J4089" i="14" s="1"/>
  <c r="J94" i="15" s="1"/>
  <c r="D4073" i="14"/>
  <c r="D4075" i="14" s="1"/>
  <c r="D4076" i="14" s="1"/>
  <c r="D4093" i="14" s="1"/>
  <c r="J3812" i="14"/>
  <c r="J3813" i="14" s="1"/>
  <c r="J88" i="15" s="1"/>
  <c r="D3797" i="14"/>
  <c r="D3799" i="14" s="1"/>
  <c r="D3800" i="14" s="1"/>
  <c r="D3817" i="14" s="1"/>
  <c r="J3858" i="14"/>
  <c r="J3859" i="14" s="1"/>
  <c r="J89" i="15" s="1"/>
  <c r="D3843" i="14"/>
  <c r="D3845" i="14" s="1"/>
  <c r="D3846" i="14" s="1"/>
  <c r="D3863" i="14" s="1"/>
  <c r="J4134" i="14"/>
  <c r="J4135" i="14" s="1"/>
  <c r="J95" i="15" s="1"/>
  <c r="D4119" i="14"/>
  <c r="D4121" i="14" s="1"/>
  <c r="D4122" i="14" s="1"/>
  <c r="D4139" i="14" s="1"/>
  <c r="J4180" i="14"/>
  <c r="J4181" i="14" s="1"/>
  <c r="J96" i="15" s="1"/>
  <c r="D4165" i="14"/>
  <c r="D4167" i="14" s="1"/>
  <c r="D4168" i="14" s="1"/>
  <c r="D4185" i="14" s="1"/>
  <c r="J4226" i="14"/>
  <c r="J4227" i="14" s="1"/>
  <c r="J97" i="15" s="1"/>
  <c r="D4211" i="14"/>
  <c r="D4213" i="14" s="1"/>
  <c r="D4214" i="14" s="1"/>
  <c r="D4231" i="14" s="1"/>
  <c r="J4272" i="14"/>
  <c r="J4273" i="14" s="1"/>
  <c r="J98" i="15" s="1"/>
  <c r="D4257" i="14"/>
  <c r="D4259" i="14" s="1"/>
  <c r="D4260" i="14" s="1"/>
  <c r="J4318" i="14"/>
  <c r="J4319" i="14" s="1"/>
  <c r="J99" i="15" s="1"/>
  <c r="D4303" i="14"/>
  <c r="D4305" i="14" s="1"/>
  <c r="D4306" i="14" s="1"/>
  <c r="D4323" i="14" s="1"/>
  <c r="J4364" i="14"/>
  <c r="J4365" i="14" s="1"/>
  <c r="J100" i="15" s="1"/>
  <c r="D4349" i="14"/>
  <c r="D4351" i="14" s="1"/>
  <c r="D4352" i="14" s="1"/>
  <c r="D4369" i="14" s="1"/>
  <c r="J4410" i="14"/>
  <c r="J4411" i="14" s="1"/>
  <c r="J101" i="15" s="1"/>
  <c r="D4395" i="14"/>
  <c r="D4397" i="14" s="1"/>
  <c r="D4398" i="14" s="1"/>
  <c r="D4415" i="14" s="1"/>
  <c r="J40" i="16"/>
  <c r="J41" i="16" s="1"/>
  <c r="D25" i="16"/>
  <c r="D27" i="16" s="1"/>
  <c r="D28" i="16" s="1"/>
  <c r="D45" i="16" s="1"/>
  <c r="J86" i="16"/>
  <c r="J87" i="16" s="1"/>
  <c r="D71" i="16"/>
  <c r="D73" i="16" s="1"/>
  <c r="D74" i="16" s="1"/>
  <c r="D91" i="16" s="1"/>
  <c r="J132" i="16"/>
  <c r="J133" i="16" s="1"/>
  <c r="D117" i="16"/>
  <c r="D119" i="16" s="1"/>
  <c r="D120" i="16" s="1"/>
  <c r="D137" i="16" s="1"/>
  <c r="J178" i="6"/>
  <c r="J179" i="6" s="1"/>
  <c r="D163" i="6"/>
  <c r="D165" i="6" s="1"/>
  <c r="D166" i="6" s="1"/>
  <c r="D183" i="6" s="1"/>
  <c r="J224" i="6"/>
  <c r="J225" i="6" s="1"/>
  <c r="D209" i="6"/>
  <c r="D211" i="6" s="1"/>
  <c r="D212" i="6" s="1"/>
  <c r="D229" i="6" s="1"/>
  <c r="J270" i="6"/>
  <c r="J271" i="6" s="1"/>
  <c r="D255" i="6"/>
  <c r="D257" i="6" s="1"/>
  <c r="D258" i="6" s="1"/>
  <c r="D275" i="6" s="1"/>
  <c r="D1542" i="6"/>
  <c r="K1542" i="6"/>
  <c r="K1543" i="6" s="1"/>
  <c r="K1545" i="6" s="1"/>
  <c r="K1546" i="6" s="1"/>
  <c r="L1542" i="6"/>
  <c r="L1543" i="6" s="1"/>
  <c r="L1545" i="6" s="1"/>
  <c r="L1546" i="6" s="1"/>
  <c r="H1542" i="6"/>
  <c r="H1543" i="6" s="1"/>
  <c r="H1545" i="6" s="1"/>
  <c r="H1546" i="6" s="1"/>
  <c r="G1542" i="6"/>
  <c r="G1543" i="6" s="1"/>
  <c r="G1545" i="6" s="1"/>
  <c r="G1546" i="6" s="1"/>
  <c r="F1542" i="6"/>
  <c r="F1543" i="6" s="1"/>
  <c r="F1545" i="6" s="1"/>
  <c r="F1546" i="6" s="1"/>
  <c r="M1542" i="6"/>
  <c r="M1543" i="6" s="1"/>
  <c r="M1545" i="6" s="1"/>
  <c r="M1546" i="6" s="1"/>
  <c r="J1542" i="6"/>
  <c r="J1543" i="6" s="1"/>
  <c r="J1545" i="6" s="1"/>
  <c r="J1546" i="6" s="1"/>
  <c r="I1542" i="6"/>
  <c r="I1543" i="6" s="1"/>
  <c r="I1545" i="6"/>
  <c r="I1546" i="6" s="1"/>
  <c r="E1542" i="6"/>
  <c r="E1543" i="6" s="1"/>
  <c r="E1545" i="6" s="1"/>
  <c r="E1546" i="6" s="1"/>
  <c r="D1818" i="6"/>
  <c r="M1818" i="6"/>
  <c r="M1819" i="6" s="1"/>
  <c r="M1821" i="6" s="1"/>
  <c r="M1822" i="6" s="1"/>
  <c r="L1818" i="6"/>
  <c r="L1819" i="6" s="1"/>
  <c r="L1821" i="6" s="1"/>
  <c r="L1822" i="6" s="1"/>
  <c r="K1818" i="6"/>
  <c r="K1819" i="6" s="1"/>
  <c r="K1821" i="6" s="1"/>
  <c r="K1822" i="6" s="1"/>
  <c r="J1818" i="6"/>
  <c r="J1819" i="6" s="1"/>
  <c r="J1821" i="6" s="1"/>
  <c r="J1822" i="6" s="1"/>
  <c r="I1818" i="6"/>
  <c r="I1819" i="6" s="1"/>
  <c r="I1821" i="6" s="1"/>
  <c r="I1822" i="6" s="1"/>
  <c r="H1818" i="6"/>
  <c r="H1819" i="6" s="1"/>
  <c r="H1821" i="6" s="1"/>
  <c r="H1822" i="6" s="1"/>
  <c r="G1818" i="6"/>
  <c r="G1819" i="6" s="1"/>
  <c r="G1821" i="6" s="1"/>
  <c r="G1822" i="6" s="1"/>
  <c r="F1818" i="6"/>
  <c r="F1819" i="6" s="1"/>
  <c r="F1821" i="6" s="1"/>
  <c r="F1822" i="6" s="1"/>
  <c r="E1818" i="6"/>
  <c r="E1819" i="6" s="1"/>
  <c r="E1821" i="6" s="1"/>
  <c r="E1822" i="6" s="1"/>
  <c r="D1312" i="6"/>
  <c r="M1312" i="6"/>
  <c r="M1313" i="6" s="1"/>
  <c r="M1315" i="6" s="1"/>
  <c r="M1316" i="6" s="1"/>
  <c r="L1312" i="6"/>
  <c r="L1313" i="6" s="1"/>
  <c r="L1315" i="6" s="1"/>
  <c r="L1316" i="6" s="1"/>
  <c r="K1312" i="6"/>
  <c r="K1313" i="6" s="1"/>
  <c r="K1315" i="6"/>
  <c r="K1316" i="6" s="1"/>
  <c r="J1312" i="6"/>
  <c r="J1313" i="6" s="1"/>
  <c r="J1315" i="6" s="1"/>
  <c r="J1316" i="6" s="1"/>
  <c r="I1312" i="6"/>
  <c r="I1313" i="6" s="1"/>
  <c r="I1315" i="6" s="1"/>
  <c r="I1316" i="6" s="1"/>
  <c r="H1312" i="6"/>
  <c r="H1313" i="6" s="1"/>
  <c r="H1315" i="6" s="1"/>
  <c r="H1316" i="6" s="1"/>
  <c r="G1312" i="6"/>
  <c r="G1313" i="6" s="1"/>
  <c r="G1315" i="6"/>
  <c r="G1316" i="6" s="1"/>
  <c r="F1312" i="6"/>
  <c r="F1313" i="6" s="1"/>
  <c r="F1315" i="6"/>
  <c r="F1316" i="6" s="1"/>
  <c r="E1312" i="6"/>
  <c r="E1313" i="6" s="1"/>
  <c r="E1315" i="6"/>
  <c r="E1316" i="6" s="1"/>
  <c r="D1956" i="6"/>
  <c r="M1956" i="6"/>
  <c r="M1957" i="6" s="1"/>
  <c r="M1959" i="6" s="1"/>
  <c r="M1960" i="6" s="1"/>
  <c r="L1956" i="6"/>
  <c r="L1957" i="6" s="1"/>
  <c r="L1959" i="6"/>
  <c r="L1960" i="6" s="1"/>
  <c r="K1956" i="6"/>
  <c r="K1957" i="6" s="1"/>
  <c r="K1959" i="6" s="1"/>
  <c r="K1960" i="6" s="1"/>
  <c r="J1956" i="6"/>
  <c r="J1957" i="6" s="1"/>
  <c r="J1959" i="6" s="1"/>
  <c r="J1960" i="6" s="1"/>
  <c r="I1956" i="6"/>
  <c r="I1957" i="6" s="1"/>
  <c r="I1959" i="6" s="1"/>
  <c r="I1960" i="6" s="1"/>
  <c r="H1956" i="6"/>
  <c r="H1957" i="6" s="1"/>
  <c r="H1959" i="6" s="1"/>
  <c r="H1960" i="6" s="1"/>
  <c r="G1956" i="6"/>
  <c r="G1957" i="6" s="1"/>
  <c r="G1959" i="6" s="1"/>
  <c r="G1960" i="6" s="1"/>
  <c r="F1956" i="6"/>
  <c r="F1957" i="6" s="1"/>
  <c r="F1959" i="6" s="1"/>
  <c r="F1960" i="6" s="1"/>
  <c r="E1956" i="6"/>
  <c r="E1957" i="6" s="1"/>
  <c r="E1959" i="6" s="1"/>
  <c r="E1960" i="6" s="1"/>
  <c r="D2094" i="6"/>
  <c r="M2094" i="6"/>
  <c r="M2095" i="6" s="1"/>
  <c r="M2097" i="6" s="1"/>
  <c r="M2098" i="6" s="1"/>
  <c r="L2094" i="6"/>
  <c r="L2095" i="6" s="1"/>
  <c r="L2097" i="6" s="1"/>
  <c r="L2098" i="6" s="1"/>
  <c r="K2094" i="6"/>
  <c r="K2095" i="6" s="1"/>
  <c r="K2097" i="6" s="1"/>
  <c r="K2098" i="6" s="1"/>
  <c r="J2094" i="6"/>
  <c r="J2095" i="6" s="1"/>
  <c r="J2097" i="6" s="1"/>
  <c r="J2098" i="6" s="1"/>
  <c r="I2094" i="6"/>
  <c r="I2095" i="6" s="1"/>
  <c r="I2097" i="6" s="1"/>
  <c r="I2098" i="6" s="1"/>
  <c r="H2094" i="6"/>
  <c r="H2095" i="6" s="1"/>
  <c r="H2097" i="6" s="1"/>
  <c r="H2098" i="6" s="1"/>
  <c r="G2094" i="6"/>
  <c r="G2095" i="6" s="1"/>
  <c r="G2097" i="6" s="1"/>
  <c r="G2098" i="6" s="1"/>
  <c r="F2094" i="6"/>
  <c r="F2095" i="6" s="1"/>
  <c r="F2097" i="6" s="1"/>
  <c r="F2098" i="6" s="1"/>
  <c r="E2094" i="6"/>
  <c r="E2095" i="6" s="1"/>
  <c r="E2097" i="6" s="1"/>
  <c r="E2098" i="6" s="1"/>
  <c r="D2232" i="6"/>
  <c r="E2232" i="6"/>
  <c r="E2233" i="6" s="1"/>
  <c r="E2235" i="6" s="1"/>
  <c r="E2236" i="6" s="1"/>
  <c r="F2232" i="6"/>
  <c r="F2233" i="6" s="1"/>
  <c r="F2235" i="6" s="1"/>
  <c r="F2236" i="6" s="1"/>
  <c r="G2232" i="6"/>
  <c r="G2233" i="6" s="1"/>
  <c r="G2235" i="6" s="1"/>
  <c r="G2236" i="6" s="1"/>
  <c r="H2232" i="6"/>
  <c r="H2233" i="6" s="1"/>
  <c r="H2235" i="6" s="1"/>
  <c r="H2236" i="6" s="1"/>
  <c r="I2232" i="6"/>
  <c r="I2233" i="6" s="1"/>
  <c r="I2235" i="6" s="1"/>
  <c r="I2236" i="6" s="1"/>
  <c r="J2232" i="6"/>
  <c r="J2233" i="6" s="1"/>
  <c r="J2235" i="6" s="1"/>
  <c r="J2236" i="6" s="1"/>
  <c r="K2232" i="6"/>
  <c r="K2233" i="6" s="1"/>
  <c r="K2235" i="6"/>
  <c r="K2236" i="6" s="1"/>
  <c r="L2232" i="6"/>
  <c r="L2233" i="6" s="1"/>
  <c r="L2235" i="6" s="1"/>
  <c r="L2236" i="6" s="1"/>
  <c r="M2232" i="6"/>
  <c r="M2233" i="6" s="1"/>
  <c r="M2235" i="6" s="1"/>
  <c r="M2236" i="6" s="1"/>
  <c r="D2600" i="6"/>
  <c r="M2600" i="6"/>
  <c r="M2601" i="6" s="1"/>
  <c r="M2603" i="6" s="1"/>
  <c r="M2604" i="6" s="1"/>
  <c r="L2600" i="6"/>
  <c r="L2601" i="6" s="1"/>
  <c r="L2603" i="6" s="1"/>
  <c r="L2604" i="6" s="1"/>
  <c r="K2600" i="6"/>
  <c r="K2601" i="6" s="1"/>
  <c r="K2603" i="6" s="1"/>
  <c r="K2604" i="6" s="1"/>
  <c r="J2600" i="6"/>
  <c r="J2601" i="6" s="1"/>
  <c r="J2603" i="6" s="1"/>
  <c r="J2604" i="6" s="1"/>
  <c r="I2600" i="6"/>
  <c r="I2601" i="6" s="1"/>
  <c r="I2603" i="6" s="1"/>
  <c r="I2604" i="6" s="1"/>
  <c r="H2600" i="6"/>
  <c r="H2601" i="6" s="1"/>
  <c r="H2603" i="6" s="1"/>
  <c r="H2604" i="6" s="1"/>
  <c r="G2600" i="6"/>
  <c r="G2601" i="6" s="1"/>
  <c r="G2603" i="6" s="1"/>
  <c r="G2604" i="6" s="1"/>
  <c r="F2600" i="6"/>
  <c r="F2601" i="6" s="1"/>
  <c r="F2603" i="6" s="1"/>
  <c r="F2604" i="6" s="1"/>
  <c r="E2600" i="6"/>
  <c r="E2601" i="6" s="1"/>
  <c r="E2603" i="6" s="1"/>
  <c r="E2604" i="6" s="1"/>
  <c r="D2646" i="6"/>
  <c r="M2646" i="6"/>
  <c r="M2647" i="6" s="1"/>
  <c r="M2649" i="6" s="1"/>
  <c r="M2650" i="6" s="1"/>
  <c r="L2646" i="6"/>
  <c r="L2647" i="6" s="1"/>
  <c r="L2649" i="6" s="1"/>
  <c r="L2650" i="6" s="1"/>
  <c r="K2646" i="6"/>
  <c r="K2647" i="6" s="1"/>
  <c r="K2649" i="6" s="1"/>
  <c r="K2650" i="6" s="1"/>
  <c r="J2646" i="6"/>
  <c r="J2647" i="6" s="1"/>
  <c r="J2649" i="6" s="1"/>
  <c r="J2650" i="6" s="1"/>
  <c r="I2646" i="6"/>
  <c r="I2647" i="6" s="1"/>
  <c r="I2649" i="6" s="1"/>
  <c r="I2650" i="6" s="1"/>
  <c r="H2646" i="6"/>
  <c r="H2647" i="6" s="1"/>
  <c r="H2649" i="6" s="1"/>
  <c r="H2650" i="6" s="1"/>
  <c r="G2646" i="6"/>
  <c r="G2647" i="6" s="1"/>
  <c r="G2649" i="6" s="1"/>
  <c r="G2650" i="6" s="1"/>
  <c r="F2646" i="6"/>
  <c r="F2647" i="6" s="1"/>
  <c r="F2649" i="6" s="1"/>
  <c r="F2650" i="6" s="1"/>
  <c r="E2646" i="6"/>
  <c r="E2647" i="6" s="1"/>
  <c r="E2649" i="6" s="1"/>
  <c r="E2650" i="6" s="1"/>
  <c r="D2784" i="6"/>
  <c r="M2784" i="6"/>
  <c r="M2785" i="6" s="1"/>
  <c r="M2787" i="6" s="1"/>
  <c r="M2788" i="6" s="1"/>
  <c r="L2784" i="6"/>
  <c r="L2785" i="6" s="1"/>
  <c r="L2787" i="6" s="1"/>
  <c r="L2788" i="6" s="1"/>
  <c r="K2784" i="6"/>
  <c r="K2785" i="6" s="1"/>
  <c r="K2787" i="6" s="1"/>
  <c r="K2788" i="6" s="1"/>
  <c r="J2784" i="6"/>
  <c r="J2785" i="6" s="1"/>
  <c r="J2787" i="6" s="1"/>
  <c r="J2788" i="6" s="1"/>
  <c r="I2784" i="6"/>
  <c r="I2785" i="6" s="1"/>
  <c r="I2787" i="6" s="1"/>
  <c r="I2788" i="6" s="1"/>
  <c r="H2784" i="6"/>
  <c r="H2785" i="6" s="1"/>
  <c r="H2787" i="6" s="1"/>
  <c r="H2788" i="6" s="1"/>
  <c r="G2784" i="6"/>
  <c r="G2785" i="6" s="1"/>
  <c r="G2787" i="6" s="1"/>
  <c r="G2788" i="6" s="1"/>
  <c r="F2784" i="6"/>
  <c r="F2785" i="6" s="1"/>
  <c r="F2787" i="6" s="1"/>
  <c r="F2788" i="6" s="1"/>
  <c r="E2784" i="6"/>
  <c r="E2785" i="6" s="1"/>
  <c r="E2787" i="6" s="1"/>
  <c r="E2788" i="6" s="1"/>
  <c r="D3704" i="6"/>
  <c r="E3704" i="6"/>
  <c r="E3705" i="6" s="1"/>
  <c r="E3707" i="6" s="1"/>
  <c r="E3708" i="6" s="1"/>
  <c r="F3704" i="6"/>
  <c r="F3705" i="6" s="1"/>
  <c r="F3707" i="6" s="1"/>
  <c r="F3708" i="6" s="1"/>
  <c r="G3704" i="6"/>
  <c r="G3705" i="6" s="1"/>
  <c r="G3707" i="6" s="1"/>
  <c r="G3708" i="6" s="1"/>
  <c r="I3704" i="6"/>
  <c r="I3705" i="6" s="1"/>
  <c r="I3707" i="6" s="1"/>
  <c r="I3708" i="6" s="1"/>
  <c r="K3704" i="6"/>
  <c r="K3705" i="6" s="1"/>
  <c r="K3707" i="6" s="1"/>
  <c r="K3708" i="6" s="1"/>
  <c r="H3704" i="6"/>
  <c r="H3705" i="6" s="1"/>
  <c r="H3707" i="6" s="1"/>
  <c r="H3708" i="6" s="1"/>
  <c r="J3704" i="6"/>
  <c r="J3705" i="6" s="1"/>
  <c r="J3707" i="6" s="1"/>
  <c r="J3708" i="6" s="1"/>
  <c r="M3704" i="6"/>
  <c r="M3705" i="6" s="1"/>
  <c r="M3707" i="6" s="1"/>
  <c r="M3708" i="6" s="1"/>
  <c r="L3704" i="6"/>
  <c r="L3705" i="6" s="1"/>
  <c r="L3707" i="6" s="1"/>
  <c r="L3708" i="6" s="1"/>
  <c r="D4026" i="6"/>
  <c r="I4026" i="6"/>
  <c r="I4027" i="6" s="1"/>
  <c r="I4029" i="6" s="1"/>
  <c r="I4030" i="6" s="1"/>
  <c r="L4026" i="6"/>
  <c r="L4027" i="6" s="1"/>
  <c r="L4029" i="6" s="1"/>
  <c r="L4030" i="6" s="1"/>
  <c r="E4026" i="6"/>
  <c r="E4027" i="6" s="1"/>
  <c r="E4029" i="6" s="1"/>
  <c r="E4030" i="6" s="1"/>
  <c r="J4026" i="6"/>
  <c r="J4027" i="6" s="1"/>
  <c r="J4029" i="6" s="1"/>
  <c r="J4030" i="6" s="1"/>
  <c r="F4026" i="6"/>
  <c r="F4027" i="6" s="1"/>
  <c r="F4029" i="6" s="1"/>
  <c r="F4030" i="6" s="1"/>
  <c r="M4026" i="6"/>
  <c r="M4027" i="6" s="1"/>
  <c r="M4029" i="6" s="1"/>
  <c r="M4030" i="6" s="1"/>
  <c r="K4026" i="6"/>
  <c r="K4027" i="6" s="1"/>
  <c r="K4029" i="6" s="1"/>
  <c r="K4030" i="6" s="1"/>
  <c r="G4026" i="6"/>
  <c r="G4027" i="6" s="1"/>
  <c r="G4029" i="6" s="1"/>
  <c r="G4030" i="6" s="1"/>
  <c r="H4026" i="6"/>
  <c r="H4027" i="6" s="1"/>
  <c r="H4029" i="6" s="1"/>
  <c r="H4030" i="6" s="1"/>
  <c r="D3244" i="6"/>
  <c r="M3244" i="6"/>
  <c r="M3245" i="6" s="1"/>
  <c r="M3247" i="6" s="1"/>
  <c r="M3248" i="6" s="1"/>
  <c r="L3244" i="6"/>
  <c r="L3245" i="6" s="1"/>
  <c r="L3247" i="6" s="1"/>
  <c r="L3248" i="6" s="1"/>
  <c r="K3244" i="6"/>
  <c r="K3245" i="6" s="1"/>
  <c r="K3247" i="6" s="1"/>
  <c r="K3248" i="6" s="1"/>
  <c r="J3244" i="6"/>
  <c r="J3245" i="6" s="1"/>
  <c r="J3247" i="6" s="1"/>
  <c r="J3248" i="6" s="1"/>
  <c r="I3244" i="6"/>
  <c r="I3245" i="6" s="1"/>
  <c r="I3247" i="6" s="1"/>
  <c r="I3248" i="6" s="1"/>
  <c r="H3244" i="6"/>
  <c r="H3245" i="6" s="1"/>
  <c r="H3247" i="6" s="1"/>
  <c r="H3248" i="6" s="1"/>
  <c r="G3244" i="6"/>
  <c r="G3245" i="6" s="1"/>
  <c r="G3247" i="6" s="1"/>
  <c r="G3248" i="6" s="1"/>
  <c r="F3244" i="6"/>
  <c r="F3245" i="6" s="1"/>
  <c r="F3247" i="6" s="1"/>
  <c r="F3248" i="6" s="1"/>
  <c r="E3244" i="6"/>
  <c r="E3245" i="6" s="1"/>
  <c r="E3247" i="6" s="1"/>
  <c r="E3248" i="6" s="1"/>
  <c r="D4072" i="6"/>
  <c r="L4072" i="6"/>
  <c r="L4073" i="6" s="1"/>
  <c r="L4075" i="6" s="1"/>
  <c r="L4076" i="6" s="1"/>
  <c r="F4072" i="6"/>
  <c r="F4073" i="6" s="1"/>
  <c r="F4075" i="6"/>
  <c r="F4076" i="6" s="1"/>
  <c r="K4072" i="6"/>
  <c r="K4073" i="6" s="1"/>
  <c r="K4075" i="6" s="1"/>
  <c r="K4076" i="6" s="1"/>
  <c r="J4072" i="6"/>
  <c r="J4073" i="6" s="1"/>
  <c r="J4075" i="6" s="1"/>
  <c r="J4076" i="6" s="1"/>
  <c r="H4072" i="6"/>
  <c r="H4073" i="6" s="1"/>
  <c r="H4075" i="6" s="1"/>
  <c r="H4076" i="6" s="1"/>
  <c r="I4072" i="6"/>
  <c r="I4073" i="6" s="1"/>
  <c r="I4075" i="6" s="1"/>
  <c r="I4076" i="6" s="1"/>
  <c r="G4072" i="6"/>
  <c r="G4073" i="6" s="1"/>
  <c r="G4075" i="6"/>
  <c r="G4076" i="6" s="1"/>
  <c r="E4072" i="6"/>
  <c r="E4073" i="6" s="1"/>
  <c r="E4075" i="6" s="1"/>
  <c r="E4076" i="6" s="1"/>
  <c r="M4072" i="6"/>
  <c r="M4073" i="6" s="1"/>
  <c r="M4075" i="6"/>
  <c r="M4076" i="6" s="1"/>
  <c r="D4164" i="6"/>
  <c r="J4164" i="6"/>
  <c r="J4165" i="6" s="1"/>
  <c r="J4167" i="6" s="1"/>
  <c r="J4168" i="6" s="1"/>
  <c r="L4164" i="6"/>
  <c r="L4165" i="6" s="1"/>
  <c r="L4167" i="6" s="1"/>
  <c r="L4168" i="6" s="1"/>
  <c r="F4164" i="6"/>
  <c r="F4165" i="6" s="1"/>
  <c r="F4167" i="6" s="1"/>
  <c r="F4168" i="6" s="1"/>
  <c r="K4164" i="6"/>
  <c r="K4165" i="6" s="1"/>
  <c r="K4167" i="6" s="1"/>
  <c r="K4168" i="6" s="1"/>
  <c r="I4164" i="6"/>
  <c r="I4165" i="6" s="1"/>
  <c r="I4167" i="6" s="1"/>
  <c r="I4168" i="6" s="1"/>
  <c r="H4164" i="6"/>
  <c r="H4165" i="6" s="1"/>
  <c r="H4167" i="6" s="1"/>
  <c r="H4168" i="6" s="1"/>
  <c r="E4164" i="6"/>
  <c r="E4165" i="6" s="1"/>
  <c r="E4167" i="6" s="1"/>
  <c r="E4168" i="6" s="1"/>
  <c r="M4164" i="6"/>
  <c r="M4165" i="6" s="1"/>
  <c r="M4167" i="6" s="1"/>
  <c r="M4168" i="6" s="1"/>
  <c r="G4164" i="6"/>
  <c r="G4165" i="6" s="1"/>
  <c r="G4167" i="6" s="1"/>
  <c r="G4168" i="6" s="1"/>
  <c r="D4210" i="6"/>
  <c r="G4210" i="6"/>
  <c r="G4211" i="6" s="1"/>
  <c r="G4213" i="6" s="1"/>
  <c r="G4214" i="6" s="1"/>
  <c r="I4210" i="6"/>
  <c r="I4211" i="6" s="1"/>
  <c r="I4213" i="6" s="1"/>
  <c r="I4214" i="6" s="1"/>
  <c r="L4210" i="6"/>
  <c r="L4211" i="6" s="1"/>
  <c r="L4213" i="6" s="1"/>
  <c r="L4214" i="6" s="1"/>
  <c r="K4210" i="6"/>
  <c r="K4211" i="6" s="1"/>
  <c r="K4213" i="6" s="1"/>
  <c r="K4214" i="6" s="1"/>
  <c r="J4210" i="6"/>
  <c r="J4211" i="6" s="1"/>
  <c r="J4213" i="6" s="1"/>
  <c r="J4214" i="6" s="1"/>
  <c r="H4210" i="6"/>
  <c r="H4211" i="6" s="1"/>
  <c r="H4213" i="6" s="1"/>
  <c r="H4214" i="6" s="1"/>
  <c r="F4210" i="6"/>
  <c r="F4211" i="6" s="1"/>
  <c r="F4213" i="6" s="1"/>
  <c r="F4214" i="6" s="1"/>
  <c r="M4210" i="6"/>
  <c r="M4211" i="6" s="1"/>
  <c r="M4213" i="6" s="1"/>
  <c r="M4214" i="6" s="1"/>
  <c r="E4210" i="6"/>
  <c r="E4211" i="6" s="1"/>
  <c r="E4213" i="6" s="1"/>
  <c r="E4214" i="6" s="1"/>
  <c r="D4302" i="6"/>
  <c r="E4302" i="6"/>
  <c r="E4303" i="6" s="1"/>
  <c r="E4305" i="6" s="1"/>
  <c r="E4306" i="6" s="1"/>
  <c r="M4302" i="6"/>
  <c r="M4303" i="6" s="1"/>
  <c r="M4305" i="6" s="1"/>
  <c r="M4306" i="6" s="1"/>
  <c r="L4302" i="6"/>
  <c r="L4303" i="6" s="1"/>
  <c r="L4305" i="6" s="1"/>
  <c r="L4306" i="6" s="1"/>
  <c r="K4302" i="6"/>
  <c r="K4303" i="6" s="1"/>
  <c r="K4305" i="6" s="1"/>
  <c r="K4306" i="6" s="1"/>
  <c r="J4302" i="6"/>
  <c r="J4303" i="6" s="1"/>
  <c r="J4305" i="6" s="1"/>
  <c r="J4306" i="6" s="1"/>
  <c r="F4302" i="6"/>
  <c r="F4303" i="6" s="1"/>
  <c r="F4305" i="6" s="1"/>
  <c r="F4306" i="6" s="1"/>
  <c r="I4302" i="6"/>
  <c r="I4303" i="6" s="1"/>
  <c r="I4305" i="6" s="1"/>
  <c r="I4306" i="6" s="1"/>
  <c r="H4302" i="6"/>
  <c r="H4303" i="6" s="1"/>
  <c r="H4305" i="6" s="1"/>
  <c r="H4306" i="6" s="1"/>
  <c r="G4302" i="6"/>
  <c r="G4303" i="6" s="1"/>
  <c r="G4305" i="6" s="1"/>
  <c r="G4306" i="6" s="1"/>
  <c r="D4348" i="6"/>
  <c r="G4348" i="6"/>
  <c r="G4349" i="6" s="1"/>
  <c r="G4351" i="6" s="1"/>
  <c r="G4352" i="6" s="1"/>
  <c r="K4348" i="6"/>
  <c r="K4349" i="6" s="1"/>
  <c r="K4351" i="6" s="1"/>
  <c r="K4352" i="6" s="1"/>
  <c r="J4348" i="6"/>
  <c r="J4349" i="6" s="1"/>
  <c r="J4351" i="6" s="1"/>
  <c r="J4352" i="6" s="1"/>
  <c r="M4348" i="6"/>
  <c r="M4349" i="6" s="1"/>
  <c r="M4351" i="6" s="1"/>
  <c r="M4352" i="6" s="1"/>
  <c r="E4348" i="6"/>
  <c r="E4349" i="6" s="1"/>
  <c r="E4351" i="6" s="1"/>
  <c r="E4352" i="6" s="1"/>
  <c r="L4348" i="6"/>
  <c r="L4349" i="6" s="1"/>
  <c r="L4351" i="6" s="1"/>
  <c r="L4352" i="6" s="1"/>
  <c r="I4348" i="6"/>
  <c r="I4349" i="6" s="1"/>
  <c r="I4351" i="6" s="1"/>
  <c r="I4352" i="6" s="1"/>
  <c r="H4348" i="6"/>
  <c r="H4349" i="6" s="1"/>
  <c r="H4351" i="6" s="1"/>
  <c r="H4352" i="6" s="1"/>
  <c r="F4348" i="6"/>
  <c r="F4349" i="6" s="1"/>
  <c r="F4351" i="6" s="1"/>
  <c r="F4352" i="6" s="1"/>
  <c r="D4440" i="6"/>
  <c r="F4440" i="6"/>
  <c r="F4441" i="6" s="1"/>
  <c r="F4443" i="6" s="1"/>
  <c r="F4444" i="6" s="1"/>
  <c r="G4440" i="6"/>
  <c r="G4441" i="6" s="1"/>
  <c r="G4443" i="6" s="1"/>
  <c r="G4444" i="6" s="1"/>
  <c r="L4440" i="6"/>
  <c r="L4441" i="6" s="1"/>
  <c r="L4443" i="6" s="1"/>
  <c r="L4444" i="6" s="1"/>
  <c r="E4440" i="6"/>
  <c r="E4441" i="6" s="1"/>
  <c r="E4443" i="6" s="1"/>
  <c r="E4444" i="6" s="1"/>
  <c r="I4440" i="6"/>
  <c r="I4441" i="6" s="1"/>
  <c r="I4443" i="6" s="1"/>
  <c r="I4444" i="6" s="1"/>
  <c r="K4440" i="6"/>
  <c r="K4441" i="6" s="1"/>
  <c r="K4443" i="6" s="1"/>
  <c r="K4444" i="6" s="1"/>
  <c r="H4440" i="6"/>
  <c r="H4441" i="6" s="1"/>
  <c r="H4443" i="6" s="1"/>
  <c r="H4444" i="6" s="1"/>
  <c r="J4440" i="6"/>
  <c r="J4441" i="6" s="1"/>
  <c r="J4443" i="6" s="1"/>
  <c r="J4444" i="6" s="1"/>
  <c r="M4440" i="6"/>
  <c r="M4441" i="6" s="1"/>
  <c r="M4443" i="6" s="1"/>
  <c r="M4444" i="6" s="1"/>
  <c r="D4532" i="6"/>
  <c r="M4532" i="6"/>
  <c r="M4533" i="6" s="1"/>
  <c r="M4535" i="6" s="1"/>
  <c r="M4536" i="6" s="1"/>
  <c r="I4532" i="6"/>
  <c r="I4533" i="6" s="1"/>
  <c r="I4535" i="6" s="1"/>
  <c r="I4536" i="6" s="1"/>
  <c r="L4532" i="6"/>
  <c r="L4533" i="6" s="1"/>
  <c r="L4535" i="6" s="1"/>
  <c r="L4536" i="6" s="1"/>
  <c r="K4532" i="6"/>
  <c r="K4533" i="6" s="1"/>
  <c r="K4535" i="6" s="1"/>
  <c r="K4536" i="6" s="1"/>
  <c r="F4532" i="6"/>
  <c r="F4533" i="6" s="1"/>
  <c r="F4535" i="6" s="1"/>
  <c r="F4536" i="6" s="1"/>
  <c r="G4532" i="6"/>
  <c r="G4533" i="6" s="1"/>
  <c r="G4535" i="6" s="1"/>
  <c r="G4536" i="6" s="1"/>
  <c r="E4532" i="6"/>
  <c r="E4533" i="6" s="1"/>
  <c r="E4535" i="6" s="1"/>
  <c r="E4536" i="6" s="1"/>
  <c r="H4532" i="6"/>
  <c r="H4533" i="6" s="1"/>
  <c r="H4535" i="6" s="1"/>
  <c r="H4536" i="6" s="1"/>
  <c r="J4532" i="6"/>
  <c r="J4533" i="6" s="1"/>
  <c r="J4535" i="6" s="1"/>
  <c r="J4536" i="6" s="1"/>
  <c r="D2186" i="14"/>
  <c r="E2186" i="14"/>
  <c r="E2187" i="14" s="1"/>
  <c r="E2189" i="14" s="1"/>
  <c r="E2190" i="14" s="1"/>
  <c r="H2186" i="14"/>
  <c r="H2187" i="14" s="1"/>
  <c r="H2189" i="14" s="1"/>
  <c r="H2190" i="14" s="1"/>
  <c r="L2186" i="14"/>
  <c r="L2187" i="14" s="1"/>
  <c r="L2189" i="14" s="1"/>
  <c r="L2190" i="14" s="1"/>
  <c r="G2186" i="14"/>
  <c r="G2187" i="14" s="1"/>
  <c r="G2189" i="14" s="1"/>
  <c r="G2190" i="14" s="1"/>
  <c r="M2186" i="14"/>
  <c r="M2187" i="14" s="1"/>
  <c r="M2189" i="14" s="1"/>
  <c r="M2190" i="14" s="1"/>
  <c r="F2186" i="14"/>
  <c r="F2187" i="14" s="1"/>
  <c r="F2189" i="14" s="1"/>
  <c r="F2190" i="14" s="1"/>
  <c r="I2186" i="14"/>
  <c r="I2187" i="14" s="1"/>
  <c r="I2189" i="14" s="1"/>
  <c r="I2190" i="14" s="1"/>
  <c r="J2186" i="14"/>
  <c r="J2187" i="14" s="1"/>
  <c r="J2189" i="14" s="1"/>
  <c r="J2190" i="14" s="1"/>
  <c r="K2186" i="14"/>
  <c r="K2187" i="14" s="1"/>
  <c r="K2189" i="14" s="1"/>
  <c r="K2190" i="14" s="1"/>
  <c r="J2232" i="14"/>
  <c r="J2233" i="14" s="1"/>
  <c r="J2235" i="14" s="1"/>
  <c r="J2236" i="14" s="1"/>
  <c r="D2232" i="14"/>
  <c r="H2232" i="14"/>
  <c r="H2233" i="14" s="1"/>
  <c r="H2235" i="14" s="1"/>
  <c r="H2236" i="14" s="1"/>
  <c r="G2232" i="14"/>
  <c r="G2233" i="14" s="1"/>
  <c r="G2235" i="14" s="1"/>
  <c r="G2236" i="14" s="1"/>
  <c r="L2232" i="14"/>
  <c r="L2233" i="14" s="1"/>
  <c r="L2235" i="14" s="1"/>
  <c r="L2236" i="14" s="1"/>
  <c r="E2232" i="14"/>
  <c r="E2233" i="14" s="1"/>
  <c r="E2235" i="14" s="1"/>
  <c r="E2236" i="14" s="1"/>
  <c r="F2232" i="14"/>
  <c r="F2233" i="14" s="1"/>
  <c r="F2235" i="14" s="1"/>
  <c r="F2236" i="14" s="1"/>
  <c r="K2232" i="14"/>
  <c r="K2233" i="14" s="1"/>
  <c r="K2235" i="14" s="1"/>
  <c r="K2236" i="14" s="1"/>
  <c r="M2232" i="14"/>
  <c r="M2233" i="14" s="1"/>
  <c r="M2235" i="14" s="1"/>
  <c r="M2236" i="14" s="1"/>
  <c r="I2232" i="14"/>
  <c r="I2233" i="14" s="1"/>
  <c r="I2235" i="14" s="1"/>
  <c r="I2236" i="14" s="1"/>
  <c r="D2278" i="14"/>
  <c r="E2278" i="14"/>
  <c r="E2279" i="14" s="1"/>
  <c r="E2281" i="14" s="1"/>
  <c r="E2282" i="14" s="1"/>
  <c r="G2278" i="14"/>
  <c r="G2279" i="14" s="1"/>
  <c r="G2281" i="14" s="1"/>
  <c r="G2282" i="14" s="1"/>
  <c r="J2278" i="14"/>
  <c r="J2279" i="14" s="1"/>
  <c r="J2281" i="14" s="1"/>
  <c r="J2282" i="14" s="1"/>
  <c r="M2278" i="14"/>
  <c r="M2279" i="14" s="1"/>
  <c r="M2281" i="14" s="1"/>
  <c r="M2282" i="14" s="1"/>
  <c r="F2278" i="14"/>
  <c r="F2279" i="14" s="1"/>
  <c r="F2281" i="14" s="1"/>
  <c r="F2282" i="14" s="1"/>
  <c r="H2278" i="14"/>
  <c r="H2279" i="14" s="1"/>
  <c r="H2281" i="14" s="1"/>
  <c r="H2282" i="14" s="1"/>
  <c r="K2278" i="14"/>
  <c r="K2279" i="14" s="1"/>
  <c r="K2281" i="14" s="1"/>
  <c r="K2282" i="14" s="1"/>
  <c r="I2278" i="14"/>
  <c r="I2279" i="14" s="1"/>
  <c r="I2281" i="14" s="1"/>
  <c r="I2282" i="14" s="1"/>
  <c r="L2278" i="14"/>
  <c r="L2279" i="14" s="1"/>
  <c r="L2281" i="14" s="1"/>
  <c r="L2282" i="14" s="1"/>
  <c r="D2508" i="14"/>
  <c r="E2508" i="14"/>
  <c r="E2509" i="14" s="1"/>
  <c r="E2511" i="14" s="1"/>
  <c r="E2512" i="14" s="1"/>
  <c r="F2508" i="14"/>
  <c r="F2509" i="14" s="1"/>
  <c r="F2511" i="14" s="1"/>
  <c r="F2512" i="14" s="1"/>
  <c r="G2508" i="14"/>
  <c r="G2509" i="14" s="1"/>
  <c r="G2511" i="14" s="1"/>
  <c r="G2512" i="14" s="1"/>
  <c r="H2508" i="14"/>
  <c r="H2509" i="14" s="1"/>
  <c r="H2511" i="14" s="1"/>
  <c r="H2512" i="14" s="1"/>
  <c r="I2508" i="14"/>
  <c r="I2509" i="14" s="1"/>
  <c r="I2511" i="14" s="1"/>
  <c r="I2512" i="14" s="1"/>
  <c r="J2508" i="14"/>
  <c r="J2509" i="14" s="1"/>
  <c r="J2511" i="14" s="1"/>
  <c r="J2512" i="14" s="1"/>
  <c r="K2508" i="14"/>
  <c r="K2509" i="14" s="1"/>
  <c r="K2511" i="14" s="1"/>
  <c r="K2512" i="14" s="1"/>
  <c r="L2508" i="14"/>
  <c r="L2509" i="14" s="1"/>
  <c r="L2511" i="14" s="1"/>
  <c r="L2512" i="14" s="1"/>
  <c r="M2508" i="14"/>
  <c r="M2509" i="14" s="1"/>
  <c r="M2511" i="14" s="1"/>
  <c r="M2512" i="14" s="1"/>
  <c r="D2600" i="14"/>
  <c r="E2600" i="14"/>
  <c r="E2601" i="14" s="1"/>
  <c r="E2603" i="14" s="1"/>
  <c r="E2604" i="14" s="1"/>
  <c r="F2600" i="14"/>
  <c r="F2601" i="14" s="1"/>
  <c r="F2603" i="14" s="1"/>
  <c r="F2604" i="14" s="1"/>
  <c r="G2600" i="14"/>
  <c r="G2601" i="14" s="1"/>
  <c r="G2603" i="14" s="1"/>
  <c r="G2604" i="14" s="1"/>
  <c r="H2600" i="14"/>
  <c r="H2601" i="14" s="1"/>
  <c r="H2603" i="14" s="1"/>
  <c r="H2604" i="14" s="1"/>
  <c r="I2600" i="14"/>
  <c r="I2601" i="14" s="1"/>
  <c r="I2603" i="14" s="1"/>
  <c r="I2604" i="14" s="1"/>
  <c r="J2600" i="14"/>
  <c r="J2601" i="14" s="1"/>
  <c r="J2603" i="14" s="1"/>
  <c r="J2604" i="14" s="1"/>
  <c r="K2600" i="14"/>
  <c r="K2601" i="14" s="1"/>
  <c r="K2603" i="14" s="1"/>
  <c r="K2604" i="14" s="1"/>
  <c r="L2600" i="14"/>
  <c r="L2601" i="14" s="1"/>
  <c r="L2603" i="14" s="1"/>
  <c r="L2604" i="14" s="1"/>
  <c r="M2600" i="14"/>
  <c r="M2601" i="14" s="1"/>
  <c r="M2603" i="14" s="1"/>
  <c r="M2604" i="14" s="1"/>
  <c r="D2692" i="14"/>
  <c r="E2692" i="14"/>
  <c r="E2693" i="14" s="1"/>
  <c r="E2695" i="14" s="1"/>
  <c r="E2696" i="14" s="1"/>
  <c r="F2692" i="14"/>
  <c r="F2693" i="14" s="1"/>
  <c r="F2695" i="14" s="1"/>
  <c r="F2696" i="14" s="1"/>
  <c r="G2692" i="14"/>
  <c r="G2693" i="14" s="1"/>
  <c r="G2695" i="14" s="1"/>
  <c r="G2696" i="14" s="1"/>
  <c r="H2692" i="14"/>
  <c r="H2693" i="14" s="1"/>
  <c r="H2695" i="14" s="1"/>
  <c r="H2696" i="14" s="1"/>
  <c r="I2692" i="14"/>
  <c r="I2693" i="14" s="1"/>
  <c r="I2695" i="14" s="1"/>
  <c r="I2696" i="14" s="1"/>
  <c r="J2692" i="14"/>
  <c r="J2693" i="14" s="1"/>
  <c r="J2695" i="14" s="1"/>
  <c r="J2696" i="14" s="1"/>
  <c r="K2692" i="14"/>
  <c r="K2693" i="14" s="1"/>
  <c r="K2695" i="14" s="1"/>
  <c r="K2696" i="14" s="1"/>
  <c r="L2692" i="14"/>
  <c r="L2693" i="14" s="1"/>
  <c r="L2695" i="14" s="1"/>
  <c r="L2696" i="14" s="1"/>
  <c r="M2692" i="14"/>
  <c r="M2693" i="14" s="1"/>
  <c r="M2695" i="14" s="1"/>
  <c r="M2696" i="14" s="1"/>
  <c r="D2738" i="14"/>
  <c r="E2738" i="14"/>
  <c r="E2739" i="14" s="1"/>
  <c r="E2741" i="14" s="1"/>
  <c r="E2742" i="14" s="1"/>
  <c r="F2738" i="14"/>
  <c r="F2739" i="14" s="1"/>
  <c r="F2741" i="14" s="1"/>
  <c r="F2742" i="14" s="1"/>
  <c r="G2738" i="14"/>
  <c r="G2739" i="14" s="1"/>
  <c r="G2741" i="14" s="1"/>
  <c r="G2742" i="14" s="1"/>
  <c r="H2738" i="14"/>
  <c r="H2739" i="14" s="1"/>
  <c r="H2741" i="14" s="1"/>
  <c r="H2742" i="14" s="1"/>
  <c r="I2738" i="14"/>
  <c r="I2739" i="14" s="1"/>
  <c r="I2741" i="14" s="1"/>
  <c r="I2742" i="14" s="1"/>
  <c r="J2738" i="14"/>
  <c r="J2739" i="14" s="1"/>
  <c r="J2741" i="14" s="1"/>
  <c r="J2742" i="14" s="1"/>
  <c r="K2738" i="14"/>
  <c r="K2739" i="14" s="1"/>
  <c r="K2741" i="14" s="1"/>
  <c r="K2742" i="14" s="1"/>
  <c r="L2738" i="14"/>
  <c r="L2739" i="14" s="1"/>
  <c r="L2741" i="14" s="1"/>
  <c r="L2742" i="14" s="1"/>
  <c r="M2738" i="14"/>
  <c r="M2739" i="14" s="1"/>
  <c r="M2741" i="14" s="1"/>
  <c r="M2742" i="14" s="1"/>
  <c r="D2830" i="14"/>
  <c r="E2830" i="14"/>
  <c r="E2831" i="14" s="1"/>
  <c r="E2833" i="14" s="1"/>
  <c r="E2834" i="14" s="1"/>
  <c r="F2830" i="14"/>
  <c r="F2831" i="14" s="1"/>
  <c r="F2833" i="14" s="1"/>
  <c r="F2834" i="14" s="1"/>
  <c r="G2830" i="14"/>
  <c r="G2831" i="14" s="1"/>
  <c r="G2833" i="14" s="1"/>
  <c r="G2834" i="14" s="1"/>
  <c r="H2830" i="14"/>
  <c r="H2831" i="14" s="1"/>
  <c r="H2833" i="14" s="1"/>
  <c r="H2834" i="14" s="1"/>
  <c r="I2830" i="14"/>
  <c r="I2831" i="14" s="1"/>
  <c r="I2833" i="14" s="1"/>
  <c r="I2834" i="14" s="1"/>
  <c r="J2830" i="14"/>
  <c r="J2831" i="14" s="1"/>
  <c r="J2833" i="14" s="1"/>
  <c r="J2834" i="14" s="1"/>
  <c r="K2830" i="14"/>
  <c r="K2831" i="14" s="1"/>
  <c r="K2833" i="14" s="1"/>
  <c r="K2834" i="14" s="1"/>
  <c r="L2830" i="14"/>
  <c r="L2831" i="14" s="1"/>
  <c r="L2833" i="14" s="1"/>
  <c r="L2834" i="14" s="1"/>
  <c r="M2830" i="14"/>
  <c r="M2831" i="14" s="1"/>
  <c r="M2833" i="14" s="1"/>
  <c r="M2834" i="14" s="1"/>
  <c r="J2876" i="14"/>
  <c r="J2877" i="14" s="1"/>
  <c r="J2879" i="14" s="1"/>
  <c r="J2880" i="14" s="1"/>
  <c r="M2876" i="14"/>
  <c r="M2877" i="14" s="1"/>
  <c r="M2879" i="14" s="1"/>
  <c r="M2880" i="14" s="1"/>
  <c r="K2876" i="14"/>
  <c r="K2877" i="14" s="1"/>
  <c r="K2879" i="14" s="1"/>
  <c r="K2880" i="14" s="1"/>
  <c r="I2876" i="14"/>
  <c r="I2877" i="14" s="1"/>
  <c r="I2879" i="14" s="1"/>
  <c r="I2880" i="14" s="1"/>
  <c r="D2876" i="14"/>
  <c r="L2876" i="14"/>
  <c r="L2877" i="14" s="1"/>
  <c r="L2879" i="14" s="1"/>
  <c r="L2880" i="14" s="1"/>
  <c r="H2876" i="14"/>
  <c r="H2877" i="14" s="1"/>
  <c r="H2879" i="14" s="1"/>
  <c r="H2880" i="14" s="1"/>
  <c r="E2876" i="14"/>
  <c r="E2877" i="14" s="1"/>
  <c r="E2879" i="14" s="1"/>
  <c r="E2880" i="14" s="1"/>
  <c r="F2876" i="14"/>
  <c r="F2877" i="14" s="1"/>
  <c r="F2879" i="14" s="1"/>
  <c r="F2880" i="14" s="1"/>
  <c r="G2876" i="14"/>
  <c r="G2877" i="14" s="1"/>
  <c r="G2879" i="14" s="1"/>
  <c r="G2880" i="14" s="1"/>
  <c r="D2968" i="14"/>
  <c r="E2968" i="14"/>
  <c r="E2969" i="14" s="1"/>
  <c r="E2971" i="14" s="1"/>
  <c r="E2972" i="14" s="1"/>
  <c r="F2968" i="14"/>
  <c r="F2969" i="14" s="1"/>
  <c r="F2971" i="14" s="1"/>
  <c r="F2972" i="14" s="1"/>
  <c r="G2968" i="14"/>
  <c r="G2969" i="14" s="1"/>
  <c r="G2971" i="14" s="1"/>
  <c r="G2972" i="14" s="1"/>
  <c r="H2968" i="14"/>
  <c r="H2969" i="14" s="1"/>
  <c r="H2971" i="14" s="1"/>
  <c r="H2972" i="14" s="1"/>
  <c r="I2968" i="14"/>
  <c r="I2969" i="14" s="1"/>
  <c r="I2971" i="14" s="1"/>
  <c r="I2972" i="14" s="1"/>
  <c r="J2968" i="14"/>
  <c r="J2969" i="14" s="1"/>
  <c r="J2971" i="14" s="1"/>
  <c r="J2972" i="14" s="1"/>
  <c r="K2968" i="14"/>
  <c r="K2969" i="14" s="1"/>
  <c r="K2971" i="14" s="1"/>
  <c r="K2972" i="14" s="1"/>
  <c r="L2968" i="14"/>
  <c r="L2969" i="14" s="1"/>
  <c r="L2971" i="14" s="1"/>
  <c r="L2972" i="14" s="1"/>
  <c r="M2968" i="14"/>
  <c r="M2969" i="14" s="1"/>
  <c r="M2971" i="14" s="1"/>
  <c r="M2972" i="14" s="1"/>
  <c r="D3014" i="14"/>
  <c r="E3014" i="14"/>
  <c r="E3015" i="14" s="1"/>
  <c r="E3017" i="14" s="1"/>
  <c r="E3018" i="14" s="1"/>
  <c r="F3014" i="14"/>
  <c r="F3015" i="14" s="1"/>
  <c r="F3017" i="14" s="1"/>
  <c r="F3018" i="14" s="1"/>
  <c r="G3014" i="14"/>
  <c r="G3015" i="14" s="1"/>
  <c r="G3017" i="14" s="1"/>
  <c r="G3018" i="14" s="1"/>
  <c r="H3014" i="14"/>
  <c r="H3015" i="14" s="1"/>
  <c r="H3017" i="14" s="1"/>
  <c r="H3018" i="14" s="1"/>
  <c r="I3014" i="14"/>
  <c r="I3015" i="14" s="1"/>
  <c r="I3017" i="14" s="1"/>
  <c r="I3018" i="14" s="1"/>
  <c r="J3014" i="14"/>
  <c r="J3015" i="14" s="1"/>
  <c r="J3017" i="14" s="1"/>
  <c r="J3018" i="14" s="1"/>
  <c r="K3014" i="14"/>
  <c r="K3015" i="14" s="1"/>
  <c r="K3017" i="14" s="1"/>
  <c r="K3018" i="14" s="1"/>
  <c r="L3014" i="14"/>
  <c r="L3015" i="14" s="1"/>
  <c r="L3017" i="14" s="1"/>
  <c r="L3018" i="14" s="1"/>
  <c r="M3014" i="14"/>
  <c r="M3015" i="14" s="1"/>
  <c r="M3017" i="14" s="1"/>
  <c r="M3018" i="14" s="1"/>
  <c r="D3152" i="14"/>
  <c r="E3152" i="14"/>
  <c r="E3153" i="14" s="1"/>
  <c r="E3155" i="14" s="1"/>
  <c r="E3156" i="14" s="1"/>
  <c r="F3152" i="14"/>
  <c r="F3153" i="14" s="1"/>
  <c r="F3155" i="14" s="1"/>
  <c r="F3156" i="14" s="1"/>
  <c r="G3152" i="14"/>
  <c r="G3153" i="14" s="1"/>
  <c r="G3155" i="14" s="1"/>
  <c r="G3156" i="14" s="1"/>
  <c r="H3152" i="14"/>
  <c r="H3153" i="14" s="1"/>
  <c r="H3155" i="14" s="1"/>
  <c r="H3156" i="14" s="1"/>
  <c r="I3152" i="14"/>
  <c r="I3153" i="14" s="1"/>
  <c r="I3155" i="14" s="1"/>
  <c r="I3156" i="14" s="1"/>
  <c r="J3152" i="14"/>
  <c r="J3153" i="14" s="1"/>
  <c r="J3155" i="14" s="1"/>
  <c r="J3156" i="14" s="1"/>
  <c r="K3152" i="14"/>
  <c r="K3153" i="14" s="1"/>
  <c r="K3155" i="14" s="1"/>
  <c r="K3156" i="14" s="1"/>
  <c r="L3152" i="14"/>
  <c r="L3153" i="14" s="1"/>
  <c r="L3155" i="14" s="1"/>
  <c r="L3156" i="14" s="1"/>
  <c r="M3152" i="14"/>
  <c r="M3153" i="14" s="1"/>
  <c r="M3155" i="14" s="1"/>
  <c r="M3156" i="14" s="1"/>
  <c r="E75" i="15"/>
  <c r="D31" i="1"/>
  <c r="D3198" i="14"/>
  <c r="E3198" i="14"/>
  <c r="E3199" i="14" s="1"/>
  <c r="E3201" i="14" s="1"/>
  <c r="E3202" i="14" s="1"/>
  <c r="F3198" i="14"/>
  <c r="F3199" i="14" s="1"/>
  <c r="F3201" i="14" s="1"/>
  <c r="F3202" i="14" s="1"/>
  <c r="G3198" i="14"/>
  <c r="G3199" i="14" s="1"/>
  <c r="G3201" i="14" s="1"/>
  <c r="G3202" i="14" s="1"/>
  <c r="H3198" i="14"/>
  <c r="H3199" i="14" s="1"/>
  <c r="H3201" i="14" s="1"/>
  <c r="H3202" i="14" s="1"/>
  <c r="I3198" i="14"/>
  <c r="I3199" i="14" s="1"/>
  <c r="I3201" i="14" s="1"/>
  <c r="I3202" i="14" s="1"/>
  <c r="J3198" i="14"/>
  <c r="J3199" i="14" s="1"/>
  <c r="J3201" i="14" s="1"/>
  <c r="J3202" i="14" s="1"/>
  <c r="K3198" i="14"/>
  <c r="K3199" i="14" s="1"/>
  <c r="K3201" i="14" s="1"/>
  <c r="K3202" i="14" s="1"/>
  <c r="L3198" i="14"/>
  <c r="L3199" i="14" s="1"/>
  <c r="L3201" i="14" s="1"/>
  <c r="L3202" i="14" s="1"/>
  <c r="M3198" i="14"/>
  <c r="M3199" i="14" s="1"/>
  <c r="M3201" i="14" s="1"/>
  <c r="M3202" i="14" s="1"/>
  <c r="D898" i="6"/>
  <c r="M898" i="6"/>
  <c r="M899" i="6" s="1"/>
  <c r="M901" i="6" s="1"/>
  <c r="M902" i="6" s="1"/>
  <c r="H898" i="6"/>
  <c r="H899" i="6" s="1"/>
  <c r="H901" i="6" s="1"/>
  <c r="H902" i="6" s="1"/>
  <c r="I898" i="6"/>
  <c r="I899" i="6" s="1"/>
  <c r="I901" i="6" s="1"/>
  <c r="I902" i="6" s="1"/>
  <c r="K898" i="6"/>
  <c r="K899" i="6" s="1"/>
  <c r="K901" i="6" s="1"/>
  <c r="K902" i="6" s="1"/>
  <c r="L898" i="6"/>
  <c r="L899" i="6" s="1"/>
  <c r="L901" i="6" s="1"/>
  <c r="L902" i="6" s="1"/>
  <c r="E898" i="6"/>
  <c r="E899" i="6" s="1"/>
  <c r="E901" i="6" s="1"/>
  <c r="E902" i="6" s="1"/>
  <c r="F898" i="6"/>
  <c r="F899" i="6" s="1"/>
  <c r="F901" i="6" s="1"/>
  <c r="F902" i="6" s="1"/>
  <c r="G898" i="6"/>
  <c r="G899" i="6" s="1"/>
  <c r="G901" i="6" s="1"/>
  <c r="G902" i="6" s="1"/>
  <c r="J898" i="6"/>
  <c r="J899" i="6" s="1"/>
  <c r="J901" i="6" s="1"/>
  <c r="J902" i="6" s="1"/>
  <c r="F1220" i="6"/>
  <c r="F1221" i="6" s="1"/>
  <c r="F1223" i="6" s="1"/>
  <c r="F1224" i="6" s="1"/>
  <c r="D1220" i="6"/>
  <c r="E1220" i="6"/>
  <c r="E1221" i="6" s="1"/>
  <c r="E1223" i="6" s="1"/>
  <c r="E1224" i="6" s="1"/>
  <c r="G1220" i="6"/>
  <c r="G1221" i="6" s="1"/>
  <c r="G1223" i="6" s="1"/>
  <c r="G1224" i="6" s="1"/>
  <c r="H1220" i="6"/>
  <c r="H1221" i="6" s="1"/>
  <c r="H1223" i="6" s="1"/>
  <c r="H1224" i="6" s="1"/>
  <c r="I1220" i="6"/>
  <c r="I1221" i="6" s="1"/>
  <c r="I1223" i="6" s="1"/>
  <c r="I1224" i="6" s="1"/>
  <c r="J1220" i="6"/>
  <c r="J1221" i="6" s="1"/>
  <c r="J1223" i="6" s="1"/>
  <c r="J1224" i="6" s="1"/>
  <c r="K1220" i="6"/>
  <c r="K1221" i="6" s="1"/>
  <c r="K1223" i="6"/>
  <c r="K1224" i="6" s="1"/>
  <c r="L1220" i="6"/>
  <c r="L1221" i="6" s="1"/>
  <c r="L1223" i="6" s="1"/>
  <c r="L1224" i="6" s="1"/>
  <c r="M1220" i="6"/>
  <c r="M1221" i="6" s="1"/>
  <c r="M1223" i="6"/>
  <c r="M1224" i="6" s="1"/>
  <c r="D1404" i="6"/>
  <c r="E1404" i="6"/>
  <c r="E1405" i="6" s="1"/>
  <c r="E1407" i="6" s="1"/>
  <c r="E1408" i="6" s="1"/>
  <c r="F1404" i="6"/>
  <c r="F1405" i="6" s="1"/>
  <c r="F1407" i="6" s="1"/>
  <c r="F1408" i="6" s="1"/>
  <c r="G1404" i="6"/>
  <c r="G1405" i="6" s="1"/>
  <c r="G1407" i="6" s="1"/>
  <c r="G1408" i="6" s="1"/>
  <c r="H1404" i="6"/>
  <c r="H1405" i="6" s="1"/>
  <c r="H1407" i="6" s="1"/>
  <c r="H1408" i="6" s="1"/>
  <c r="I1404" i="6"/>
  <c r="I1405" i="6" s="1"/>
  <c r="I1407" i="6" s="1"/>
  <c r="I1408" i="6" s="1"/>
  <c r="J1404" i="6"/>
  <c r="J1405" i="6" s="1"/>
  <c r="J1407" i="6" s="1"/>
  <c r="J1408" i="6" s="1"/>
  <c r="K1404" i="6"/>
  <c r="K1405" i="6" s="1"/>
  <c r="K1407" i="6" s="1"/>
  <c r="K1408" i="6" s="1"/>
  <c r="L1404" i="6"/>
  <c r="L1405" i="6" s="1"/>
  <c r="L1407" i="6" s="1"/>
  <c r="L1408" i="6" s="1"/>
  <c r="M1404" i="6"/>
  <c r="M1405" i="6" s="1"/>
  <c r="M1407" i="6" s="1"/>
  <c r="M1408" i="6" s="1"/>
  <c r="D1450" i="6"/>
  <c r="E1450" i="6"/>
  <c r="E1451" i="6" s="1"/>
  <c r="E1453" i="6" s="1"/>
  <c r="E1454" i="6" s="1"/>
  <c r="F1450" i="6"/>
  <c r="F1451" i="6" s="1"/>
  <c r="F1453" i="6" s="1"/>
  <c r="F1454" i="6" s="1"/>
  <c r="G1450" i="6"/>
  <c r="G1451" i="6" s="1"/>
  <c r="G1453" i="6" s="1"/>
  <c r="G1454" i="6" s="1"/>
  <c r="H1450" i="6"/>
  <c r="H1451" i="6" s="1"/>
  <c r="H1453" i="6" s="1"/>
  <c r="H1454" i="6" s="1"/>
  <c r="I1450" i="6"/>
  <c r="I1451" i="6" s="1"/>
  <c r="I1453" i="6" s="1"/>
  <c r="I1454" i="6" s="1"/>
  <c r="J1450" i="6"/>
  <c r="J1451" i="6" s="1"/>
  <c r="J1453" i="6" s="1"/>
  <c r="J1454" i="6" s="1"/>
  <c r="K1450" i="6"/>
  <c r="K1451" i="6" s="1"/>
  <c r="K1453" i="6" s="1"/>
  <c r="K1454" i="6" s="1"/>
  <c r="L1450" i="6"/>
  <c r="L1451" i="6" s="1"/>
  <c r="L1453" i="6" s="1"/>
  <c r="L1454" i="6" s="1"/>
  <c r="M1450" i="6"/>
  <c r="M1451" i="6" s="1"/>
  <c r="M1453" i="6" s="1"/>
  <c r="M1454" i="6" s="1"/>
  <c r="D714" i="6"/>
  <c r="M714" i="6"/>
  <c r="M715" i="6" s="1"/>
  <c r="M717" i="6" s="1"/>
  <c r="M718" i="6" s="1"/>
  <c r="L714" i="6"/>
  <c r="L715" i="6" s="1"/>
  <c r="L717" i="6" s="1"/>
  <c r="L718" i="6" s="1"/>
  <c r="K714" i="6"/>
  <c r="K715" i="6" s="1"/>
  <c r="K717" i="6" s="1"/>
  <c r="K718" i="6" s="1"/>
  <c r="J714" i="6"/>
  <c r="J715" i="6" s="1"/>
  <c r="J717" i="6" s="1"/>
  <c r="J718" i="6" s="1"/>
  <c r="I714" i="6"/>
  <c r="I715" i="6" s="1"/>
  <c r="I717" i="6" s="1"/>
  <c r="I718" i="6" s="1"/>
  <c r="H714" i="6"/>
  <c r="H715" i="6" s="1"/>
  <c r="H717" i="6" s="1"/>
  <c r="H718" i="6" s="1"/>
  <c r="G714" i="6"/>
  <c r="G715" i="6" s="1"/>
  <c r="G717" i="6" s="1"/>
  <c r="G718" i="6" s="1"/>
  <c r="F714" i="6"/>
  <c r="F715" i="6" s="1"/>
  <c r="F717" i="6" s="1"/>
  <c r="F718" i="6" s="1"/>
  <c r="E714" i="6"/>
  <c r="E715" i="6" s="1"/>
  <c r="E717" i="6" s="1"/>
  <c r="E718" i="6" s="1"/>
  <c r="D1588" i="6"/>
  <c r="L1588" i="6"/>
  <c r="L1589" i="6" s="1"/>
  <c r="L1591" i="6" s="1"/>
  <c r="L1592" i="6" s="1"/>
  <c r="J1588" i="6"/>
  <c r="J1589" i="6" s="1"/>
  <c r="J1591" i="6" s="1"/>
  <c r="J1592" i="6" s="1"/>
  <c r="I1588" i="6"/>
  <c r="I1589" i="6" s="1"/>
  <c r="I1591" i="6" s="1"/>
  <c r="I1592" i="6" s="1"/>
  <c r="G1588" i="6"/>
  <c r="G1589" i="6" s="1"/>
  <c r="G1591" i="6" s="1"/>
  <c r="G1592" i="6" s="1"/>
  <c r="M1588" i="6"/>
  <c r="M1589" i="6" s="1"/>
  <c r="M1591" i="6" s="1"/>
  <c r="M1592" i="6" s="1"/>
  <c r="K1588" i="6"/>
  <c r="K1589" i="6" s="1"/>
  <c r="K1591" i="6" s="1"/>
  <c r="K1592" i="6" s="1"/>
  <c r="H1588" i="6"/>
  <c r="H1589" i="6" s="1"/>
  <c r="H1591" i="6" s="1"/>
  <c r="H1592" i="6" s="1"/>
  <c r="F1588" i="6"/>
  <c r="F1589" i="6" s="1"/>
  <c r="F1591" i="6" s="1"/>
  <c r="F1592" i="6" s="1"/>
  <c r="E1588" i="6"/>
  <c r="E1589" i="6" s="1"/>
  <c r="E1591" i="6" s="1"/>
  <c r="E1592" i="6" s="1"/>
  <c r="D1634" i="6"/>
  <c r="M1634" i="6"/>
  <c r="M1635" i="6" s="1"/>
  <c r="M1637" i="6" s="1"/>
  <c r="M1638" i="6" s="1"/>
  <c r="L1634" i="6"/>
  <c r="L1635" i="6" s="1"/>
  <c r="L1637" i="6" s="1"/>
  <c r="L1638" i="6" s="1"/>
  <c r="J1634" i="6"/>
  <c r="J1635" i="6" s="1"/>
  <c r="J1637" i="6" s="1"/>
  <c r="J1638" i="6" s="1"/>
  <c r="F1634" i="6"/>
  <c r="F1635" i="6" s="1"/>
  <c r="F1637" i="6" s="1"/>
  <c r="F1638" i="6" s="1"/>
  <c r="E1634" i="6"/>
  <c r="E1635" i="6" s="1"/>
  <c r="E1637" i="6" s="1"/>
  <c r="E1638" i="6" s="1"/>
  <c r="K1634" i="6"/>
  <c r="K1635" i="6" s="1"/>
  <c r="K1637" i="6" s="1"/>
  <c r="K1638" i="6" s="1"/>
  <c r="I1634" i="6"/>
  <c r="I1635" i="6" s="1"/>
  <c r="I1637" i="6" s="1"/>
  <c r="I1638" i="6" s="1"/>
  <c r="H1634" i="6"/>
  <c r="H1635" i="6" s="1"/>
  <c r="H1637" i="6" s="1"/>
  <c r="H1638" i="6" s="1"/>
  <c r="G1634" i="6"/>
  <c r="G1635" i="6" s="1"/>
  <c r="G1637" i="6" s="1"/>
  <c r="G1638" i="6" s="1"/>
  <c r="D1726" i="6"/>
  <c r="M1726" i="6"/>
  <c r="M1727" i="6" s="1"/>
  <c r="M1729" i="6" s="1"/>
  <c r="M1730" i="6" s="1"/>
  <c r="L1726" i="6"/>
  <c r="L1727" i="6" s="1"/>
  <c r="L1729" i="6" s="1"/>
  <c r="L1730" i="6" s="1"/>
  <c r="K1726" i="6"/>
  <c r="K1727" i="6" s="1"/>
  <c r="K1729" i="6" s="1"/>
  <c r="K1730" i="6" s="1"/>
  <c r="J1726" i="6"/>
  <c r="J1727" i="6" s="1"/>
  <c r="J1729" i="6" s="1"/>
  <c r="J1730" i="6" s="1"/>
  <c r="I1726" i="6"/>
  <c r="I1727" i="6" s="1"/>
  <c r="I1729" i="6" s="1"/>
  <c r="I1730" i="6" s="1"/>
  <c r="H1726" i="6"/>
  <c r="H1727" i="6" s="1"/>
  <c r="H1729" i="6" s="1"/>
  <c r="H1730" i="6" s="1"/>
  <c r="G1726" i="6"/>
  <c r="G1727" i="6" s="1"/>
  <c r="G1729" i="6" s="1"/>
  <c r="G1730" i="6" s="1"/>
  <c r="F1726" i="6"/>
  <c r="F1727" i="6" s="1"/>
  <c r="F1729" i="6" s="1"/>
  <c r="F1730" i="6" s="1"/>
  <c r="E1726" i="6"/>
  <c r="E1727" i="6" s="1"/>
  <c r="E1729" i="6" s="1"/>
  <c r="E1730" i="6" s="1"/>
  <c r="D1772" i="6"/>
  <c r="I1772" i="6"/>
  <c r="I1773" i="6" s="1"/>
  <c r="I1775" i="6" s="1"/>
  <c r="I1776" i="6" s="1"/>
  <c r="M1772" i="6"/>
  <c r="M1773" i="6" s="1"/>
  <c r="M1775" i="6" s="1"/>
  <c r="M1776" i="6" s="1"/>
  <c r="L1772" i="6"/>
  <c r="L1773" i="6" s="1"/>
  <c r="L1775" i="6" s="1"/>
  <c r="L1776" i="6" s="1"/>
  <c r="K1772" i="6"/>
  <c r="K1773" i="6" s="1"/>
  <c r="K1775" i="6" s="1"/>
  <c r="K1776" i="6" s="1"/>
  <c r="J1772" i="6"/>
  <c r="J1773" i="6" s="1"/>
  <c r="J1775" i="6" s="1"/>
  <c r="J1776" i="6" s="1"/>
  <c r="H1772" i="6"/>
  <c r="H1773" i="6" s="1"/>
  <c r="H1775" i="6" s="1"/>
  <c r="H1776" i="6" s="1"/>
  <c r="G1772" i="6"/>
  <c r="G1773" i="6" s="1"/>
  <c r="G1775" i="6" s="1"/>
  <c r="G1776" i="6" s="1"/>
  <c r="F1772" i="6"/>
  <c r="F1773" i="6" s="1"/>
  <c r="F1775" i="6" s="1"/>
  <c r="F1776" i="6" s="1"/>
  <c r="E1772" i="6"/>
  <c r="E1773" i="6" s="1"/>
  <c r="E1775" i="6" s="1"/>
  <c r="E1776" i="6" s="1"/>
  <c r="K1358" i="6"/>
  <c r="K1359" i="6" s="1"/>
  <c r="K1361" i="6" s="1"/>
  <c r="K1362" i="6" s="1"/>
  <c r="D1358" i="6"/>
  <c r="M1358" i="6"/>
  <c r="M1359" i="6" s="1"/>
  <c r="M1361" i="6" s="1"/>
  <c r="M1362" i="6" s="1"/>
  <c r="L1358" i="6"/>
  <c r="L1359" i="6" s="1"/>
  <c r="L1361" i="6" s="1"/>
  <c r="L1362" i="6" s="1"/>
  <c r="J1358" i="6"/>
  <c r="J1359" i="6" s="1"/>
  <c r="J1361" i="6" s="1"/>
  <c r="J1362" i="6" s="1"/>
  <c r="I1358" i="6"/>
  <c r="I1359" i="6" s="1"/>
  <c r="I1361" i="6" s="1"/>
  <c r="I1362" i="6" s="1"/>
  <c r="H1358" i="6"/>
  <c r="H1359" i="6" s="1"/>
  <c r="H1361" i="6"/>
  <c r="H1362" i="6" s="1"/>
  <c r="G1358" i="6"/>
  <c r="G1359" i="6" s="1"/>
  <c r="G1361" i="6"/>
  <c r="G1362" i="6" s="1"/>
  <c r="F1358" i="6"/>
  <c r="F1359" i="6" s="1"/>
  <c r="F1361" i="6" s="1"/>
  <c r="F1362" i="6" s="1"/>
  <c r="E1358" i="6"/>
  <c r="E1359" i="6" s="1"/>
  <c r="E1361" i="6"/>
  <c r="E1362" i="6" s="1"/>
  <c r="D1910" i="6"/>
  <c r="M1910" i="6"/>
  <c r="M1911" i="6" s="1"/>
  <c r="M1913" i="6" s="1"/>
  <c r="M1914" i="6" s="1"/>
  <c r="L1910" i="6"/>
  <c r="L1911" i="6" s="1"/>
  <c r="L1913" i="6" s="1"/>
  <c r="L1914" i="6" s="1"/>
  <c r="K1910" i="6"/>
  <c r="K1911" i="6" s="1"/>
  <c r="K1913" i="6" s="1"/>
  <c r="K1914" i="6" s="1"/>
  <c r="J1910" i="6"/>
  <c r="J1911" i="6" s="1"/>
  <c r="J1913" i="6" s="1"/>
  <c r="J1914" i="6" s="1"/>
  <c r="I1910" i="6"/>
  <c r="I1911" i="6" s="1"/>
  <c r="I1913" i="6" s="1"/>
  <c r="I1914" i="6" s="1"/>
  <c r="H1910" i="6"/>
  <c r="H1911" i="6" s="1"/>
  <c r="H1913" i="6" s="1"/>
  <c r="H1914" i="6" s="1"/>
  <c r="G1910" i="6"/>
  <c r="G1911" i="6" s="1"/>
  <c r="G1913" i="6" s="1"/>
  <c r="G1914" i="6" s="1"/>
  <c r="F1910" i="6"/>
  <c r="F1911" i="6" s="1"/>
  <c r="F1913" i="6" s="1"/>
  <c r="F1914" i="6" s="1"/>
  <c r="E1910" i="6"/>
  <c r="E1911" i="6" s="1"/>
  <c r="E1913" i="6" s="1"/>
  <c r="E1914" i="6" s="1"/>
  <c r="D2048" i="6"/>
  <c r="M2048" i="6"/>
  <c r="M2049" i="6" s="1"/>
  <c r="M2051" i="6" s="1"/>
  <c r="M2052" i="6" s="1"/>
  <c r="L2048" i="6"/>
  <c r="L2049" i="6" s="1"/>
  <c r="L2051" i="6" s="1"/>
  <c r="L2052" i="6" s="1"/>
  <c r="K2048" i="6"/>
  <c r="K2049" i="6" s="1"/>
  <c r="K2051" i="6" s="1"/>
  <c r="K2052" i="6" s="1"/>
  <c r="J2048" i="6"/>
  <c r="J2049" i="6" s="1"/>
  <c r="J2051" i="6" s="1"/>
  <c r="J2052" i="6" s="1"/>
  <c r="I2048" i="6"/>
  <c r="I2049" i="6" s="1"/>
  <c r="I2051" i="6" s="1"/>
  <c r="I2052" i="6" s="1"/>
  <c r="H2048" i="6"/>
  <c r="H2049" i="6" s="1"/>
  <c r="H2051" i="6" s="1"/>
  <c r="H2052" i="6" s="1"/>
  <c r="G2048" i="6"/>
  <c r="G2049" i="6" s="1"/>
  <c r="G2051" i="6" s="1"/>
  <c r="G2052" i="6" s="1"/>
  <c r="F2048" i="6"/>
  <c r="F2049" i="6" s="1"/>
  <c r="F2051" i="6" s="1"/>
  <c r="F2052" i="6" s="1"/>
  <c r="E2048" i="6"/>
  <c r="E2049" i="6" s="1"/>
  <c r="E2051" i="6" s="1"/>
  <c r="E2052" i="6" s="1"/>
  <c r="I2186" i="6"/>
  <c r="I2187" i="6" s="1"/>
  <c r="I2189" i="6" s="1"/>
  <c r="I2190" i="6" s="1"/>
  <c r="G2186" i="6"/>
  <c r="G2187" i="6" s="1"/>
  <c r="G2189" i="6" s="1"/>
  <c r="G2190" i="6" s="1"/>
  <c r="F2186" i="6"/>
  <c r="F2187" i="6" s="1"/>
  <c r="F2189" i="6" s="1"/>
  <c r="F2190" i="6" s="1"/>
  <c r="J2186" i="6"/>
  <c r="J2187" i="6" s="1"/>
  <c r="J2189" i="6" s="1"/>
  <c r="J2190" i="6" s="1"/>
  <c r="M2186" i="6"/>
  <c r="M2187" i="6" s="1"/>
  <c r="M2189" i="6" s="1"/>
  <c r="M2190" i="6" s="1"/>
  <c r="L2186" i="6"/>
  <c r="L2187" i="6" s="1"/>
  <c r="L2189" i="6" s="1"/>
  <c r="L2190" i="6" s="1"/>
  <c r="K2186" i="6"/>
  <c r="K2187" i="6" s="1"/>
  <c r="K2189" i="6" s="1"/>
  <c r="K2190" i="6" s="1"/>
  <c r="H2186" i="6"/>
  <c r="H2187" i="6" s="1"/>
  <c r="H2189" i="6" s="1"/>
  <c r="H2190" i="6" s="1"/>
  <c r="E2186" i="6"/>
  <c r="E2187" i="6" s="1"/>
  <c r="E2189" i="6" s="1"/>
  <c r="E2190" i="6" s="1"/>
  <c r="D2186" i="6"/>
  <c r="E24" i="6"/>
  <c r="E25" i="6" s="1"/>
  <c r="E27" i="6" s="1"/>
  <c r="E28" i="6" s="1"/>
  <c r="B7" i="19"/>
  <c r="C29" i="1"/>
  <c r="D24" i="6"/>
  <c r="F24" i="6"/>
  <c r="F25" i="6" s="1"/>
  <c r="F27" i="6"/>
  <c r="F28" i="6" s="1"/>
  <c r="G24" i="6"/>
  <c r="G25" i="6" s="1"/>
  <c r="G27" i="6"/>
  <c r="G28" i="6" s="1"/>
  <c r="H24" i="6"/>
  <c r="H25" i="6" s="1"/>
  <c r="H27" i="6" s="1"/>
  <c r="H28" i="6" s="1"/>
  <c r="I24" i="6"/>
  <c r="I25" i="6" s="1"/>
  <c r="I27" i="6"/>
  <c r="I28" i="6" s="1"/>
  <c r="J24" i="6"/>
  <c r="J25" i="6" s="1"/>
  <c r="J27" i="6" s="1"/>
  <c r="J28" i="6" s="1"/>
  <c r="K24" i="6"/>
  <c r="K25" i="6" s="1"/>
  <c r="K27" i="6" s="1"/>
  <c r="K28" i="6" s="1"/>
  <c r="L24" i="6"/>
  <c r="L25" i="6" s="1"/>
  <c r="L27" i="6"/>
  <c r="L28" i="6" s="1"/>
  <c r="M24" i="6"/>
  <c r="M25" i="6" s="1"/>
  <c r="M27" i="6"/>
  <c r="M28" i="6" s="1"/>
  <c r="D346" i="6"/>
  <c r="E346" i="6"/>
  <c r="E347" i="6" s="1"/>
  <c r="E349" i="6"/>
  <c r="E350" i="6" s="1"/>
  <c r="F346" i="6"/>
  <c r="F347" i="6" s="1"/>
  <c r="F349" i="6" s="1"/>
  <c r="F350" i="6" s="1"/>
  <c r="G346" i="6"/>
  <c r="G347" i="6" s="1"/>
  <c r="G349" i="6"/>
  <c r="G350" i="6" s="1"/>
  <c r="H346" i="6"/>
  <c r="H347" i="6" s="1"/>
  <c r="H349" i="6"/>
  <c r="H350" i="6" s="1"/>
  <c r="I346" i="6"/>
  <c r="I347" i="6" s="1"/>
  <c r="I349" i="6"/>
  <c r="I350" i="6" s="1"/>
  <c r="J346" i="6"/>
  <c r="J347" i="6" s="1"/>
  <c r="J349" i="6"/>
  <c r="J350" i="6" s="1"/>
  <c r="K346" i="6"/>
  <c r="K347" i="6" s="1"/>
  <c r="K349" i="6"/>
  <c r="K350" i="6" s="1"/>
  <c r="L346" i="6"/>
  <c r="L347" i="6" s="1"/>
  <c r="L349" i="6" s="1"/>
  <c r="L350" i="6" s="1"/>
  <c r="M346" i="6"/>
  <c r="M347" i="6" s="1"/>
  <c r="M349" i="6"/>
  <c r="M350" i="6" s="1"/>
  <c r="D70" i="6"/>
  <c r="E70" i="6"/>
  <c r="E71" i="6" s="1"/>
  <c r="E73" i="6" s="1"/>
  <c r="E74" i="6" s="1"/>
  <c r="F70" i="6"/>
  <c r="F71" i="6" s="1"/>
  <c r="F73" i="6" s="1"/>
  <c r="F74" i="6" s="1"/>
  <c r="G70" i="6"/>
  <c r="G71" i="6" s="1"/>
  <c r="G73" i="6" s="1"/>
  <c r="G74" i="6" s="1"/>
  <c r="H70" i="6"/>
  <c r="H71" i="6" s="1"/>
  <c r="H73" i="6" s="1"/>
  <c r="H74" i="6" s="1"/>
  <c r="I70" i="6"/>
  <c r="I71" i="6" s="1"/>
  <c r="I73" i="6" s="1"/>
  <c r="I74" i="6" s="1"/>
  <c r="J70" i="6"/>
  <c r="J71" i="6" s="1"/>
  <c r="J73" i="6" s="1"/>
  <c r="J74" i="6" s="1"/>
  <c r="K70" i="6"/>
  <c r="K71" i="6" s="1"/>
  <c r="K73" i="6" s="1"/>
  <c r="K74" i="6" s="1"/>
  <c r="L70" i="6"/>
  <c r="L71" i="6" s="1"/>
  <c r="L73" i="6" s="1"/>
  <c r="L74" i="6" s="1"/>
  <c r="M70" i="6"/>
  <c r="M71" i="6" s="1"/>
  <c r="M73" i="6" s="1"/>
  <c r="M74" i="6" s="1"/>
  <c r="B23" i="19"/>
  <c r="C31" i="1"/>
  <c r="D576" i="6"/>
  <c r="F576" i="6"/>
  <c r="F577" i="6" s="1"/>
  <c r="F579" i="6" s="1"/>
  <c r="F580" i="6" s="1"/>
  <c r="H576" i="6"/>
  <c r="H577" i="6" s="1"/>
  <c r="H579" i="6"/>
  <c r="H580" i="6" s="1"/>
  <c r="I576" i="6"/>
  <c r="I577" i="6" s="1"/>
  <c r="I579" i="6" s="1"/>
  <c r="I580" i="6" s="1"/>
  <c r="J576" i="6"/>
  <c r="J577" i="6" s="1"/>
  <c r="J579" i="6" s="1"/>
  <c r="J580" i="6" s="1"/>
  <c r="K576" i="6"/>
  <c r="K577" i="6" s="1"/>
  <c r="K579" i="6" s="1"/>
  <c r="K580" i="6" s="1"/>
  <c r="L576" i="6"/>
  <c r="L577" i="6" s="1"/>
  <c r="L579" i="6" s="1"/>
  <c r="L580" i="6" s="1"/>
  <c r="M576" i="6"/>
  <c r="M577" i="6" s="1"/>
  <c r="M579" i="6" s="1"/>
  <c r="M580" i="6" s="1"/>
  <c r="E576" i="6"/>
  <c r="E577" i="6" s="1"/>
  <c r="E579" i="6" s="1"/>
  <c r="E580" i="6" s="1"/>
  <c r="G576" i="6"/>
  <c r="G577" i="6" s="1"/>
  <c r="G579" i="6" s="1"/>
  <c r="G580" i="6" s="1"/>
  <c r="D622" i="6"/>
  <c r="E622" i="6"/>
  <c r="E623" i="6" s="1"/>
  <c r="E625" i="6" s="1"/>
  <c r="E626" i="6" s="1"/>
  <c r="F622" i="6"/>
  <c r="F623" i="6" s="1"/>
  <c r="F625" i="6" s="1"/>
  <c r="F626" i="6" s="1"/>
  <c r="G622" i="6"/>
  <c r="G623" i="6" s="1"/>
  <c r="G625" i="6" s="1"/>
  <c r="G626" i="6" s="1"/>
  <c r="H622" i="6"/>
  <c r="H623" i="6" s="1"/>
  <c r="H625" i="6" s="1"/>
  <c r="H626" i="6" s="1"/>
  <c r="I622" i="6"/>
  <c r="I623" i="6" s="1"/>
  <c r="I625" i="6" s="1"/>
  <c r="I626" i="6" s="1"/>
  <c r="J622" i="6"/>
  <c r="J623" i="6" s="1"/>
  <c r="J625" i="6" s="1"/>
  <c r="J626" i="6" s="1"/>
  <c r="K622" i="6"/>
  <c r="K623" i="6" s="1"/>
  <c r="K625" i="6" s="1"/>
  <c r="K626" i="6" s="1"/>
  <c r="L622" i="6"/>
  <c r="L623" i="6" s="1"/>
  <c r="L625" i="6"/>
  <c r="L626" i="6" s="1"/>
  <c r="M622" i="6"/>
  <c r="M623" i="6" s="1"/>
  <c r="M625" i="6" s="1"/>
  <c r="M626" i="6" s="1"/>
  <c r="D760" i="6"/>
  <c r="M760" i="6"/>
  <c r="M761" i="6" s="1"/>
  <c r="M763" i="6" s="1"/>
  <c r="M764" i="6" s="1"/>
  <c r="L760" i="6"/>
  <c r="L761" i="6" s="1"/>
  <c r="L763" i="6" s="1"/>
  <c r="L764" i="6" s="1"/>
  <c r="K760" i="6"/>
  <c r="K761" i="6" s="1"/>
  <c r="K763" i="6" s="1"/>
  <c r="K764" i="6" s="1"/>
  <c r="J760" i="6"/>
  <c r="J761" i="6" s="1"/>
  <c r="J763" i="6" s="1"/>
  <c r="J764" i="6" s="1"/>
  <c r="I760" i="6"/>
  <c r="I761" i="6" s="1"/>
  <c r="I763" i="6" s="1"/>
  <c r="I764" i="6" s="1"/>
  <c r="H760" i="6"/>
  <c r="H761" i="6" s="1"/>
  <c r="H763" i="6"/>
  <c r="H764" i="6" s="1"/>
  <c r="G760" i="6"/>
  <c r="G761" i="6" s="1"/>
  <c r="G763" i="6" s="1"/>
  <c r="G764" i="6" s="1"/>
  <c r="F760" i="6"/>
  <c r="F761" i="6" s="1"/>
  <c r="F763" i="6" s="1"/>
  <c r="F764" i="6" s="1"/>
  <c r="E760" i="6"/>
  <c r="E761" i="6" s="1"/>
  <c r="E763" i="6" s="1"/>
  <c r="E764" i="6" s="1"/>
  <c r="D806" i="6"/>
  <c r="H806" i="6"/>
  <c r="H807" i="6" s="1"/>
  <c r="H809" i="6" s="1"/>
  <c r="H810" i="6" s="1"/>
  <c r="G806" i="6"/>
  <c r="G807" i="6" s="1"/>
  <c r="G809" i="6" s="1"/>
  <c r="G810" i="6" s="1"/>
  <c r="F806" i="6"/>
  <c r="F807" i="6" s="1"/>
  <c r="F809" i="6" s="1"/>
  <c r="F810" i="6" s="1"/>
  <c r="E806" i="6"/>
  <c r="E807" i="6" s="1"/>
  <c r="E809" i="6" s="1"/>
  <c r="E810" i="6" s="1"/>
  <c r="M806" i="6"/>
  <c r="M807" i="6" s="1"/>
  <c r="M809" i="6" s="1"/>
  <c r="M810" i="6" s="1"/>
  <c r="L806" i="6"/>
  <c r="L807" i="6" s="1"/>
  <c r="L809" i="6" s="1"/>
  <c r="L810" i="6" s="1"/>
  <c r="K806" i="6"/>
  <c r="K807" i="6" s="1"/>
  <c r="K809" i="6" s="1"/>
  <c r="K810" i="6" s="1"/>
  <c r="J806" i="6"/>
  <c r="J807" i="6" s="1"/>
  <c r="J809" i="6" s="1"/>
  <c r="J810" i="6" s="1"/>
  <c r="I806" i="6"/>
  <c r="I807" i="6" s="1"/>
  <c r="I809" i="6" s="1"/>
  <c r="I810" i="6" s="1"/>
  <c r="B31" i="19"/>
  <c r="C32" i="1"/>
  <c r="D852" i="6"/>
  <c r="E852" i="6"/>
  <c r="E853" i="6" s="1"/>
  <c r="E855" i="6" s="1"/>
  <c r="E856" i="6" s="1"/>
  <c r="F852" i="6"/>
  <c r="F853" i="6" s="1"/>
  <c r="F855" i="6" s="1"/>
  <c r="F856" i="6" s="1"/>
  <c r="G852" i="6"/>
  <c r="G853" i="6" s="1"/>
  <c r="G855" i="6" s="1"/>
  <c r="G856" i="6" s="1"/>
  <c r="H852" i="6"/>
  <c r="H853" i="6" s="1"/>
  <c r="H855" i="6" s="1"/>
  <c r="H856" i="6" s="1"/>
  <c r="K852" i="6"/>
  <c r="K853" i="6" s="1"/>
  <c r="K855" i="6" s="1"/>
  <c r="K856" i="6" s="1"/>
  <c r="M852" i="6"/>
  <c r="M853" i="6" s="1"/>
  <c r="M855" i="6" s="1"/>
  <c r="M856" i="6" s="1"/>
  <c r="I852" i="6"/>
  <c r="I853" i="6" s="1"/>
  <c r="I855" i="6" s="1"/>
  <c r="I856" i="6" s="1"/>
  <c r="J852" i="6"/>
  <c r="J853" i="6" s="1"/>
  <c r="J855" i="6" s="1"/>
  <c r="J856" i="6" s="1"/>
  <c r="L852" i="6"/>
  <c r="L853" i="6" s="1"/>
  <c r="L855" i="6" s="1"/>
  <c r="L856" i="6" s="1"/>
  <c r="D116" i="6"/>
  <c r="E116" i="6"/>
  <c r="E117" i="6" s="1"/>
  <c r="E119" i="6" s="1"/>
  <c r="E120" i="6" s="1"/>
  <c r="F116" i="6"/>
  <c r="F117" i="6" s="1"/>
  <c r="F119" i="6" s="1"/>
  <c r="F120" i="6" s="1"/>
  <c r="G116" i="6"/>
  <c r="G117" i="6" s="1"/>
  <c r="G119" i="6" s="1"/>
  <c r="G120" i="6" s="1"/>
  <c r="H116" i="6"/>
  <c r="H117" i="6" s="1"/>
  <c r="H119" i="6" s="1"/>
  <c r="H120" i="6" s="1"/>
  <c r="I116" i="6"/>
  <c r="I117" i="6" s="1"/>
  <c r="I119" i="6" s="1"/>
  <c r="I120" i="6" s="1"/>
  <c r="J116" i="6"/>
  <c r="J117" i="6" s="1"/>
  <c r="J119" i="6" s="1"/>
  <c r="J120" i="6" s="1"/>
  <c r="K116" i="6"/>
  <c r="K117" i="6" s="1"/>
  <c r="K119" i="6" s="1"/>
  <c r="K120" i="6" s="1"/>
  <c r="L116" i="6"/>
  <c r="L117" i="6" s="1"/>
  <c r="L119" i="6" s="1"/>
  <c r="L120" i="6" s="1"/>
  <c r="M116" i="6"/>
  <c r="M117" i="6" s="1"/>
  <c r="M119" i="6" s="1"/>
  <c r="M120" i="6" s="1"/>
  <c r="B15" i="19"/>
  <c r="C30" i="1"/>
  <c r="D300" i="6"/>
  <c r="E300" i="6"/>
  <c r="E301" i="6" s="1"/>
  <c r="E303" i="6" s="1"/>
  <c r="E304" i="6" s="1"/>
  <c r="F300" i="6"/>
  <c r="F301" i="6" s="1"/>
  <c r="F303" i="6" s="1"/>
  <c r="F304" i="6" s="1"/>
  <c r="G300" i="6"/>
  <c r="G301" i="6" s="1"/>
  <c r="G303" i="6" s="1"/>
  <c r="G304" i="6" s="1"/>
  <c r="H300" i="6"/>
  <c r="H301" i="6" s="1"/>
  <c r="H303" i="6" s="1"/>
  <c r="H304" i="6" s="1"/>
  <c r="I300" i="6"/>
  <c r="I301" i="6" s="1"/>
  <c r="I303" i="6" s="1"/>
  <c r="I304" i="6" s="1"/>
  <c r="J300" i="6"/>
  <c r="J301" i="6" s="1"/>
  <c r="J303" i="6"/>
  <c r="J304" i="6" s="1"/>
  <c r="K300" i="6"/>
  <c r="K301" i="6" s="1"/>
  <c r="K303" i="6"/>
  <c r="K304" i="6" s="1"/>
  <c r="L300" i="6"/>
  <c r="L301" i="6" s="1"/>
  <c r="L303" i="6"/>
  <c r="L304" i="6" s="1"/>
  <c r="M300" i="6"/>
  <c r="M301" i="6" s="1"/>
  <c r="M303" i="6" s="1"/>
  <c r="M304" i="6" s="1"/>
  <c r="D438" i="6"/>
  <c r="L438" i="6"/>
  <c r="L439" i="6" s="1"/>
  <c r="L441" i="6"/>
  <c r="L442" i="6" s="1"/>
  <c r="J438" i="6"/>
  <c r="J439" i="6" s="1"/>
  <c r="J441" i="6" s="1"/>
  <c r="J442" i="6" s="1"/>
  <c r="H438" i="6"/>
  <c r="H439" i="6" s="1"/>
  <c r="H441" i="6"/>
  <c r="H442" i="6" s="1"/>
  <c r="G438" i="6"/>
  <c r="G439" i="6" s="1"/>
  <c r="G441" i="6"/>
  <c r="G442" i="6" s="1"/>
  <c r="F438" i="6"/>
  <c r="F439" i="6" s="1"/>
  <c r="F441" i="6" s="1"/>
  <c r="F442" i="6" s="1"/>
  <c r="M438" i="6"/>
  <c r="M439" i="6" s="1"/>
  <c r="M441" i="6"/>
  <c r="M442" i="6" s="1"/>
  <c r="K438" i="6"/>
  <c r="K439" i="6" s="1"/>
  <c r="K441" i="6" s="1"/>
  <c r="K442" i="6" s="1"/>
  <c r="I438" i="6"/>
  <c r="I439" i="6" s="1"/>
  <c r="I441" i="6"/>
  <c r="I442" i="6" s="1"/>
  <c r="E438" i="6"/>
  <c r="E439" i="6" s="1"/>
  <c r="E441" i="6"/>
  <c r="E442" i="6" s="1"/>
  <c r="D1036" i="6"/>
  <c r="L1036" i="6"/>
  <c r="L1037" i="6" s="1"/>
  <c r="L1039" i="6" s="1"/>
  <c r="L1040" i="6" s="1"/>
  <c r="K1036" i="6"/>
  <c r="K1037" i="6" s="1"/>
  <c r="K1039" i="6" s="1"/>
  <c r="K1040" i="6" s="1"/>
  <c r="G1036" i="6"/>
  <c r="G1037" i="6" s="1"/>
  <c r="G1039" i="6" s="1"/>
  <c r="G1040" i="6" s="1"/>
  <c r="F1036" i="6"/>
  <c r="F1037" i="6" s="1"/>
  <c r="F1039" i="6" s="1"/>
  <c r="F1040" i="6" s="1"/>
  <c r="M1036" i="6"/>
  <c r="M1037" i="6" s="1"/>
  <c r="M1039" i="6" s="1"/>
  <c r="M1040" i="6" s="1"/>
  <c r="J1036" i="6"/>
  <c r="J1037" i="6" s="1"/>
  <c r="J1039" i="6" s="1"/>
  <c r="J1040" i="6" s="1"/>
  <c r="I1036" i="6"/>
  <c r="I1037" i="6" s="1"/>
  <c r="I1039" i="6" s="1"/>
  <c r="I1040" i="6" s="1"/>
  <c r="H1036" i="6"/>
  <c r="H1037" i="6" s="1"/>
  <c r="H1039" i="6" s="1"/>
  <c r="H1040" i="6" s="1"/>
  <c r="E1036" i="6"/>
  <c r="E1037" i="6" s="1"/>
  <c r="E1039" i="6" s="1"/>
  <c r="E1040" i="6" s="1"/>
  <c r="D1082" i="6"/>
  <c r="M1082" i="6"/>
  <c r="M1083" i="6" s="1"/>
  <c r="M1085" i="6" s="1"/>
  <c r="M1086" i="6" s="1"/>
  <c r="L1082" i="6"/>
  <c r="L1083" i="6" s="1"/>
  <c r="L1085" i="6" s="1"/>
  <c r="L1086" i="6" s="1"/>
  <c r="K1082" i="6"/>
  <c r="K1083" i="6" s="1"/>
  <c r="K1085" i="6" s="1"/>
  <c r="K1086" i="6" s="1"/>
  <c r="J1082" i="6"/>
  <c r="J1083" i="6" s="1"/>
  <c r="J1085" i="6" s="1"/>
  <c r="J1086" i="6" s="1"/>
  <c r="I1082" i="6"/>
  <c r="I1083" i="6" s="1"/>
  <c r="I1085" i="6" s="1"/>
  <c r="I1086" i="6" s="1"/>
  <c r="H1082" i="6"/>
  <c r="H1083" i="6" s="1"/>
  <c r="H1085" i="6" s="1"/>
  <c r="H1086" i="6" s="1"/>
  <c r="G1082" i="6"/>
  <c r="G1083" i="6" s="1"/>
  <c r="G1085" i="6" s="1"/>
  <c r="G1086" i="6" s="1"/>
  <c r="F1082" i="6"/>
  <c r="F1083" i="6" s="1"/>
  <c r="F1085" i="6" s="1"/>
  <c r="F1086" i="6" s="1"/>
  <c r="E1082" i="6"/>
  <c r="E1083" i="6" s="1"/>
  <c r="E1085" i="6" s="1"/>
  <c r="E1086" i="6" s="1"/>
  <c r="D1128" i="6"/>
  <c r="E1128" i="6"/>
  <c r="E1129" i="6" s="1"/>
  <c r="E1131" i="6" s="1"/>
  <c r="E1132" i="6" s="1"/>
  <c r="F1128" i="6"/>
  <c r="F1129" i="6" s="1"/>
  <c r="F1131" i="6" s="1"/>
  <c r="F1132" i="6" s="1"/>
  <c r="G1128" i="6"/>
  <c r="G1129" i="6" s="1"/>
  <c r="G1131" i="6" s="1"/>
  <c r="G1132" i="6" s="1"/>
  <c r="H1128" i="6"/>
  <c r="H1129" i="6" s="1"/>
  <c r="H1131" i="6" s="1"/>
  <c r="H1132" i="6" s="1"/>
  <c r="I1128" i="6"/>
  <c r="I1129" i="6" s="1"/>
  <c r="I1131" i="6" s="1"/>
  <c r="I1132" i="6" s="1"/>
  <c r="J1128" i="6"/>
  <c r="J1129" i="6" s="1"/>
  <c r="J1131" i="6" s="1"/>
  <c r="J1132" i="6" s="1"/>
  <c r="K1128" i="6"/>
  <c r="K1129" i="6" s="1"/>
  <c r="K1131" i="6" s="1"/>
  <c r="K1132" i="6" s="1"/>
  <c r="L1128" i="6"/>
  <c r="L1129" i="6" s="1"/>
  <c r="L1131" i="6" s="1"/>
  <c r="L1132" i="6" s="1"/>
  <c r="M1128" i="6"/>
  <c r="M1129" i="6" s="1"/>
  <c r="M1131" i="6" s="1"/>
  <c r="M1132" i="6" s="1"/>
  <c r="D1174" i="6"/>
  <c r="E1174" i="6"/>
  <c r="E1175" i="6" s="1"/>
  <c r="E1177" i="6" s="1"/>
  <c r="E1178" i="6" s="1"/>
  <c r="F1174" i="6"/>
  <c r="F1175" i="6" s="1"/>
  <c r="F1177" i="6" s="1"/>
  <c r="F1178" i="6" s="1"/>
  <c r="G1174" i="6"/>
  <c r="G1175" i="6" s="1"/>
  <c r="G1177" i="6" s="1"/>
  <c r="G1178" i="6" s="1"/>
  <c r="H1174" i="6"/>
  <c r="H1175" i="6" s="1"/>
  <c r="H1177" i="6" s="1"/>
  <c r="H1178" i="6" s="1"/>
  <c r="I1174" i="6"/>
  <c r="I1175" i="6" s="1"/>
  <c r="I1177" i="6" s="1"/>
  <c r="I1178" i="6" s="1"/>
  <c r="J1174" i="6"/>
  <c r="J1175" i="6" s="1"/>
  <c r="J1177" i="6" s="1"/>
  <c r="J1178" i="6" s="1"/>
  <c r="K1174" i="6"/>
  <c r="K1175" i="6" s="1"/>
  <c r="K1177" i="6" s="1"/>
  <c r="K1178" i="6" s="1"/>
  <c r="L1174" i="6"/>
  <c r="L1175" i="6" s="1"/>
  <c r="L1177" i="6" s="1"/>
  <c r="L1178" i="6" s="1"/>
  <c r="M1174" i="6"/>
  <c r="M1175" i="6" s="1"/>
  <c r="M1177" i="6" s="1"/>
  <c r="M1178" i="6" s="1"/>
  <c r="D530" i="6"/>
  <c r="M530" i="6"/>
  <c r="M531" i="6" s="1"/>
  <c r="M533" i="6" s="1"/>
  <c r="M534" i="6" s="1"/>
  <c r="L530" i="6"/>
  <c r="L531" i="6" s="1"/>
  <c r="L533" i="6" s="1"/>
  <c r="L534" i="6" s="1"/>
  <c r="I530" i="6"/>
  <c r="I531" i="6" s="1"/>
  <c r="I533" i="6" s="1"/>
  <c r="I534" i="6" s="1"/>
  <c r="H530" i="6"/>
  <c r="H531" i="6" s="1"/>
  <c r="H533" i="6"/>
  <c r="H534" i="6" s="1"/>
  <c r="K530" i="6"/>
  <c r="K531" i="6" s="1"/>
  <c r="K533" i="6" s="1"/>
  <c r="K534" i="6" s="1"/>
  <c r="G530" i="6"/>
  <c r="G531" i="6" s="1"/>
  <c r="G533" i="6" s="1"/>
  <c r="G534" i="6" s="1"/>
  <c r="J530" i="6"/>
  <c r="J531" i="6" s="1"/>
  <c r="J533" i="6" s="1"/>
  <c r="J534" i="6" s="1"/>
  <c r="F530" i="6"/>
  <c r="F531" i="6" s="1"/>
  <c r="F533" i="6"/>
  <c r="F534" i="6" s="1"/>
  <c r="E530" i="6"/>
  <c r="E531" i="6" s="1"/>
  <c r="E533" i="6" s="1"/>
  <c r="E534" i="6" s="1"/>
  <c r="G668" i="6"/>
  <c r="G669" i="6" s="1"/>
  <c r="G671" i="6" s="1"/>
  <c r="G672" i="6" s="1"/>
  <c r="D668" i="6"/>
  <c r="F668" i="6"/>
  <c r="F669" i="6" s="1"/>
  <c r="F671" i="6" s="1"/>
  <c r="F672" i="6" s="1"/>
  <c r="E668" i="6"/>
  <c r="E669" i="6" s="1"/>
  <c r="E671" i="6"/>
  <c r="E672" i="6" s="1"/>
  <c r="H668" i="6"/>
  <c r="H669" i="6" s="1"/>
  <c r="H671" i="6" s="1"/>
  <c r="H672" i="6" s="1"/>
  <c r="I668" i="6"/>
  <c r="I669" i="6" s="1"/>
  <c r="I671" i="6" s="1"/>
  <c r="I672" i="6" s="1"/>
  <c r="J668" i="6"/>
  <c r="J669" i="6" s="1"/>
  <c r="J671" i="6" s="1"/>
  <c r="J672" i="6" s="1"/>
  <c r="K668" i="6"/>
  <c r="K669" i="6" s="1"/>
  <c r="K671" i="6"/>
  <c r="K672" i="6" s="1"/>
  <c r="L668" i="6"/>
  <c r="L669" i="6" s="1"/>
  <c r="L671" i="6"/>
  <c r="L672" i="6" s="1"/>
  <c r="M668" i="6"/>
  <c r="M669" i="6" s="1"/>
  <c r="M671" i="6"/>
  <c r="M672" i="6" s="1"/>
  <c r="D944" i="6"/>
  <c r="H944" i="6"/>
  <c r="H945" i="6" s="1"/>
  <c r="H947" i="6"/>
  <c r="H948" i="6" s="1"/>
  <c r="E944" i="6"/>
  <c r="E945" i="6" s="1"/>
  <c r="E947" i="6" s="1"/>
  <c r="E948" i="6" s="1"/>
  <c r="F944" i="6"/>
  <c r="F945" i="6" s="1"/>
  <c r="F947" i="6" s="1"/>
  <c r="F948" i="6" s="1"/>
  <c r="G944" i="6"/>
  <c r="G945" i="6" s="1"/>
  <c r="G947" i="6"/>
  <c r="G948" i="6" s="1"/>
  <c r="I944" i="6"/>
  <c r="I945" i="6" s="1"/>
  <c r="I947" i="6" s="1"/>
  <c r="I948" i="6" s="1"/>
  <c r="J944" i="6"/>
  <c r="J945" i="6" s="1"/>
  <c r="J947" i="6" s="1"/>
  <c r="J948" i="6" s="1"/>
  <c r="K944" i="6"/>
  <c r="K945" i="6" s="1"/>
  <c r="K947" i="6" s="1"/>
  <c r="K948" i="6" s="1"/>
  <c r="L944" i="6"/>
  <c r="L945" i="6" s="1"/>
  <c r="L947" i="6" s="1"/>
  <c r="L948" i="6" s="1"/>
  <c r="M944" i="6"/>
  <c r="M945" i="6" s="1"/>
  <c r="M947" i="6" s="1"/>
  <c r="M948" i="6" s="1"/>
  <c r="D990" i="6"/>
  <c r="M990" i="6"/>
  <c r="M991" i="6" s="1"/>
  <c r="M993" i="6"/>
  <c r="M994" i="6" s="1"/>
  <c r="K990" i="6"/>
  <c r="K991" i="6" s="1"/>
  <c r="K993" i="6" s="1"/>
  <c r="K994" i="6" s="1"/>
  <c r="J990" i="6"/>
  <c r="J991" i="6" s="1"/>
  <c r="J993" i="6" s="1"/>
  <c r="J994" i="6" s="1"/>
  <c r="I990" i="6"/>
  <c r="I991" i="6" s="1"/>
  <c r="I993" i="6" s="1"/>
  <c r="I994" i="6" s="1"/>
  <c r="H990" i="6"/>
  <c r="H991" i="6" s="1"/>
  <c r="H993" i="6" s="1"/>
  <c r="H994" i="6" s="1"/>
  <c r="L990" i="6"/>
  <c r="L991" i="6" s="1"/>
  <c r="L993" i="6" s="1"/>
  <c r="L994" i="6" s="1"/>
  <c r="G990" i="6"/>
  <c r="G991" i="6" s="1"/>
  <c r="G993" i="6" s="1"/>
  <c r="G994" i="6" s="1"/>
  <c r="F990" i="6"/>
  <c r="F991" i="6" s="1"/>
  <c r="F993" i="6"/>
  <c r="F994" i="6" s="1"/>
  <c r="E990" i="6"/>
  <c r="E991" i="6" s="1"/>
  <c r="E993" i="6"/>
  <c r="E994" i="6" s="1"/>
  <c r="D1680" i="6"/>
  <c r="M1680" i="6"/>
  <c r="M1681" i="6" s="1"/>
  <c r="M1683" i="6" s="1"/>
  <c r="M1684" i="6" s="1"/>
  <c r="L1680" i="6"/>
  <c r="L1681" i="6" s="1"/>
  <c r="L1683" i="6" s="1"/>
  <c r="L1684" i="6" s="1"/>
  <c r="K1680" i="6"/>
  <c r="K1681" i="6" s="1"/>
  <c r="K1683" i="6" s="1"/>
  <c r="K1684" i="6" s="1"/>
  <c r="J1680" i="6"/>
  <c r="J1681" i="6" s="1"/>
  <c r="J1683" i="6" s="1"/>
  <c r="J1684" i="6" s="1"/>
  <c r="I1680" i="6"/>
  <c r="I1681" i="6" s="1"/>
  <c r="I1683" i="6" s="1"/>
  <c r="I1684" i="6" s="1"/>
  <c r="H1680" i="6"/>
  <c r="H1681" i="6" s="1"/>
  <c r="H1683" i="6" s="1"/>
  <c r="H1684" i="6" s="1"/>
  <c r="G1680" i="6"/>
  <c r="G1681" i="6" s="1"/>
  <c r="G1683" i="6" s="1"/>
  <c r="G1684" i="6" s="1"/>
  <c r="F1680" i="6"/>
  <c r="F1681" i="6" s="1"/>
  <c r="F1683" i="6" s="1"/>
  <c r="F1684" i="6" s="1"/>
  <c r="E1680" i="6"/>
  <c r="E1681" i="6" s="1"/>
  <c r="E1683" i="6" s="1"/>
  <c r="E1684" i="6" s="1"/>
  <c r="D484" i="6"/>
  <c r="J484" i="6"/>
  <c r="J485" i="6" s="1"/>
  <c r="J487" i="6" s="1"/>
  <c r="J488" i="6" s="1"/>
  <c r="H484" i="6"/>
  <c r="H485" i="6" s="1"/>
  <c r="H487" i="6"/>
  <c r="H488" i="6" s="1"/>
  <c r="G484" i="6"/>
  <c r="G485" i="6" s="1"/>
  <c r="G487" i="6" s="1"/>
  <c r="G488" i="6" s="1"/>
  <c r="F484" i="6"/>
  <c r="F485" i="6" s="1"/>
  <c r="F487" i="6" s="1"/>
  <c r="F488" i="6" s="1"/>
  <c r="M484" i="6"/>
  <c r="M485" i="6" s="1"/>
  <c r="M487" i="6" s="1"/>
  <c r="M488" i="6" s="1"/>
  <c r="L484" i="6"/>
  <c r="L485" i="6" s="1"/>
  <c r="L487" i="6" s="1"/>
  <c r="L488" i="6" s="1"/>
  <c r="K484" i="6"/>
  <c r="K485" i="6" s="1"/>
  <c r="K487" i="6" s="1"/>
  <c r="K488" i="6" s="1"/>
  <c r="I484" i="6"/>
  <c r="I485" i="6" s="1"/>
  <c r="I487" i="6" s="1"/>
  <c r="I488" i="6" s="1"/>
  <c r="E484" i="6"/>
  <c r="E485" i="6" s="1"/>
  <c r="E487" i="6" s="1"/>
  <c r="E488" i="6" s="1"/>
  <c r="D4277" i="14" l="1"/>
  <c r="J1883" i="6"/>
  <c r="D1887" i="6"/>
  <c r="D1886" i="6"/>
  <c r="D3589" i="6"/>
  <c r="D3588" i="6"/>
  <c r="J3585" i="6"/>
  <c r="A18" i="1"/>
  <c r="A7" i="1"/>
  <c r="D1518" i="6"/>
  <c r="J1515" i="6"/>
  <c r="D1519" i="6"/>
  <c r="D414" i="6"/>
  <c r="J411" i="6"/>
  <c r="D415" i="6"/>
  <c r="D2162" i="6"/>
  <c r="J2159" i="6"/>
  <c r="D2163" i="6"/>
  <c r="D2300" i="6"/>
  <c r="J2297" i="6"/>
  <c r="D2301" i="6"/>
  <c r="D2346" i="6"/>
  <c r="J2343" i="6"/>
  <c r="D2347" i="6"/>
  <c r="D2392" i="6"/>
  <c r="J2389" i="6"/>
  <c r="D2393" i="6"/>
  <c r="D2438" i="6"/>
  <c r="J2435" i="6"/>
  <c r="D2439" i="6"/>
  <c r="D2484" i="6"/>
  <c r="J2481" i="6"/>
  <c r="D2485" i="6"/>
  <c r="D2024" i="6"/>
  <c r="J2021" i="6"/>
  <c r="D2025" i="6"/>
  <c r="D2530" i="6"/>
  <c r="J2527" i="6"/>
  <c r="D2531" i="6"/>
  <c r="D2576" i="6"/>
  <c r="J2573" i="6"/>
  <c r="D2577" i="6"/>
  <c r="D2714" i="6"/>
  <c r="J2711" i="6"/>
  <c r="D2715" i="6"/>
  <c r="D2760" i="6"/>
  <c r="J2757" i="6"/>
  <c r="D2761" i="6"/>
  <c r="D2898" i="6"/>
  <c r="D2899" i="6"/>
  <c r="J2895" i="6"/>
  <c r="D3910" i="6"/>
  <c r="D3911" i="6"/>
  <c r="J3907" i="6"/>
  <c r="D4140" i="6"/>
  <c r="J4137" i="6"/>
  <c r="D4141" i="6"/>
  <c r="D4278" i="6"/>
  <c r="J4275" i="6"/>
  <c r="D4279" i="6"/>
  <c r="D4508" i="6"/>
  <c r="J4505" i="6"/>
  <c r="D4509" i="6"/>
  <c r="D4600" i="6"/>
  <c r="J4597" i="6"/>
  <c r="D4601" i="6"/>
  <c r="D4646" i="6"/>
  <c r="J4643" i="6"/>
  <c r="D4647" i="6"/>
  <c r="D4692" i="6"/>
  <c r="J4689" i="6"/>
  <c r="D4693" i="6"/>
  <c r="D4738" i="6"/>
  <c r="D4739" i="6"/>
  <c r="J4735" i="6"/>
  <c r="D4784" i="6"/>
  <c r="J4781" i="6"/>
  <c r="D4785" i="6"/>
  <c r="D4830" i="6"/>
  <c r="J4827" i="6"/>
  <c r="D4831" i="6"/>
  <c r="D4876" i="6"/>
  <c r="J4873" i="6"/>
  <c r="D4877" i="6"/>
  <c r="D4922" i="6"/>
  <c r="J4919" i="6"/>
  <c r="D4923" i="6"/>
  <c r="D4968" i="6"/>
  <c r="J4965" i="6"/>
  <c r="D4969" i="6"/>
  <c r="D5014" i="6"/>
  <c r="J5011" i="6"/>
  <c r="D5015" i="6"/>
  <c r="D2852" i="6"/>
  <c r="J2849" i="6"/>
  <c r="D2853" i="6"/>
  <c r="D3174" i="6"/>
  <c r="D3175" i="6"/>
  <c r="J3171" i="6"/>
  <c r="D3864" i="6"/>
  <c r="J3861" i="6"/>
  <c r="D3865" i="6"/>
  <c r="D3956" i="6"/>
  <c r="D3957" i="6"/>
  <c r="J3953" i="6"/>
  <c r="D5060" i="6"/>
  <c r="J5057" i="6"/>
  <c r="D5061" i="6"/>
  <c r="D5106" i="6"/>
  <c r="J5103" i="6"/>
  <c r="D5107" i="6"/>
  <c r="D5152" i="6"/>
  <c r="J5149" i="6"/>
  <c r="D5153" i="6"/>
  <c r="D3542" i="6"/>
  <c r="D3543" i="6"/>
  <c r="J3539" i="6"/>
  <c r="D46" i="14"/>
  <c r="D47" i="14"/>
  <c r="G6" i="15" s="1"/>
  <c r="I6" i="15"/>
  <c r="J43" i="14"/>
  <c r="D92" i="14"/>
  <c r="J89" i="14"/>
  <c r="I7" i="15"/>
  <c r="D93" i="14"/>
  <c r="G7" i="15" s="1"/>
  <c r="D138" i="14"/>
  <c r="J135" i="14"/>
  <c r="I8" i="15"/>
  <c r="D139" i="14"/>
  <c r="G8" i="15" s="1"/>
  <c r="D184" i="14"/>
  <c r="J181" i="14"/>
  <c r="I9" i="15"/>
  <c r="D185" i="14"/>
  <c r="G9" i="15" s="1"/>
  <c r="D230" i="14"/>
  <c r="J227" i="14"/>
  <c r="I10" i="15"/>
  <c r="D231" i="14"/>
  <c r="G10" i="15" s="1"/>
  <c r="D276" i="14"/>
  <c r="J273" i="14"/>
  <c r="I11" i="15"/>
  <c r="D277" i="14"/>
  <c r="G11" i="15" s="1"/>
  <c r="D322" i="14"/>
  <c r="J319" i="14"/>
  <c r="I12" i="15"/>
  <c r="D323" i="14"/>
  <c r="G12" i="15" s="1"/>
  <c r="D3036" i="6"/>
  <c r="J3033" i="6"/>
  <c r="D3037" i="6"/>
  <c r="D3358" i="6"/>
  <c r="D3359" i="6"/>
  <c r="J3355" i="6"/>
  <c r="D3404" i="6"/>
  <c r="J3401" i="6"/>
  <c r="D3405" i="6"/>
  <c r="D368" i="14"/>
  <c r="D369" i="14"/>
  <c r="G13" i="15" s="1"/>
  <c r="I13" i="15"/>
  <c r="J365" i="14"/>
  <c r="D414" i="14"/>
  <c r="J411" i="14"/>
  <c r="I14" i="15"/>
  <c r="D415" i="14"/>
  <c r="G14" i="15" s="1"/>
  <c r="D460" i="14"/>
  <c r="J457" i="14"/>
  <c r="I15" i="15"/>
  <c r="D461" i="14"/>
  <c r="G15" i="15" s="1"/>
  <c r="D506" i="14"/>
  <c r="J503" i="14"/>
  <c r="I16" i="15"/>
  <c r="D507" i="14"/>
  <c r="G16" i="15" s="1"/>
  <c r="D552" i="14"/>
  <c r="J549" i="14"/>
  <c r="I17" i="15"/>
  <c r="D553" i="14"/>
  <c r="G17" i="15" s="1"/>
  <c r="D598" i="14"/>
  <c r="J595" i="14"/>
  <c r="I18" i="15"/>
  <c r="D599" i="14"/>
  <c r="G18" i="15" s="1"/>
  <c r="D644" i="14"/>
  <c r="J641" i="14"/>
  <c r="I19" i="15"/>
  <c r="D645" i="14"/>
  <c r="G19" i="15" s="1"/>
  <c r="D736" i="14"/>
  <c r="J733" i="14"/>
  <c r="I21" i="15"/>
  <c r="D737" i="14"/>
  <c r="G21" i="15" s="1"/>
  <c r="D782" i="14"/>
  <c r="J779" i="14"/>
  <c r="I22" i="15"/>
  <c r="D783" i="14"/>
  <c r="G22" i="15" s="1"/>
  <c r="D828" i="14"/>
  <c r="J825" i="14"/>
  <c r="I23" i="15"/>
  <c r="D829" i="14"/>
  <c r="G23" i="15" s="1"/>
  <c r="D874" i="14"/>
  <c r="J871" i="14"/>
  <c r="I24" i="15"/>
  <c r="D875" i="14"/>
  <c r="G24" i="15" s="1"/>
  <c r="D921" i="14"/>
  <c r="G25" i="15" s="1"/>
  <c r="J917" i="14"/>
  <c r="I25" i="15"/>
  <c r="D920" i="14"/>
  <c r="D966" i="14"/>
  <c r="J963" i="14"/>
  <c r="I26" i="15"/>
  <c r="D967" i="14"/>
  <c r="G26" i="15" s="1"/>
  <c r="D1012" i="14"/>
  <c r="J1009" i="14"/>
  <c r="I27" i="15"/>
  <c r="D1013" i="14"/>
  <c r="G27" i="15" s="1"/>
  <c r="D1058" i="14"/>
  <c r="J1055" i="14"/>
  <c r="I28" i="15"/>
  <c r="D1059" i="14"/>
  <c r="G28" i="15" s="1"/>
  <c r="D1104" i="14"/>
  <c r="J1101" i="14"/>
  <c r="I29" i="15"/>
  <c r="D1105" i="14"/>
  <c r="G29" i="15" s="1"/>
  <c r="D1150" i="14"/>
  <c r="J1147" i="14"/>
  <c r="I30" i="15"/>
  <c r="D1151" i="14"/>
  <c r="G30" i="15" s="1"/>
  <c r="D1196" i="14"/>
  <c r="J1193" i="14"/>
  <c r="I31" i="15"/>
  <c r="D1197" i="14"/>
  <c r="G31" i="15" s="1"/>
  <c r="I32" i="15"/>
  <c r="D1242" i="14"/>
  <c r="D1243" i="14"/>
  <c r="G32" i="15" s="1"/>
  <c r="J1239" i="14"/>
  <c r="D2944" i="6"/>
  <c r="D2945" i="6"/>
  <c r="J2941" i="6"/>
  <c r="D2990" i="6"/>
  <c r="D2991" i="6"/>
  <c r="J2987" i="6"/>
  <c r="D1518" i="14"/>
  <c r="J1515" i="14"/>
  <c r="I38" i="15"/>
  <c r="D1519" i="14"/>
  <c r="G38" i="15" s="1"/>
  <c r="D1565" i="14"/>
  <c r="G39" i="15" s="1"/>
  <c r="I39" i="15"/>
  <c r="J1561" i="14"/>
  <c r="D1564" i="14"/>
  <c r="D3128" i="6"/>
  <c r="J3125" i="6"/>
  <c r="D3129" i="6"/>
  <c r="D3312" i="6"/>
  <c r="D3313" i="6"/>
  <c r="J3309" i="6"/>
  <c r="D3450" i="6"/>
  <c r="D3451" i="6"/>
  <c r="J3447" i="6"/>
  <c r="D1288" i="14"/>
  <c r="D1289" i="14"/>
  <c r="G33" i="15" s="1"/>
  <c r="I33" i="15"/>
  <c r="J1285" i="14"/>
  <c r="D1334" i="14"/>
  <c r="J1331" i="14"/>
  <c r="I34" i="15"/>
  <c r="D1335" i="14"/>
  <c r="G34" i="15" s="1"/>
  <c r="D1380" i="14"/>
  <c r="I35" i="15"/>
  <c r="J1377" i="14"/>
  <c r="D1381" i="14"/>
  <c r="G35" i="15" s="1"/>
  <c r="D1426" i="14"/>
  <c r="D1427" i="14"/>
  <c r="G36" i="15" s="1"/>
  <c r="J1423" i="14"/>
  <c r="I36" i="15"/>
  <c r="D1472" i="14"/>
  <c r="J1469" i="14"/>
  <c r="D1473" i="14"/>
  <c r="G37" i="15" s="1"/>
  <c r="I37" i="15"/>
  <c r="D1610" i="14"/>
  <c r="D1611" i="14"/>
  <c r="G40" i="15" s="1"/>
  <c r="I40" i="15"/>
  <c r="J1607" i="14"/>
  <c r="D1656" i="14"/>
  <c r="J1653" i="14"/>
  <c r="I41" i="15"/>
  <c r="D1657" i="14"/>
  <c r="G41" i="15" s="1"/>
  <c r="D1702" i="14"/>
  <c r="J1699" i="14"/>
  <c r="I42" i="15"/>
  <c r="D1703" i="14"/>
  <c r="G42" i="15" s="1"/>
  <c r="D1748" i="14"/>
  <c r="J1745" i="14"/>
  <c r="I43" i="15"/>
  <c r="D1749" i="14"/>
  <c r="G43" i="15" s="1"/>
  <c r="D1794" i="14"/>
  <c r="J1791" i="14"/>
  <c r="I44" i="15"/>
  <c r="D1795" i="14"/>
  <c r="G44" i="15" s="1"/>
  <c r="D1840" i="14"/>
  <c r="J1837" i="14"/>
  <c r="I45" i="15"/>
  <c r="D1841" i="14"/>
  <c r="G45" i="15" s="1"/>
  <c r="I46" i="15"/>
  <c r="D1887" i="14"/>
  <c r="G46" i="15" s="1"/>
  <c r="J1883" i="14"/>
  <c r="D1886" i="14"/>
  <c r="D3634" i="6"/>
  <c r="D3635" i="6"/>
  <c r="J3631" i="6"/>
  <c r="D3772" i="6"/>
  <c r="D3773" i="6"/>
  <c r="J3769" i="6"/>
  <c r="D3818" i="6"/>
  <c r="D3819" i="6"/>
  <c r="J3815" i="6"/>
  <c r="D1932" i="14"/>
  <c r="D1933" i="14"/>
  <c r="G47" i="15" s="1"/>
  <c r="I47" i="15"/>
  <c r="J1929" i="14"/>
  <c r="D2024" i="14"/>
  <c r="J2021" i="14"/>
  <c r="I49" i="15"/>
  <c r="D2025" i="14"/>
  <c r="G49" i="15" s="1"/>
  <c r="D2070" i="14"/>
  <c r="J2067" i="14"/>
  <c r="I50" i="15"/>
  <c r="D2071" i="14"/>
  <c r="G50" i="15" s="1"/>
  <c r="D2116" i="14"/>
  <c r="J2113" i="14"/>
  <c r="I51" i="15"/>
  <c r="D2117" i="14"/>
  <c r="G51" i="15" s="1"/>
  <c r="D2162" i="14"/>
  <c r="J2159" i="14"/>
  <c r="I52" i="15"/>
  <c r="D2163" i="14"/>
  <c r="G52" i="15" s="1"/>
  <c r="D2346" i="14"/>
  <c r="J2343" i="14"/>
  <c r="I56" i="15"/>
  <c r="D2347" i="14"/>
  <c r="G56" i="15" s="1"/>
  <c r="D2392" i="14"/>
  <c r="J2389" i="14"/>
  <c r="I57" i="15"/>
  <c r="D2393" i="14"/>
  <c r="G57" i="15" s="1"/>
  <c r="D2438" i="14"/>
  <c r="J2435" i="14"/>
  <c r="I58" i="15"/>
  <c r="D2439" i="14"/>
  <c r="G58" i="15" s="1"/>
  <c r="D2484" i="14"/>
  <c r="J2481" i="14"/>
  <c r="I59" i="15"/>
  <c r="D2485" i="14"/>
  <c r="G59" i="15" s="1"/>
  <c r="D2576" i="14"/>
  <c r="D2577" i="14"/>
  <c r="G61" i="15" s="1"/>
  <c r="I61" i="15"/>
  <c r="J2573" i="14"/>
  <c r="D2668" i="14"/>
  <c r="J2665" i="14"/>
  <c r="I63" i="15"/>
  <c r="D2669" i="14"/>
  <c r="G63" i="15" s="1"/>
  <c r="D2806" i="14"/>
  <c r="J2803" i="14"/>
  <c r="I66" i="15"/>
  <c r="D2807" i="14"/>
  <c r="G66" i="15" s="1"/>
  <c r="D2944" i="14"/>
  <c r="J2941" i="14"/>
  <c r="I69" i="15"/>
  <c r="D2945" i="14"/>
  <c r="G69" i="15" s="1"/>
  <c r="D3082" i="14"/>
  <c r="J3079" i="14"/>
  <c r="I72" i="15"/>
  <c r="D3083" i="14"/>
  <c r="G72" i="15" s="1"/>
  <c r="D3128" i="14"/>
  <c r="J3125" i="14"/>
  <c r="I73" i="15"/>
  <c r="D3129" i="14"/>
  <c r="G73" i="15" s="1"/>
  <c r="D3496" i="14"/>
  <c r="J3493" i="14"/>
  <c r="I81" i="15"/>
  <c r="D3497" i="14"/>
  <c r="G81" i="15" s="1"/>
  <c r="D3266" i="14"/>
  <c r="J3263" i="14"/>
  <c r="I76" i="15"/>
  <c r="D3267" i="14"/>
  <c r="G76" i="15" s="1"/>
  <c r="D3312" i="14"/>
  <c r="J3309" i="14"/>
  <c r="I77" i="15"/>
  <c r="D3313" i="14"/>
  <c r="G77" i="15" s="1"/>
  <c r="D3358" i="14"/>
  <c r="J3355" i="14"/>
  <c r="I78" i="15"/>
  <c r="D3359" i="14"/>
  <c r="G78" i="15" s="1"/>
  <c r="D3404" i="14"/>
  <c r="J3401" i="14"/>
  <c r="I79" i="15"/>
  <c r="D3405" i="14"/>
  <c r="G79" i="15" s="1"/>
  <c r="D3450" i="14"/>
  <c r="J3447" i="14"/>
  <c r="I80" i="15"/>
  <c r="D3451" i="14"/>
  <c r="G80" i="15" s="1"/>
  <c r="D3542" i="14"/>
  <c r="J3539" i="14"/>
  <c r="I82" i="15"/>
  <c r="D3543" i="14"/>
  <c r="G82" i="15" s="1"/>
  <c r="D3588" i="14"/>
  <c r="J3585" i="14"/>
  <c r="I83" i="15"/>
  <c r="D3589" i="14"/>
  <c r="G83" i="15" s="1"/>
  <c r="D3634" i="14"/>
  <c r="J3631" i="14"/>
  <c r="I84" i="15"/>
  <c r="D3635" i="14"/>
  <c r="G84" i="15" s="1"/>
  <c r="D3680" i="14"/>
  <c r="J3677" i="14"/>
  <c r="I85" i="15"/>
  <c r="D3681" i="14"/>
  <c r="G85" i="15" s="1"/>
  <c r="D3726" i="14"/>
  <c r="J3723" i="14"/>
  <c r="I86" i="15"/>
  <c r="D3727" i="14"/>
  <c r="G86" i="15" s="1"/>
  <c r="D3772" i="14"/>
  <c r="J3769" i="14"/>
  <c r="I87" i="15"/>
  <c r="D3773" i="14"/>
  <c r="G87" i="15" s="1"/>
  <c r="D3910" i="14"/>
  <c r="J3907" i="14"/>
  <c r="I90" i="15"/>
  <c r="D3911" i="14"/>
  <c r="G90" i="15" s="1"/>
  <c r="D3956" i="14"/>
  <c r="J3953" i="14"/>
  <c r="I91" i="15"/>
  <c r="D3957" i="14"/>
  <c r="G91" i="15" s="1"/>
  <c r="D4002" i="14"/>
  <c r="J3999" i="14"/>
  <c r="I92" i="15"/>
  <c r="D4003" i="14"/>
  <c r="G92" i="15" s="1"/>
  <c r="D4048" i="14"/>
  <c r="J4045" i="14"/>
  <c r="I93" i="15"/>
  <c r="D4049" i="14"/>
  <c r="G93" i="15" s="1"/>
  <c r="I94" i="15"/>
  <c r="D4094" i="14"/>
  <c r="D4095" i="14"/>
  <c r="G94" i="15" s="1"/>
  <c r="J4091" i="14"/>
  <c r="D3818" i="14"/>
  <c r="D3819" i="14"/>
  <c r="G88" i="15" s="1"/>
  <c r="I88" i="15"/>
  <c r="J3815" i="14"/>
  <c r="D4140" i="14"/>
  <c r="D4141" i="14"/>
  <c r="G95" i="15" s="1"/>
  <c r="I95" i="15"/>
  <c r="J4137" i="14"/>
  <c r="D4186" i="14"/>
  <c r="J4183" i="14"/>
  <c r="I96" i="15"/>
  <c r="D4187" i="14"/>
  <c r="G96" i="15" s="1"/>
  <c r="D4232" i="14"/>
  <c r="J4229" i="14"/>
  <c r="I97" i="15"/>
  <c r="D4233" i="14"/>
  <c r="G97" i="15" s="1"/>
  <c r="D4324" i="14"/>
  <c r="J4321" i="14"/>
  <c r="I99" i="15"/>
  <c r="D4325" i="14"/>
  <c r="G99" i="15" s="1"/>
  <c r="D4370" i="14"/>
  <c r="J4367" i="14"/>
  <c r="I100" i="15"/>
  <c r="D4371" i="14"/>
  <c r="G100" i="15" s="1"/>
  <c r="D4417" i="14"/>
  <c r="G101" i="15" s="1"/>
  <c r="D4416" i="14"/>
  <c r="I101" i="15"/>
  <c r="J4413" i="14"/>
  <c r="D47" i="16"/>
  <c r="J43" i="16"/>
  <c r="D93" i="16"/>
  <c r="J89" i="16"/>
  <c r="D139" i="16"/>
  <c r="J135" i="16"/>
  <c r="D184" i="6"/>
  <c r="J181" i="6"/>
  <c r="D185" i="6"/>
  <c r="B13" i="19" s="1"/>
  <c r="D230" i="6"/>
  <c r="J227" i="6"/>
  <c r="D231" i="6"/>
  <c r="D276" i="6"/>
  <c r="D277" i="6"/>
  <c r="J273" i="6"/>
  <c r="J1558" i="6"/>
  <c r="J1559" i="6" s="1"/>
  <c r="D1543" i="6"/>
  <c r="D1545" i="6" s="1"/>
  <c r="D1546" i="6" s="1"/>
  <c r="D1563" i="6" s="1"/>
  <c r="J1834" i="6"/>
  <c r="J1835" i="6" s="1"/>
  <c r="D1819" i="6"/>
  <c r="D1821" i="6" s="1"/>
  <c r="D1822" i="6" s="1"/>
  <c r="D1839" i="6" s="1"/>
  <c r="J1328" i="6"/>
  <c r="J1329" i="6" s="1"/>
  <c r="D1313" i="6"/>
  <c r="D1315" i="6" s="1"/>
  <c r="D1316" i="6" s="1"/>
  <c r="D1333" i="6" s="1"/>
  <c r="J1972" i="6"/>
  <c r="J1973" i="6" s="1"/>
  <c r="D1957" i="6"/>
  <c r="D1959" i="6" s="1"/>
  <c r="D1960" i="6" s="1"/>
  <c r="D1977" i="6" s="1"/>
  <c r="J2110" i="6"/>
  <c r="J2111" i="6" s="1"/>
  <c r="D2095" i="6"/>
  <c r="D2097" i="6" s="1"/>
  <c r="D2098" i="6" s="1"/>
  <c r="D2115" i="6" s="1"/>
  <c r="J2248" i="6"/>
  <c r="J2249" i="6" s="1"/>
  <c r="D2233" i="6"/>
  <c r="D2235" i="6" s="1"/>
  <c r="D2236" i="6" s="1"/>
  <c r="D2253" i="6" s="1"/>
  <c r="D2255" i="6" s="1"/>
  <c r="J2251" i="6"/>
  <c r="D2254" i="6"/>
  <c r="J2616" i="6"/>
  <c r="J2617" i="6" s="1"/>
  <c r="D2601" i="6"/>
  <c r="D2603" i="6" s="1"/>
  <c r="D2604" i="6" s="1"/>
  <c r="D2621" i="6" s="1"/>
  <c r="J2662" i="6"/>
  <c r="J2663" i="6" s="1"/>
  <c r="D2647" i="6"/>
  <c r="D2649" i="6" s="1"/>
  <c r="D2650" i="6" s="1"/>
  <c r="D2667" i="6" s="1"/>
  <c r="J2800" i="6"/>
  <c r="J2801" i="6" s="1"/>
  <c r="D2785" i="6"/>
  <c r="D2787" i="6" s="1"/>
  <c r="D2788" i="6" s="1"/>
  <c r="D2805" i="6" s="1"/>
  <c r="J3720" i="6"/>
  <c r="J3721" i="6" s="1"/>
  <c r="D3705" i="6"/>
  <c r="D3707" i="6" s="1"/>
  <c r="D3708" i="6" s="1"/>
  <c r="D3725" i="6" s="1"/>
  <c r="J4042" i="6"/>
  <c r="J4043" i="6" s="1"/>
  <c r="D4027" i="6"/>
  <c r="D4029" i="6" s="1"/>
  <c r="D4030" i="6" s="1"/>
  <c r="D4047" i="6" s="1"/>
  <c r="J3260" i="6"/>
  <c r="J3261" i="6" s="1"/>
  <c r="D3245" i="6"/>
  <c r="D3247" i="6" s="1"/>
  <c r="D3248" i="6" s="1"/>
  <c r="D3265" i="6" s="1"/>
  <c r="J4088" i="6"/>
  <c r="J4089" i="6" s="1"/>
  <c r="D4073" i="6"/>
  <c r="D4075" i="6" s="1"/>
  <c r="D4076" i="6" s="1"/>
  <c r="D4093" i="6" s="1"/>
  <c r="J4180" i="6"/>
  <c r="J4181" i="6" s="1"/>
  <c r="D4165" i="6"/>
  <c r="D4167" i="6" s="1"/>
  <c r="D4168" i="6" s="1"/>
  <c r="D4185" i="6" s="1"/>
  <c r="J4226" i="6"/>
  <c r="J4227" i="6" s="1"/>
  <c r="D4211" i="6"/>
  <c r="D4213" i="6" s="1"/>
  <c r="D4214" i="6" s="1"/>
  <c r="D4231" i="6" s="1"/>
  <c r="J4318" i="6"/>
  <c r="J4319" i="6" s="1"/>
  <c r="D4303" i="6"/>
  <c r="D4305" i="6" s="1"/>
  <c r="D4306" i="6" s="1"/>
  <c r="D4323" i="6" s="1"/>
  <c r="J4364" i="6"/>
  <c r="J4365" i="6" s="1"/>
  <c r="D4349" i="6"/>
  <c r="D4351" i="6" s="1"/>
  <c r="D4352" i="6" s="1"/>
  <c r="D4369" i="6" s="1"/>
  <c r="J4456" i="6"/>
  <c r="J4457" i="6" s="1"/>
  <c r="D4441" i="6"/>
  <c r="D4443" i="6" s="1"/>
  <c r="D4444" i="6" s="1"/>
  <c r="D4461" i="6" s="1"/>
  <c r="J4548" i="6"/>
  <c r="J4549" i="6" s="1"/>
  <c r="D4533" i="6"/>
  <c r="D4535" i="6" s="1"/>
  <c r="D4536" i="6" s="1"/>
  <c r="D4553" i="6" s="1"/>
  <c r="J2202" i="14"/>
  <c r="J2203" i="14" s="1"/>
  <c r="J53" i="15" s="1"/>
  <c r="D2187" i="14"/>
  <c r="D2189" i="14" s="1"/>
  <c r="D2190" i="14" s="1"/>
  <c r="D2207" i="14" s="1"/>
  <c r="J2248" i="14"/>
  <c r="J2249" i="14" s="1"/>
  <c r="J54" i="15" s="1"/>
  <c r="D2233" i="14"/>
  <c r="D2235" i="14" s="1"/>
  <c r="D2236" i="14" s="1"/>
  <c r="D2253" i="14" s="1"/>
  <c r="J2294" i="14"/>
  <c r="J2295" i="14" s="1"/>
  <c r="J55" i="15" s="1"/>
  <c r="D2279" i="14"/>
  <c r="D2281" i="14" s="1"/>
  <c r="D2282" i="14" s="1"/>
  <c r="D2299" i="14" s="1"/>
  <c r="J2524" i="14"/>
  <c r="J2525" i="14" s="1"/>
  <c r="J60" i="15" s="1"/>
  <c r="D2509" i="14"/>
  <c r="D2511" i="14" s="1"/>
  <c r="D2512" i="14" s="1"/>
  <c r="D2529" i="14" s="1"/>
  <c r="J2616" i="14"/>
  <c r="J2617" i="14" s="1"/>
  <c r="J62" i="15" s="1"/>
  <c r="D2601" i="14"/>
  <c r="D2603" i="14" s="1"/>
  <c r="D2604" i="14" s="1"/>
  <c r="D2621" i="14" s="1"/>
  <c r="J2708" i="14"/>
  <c r="J2709" i="14" s="1"/>
  <c r="J64" i="15" s="1"/>
  <c r="D2693" i="14"/>
  <c r="D2695" i="14" s="1"/>
  <c r="D2696" i="14" s="1"/>
  <c r="D2713" i="14" s="1"/>
  <c r="J2754" i="14"/>
  <c r="J2755" i="14" s="1"/>
  <c r="J65" i="15" s="1"/>
  <c r="D2739" i="14"/>
  <c r="D2741" i="14" s="1"/>
  <c r="D2742" i="14" s="1"/>
  <c r="D2759" i="14" s="1"/>
  <c r="J2846" i="14"/>
  <c r="J2847" i="14" s="1"/>
  <c r="J67" i="15" s="1"/>
  <c r="D2831" i="14"/>
  <c r="D2833" i="14" s="1"/>
  <c r="D2834" i="14" s="1"/>
  <c r="D2851" i="14" s="1"/>
  <c r="J2892" i="14"/>
  <c r="J2893" i="14" s="1"/>
  <c r="J68" i="15" s="1"/>
  <c r="D2877" i="14"/>
  <c r="D2879" i="14" s="1"/>
  <c r="D2880" i="14" s="1"/>
  <c r="D2897" i="14" s="1"/>
  <c r="J2984" i="14"/>
  <c r="J2985" i="14" s="1"/>
  <c r="J70" i="15" s="1"/>
  <c r="D2969" i="14"/>
  <c r="D2971" i="14" s="1"/>
  <c r="D2972" i="14" s="1"/>
  <c r="D2989" i="14" s="1"/>
  <c r="J3030" i="14"/>
  <c r="J3031" i="14" s="1"/>
  <c r="J71" i="15" s="1"/>
  <c r="D3015" i="14"/>
  <c r="D3017" i="14" s="1"/>
  <c r="D3018" i="14" s="1"/>
  <c r="D3035" i="14" s="1"/>
  <c r="J3168" i="14"/>
  <c r="J3169" i="14" s="1"/>
  <c r="J74" i="15" s="1"/>
  <c r="D3153" i="14"/>
  <c r="D3155" i="14" s="1"/>
  <c r="D3156" i="14" s="1"/>
  <c r="D3173" i="14" s="1"/>
  <c r="J3214" i="14"/>
  <c r="J3215" i="14" s="1"/>
  <c r="J75" i="15" s="1"/>
  <c r="D3199" i="14"/>
  <c r="D3201" i="14" s="1"/>
  <c r="D3202" i="14" s="1"/>
  <c r="D3219" i="14" s="1"/>
  <c r="J914" i="6"/>
  <c r="J915" i="6" s="1"/>
  <c r="D899" i="6"/>
  <c r="D901" i="6" s="1"/>
  <c r="D902" i="6" s="1"/>
  <c r="D919" i="6" s="1"/>
  <c r="J1236" i="6"/>
  <c r="J1237" i="6" s="1"/>
  <c r="D1221" i="6"/>
  <c r="D1223" i="6" s="1"/>
  <c r="D1224" i="6" s="1"/>
  <c r="D1241" i="6" s="1"/>
  <c r="J1420" i="6"/>
  <c r="J1421" i="6" s="1"/>
  <c r="D1405" i="6"/>
  <c r="D1407" i="6" s="1"/>
  <c r="D1408" i="6" s="1"/>
  <c r="D1425" i="6" s="1"/>
  <c r="J1466" i="6"/>
  <c r="J1467" i="6" s="1"/>
  <c r="D1451" i="6"/>
  <c r="D1453" i="6" s="1"/>
  <c r="D1454" i="6" s="1"/>
  <c r="D1471" i="6" s="1"/>
  <c r="J730" i="6"/>
  <c r="J731" i="6" s="1"/>
  <c r="D715" i="6"/>
  <c r="D717" i="6" s="1"/>
  <c r="D718" i="6" s="1"/>
  <c r="D735" i="6" s="1"/>
  <c r="J1604" i="6"/>
  <c r="J1605" i="6" s="1"/>
  <c r="D1589" i="6"/>
  <c r="D1591" i="6" s="1"/>
  <c r="D1592" i="6" s="1"/>
  <c r="D1609" i="6" s="1"/>
  <c r="J1650" i="6"/>
  <c r="J1651" i="6" s="1"/>
  <c r="D1635" i="6"/>
  <c r="D1637" i="6" s="1"/>
  <c r="D1638" i="6" s="1"/>
  <c r="D1655" i="6" s="1"/>
  <c r="J1742" i="6"/>
  <c r="J1743" i="6" s="1"/>
  <c r="D1727" i="6"/>
  <c r="D1729" i="6" s="1"/>
  <c r="D1730" i="6" s="1"/>
  <c r="D1747" i="6" s="1"/>
  <c r="J1788" i="6"/>
  <c r="J1789" i="6" s="1"/>
  <c r="D1773" i="6"/>
  <c r="D1775" i="6" s="1"/>
  <c r="D1776" i="6" s="1"/>
  <c r="D1793" i="6" s="1"/>
  <c r="J1374" i="6"/>
  <c r="J1375" i="6" s="1"/>
  <c r="D1359" i="6"/>
  <c r="D1361" i="6" s="1"/>
  <c r="D1362" i="6" s="1"/>
  <c r="D1379" i="6" s="1"/>
  <c r="J1926" i="6"/>
  <c r="J1927" i="6" s="1"/>
  <c r="D1911" i="6"/>
  <c r="D1913" i="6" s="1"/>
  <c r="D1914" i="6" s="1"/>
  <c r="D1931" i="6" s="1"/>
  <c r="J2064" i="6"/>
  <c r="J2065" i="6" s="1"/>
  <c r="D2049" i="6"/>
  <c r="D2051" i="6" s="1"/>
  <c r="D2052" i="6" s="1"/>
  <c r="D2069" i="6" s="1"/>
  <c r="J2202" i="6"/>
  <c r="J2203" i="6" s="1"/>
  <c r="D2187" i="6"/>
  <c r="D2189" i="6" s="1"/>
  <c r="D2190" i="6" s="1"/>
  <c r="D2207" i="6" s="1"/>
  <c r="J40" i="6"/>
  <c r="J41" i="6" s="1"/>
  <c r="D25" i="6"/>
  <c r="D27" i="6" s="1"/>
  <c r="D28" i="6" s="1"/>
  <c r="D45" i="6" s="1"/>
  <c r="J362" i="6"/>
  <c r="J363" i="6" s="1"/>
  <c r="D347" i="6"/>
  <c r="D349" i="6" s="1"/>
  <c r="D350" i="6" s="1"/>
  <c r="D367" i="6" s="1"/>
  <c r="J86" i="6"/>
  <c r="J87" i="6" s="1"/>
  <c r="D71" i="6"/>
  <c r="D73" i="6" s="1"/>
  <c r="D74" i="6" s="1"/>
  <c r="D91" i="6" s="1"/>
  <c r="J592" i="6"/>
  <c r="J593" i="6" s="1"/>
  <c r="D577" i="6"/>
  <c r="D579" i="6" s="1"/>
  <c r="D580" i="6" s="1"/>
  <c r="D597" i="6" s="1"/>
  <c r="J638" i="6"/>
  <c r="J639" i="6" s="1"/>
  <c r="D623" i="6"/>
  <c r="D625" i="6" s="1"/>
  <c r="D626" i="6" s="1"/>
  <c r="D643" i="6" s="1"/>
  <c r="J776" i="6"/>
  <c r="J777" i="6" s="1"/>
  <c r="D761" i="6"/>
  <c r="D763" i="6" s="1"/>
  <c r="D764" i="6" s="1"/>
  <c r="D781" i="6" s="1"/>
  <c r="J822" i="6"/>
  <c r="J823" i="6" s="1"/>
  <c r="D807" i="6"/>
  <c r="D809" i="6" s="1"/>
  <c r="D810" i="6" s="1"/>
  <c r="D827" i="6" s="1"/>
  <c r="J868" i="6"/>
  <c r="J869" i="6" s="1"/>
  <c r="D853" i="6"/>
  <c r="D855" i="6" s="1"/>
  <c r="D856" i="6" s="1"/>
  <c r="D873" i="6" s="1"/>
  <c r="J132" i="6"/>
  <c r="J133" i="6" s="1"/>
  <c r="D117" i="6"/>
  <c r="D119" i="6" s="1"/>
  <c r="D120" i="6" s="1"/>
  <c r="D137" i="6" s="1"/>
  <c r="J316" i="6"/>
  <c r="J317" i="6" s="1"/>
  <c r="D301" i="6"/>
  <c r="D303" i="6" s="1"/>
  <c r="D304" i="6" s="1"/>
  <c r="D321" i="6" s="1"/>
  <c r="J454" i="6"/>
  <c r="J455" i="6" s="1"/>
  <c r="D439" i="6"/>
  <c r="D441" i="6" s="1"/>
  <c r="D442" i="6" s="1"/>
  <c r="D459" i="6" s="1"/>
  <c r="J1052" i="6"/>
  <c r="J1053" i="6" s="1"/>
  <c r="D1037" i="6"/>
  <c r="D1039" i="6" s="1"/>
  <c r="D1040" i="6" s="1"/>
  <c r="D1057" i="6" s="1"/>
  <c r="J1098" i="6"/>
  <c r="J1099" i="6" s="1"/>
  <c r="D1083" i="6"/>
  <c r="D1085" i="6" s="1"/>
  <c r="D1086" i="6" s="1"/>
  <c r="D1103" i="6" s="1"/>
  <c r="J1144" i="6"/>
  <c r="J1145" i="6" s="1"/>
  <c r="D1129" i="6"/>
  <c r="D1131" i="6" s="1"/>
  <c r="D1132" i="6" s="1"/>
  <c r="D1149" i="6" s="1"/>
  <c r="J1190" i="6"/>
  <c r="J1191" i="6" s="1"/>
  <c r="D1175" i="6"/>
  <c r="D1177" i="6" s="1"/>
  <c r="D1178" i="6" s="1"/>
  <c r="D1195" i="6" s="1"/>
  <c r="J546" i="6"/>
  <c r="J547" i="6" s="1"/>
  <c r="D531" i="6"/>
  <c r="D533" i="6" s="1"/>
  <c r="D534" i="6" s="1"/>
  <c r="D551" i="6" s="1"/>
  <c r="J684" i="6"/>
  <c r="J685" i="6" s="1"/>
  <c r="D669" i="6"/>
  <c r="D671" i="6" s="1"/>
  <c r="D672" i="6" s="1"/>
  <c r="D689" i="6" s="1"/>
  <c r="J960" i="6"/>
  <c r="J961" i="6" s="1"/>
  <c r="D945" i="6"/>
  <c r="D947" i="6" s="1"/>
  <c r="D948" i="6" s="1"/>
  <c r="D965" i="6" s="1"/>
  <c r="J1006" i="6"/>
  <c r="J1007" i="6" s="1"/>
  <c r="D991" i="6"/>
  <c r="D993" i="6" s="1"/>
  <c r="D994" i="6" s="1"/>
  <c r="D1011" i="6" s="1"/>
  <c r="J1696" i="6"/>
  <c r="J1697" i="6" s="1"/>
  <c r="D1681" i="6"/>
  <c r="D1683" i="6" s="1"/>
  <c r="D1684" i="6" s="1"/>
  <c r="D1701" i="6" s="1"/>
  <c r="J500" i="6"/>
  <c r="J501" i="6" s="1"/>
  <c r="D485" i="6"/>
  <c r="D487" i="6" s="1"/>
  <c r="D488" i="6" s="1"/>
  <c r="D505" i="6" s="1"/>
  <c r="D3220" i="6"/>
  <c r="D3221" i="6"/>
  <c r="J3217" i="6"/>
  <c r="J3999" i="6"/>
  <c r="D4003" i="6"/>
  <c r="D4002" i="6"/>
  <c r="J4413" i="6"/>
  <c r="D4416" i="6"/>
  <c r="D4417" i="6"/>
  <c r="J3677" i="6"/>
  <c r="D3680" i="6"/>
  <c r="D3681" i="6"/>
  <c r="J687" i="14"/>
  <c r="I20" i="15"/>
  <c r="D691" i="14"/>
  <c r="G20" i="15" s="1"/>
  <c r="D690" i="14"/>
  <c r="J3079" i="6"/>
  <c r="D3082" i="6"/>
  <c r="D3083" i="6"/>
  <c r="J3493" i="6"/>
  <c r="D3497" i="6"/>
  <c r="D3496" i="6"/>
  <c r="J1975" i="14"/>
  <c r="I48" i="15"/>
  <c r="D1979" i="14"/>
  <c r="G48" i="15" s="1"/>
  <c r="D1978" i="14"/>
  <c r="D3864" i="14"/>
  <c r="I89" i="15"/>
  <c r="J3861" i="14"/>
  <c r="D3865" i="14"/>
  <c r="G89" i="15" s="1"/>
  <c r="D4278" i="14" l="1"/>
  <c r="J4275" i="14"/>
  <c r="I98" i="15"/>
  <c r="D4279" i="14"/>
  <c r="G98" i="15" s="1"/>
  <c r="D47" i="6"/>
  <c r="B9" i="19" s="1"/>
  <c r="D46" i="6"/>
  <c r="J43" i="6"/>
  <c r="D368" i="6"/>
  <c r="J365" i="6"/>
  <c r="D369" i="6"/>
  <c r="D1840" i="6"/>
  <c r="J1837" i="6"/>
  <c r="D1841" i="6"/>
  <c r="D1334" i="6"/>
  <c r="D1335" i="6"/>
  <c r="J1331" i="6"/>
  <c r="D1978" i="6"/>
  <c r="J1975" i="6"/>
  <c r="D1979" i="6"/>
  <c r="D2116" i="6"/>
  <c r="J2113" i="6"/>
  <c r="D2117" i="6"/>
  <c r="D2622" i="6"/>
  <c r="J2619" i="6"/>
  <c r="D2623" i="6"/>
  <c r="D2668" i="6"/>
  <c r="J2665" i="6"/>
  <c r="D2669" i="6"/>
  <c r="D2806" i="6"/>
  <c r="D2807" i="6"/>
  <c r="J2803" i="6"/>
  <c r="D3727" i="6"/>
  <c r="J3723" i="6"/>
  <c r="D3726" i="6"/>
  <c r="D4049" i="6"/>
  <c r="J4045" i="6"/>
  <c r="D4048" i="6"/>
  <c r="D3266" i="6"/>
  <c r="J3263" i="6"/>
  <c r="D3267" i="6"/>
  <c r="D4094" i="6"/>
  <c r="D4095" i="6"/>
  <c r="J4091" i="6"/>
  <c r="D4186" i="6"/>
  <c r="J4183" i="6"/>
  <c r="D4187" i="6"/>
  <c r="D4232" i="6"/>
  <c r="J4229" i="6"/>
  <c r="D4233" i="6"/>
  <c r="D4324" i="6"/>
  <c r="J4321" i="6"/>
  <c r="D4325" i="6"/>
  <c r="D4370" i="6"/>
  <c r="D4371" i="6"/>
  <c r="J4367" i="6"/>
  <c r="D4462" i="6"/>
  <c r="J4459" i="6"/>
  <c r="D4463" i="6"/>
  <c r="D4554" i="6"/>
  <c r="J4551" i="6"/>
  <c r="D4555" i="6"/>
  <c r="D2208" i="14"/>
  <c r="J2205" i="14"/>
  <c r="I53" i="15"/>
  <c r="D2209" i="14"/>
  <c r="G53" i="15" s="1"/>
  <c r="D2254" i="14"/>
  <c r="J2251" i="14"/>
  <c r="I54" i="15"/>
  <c r="D2255" i="14"/>
  <c r="G54" i="15" s="1"/>
  <c r="D2300" i="14"/>
  <c r="J2297" i="14"/>
  <c r="I55" i="15"/>
  <c r="D2301" i="14"/>
  <c r="G55" i="15" s="1"/>
  <c r="D2530" i="14"/>
  <c r="J2527" i="14"/>
  <c r="I60" i="15"/>
  <c r="D2531" i="14"/>
  <c r="G60" i="15" s="1"/>
  <c r="D2622" i="14"/>
  <c r="J2619" i="14"/>
  <c r="I62" i="15"/>
  <c r="D2623" i="14"/>
  <c r="G62" i="15" s="1"/>
  <c r="D2714" i="14"/>
  <c r="J2711" i="14"/>
  <c r="I64" i="15"/>
  <c r="D2715" i="14"/>
  <c r="G64" i="15" s="1"/>
  <c r="D2760" i="14"/>
  <c r="J2757" i="14"/>
  <c r="I65" i="15"/>
  <c r="D2761" i="14"/>
  <c r="G65" i="15" s="1"/>
  <c r="D2852" i="14"/>
  <c r="J2849" i="14"/>
  <c r="I67" i="15"/>
  <c r="D2853" i="14"/>
  <c r="G67" i="15" s="1"/>
  <c r="D2898" i="14"/>
  <c r="D2899" i="14"/>
  <c r="G68" i="15" s="1"/>
  <c r="I68" i="15"/>
  <c r="J2895" i="14"/>
  <c r="D2990" i="14"/>
  <c r="J2987" i="14"/>
  <c r="I70" i="15"/>
  <c r="D2991" i="14"/>
  <c r="G70" i="15" s="1"/>
  <c r="D3036" i="14"/>
  <c r="J3033" i="14"/>
  <c r="I71" i="15"/>
  <c r="D3037" i="14"/>
  <c r="G71" i="15" s="1"/>
  <c r="D3174" i="14"/>
  <c r="J3171" i="14"/>
  <c r="I74" i="15"/>
  <c r="D3175" i="14"/>
  <c r="G74" i="15" s="1"/>
  <c r="D3220" i="14"/>
  <c r="J3217" i="14"/>
  <c r="I75" i="15"/>
  <c r="D3221" i="14"/>
  <c r="G75" i="15" s="1"/>
  <c r="D920" i="6"/>
  <c r="J917" i="6"/>
  <c r="D921" i="6"/>
  <c r="D1242" i="6"/>
  <c r="D1243" i="6"/>
  <c r="J1239" i="6"/>
  <c r="D1426" i="6"/>
  <c r="J1423" i="6"/>
  <c r="D1427" i="6"/>
  <c r="D1472" i="6"/>
  <c r="J1469" i="6"/>
  <c r="D1473" i="6"/>
  <c r="D736" i="6"/>
  <c r="J733" i="6"/>
  <c r="D737" i="6"/>
  <c r="B29" i="19" s="1"/>
  <c r="D1610" i="6"/>
  <c r="J1607" i="6"/>
  <c r="D1611" i="6"/>
  <c r="D1656" i="6"/>
  <c r="J1653" i="6"/>
  <c r="D1657" i="6"/>
  <c r="D1748" i="6"/>
  <c r="J1745" i="6"/>
  <c r="D1749" i="6"/>
  <c r="D1794" i="6"/>
  <c r="J1791" i="6"/>
  <c r="D1795" i="6"/>
  <c r="D1380" i="6"/>
  <c r="D1381" i="6"/>
  <c r="J1377" i="6"/>
  <c r="D1932" i="6"/>
  <c r="J1929" i="6"/>
  <c r="D1933" i="6"/>
  <c r="D2070" i="6"/>
  <c r="J2067" i="6"/>
  <c r="D2071" i="6"/>
  <c r="D2208" i="6"/>
  <c r="D2209" i="6"/>
  <c r="J2205" i="6"/>
  <c r="D92" i="6"/>
  <c r="D93" i="6"/>
  <c r="J89" i="6"/>
  <c r="D828" i="6"/>
  <c r="J825" i="6"/>
  <c r="D829" i="6"/>
  <c r="D874" i="6"/>
  <c r="J871" i="6"/>
  <c r="D875" i="6"/>
  <c r="B33" i="19" s="1"/>
  <c r="D322" i="6"/>
  <c r="D323" i="6"/>
  <c r="B17" i="19" s="1"/>
  <c r="J319" i="6"/>
  <c r="D460" i="6"/>
  <c r="J457" i="6"/>
  <c r="D461" i="6"/>
  <c r="B21" i="19" s="1"/>
  <c r="D1058" i="6"/>
  <c r="J1055" i="6"/>
  <c r="D1059" i="6"/>
  <c r="D1104" i="6"/>
  <c r="J1101" i="6"/>
  <c r="D1105" i="6"/>
  <c r="D1150" i="6"/>
  <c r="J1147" i="6"/>
  <c r="D1151" i="6"/>
  <c r="D1196" i="6"/>
  <c r="J1193" i="6"/>
  <c r="D1197" i="6"/>
  <c r="D552" i="6"/>
  <c r="J549" i="6"/>
  <c r="D553" i="6"/>
  <c r="D690" i="6"/>
  <c r="D691" i="6"/>
  <c r="J687" i="6"/>
  <c r="D1012" i="6"/>
  <c r="D1013" i="6"/>
  <c r="B37" i="19" s="1"/>
  <c r="J1009" i="6"/>
  <c r="D1702" i="6"/>
  <c r="J1699" i="6"/>
  <c r="D1703" i="6"/>
  <c r="D506" i="6"/>
  <c r="J503" i="6"/>
  <c r="D507" i="6"/>
  <c r="J1561" i="6"/>
  <c r="D1565" i="6"/>
  <c r="D1564" i="6"/>
  <c r="J595" i="6"/>
  <c r="D599" i="6"/>
  <c r="B25" i="19" s="1"/>
  <c r="D598" i="6"/>
  <c r="D645" i="6"/>
  <c r="J641" i="6"/>
  <c r="D644" i="6"/>
  <c r="D783" i="6"/>
  <c r="J779" i="6"/>
  <c r="D782" i="6"/>
  <c r="D139" i="6"/>
  <c r="J135" i="6"/>
  <c r="D138" i="6"/>
  <c r="J963" i="6"/>
  <c r="D966" i="6"/>
  <c r="D967" i="6"/>
</calcChain>
</file>

<file path=xl/sharedStrings.xml><?xml version="1.0" encoding="utf-8"?>
<sst xmlns="http://schemas.openxmlformats.org/spreadsheetml/2006/main" count="28765" uniqueCount="2693">
  <si>
    <t>General information only. Analysis and scenarios; no recommendation to buy, sell or hold.</t>
  </si>
  <si>
    <t>The answer</t>
  </si>
  <si>
    <t>The central case treats debt and cash as neutral and commissions capacity on the reported timetable. The project figures are second-hand, cover different twelve-month periods and do not state their megawatt basis.</t>
  </si>
  <si>
    <t>What this analysis is</t>
  </si>
  <si>
    <t>Required revenue and reported projects</t>
  </si>
  <si>
    <t>A cash-flow consistency test. It sets combinations of operating and financing assumptions against the reported prices and project economics.</t>
  </si>
  <si>
    <t>Why it was done</t>
  </si>
  <si>
    <t>The proposed offer and its withdrawal leave a question about the scale of earnings needed to support the price. This analysis makes those operating assumptions explicit.</t>
  </si>
  <si>
    <t>What it shows</t>
  </si>
  <si>
    <t>What it does not do</t>
  </si>
  <si>
    <t>It does not forecast Firmus's value or provide investment advice. Actual net debt and past spending remain unknown. Equity figures include announced commitments, and the debt facility is a limit.</t>
  </si>
  <si>
    <t>Source: Prices, DCF and Profitability. Bars use the central assumptions. The line uses reported pipeline megawatts. Comparable revenue periods and an IT-load basis are assumed.</t>
  </si>
  <si>
    <t>Price references and revenue requirements</t>
  </si>
  <si>
    <t>Reported price (A$/share)</t>
  </si>
  <si>
    <t>Equity value (A$bn)</t>
  </si>
  <si>
    <t>Required revenue: central margin and rate (US$m/MW/year)</t>
  </si>
  <si>
    <t>Required revenue: 91% margin, 10% rate (US$m/MW/year)</t>
  </si>
  <si>
    <t>Capital recovery: central case (US$m/MW/year)</t>
  </si>
  <si>
    <t>Reported projects (US$m/MW/year)</t>
  </si>
  <si>
    <t>Sources: sheets Prices, DCF, GridDCF, RecoveryDCF and Profitability. Debt and cash are treated as neutral. Model requirements use assumed IT megawatts; the projects use reported pipeline megawatts. The grid's 91% margin is a rounded test of the reported project margin.</t>
  </si>
  <si>
    <t>Format legend</t>
  </si>
  <si>
    <t>Pale cells hold inputs. Inputs states whether each is a reported fact, an assumption or a convention. Formulas and links use ink text. Bold ink or an ochre left border marks key outputs.</t>
  </si>
  <si>
    <t>How to read this workbook</t>
  </si>
  <si>
    <t>Reading guide</t>
  </si>
  <si>
    <t>Supporting calculations and evidence</t>
  </si>
  <si>
    <t>Read me</t>
  </si>
  <si>
    <t>The answer and its assumptions.</t>
  </si>
  <si>
    <t>Comps</t>
  </si>
  <si>
    <t>GPU-cloud and landlord comparisons.</t>
  </si>
  <si>
    <t>Summary</t>
  </si>
  <si>
    <t>Prices, earnings and funding.</t>
  </si>
  <si>
    <t>PageFigures</t>
  </si>
  <si>
    <t>Figures and their calculation sources.</t>
  </si>
  <si>
    <t>Prices</t>
  </si>
  <si>
    <t>Share prices and enterprise values.</t>
  </si>
  <si>
    <t>Inputs</t>
  </si>
  <si>
    <t>Source inputs and assumptions.</t>
  </si>
  <si>
    <t>Requirements</t>
  </si>
  <si>
    <t>Margins, discount rates and required revenue.</t>
  </si>
  <si>
    <t>Capital</t>
  </si>
  <si>
    <t>Site budgets and capital per megawatt.</t>
  </si>
  <si>
    <t>Recovery</t>
  </si>
  <si>
    <t>Revenue needed to recover capital.</t>
  </si>
  <si>
    <t>DCF</t>
  </si>
  <si>
    <t>Cash flows behind the price tests.</t>
  </si>
  <si>
    <t>Profitability</t>
  </si>
  <si>
    <t>Earlier and 2029 earnings tests.</t>
  </si>
  <si>
    <t>GridDCF</t>
  </si>
  <si>
    <t>Cash flows behind the requirement grid.</t>
  </si>
  <si>
    <t>Sensitivity</t>
  </si>
  <si>
    <t>Price, billing and server-life tests.</t>
  </si>
  <si>
    <t>RecoveryDCF</t>
  </si>
  <si>
    <t>Cash flows behind capital recovery.</t>
  </si>
  <si>
    <t>Funding</t>
  </si>
  <si>
    <t>Budget and financing comparisons.</t>
  </si>
  <si>
    <t>Provenance</t>
  </si>
  <si>
    <t>Input sources and rationales.</t>
  </si>
  <si>
    <t>ValueMW</t>
  </si>
  <si>
    <t>Enterprise value per reported megawatt.</t>
  </si>
  <si>
    <t>Sources</t>
  </si>
  <si>
    <t>Dated evidence and source links.</t>
  </si>
  <si>
    <t>Record</t>
  </si>
  <si>
    <t>Capacity reports and their bases.</t>
  </si>
  <si>
    <t>Firmus: prices, earnings and funding</t>
  </si>
  <si>
    <t>Start on Read me for the answer and assumptions. This sheet shows the prices, reported earnings and funding comparison.</t>
  </si>
  <si>
    <t>Reference</t>
  </si>
  <si>
    <t>Evidence</t>
  </si>
  <si>
    <t>A$/share</t>
  </si>
  <si>
    <t>Equity (A$m)</t>
  </si>
  <si>
    <t>EV neutral (A$m)</t>
  </si>
  <si>
    <t>EV full facility (A$m)</t>
  </si>
  <si>
    <t>Offer price</t>
  </si>
  <si>
    <t>F-046, F-049</t>
  </si>
  <si>
    <t>Reported alternative A$9.00</t>
  </si>
  <si>
    <t>F-173</t>
  </si>
  <si>
    <t>Reported alternative A$8.25</t>
  </si>
  <si>
    <t>F-174, F-176, F-262</t>
  </si>
  <si>
    <t>Reported alternative A$5.50</t>
  </si>
  <si>
    <t>F-177</t>
  </si>
  <si>
    <t>7 Apr 2026 private valuation</t>
  </si>
  <si>
    <t>F-038</t>
  </si>
  <si>
    <t>n.a.</t>
  </si>
  <si>
    <t>7 Aug 2026 private valuation floor</t>
  </si>
  <si>
    <t>F-040</t>
  </si>
  <si>
    <t>Aug 2026 private valuation</t>
  </si>
  <si>
    <t>F-265</t>
  </si>
  <si>
    <t>Offer valuation in US dollars, as another report converted it</t>
  </si>
  <si>
    <t>F-047, F-046</t>
  </si>
  <si>
    <t>Enterprise values use the stated debt and cash assumptions. See Notes below.</t>
  </si>
  <si>
    <t>Cash flows include growth and replacement capital.</t>
  </si>
  <si>
    <t>Offer and private references have different reporting bases.</t>
  </si>
  <si>
    <t>The August valuation floor is the reported minimum. See Notes below.</t>
  </si>
  <si>
    <t>F-049 equity reference; F-122 facility limit; F-251 RBA conversion. Full draw and zero cash are assumptions.</t>
  </si>
  <si>
    <t>Reported earnings and assumed funding</t>
  </si>
  <si>
    <t>Value</t>
  </si>
  <si>
    <t>Unit</t>
  </si>
  <si>
    <t>Reported 2029 revenue</t>
  </si>
  <si>
    <t>US$m</t>
  </si>
  <si>
    <t>F-206</t>
  </si>
  <si>
    <t>Reported 2029 EBIT</t>
  </si>
  <si>
    <t>F-205</t>
  </si>
  <si>
    <t>FY26 operating revenue</t>
  </si>
  <si>
    <t>F-202</t>
  </si>
  <si>
    <t>Project EBITDA margin as reported (periods differ)</t>
  </si>
  <si>
    <t>%</t>
  </si>
  <si>
    <t>F-208</t>
  </si>
  <si>
    <t>Server life implied by reported project earnings (periods differ)</t>
  </si>
  <si>
    <t>years</t>
  </si>
  <si>
    <t>F-208, F-209, F-229</t>
  </si>
  <si>
    <t>Funding from other sources after announced equity</t>
  </si>
  <si>
    <t>A$m</t>
  </si>
  <si>
    <t>F-212; issuer aggregate</t>
  </si>
  <si>
    <t>Funding from other sources after equity and the facility at its limit</t>
  </si>
  <si>
    <t>F-122; Funding sheet</t>
  </si>
  <si>
    <t>These combinations are consistent with the price under the stated model.</t>
  </si>
  <si>
    <t>Earlier FY2028 and later 2029 references remain separate.</t>
  </si>
  <si>
    <t>The megawatt basis and remaining cash requirement are not confirmed.</t>
  </si>
  <si>
    <t>Notes</t>
  </si>
  <si>
    <t>Current enterprise value is not confirmed. The values shown use the stated debt and cash assumptions.</t>
  </si>
  <si>
    <t>The cash flows deduct cash tax and include new capacity and replacement capital. Future share issuance is not modelled.</t>
  </si>
  <si>
    <t>Offer values are approximate reported values after the proposed raising. Private-round comparisons use the same currency and current business scope.</t>
  </si>
  <si>
    <t>The August valuation floor is the reported minimum. Actual private equity value is above that figure. Debt and cash remain assumptions.</t>
  </si>
  <si>
    <t>Different operating and financing assumptions can produce the same value. Each cash-flow schedule states its assumptions.</t>
  </si>
  <si>
    <t>The 2029 forecasts and earlier FY2028 reports cover different periods. Project totals use different twelve-month periods and exclude corporate costs.</t>
  </si>
  <si>
    <t>Reported operating megawatts are second-hand and have no stated physical basis. The funding figures compare total budgets with partial announced equity. Cash still required cannot be established from the record.</t>
  </si>
  <si>
    <t>Bridge</t>
  </si>
  <si>
    <t>Base</t>
  </si>
  <si>
    <t>Increase</t>
  </si>
  <si>
    <t>Decrease</t>
  </si>
  <si>
    <t>Total</t>
  </si>
  <si>
    <t>Equity reference</t>
  </si>
  <si>
    <t>Facility at its limit assumed</t>
  </si>
  <si>
    <t>Enterprise value under these assumptions</t>
  </si>
  <si>
    <t>Firmus: inputs</t>
  </si>
  <si>
    <t>Reference ID</t>
  </si>
  <si>
    <t>Input</t>
  </si>
  <si>
    <t>As of</t>
  </si>
  <si>
    <t>Fact ids</t>
  </si>
  <si>
    <t>Kind</t>
  </si>
  <si>
    <t>Basis and qualifier</t>
  </si>
  <si>
    <t>zero</t>
  </si>
  <si>
    <t>Zero convention</t>
  </si>
  <si>
    <t>number</t>
  </si>
  <si>
    <t>2026-10-12</t>
  </si>
  <si>
    <t>Convention</t>
  </si>
  <si>
    <t>one</t>
  </si>
  <si>
    <t>Unit convention</t>
  </si>
  <si>
    <t>million</t>
  </si>
  <si>
    <t>Dollars per million</t>
  </si>
  <si>
    <t>percent</t>
  </si>
  <si>
    <t>Percentage points in a whole</t>
  </si>
  <si>
    <t>days_year</t>
  </si>
  <si>
    <t>Days in one discount year</t>
  </si>
  <si>
    <t>days</t>
  </si>
  <si>
    <t>hours_year</t>
  </si>
  <si>
    <t>Hours in a normalised full year</t>
  </si>
  <si>
    <t>hours</t>
  </si>
  <si>
    <t>half</t>
  </si>
  <si>
    <t>Mid-period commissioning fraction</t>
  </si>
  <si>
    <t>cutoff</t>
  </si>
  <si>
    <t>Valuation date</t>
  </si>
  <si>
    <t>date</t>
  </si>
  <si>
    <t>Assumption</t>
  </si>
  <si>
    <t>broker_fx</t>
  </si>
  <si>
    <t>Exchange rate in the Reuters offer report</t>
  </si>
  <si>
    <t>A$/US$</t>
  </si>
  <si>
    <t>F-046</t>
  </si>
  <si>
    <t>Reported fact</t>
  </si>
  <si>
    <t>Reporting conversion quoted on 1 October 2026.</t>
  </si>
  <si>
    <t>usd_per_aud</t>
  </si>
  <si>
    <t>RBA US$ per A$, 9 October 2026</t>
  </si>
  <si>
    <t>US$ per A$</t>
  </si>
  <si>
    <t>F-251</t>
  </si>
  <si>
    <t>RBA exchange rate.</t>
  </si>
  <si>
    <t>cash</t>
  </si>
  <si>
    <t>Illustrative cash balance</t>
  </si>
  <si>
    <t>A$</t>
  </si>
  <si>
    <t>debt_zero</t>
  </si>
  <si>
    <t>Illustrative net-debt-neutral gross debt</t>
  </si>
  <si>
    <t>facility</t>
  </si>
  <si>
    <t>Disclosed Blackstone-led facility limit</t>
  </si>
  <si>
    <t>F-122</t>
  </si>
  <si>
    <t>debt facility limit.</t>
  </si>
  <si>
    <t>tax</t>
  </si>
  <si>
    <t>Cash tax rate on positive EBIT</t>
  </si>
  <si>
    <t>terminal_growth</t>
  </si>
  <si>
    <t>Terminal annual growth</t>
  </si>
  <si>
    <t>gpu_life</t>
  </si>
  <si>
    <t>DCF server replacement and depreciation life</t>
  </si>
  <si>
    <t>infra_life</t>
  </si>
  <si>
    <t>Infrastructure depreciation and terminal refresh life</t>
  </si>
  <si>
    <t>wc</t>
  </si>
  <si>
    <t>Working capital as a share of annual run-rate revenue</t>
  </si>
  <si>
    <t>opening_mw</t>
  </si>
  <si>
    <t>DCF opening equivalent IT MW</t>
  </si>
  <si>
    <t>equivalent critical IT MW</t>
  </si>
  <si>
    <t>F-213</t>
  </si>
  <si>
    <t>tas_it</t>
  </si>
  <si>
    <t>Launceston planned critical IT load</t>
  </si>
  <si>
    <t>MW</t>
  </si>
  <si>
    <t>F-068</t>
  </si>
  <si>
    <t>Critical IT load. Reported upper limit.</t>
  </si>
  <si>
    <t>tas_gpu</t>
  </si>
  <si>
    <t>Launceston planned GB300 GPU count</t>
  </si>
  <si>
    <t>GPUs</t>
  </si>
  <si>
    <t>F-071</t>
  </si>
  <si>
    <t>GB300. Reported target.</t>
  </si>
  <si>
    <t>allocation_mw</t>
  </si>
  <si>
    <t>Reported pipeline; physical basis unstated</t>
  </si>
  <si>
    <t>F-266</t>
  </si>
  <si>
    <t>pipeline as reported (basis not stated).</t>
  </si>
  <si>
    <t>contract_to_it</t>
  </si>
  <si>
    <t>Scenario IT MW per reported MW of unstated basis</t>
  </si>
  <si>
    <t>IT MW / reported MW</t>
  </si>
  <si>
    <t>in_service_fraction</t>
  </si>
  <si>
    <t>Reported capex treated as in-service gross assets in the earnings bridge</t>
  </si>
  <si>
    <t>additional_central_cost</t>
  </si>
  <si>
    <t>Additional central cost between reported forecast perimeters</t>
  </si>
  <si>
    <t>US$ per year</t>
  </si>
  <si>
    <t>server_capex</t>
  </si>
  <si>
    <t>Reported disclosed-site server budgets</t>
  </si>
  <si>
    <t>F-229</t>
  </si>
  <si>
    <t>server budget, all disclosed sites, per offer summary.</t>
  </si>
  <si>
    <t>construction_capex</t>
  </si>
  <si>
    <t>Known Tasmanian construction budget; other infrastructure unconfirmed</t>
  </si>
  <si>
    <t>F-227</t>
  </si>
  <si>
    <t>construction budget, Launceston and Wesley Vale, per offer summary.</t>
  </si>
  <si>
    <t>revenue_target</t>
  </si>
  <si>
    <t>Reporter sum of project revenues; different twelve-month periods</t>
  </si>
  <si>
    <t>sum by Startup Daily of project-level 12-month contracted revenue.</t>
  </si>
  <si>
    <t>ebitda_target</t>
  </si>
  <si>
    <t>Reporter sum of project EBITDA</t>
  </si>
  <si>
    <t>Different project twelve-month periods. corporate costs excluded. not consolidated.</t>
  </si>
  <si>
    <t>ebit_previous</t>
  </si>
  <si>
    <t>Earlier reported FY2028 EBIT</t>
  </si>
  <si>
    <t>F-153</t>
  </si>
  <si>
    <t>EBIT, FY2028 forecast as reported. Approximate.</t>
  </si>
  <si>
    <t>ebit_uplift</t>
  </si>
  <si>
    <t>Reported Meta earnings uplift; company confirmation unavailable</t>
  </si>
  <si>
    <t>F-270</t>
  </si>
  <si>
    <t>reported earnings uplift from the Meta Southeast Asia deal. Approximate.</t>
  </si>
  <si>
    <t>earnings_margin_test</t>
  </si>
  <si>
    <t>Lower cash EBITDA margin for earnings compatibility test</t>
  </si>
  <si>
    <t>C-001, C-003</t>
  </si>
  <si>
    <t>F-212</t>
  </si>
  <si>
    <t>The pathfinder puts the cost of building Firmus's five remaining data centres at US$37.7 billion.</t>
  </si>
  <si>
    <t>capital cost of five development sites, per pathfinder as reported.</t>
  </si>
  <si>
    <t>Firmus says it has 46 MW of operational capacity across Singapore and Melbourne, including its 42 MW installation at CDC's Brooklyn facility serving Meta.</t>
  </si>
  <si>
    <t>operational capacity as stated (basis not given).</t>
  </si>
  <si>
    <t>F-214</t>
  </si>
  <si>
    <t>Five new development projects will add a further 865 MW.</t>
  </si>
  <si>
    <t>development capacity as stated (basis not given).</t>
  </si>
  <si>
    <t>F-230</t>
  </si>
  <si>
    <t>The server budget for Batam is US$14.03 billion (A$20.04 billion).</t>
  </si>
  <si>
    <t>server budget, Batam, per offer summary.</t>
  </si>
  <si>
    <t>F-231</t>
  </si>
  <si>
    <t>The server budget for the operating Melbourne site is US$1.35 billion.</t>
  </si>
  <si>
    <t>server budget, Melbourne, per offer summary.</t>
  </si>
  <si>
    <t>F-228</t>
  </si>
  <si>
    <t>The disclosed budgets for the two Tasmanian projects include US$3.75 billion (A$5.36 billion) for servers.</t>
  </si>
  <si>
    <t>server budget, Launceston and Wesley Vale, per offer summary.</t>
  </si>
  <si>
    <t>F-215</t>
  </si>
  <si>
    <t>Launceston (84 MW) is under construction and targets operations from early 2027.</t>
  </si>
  <si>
    <t>critical IT, matching F-068. Reported target.</t>
  </si>
  <si>
    <t>F-216</t>
  </si>
  <si>
    <t>Wesley Vale (23 MW) has a development application in progress and targets operations in 2027.</t>
  </si>
  <si>
    <t>critical IT, initial stage (matches F-078). Reported target.</t>
  </si>
  <si>
    <t>F-217</t>
  </si>
  <si>
    <t>Batam (360 MW) is under construction in leased third-party data centre space and targets phased operations from early 2027.</t>
  </si>
  <si>
    <t>as stated (basis not given. matches F-088). Reported target.</t>
  </si>
  <si>
    <t>F-218</t>
  </si>
  <si>
    <t>The first Malaysian project, KVTP in Kuala Lumpur, would provide 192 MW, with completion in 2027.</t>
  </si>
  <si>
    <t>as stated (basis not given). Reported target.</t>
  </si>
  <si>
    <t>F-219</t>
  </si>
  <si>
    <t>The second Malaysian project, SVTP in Kuala Lumpur, would provide 206 MW, with completion over 2027 and 2028.</t>
  </si>
  <si>
    <t>F-136</t>
  </si>
  <si>
    <t>Event: co-CEO said the Victorian project was being handed over to a customer at the time of his evidence.</t>
  </si>
  <si>
    <t>unstated. Reported upper limit.</t>
  </si>
  <si>
    <t>F-276</t>
  </si>
  <si>
    <t>Startup Daily's table of disclosed capital costs puts the five development sites at A$51.71 billion (US$36.20 billion) for 865 MW.</t>
  </si>
  <si>
    <t>disclosed capital cost, five development sites, as tabled by Startup Daily.</t>
  </si>
  <si>
    <t>F-277</t>
  </si>
  <si>
    <t>The disclosed capital cost of Launceston (84 MW) is A$4.97 billion (US$3.48 billion), with operations targeted for early 2027.</t>
  </si>
  <si>
    <t>disclosed capital cost as tabled by Startup Daily. Reported target.</t>
  </si>
  <si>
    <t>F-278</t>
  </si>
  <si>
    <t>The disclosed capital cost of Wesley Vale (23 MW) is A$1.29 billion (US$900 million), with operations targeted for 2027 and development approval pending.</t>
  </si>
  <si>
    <t>F-279</t>
  </si>
  <si>
    <t>The disclosed capital cost of Batam (360 MW) is A$20.66 billion (US$14.46 billion), with operations phased from early 2027.</t>
  </si>
  <si>
    <t>F-280</t>
  </si>
  <si>
    <t>The disclosed capital cost of KVTP in Kuala Lumpur (192 MW) is A$11.97 billion (US$8.38 billion), with phased completion from 2027.</t>
  </si>
  <si>
    <t>F-281</t>
  </si>
  <si>
    <t>The disclosed capital cost of SVTP in Kuala Lumpur (206 MW) is A$12.83 billion (US$8.98 billion), with completion during 2027 and 2028.</t>
  </si>
  <si>
    <t>utilisation</t>
  </si>
  <si>
    <t>Billable GPU capacity fraction after commissioning</t>
  </si>
  <si>
    <t>F-224</t>
  </si>
  <si>
    <t>physical_utilisation</t>
  </si>
  <si>
    <t>Physical GPU utilisation for energy cost</t>
  </si>
  <si>
    <t>power_tariff</t>
  </si>
  <si>
    <t>Illustrative electricity price</t>
  </si>
  <si>
    <t>A$/MWh</t>
  </si>
  <si>
    <t>F-095</t>
  </si>
  <si>
    <t>pue</t>
  </si>
  <si>
    <t>Illustrative aggregate PUE in the energy sensitivity</t>
  </si>
  <si>
    <t>PUE</t>
  </si>
  <si>
    <t>F-101</t>
  </si>
  <si>
    <t>index_2027</t>
  </si>
  <si>
    <t>Period index FY2027</t>
  </si>
  <si>
    <t>date_2027</t>
  </si>
  <si>
    <t>Period end FY2027</t>
  </si>
  <si>
    <t>index_2028</t>
  </si>
  <si>
    <t>Period index FY2028</t>
  </si>
  <si>
    <t>date_2028</t>
  </si>
  <si>
    <t>Period end FY2028</t>
  </si>
  <si>
    <t>index_2029</t>
  </si>
  <si>
    <t>Period index FY2029</t>
  </si>
  <si>
    <t>date_2029</t>
  </si>
  <si>
    <t>Period end FY2029</t>
  </si>
  <si>
    <t>index_2030</t>
  </si>
  <si>
    <t>Period index FY2030</t>
  </si>
  <si>
    <t>date_2030</t>
  </si>
  <si>
    <t>Period end FY2030</t>
  </si>
  <si>
    <t>index_2031</t>
  </si>
  <si>
    <t>Period index FY2031</t>
  </si>
  <si>
    <t>date_2031</t>
  </si>
  <si>
    <t>Period end FY2031</t>
  </si>
  <si>
    <t>index_2032</t>
  </si>
  <si>
    <t>Period index FY2032</t>
  </si>
  <si>
    <t>date_2032</t>
  </si>
  <si>
    <t>Period end FY2032</t>
  </si>
  <si>
    <t>index_2033</t>
  </si>
  <si>
    <t>Period index FY2033</t>
  </si>
  <si>
    <t>date_2033</t>
  </si>
  <si>
    <t>Period end FY2033</t>
  </si>
  <si>
    <t>index_2034</t>
  </si>
  <si>
    <t>Period index FY2034</t>
  </si>
  <si>
    <t>date_2034</t>
  </si>
  <si>
    <t>Period end FY2034</t>
  </si>
  <si>
    <t>index_2035</t>
  </si>
  <si>
    <t>Period index FY2035</t>
  </si>
  <si>
    <t>date_2035</t>
  </si>
  <si>
    <t>Period end FY2035</t>
  </si>
  <si>
    <t>index_2036</t>
  </si>
  <si>
    <t>Period index FY2036</t>
  </si>
  <si>
    <t>date_2036</t>
  </si>
  <si>
    <t>Period end FY2036</t>
  </si>
  <si>
    <t>contracted_mw</t>
  </si>
  <si>
    <t>Disclosed-project-size commissioning: mature equivalent IT MW</t>
  </si>
  <si>
    <t>F-213, F-214</t>
  </si>
  <si>
    <t>contracted_margin</t>
  </si>
  <si>
    <t>Disclosed-project-size commissioning: EBITDA margin</t>
  </si>
  <si>
    <t>contracted_wacc</t>
  </si>
  <si>
    <t>Disclosed-project-size commissioning: discount rate</t>
  </si>
  <si>
    <t>contracted_2027</t>
  </si>
  <si>
    <t>Disclosed-project-size commissioning: commissioning progress FY2027</t>
  </si>
  <si>
    <t>fraction of growth from opening to mature MW</t>
  </si>
  <si>
    <t>contracted_2028</t>
  </si>
  <si>
    <t>Disclosed-project-size commissioning: commissioning progress FY2028</t>
  </si>
  <si>
    <t>contracted_2029</t>
  </si>
  <si>
    <t>Disclosed-project-size commissioning: commissioning progress FY2029</t>
  </si>
  <si>
    <t>contracted_2030</t>
  </si>
  <si>
    <t>Disclosed-project-size commissioning: commissioning progress FY2030</t>
  </si>
  <si>
    <t>contracted_2031</t>
  </si>
  <si>
    <t>Disclosed-project-size commissioning: commissioning progress FY2031</t>
  </si>
  <si>
    <t>contracted_2032</t>
  </si>
  <si>
    <t>Disclosed-project-size commissioning: commissioning progress FY2032</t>
  </si>
  <si>
    <t>contracted_2033</t>
  </si>
  <si>
    <t>Disclosed-project-size commissioning: commissioning progress FY2033</t>
  </si>
  <si>
    <t>contracted_2034</t>
  </si>
  <si>
    <t>Disclosed-project-size commissioning: commissioning progress FY2034</t>
  </si>
  <si>
    <t>contracted_2035</t>
  </si>
  <si>
    <t>Disclosed-project-size commissioning: commissioning progress FY2035</t>
  </si>
  <si>
    <t>contracted_2036</t>
  </si>
  <si>
    <t>Disclosed-project-size commissioning: commissioning progress FY2036</t>
  </si>
  <si>
    <t>expanded_mw</t>
  </si>
  <si>
    <t>Larger footprint with phased commissioning: mature equivalent IT MW</t>
  </si>
  <si>
    <t>F-061, F-242</t>
  </si>
  <si>
    <t>expanded_margin</t>
  </si>
  <si>
    <t>Larger footprint with phased commissioning: EBITDA margin</t>
  </si>
  <si>
    <t>expanded_wacc</t>
  </si>
  <si>
    <t>Larger footprint with phased commissioning: discount rate</t>
  </si>
  <si>
    <t>expanded_2027</t>
  </si>
  <si>
    <t>Larger footprint with phased commissioning: commissioning progress FY2027</t>
  </si>
  <si>
    <t>expanded_2028</t>
  </si>
  <si>
    <t>Larger footprint with phased commissioning: commissioning progress FY2028</t>
  </si>
  <si>
    <t>expanded_2029</t>
  </si>
  <si>
    <t>Larger footprint with phased commissioning: commissioning progress FY2029</t>
  </si>
  <si>
    <t>expanded_2030</t>
  </si>
  <si>
    <t>Larger footprint with phased commissioning: commissioning progress FY2030</t>
  </si>
  <si>
    <t>expanded_2031</t>
  </si>
  <si>
    <t>Larger footprint with phased commissioning: commissioning progress FY2031</t>
  </si>
  <si>
    <t>expanded_2032</t>
  </si>
  <si>
    <t>Larger footprint with phased commissioning: commissioning progress FY2032</t>
  </si>
  <si>
    <t>expanded_2033</t>
  </si>
  <si>
    <t>Larger footprint with phased commissioning: commissioning progress FY2033</t>
  </si>
  <si>
    <t>expanded_2034</t>
  </si>
  <si>
    <t>Larger footprint with phased commissioning: commissioning progress FY2034</t>
  </si>
  <si>
    <t>expanded_2035</t>
  </si>
  <si>
    <t>Larger footprint with phased commissioning: commissioning progress FY2035</t>
  </si>
  <si>
    <t>expanded_2036</t>
  </si>
  <si>
    <t>Larger footprint with phased commissioning: commissioning progress FY2036</t>
  </si>
  <si>
    <t>delayed_mw</t>
  </si>
  <si>
    <t>Larger footprint with slower commissioning: mature equivalent IT MW</t>
  </si>
  <si>
    <t>delayed_margin</t>
  </si>
  <si>
    <t>Larger footprint with slower commissioning: EBITDA margin</t>
  </si>
  <si>
    <t>delayed_wacc</t>
  </si>
  <si>
    <t>Larger footprint with slower commissioning: discount rate</t>
  </si>
  <si>
    <t>delayed_2027</t>
  </si>
  <si>
    <t>Larger footprint with slower commissioning: commissioning progress FY2027</t>
  </si>
  <si>
    <t>delayed_2028</t>
  </si>
  <si>
    <t>Larger footprint with slower commissioning: commissioning progress FY2028</t>
  </si>
  <si>
    <t>delayed_2029</t>
  </si>
  <si>
    <t>Larger footprint with slower commissioning: commissioning progress FY2029</t>
  </si>
  <si>
    <t>delayed_2030</t>
  </si>
  <si>
    <t>Larger footprint with slower commissioning: commissioning progress FY2030</t>
  </si>
  <si>
    <t>delayed_2031</t>
  </si>
  <si>
    <t>Larger footprint with slower commissioning: commissioning progress FY2031</t>
  </si>
  <si>
    <t>delayed_2032</t>
  </si>
  <si>
    <t>Larger footprint with slower commissioning: commissioning progress FY2032</t>
  </si>
  <si>
    <t>delayed_2033</t>
  </si>
  <si>
    <t>Larger footprint with slower commissioning: commissioning progress FY2033</t>
  </si>
  <si>
    <t>delayed_2034</t>
  </si>
  <si>
    <t>Larger footprint with slower commissioning: commissioning progress FY2034</t>
  </si>
  <si>
    <t>delayed_2035</t>
  </si>
  <si>
    <t>Larger footprint with slower commissioning: commissioning progress FY2035</t>
  </si>
  <si>
    <t>delayed_2036</t>
  </si>
  <si>
    <t>Larger footprint with slower commissioning: commissioning progress FY2036</t>
  </si>
  <si>
    <t>ev_zero_tolerance</t>
  </si>
  <si>
    <t>Absolute EV-zero reconciliation tolerance</t>
  </si>
  <si>
    <t>offer_price</t>
  </si>
  <si>
    <t>Reported reference offer price</t>
  </si>
  <si>
    <t>A$ per share</t>
  </si>
  <si>
    <t>offer price per term sheet.</t>
  </si>
  <si>
    <t>offer_equity</t>
  </si>
  <si>
    <t>Reported A$ reference equity value</t>
  </si>
  <si>
    <t>F-049</t>
  </si>
  <si>
    <t>equity value at offer price as reported. Approximate.</t>
  </si>
  <si>
    <t>cut_9_0</t>
  </si>
  <si>
    <t>Reported reduced offer price A$9.00</t>
  </si>
  <si>
    <t>Uncompleted alternative price reported after the withdrawal.</t>
  </si>
  <si>
    <t>cut_8_25</t>
  </si>
  <si>
    <t>Reported reduced offer price A$8.25</t>
  </si>
  <si>
    <t>cut_5_5</t>
  </si>
  <si>
    <t>Reported reduced offer price A$5.50</t>
  </si>
  <si>
    <t>F-033</t>
  </si>
  <si>
    <t>Post-money valuation after the A$330 million placement.</t>
  </si>
  <si>
    <t>post-money equity valuation.</t>
  </si>
  <si>
    <t>F-035</t>
  </si>
  <si>
    <t>Post-money valuation of the November 2025 raise.</t>
  </si>
  <si>
    <t>post-money equity valuation. Approximate.</t>
  </si>
  <si>
    <t>Post-money valuation of the April 2026 round.</t>
  </si>
  <si>
    <t>Post-money valuation after the August 2026 round, stated as above US$10.5 billion.</t>
  </si>
  <si>
    <t>post-money equity valuation. Reported minimum.</t>
  </si>
  <si>
    <t>Mingtiandi reported that the August 2026 equity placement of about A$2.9 billion implied a valuation of A$15.5 billion.</t>
  </si>
  <si>
    <t>post-money equity valuation as converted by the outlet.</t>
  </si>
  <si>
    <t>F-047</t>
  </si>
  <si>
    <t>IPO equity valuation at the offer price.</t>
  </si>
  <si>
    <t>equity value at offer price. Approximate.</t>
  </si>
  <si>
    <t>F-181</t>
  </si>
  <si>
    <t>Bloomberg reported on 2 October that the A$11 price implied about A$43.7 billion (US$30.3 billion), short of earlier expectations of as much as A$50 billion, with the book to open 6 October and close 9 October unless accelerated.</t>
  </si>
  <si>
    <t>usd_offer_304</t>
  </si>
  <si>
    <t>Bloomberg offer equity report in US dollars</t>
  </si>
  <si>
    <t>F-180</t>
  </si>
  <si>
    <t>USD figure in the same reported A$43.7bn offer valuation.</t>
  </si>
  <si>
    <t>F-182</t>
  </si>
  <si>
    <t>The Nightly gave the planned listing value as A$43.1 billion on 7 October.</t>
  </si>
  <si>
    <t>equity value at offer price as reported.</t>
  </si>
  <si>
    <t>F-178</t>
  </si>
  <si>
    <t>The Australian's DataRoom column reported that the valuation might fall as low as A$30 billion and that the float's advisers were cutting their fees.</t>
  </si>
  <si>
    <t>equity valuation under discussion, as reported.</t>
  </si>
  <si>
    <t>F-179</t>
  </si>
  <si>
    <t>Bloomberg reported that bankers considered cutting the valuation from more than US$30 billion to US$20 billion to US$25 billion and shrinking the offering.</t>
  </si>
  <si>
    <t>equity valuation under discussion, as reported. range:25000000000.</t>
  </si>
  <si>
    <t>considered_usd_upper</t>
  </si>
  <si>
    <t>Upper endpoint of considered equity valuation range</t>
  </si>
  <si>
    <t>Upper endpoint of the reported US$20bn to US$25bn terms under discussion.</t>
  </si>
  <si>
    <t>share_split</t>
  </si>
  <si>
    <t>Maas Group's ASX announcement states that Firmus proposed a 50:1 share split, and restates Maas's average historical cost of about A$188 a share as A$3.76 on a post-split basis.</t>
  </si>
  <si>
    <t>ratio (shares after split per share before)</t>
  </si>
  <si>
    <t>F-185</t>
  </si>
  <si>
    <t>proposed share split.</t>
  </si>
  <si>
    <t>aug_private_share</t>
  </si>
  <si>
    <t>August private share price before proposed split</t>
  </si>
  <si>
    <t>F-042</t>
  </si>
  <si>
    <t>Per-share quote in the reported Maas investment.</t>
  </si>
  <si>
    <t>F-043</t>
  </si>
  <si>
    <t>Private Firmus shares were offered at A$145 each on a A$6 billion valuation, per correspondence to prospective shareholders.</t>
  </si>
  <si>
    <t>private secondary price.</t>
  </si>
  <si>
    <t>grid_margin_50</t>
  </si>
  <si>
    <t>Requirement-grid EBITDA margin</t>
  </si>
  <si>
    <t>grid_margin_59</t>
  </si>
  <si>
    <t>grid_margin_60</t>
  </si>
  <si>
    <t>grid_margin_70</t>
  </si>
  <si>
    <t>grid_margin_80</t>
  </si>
  <si>
    <t>grid_margin_91</t>
  </si>
  <si>
    <t>grid_rate_8</t>
  </si>
  <si>
    <t>Requirement-grid discount rate</t>
  </si>
  <si>
    <t>grid_rate_10</t>
  </si>
  <si>
    <t>grid_rate_12</t>
  </si>
  <si>
    <t>grid_rate_14</t>
  </si>
  <si>
    <t>profit_mw_large</t>
  </si>
  <si>
    <t>Alternative earnings-bridge equivalent IT MW</t>
  </si>
  <si>
    <t>F-061</t>
  </si>
  <si>
    <t>F-056</t>
  </si>
  <si>
    <t>The draft prospectus forecasts a pro forma loss after tax of $77 million for the half year to December 2026.</t>
  </si>
  <si>
    <t>$m (currency as reported; Reuters convention is US$)</t>
  </si>
  <si>
    <t>pro forma NPAT loss, H1 FY27.</t>
  </si>
  <si>
    <t>F-204</t>
  </si>
  <si>
    <t>No source states the forecast loss for the half to December 2026 in Australian dollars: Reuters wrote $77 million (Reuters style is US$), and the offer-document figures reported by The Nightly are in US$.</t>
  </si>
  <si>
    <t>US$m (inferred)</t>
  </si>
  <si>
    <t>derived: currency inference for F-056.</t>
  </si>
  <si>
    <t>F-158</t>
  </si>
  <si>
    <t>Ornn's transaction-based OCPI-H100 settled at US$2.59 per GPU-hour on 4 October 2026, down 10.4% over 30 days.</t>
  </si>
  <si>
    <t>US$ per GPU-hour</t>
  </si>
  <si>
    <t>H100 SXM settled index.</t>
  </si>
  <si>
    <t>F-159</t>
  </si>
  <si>
    <t>GetDeploying's median on-demand H100 price was US$3.40 per GPU-hour across 41 providers, up 1.7% over four weeks.</t>
  </si>
  <si>
    <t>median listed on-demand price.</t>
  </si>
  <si>
    <t>In the year to 30 June 2026 Firmus earned operating revenue of US$50.8 million.</t>
  </si>
  <si>
    <t>operating revenue, FY26, per offer document as reported.</t>
  </si>
  <si>
    <t>F-203</t>
  </si>
  <si>
    <t>In the year to 30 June 2026 Firmus made a loss of US$68.2 million.</t>
  </si>
  <si>
    <t>loss for FY26, per offer document as reported (line not stated).</t>
  </si>
  <si>
    <t>The pathfinder targets EBIT of US$5.8 billion in 2029, if Firmus has seven data centres operating by the end of 2028.</t>
  </si>
  <si>
    <t>EBIT target, 2029, per pathfinder as reported. Reported target.</t>
  </si>
  <si>
    <t>The pathfinder forecasts revenue of US$12.9 billion in 2029.</t>
  </si>
  <si>
    <t>revenue forecast, 2029, per pathfinder as reported. Reported target.</t>
  </si>
  <si>
    <t>F-209</t>
  </si>
  <si>
    <t>Summed across the disclosed projects, target EBIT is A$8.31 billion (US$5.82 billion), a 41.1% margin after depreciation and amortisation.</t>
  </si>
  <si>
    <t>sum by Startup Daily of project-level 12-month target EBIT.</t>
  </si>
  <si>
    <t>F-210</t>
  </si>
  <si>
    <t>The offer document states US$72.8 billion of future revenue secured under contracts.</t>
  </si>
  <si>
    <t>contracted future revenue, per offer document as reported.</t>
  </si>
  <si>
    <t>physical_62</t>
  </si>
  <si>
    <t>Physical utilisation sensitivity</t>
  </si>
  <si>
    <t>physical_63</t>
  </si>
  <si>
    <t>physical_64</t>
  </si>
  <si>
    <t>physical_65</t>
  </si>
  <si>
    <t>price_factor_0</t>
  </si>
  <si>
    <t>Rental-price sensitivity factor</t>
  </si>
  <si>
    <t>% of project price</t>
  </si>
  <si>
    <t>price_factor_1</t>
  </si>
  <si>
    <t>price_factor_2</t>
  </si>
  <si>
    <t>price_factor_3</t>
  </si>
  <si>
    <t>util_0</t>
  </si>
  <si>
    <t>Billable-utilisation sensitivity</t>
  </si>
  <si>
    <t>util_1</t>
  </si>
  <si>
    <t>util_2</t>
  </si>
  <si>
    <t>life_0</t>
  </si>
  <si>
    <t>Server-life sensitivity</t>
  </si>
  <si>
    <t>life_1</t>
  </si>
  <si>
    <t>life_2</t>
  </si>
  <si>
    <t>life_3</t>
  </si>
  <si>
    <t>quote_life_4</t>
  </si>
  <si>
    <t>Server-life comparison: 4-year server life</t>
  </si>
  <si>
    <t>quote_life_5</t>
  </si>
  <si>
    <t>Server-life comparison: 5-year server life</t>
  </si>
  <si>
    <t>quote_life_6</t>
  </si>
  <si>
    <t>Server-life comparison: 6-year server life</t>
  </si>
  <si>
    <t>fund_F-032</t>
  </si>
  <si>
    <t>Firmus closed a A$330 million equity placement, cornerstoned by Ellerston Capital with Nvidia participating, at a A$1.85 billion post-money valuation.</t>
  </si>
  <si>
    <t>F-032</t>
  </si>
  <si>
    <t>equity placement.</t>
  </si>
  <si>
    <t>fund_F-034</t>
  </si>
  <si>
    <t>Firmus received commitments for a further A$500 million equity raise at a post-money valuation of approximately A$6 billion.</t>
  </si>
  <si>
    <t>F-034</t>
  </si>
  <si>
    <t>equity raise commitments.</t>
  </si>
  <si>
    <t>fund_F-264</t>
  </si>
  <si>
    <t>Maas Group's FY26 results presentation attributes its FY26 investment in unlisted companies primarily to a A$110m investment in Firmus Grid, and reports a A$40.2m fair value uplift on its investment in Firmus.</t>
  </si>
  <si>
    <t>F-264</t>
  </si>
  <si>
    <t>investment in Firmus Grid in the year to 30 June 2026.</t>
  </si>
  <si>
    <t>fund_F-037</t>
  </si>
  <si>
    <t>Firmus expected to secure a US$505 million equity investment led by Coatue with Nvidia, at a US$5.5 billion post-money valuation, subject to closing conditions.</t>
  </si>
  <si>
    <t>F-037</t>
  </si>
  <si>
    <t>strategic equity investment, subject to closing conditions.</t>
  </si>
  <si>
    <t>fund_F-039</t>
  </si>
  <si>
    <t>Firmus received full commitments for a US$2 billion equity round from Coatue, Nvidia, Blackstone funds and Jane Street, taking post-money valuation above US$10.5 billion.</t>
  </si>
  <si>
    <t>F-039</t>
  </si>
  <si>
    <t>strategic equity investment, fully committed.</t>
  </si>
  <si>
    <t>six_month_equity</t>
  </si>
  <si>
    <t>April issuer six-month equity aggregate, conditional</t>
  </si>
  <si>
    <t>Expected aggregate after the April transaction. closing conditions remain.</t>
  </si>
  <si>
    <t>southgate_capex</t>
  </si>
  <si>
    <t>Announced Australian Project Southgate investment ceiling</t>
  </si>
  <si>
    <t>Primary release investment line, scaling through 2028. Australian scope.</t>
  </si>
  <si>
    <t>F-263</t>
  </si>
  <si>
    <t>Maas Group's strategic investment in Firmus was $100 million for a 1.7% stake, priced at about the $6 billion valuation of November 2025.</t>
  </si>
  <si>
    <t>strategic equity investment.</t>
  </si>
  <si>
    <t>F-072</t>
  </si>
  <si>
    <t>Infratil said CDC's first stage for Firmus and NVIDIA is underpinned by about 40 MW of CDC capacity in Melbourne, delivered from April 2026.</t>
  </si>
  <si>
    <t>other: CDC data centre capacity (CDC MW, basis not stated). Reported target.</t>
  </si>
  <si>
    <t>F-073</t>
  </si>
  <si>
    <t>The co-CEO described a Victorian project being handed to a customer: a four-level 60,000 square metre building of 42 MW.</t>
  </si>
  <si>
    <t>unstated.</t>
  </si>
  <si>
    <t>F-085</t>
  </si>
  <si>
    <t>Firmus lists a Singapore Media Hub site converting a former basement car park into a 3 MW GPU AI factory, plus a Loyang retrofit.</t>
  </si>
  <si>
    <t>F-057</t>
  </si>
  <si>
    <t>Firmus said total contracted capacity across all customers is more than 900 MW after the OpenAI partnership.</t>
  </si>
  <si>
    <t>other: contracted capacity (basis not stated). Reported minimum.</t>
  </si>
  <si>
    <t>F-069</t>
  </si>
  <si>
    <t>Firmus's Launceston retail electricity agreement with Aurora is for 104 MW over three years, executed in early March 2026.</t>
  </si>
  <si>
    <t>other: retail supply contract.</t>
  </si>
  <si>
    <t>F-098</t>
  </si>
  <si>
    <t>Firmus signed a 12-year wholesale agreement with Gunvor for 600 MW of firm electricity for its first South Australian campuses.</t>
  </si>
  <si>
    <t>other: firm electricity supply.</t>
  </si>
  <si>
    <t>F-088</t>
  </si>
  <si>
    <t>Firmus announced a 360 MW NVIDIA DSX AI factory campus in Batam, Indonesia, developed with DayOne, anchoring a partnership with NVIDIA running through 2034.</t>
  </si>
  <si>
    <t>Project Southgate is expected to scale up to 1.6 GW of AI factory infrastructure through 2028.</t>
  </si>
  <si>
    <t>other: operational AI Factories (basis not stated). Reported target.</t>
  </si>
  <si>
    <t>F-094</t>
  </si>
  <si>
    <t>Hydro Tasmania has a wholesale agreement with Aurora backing the 104 MW retail supply and has not decided Firmus's 444 MW request.</t>
  </si>
  <si>
    <t>other: requested long-term contract. Reported target.</t>
  </si>
  <si>
    <t>F-031</t>
  </si>
  <si>
    <t>Octus reported a fully funded US$120 million four-year Nomura private credit facility for Firmus, priced at SOFR plus 10 to 11%.</t>
  </si>
  <si>
    <t>private credit facility, fully funded. Reported upper limit.</t>
  </si>
  <si>
    <t>F-248</t>
  </si>
  <si>
    <t>Maas Group has received payments totalling A$373 million against the Firmus work orders, under the master service agreement between JLE and Firmus.</t>
  </si>
  <si>
    <t>payments received by JLE from Firmus.</t>
  </si>
  <si>
    <t>F-247</t>
  </si>
  <si>
    <t>Maas Group's JLE has received work orders from Firmus totalling about A$1.1 billion during FY26 and FY27 for modular Power Cubes and associated electrical scope, and expects to complete them by the end of 2027.</t>
  </si>
  <si>
    <t>work orders received from Firmus. Approximate.</t>
  </si>
  <si>
    <t>quarter_annualisation</t>
  </si>
  <si>
    <t>Quarters per annualised quarter revenue</t>
  </si>
  <si>
    <t>cw_finance_leases</t>
  </si>
  <si>
    <t>CoreWeave finance lease liabilities</t>
  </si>
  <si>
    <t>C-009</t>
  </si>
  <si>
    <t>Balance-sheet finance leases excluded from C-009 borrowing sum. included in EV.</t>
  </si>
  <si>
    <t>iren_finance_leases</t>
  </si>
  <si>
    <t>IREN finance lease liabilities</t>
  </si>
  <si>
    <t>C-043</t>
  </si>
  <si>
    <t>Balance-sheet finance leases excluded from C-043 borrowing sum. included in EV.</t>
  </si>
  <si>
    <t>C-010</t>
  </si>
  <si>
    <t>CoreWeave had 551,536,602 shares outstanding at 31 July 2026: 458,871,690 Class A and 92,664,912 Class B, with no Class C.</t>
  </si>
  <si>
    <t>shares</t>
  </si>
  <si>
    <t>shares outstanding (10-Q cover).</t>
  </si>
  <si>
    <t>C-011</t>
  </si>
  <si>
    <t>CoreWeave shares closed at US$82.08 on 9 October 2026.</t>
  </si>
  <si>
    <t>US$ per share</t>
  </si>
  <si>
    <t>closing price.</t>
  </si>
  <si>
    <t>CoreWeave's debt at 30 June 2026 was US$35,068 million: recourse US$6,235 million current and US$25,170 million non-current; non-recourse US$1,278 million current and US$2,385 million non-current.</t>
  </si>
  <si>
    <t>derived: sum of four balance-sheet debt lines.</t>
  </si>
  <si>
    <t>C-008</t>
  </si>
  <si>
    <t>CoreWeave held cash and cash equivalents of US$5,524 million at 30 June 2026, plus restricted cash of US$873 million (current) and US$507 million (non-current) and marketable securities of US$15 million.</t>
  </si>
  <si>
    <t>cash and cash equivalents.</t>
  </si>
  <si>
    <t>C-001</t>
  </si>
  <si>
    <t>CoreWeave reported revenue of US$2,575 million for the quarter ended 30 June 2026, against US$1,212 million a year earlier.</t>
  </si>
  <si>
    <t>revenue, three months to 30 June 2026.</t>
  </si>
  <si>
    <t>C-006</t>
  </si>
  <si>
    <t>CoreWeave's active power reached 1.5 GW at the end of June 2026, after adding nearly 500 MW in the quarter.</t>
  </si>
  <si>
    <t>active power. Approximate.</t>
  </si>
  <si>
    <t>C-007</t>
  </si>
  <si>
    <t>CoreWeave's total contracted power was about 3.7 GW at the end of June 2026.</t>
  </si>
  <si>
    <t>contracted power. Approximate.</t>
  </si>
  <si>
    <t>C-004</t>
  </si>
  <si>
    <t>CoreWeave's revenue backlog was about US$104 billion at 30 June 2026, excluding more than US$25 billion of net new customer commitments added in early Q3.</t>
  </si>
  <si>
    <t>revenue backlog (RPO plus other committed amounts). Approximate.</t>
  </si>
  <si>
    <t>C-005</t>
  </si>
  <si>
    <t>CoreWeave had US$103.7 billion of unsatisfied remaining performance obligations at 30 June 2026: 41% to be recognised in the 24 months to 30 June 2028, 39% in months 25 to 48, and the rest in months 49 to 78.</t>
  </si>
  <si>
    <t>remaining performance obligations.</t>
  </si>
  <si>
    <t>C-003</t>
  </si>
  <si>
    <t>CoreWeave's adjusted EBITDA was US$1,510 million in the June 2026 quarter, a 59% margin; the net loss was US$626 million after net interest expense of US$640 million.</t>
  </si>
  <si>
    <t>adjusted EBITDA (non-GAAP), three months to 30 June 2026.</t>
  </si>
  <si>
    <t>C-025</t>
  </si>
  <si>
    <t>Nebius had 271,855,218 shares issued and outstanding at 30 June 2026 (238,400,165 Class A and 33,455,053 Class B), excluding 50,185,726 Class A shares held in treasury.</t>
  </si>
  <si>
    <t>shares outstanding.</t>
  </si>
  <si>
    <t>C-026</t>
  </si>
  <si>
    <t>Nebius shares closed at US$221.07 on 9 October 2026.</t>
  </si>
  <si>
    <t>C-024</t>
  </si>
  <si>
    <t>Nebius's debt at 30 June 2026 was US$8,545.7 million: US$46.7 million current and US$8,499.0 million non-current.</t>
  </si>
  <si>
    <t>derived: debt current plus non-current.</t>
  </si>
  <si>
    <t>C-023</t>
  </si>
  <si>
    <t>Nebius held cash and cash equivalents of US$8,042.1 million at 30 June 2026.</t>
  </si>
  <si>
    <t>C-014</t>
  </si>
  <si>
    <t>Nebius group revenue was US$582.3 million in the June 2026 quarter, up 454%; Nebius AI cloud revenue was US$574.9 million.</t>
  </si>
  <si>
    <t>C-019</t>
  </si>
  <si>
    <t>Nebius ended 2025 with about 170 MW of active power, against a 100 MW target; active power is power being consumed by IT equipment.</t>
  </si>
  <si>
    <t>C-017</t>
  </si>
  <si>
    <t>Nebius states it has more than US$40 billion of customer commitments.</t>
  </si>
  <si>
    <t>customer commitments, company statement (backlog proxy). Reported minimum.</t>
  </si>
  <si>
    <t>C-015</t>
  </si>
  <si>
    <t>Nebius's annualised run-rate revenue reached US$3.0 billion at the end of June 2026.</t>
  </si>
  <si>
    <t>ARR: AI cloud revenue for the last month of the quarter x 12. Approximate.</t>
  </si>
  <si>
    <t>C-018</t>
  </si>
  <si>
    <t>Nebius expects to end 2026 with 5 GW of contracted power, up from the more than 4 GW it indicated in May 2026; contracted power means power secured by contracted land and power commitments.</t>
  </si>
  <si>
    <t>contracted power (target for end 2026). Reported target.</t>
  </si>
  <si>
    <t>C-020</t>
  </si>
  <si>
    <t>Nebius targets 800 MW to 1 GW of connected power by the end of 2026; connected power is power connected into data centres.</t>
  </si>
  <si>
    <t>connected power (target for end 2026). range:1000.</t>
  </si>
  <si>
    <t>C-044</t>
  </si>
  <si>
    <t>IREN had 394,058,648 ordinary shares outstanding at 14 August 2026.</t>
  </si>
  <si>
    <t>ordinary shares outstanding (10-K cover).</t>
  </si>
  <si>
    <t>C-045</t>
  </si>
  <si>
    <t>IREN shares closed at US$35.19 on 9 October 2026.</t>
  </si>
  <si>
    <t>IREN's debt at 30 June 2026 was US$7,593.0 million: US$169.4 million current and US$7,423.6 million non-current.</t>
  </si>
  <si>
    <t>C-042</t>
  </si>
  <si>
    <t>IREN held cash and cash equivalents of US$5,895.6 million at 30 June 2026, plus restricted cash of US$1,670.3 million (current) and US$53.7 million (non-current).</t>
  </si>
  <si>
    <t>C-029</t>
  </si>
  <si>
    <t>IREN's revenue for the year to 30 June 2026 was US$707.0 million (US$501.0 million in FY25).</t>
  </si>
  <si>
    <t>revenue, FY26.</t>
  </si>
  <si>
    <t>C-037</t>
  </si>
  <si>
    <t>IREN's operating AI cloud capacity was about 40 MW at 30 June 2026.</t>
  </si>
  <si>
    <t>operating AI cloud capacity (basis not stated). Approximate.</t>
  </si>
  <si>
    <t>C-038</t>
  </si>
  <si>
    <t>IREN's installed Bitcoin mining capacity was about 23.2 EH/s at 30 June 2026, about 380 MW of data centre capacity.</t>
  </si>
  <si>
    <t>data centre capacity used for Bitcoin mining. Approximate.</t>
  </si>
  <si>
    <t>C-030</t>
  </si>
  <si>
    <t>IREN's AI cloud services revenue was US$128.8 million in FY26, and US$70.5 million in the June 2026 quarter.</t>
  </si>
  <si>
    <t>AI cloud revenue, FY26.</t>
  </si>
  <si>
    <t>C-031</t>
  </si>
  <si>
    <t>IREN reports US$4 billion of contracted ARR for its 2026 capacity, targeted to be operational by 31 December 2026.</t>
  </si>
  <si>
    <t>contracted annualised run-rate revenue (target capacity). Reported target.</t>
  </si>
  <si>
    <t>C-032</t>
  </si>
  <si>
    <t>IREN reports US$1 billion of ARR operating at 26 August 2026.</t>
  </si>
  <si>
    <t>operating annualised run-rate revenue. Approximate.</t>
  </si>
  <si>
    <t>C-059</t>
  </si>
  <si>
    <t>NEXTDC had 760,488,511 shares on issue on 12 October 2026.</t>
  </si>
  <si>
    <t>shares on issue.</t>
  </si>
  <si>
    <t>C-060</t>
  </si>
  <si>
    <t>NEXTDC shares closed at A$10.37 on 9 October 2026.</t>
  </si>
  <si>
    <t>C-048</t>
  </si>
  <si>
    <t>NEXTDC's contracted utilisation was 740.1 MW at 30 June 2026.</t>
  </si>
  <si>
    <t>contracted utilisation, pro forma, excluding expansion options and reservations.</t>
  </si>
  <si>
    <t>C-049</t>
  </si>
  <si>
    <t>NEXTDC's billing utilisation was 175 MW at 30 June 2026.</t>
  </si>
  <si>
    <t>billing utilisation.</t>
  </si>
  <si>
    <t>C-050</t>
  </si>
  <si>
    <t>NEXTDC's built capacity grew 38% to 287.9 MW in FY26.</t>
  </si>
  <si>
    <t>built capacity.</t>
  </si>
  <si>
    <t>C-052</t>
  </si>
  <si>
    <t>NEXTDC's net revenue was A$405.0 million in FY26.</t>
  </si>
  <si>
    <t>net revenue, FY26.</t>
  </si>
  <si>
    <t>C-062</t>
  </si>
  <si>
    <t>Blackstone funds and CPP Investments agreed to acquire AirTrunk from Macquarie Asset Management and PSP Investments at an implied enterprise value of over A$24 billion, including capital expenditure for committed projects.</t>
  </si>
  <si>
    <t>implied enterprise value, including capex for committed projects. Reported minimum.</t>
  </si>
  <si>
    <t>C-063</t>
  </si>
  <si>
    <t>AirTrunk had more than 800 MW of capacity committed to customers and land to support over 1 GW of future growth.</t>
  </si>
  <si>
    <t>capacity committed to customers (basis not stated). Reported minimum.</t>
  </si>
  <si>
    <t>C-065</t>
  </si>
  <si>
    <t>CDC's valuation at 30 September 2026 was A$18.45 billion, the mid-point of an assessed range of A$17.4 billion to A$19.6 billion, down A$78 million from 30 June.</t>
  </si>
  <si>
    <t>external valuation of 100% of CDC, mid-point (equity).</t>
  </si>
  <si>
    <t>C-069</t>
  </si>
  <si>
    <t>CDC has 350 MW of deployed capacity.</t>
  </si>
  <si>
    <t>deployed capacity.</t>
  </si>
  <si>
    <t>C-070</t>
  </si>
  <si>
    <t>CDC has 1.1 GW of contracted capacity, expected to deliver A$2.2 billion of EBITDAF when fully deployed, after signing a further 70 MW for delivery in late FY27 and early FY28.</t>
  </si>
  <si>
    <t>contracted capacity.</t>
  </si>
  <si>
    <t>C-021</t>
  </si>
  <si>
    <t>Nebius puts annual contract value per MW at about US$12 million for its 2026 capacity base.</t>
  </si>
  <si>
    <t>US$m per MW per year</t>
  </si>
  <si>
    <t>annual contract value per MW. Approximate.</t>
  </si>
  <si>
    <t>C-022</t>
  </si>
  <si>
    <t>Nebius's four large AI cloud deals in the June 2026 quarter averaged more than US$1 billion of total contract value each, at an annual contract value of US$20 million to US$25 million per MW; early Q3 short-term deals were above US$40 million per MW.</t>
  </si>
  <si>
    <t>annual contract value per MW, Q2 2026 deals. range:25000000.</t>
  </si>
  <si>
    <t>C-041</t>
  </si>
  <si>
    <t>IREN reports recent three-year contracts at more than US$20 million of revenue per MW (IT), with active discussions at about US$25 million per MW (IT).</t>
  </si>
  <si>
    <t>US$m per MW (IT) per year</t>
  </si>
  <si>
    <t>contract revenue per MW of IT. Reported minimum.</t>
  </si>
  <si>
    <t>C-075</t>
  </si>
  <si>
    <t>Ornn's OCPI-H100 settled at US$2.65 per GPU-hour on 11 October 2026, up 2.3% over seven days and down 7.7% over 30 days.</t>
  </si>
  <si>
    <t>H100 SXM, transaction-based settled index.</t>
  </si>
  <si>
    <t>C-076</t>
  </si>
  <si>
    <t>Ornn's OCPI-B200 settled at US$7.45 per GPU-hour on 11 October 2026, down 3.4% over seven days and up 8.9% over 30 days.</t>
  </si>
  <si>
    <t>B200, transaction-based settled index.</t>
  </si>
  <si>
    <t>C-077</t>
  </si>
  <si>
    <t>Silicon Data's H100 rental price index (SDH100RT, neocloud segment) read US$2.83 per GPU-hour on 11 October 2026, up 0.7% over seven days.</t>
  </si>
  <si>
    <t>H100, standardised rental index (neocloud).</t>
  </si>
  <si>
    <t>C-078</t>
  </si>
  <si>
    <t>Silicon Data's B200 rental price index (SDB200RT) read US$5.93 per GPU-hour on 11 October 2026, up 1.0% over seven days.</t>
  </si>
  <si>
    <t>B200, standardised rental index.</t>
  </si>
  <si>
    <t>C-079</t>
  </si>
  <si>
    <t>GetDeploying's median listed on-demand H100 price was US$3.49 per GPU-hour on 12 October 2026, across 57 providers (472 price points), flat over 90 days.</t>
  </si>
  <si>
    <t>C-080</t>
  </si>
  <si>
    <t>GetDeploying's median listed on-demand B200 price was US$7.07 per GPU-hour on 12 October 2026, across 38 providers, up 3% over 90 days.</t>
  </si>
  <si>
    <t>C-081</t>
  </si>
  <si>
    <t>GetDeploying's median listed on-demand B300 price was US$8.99 per GPU-hour on 12 October 2026, across 34 providers, flat over 90 days.</t>
  </si>
  <si>
    <t>C-082</t>
  </si>
  <si>
    <t>GetDeploying's median listed on-demand GB200 price was US$16.00 per GPU-hour on 12 October 2026, from 13 price points across 10 providers; the cheapest listing was US$10.50.</t>
  </si>
  <si>
    <t>median listed on-demand price (thin sample).</t>
  </si>
  <si>
    <t>C-083</t>
  </si>
  <si>
    <t>GetDeploying lists GB300 at seven providers but shows no median; the cheapest listed on-demand price on 12 October 2026 was US$18.00 per GPU-hour (Oracle Cloud, GB300 NVL72 bare metal).</t>
  </si>
  <si>
    <t>lowest listed on-demand price.</t>
  </si>
  <si>
    <t>C-084</t>
  </si>
  <si>
    <t>GetDeploying finds one-year GPU reservations about 28% below on-demand prices and three-year reservations about 49% below.</t>
  </si>
  <si>
    <t>% discount to on-demand</t>
  </si>
  <si>
    <t>median reserved discount, one year (three years: 49%). Approximate.</t>
  </si>
  <si>
    <t>C-085</t>
  </si>
  <si>
    <t>IREN estimated all-in capex of US$14 million to US$16 million per MW of IT load for its 200 MW liquid-cooled Childress build: US$9-11m for data centre infrastructure (Tier III equivalent concurrent maintainability), US$3m for a 100 MW supercluster architecture with 130-200 kW racks, and US$2m of acceleration costs.</t>
  </si>
  <si>
    <t>US$m per MW (IT)</t>
  </si>
  <si>
    <t>building and fit-out capex per MW of IT load, company estimate. range:16000000.</t>
  </si>
  <si>
    <t>C-086</t>
  </si>
  <si>
    <t>IREN estimated GPU capex of US$5.8 billion, including ancillaries, for the NVIDIA GB300 systems serving the Microsoft contract across 200 MW of IT load.</t>
  </si>
  <si>
    <t>GPU systems capex including deployment services, servers, InfiniBand, cabling, software and licences. Approximate.</t>
  </si>
  <si>
    <t>iren_ms_it</t>
  </si>
  <si>
    <t>IREN Microsoft critical IT contract capacity</t>
  </si>
  <si>
    <t>critical IT MW</t>
  </si>
  <si>
    <t>C-035</t>
  </si>
  <si>
    <t>Explicit critical IT load in the five-year Microsoft contract.</t>
  </si>
  <si>
    <t>C-036</t>
  </si>
  <si>
    <t>IREN shows average annual revenue of US$1.94 billion under the Microsoft contract.</t>
  </si>
  <si>
    <t>ARR, average annual revenue under the contract.</t>
  </si>
  <si>
    <t>Firmus: prices</t>
  </si>
  <si>
    <t>Perimeter</t>
  </si>
  <si>
    <t>Basis</t>
  </si>
  <si>
    <t>Shares (million)</t>
  </si>
  <si>
    <t>Debt (A$m)</t>
  </si>
  <si>
    <t>Cash (A$m)</t>
  </si>
  <si>
    <t>Facility debt (A$m)</t>
  </si>
  <si>
    <t>Net debt status</t>
  </si>
  <si>
    <t>Current group scope; conditional net debt</t>
  </si>
  <si>
    <t>Reported offer</t>
  </si>
  <si>
    <t>Conditional: current net debt undisclosed</t>
  </si>
  <si>
    <t>Fixed A$ per US$; RBA 9 October</t>
  </si>
  <si>
    <t>Reported alternative offer</t>
  </si>
  <si>
    <t>2025-09-16 private valuation</t>
  </si>
  <si>
    <t>Private reference</t>
  </si>
  <si>
    <t>2025-11-14 private valuation</t>
  </si>
  <si>
    <t>2026-04-07 private valuation</t>
  </si>
  <si>
    <t>2026-08-07 private valuation floor</t>
  </si>
  <si>
    <t>Current group scope; test at reported valuation floor</t>
  </si>
  <si>
    <t>Actual equity above floor; net debt conditional</t>
  </si>
  <si>
    <t>2026-08 private valuation</t>
  </si>
  <si>
    <t>Conflicting USD offer valuation F-047</t>
  </si>
  <si>
    <t>Conflicting currency report</t>
  </si>
  <si>
    <t>Conflicting USD offer valuation F-181</t>
  </si>
  <si>
    <t>Conflicting US$30.4bn offer report</t>
  </si>
  <si>
    <t>Conflicting A$43.1bn offer report</t>
  </si>
  <si>
    <t>Other considered equity valuation F-178</t>
  </si>
  <si>
    <t>Considered valuation endpoint</t>
  </si>
  <si>
    <t>Other considered equity valuation F-179</t>
  </si>
  <si>
    <t>Upper considered equity valuation endpoint</t>
  </si>
  <si>
    <t>August private quote</t>
  </si>
  <si>
    <t>Normalised to proposed split; security rights unconfirmed</t>
  </si>
  <si>
    <t>April secondary quote</t>
  </si>
  <si>
    <t>Firmus: capital</t>
  </si>
  <si>
    <t>Scope</t>
  </si>
  <si>
    <t>Calculation and qualification</t>
  </si>
  <si>
    <t>Five development sites</t>
  </si>
  <si>
    <t>Bottom-up disclosed site budgets; full cost, not remaining spend</t>
  </si>
  <si>
    <t>Disclosed sites</t>
  </si>
  <si>
    <t>Reported server budgets, including Melbourne</t>
  </si>
  <si>
    <t>Melbourne</t>
  </si>
  <si>
    <t>Operating-site server budget</t>
  </si>
  <si>
    <t>Server budgets less Melbourne; Singapore scope not disclosed</t>
  </si>
  <si>
    <t>Residual non-server budget; cost categories unconfirmed</t>
  </si>
  <si>
    <t>Reported development MW; IT-equivalent conversion is assumed</t>
  </si>
  <si>
    <t>reported MW</t>
  </si>
  <si>
    <t>Operating portfolio</t>
  </si>
  <si>
    <t>Reported operating MW; physical basis unstated</t>
  </si>
  <si>
    <t>Server capital cost per equivalent IT MW</t>
  </si>
  <si>
    <t>A$m/MW</t>
  </si>
  <si>
    <t>Non-server capital cost per equivalent IT MW</t>
  </si>
  <si>
    <t>Disclosed projects</t>
  </si>
  <si>
    <t>Reported operating plus development MW; basis not reconciled</t>
  </si>
  <si>
    <t>Headline budget report</t>
  </si>
  <si>
    <t>Five-site total attributed to the pathfinder; second-hand</t>
  </si>
  <si>
    <t>Tasmanian projects</t>
  </si>
  <si>
    <t>Launceston and Wesley Vale server budgets</t>
  </si>
  <si>
    <t>Critical IT load; initial Wesley Vale stage</t>
  </si>
  <si>
    <t>Server budget per critical IT MW</t>
  </si>
  <si>
    <t>US$m/MW</t>
  </si>
  <si>
    <t>Construction budget</t>
  </si>
  <si>
    <t>Construction budget per critical IT MW</t>
  </si>
  <si>
    <t>Batam</t>
  </si>
  <si>
    <t>Server budget</t>
  </si>
  <si>
    <t>Reported campus MW; physical basis unstated</t>
  </si>
  <si>
    <t>Server budget per reported campus MW</t>
  </si>
  <si>
    <t>Malaysia</t>
  </si>
  <si>
    <t>Residual server budget allocated to Malaysian sites</t>
  </si>
  <si>
    <t>KVTP plus SVTP MW; physical basis unstated</t>
  </si>
  <si>
    <t>Residual server budget per reported MW</t>
  </si>
  <si>
    <t>Server budget per reported operating-site MW</t>
  </si>
  <si>
    <t>Derived FY28 earnings reference: reported base plus unconfirmed uplift</t>
  </si>
  <si>
    <t>US$</t>
  </si>
  <si>
    <t>Firmus: dcf</t>
  </si>
  <si>
    <t>Combination</t>
  </si>
  <si>
    <t>Calculation</t>
  </si>
  <si>
    <t>FY2027</t>
  </si>
  <si>
    <t>FY2028</t>
  </si>
  <si>
    <t>FY2029</t>
  </si>
  <si>
    <t>FY2030</t>
  </si>
  <si>
    <t>FY2031</t>
  </si>
  <si>
    <t>FY2032</t>
  </si>
  <si>
    <t>FY2033</t>
  </si>
  <si>
    <t>FY2034</t>
  </si>
  <si>
    <t>FY2035</t>
  </si>
  <si>
    <t>FY2036</t>
  </si>
  <si>
    <t>Offer price; debt neutral; fast commissioning</t>
  </si>
  <si>
    <t>Period index</t>
  </si>
  <si>
    <t>Year end</t>
  </si>
  <si>
    <t>Discount years from cutoff</t>
  </si>
  <si>
    <t>Period duration</t>
  </si>
  <si>
    <t>End-period equivalent operating IT MW</t>
  </si>
  <si>
    <t>Opening equivalent IT MW</t>
  </si>
  <si>
    <t>Average equivalent operating IT MW</t>
  </si>
  <si>
    <t>Commissioned growth MW</t>
  </si>
  <si>
    <t>Server cohort replacement MW</t>
  </si>
  <si>
    <t>Revenue per A$m/MW of pricing</t>
  </si>
  <si>
    <t>MW-years</t>
  </si>
  <si>
    <t>Normalised D&amp;A</t>
  </si>
  <si>
    <t>Growth capex</t>
  </si>
  <si>
    <t>Server replacement capex</t>
  </si>
  <si>
    <t>Working-capital coefficient</t>
  </si>
  <si>
    <t>PV of revenue coefficient after tax and WC</t>
  </si>
  <si>
    <t>PV of tax shield less capex</t>
  </si>
  <si>
    <t>Revenue</t>
  </si>
  <si>
    <t>EBITDA</t>
  </si>
  <si>
    <t>EBIT</t>
  </si>
  <si>
    <t>Cash tax on positive EBIT</t>
  </si>
  <si>
    <t>Change in working capital</t>
  </si>
  <si>
    <t>Free cash flow to firm</t>
  </si>
  <si>
    <t>Present value of FCFF</t>
  </si>
  <si>
    <t>PV revenue coefficient without cash tax</t>
  </si>
  <si>
    <t>PV capital cost without cash tax</t>
  </si>
  <si>
    <t>Enterprise value to reconcile</t>
  </si>
  <si>
    <t>Solved annual revenue per equivalent IT MW</t>
  </si>
  <si>
    <t>A$m/MW/year</t>
  </si>
  <si>
    <t>Required annual revenue</t>
  </si>
  <si>
    <t>US$m/IT MW/year</t>
  </si>
  <si>
    <t>EBITDA margin</t>
  </si>
  <si>
    <t>EV-zero revenue threshold</t>
  </si>
  <si>
    <t>A$m/IT MW/year</t>
  </si>
  <si>
    <t>Unlevered discount rate</t>
  </si>
  <si>
    <t>Server capital cost per allocated MW</t>
  </si>
  <si>
    <t>Nonnegative-EBIT price boundary</t>
  </si>
  <si>
    <t>Construction capital cost per allocated MW</t>
  </si>
  <si>
    <t>PV terminal revenue coefficient</t>
  </si>
  <si>
    <t>PV terminal capital cost</t>
  </si>
  <si>
    <t>PV capital constant without cash tax</t>
  </si>
  <si>
    <t>Normalised next-year terminal FCFF</t>
  </si>
  <si>
    <t>A$m/year</t>
  </si>
  <si>
    <t>Positive-tax candidate revenue</t>
  </si>
  <si>
    <t>Terminal value before discounting</t>
  </si>
  <si>
    <t>Minimum annual or terminal EBIT</t>
  </si>
  <si>
    <t>Terminal annual capital refresh</t>
  </si>
  <si>
    <t>Nonnegative-EBIT condition</t>
  </si>
  <si>
    <t>status</t>
  </si>
  <si>
    <t>Terminal annual growth capex</t>
  </si>
  <si>
    <t>Total PV revenue coefficient</t>
  </si>
  <si>
    <t>Absolute EV repricing error</t>
  </si>
  <si>
    <t>Total PV tax shield less capex</t>
  </si>
  <si>
    <t>Repriced enterprise value</t>
  </si>
  <si>
    <t>Repricing difference / target</t>
  </si>
  <si>
    <t>PV terminal value / repriced EV</t>
  </si>
  <si>
    <t>Effective realised GPU rental price</t>
  </si>
  <si>
    <t>US$/GPU-hour</t>
  </si>
  <si>
    <t>Offer price; debt neutral; phased bundle</t>
  </si>
  <si>
    <t>Offer price; debt neutral; slower bundle</t>
  </si>
  <si>
    <t>Offer price; assumed full facility; fast commissioning</t>
  </si>
  <si>
    <t>Offer price; assumed full facility; phased bundle</t>
  </si>
  <si>
    <t>Offer price; assumed full facility; slower bundle</t>
  </si>
  <si>
    <t>Reported alternative A$9.00; debt neutral; fast commissioning</t>
  </si>
  <si>
    <t>Reported alternative A$9.00; debt neutral; phased bundle</t>
  </si>
  <si>
    <t>Reported alternative A$9.00; debt neutral; slower bundle</t>
  </si>
  <si>
    <t>Reported alternative A$9.00; assumed full facility; fast commissioning</t>
  </si>
  <si>
    <t>Reported alternative A$9.00; assumed full facility; phased bundle</t>
  </si>
  <si>
    <t>Reported alternative A$9.00; assumed full facility; slower bundle</t>
  </si>
  <si>
    <t>Reported alternative A$8.25; debt neutral; fast commissioning</t>
  </si>
  <si>
    <t>Reported alternative A$8.25; debt neutral; phased bundle</t>
  </si>
  <si>
    <t>Reported alternative A$8.25; debt neutral; slower bundle</t>
  </si>
  <si>
    <t>Reported alternative A$8.25; assumed full facility; fast commissioning</t>
  </si>
  <si>
    <t>Reported alternative A$8.25; assumed full facility; phased bundle</t>
  </si>
  <si>
    <t>Reported alternative A$8.25; assumed full facility; slower bundle</t>
  </si>
  <si>
    <t>Reported alternative A$5.50; debt neutral; fast commissioning</t>
  </si>
  <si>
    <t>Reported alternative A$5.50; debt neutral; phased bundle</t>
  </si>
  <si>
    <t>Reported alternative A$5.50; debt neutral; slower bundle</t>
  </si>
  <si>
    <t>Reported alternative A$5.50; assumed full facility; fast commissioning</t>
  </si>
  <si>
    <t>Reported alternative A$5.50; assumed full facility; phased bundle</t>
  </si>
  <si>
    <t>Reported alternative A$5.50; assumed full facility; slower bundle</t>
  </si>
  <si>
    <t>2025-09-16 private valuation; debt neutral; fast commissioning</t>
  </si>
  <si>
    <t>2025-09-16 private valuation; debt neutral; phased bundle</t>
  </si>
  <si>
    <t>2025-09-16 private valuation; debt neutral; slower bundle</t>
  </si>
  <si>
    <t>2025-09-16 private valuation; assumed full facility; fast commissioning</t>
  </si>
  <si>
    <t>2025-09-16 private valuation; assumed full facility; phased bundle</t>
  </si>
  <si>
    <t>2025-09-16 private valuation; assumed full facility; slower bundle</t>
  </si>
  <si>
    <t>2025-11-14 private valuation; debt neutral; fast commissioning</t>
  </si>
  <si>
    <t>2025-11-14 private valuation; debt neutral; phased bundle</t>
  </si>
  <si>
    <t>2025-11-14 private valuation; debt neutral; slower bundle</t>
  </si>
  <si>
    <t>2025-11-14 private valuation; assumed full facility; fast commissioning</t>
  </si>
  <si>
    <t>2025-11-14 private valuation; assumed full facility; phased bundle</t>
  </si>
  <si>
    <t>2025-11-14 private valuation; assumed full facility; slower bundle</t>
  </si>
  <si>
    <t>2026-04-07 private valuation; debt neutral; fast commissioning</t>
  </si>
  <si>
    <t>2026-04-07 private valuation; debt neutral; phased bundle</t>
  </si>
  <si>
    <t>2026-04-07 private valuation; debt neutral; slower bundle</t>
  </si>
  <si>
    <t>2026-04-07 private valuation; assumed full facility; fast commissioning</t>
  </si>
  <si>
    <t>2026-04-07 private valuation; assumed full facility; phased bundle</t>
  </si>
  <si>
    <t>2026-04-07 private valuation; assumed full facility; slower bundle</t>
  </si>
  <si>
    <t>2026-08-07 private valuation floor; debt neutral; fast commissioning</t>
  </si>
  <si>
    <t>2026-08-07 private valuation floor; debt neutral; phased bundle</t>
  </si>
  <si>
    <t>2026-08-07 private valuation floor; debt neutral; slower bundle</t>
  </si>
  <si>
    <t>2026-08-07 private valuation floor; assumed full facility; fast commissioning</t>
  </si>
  <si>
    <t>2026-08-07 private valuation floor; assumed full facility; phased bundle</t>
  </si>
  <si>
    <t>2026-08-07 private valuation floor; assumed full facility; slower bundle</t>
  </si>
  <si>
    <t>2026-08 private valuation; debt neutral; fast commissioning</t>
  </si>
  <si>
    <t>2026-08 private valuation; debt neutral; phased bundle</t>
  </si>
  <si>
    <t>2026-08 private valuation; debt neutral; slower bundle</t>
  </si>
  <si>
    <t>2026-08 private valuation; assumed full facility; fast commissioning</t>
  </si>
  <si>
    <t>2026-08 private valuation; assumed full facility; phased bundle</t>
  </si>
  <si>
    <t>2026-08 private valuation; assumed full facility; slower bundle</t>
  </si>
  <si>
    <t>Conflicting USD offer valuation F-047; debt neutral; fast commissioning</t>
  </si>
  <si>
    <t>Conflicting USD offer valuation F-047; debt neutral; phased bundle</t>
  </si>
  <si>
    <t>Conflicting USD offer valuation F-047; debt neutral; slower bundle</t>
  </si>
  <si>
    <t>Conflicting USD offer valuation F-047; assumed full facility; fast commissioning</t>
  </si>
  <si>
    <t>Conflicting USD offer valuation F-047; assumed full facility; phased bundle</t>
  </si>
  <si>
    <t>Conflicting USD offer valuation F-047; assumed full facility; slower bundle</t>
  </si>
  <si>
    <t>Conflicting USD offer valuation F-181; debt neutral; fast commissioning</t>
  </si>
  <si>
    <t>Conflicting USD offer valuation F-181; debt neutral; phased bundle</t>
  </si>
  <si>
    <t>Conflicting USD offer valuation F-181; debt neutral; slower bundle</t>
  </si>
  <si>
    <t>Conflicting USD offer valuation F-181; assumed full facility; fast commissioning</t>
  </si>
  <si>
    <t>Conflicting USD offer valuation F-181; assumed full facility; phased bundle</t>
  </si>
  <si>
    <t>Conflicting USD offer valuation F-181; assumed full facility; slower bundle</t>
  </si>
  <si>
    <t>Conflicting US$30.4bn offer report; debt neutral; fast commissioning</t>
  </si>
  <si>
    <t>Conflicting US$30.4bn offer report; debt neutral; phased bundle</t>
  </si>
  <si>
    <t>Conflicting US$30.4bn offer report; debt neutral; slower bundle</t>
  </si>
  <si>
    <t>Conflicting US$30.4bn offer report; assumed full facility; fast commissioning</t>
  </si>
  <si>
    <t>Conflicting US$30.4bn offer report; assumed full facility; phased bundle</t>
  </si>
  <si>
    <t>Conflicting US$30.4bn offer report; assumed full facility; slower bundle</t>
  </si>
  <si>
    <t>Conflicting A$43.1bn offer report; debt neutral; fast commissioning</t>
  </si>
  <si>
    <t>Conflicting A$43.1bn offer report; debt neutral; phased bundle</t>
  </si>
  <si>
    <t>Conflicting A$43.1bn offer report; debt neutral; slower bundle</t>
  </si>
  <si>
    <t>Conflicting A$43.1bn offer report; assumed full facility; fast commissioning</t>
  </si>
  <si>
    <t>Conflicting A$43.1bn offer report; assumed full facility; phased bundle</t>
  </si>
  <si>
    <t>Conflicting A$43.1bn offer report; assumed full facility; slower bundle</t>
  </si>
  <si>
    <t>Other considered equity valuation F-178; debt neutral; fast commissioning</t>
  </si>
  <si>
    <t>Other considered equity valuation F-178; debt neutral; phased bundle</t>
  </si>
  <si>
    <t>Other considered equity valuation F-178; debt neutral; slower bundle</t>
  </si>
  <si>
    <t>Other considered equity valuation F-178; assumed full facility; fast commissioning</t>
  </si>
  <si>
    <t>Other considered equity valuation F-178; assumed full facility; phased bundle</t>
  </si>
  <si>
    <t>Other considered equity valuation F-178; assumed full facility; slower bundle</t>
  </si>
  <si>
    <t>Other considered equity valuation F-179; debt neutral; fast commissioning</t>
  </si>
  <si>
    <t>Other considered equity valuation F-179; debt neutral; phased bundle</t>
  </si>
  <si>
    <t>Other considered equity valuation F-179; debt neutral; slower bundle</t>
  </si>
  <si>
    <t>Other considered equity valuation F-179; assumed full facility; fast commissioning</t>
  </si>
  <si>
    <t>Other considered equity valuation F-179; assumed full facility; phased bundle</t>
  </si>
  <si>
    <t>Other considered equity valuation F-179; assumed full facility; slower bundle</t>
  </si>
  <si>
    <t>Upper considered equity valuation endpoint; debt neutral; fast commissioning</t>
  </si>
  <si>
    <t>Upper considered equity valuation endpoint; debt neutral; phased bundle</t>
  </si>
  <si>
    <t>Upper considered equity valuation endpoint; debt neutral; slower bundle</t>
  </si>
  <si>
    <t>Upper considered equity valuation endpoint; assumed full facility; fast commissioning</t>
  </si>
  <si>
    <t>Upper considered equity valuation endpoint; assumed full facility; phased bundle</t>
  </si>
  <si>
    <t>Upper considered equity valuation endpoint; assumed full facility; slower bundle</t>
  </si>
  <si>
    <t>Offer price; debt neutral; slower 911 MW</t>
  </si>
  <si>
    <t>Offer price; debt neutral; fast 1600 MW</t>
  </si>
  <si>
    <t>Offer price; assumed full facility; slower 911 MW</t>
  </si>
  <si>
    <t>Offer price; assumed full facility; fast 1600 MW</t>
  </si>
  <si>
    <t>Reported alternative A$9.00; debt neutral; slower 911 MW</t>
  </si>
  <si>
    <t>Reported alternative A$9.00; debt neutral; fast 1600 MW</t>
  </si>
  <si>
    <t>Reported alternative A$9.00; assumed full facility; slower 911 MW</t>
  </si>
  <si>
    <t>Reported alternative A$9.00; assumed full facility; fast 1600 MW</t>
  </si>
  <si>
    <t>Reported alternative A$8.25; debt neutral; slower 911 MW</t>
  </si>
  <si>
    <t>Reported alternative A$8.25; debt neutral; fast 1600 MW</t>
  </si>
  <si>
    <t>Reported alternative A$8.25; assumed full facility; slower 911 MW</t>
  </si>
  <si>
    <t>Reported alternative A$8.25; assumed full facility; fast 1600 MW</t>
  </si>
  <si>
    <t>Reported alternative A$5.50; debt neutral; slower 911 MW</t>
  </si>
  <si>
    <t>Reported alternative A$5.50; debt neutral; fast 1600 MW</t>
  </si>
  <si>
    <t>Reported alternative A$5.50; assumed full facility; slower 911 MW</t>
  </si>
  <si>
    <t>Reported alternative A$5.50; assumed full facility; fast 1600 MW</t>
  </si>
  <si>
    <t>Firmus: profitability</t>
  </si>
  <si>
    <t>Earlier FY2028 compatibility</t>
  </si>
  <si>
    <t>Earnings assumptions</t>
  </si>
  <si>
    <t>Planned GB300 GPUs per IT megawatt</t>
  </si>
  <si>
    <t>GPUs/MW</t>
  </si>
  <si>
    <t>Sum of project revenue as reported (periods differ)</t>
  </si>
  <si>
    <t>Sum of project EBITDA as reported (periods differ)</t>
  </si>
  <si>
    <t>FY2028 reference, derived (timing and uplift not confirmed)</t>
  </si>
  <si>
    <t>Reported pipeline converted to IT megawatts (assumed)</t>
  </si>
  <si>
    <t>Annual revenue per IT megawatt assumed</t>
  </si>
  <si>
    <t>GPU count at the density planned for Launceston</t>
  </si>
  <si>
    <t>GPU-hour rental price at the billing rate assumed</t>
  </si>
  <si>
    <t>US$/GB300-equivalent GPU-hour</t>
  </si>
  <si>
    <t>Server assets assumed to be in use, before depreciation</t>
  </si>
  <si>
    <t>Building assets assumed to be in use, before depreciation</t>
  </si>
  <si>
    <t>Building depreciation assumed</t>
  </si>
  <si>
    <t>US$m/year</t>
  </si>
  <si>
    <t>Depreciation and additional corporate costs if periods match</t>
  </si>
  <si>
    <t>Server life implied if periods match and corporate costs are as assumed</t>
  </si>
  <si>
    <t>Annual power cost assumed</t>
  </si>
  <si>
    <t>Other cash costs needed to produce the reported EBITDA</t>
  </si>
  <si>
    <t>Depreciation using the model's server life</t>
  </si>
  <si>
    <t>EBIT after additional corporate costs, using the model's server life</t>
  </si>
  <si>
    <t>EBITDA margin required before corporate costs, using the model's server life</t>
  </si>
  <si>
    <t>Lower cash margin assumed for the earnings comparison</t>
  </si>
  <si>
    <t>Revenue required for the FY2028 reference at that margin and server life</t>
  </si>
  <si>
    <t>GPU-hour rental price required for that revenue</t>
  </si>
  <si>
    <t>IT megawatts required for that EBIT at the stated revenue and margin</t>
  </si>
  <si>
    <t>Additional corporate costs between the reported business scopes</t>
  </si>
  <si>
    <t>Alternative operating IT megawatts assumed</t>
  </si>
  <si>
    <t>Revenue per megawatt at that alternative capacity</t>
  </si>
  <si>
    <t>US$m per equivalent critical IT MW per year</t>
  </si>
  <si>
    <t>GPU-hour rental price at that alternative capacity</t>
  </si>
  <si>
    <t>2029 context and reported comparisons</t>
  </si>
  <si>
    <t>Reported earnings</t>
  </si>
  <si>
    <t>FY2026 operating revenue</t>
  </si>
  <si>
    <t>FY2026 reported loss (accounting measure not stated)</t>
  </si>
  <si>
    <t>US$m, loss</t>
  </si>
  <si>
    <t>Sum of project EBIT as reported (periods differ)</t>
  </si>
  <si>
    <t>Project earnings test</t>
  </si>
  <si>
    <t>Operating plus development capacity converted to IT megawatts (assumed)</t>
  </si>
  <si>
    <t>Reported 2029 revenue per IT megawatt assumed</t>
  </si>
  <si>
    <t>US$m/MW/year</t>
  </si>
  <si>
    <t>GPU-hour rental price implied by reported 2029 revenue</t>
  </si>
  <si>
    <t>GPU-hour rental price implied by project revenue</t>
  </si>
  <si>
    <t>Reported server budget assumed to be assets in use</t>
  </si>
  <si>
    <t>Assets other than servers assumed to be in use</t>
  </si>
  <si>
    <t>Annual depreciation of assets other than servers, as assumed</t>
  </si>
  <si>
    <t>Project EBITDA less EBIT as reported (periods differ)</t>
  </si>
  <si>
    <t>Project EBIT using the model's server life</t>
  </si>
  <si>
    <t>EBITDA margin required for reported project EBIT at that server life</t>
  </si>
  <si>
    <t>Reported 2029 revenue divided by FY2026 operating revenue</t>
  </si>
  <si>
    <t>times</t>
  </si>
  <si>
    <t>FY2028 average operating IT megawatts in the central case</t>
  </si>
  <si>
    <t>GPU-hour price if later project revenue used that FY2028 capacity</t>
  </si>
  <si>
    <t>The pipeline and operating-plus-development totals come from different reports. The one-megawatt difference is not explained (F-266; F-213; F-214).</t>
  </si>
  <si>
    <t>2029 context: physical-use test</t>
  </si>
  <si>
    <t>Physical use</t>
  </si>
  <si>
    <t>Power cost (US$m/year)</t>
  </si>
  <si>
    <t>EBIT (US$m/year)</t>
  </si>
  <si>
    <t>Energy-use test</t>
  </si>
  <si>
    <t>Physical use; take-or-pay revenue fixed</t>
  </si>
  <si>
    <t>2029 context: project diagnostics</t>
  </si>
  <si>
    <t>Reported pipeline basis</t>
  </si>
  <si>
    <t>Project revenue per reported pipeline megawatt</t>
  </si>
  <si>
    <t>US$m/reported MW/year</t>
  </si>
  <si>
    <t>Fixed-life diagnostic</t>
  </si>
  <si>
    <t>Project EBIT with servers written off over four years</t>
  </si>
  <si>
    <t>Firmus: sensitivity</t>
  </si>
  <si>
    <t>Case</t>
  </si>
  <si>
    <t>Rental price (% of project price)</t>
  </si>
  <si>
    <t>Billable availability (%)</t>
  </si>
  <si>
    <t>Server life (years)</t>
  </si>
  <si>
    <t>GPU-hour price (US$)</t>
  </si>
  <si>
    <t>Revenue (US$m)</t>
  </si>
  <si>
    <t>Power cost (US$m)</t>
  </si>
  <si>
    <t>Other cost (US$m)</t>
  </si>
  <si>
    <t>EBITDA (US$m)</t>
  </si>
  <si>
    <t>Depreciation (US$m)</t>
  </si>
  <si>
    <t>EBIT (US$m)</t>
  </si>
  <si>
    <t>EBITDA margin (%)</t>
  </si>
  <si>
    <t>EBIT / reported project EBIT (%)</t>
  </si>
  <si>
    <t>Price and billing test</t>
  </si>
  <si>
    <t>Full billing, 4-year server life</t>
  </si>
  <si>
    <t>Full billing, 5-year server life</t>
  </si>
  <si>
    <t>Full billing, 6-year server life</t>
  </si>
  <si>
    <t>Firmus: funding</t>
  </si>
  <si>
    <t>Programme budget (A$m)</t>
  </si>
  <si>
    <t>Announced equity (A$m)</t>
  </si>
  <si>
    <t>Debt facility limit (A$m)</t>
  </si>
  <si>
    <t>IPO proceeds (A$m)</t>
  </si>
  <si>
    <t>Funding from other sources (A$m)</t>
  </si>
  <si>
    <t>Individual equity announcements, equity only</t>
  </si>
  <si>
    <t>Five-site budget from the site table (alternative report)</t>
  </si>
  <si>
    <t>Individual equity announcements, facility at its limit assumed</t>
  </si>
  <si>
    <t>Company's six-month total and August announcements, equity only</t>
  </si>
  <si>
    <t>Company's six-month total and August announcements, facility at its limit assumed</t>
  </si>
  <si>
    <t>Five-site budget attributed to the pathfinder</t>
  </si>
  <si>
    <t>Earlier Australian programme announcement (different scope)</t>
  </si>
  <si>
    <t>Firmus: record</t>
  </si>
  <si>
    <t>Site or portfolio</t>
  </si>
  <si>
    <t>Status</t>
  </si>
  <si>
    <t>What the figure means</t>
  </si>
  <si>
    <t>Portfolio</t>
  </si>
  <si>
    <t>Operating (reported)</t>
  </si>
  <si>
    <t>operational capacity as stated (basis not given)</t>
  </si>
  <si>
    <t>Second-hand issuer operating total; physical and billable IT basis unstated</t>
  </si>
  <si>
    <t>Five projects</t>
  </si>
  <si>
    <t>In development (reported)</t>
  </si>
  <si>
    <t>development capacity as stated (basis not given)</t>
  </si>
  <si>
    <t>Includes construction and a site with a development application pending</t>
  </si>
  <si>
    <t>Operating for customer use</t>
  </si>
  <si>
    <t>other: CDC data centre capacity (CDC MW, basis not stated)</t>
  </si>
  <si>
    <t>CDC campus capacity supporting the first contract; operating fraction not disclosed</t>
  </si>
  <si>
    <t>Handed to the customer</t>
  </si>
  <si>
    <t>unstated</t>
  </si>
  <si>
    <t>Executive statement on or before May 2026; physical basis unstated</t>
  </si>
  <si>
    <t>Singapore Media Hub</t>
  </si>
  <si>
    <t>Listed facility capacity</t>
  </si>
  <si>
    <t>Listed size; operating/billable fraction and Loyang MW not disclosed</t>
  </si>
  <si>
    <t>contracted</t>
  </si>
  <si>
    <t>other: contracted capacity (basis not stated); strictly more than the displayed reference</t>
  </si>
  <si>
    <t>Strictly more than this figure; capacity basis not stated</t>
  </si>
  <si>
    <t>Pipeline (reported second-hand)</t>
  </si>
  <si>
    <t>pipeline as reported (basis not stated)</t>
  </si>
  <si>
    <t>A pipeline, with physical basis unstated; not labelled contracted MW</t>
  </si>
  <si>
    <t>Launceston</t>
  </si>
  <si>
    <t>under construction</t>
  </si>
  <si>
    <t>critical_it</t>
  </si>
  <si>
    <t>Planned critical IT load; completed and energised IT MW not stated</t>
  </si>
  <si>
    <t>Retail electricity supply contracted</t>
  </si>
  <si>
    <t>other: retail supply contract</t>
  </si>
  <si>
    <t>Retail electricity agreement; not energised IT capacity</t>
  </si>
  <si>
    <t>Wesley Vale</t>
  </si>
  <si>
    <t>Development application pending</t>
  </si>
  <si>
    <t>critical IT, initial stage (matches F-078)</t>
  </si>
  <si>
    <t>Initial critical IT stage; planned operations, not operating capacity</t>
  </si>
  <si>
    <t>KVTP, Malaysia</t>
  </si>
  <si>
    <t>planned completion 2027</t>
  </si>
  <si>
    <t>as stated (basis not given)</t>
  </si>
  <si>
    <t>SVTP, Malaysia</t>
  </si>
  <si>
    <t>planned completion 2027 to 2028</t>
  </si>
  <si>
    <t>South Australia</t>
  </si>
  <si>
    <t>Wholesale power contracted</t>
  </si>
  <si>
    <t>other: firm electricity supply</t>
  </si>
  <si>
    <t>Power agreement; no evidence of equivalent operating data-centre MW</t>
  </si>
  <si>
    <t>Development announced</t>
  </si>
  <si>
    <t>Planned campus MW; physical basis unstated</t>
  </si>
  <si>
    <t>Project Southgate</t>
  </si>
  <si>
    <t>Earlier announced target</t>
  </si>
  <si>
    <t>other: operational AI Factories (basis not stated)</t>
  </si>
  <si>
    <t>Historical Australian target; current page states no national MW target and CDC's role changed</t>
  </si>
  <si>
    <t>Tasmanian portfolio</t>
  </si>
  <si>
    <t>Long-term power requested</t>
  </si>
  <si>
    <t>other: requested long-term contract</t>
  </si>
  <si>
    <t>Outstanding request; value is the requested quantity, not approved power</t>
  </si>
  <si>
    <t>Firmus: comps</t>
  </si>
  <si>
    <t>Company</t>
  </si>
  <si>
    <t>Basis and date limitations</t>
  </si>
  <si>
    <t>Currency</t>
  </si>
  <si>
    <t>Equity (m)</t>
  </si>
  <si>
    <t>Debt incl. finance leases (m)</t>
  </si>
  <si>
    <t>Cash (m)</t>
  </si>
  <si>
    <t>EV (m)</t>
  </si>
  <si>
    <t>EV/MW reference (m)</t>
  </si>
  <si>
    <t>Annual revenue (m)</t>
  </si>
  <si>
    <t>EV / revenue (times)</t>
  </si>
  <si>
    <t>Capacity date</t>
  </si>
  <si>
    <t>Value and revenue dates</t>
  </si>
  <si>
    <t>Net debt (m)</t>
  </si>
  <si>
    <t>Equity/MW (m)</t>
  </si>
  <si>
    <t>CoreWeave</t>
  </si>
  <si>
    <t>Group EV incl. finance leases; active power is not stated critical IT. July share count and June balance sheet at October close.</t>
  </si>
  <si>
    <t>2026-06-30</t>
  </si>
  <si>
    <t>Equity: 9 October 2026; debt/cash: 30 June 2026; revenue: Q2 annualised</t>
  </si>
  <si>
    <t>Nebius</t>
  </si>
  <si>
    <t>Group EV includes non-core holdings. Active IT power is a historical December snapshot; no current active-power ratio is established.</t>
  </si>
  <si>
    <t>2025-12-31</t>
  </si>
  <si>
    <t>IREN</t>
  </si>
  <si>
    <t>Mixed AI-cloud and Bitcoin business. Whole-company EV/AI-only MW is withheld. Revenue includes Bitcoin; later equity and financing not captured.</t>
  </si>
  <si>
    <t>No matched whole-group MW</t>
  </si>
  <si>
    <t>Equity: 9 October 2026; debt/cash and revenue: FY26</t>
  </si>
  <si>
    <t>Contracted power at June 2026; differs from active power</t>
  </si>
  <si>
    <t>Q2 adjusted EBITDA margin; distinct accounting basis</t>
  </si>
  <si>
    <t>NEXTDC</t>
  </si>
  <si>
    <t>Current EV unavailable: June net debt missing; December debt is stale</t>
  </si>
  <si>
    <t>AirTrunk</t>
  </si>
  <si>
    <t>Transaction reference quotient; numerator and denominator both exceed the stated references</t>
  </si>
  <si>
    <t>2024-09-04</t>
  </si>
  <si>
    <t>CDC</t>
  </si>
  <si>
    <t>Equity midpoint / deployed MW; this is not EV/MW</t>
  </si>
  <si>
    <t>2026-09-16</t>
  </si>
  <si>
    <t>2026-09-30</t>
  </si>
  <si>
    <t>Equity midpoint / contracted MW; this is not EV/MW</t>
  </si>
  <si>
    <t>Benchmark</t>
  </si>
  <si>
    <t>IREN benchmark</t>
  </si>
  <si>
    <t>IREN GB300 systems capex per critical IT MW; ancillaries included</t>
  </si>
  <si>
    <t>m/critical IT MW</t>
  </si>
  <si>
    <t>IREN Microsoft average annual revenue per critical IT MW</t>
  </si>
  <si>
    <t>m/critical IT MW/year</t>
  </si>
  <si>
    <t>Firmus reference</t>
  </si>
  <si>
    <t>Offer price; current-scope debt-neutral reference; pipeline basis unstated</t>
  </si>
  <si>
    <t>2026-10-08</t>
  </si>
  <si>
    <t>Current-scope reference; FY26 revenue</t>
  </si>
  <si>
    <t>Reported alternative A$9.00; current-scope debt-neutral reference; pipeline basis unstated</t>
  </si>
  <si>
    <t>Reported alternative A$8.25; current-scope debt-neutral reference; pipeline basis unstated</t>
  </si>
  <si>
    <t>Reported alternative A$5.50; current-scope debt-neutral reference; pipeline basis unstated</t>
  </si>
  <si>
    <t>2025-09-16 private valuation; current-scope debt-neutral reference; pipeline basis unstated</t>
  </si>
  <si>
    <t>2025-11-14 private valuation; current-scope debt-neutral reference; pipeline basis unstated</t>
  </si>
  <si>
    <t>2026-04-07 private valuation; current-scope debt-neutral reference; pipeline basis unstated</t>
  </si>
  <si>
    <t>2026-08-07 private valuation floor; current-scope debt-neutral reference; pipeline basis unstated</t>
  </si>
  <si>
    <t>2026-08 private valuation; current-scope debt-neutral reference; pipeline basis unstated</t>
  </si>
  <si>
    <t>Conflicting USD offer valuation F-047; current-scope debt-neutral reference; pipeline basis unstated</t>
  </si>
  <si>
    <t>Conflicting USD offer valuation F-181; current-scope debt-neutral reference; pipeline basis unstated</t>
  </si>
  <si>
    <t>Conflicting US$30.4bn offer report; current-scope debt-neutral reference; pipeline basis unstated</t>
  </si>
  <si>
    <t>Conflicting A$43.1bn offer report; current-scope debt-neutral reference; pipeline basis unstated</t>
  </si>
  <si>
    <t>Other considered equity valuation F-178; current-scope debt-neutral reference; pipeline basis unstated</t>
  </si>
  <si>
    <t>Other considered equity valuation F-179; current-scope debt-neutral reference; pipeline basis unstated</t>
  </si>
  <si>
    <t>Upper considered equity valuation endpoint; current-scope debt-neutral reference; pipeline basis unstated</t>
  </si>
  <si>
    <t>Firmus: provenance</t>
  </si>
  <si>
    <t>Input id</t>
  </si>
  <si>
    <t>Input cell</t>
  </si>
  <si>
    <t>Assumption id</t>
  </si>
  <si>
    <t>Rationale</t>
  </si>
  <si>
    <t>Inputs!D6</t>
  </si>
  <si>
    <t>A-zero</t>
  </si>
  <si>
    <t>Unit, timing or arithmetic convention. Leap-year hours are normalised.</t>
  </si>
  <si>
    <t>Inputs!D7</t>
  </si>
  <si>
    <t>A-one</t>
  </si>
  <si>
    <t>Inputs!D8</t>
  </si>
  <si>
    <t>A-million</t>
  </si>
  <si>
    <t>Inputs!D9</t>
  </si>
  <si>
    <t>A-percent</t>
  </si>
  <si>
    <t>Inputs!D10</t>
  </si>
  <si>
    <t>A-days_year</t>
  </si>
  <si>
    <t>Inputs!D11</t>
  </si>
  <si>
    <t>A-hours_year</t>
  </si>
  <si>
    <t>Inputs!D12</t>
  </si>
  <si>
    <t>A-half</t>
  </si>
  <si>
    <t>Inputs!D13</t>
  </si>
  <si>
    <t>A-cutoff</t>
  </si>
  <si>
    <t>Owner's dated analysis cutoff.</t>
  </si>
  <si>
    <t>Inputs!D14</t>
  </si>
  <si>
    <t>Restated from the cited dated source.</t>
  </si>
  <si>
    <t>Inputs!D15</t>
  </si>
  <si>
    <t>Inputs!D16</t>
  </si>
  <si>
    <t>A-cash</t>
  </si>
  <si>
    <t>Cash is undisclosed. Both financing cases assume zero cash. This is a conditional basis, not a reported balance.</t>
  </si>
  <si>
    <t>Inputs!D17</t>
  </si>
  <si>
    <t>A-debt_zero</t>
  </si>
  <si>
    <t>A debt and cash neutral reference separates enterprise value from undisclosed financing.</t>
  </si>
  <si>
    <t>Inputs!D18</t>
  </si>
  <si>
    <t>Inputs!D19</t>
  </si>
  <si>
    <t>A-tax</t>
  </si>
  <si>
    <t>Illustrative aggregate cash-tax rate. Tax jurisdiction, losses and incentives are undisclosed. No value is assigned to tax losses.</t>
  </si>
  <si>
    <t>Inputs!D20</t>
  </si>
  <si>
    <t>A-terminal_growth</t>
  </si>
  <si>
    <t>Conditional nominal steady-state growth, below every tested discount rate. Growth requires additional capital.</t>
  </si>
  <si>
    <t>Inputs!D21</t>
  </si>
  <si>
    <t>A-gpu_life</t>
  </si>
  <si>
    <t>Illustrative constant server life. Recurring replacement of each cohort is included. Profitability separately tests other lives.</t>
  </si>
  <si>
    <t>Inputs!D22</t>
  </si>
  <si>
    <t>A-infra_life</t>
  </si>
  <si>
    <t>Illustrative shell and electrical-infrastructure life. Long-run replacement is deducted in terminal cash flow.</t>
  </si>
  <si>
    <t>Inputs!D23</t>
  </si>
  <si>
    <t>A-wc</t>
  </si>
  <si>
    <t>Conditional cash tied up in revenue growth. No working-capital terms are disclosed.</t>
  </si>
  <si>
    <t>Inputs!D24</t>
  </si>
  <si>
    <t>A-opening_mw</t>
  </si>
  <si>
    <t>Explicit IT-equivalent assumption anchored to the newly reported group operating MW. The underlying physical basis is unstated and the figure is second-hand.</t>
  </si>
  <si>
    <t>Inputs!D25</t>
  </si>
  <si>
    <t>Inputs!D26</t>
  </si>
  <si>
    <t>Inputs!D27</t>
  </si>
  <si>
    <t>Inputs!D28</t>
  </si>
  <si>
    <t>A-contract_to_it</t>
  </si>
  <si>
    <t>Explicit unverified conversion used only inside conditional scenarios. Pipeline, development and contracted records retain their stated measurement and status.</t>
  </si>
  <si>
    <t>Inputs!D29</t>
  </si>
  <si>
    <t>A-in_service_fraction</t>
  </si>
  <si>
    <t>Conditional full deployment of the reported server and construction amounts. Capex periods, ownership, retirements and the in-service balance are not published.</t>
  </si>
  <si>
    <t>Inputs!D30</t>
  </si>
  <si>
    <t>A-additional_central_cost</t>
  </si>
  <si>
    <t>Conditional zero extra central cost. Forecast perimeters are not confirmed. Positive extra costs reduce the D&amp;A allowance and require a longer server life.</t>
  </si>
  <si>
    <t>Inputs!D31</t>
  </si>
  <si>
    <t>Inputs!D32</t>
  </si>
  <si>
    <t>Inputs!D33</t>
  </si>
  <si>
    <t>Inputs!D34</t>
  </si>
  <si>
    <t>Inputs!D35</t>
  </si>
  <si>
    <t>Inputs!D36</t>
  </si>
  <si>
    <t>Inputs!D37</t>
  </si>
  <si>
    <t>A-earnings_margin_test</t>
  </si>
  <si>
    <t>Round lower-margin test informed by the peer's reported adjusted EBITDA/revenue. Definitions differ and this is not a Firmus forecast.</t>
  </si>
  <si>
    <t>Inputs!D38</t>
  </si>
  <si>
    <t>Inputs!D39</t>
  </si>
  <si>
    <t>Inputs!D40</t>
  </si>
  <si>
    <t>Inputs!D41</t>
  </si>
  <si>
    <t>Inputs!D42</t>
  </si>
  <si>
    <t>Inputs!D43</t>
  </si>
  <si>
    <t>Inputs!D44</t>
  </si>
  <si>
    <t>Inputs!D45</t>
  </si>
  <si>
    <t>Inputs!D46</t>
  </si>
  <si>
    <t>Inputs!D47</t>
  </si>
  <si>
    <t>Inputs!D48</t>
  </si>
  <si>
    <t>Inputs!D49</t>
  </si>
  <si>
    <t>Inputs!D50</t>
  </si>
  <si>
    <t>Inputs!D51</t>
  </si>
  <si>
    <t>Inputs!D52</t>
  </si>
  <si>
    <t>Inputs!D53</t>
  </si>
  <si>
    <t>Inputs!D54</t>
  </si>
  <si>
    <t>Inputs!D55</t>
  </si>
  <si>
    <t>Inputs!D56</t>
  </si>
  <si>
    <t>A-utilisation</t>
  </si>
  <si>
    <t>Conditional full reserved-capacity billing, informed by the reported take-or-pay structure. This is separate from physical GPU use; exact availability, service-credit and cancellation terms are unpublished.</t>
  </si>
  <si>
    <t>Inputs!D57</t>
  </si>
  <si>
    <t>A-physical_utilisation</t>
  </si>
  <si>
    <t>Conditional energy-load utilisation. Changes in physical use do not change reserved take-or-pay revenue in the physical-use sensitivity.</t>
  </si>
  <si>
    <t>Inputs!D58</t>
  </si>
  <si>
    <t>A-power_tariff</t>
  </si>
  <si>
    <t>Round sensitivity assumption above the stated generation-cost interval. The public statement is a floor, not Firmus's tariff.</t>
  </si>
  <si>
    <t>Inputs!D59</t>
  </si>
  <si>
    <t>A-pue</t>
  </si>
  <si>
    <t>Conditional aggregate assumption informed by the Australian greenfield NEM design upper bound. It is not an observed international or part-load PUE.</t>
  </si>
  <si>
    <t>Inputs!D60</t>
  </si>
  <si>
    <t>A-index_2027</t>
  </si>
  <si>
    <t>Consecutive annual period index.</t>
  </si>
  <si>
    <t>Inputs!D61</t>
  </si>
  <si>
    <t>A-date_2027</t>
  </si>
  <si>
    <t>Illustrative June year-end consistent with the reported FY2028 label. Group reporting calendar not confirmed.</t>
  </si>
  <si>
    <t>Inputs!D62</t>
  </si>
  <si>
    <t>A-index_2028</t>
  </si>
  <si>
    <t>Inputs!D63</t>
  </si>
  <si>
    <t>A-date_2028</t>
  </si>
  <si>
    <t>Inputs!D64</t>
  </si>
  <si>
    <t>A-index_2029</t>
  </si>
  <si>
    <t>Inputs!D65</t>
  </si>
  <si>
    <t>A-date_2029</t>
  </si>
  <si>
    <t>Inputs!D66</t>
  </si>
  <si>
    <t>A-index_2030</t>
  </si>
  <si>
    <t>Inputs!D67</t>
  </si>
  <si>
    <t>A-date_2030</t>
  </si>
  <si>
    <t>Inputs!D68</t>
  </si>
  <si>
    <t>A-index_2031</t>
  </si>
  <si>
    <t>Inputs!D69</t>
  </si>
  <si>
    <t>A-date_2031</t>
  </si>
  <si>
    <t>Inputs!D70</t>
  </si>
  <si>
    <t>A-index_2032</t>
  </si>
  <si>
    <t>Inputs!D71</t>
  </si>
  <si>
    <t>A-date_2032</t>
  </si>
  <si>
    <t>Inputs!D72</t>
  </si>
  <si>
    <t>A-index_2033</t>
  </si>
  <si>
    <t>Inputs!D73</t>
  </si>
  <si>
    <t>A-date_2033</t>
  </si>
  <si>
    <t>Inputs!D74</t>
  </si>
  <si>
    <t>A-index_2034</t>
  </si>
  <si>
    <t>Inputs!D75</t>
  </si>
  <si>
    <t>A-date_2034</t>
  </si>
  <si>
    <t>Inputs!D76</t>
  </si>
  <si>
    <t>A-index_2035</t>
  </si>
  <si>
    <t>Inputs!D77</t>
  </si>
  <si>
    <t>A-date_2035</t>
  </si>
  <si>
    <t>Inputs!D78</t>
  </si>
  <si>
    <t>A-index_2036</t>
  </si>
  <si>
    <t>Inputs!D79</t>
  </si>
  <si>
    <t>A-date_2036</t>
  </si>
  <si>
    <t>Inputs!D80</t>
  </si>
  <si>
    <t>A-contracted_mw</t>
  </si>
  <si>
    <t>Conditional IT-equivalent scale test. The disclosed projects and operating statement sum to 911 MW against a separately reported 912 MW portfolio. The larger footprint is a scale assumption informed by the historical announcement; the current issuer page states no national MW target.</t>
  </si>
  <si>
    <t>Inputs!D81</t>
  </si>
  <si>
    <t>A-contracted_margin</t>
  </si>
  <si>
    <t>Illustrative cash operating margin. This is held constant in the reverse valuation, without assuming the company achieves it.</t>
  </si>
  <si>
    <t>Inputs!D82</t>
  </si>
  <si>
    <t>A-contracted_wacc</t>
  </si>
  <si>
    <t>Conditional nominal unlevered discount rate. No observed cost of capital is established.</t>
  </si>
  <si>
    <t>Inputs!D83</t>
  </si>
  <si>
    <t>A-contracted_2027</t>
  </si>
  <si>
    <t>Scenario commissioning path. The public record does not establish delivery or billing dates at this scale.</t>
  </si>
  <si>
    <t>Inputs!D84</t>
  </si>
  <si>
    <t>A-contracted_2028</t>
  </si>
  <si>
    <t>Inputs!D85</t>
  </si>
  <si>
    <t>A-contracted_2029</t>
  </si>
  <si>
    <t>Inputs!D86</t>
  </si>
  <si>
    <t>A-contracted_2030</t>
  </si>
  <si>
    <t>Inputs!D87</t>
  </si>
  <si>
    <t>A-contracted_2031</t>
  </si>
  <si>
    <t>Inputs!D88</t>
  </si>
  <si>
    <t>A-contracted_2032</t>
  </si>
  <si>
    <t>Inputs!D89</t>
  </si>
  <si>
    <t>A-contracted_2033</t>
  </si>
  <si>
    <t>Inputs!D90</t>
  </si>
  <si>
    <t>A-contracted_2034</t>
  </si>
  <si>
    <t>Inputs!D91</t>
  </si>
  <si>
    <t>A-contracted_2035</t>
  </si>
  <si>
    <t>Inputs!D92</t>
  </si>
  <si>
    <t>A-contracted_2036</t>
  </si>
  <si>
    <t>Inputs!D93</t>
  </si>
  <si>
    <t>A-expanded_mw</t>
  </si>
  <si>
    <t>Inputs!D94</t>
  </si>
  <si>
    <t>A-expanded_margin</t>
  </si>
  <si>
    <t>Inputs!D95</t>
  </si>
  <si>
    <t>A-expanded_wacc</t>
  </si>
  <si>
    <t>Inputs!D96</t>
  </si>
  <si>
    <t>A-expanded_2027</t>
  </si>
  <si>
    <t>Inputs!D97</t>
  </si>
  <si>
    <t>A-expanded_2028</t>
  </si>
  <si>
    <t>Inputs!D98</t>
  </si>
  <si>
    <t>A-expanded_2029</t>
  </si>
  <si>
    <t>Inputs!D99</t>
  </si>
  <si>
    <t>A-expanded_2030</t>
  </si>
  <si>
    <t>Inputs!D100</t>
  </si>
  <si>
    <t>A-expanded_2031</t>
  </si>
  <si>
    <t>Inputs!D101</t>
  </si>
  <si>
    <t>A-expanded_2032</t>
  </si>
  <si>
    <t>Inputs!D102</t>
  </si>
  <si>
    <t>A-expanded_2033</t>
  </si>
  <si>
    <t>Inputs!D103</t>
  </si>
  <si>
    <t>A-expanded_2034</t>
  </si>
  <si>
    <t>Inputs!D104</t>
  </si>
  <si>
    <t>A-expanded_2035</t>
  </si>
  <si>
    <t>Inputs!D105</t>
  </si>
  <si>
    <t>A-expanded_2036</t>
  </si>
  <si>
    <t>Inputs!D106</t>
  </si>
  <si>
    <t>A-delayed_mw</t>
  </si>
  <si>
    <t>Inputs!D107</t>
  </si>
  <si>
    <t>A-delayed_margin</t>
  </si>
  <si>
    <t>Inputs!D108</t>
  </si>
  <si>
    <t>A-delayed_wacc</t>
  </si>
  <si>
    <t>Inputs!D109</t>
  </si>
  <si>
    <t>A-delayed_2027</t>
  </si>
  <si>
    <t>Inputs!D110</t>
  </si>
  <si>
    <t>A-delayed_2028</t>
  </si>
  <si>
    <t>Inputs!D111</t>
  </si>
  <si>
    <t>A-delayed_2029</t>
  </si>
  <si>
    <t>Inputs!D112</t>
  </si>
  <si>
    <t>A-delayed_2030</t>
  </si>
  <si>
    <t>Inputs!D113</t>
  </si>
  <si>
    <t>A-delayed_2031</t>
  </si>
  <si>
    <t>Inputs!D114</t>
  </si>
  <si>
    <t>A-delayed_2032</t>
  </si>
  <si>
    <t>Inputs!D115</t>
  </si>
  <si>
    <t>A-delayed_2033</t>
  </si>
  <si>
    <t>Inputs!D116</t>
  </si>
  <si>
    <t>A-delayed_2034</t>
  </si>
  <si>
    <t>Inputs!D117</t>
  </si>
  <si>
    <t>A-delayed_2035</t>
  </si>
  <si>
    <t>Inputs!D118</t>
  </si>
  <si>
    <t>A-delayed_2036</t>
  </si>
  <si>
    <t>Inputs!D119</t>
  </si>
  <si>
    <t>A-ev_zero_tolerance</t>
  </si>
  <si>
    <t>One dollar tolerance for a zero-EV cash-flow reconciliation; relative errors are undefined at a zero target.</t>
  </si>
  <si>
    <t>Inputs!D120</t>
  </si>
  <si>
    <t>Inputs!D121</t>
  </si>
  <si>
    <t>Inputs!D122</t>
  </si>
  <si>
    <t>Inputs!D123</t>
  </si>
  <si>
    <t>Inputs!D124</t>
  </si>
  <si>
    <t>Inputs!D125</t>
  </si>
  <si>
    <t>Inputs!D126</t>
  </si>
  <si>
    <t>Inputs!D127</t>
  </si>
  <si>
    <t>Inputs!D128</t>
  </si>
  <si>
    <t>Inputs!D129</t>
  </si>
  <si>
    <t>Inputs!D130</t>
  </si>
  <si>
    <t>Inputs!D131</t>
  </si>
  <si>
    <t>Inputs!D132</t>
  </si>
  <si>
    <t>Inputs!D133</t>
  </si>
  <si>
    <t>Inputs!D134</t>
  </si>
  <si>
    <t>Inputs!D135</t>
  </si>
  <si>
    <t>Inputs!D136</t>
  </si>
  <si>
    <t>Inputs!D137</t>
  </si>
  <si>
    <t>Inputs!D138</t>
  </si>
  <si>
    <t>Inputs!D139</t>
  </si>
  <si>
    <t>Inputs!D140</t>
  </si>
  <si>
    <t>A-grid_margin_50</t>
  </si>
  <si>
    <t>Research lead's specified conditional margin grid; not a Firmus forecast or an observed margin.</t>
  </si>
  <si>
    <t>Inputs!D141</t>
  </si>
  <si>
    <t>A-grid_margin_59</t>
  </si>
  <si>
    <t>Inputs!D142</t>
  </si>
  <si>
    <t>A-grid_margin_60</t>
  </si>
  <si>
    <t>Inputs!D143</t>
  </si>
  <si>
    <t>A-grid_margin_70</t>
  </si>
  <si>
    <t>Inputs!D144</t>
  </si>
  <si>
    <t>A-grid_margin_80</t>
  </si>
  <si>
    <t>Inputs!D145</t>
  </si>
  <si>
    <t>A-grid_margin_91</t>
  </si>
  <si>
    <t>Inputs!D146</t>
  </si>
  <si>
    <t>A-grid_rate_8</t>
  </si>
  <si>
    <t>Research lead's specified conditional nominal unlevered rate grid; no observed company cost of capital is asserted.</t>
  </si>
  <si>
    <t>Inputs!D147</t>
  </si>
  <si>
    <t>A-grid_rate_10</t>
  </si>
  <si>
    <t>Inputs!D148</t>
  </si>
  <si>
    <t>A-grid_rate_12</t>
  </si>
  <si>
    <t>Inputs!D149</t>
  </si>
  <si>
    <t>A-grid_rate_14</t>
  </si>
  <si>
    <t>Inputs!D150</t>
  </si>
  <si>
    <t>A-profit_mw_large</t>
  </si>
  <si>
    <t>Alternative IT-equivalent allocation using the announced Australian size. No country or contracted-MW reconciliation is asserted.</t>
  </si>
  <si>
    <t>Inputs!D151</t>
  </si>
  <si>
    <t>Inputs!D152</t>
  </si>
  <si>
    <t>Inputs!D153</t>
  </si>
  <si>
    <t>Inputs!D154</t>
  </si>
  <si>
    <t>Inputs!D155</t>
  </si>
  <si>
    <t>Inputs!D156</t>
  </si>
  <si>
    <t>Inputs!D157</t>
  </si>
  <si>
    <t>Inputs!D158</t>
  </si>
  <si>
    <t>Inputs!D159</t>
  </si>
  <si>
    <t>Inputs!D160</t>
  </si>
  <si>
    <t>Inputs!D161</t>
  </si>
  <si>
    <t>A-physical_62</t>
  </si>
  <si>
    <t>Conditional compute use. Reserved take-or-pay revenue stays fixed; only the illustrative variable energy bill changes.</t>
  </si>
  <si>
    <t>Inputs!D162</t>
  </si>
  <si>
    <t>A-physical_63</t>
  </si>
  <si>
    <t>Inputs!D163</t>
  </si>
  <si>
    <t>A-physical_64</t>
  </si>
  <si>
    <t>Inputs!D164</t>
  </si>
  <si>
    <t>A-physical_65</t>
  </si>
  <si>
    <t>Inputs!D165</t>
  </si>
  <si>
    <t>A-price_factor_0</t>
  </si>
  <si>
    <t>Conditional shock to realised pricing. No prediction about GB300 rental prices is implied.</t>
  </si>
  <si>
    <t>Inputs!D166</t>
  </si>
  <si>
    <t>A-price_factor_1</t>
  </si>
  <si>
    <t>Inputs!D167</t>
  </si>
  <si>
    <t>A-price_factor_2</t>
  </si>
  <si>
    <t>Inputs!D168</t>
  </si>
  <si>
    <t>A-price_factor_3</t>
  </si>
  <si>
    <t>Inputs!D169</t>
  </si>
  <si>
    <t>A-util_0</t>
  </si>
  <si>
    <t>Conditional billable-hours range. Contractual availability billing and cancellation terms are undisclosed.</t>
  </si>
  <si>
    <t>Inputs!D170</t>
  </si>
  <si>
    <t>A-util_1</t>
  </si>
  <si>
    <t>Inputs!D171</t>
  </si>
  <si>
    <t>A-util_2</t>
  </si>
  <si>
    <t>Inputs!D172</t>
  </si>
  <si>
    <t>A-life_0</t>
  </si>
  <si>
    <t>Conditional economic and depreciation-life range. Firmus's accounting life is undisclosed.</t>
  </si>
  <si>
    <t>Inputs!D173</t>
  </si>
  <si>
    <t>A-life_1</t>
  </si>
  <si>
    <t>Inputs!D174</t>
  </si>
  <si>
    <t>A-life_2</t>
  </si>
  <si>
    <t>Inputs!D175</t>
  </si>
  <si>
    <t>A-life_3</t>
  </si>
  <si>
    <t>Inputs!D176</t>
  </si>
  <si>
    <t>A-quote_life_4</t>
  </si>
  <si>
    <t>Dedicated publication convention for explicitly named life quotations. It is separate from the editable sensitivity axes and DCF life; it does not describe Firmus's accounting policy.</t>
  </si>
  <si>
    <t>Inputs!D177</t>
  </si>
  <si>
    <t>A-quote_life_5</t>
  </si>
  <si>
    <t>Inputs!D178</t>
  </si>
  <si>
    <t>A-quote_life_6</t>
  </si>
  <si>
    <t>Inputs!D179</t>
  </si>
  <si>
    <t>Inputs!D180</t>
  </si>
  <si>
    <t>Inputs!D181</t>
  </si>
  <si>
    <t>Inputs!D182</t>
  </si>
  <si>
    <t>Inputs!D183</t>
  </si>
  <si>
    <t>Inputs!D184</t>
  </si>
  <si>
    <t>Separate aggregate cross-check. Never added to the named rounds that it overlaps.</t>
  </si>
  <si>
    <t>Inputs!D185</t>
  </si>
  <si>
    <t>Additional numerical extraction from the primary release underlying F-061: investment scaling to A$73.3bn. Verified at its published URL. This scope differs from the reported server and construction programme and is a separate case.</t>
  </si>
  <si>
    <t>Inputs!D186</t>
  </si>
  <si>
    <t>Inputs!D187</t>
  </si>
  <si>
    <t>Inputs!D188</t>
  </si>
  <si>
    <t>Inputs!D189</t>
  </si>
  <si>
    <t>Inputs!D190</t>
  </si>
  <si>
    <t>Inputs!D191</t>
  </si>
  <si>
    <t>Inputs!D192</t>
  </si>
  <si>
    <t>Inputs!D193</t>
  </si>
  <si>
    <t>Inputs!D194</t>
  </si>
  <si>
    <t>Inputs!D195</t>
  </si>
  <si>
    <t>Inputs!D196</t>
  </si>
  <si>
    <t>Inputs!D197</t>
  </si>
  <si>
    <t>Inputs!D198</t>
  </si>
  <si>
    <t>Inputs!D199</t>
  </si>
  <si>
    <t>A-quarter_annualisation</t>
  </si>
  <si>
    <t>Quarter revenue multiplied by quarters per year. The result is a run-rate denominator, not TTM or guidance.</t>
  </si>
  <si>
    <t>Inputs!D200</t>
  </si>
  <si>
    <t>Inputs!D201</t>
  </si>
  <si>
    <t>Inputs!D202</t>
  </si>
  <si>
    <t>Inputs!D203</t>
  </si>
  <si>
    <t>Inputs!D204</t>
  </si>
  <si>
    <t>Inputs!D205</t>
  </si>
  <si>
    <t>Inputs!D206</t>
  </si>
  <si>
    <t>Inputs!D207</t>
  </si>
  <si>
    <t>Inputs!D208</t>
  </si>
  <si>
    <t>Inputs!D209</t>
  </si>
  <si>
    <t>Inputs!D210</t>
  </si>
  <si>
    <t>Inputs!D211</t>
  </si>
  <si>
    <t>Inputs!D212</t>
  </si>
  <si>
    <t>Inputs!D213</t>
  </si>
  <si>
    <t>Inputs!D214</t>
  </si>
  <si>
    <t>Inputs!D215</t>
  </si>
  <si>
    <t>Inputs!D216</t>
  </si>
  <si>
    <t>Inputs!D217</t>
  </si>
  <si>
    <t>Inputs!D218</t>
  </si>
  <si>
    <t>Inputs!D219</t>
  </si>
  <si>
    <t>Inputs!D220</t>
  </si>
  <si>
    <t>Inputs!D221</t>
  </si>
  <si>
    <t>Inputs!D222</t>
  </si>
  <si>
    <t>Inputs!D223</t>
  </si>
  <si>
    <t>Inputs!D224</t>
  </si>
  <si>
    <t>Inputs!D225</t>
  </si>
  <si>
    <t>Inputs!D226</t>
  </si>
  <si>
    <t>Inputs!D227</t>
  </si>
  <si>
    <t>Inputs!D228</t>
  </si>
  <si>
    <t>Inputs!D229</t>
  </si>
  <si>
    <t>Inputs!D230</t>
  </si>
  <si>
    <t>Inputs!D231</t>
  </si>
  <si>
    <t>Inputs!D232</t>
  </si>
  <si>
    <t>Inputs!D233</t>
  </si>
  <si>
    <t>Inputs!D234</t>
  </si>
  <si>
    <t>Inputs!D235</t>
  </si>
  <si>
    <t>Inputs!D236</t>
  </si>
  <si>
    <t>Inputs!D237</t>
  </si>
  <si>
    <t>Inputs!D238</t>
  </si>
  <si>
    <t>Inputs!D239</t>
  </si>
  <si>
    <t>Inputs!D240</t>
  </si>
  <si>
    <t>Inputs!D241</t>
  </si>
  <si>
    <t>Inputs!D242</t>
  </si>
  <si>
    <t>Inputs!D243</t>
  </si>
  <si>
    <t>Inputs!D244</t>
  </si>
  <si>
    <t>Inputs!D245</t>
  </si>
  <si>
    <t>Inputs!D246</t>
  </si>
  <si>
    <t>Inputs!D247</t>
  </si>
  <si>
    <t>Inputs!D248</t>
  </si>
  <si>
    <t>Inputs!D249</t>
  </si>
  <si>
    <t>Inputs!D250</t>
  </si>
  <si>
    <t>Inputs!D251</t>
  </si>
  <si>
    <t>Inputs!D252</t>
  </si>
  <si>
    <t>Inputs!D253</t>
  </si>
  <si>
    <t>Inputs!D254</t>
  </si>
  <si>
    <t>Inputs!D255</t>
  </si>
  <si>
    <t>Inputs!D256</t>
  </si>
  <si>
    <t>Inputs!D257</t>
  </si>
  <si>
    <t>Inputs!D258</t>
  </si>
  <si>
    <t>Inputs!D259</t>
  </si>
  <si>
    <t>Firmus: sources</t>
  </si>
  <si>
    <t>Fact id</t>
  </si>
  <si>
    <t>Publisher</t>
  </si>
  <si>
    <t>Source date</t>
  </si>
  <si>
    <t>Event date</t>
  </si>
  <si>
    <t>Source type</t>
  </si>
  <si>
    <t>Locator</t>
  </si>
  <si>
    <t>URL</t>
  </si>
  <si>
    <t>Statement</t>
  </si>
  <si>
    <t>CoreWeave, Inc.</t>
  </si>
  <si>
    <t>2026-08-11</t>
  </si>
  <si>
    <t>issuer</t>
  </si>
  <si>
    <t>revenue, three months to 30 June 2026</t>
  </si>
  <si>
    <t>Consolidated statements of operations</t>
  </si>
  <si>
    <t>https://investors.coreweave.com/news/news-details/2026/CoreWeave-Reports-Strong-Second-Quarter-2026-Results/default.aspx</t>
  </si>
  <si>
    <t>adjusted EBITDA (non-GAAP), three months to 30 June 2026</t>
  </si>
  <si>
    <t>Reconciliation of net loss to adjusted EBITDA</t>
  </si>
  <si>
    <t>revenue backlog (RPO plus other committed amounts)</t>
  </si>
  <si>
    <t>Additional Second Quarter 2026 Financial Highlights, footnote 1</t>
  </si>
  <si>
    <t>CoreWeave, Inc. (Form 10-Q, SEC EDGAR)</t>
  </si>
  <si>
    <t>2026-08-12</t>
  </si>
  <si>
    <t>remaining performance obligations</t>
  </si>
  <si>
    <t>Notes to the financial statements, Note 2 (Revenue)</t>
  </si>
  <si>
    <t>https://www.sec.gov/Archives/edgar/data/1769628/000176962826000366/crwv-20260630.htm</t>
  </si>
  <si>
    <t>active power</t>
  </si>
  <si>
    <t>Second Quarter 2026 Highlights</t>
  </si>
  <si>
    <t>contracted power</t>
  </si>
  <si>
    <t>cash and cash equivalents</t>
  </si>
  <si>
    <t>Consolidated balance sheets</t>
  </si>
  <si>
    <t>derived: sum of four balance-sheet debt lines</t>
  </si>
  <si>
    <t>2026-07-31</t>
  </si>
  <si>
    <t>shares outstanding (10-Q cover)</t>
  </si>
  <si>
    <t>Cover page</t>
  </si>
  <si>
    <t>Yahoo Finance (price history, CRWV)</t>
  </si>
  <si>
    <t>2026-10-09</t>
  </si>
  <si>
    <t>secondary</t>
  </si>
  <si>
    <t>closing price</t>
  </si>
  <si>
    <t>Row 'Oct 9, 2026'</t>
  </si>
  <si>
    <t>https://finance.yahoo.com/quote/CRWV/history/</t>
  </si>
  <si>
    <t>Nebius Group N.V.</t>
  </si>
  <si>
    <t>Page 3 and revenue table</t>
  </si>
  <si>
    <t>https://assets.nebius.com/assets/4462517b-ce83-41f2-96ed-f2ac1bc06a05/SHLQ226%20(1).pdf-0</t>
  </si>
  <si>
    <t>ARR: AI cloud revenue for the last month of the quarter x 12</t>
  </si>
  <si>
    <t>Page 3 and footnote 4</t>
  </si>
  <si>
    <t>customer commitments, company statement (backlog proxy)</t>
  </si>
  <si>
    <t>Pages 3 and 10</t>
  </si>
  <si>
    <t>2026-12</t>
  </si>
  <si>
    <t>contracted power (target for end 2026)</t>
  </si>
  <si>
    <t>Page 1 chart, page 5 and footnote 5</t>
  </si>
  <si>
    <t>2026-02-12</t>
  </si>
  <si>
    <t>Pages 2 and 5 (definitions)</t>
  </si>
  <si>
    <t>https://assets.nebius.com/assets/e59fb92e-9027-473a-8cac-04f9d2e9ea9a/Shareholder%20Letter%20Q4%202025.pdf?cache-buster=2026-02-12T11%3A43%3A13.446Z</t>
  </si>
  <si>
    <t>connected power (target for end 2026)</t>
  </si>
  <si>
    <t>Pages 2 and 5</t>
  </si>
  <si>
    <t>annual contract value per MW</t>
  </si>
  <si>
    <t>Page 1 chart ('ACV per MW is stepping up')</t>
  </si>
  <si>
    <t>annual contract value per MW, Q2 2026 deals</t>
  </si>
  <si>
    <t>Pages 2 and 4</t>
  </si>
  <si>
    <t>Nebius Group N.V. (Form 6-K, Exhibit 99.1, SEC EDGAR)</t>
  </si>
  <si>
    <t>Condensed consolidated balance sheet</t>
  </si>
  <si>
    <t>https://www.sec.gov/Archives/edgar/data/1513845/000110465926094568/tm2622968d1_ex99-1.htm</t>
  </si>
  <si>
    <t>derived: debt current plus non-current</t>
  </si>
  <si>
    <t>shares outstanding</t>
  </si>
  <si>
    <t>Notes (share capital)</t>
  </si>
  <si>
    <t>Yahoo Finance (price history, NBIS)</t>
  </si>
  <si>
    <t>https://finance.yahoo.com/quote/NBIS/history/</t>
  </si>
  <si>
    <t>IREN Ltd (Form 8-K, Exhibit 99.1, SEC EDGAR)</t>
  </si>
  <si>
    <t>2026-08-27</t>
  </si>
  <si>
    <t>revenue, FY26</t>
  </si>
  <si>
    <t>Results summary</t>
  </si>
  <si>
    <t>https://www.sec.gov/Archives/edgar/data/1878848/000187884826000051/irenreportsfy26results.htm</t>
  </si>
  <si>
    <t>AI cloud revenue, FY26</t>
  </si>
  <si>
    <t>2026-12-31</t>
  </si>
  <si>
    <t>contracted annualised run-rate revenue (target capacity)</t>
  </si>
  <si>
    <t>Highlights</t>
  </si>
  <si>
    <t>2026-08-26</t>
  </si>
  <si>
    <t>operating annualised run-rate revenue</t>
  </si>
  <si>
    <t>2025-11-03</t>
  </si>
  <si>
    <t>total contract value</t>
  </si>
  <si>
    <t>Paragraphs 1-3</t>
  </si>
  <si>
    <t>https://www.sec.gov/Archives/edgar/data/1878848/000114036125040072/ef20058139_ex99-1.htm</t>
  </si>
  <si>
    <t>IREN's Microsoft contract has a total contract value of about US$9.7 billion over five years, including a 20% prepayment, for NVIDIA GB300 capacity in new liquid-cooled data centres supporting 200 MW of critical IT load (Horizon 1-4) at its 750 MW Childress campus.</t>
  </si>
  <si>
    <t>IREN Ltd (Form 8-K, Exhibit 99.2, SEC EDGAR)</t>
  </si>
  <si>
    <t>ARR, average annual revenue under the contract</t>
  </si>
  <si>
    <t>Slide 4 and footnote</t>
  </si>
  <si>
    <t>https://www.sec.gov/Archives/edgar/data/1878848/000114036125040072/ef20058139_ex99-2.htm</t>
  </si>
  <si>
    <t>IREN Ltd (Form 10-K, SEC EDGAR)</t>
  </si>
  <si>
    <t>operating AI cloud capacity (basis not stated)</t>
  </si>
  <si>
    <t>Business section</t>
  </si>
  <si>
    <t>https://www.sec.gov/Archives/edgar/data/1878848/000187884826000052/iren-20260630.htm</t>
  </si>
  <si>
    <t>data centre capacity used for Bitcoin mining</t>
  </si>
  <si>
    <t>contract revenue per MW of IT</t>
  </si>
  <si>
    <t>Outlook</t>
  </si>
  <si>
    <t>Consolidated balance sheet</t>
  </si>
  <si>
    <t>2026-08-14</t>
  </si>
  <si>
    <t>ordinary shares outstanding (10-K cover)</t>
  </si>
  <si>
    <t>Yahoo Finance (price history, IREN)</t>
  </si>
  <si>
    <t>https://finance.yahoo.com/quote/IREN/history/</t>
  </si>
  <si>
    <t>NEXTDC Limited</t>
  </si>
  <si>
    <t>contracted utilisation, pro forma, excluding expansion options and reservations</t>
  </si>
  <si>
    <t>FY26 statistics panel</t>
  </si>
  <si>
    <t>https://www.nextdc.com/investor-centre</t>
  </si>
  <si>
    <t>billing utilisation</t>
  </si>
  <si>
    <t>Grafa</t>
  </si>
  <si>
    <t>built capacity</t>
  </si>
  <si>
    <t>Paragraph beginning 'The company's built capacity'</t>
  </si>
  <si>
    <t>https://grafa.com/en/news/australia/nextdc-reports-405-m-net-revenue-for-fy26</t>
  </si>
  <si>
    <t>net revenue, FY26</t>
  </si>
  <si>
    <t>ASX (market data service behind asx.com.au company pages)</t>
  </si>
  <si>
    <t>regulator</t>
  </si>
  <si>
    <t>shares on issue</t>
  </si>
  <si>
    <t>numOfShares</t>
  </si>
  <si>
    <t>https://asx.api.markitdigital.com/asx-research/1.0/companies/nxt/key-statistics</t>
  </si>
  <si>
    <t>Yahoo Finance (price history, NXT.AX)</t>
  </si>
  <si>
    <t>https://finance.yahoo.com/quote/NXT.AX/history/</t>
  </si>
  <si>
    <t>Blackstone (release republished by AirTrunk)</t>
  </si>
  <si>
    <t>implied enterprise value, including capex for committed projects</t>
  </si>
  <si>
    <t>Paragraph 1 and footnote 1</t>
  </si>
  <si>
    <t>https://airtrunk.com/?p=14233</t>
  </si>
  <si>
    <t>capacity committed to customers (basis not stated)</t>
  </si>
  <si>
    <t>Paragraph 2</t>
  </si>
  <si>
    <t>Infratil Limited (NZX announcement)</t>
  </si>
  <si>
    <t>2026-10-07</t>
  </si>
  <si>
    <t>external valuation of 100% of CDC, mid-point (equity)</t>
  </si>
  <si>
    <t>Announcement text, paragraphs 1-2</t>
  </si>
  <si>
    <t>https://www.nzx.com/announcements/481262</t>
  </si>
  <si>
    <t>deployed capacity</t>
  </si>
  <si>
    <t>CDC Data Centres section</t>
  </si>
  <si>
    <t>https://www.nzx.com/announcements/479856</t>
  </si>
  <si>
    <t>contracted capacity</t>
  </si>
  <si>
    <t>Ornn Data</t>
  </si>
  <si>
    <t>2026-10-11</t>
  </si>
  <si>
    <t>H100 SXM, transaction-based settled index</t>
  </si>
  <si>
    <t>Index summary</t>
  </si>
  <si>
    <t>https://data.ornn.com/markets/h100-sxm</t>
  </si>
  <si>
    <t>B200, transaction-based settled index</t>
  </si>
  <si>
    <t>https://data.ornn.com/markets/b200</t>
  </si>
  <si>
    <t>Silicon Data</t>
  </si>
  <si>
    <t>H100, standardised rental index (neocloud)</t>
  </si>
  <si>
    <t>Index panel</t>
  </si>
  <si>
    <t>https://www.silicondata.com/products/silicon-index/h100</t>
  </si>
  <si>
    <t>B200, standardised rental index</t>
  </si>
  <si>
    <t>https://www.silicondata.com/products/silicon-index/b200</t>
  </si>
  <si>
    <t>GetDeploying</t>
  </si>
  <si>
    <t>median listed on-demand price</t>
  </si>
  <si>
    <t>'At a glance' panel</t>
  </si>
  <si>
    <t>https://getdeploying.com/gpus/nvidia-h100</t>
  </si>
  <si>
    <t>https://getdeploying.com/gpus/nvidia-b200</t>
  </si>
  <si>
    <t>https://getdeploying.com/gpus/nvidia-b300</t>
  </si>
  <si>
    <t>median listed on-demand price (thin sample)</t>
  </si>
  <si>
    <t>https://getdeploying.com/gpus/nvidia-gb200</t>
  </si>
  <si>
    <t>lowest listed on-demand price</t>
  </si>
  <si>
    <t>'At a glance' panel and provider list</t>
  </si>
  <si>
    <t>https://getdeploying.com/gpus/nvidia-gb300</t>
  </si>
  <si>
    <t>2026-10-05</t>
  </si>
  <si>
    <t>median reserved discount, one year (three years: 49%)</t>
  </si>
  <si>
    <t>FAQ 'How much cheaper are reserved GPU contracts?'</t>
  </si>
  <si>
    <t>https://getdeploying.com/gpu-price-trends</t>
  </si>
  <si>
    <t>building and fit-out capex per MW of IT load, company estimate</t>
  </si>
  <si>
    <t>Slide 5</t>
  </si>
  <si>
    <t>GPU systems capex including deployment services, servers, InfiniBand, cabling, software and licences</t>
  </si>
  <si>
    <t>Octus</t>
  </si>
  <si>
    <t>2025-02-26</t>
  </si>
  <si>
    <t>private credit facility, fully funded</t>
  </si>
  <si>
    <t>Opening paragraphs</t>
  </si>
  <si>
    <t>https://octus.com/resources/articles/nomura-struggles-to-selldown-funded-120m-4y-private-credit-facility-for-singapores-firmus/</t>
  </si>
  <si>
    <t>Firmus Technologies</t>
  </si>
  <si>
    <t>2025-09-16</t>
  </si>
  <si>
    <t>equity placement</t>
  </si>
  <si>
    <t>Release body</t>
  </si>
  <si>
    <t>https://firmus.co/newsroom/firmus-closes-usd330m-raise-with-nvidia-joining-as-an-investor</t>
  </si>
  <si>
    <t>post-money equity valuation</t>
  </si>
  <si>
    <t>Final paragraph</t>
  </si>
  <si>
    <t>2025-11-14</t>
  </si>
  <si>
    <t>equity raise commitments</t>
  </si>
  <si>
    <t>https://firmus.co/newsroom/capital-raise-to-expand-project-southgate-nationally</t>
  </si>
  <si>
    <t>2026-04-07</t>
  </si>
  <si>
    <t>strategic equity investment, subject to closing conditions</t>
  </si>
  <si>
    <t>https://firmus.co/newsroom/firmus-raises-usdusd505-million-in-strategic-equity-investment-led-by-coatue</t>
  </si>
  <si>
    <t>2026-08-07</t>
  </si>
  <si>
    <t>strategic equity investment, fully committed</t>
  </si>
  <si>
    <t>https://firmus.co/newsroom/firmus-announces-fully-subscribed-usdusd2-billion-strategic-equity-investment-to-accelerate-nvidia-ai-factory-expansion-across-australia-and-asia-pacific</t>
  </si>
  <si>
    <t>Business News Australia</t>
  </si>
  <si>
    <t>2026-08-04</t>
  </si>
  <si>
    <t>strategic equity investment</t>
  </si>
  <si>
    <t>Article body</t>
  </si>
  <si>
    <t>https://www.businessnewsaustralia.com/articles/maas-group-locks-in-855m-firmus-contract.html</t>
  </si>
  <si>
    <t>Maas Group made a further A$300 million strategic equity investment in Firmus at A$230 per share.</t>
  </si>
  <si>
    <t>The Australian (republished under licence by Wilson Asset Management)</t>
  </si>
  <si>
    <t>2026-04-02</t>
  </si>
  <si>
    <t>private secondary price</t>
  </si>
  <si>
    <t>Investor note paragraph</t>
  </si>
  <si>
    <t>https://wilsonassetmanagement.com.au/oliver-curtiss-firmus-eyes-12bn-float-with-no-escrow-restrictions-for-early-investors/</t>
  </si>
  <si>
    <t>Reuters (syndicated copy, WTAQ)</t>
  </si>
  <si>
    <t>2026-10-01</t>
  </si>
  <si>
    <t>offer price per term sheet</t>
  </si>
  <si>
    <t>https://wtaq.com/2026/10/01/australias-firmus-prices-shares-to-raise-5-billion-term-sheet-shows/</t>
  </si>
  <si>
    <t>Firmus priced the IPO at A$11.00 a share to raise A$7.1 billion (US$4.94 billion), an equity valuation of US$30.6 billion.</t>
  </si>
  <si>
    <t>equity value at offer price</t>
  </si>
  <si>
    <t>Second paragraph</t>
  </si>
  <si>
    <t>The Nightly</t>
  </si>
  <si>
    <t>equity value at offer price as reported</t>
  </si>
  <si>
    <t>https://thenightly.com.au/business/firmus-hits-43b-asx-valuation-marking-oliver-curtis-journey-from-jail-to-ai-billionaire-c-22954723</t>
  </si>
  <si>
    <t>The Nightly reported a listing valuation of US$30 billion, or A$43.7 billion.</t>
  </si>
  <si>
    <t>Reuters (syndicated copy, WBOW)</t>
  </si>
  <si>
    <t>2026-09-24</t>
  </si>
  <si>
    <t>pro forma NPAT loss, H1 FY27</t>
  </si>
  <si>
    <t>Forecast paragraph</t>
  </si>
  <si>
    <t>https://1027wbow.com/2026/09/24/australias-firmus-expects-77-million-first-half-loss-as-it-plans-5-billion-ipo-sources-say/</t>
  </si>
  <si>
    <t>2026-09-08</t>
  </si>
  <si>
    <t>other: contracted capacity (basis not stated)</t>
  </si>
  <si>
    <t>Paragraph 3</t>
  </si>
  <si>
    <t>https://firmus.co/newsroom/firmus-surpasses-900-mw-contracted-capacity-adds-openai-as-anchor-customer-and-expands-into-malaysia</t>
  </si>
  <si>
    <t>F-060</t>
  </si>
  <si>
    <t>2028-09</t>
  </si>
  <si>
    <t>Paragraph 4</t>
  </si>
  <si>
    <t>Of seven AI factories, two are operational and five are under development, targeting ready-for-service over the next 24 months.</t>
  </si>
  <si>
    <t>2025-10-15</t>
  </si>
  <si>
    <t>2028</t>
  </si>
  <si>
    <t>Key Facts: Investment</t>
  </si>
  <si>
    <t>https://firmus.co/newsroom/southgate-expansion</t>
  </si>
  <si>
    <t>2026-10-06</t>
  </si>
  <si>
    <t>Southgate Tasmania panel</t>
  </si>
  <si>
    <t>https://firmus.co/infrastructure/southgate</t>
  </si>
  <si>
    <t>Firmus's Project Southgate page lists the Launceston campus at 84 MW critical IT load.</t>
  </si>
  <si>
    <t>Parliament of Tasmania (Joint Select Committee on Energy Matters)</t>
  </si>
  <si>
    <t>2026-10-04</t>
  </si>
  <si>
    <t>2026-03-05</t>
  </si>
  <si>
    <t>pp.4, 18</t>
  </si>
  <si>
    <t>https://www.parliament.tas.gov.au/__data/assets/pdf_file/0020/107480/JSC-Energy-Matters-IN-CAMERA-Mon-11-May-2026-For-publication_Redacted.pdf</t>
  </si>
  <si>
    <t>2026-03-03</t>
  </si>
  <si>
    <t>GB300</t>
  </si>
  <si>
    <t>https://firmus.co/newsroom/firmus-signs-multi-year-agreement-with-global-hyperscale-customer-at-project-southgate</t>
  </si>
  <si>
    <t>The Tasmanian greenfield campus will host about 36,800 NVIDIA GB300 GPUs when completed in late 2026.</t>
  </si>
  <si>
    <t>2025-10-16</t>
  </si>
  <si>
    <t>2026-04</t>
  </si>
  <si>
    <t>Announcement body</t>
  </si>
  <si>
    <t>https://www.nzx.com/announcements/460798</t>
  </si>
  <si>
    <t>2026-05-11</t>
  </si>
  <si>
    <t>p.17</t>
  </si>
  <si>
    <t>Locations section</t>
  </si>
  <si>
    <t>https://firmus.co/about</t>
  </si>
  <si>
    <t>2026-06-28</t>
  </si>
  <si>
    <t>Paragraphs 1 and final</t>
  </si>
  <si>
    <t>https://firmus.co/newsroom/firmus-to-build-170-000-gpu-ai-factor-y-campus-with-nvidia-for-global-ai-natives</t>
  </si>
  <si>
    <t>F-090</t>
  </si>
  <si>
    <t>Light Reading</t>
  </si>
  <si>
    <t>2026-06-29</t>
  </si>
  <si>
    <t>2027-03</t>
  </si>
  <si>
    <t>Standfirst and paragraph 2</t>
  </si>
  <si>
    <t>https://www.lightreading.com/ai-machine-learning/firmus-expands-to-indonesia-through-ai-access-deal-with-nvidia</t>
  </si>
  <si>
    <t>Light Reading reported the Batam facility under construction with DayOne and expected to be operational by the first quarter of 2027.</t>
  </si>
  <si>
    <t>Hydro Tasmania</t>
  </si>
  <si>
    <t>2026-09-18</t>
  </si>
  <si>
    <t>Sections on Aurora agreement and assessment</t>
  </si>
  <si>
    <t>https://www.hydro.com.au/hydro-tasmania-and-firmus-technologies</t>
  </si>
  <si>
    <t>other: stated floor of price paid</t>
  </si>
  <si>
    <t>p.21</t>
  </si>
  <si>
    <t>The co-CEO said Firmus pays more than the A$70 to A$90 per MWh marginal cost of new generation for its Tasmanian energy.</t>
  </si>
  <si>
    <t>Paragraphs 1-4</t>
  </si>
  <si>
    <t>https://firmus.co/newsroom/firmus-secures-600-mw-energy-supply-agreement-in-south-australia-linked-to-1-2-gw-of-new-renewable-generation-and-battery-storage</t>
  </si>
  <si>
    <t>design at-load average PUE, GB300 generation</t>
  </si>
  <si>
    <t>Commitment 1</t>
  </si>
  <si>
    <t>https://cdn.sanity.io/files/q43wife6/production/abee15eeb342ae068045b9fbfb435e6a7ff39ad5.pdf</t>
  </si>
  <si>
    <t>Firmus's energy policy commits greenfield NEM-connected AI factories to an at-load average PUE of 1.15 or lower.</t>
  </si>
  <si>
    <t>F-110</t>
  </si>
  <si>
    <t>Paragraphs 1-2</t>
  </si>
  <si>
    <t>OpenAI becomes an anchor customer under a multi-year partnership for dedicated compute from two Firmus sites in Malaysia.</t>
  </si>
  <si>
    <t>F-111</t>
  </si>
  <si>
    <t>expected receipts from committed offtake, first six years</t>
  </si>
  <si>
    <t>Offtake sentence</t>
  </si>
  <si>
    <t>Under the NVIDIA partnership, customer commitments are expected to yield US$25 to US$30 billion from offtake agreements in the first six years.</t>
  </si>
  <si>
    <t>2026-02-09</t>
  </si>
  <si>
    <t>debt facility limit</t>
  </si>
  <si>
    <t>Paragraph 1</t>
  </si>
  <si>
    <t>https://firmus.co/newsroom/firmus-secures-us10-billion-financing-led-by-blackstone-and-coatue-to-scale-energy-efficient-ai-infrastructure</t>
  </si>
  <si>
    <t>Firmus secured a US$10 billion debt financing facility led by Blackstone funds and supported by Coatue to fund the next phase of Project Southgate.</t>
  </si>
  <si>
    <t>F-134</t>
  </si>
  <si>
    <t>2025-10-30</t>
  </si>
  <si>
    <t>2026-03</t>
  </si>
  <si>
    <t>Paragraph on first stage</t>
  </si>
  <si>
    <t>https://firmus.co/newsroom/firmus-project-southgate-goes-on-net-with-megaport</t>
  </si>
  <si>
    <t>Target: an initial Southgate Melbourne cluster of 18,500 GB300 GPUs live in Q1 2026.</t>
  </si>
  <si>
    <t>F-137</t>
  </si>
  <si>
    <t>Status: Firmus said two sites were operational, in Australia and Singapore.</t>
  </si>
  <si>
    <t>F-138</t>
  </si>
  <si>
    <t>2026-09-28</t>
  </si>
  <si>
    <t>2026-09-29</t>
  </si>
  <si>
    <t>https://firmus.co/newsroom/firmus-and-meta-announce-strategic-ai-infrastructure-agreements-across-asia-pacific</t>
  </si>
  <si>
    <t>Status: Meta is already using GB300 NVL72 systems at Firmus's Melbourne AI factory.</t>
  </si>
  <si>
    <t>F-140</t>
  </si>
  <si>
    <t>ABC News</t>
  </si>
  <si>
    <t>2025-07-02</t>
  </si>
  <si>
    <t>2026-06</t>
  </si>
  <si>
    <t>Standfirst</t>
  </si>
  <si>
    <t>https://www.abc.net.au/news/2025-07-02/firmus-ai-factory-launceston-tasmania/105481780</t>
  </si>
  <si>
    <t>Target: Launceston AI factory operational in the first half of 2026.</t>
  </si>
  <si>
    <t>F-141</t>
  </si>
  <si>
    <t>W.Media</t>
  </si>
  <si>
    <t>2025-09-03</t>
  </si>
  <si>
    <t>Closing paragraph</t>
  </si>
  <si>
    <t>https://w.media/firmus-wins-approval-to-build-2-1bn-ai-factory-in-launceston/</t>
  </si>
  <si>
    <t>Target: Launceston AI factory operational by mid-2026, with construction to begin shortly after the September 2025 permit.</t>
  </si>
  <si>
    <t>F-144</t>
  </si>
  <si>
    <t>p.18</t>
  </si>
  <si>
    <t>Target: Launceston building complete around November 2026 and full commissioning with compute in Q1 2027.</t>
  </si>
  <si>
    <t>F-148</t>
  </si>
  <si>
    <t>2026-10</t>
  </si>
  <si>
    <t>Three sites, one region</t>
  </si>
  <si>
    <t>https://firmus.co/tasmaniancommunity</t>
  </si>
  <si>
    <t>Status: Firmus describes Launceston as its anchor site, under construction now.</t>
  </si>
  <si>
    <t>EBIT, FY2028 forecast as reported</t>
  </si>
  <si>
    <t>Paragraph on forecasts</t>
  </si>
  <si>
    <t>Forecasts given to investors show Firmus expects about US$5 billion of earnings before interest and tax by 2028.</t>
  </si>
  <si>
    <t>H100 SXM settled index</t>
  </si>
  <si>
    <t>Section 'What does an H100 cost to rent right now?'</t>
  </si>
  <si>
    <t>F-160</t>
  </si>
  <si>
    <t>Bloomberg (syndicated copy, The Edge Malaysia)</t>
  </si>
  <si>
    <t>https://theedgemalaysia.com/node/820982</t>
  </si>
  <si>
    <t>The institutional bookbuild for the Firmus IPO closed on the morning of Thursday 8 October 2026, without a clear price or deal structure.</t>
  </si>
  <si>
    <t>F-161</t>
  </si>
  <si>
    <t>Maas Group Holdings Limited (ASX announcement)</t>
  </si>
  <si>
    <t>Page 1, paragraph 1</t>
  </si>
  <si>
    <t>https://investors.maasgroup.com.au/DownloadFile.axd?file=/Report/ComNews/20261009/03146611.pdf</t>
  </si>
  <si>
    <t>Firmus withdrew its application to list on the ASX, by a statement released on the morning of Friday 9 October 2026.</t>
  </si>
  <si>
    <t>F-164</t>
  </si>
  <si>
    <t>NewsWire (News Corp Australia, syndicated copy, Yahoo Finance Australia)</t>
  </si>
  <si>
    <t>Statement paragraphs 3 and 4</t>
  </si>
  <si>
    <t>https://au.finance.yahoo.com/news/ai-firm-rocked-1bn-valuation-082408634.html</t>
  </si>
  <si>
    <t>Firmus said it will now pursue capital from the private markets and consider alternative public and private market options, and will provide additional information to shareholders as those options progress.</t>
  </si>
  <si>
    <t>Startup Daily</t>
  </si>
  <si>
    <t>offer price under consideration, as reported</t>
  </si>
  <si>
    <t>https://www.startupdaily.net/topic/funding/firmus-looks-cut-share-price-by-nearly-20-an-8-billion-haircut-on-its-market-cap-and-may-even-pull-the-ipo/</t>
  </si>
  <si>
    <t>Startup Daily, citing overnight reports by the AFR and The Australian, said Firmus was likely to cut the offer price from A$11 to A$9 a share, reducing the raise by about A$1.3 billion.</t>
  </si>
  <si>
    <t>F-174</t>
  </si>
  <si>
    <t>offer price as reported by brokers' offers</t>
  </si>
  <si>
    <t>https://thenightly.com.au/business/ai-hopeful-firmus-struggles-to-sell-investors-on-44-billion-valuation-c-22984194</t>
  </si>
  <si>
    <t>The Nightly reported on 8 October that stockbrokers were offering Firmus shares at A$8.25 and that the capital raising had been cut to US$3 billion.</t>
  </si>
  <si>
    <t>F-176</t>
  </si>
  <si>
    <t>Blockspace (syndicated copy, Yahoo Finance)</t>
  </si>
  <si>
    <t>Paragraph beginning 'The withdrawal followed weak demand'</t>
  </si>
  <si>
    <t>https://finance.yahoo.com/technology/ai/articles/firmus-withdraws-7-1-billion-151554787.html</t>
  </si>
  <si>
    <t>ABC reported on 8 October that the institutional book had closed and that advisers were weighing a cut from A$11 to A$8.25 a share and a smaller deal; Firmus did not adopt those terms.</t>
  </si>
  <si>
    <t>price tested with investors, as reported</t>
  </si>
  <si>
    <t>'How it unraveled' section, paragraph 2</t>
  </si>
  <si>
    <t>https://www.startupdaily.net/topic/asx/firmus-float-fizzles-out/</t>
  </si>
  <si>
    <t>The Australian reported that advisers then tested appetite at A$5.50 a share, half the original price, as they tried to keep the deal alive.</t>
  </si>
  <si>
    <t>equity valuation under discussion, as reported</t>
  </si>
  <si>
    <t>Benzinga (syndicated copy, Yahoo Finance)</t>
  </si>
  <si>
    <t>Paragraph beginning 'As doubts mounted'</t>
  </si>
  <si>
    <t>https://finance.yahoo.com/technology/ai/articles/nvidia-backed-fermus-wanted-30-182039299.html</t>
  </si>
  <si>
    <t>Bloomberg reported that the A$11 marketed price implied a valuation of A$43.7 billion (US$30.4 billion), with US$5.5 billion sought including the greenshoe.</t>
  </si>
  <si>
    <t>2026-10-02</t>
  </si>
  <si>
    <t>https://theedgemalaysia.com/node/820290</t>
  </si>
  <si>
    <t>Headline and paragraph 1</t>
  </si>
  <si>
    <t>https://thenightly.com.au/business/firmus-431b-asx-listing-fund-managers-warn-over-ai-data-centre-giants-valuation-ahead-of-october-ipo-c-22975665</t>
  </si>
  <si>
    <t>proposed share split</t>
  </si>
  <si>
    <t>Page 1, paragraph 2</t>
  </si>
  <si>
    <t>operating revenue, FY26, per offer document as reported</t>
  </si>
  <si>
    <t>Paragraph beginning 'Over the financial year to June 30, 2026'</t>
  </si>
  <si>
    <t>loss for FY26, per offer document as reported (line not stated)</t>
  </si>
  <si>
    <t>derived: currency inference for F-056</t>
  </si>
  <si>
    <t>FY26 results paragraph (US$ presentation)</t>
  </si>
  <si>
    <t>2029</t>
  </si>
  <si>
    <t>EBIT target, 2029, per pathfinder as reported</t>
  </si>
  <si>
    <t>Paragraph beginning 'If it delivers on its ambitious plans'</t>
  </si>
  <si>
    <t>revenue forecast, 2029, per pathfinder as reported</t>
  </si>
  <si>
    <t>sum by Startup Daily of project-level 12-month contracted revenue</t>
  </si>
  <si>
    <t>Regional comparison table (row 'Combined') and paragraph beginning 'But, as the IPO summary cautions'</t>
  </si>
  <si>
    <t>https://www.startupdaily.net/topic/asx/firmus-will-spend-4-4-billion-on-servers-and-deployment-from-asx-raise/</t>
  </si>
  <si>
    <t>Summed across the disclosed projects, 12-month contracted revenue is A$20.21 billion (US$14.15 billion), with target EBITDA of A$18.43 billion (US$12.90 billion, a 91.2% margin).</t>
  </si>
  <si>
    <t>sum by Startup Daily of project-level 12-month target EBIT</t>
  </si>
  <si>
    <t>Regional comparison table (row 'Combined')</t>
  </si>
  <si>
    <t>contracted future revenue, per offer document as reported</t>
  </si>
  <si>
    <t>Paragraph beginning 'The company states in a 56-page investment offer'</t>
  </si>
  <si>
    <t>capital cost of five development sites, per pathfinder as reported</t>
  </si>
  <si>
    <t>Paragraph beginning 'According to Firmus' pathfinder prospectus'</t>
  </si>
  <si>
    <t>Paragraph beginning 'Firmus says it has 46MW'</t>
  </si>
  <si>
    <t>2027</t>
  </si>
  <si>
    <t>critical IT, matching F-068</t>
  </si>
  <si>
    <t>Paragraph beginning 'In Tasmania, an 84MW Launceston facility'</t>
  </si>
  <si>
    <t>as stated (basis not given; matches F-088)</t>
  </si>
  <si>
    <t>Paragraphs beginning 'The $43 billion Batam project' and 'All three involve'</t>
  </si>
  <si>
    <t>Paragraph beginning 'The $43 billion Batam project'</t>
  </si>
  <si>
    <t>F-220</t>
  </si>
  <si>
    <t>derived: 84 + 23 + 360 + 192 + 206</t>
  </si>
  <si>
    <t>Site paragraphs</t>
  </si>
  <si>
    <t>The five development projects sum to 865 MW: Launceston 84, Wesley Vale 23, Batam 360, KVTP 192 and SVTP 206. Long Reach (Bell Bay) and the South Australian sites are not among them.</t>
  </si>
  <si>
    <t>F-221</t>
  </si>
  <si>
    <t>Bloomberg (syndicated copy, Yahoo Finance)</t>
  </si>
  <si>
    <t>pipeline as reported</t>
  </si>
  <si>
    <t>Paragraph beginning 'Firmus was valued at $10.5 billion'</t>
  </si>
  <si>
    <t>https://finance.yahoo.com/technology/ai/articles/nvidia-backed-ipo-cratering-demand-102043878.html</t>
  </si>
  <si>
    <t>Bloomberg reported a pipeline of 912 MW, of which only 46 MW has been built, according to investor documents.</t>
  </si>
  <si>
    <t>Paragraph beginning 'Revenue is mainly underpinned'</t>
  </si>
  <si>
    <t>Revenue is mainly underpinned by take-or-pay contracts, which require customers to pay for reserved capacity regardless of usage.</t>
  </si>
  <si>
    <t>construction budget, Launceston and Wesley Vale, per offer summary</t>
  </si>
  <si>
    <t>Paragraph beginning 'Those two sites are Firmus-owned'</t>
  </si>
  <si>
    <t>The disclosed budgets for the two Tasmanian projects include US$630 million (A$900 million) for construction.</t>
  </si>
  <si>
    <t>server budget, Launceston and Wesley Vale, per offer summary</t>
  </si>
  <si>
    <t>server budget, all disclosed sites, per offer summary</t>
  </si>
  <si>
    <t>Paragraph beginning 'Across the disclosed sites'</t>
  </si>
  <si>
    <t>Server budgets across the disclosed sites total US$35.97 billion (A$51.39 billion).</t>
  </si>
  <si>
    <t>server budget, Batam, per offer summary</t>
  </si>
  <si>
    <t>server budget, Melbourne, per offer summary</t>
  </si>
  <si>
    <t>F-234</t>
  </si>
  <si>
    <t>Startup Daily (quoting Rampart)</t>
  </si>
  <si>
    <t>'CDC exits' section, paragraph 2</t>
  </si>
  <si>
    <t>CDC's chief executive told Rampart: 'We're certainly not planning on doing 1.6 gigawatts of roll out with them because they made other choices with regards to doing their own data centre developments, which is slightly different to what we envisaged.'</t>
  </si>
  <si>
    <t>F-235</t>
  </si>
  <si>
    <t>Paragraph quoting the CDC spokesperson</t>
  </si>
  <si>
    <t>https://w.media/firmus-and-cdc-end-project-southgate-partnership-after-42mw-rollout/</t>
  </si>
  <si>
    <t>A CDC spokesperson told W.Media that the relationship 'has evolved to reflect changes in Firmus's business model and approach', and CDC now treats Firmus as a customer using its infrastructure.</t>
  </si>
  <si>
    <t>F-236</t>
  </si>
  <si>
    <t>Mingtiandi</t>
  </si>
  <si>
    <t>'Southgate Unravels' section</t>
  </si>
  <si>
    <t>https://www.mingtiandi.com/real-estate/data-centres/nvidia-backed-firmus-scraps-australian-ipo-as-investors-balk-at-31b-valuation/</t>
  </si>
  <si>
    <t>CDC's chief strategy officer told the Joint Select Committee on Artificial Intelligence on 9 October that CDC 'has not been involved in any developments in Tasmania and never intended to be involved in any development in Tasmania', and that Firmus took 'a very different approach' to development.</t>
  </si>
  <si>
    <t>F-237</t>
  </si>
  <si>
    <t>Paragraphs 2-4</t>
  </si>
  <si>
    <t>https://www.startupdaily.net/topic/asx/cdc-kills-off-its-73-3-billion-data-cente-rollout-deal-with-firmus/</t>
  </si>
  <si>
    <t>Firmus's co-CEO said Firmus and CDC 'mutually agreed earlier this year' not to proceed with the Southgate partnership, and that the decision 'does not affect Firmus' current development plans, contracted customer capacity, disclosed strategy or important international partnerships'.</t>
  </si>
  <si>
    <t>F-242</t>
  </si>
  <si>
    <t>critical IT</t>
  </si>
  <si>
    <t>Page body</t>
  </si>
  <si>
    <t>Firmus's Southgate page, read on 12 October 2026, presents Southgate as a long-term programme starting with the 84 MW Launceston campus and states no national capacity target.</t>
  </si>
  <si>
    <t>work orders received from Firmus</t>
  </si>
  <si>
    <t>Page 1, paragraph 3</t>
  </si>
  <si>
    <t>payments received by JLE from Firmus</t>
  </si>
  <si>
    <t>Page 1, paragraph 4</t>
  </si>
  <si>
    <t>Reserve Bank of Australia</t>
  </si>
  <si>
    <t>RBA exchange rate</t>
  </si>
  <si>
    <t>Daily table, October 2026</t>
  </si>
  <si>
    <t>https://www.rba.gov.au/statistics/frequency/exchange-rates.html</t>
  </si>
  <si>
    <t>RBA exchange rate: US$0.6979 per A$ on 9 October 2026, and US$0.6956 on 8 October.</t>
  </si>
  <si>
    <t>F-260</t>
  </si>
  <si>
    <t>critical_it (planned, full build-out)</t>
  </si>
  <si>
    <t>Project Approvals section and capacity panel</t>
  </si>
  <si>
    <t>https://firmus.co/ourcommitments/sa-community</t>
  </si>
  <si>
    <t>Firmus's South Australia community page, read on 12 October 2026, still says Firmus is seeking Crown Sponsorship for the Tailem Bend and Stirling North approvals pathway, with 2.3 GW of planned critical IT and about 2.7 GW of planned power connection.</t>
  </si>
  <si>
    <t>F-261</t>
  </si>
  <si>
    <t>Sites panel</t>
  </si>
  <si>
    <t>https://firmus.co/ourcommitments/tasmaniancommunity</t>
  </si>
  <si>
    <t>Status: Firmus's Tasmania community page, read on 12 October 2026, describes Launceston as its anchor site, 'under construction now', and says Firmus plans to grow from one site to three in Northern Tasmania.</t>
  </si>
  <si>
    <t>F-262</t>
  </si>
  <si>
    <t>offer price under consideration, attributed by Reuters to local media</t>
  </si>
  <si>
    <t>Paragraph beginning 'Firmus and its advisors on Thursday'</t>
  </si>
  <si>
    <t>https://wtaq.com/2026/10/08/firmus-investor-stock-falls-after-reports-ai-data-centre-operator-may-cut-5-billion-ipo/</t>
  </si>
  <si>
    <t>Reuters reported that on Thursday 8 October Firmus and its advisers were contemplating cutting the size of the IPO and reducing the price per share from A$11 to A$8.25, according to local media reports.</t>
  </si>
  <si>
    <t>2026-02-06</t>
  </si>
  <si>
    <t>2026-02-05</t>
  </si>
  <si>
    <t>Paragraphs 1 and 3</t>
  </si>
  <si>
    <t>https://www.startupdaily.net/topic/funding/ai-data-centre-startup-firmus-technologies-banks-another-100-million/</t>
  </si>
  <si>
    <t>Maas Group Holdings Limited (ASX announcement, from its investor site)</t>
  </si>
  <si>
    <t>2026-08-20</t>
  </si>
  <si>
    <t>investment in Firmus Grid in the year to 30 June 2026</t>
  </si>
  <si>
    <t>Page 29 (capital investments) and page 25 (other income)</t>
  </si>
  <si>
    <t>https://investors.maasgroup.com.au/DownloadFile.axd?file=/Report/ComNews/20260820/03123204.pdf</t>
  </si>
  <si>
    <t>2026-08</t>
  </si>
  <si>
    <t>post-money equity valuation as converted by the outlet</t>
  </si>
  <si>
    <t>Bloomberg reported that Firmus has a pipeline of 912 MW, of which only 46 MW has been built, according to investor documents.</t>
  </si>
  <si>
    <t>reported earnings uplift from the Meta Southeast Asia deal</t>
  </si>
  <si>
    <t>Paragraphs beginning 'According to an article in Capital Brief' and 'Sources indicate'</t>
  </si>
  <si>
    <t>https://www.lightreading.com/ai-machine-learning/firmus-to-supply-meta-with-gpu-capacity-in-southeast-asia</t>
  </si>
  <si>
    <t>Light Reading reported that, according to Capital Brief citing anonymous sources, Firmus's new Meta deal would add around US$750 million to future annual earnings and lift projected EBIT in two years by roughly 15%.</t>
  </si>
  <si>
    <t>F-274</t>
  </si>
  <si>
    <t>derived: US$5.0bn x 1.15</t>
  </si>
  <si>
    <t>Paragraph beginning 'Sources indicate the expanded Meta deal'</t>
  </si>
  <si>
    <t>FY28 EBIT of about US$5.75 billion follows from the roughly US$5 billion of EBIT by 2028 in forecasts given to investors (F-153), lifted by about 15% for the Meta Southeast Asia deal, as Light Reading reported.</t>
  </si>
  <si>
    <t>disclosed capital cost, five development sites, as tabled by Startup Daily</t>
  </si>
  <si>
    <t>Table 'Project / New compute capacity / Disclosed capital cost / Target operations', row 'Total'</t>
  </si>
  <si>
    <t>disclosed capital cost as tabled by Startup Daily</t>
  </si>
  <si>
    <t>Capital cost table, row 'Launceston, Tasmania'</t>
  </si>
  <si>
    <t>Capital cost table, row 'Wesley Vale, Tasmania'</t>
  </si>
  <si>
    <t>Capital cost table, row 'Batam, Indonesia'</t>
  </si>
  <si>
    <t>Capital cost table, row 'KVTP, Kuala Lumpur'</t>
  </si>
  <si>
    <t>Capital cost table, row 'SVTP, Kuala Lumpur'</t>
  </si>
  <si>
    <t>F-282</t>
  </si>
  <si>
    <t>Capital cost table, column 'Target operations'</t>
  </si>
  <si>
    <t>Startup Daily's table of disclosed capital costs has Batam operating in phases from early 2027, KVTP completing in phases from 2027 and SVTP completing during 2027 and 2028.</t>
  </si>
  <si>
    <t>Firmus: griddcf</t>
  </si>
  <si>
    <t>Offer price; debt neutral; Fast timetable; margin 50%; rate 8%</t>
  </si>
  <si>
    <t>Offer price; debt neutral; Fast timetable; margin 50%; rate 10%</t>
  </si>
  <si>
    <t>Offer price; debt neutral; Fast timetable; margin 50%; rate 12%</t>
  </si>
  <si>
    <t>Offer price; debt neutral; Fast timetable; margin 50%; rate 14%</t>
  </si>
  <si>
    <t>Offer price; debt neutral; Fast timetable; margin 59%; rate 8%</t>
  </si>
  <si>
    <t>Offer price; debt neutral; Fast timetable; margin 59%; rate 10%</t>
  </si>
  <si>
    <t>Offer price; debt neutral; Fast timetable; margin 59%; rate 12%</t>
  </si>
  <si>
    <t>Offer price; debt neutral; Fast timetable; margin 59%; rate 14%</t>
  </si>
  <si>
    <t>Offer price; debt neutral; Fast timetable; margin 60%; rate 8%</t>
  </si>
  <si>
    <t>Offer price; debt neutral; Fast timetable; margin 60%; rate 10%</t>
  </si>
  <si>
    <t>Offer price; debt neutral; Fast timetable; margin 60%; rate 12%</t>
  </si>
  <si>
    <t>Offer price; debt neutral; Fast timetable; margin 60%; rate 14%</t>
  </si>
  <si>
    <t>Offer price; debt neutral; Fast timetable; margin 70%; rate 8%</t>
  </si>
  <si>
    <t>Offer price; debt neutral; Fast timetable; margin 70%; rate 10%</t>
  </si>
  <si>
    <t>Offer price; debt neutral; Fast timetable; margin 70%; rate 12%</t>
  </si>
  <si>
    <t>Offer price; debt neutral; Fast timetable; margin 70%; rate 14%</t>
  </si>
  <si>
    <t>Offer price; debt neutral; Fast timetable; margin 80%; rate 8%</t>
  </si>
  <si>
    <t>Offer price; debt neutral; Fast timetable; margin 80%; rate 10%</t>
  </si>
  <si>
    <t>Offer price; debt neutral; Fast timetable; margin 80%; rate 12%</t>
  </si>
  <si>
    <t>Offer price; debt neutral; Fast timetable; margin 80%; rate 14%</t>
  </si>
  <si>
    <t>Offer price; debt neutral; Fast timetable; margin 91%; rate 8%</t>
  </si>
  <si>
    <t>Offer price; debt neutral; Fast timetable; margin 91%; rate 10%</t>
  </si>
  <si>
    <t>Offer price; debt neutral; Fast timetable; margin 91%; rate 12%</t>
  </si>
  <si>
    <t>Offer price; debt neutral; Fast timetable; margin 91%; rate 14%</t>
  </si>
  <si>
    <t>Reported alternative A$9.00; debt neutral; Fast timetable; margin 50%; rate 8%</t>
  </si>
  <si>
    <t>Reported alternative A$9.00; debt neutral; Fast timetable; margin 50%; rate 10%</t>
  </si>
  <si>
    <t>Reported alternative A$9.00; debt neutral; Fast timetable; margin 50%; rate 12%</t>
  </si>
  <si>
    <t>Reported alternative A$9.00; debt neutral; Fast timetable; margin 50%; rate 14%</t>
  </si>
  <si>
    <t>Reported alternative A$9.00; debt neutral; Fast timetable; margin 59%; rate 8%</t>
  </si>
  <si>
    <t>Reported alternative A$9.00; debt neutral; Fast timetable; margin 59%; rate 10%</t>
  </si>
  <si>
    <t>Reported alternative A$9.00; debt neutral; Fast timetable; margin 59%; rate 12%</t>
  </si>
  <si>
    <t>Reported alternative A$9.00; debt neutral; Fast timetable; margin 59%; rate 14%</t>
  </si>
  <si>
    <t>Reported alternative A$9.00; debt neutral; Fast timetable; margin 60%; rate 8%</t>
  </si>
  <si>
    <t>Reported alternative A$9.00; debt neutral; Fast timetable; margin 60%; rate 10%</t>
  </si>
  <si>
    <t>Reported alternative A$9.00; debt neutral; Fast timetable; margin 60%; rate 12%</t>
  </si>
  <si>
    <t>Reported alternative A$9.00; debt neutral; Fast timetable; margin 60%; rate 14%</t>
  </si>
  <si>
    <t>Reported alternative A$9.00; debt neutral; Fast timetable; margin 70%; rate 8%</t>
  </si>
  <si>
    <t>Reported alternative A$9.00; debt neutral; Fast timetable; margin 70%; rate 10%</t>
  </si>
  <si>
    <t>Reported alternative A$9.00; debt neutral; Fast timetable; margin 70%; rate 12%</t>
  </si>
  <si>
    <t>Reported alternative A$9.00; debt neutral; Fast timetable; margin 70%; rate 14%</t>
  </si>
  <si>
    <t>Reported alternative A$9.00; debt neutral; Fast timetable; margin 80%; rate 8%</t>
  </si>
  <si>
    <t>Reported alternative A$9.00; debt neutral; Fast timetable; margin 80%; rate 10%</t>
  </si>
  <si>
    <t>Reported alternative A$9.00; debt neutral; Fast timetable; margin 80%; rate 12%</t>
  </si>
  <si>
    <t>Reported alternative A$9.00; debt neutral; Fast timetable; margin 80%; rate 14%</t>
  </si>
  <si>
    <t>Reported alternative A$9.00; debt neutral; Fast timetable; margin 91%; rate 8%</t>
  </si>
  <si>
    <t>Reported alternative A$9.00; debt neutral; Fast timetable; margin 91%; rate 10%</t>
  </si>
  <si>
    <t>Reported alternative A$9.00; debt neutral; Fast timetable; margin 91%; rate 12%</t>
  </si>
  <si>
    <t>Reported alternative A$9.00; debt neutral; Fast timetable; margin 91%; rate 14%</t>
  </si>
  <si>
    <t>Reported alternative A$8.25; debt neutral; Fast timetable; margin 50%; rate 8%</t>
  </si>
  <si>
    <t>Reported alternative A$8.25; debt neutral; Fast timetable; margin 50%; rate 10%</t>
  </si>
  <si>
    <t>Reported alternative A$8.25; debt neutral; Fast timetable; margin 50%; rate 12%</t>
  </si>
  <si>
    <t>Reported alternative A$8.25; debt neutral; Fast timetable; margin 50%; rate 14%</t>
  </si>
  <si>
    <t>Reported alternative A$8.25; debt neutral; Fast timetable; margin 59%; rate 8%</t>
  </si>
  <si>
    <t>Reported alternative A$8.25; debt neutral; Fast timetable; margin 59%; rate 10%</t>
  </si>
  <si>
    <t>Reported alternative A$8.25; debt neutral; Fast timetable; margin 59%; rate 12%</t>
  </si>
  <si>
    <t>Reported alternative A$8.25; debt neutral; Fast timetable; margin 59%; rate 14%</t>
  </si>
  <si>
    <t>Reported alternative A$8.25; debt neutral; Fast timetable; margin 60%; rate 8%</t>
  </si>
  <si>
    <t>Reported alternative A$8.25; debt neutral; Fast timetable; margin 60%; rate 10%</t>
  </si>
  <si>
    <t>Reported alternative A$8.25; debt neutral; Fast timetable; margin 60%; rate 12%</t>
  </si>
  <si>
    <t>Reported alternative A$8.25; debt neutral; Fast timetable; margin 60%; rate 14%</t>
  </si>
  <si>
    <t>Reported alternative A$8.25; debt neutral; Fast timetable; margin 70%; rate 8%</t>
  </si>
  <si>
    <t>Reported alternative A$8.25; debt neutral; Fast timetable; margin 70%; rate 10%</t>
  </si>
  <si>
    <t>Reported alternative A$8.25; debt neutral; Fast timetable; margin 70%; rate 12%</t>
  </si>
  <si>
    <t>Reported alternative A$8.25; debt neutral; Fast timetable; margin 70%; rate 14%</t>
  </si>
  <si>
    <t>Reported alternative A$8.25; debt neutral; Fast timetable; margin 80%; rate 8%</t>
  </si>
  <si>
    <t>Reported alternative A$8.25; debt neutral; Fast timetable; margin 80%; rate 10%</t>
  </si>
  <si>
    <t>Reported alternative A$8.25; debt neutral; Fast timetable; margin 80%; rate 12%</t>
  </si>
  <si>
    <t>Reported alternative A$8.25; debt neutral; Fast timetable; margin 80%; rate 14%</t>
  </si>
  <si>
    <t>Reported alternative A$8.25; debt neutral; Fast timetable; margin 91%; rate 8%</t>
  </si>
  <si>
    <t>Reported alternative A$8.25; debt neutral; Fast timetable; margin 91%; rate 10%</t>
  </si>
  <si>
    <t>Reported alternative A$8.25; debt neutral; Fast timetable; margin 91%; rate 12%</t>
  </si>
  <si>
    <t>Reported alternative A$8.25; debt neutral; Fast timetable; margin 91%; rate 14%</t>
  </si>
  <si>
    <t>Reported alternative A$5.50; debt neutral; Fast timetable; margin 50%; rate 8%</t>
  </si>
  <si>
    <t>Reported alternative A$5.50; debt neutral; Fast timetable; margin 50%; rate 10%</t>
  </si>
  <si>
    <t>Reported alternative A$5.50; debt neutral; Fast timetable; margin 50%; rate 12%</t>
  </si>
  <si>
    <t>Reported alternative A$5.50; debt neutral; Fast timetable; margin 50%; rate 14%</t>
  </si>
  <si>
    <t>Reported alternative A$5.50; debt neutral; Fast timetable; margin 59%; rate 8%</t>
  </si>
  <si>
    <t>Reported alternative A$5.50; debt neutral; Fast timetable; margin 59%; rate 10%</t>
  </si>
  <si>
    <t>Reported alternative A$5.50; debt neutral; Fast timetable; margin 59%; rate 12%</t>
  </si>
  <si>
    <t>Reported alternative A$5.50; debt neutral; Fast timetable; margin 59%; rate 14%</t>
  </si>
  <si>
    <t>Reported alternative A$5.50; debt neutral; Fast timetable; margin 60%; rate 8%</t>
  </si>
  <si>
    <t>Reported alternative A$5.50; debt neutral; Fast timetable; margin 60%; rate 10%</t>
  </si>
  <si>
    <t>Reported alternative A$5.50; debt neutral; Fast timetable; margin 60%; rate 12%</t>
  </si>
  <si>
    <t>Reported alternative A$5.50; debt neutral; Fast timetable; margin 60%; rate 14%</t>
  </si>
  <si>
    <t>Reported alternative A$5.50; debt neutral; Fast timetable; margin 70%; rate 8%</t>
  </si>
  <si>
    <t>Reported alternative A$5.50; debt neutral; Fast timetable; margin 70%; rate 10%</t>
  </si>
  <si>
    <t>Reported alternative A$5.50; debt neutral; Fast timetable; margin 70%; rate 12%</t>
  </si>
  <si>
    <t>Reported alternative A$5.50; debt neutral; Fast timetable; margin 70%; rate 14%</t>
  </si>
  <si>
    <t>Reported alternative A$5.50; debt neutral; Fast timetable; margin 80%; rate 8%</t>
  </si>
  <si>
    <t>Reported alternative A$5.50; debt neutral; Fast timetable; margin 80%; rate 10%</t>
  </si>
  <si>
    <t>Reported alternative A$5.50; debt neutral; Fast timetable; margin 80%; rate 12%</t>
  </si>
  <si>
    <t>Reported alternative A$5.50; debt neutral; Fast timetable; margin 80%; rate 14%</t>
  </si>
  <si>
    <t>Reported alternative A$5.50; debt neutral; Fast timetable; margin 91%; rate 8%</t>
  </si>
  <si>
    <t>Reported alternative A$5.50; debt neutral; Fast timetable; margin 91%; rate 10%</t>
  </si>
  <si>
    <t>Reported alternative A$5.50; debt neutral; Fast timetable; margin 91%; rate 12%</t>
  </si>
  <si>
    <t>Reported alternative A$5.50; debt neutral; Fast timetable; margin 91%; rate 14%</t>
  </si>
  <si>
    <t>Firmus: requirement grid</t>
  </si>
  <si>
    <t>Consistent with the price under the stated model: fast commissioning, neutral financing and assumed equivalent IT capacity.</t>
  </si>
  <si>
    <t>Discount rate</t>
  </si>
  <si>
    <t>Revenue A$m/IT MW/year</t>
  </si>
  <si>
    <t>Revenue US$m/IT MW/year</t>
  </si>
  <si>
    <t>US$/equivalent GPU-hour</t>
  </si>
  <si>
    <t>PV terminal share</t>
  </si>
  <si>
    <t>Target EV A$m</t>
  </si>
  <si>
    <t>Repriced EV A$m</t>
  </si>
  <si>
    <t>EBIT condition</t>
  </si>
  <si>
    <t>Cash-flow schedule</t>
  </si>
  <si>
    <t>ipo_11</t>
  </si>
  <si>
    <t>GridDCF!D32</t>
  </si>
  <si>
    <t>GridDCF!D78</t>
  </si>
  <si>
    <t>GridDCF!D124</t>
  </si>
  <si>
    <t>GridDCF!D170</t>
  </si>
  <si>
    <t>GridDCF!D216</t>
  </si>
  <si>
    <t>GridDCF!D262</t>
  </si>
  <si>
    <t>GridDCF!D308</t>
  </si>
  <si>
    <t>GridDCF!D354</t>
  </si>
  <si>
    <t>GridDCF!D400</t>
  </si>
  <si>
    <t>GridDCF!D446</t>
  </si>
  <si>
    <t>GridDCF!D492</t>
  </si>
  <si>
    <t>GridDCF!D538</t>
  </si>
  <si>
    <t>GridDCF!D584</t>
  </si>
  <si>
    <t>GridDCF!D630</t>
  </si>
  <si>
    <t>GridDCF!D676</t>
  </si>
  <si>
    <t>GridDCF!D722</t>
  </si>
  <si>
    <t>GridDCF!D768</t>
  </si>
  <si>
    <t>GridDCF!D814</t>
  </si>
  <si>
    <t>GridDCF!D860</t>
  </si>
  <si>
    <t>GridDCF!D906</t>
  </si>
  <si>
    <t>GridDCF!D952</t>
  </si>
  <si>
    <t>GridDCF!D998</t>
  </si>
  <si>
    <t>GridDCF!D1044</t>
  </si>
  <si>
    <t>GridDCF!D1090</t>
  </si>
  <si>
    <t>ipo_9</t>
  </si>
  <si>
    <t>GridDCF!D1136</t>
  </si>
  <si>
    <t>GridDCF!D1182</t>
  </si>
  <si>
    <t>GridDCF!D1228</t>
  </si>
  <si>
    <t>GridDCF!D1274</t>
  </si>
  <si>
    <t>GridDCF!D1320</t>
  </si>
  <si>
    <t>GridDCF!D1366</t>
  </si>
  <si>
    <t>GridDCF!D1412</t>
  </si>
  <si>
    <t>GridDCF!D1458</t>
  </si>
  <si>
    <t>GridDCF!D1504</t>
  </si>
  <si>
    <t>GridDCF!D1550</t>
  </si>
  <si>
    <t>GridDCF!D1596</t>
  </si>
  <si>
    <t>GridDCF!D1642</t>
  </si>
  <si>
    <t>GridDCF!D1688</t>
  </si>
  <si>
    <t>GridDCF!D1734</t>
  </si>
  <si>
    <t>GridDCF!D1780</t>
  </si>
  <si>
    <t>GridDCF!D1826</t>
  </si>
  <si>
    <t>GridDCF!D1872</t>
  </si>
  <si>
    <t>GridDCF!D1918</t>
  </si>
  <si>
    <t>GridDCF!D1964</t>
  </si>
  <si>
    <t>GridDCF!D2010</t>
  </si>
  <si>
    <t>GridDCF!D2056</t>
  </si>
  <si>
    <t>GridDCF!D2102</t>
  </si>
  <si>
    <t>GridDCF!D2148</t>
  </si>
  <si>
    <t>GridDCF!D2194</t>
  </si>
  <si>
    <t>ipo_8.25</t>
  </si>
  <si>
    <t>GridDCF!D2240</t>
  </si>
  <si>
    <t>GridDCF!D2286</t>
  </si>
  <si>
    <t>GridDCF!D2332</t>
  </si>
  <si>
    <t>GridDCF!D2378</t>
  </si>
  <si>
    <t>GridDCF!D2424</t>
  </si>
  <si>
    <t>GridDCF!D2470</t>
  </si>
  <si>
    <t>GridDCF!D2516</t>
  </si>
  <si>
    <t>GridDCF!D2562</t>
  </si>
  <si>
    <t>GridDCF!D2608</t>
  </si>
  <si>
    <t>GridDCF!D2654</t>
  </si>
  <si>
    <t>GridDCF!D2700</t>
  </si>
  <si>
    <t>GridDCF!D2746</t>
  </si>
  <si>
    <t>GridDCF!D2792</t>
  </si>
  <si>
    <t>GridDCF!D2838</t>
  </si>
  <si>
    <t>GridDCF!D2884</t>
  </si>
  <si>
    <t>GridDCF!D2930</t>
  </si>
  <si>
    <t>GridDCF!D2976</t>
  </si>
  <si>
    <t>GridDCF!D3022</t>
  </si>
  <si>
    <t>GridDCF!D3068</t>
  </si>
  <si>
    <t>GridDCF!D3114</t>
  </si>
  <si>
    <t>GridDCF!D3160</t>
  </si>
  <si>
    <t>GridDCF!D3206</t>
  </si>
  <si>
    <t>GridDCF!D3252</t>
  </si>
  <si>
    <t>GridDCF!D3298</t>
  </si>
  <si>
    <t>ipo_5.5</t>
  </si>
  <si>
    <t>GridDCF!D3344</t>
  </si>
  <si>
    <t>GridDCF!D3390</t>
  </si>
  <si>
    <t>GridDCF!D3436</t>
  </si>
  <si>
    <t>GridDCF!D3482</t>
  </si>
  <si>
    <t>GridDCF!D3528</t>
  </si>
  <si>
    <t>GridDCF!D3574</t>
  </si>
  <si>
    <t>GridDCF!D3620</t>
  </si>
  <si>
    <t>GridDCF!D3666</t>
  </si>
  <si>
    <t>GridDCF!D3712</t>
  </si>
  <si>
    <t>GridDCF!D3758</t>
  </si>
  <si>
    <t>GridDCF!D3804</t>
  </si>
  <si>
    <t>GridDCF!D3850</t>
  </si>
  <si>
    <t>GridDCF!D3896</t>
  </si>
  <si>
    <t>GridDCF!D3942</t>
  </si>
  <si>
    <t>GridDCF!D3988</t>
  </si>
  <si>
    <t>GridDCF!D4034</t>
  </si>
  <si>
    <t>GridDCF!D4080</t>
  </si>
  <si>
    <t>GridDCF!D4126</t>
  </si>
  <si>
    <t>GridDCF!D4172</t>
  </si>
  <si>
    <t>GridDCF!D4218</t>
  </si>
  <si>
    <t>GridDCF!D4264</t>
  </si>
  <si>
    <t>GridDCF!D4310</t>
  </si>
  <si>
    <t>GridDCF!D4356</t>
  </si>
  <si>
    <t>GridDCF!D4402</t>
  </si>
  <si>
    <t>Firmus: recoverydcf</t>
  </si>
  <si>
    <t>EV-zero capital recovery; debt neutral; fast commissioning</t>
  </si>
  <si>
    <t>EV-zero capital recovery; debt neutral; slower 911 MW</t>
  </si>
  <si>
    <t>EV-zero capital recovery; debt neutral; fast 1600 MW</t>
  </si>
  <si>
    <t>Firmus: capital recovery threshold</t>
  </si>
  <si>
    <t>Revenue for enterprise value of zero under the stated operating model, including cash costs, capex, replacements, tax and working capital.</t>
  </si>
  <si>
    <t>Profile</t>
  </si>
  <si>
    <t>Financing</t>
  </si>
  <si>
    <t>Price reference</t>
  </si>
  <si>
    <t>Threshold A$m/IT MW/year</t>
  </si>
  <si>
    <t>Threshold US$m/IT MW/year</t>
  </si>
  <si>
    <t>Central requirement A$m/IT MW/year</t>
  </si>
  <si>
    <t>Threshold / central</t>
  </si>
  <si>
    <t>Same-profile requirement A$m/IT MW/year</t>
  </si>
  <si>
    <t>Threshold / same-profile</t>
  </si>
  <si>
    <t>neutral</t>
  </si>
  <si>
    <t>slow_911</t>
  </si>
  <si>
    <t>fast_1600</t>
  </si>
  <si>
    <t>September 2025 private reference</t>
  </si>
  <si>
    <t>Firmus: value per reported MW</t>
  </si>
  <si>
    <t>Enterprise values use the stated debt and cash assumptions. Operating and pipeline megawatts are reported on physical bases that are not stated.</t>
  </si>
  <si>
    <t>Debt and cash assumptions</t>
  </si>
  <si>
    <t>EV A$m</t>
  </si>
  <si>
    <t>EV per operating MW (A$m)</t>
  </si>
  <si>
    <t>EV per pipeline MW (A$m)</t>
  </si>
  <si>
    <t>Megawatt basis</t>
  </si>
  <si>
    <t>Debt and cash neutral</t>
  </si>
  <si>
    <t>Operating and pipeline megawatts are reported with no stated physical basis. Enterprise value uses the stated debt and cash assumptions.</t>
  </si>
  <si>
    <t>Firmus: figures and their calculation sources</t>
  </si>
  <si>
    <t>Figures in the analysis, with their calculation cells, measurement bases and source facts.</t>
  </si>
  <si>
    <t>Figure reference</t>
  </si>
  <si>
    <t>Display precision</t>
  </si>
  <si>
    <t>Calculation cell</t>
  </si>
  <si>
    <t>central_requirement_ipo_11_neutral</t>
  </si>
  <si>
    <t>A$m per equivalent critical IT MW per year</t>
  </si>
  <si>
    <t>0.0</t>
  </si>
  <si>
    <t>Consistent with the price under the stated central model; assumed equivalent IT MW, central margin and discount-rate input cells, and stated financing basis</t>
  </si>
  <si>
    <t>DCF!D32</t>
  </si>
  <si>
    <t>F-046, F-049, F-213, F-214, F-229, F-231, F-251, F-277, F-278, F-279, F-280, F-281</t>
  </si>
  <si>
    <t>central_requirement_usd_ipo_11_neutral</t>
  </si>
  <si>
    <t>DCF!J32</t>
  </si>
  <si>
    <t>central_gpu_hour_ipo_11_neutral</t>
  </si>
  <si>
    <t>0.00</t>
  </si>
  <si>
    <t>DCF!D48</t>
  </si>
  <si>
    <t>F-046, F-049, F-068, F-071, F-213, F-214, F-224, F-229, F-231, F-251, F-277, F-278, F-279, F-280, F-281</t>
  </si>
  <si>
    <t>central_terminal_share_ipo_11_neutral</t>
  </si>
  <si>
    <t>0.0%</t>
  </si>
  <si>
    <t>DCF!D47</t>
  </si>
  <si>
    <t>central_requirement_ipo_11_facility</t>
  </si>
  <si>
    <t>DCF!D170</t>
  </si>
  <si>
    <t>F-046, F-049, F-122, F-213, F-214, F-229, F-231, F-251, F-277, F-278, F-279, F-280, F-281</t>
  </si>
  <si>
    <t>central_requirement_usd_ipo_11_facility</t>
  </si>
  <si>
    <t>DCF!J170</t>
  </si>
  <si>
    <t>central_gpu_hour_ipo_11_facility</t>
  </si>
  <si>
    <t>DCF!D186</t>
  </si>
  <si>
    <t>F-046, F-049, F-068, F-071, F-122, F-213, F-214, F-224, F-229, F-231, F-251, F-277, F-278, F-279, F-280, F-281</t>
  </si>
  <si>
    <t>central_terminal_share_ipo_11_facility</t>
  </si>
  <si>
    <t>DCF!D185</t>
  </si>
  <si>
    <t>central_requirement_ipo_9_neutral</t>
  </si>
  <si>
    <t>DCF!D308</t>
  </si>
  <si>
    <t>F-046, F-049, F-173, F-213, F-214, F-229, F-231, F-251, F-277, F-278, F-279, F-280, F-281</t>
  </si>
  <si>
    <t>central_requirement_usd_ipo_9_neutral</t>
  </si>
  <si>
    <t>DCF!J308</t>
  </si>
  <si>
    <t>central_gpu_hour_ipo_9_neutral</t>
  </si>
  <si>
    <t>DCF!D324</t>
  </si>
  <si>
    <t>F-046, F-049, F-068, F-071, F-173, F-213, F-214, F-224, F-229, F-231, F-251, F-277, F-278, F-279, F-280, F-281</t>
  </si>
  <si>
    <t>central_terminal_share_ipo_9_neutral</t>
  </si>
  <si>
    <t>DCF!D323</t>
  </si>
  <si>
    <t>central_requirement_ipo_9_facility</t>
  </si>
  <si>
    <t>DCF!D446</t>
  </si>
  <si>
    <t>F-046, F-049, F-122, F-173, F-213, F-214, F-229, F-231, F-251, F-277, F-278, F-279, F-280, F-281</t>
  </si>
  <si>
    <t>central_requirement_usd_ipo_9_facility</t>
  </si>
  <si>
    <t>DCF!J446</t>
  </si>
  <si>
    <t>central_gpu_hour_ipo_9_facility</t>
  </si>
  <si>
    <t>DCF!D462</t>
  </si>
  <si>
    <t>F-046, F-049, F-068, F-071, F-122, F-173, F-213, F-214, F-224, F-229, F-231, F-251, F-277, F-278, F-279, F-280, F-281</t>
  </si>
  <si>
    <t>central_terminal_share_ipo_9_facility</t>
  </si>
  <si>
    <t>DCF!D461</t>
  </si>
  <si>
    <t>central_requirement_ipo_8.25_neutral</t>
  </si>
  <si>
    <t>DCF!D584</t>
  </si>
  <si>
    <t>F-046, F-049, F-174, F-176, F-213, F-214, F-229, F-231, F-251, F-262, F-277, F-278, F-279, F-280, F-281</t>
  </si>
  <si>
    <t>central_requirement_usd_ipo_8.25_neutral</t>
  </si>
  <si>
    <t>DCF!J584</t>
  </si>
  <si>
    <t>central_gpu_hour_ipo_8.25_neutral</t>
  </si>
  <si>
    <t>DCF!D600</t>
  </si>
  <si>
    <t>F-046, F-049, F-068, F-071, F-174, F-176, F-213, F-214, F-224, F-229, F-231, F-251, F-262, F-277, F-278, F-279, F-280, F-281</t>
  </si>
  <si>
    <t>central_terminal_share_ipo_8.25_neutral</t>
  </si>
  <si>
    <t>DCF!D599</t>
  </si>
  <si>
    <t>central_requirement_ipo_8.25_facility</t>
  </si>
  <si>
    <t>DCF!D722</t>
  </si>
  <si>
    <t>F-046, F-049, F-122, F-174, F-176, F-213, F-214, F-229, F-231, F-251, F-262, F-277, F-278, F-279, F-280, F-281</t>
  </si>
  <si>
    <t>central_requirement_usd_ipo_8.25_facility</t>
  </si>
  <si>
    <t>DCF!J722</t>
  </si>
  <si>
    <t>central_gpu_hour_ipo_8.25_facility</t>
  </si>
  <si>
    <t>DCF!D738</t>
  </si>
  <si>
    <t>F-046, F-049, F-068, F-071, F-122, F-174, F-176, F-213, F-214, F-224, F-229, F-231, F-251, F-262, F-277, F-278, F-279, F-280, F-281</t>
  </si>
  <si>
    <t>central_terminal_share_ipo_8.25_facility</t>
  </si>
  <si>
    <t>DCF!D737</t>
  </si>
  <si>
    <t>central_requirement_ipo_5.5_neutral</t>
  </si>
  <si>
    <t>DCF!D860</t>
  </si>
  <si>
    <t>F-046, F-049, F-177, F-213, F-214, F-229, F-231, F-251, F-277, F-278, F-279, F-280, F-281</t>
  </si>
  <si>
    <t>central_requirement_usd_ipo_5.5_neutral</t>
  </si>
  <si>
    <t>DCF!J860</t>
  </si>
  <si>
    <t>central_gpu_hour_ipo_5.5_neutral</t>
  </si>
  <si>
    <t>DCF!D876</t>
  </si>
  <si>
    <t>F-046, F-049, F-068, F-071, F-177, F-213, F-214, F-224, F-229, F-231, F-251, F-277, F-278, F-279, F-280, F-281</t>
  </si>
  <si>
    <t>central_terminal_share_ipo_5.5_neutral</t>
  </si>
  <si>
    <t>DCF!D875</t>
  </si>
  <si>
    <t>central_requirement_ipo_5.5_facility</t>
  </si>
  <si>
    <t>DCF!D998</t>
  </si>
  <si>
    <t>F-046, F-049, F-122, F-177, F-213, F-214, F-229, F-231, F-251, F-277, F-278, F-279, F-280, F-281</t>
  </si>
  <si>
    <t>central_requirement_usd_ipo_5.5_facility</t>
  </si>
  <si>
    <t>DCF!J998</t>
  </si>
  <si>
    <t>central_gpu_hour_ipo_5.5_facility</t>
  </si>
  <si>
    <t>DCF!D1014</t>
  </si>
  <si>
    <t>F-046, F-049, F-068, F-071, F-122, F-177, F-213, F-214, F-224, F-229, F-231, F-251, F-277, F-278, F-279, F-280, F-281</t>
  </si>
  <si>
    <t>central_terminal_share_ipo_5.5_facility</t>
  </si>
  <si>
    <t>DCF!D1013</t>
  </si>
  <si>
    <t>ev_per_operating_mw_ipo_11_neutral</t>
  </si>
  <si>
    <t>A$m/reported operating MW</t>
  </si>
  <si>
    <t>Reported capacity, physical basis unstated. Operating and pipeline statuses differ. EV is conditional on the stated financing basis.</t>
  </si>
  <si>
    <t>ValueMW!D6</t>
  </si>
  <si>
    <t>F-046, F-049, F-213</t>
  </si>
  <si>
    <t>ev_per_pipeline_mw_ipo_11_neutral</t>
  </si>
  <si>
    <t>A$m/reported pipeline MW</t>
  </si>
  <si>
    <t>ValueMW!E6</t>
  </si>
  <si>
    <t>F-046, F-049, F-266</t>
  </si>
  <si>
    <t>ev_per_operating_mw_ipo_11_facility</t>
  </si>
  <si>
    <t>ValueMW!D7</t>
  </si>
  <si>
    <t>F-046, F-049, F-122, F-213, F-251</t>
  </si>
  <si>
    <t>ev_per_pipeline_mw_ipo_11_facility</t>
  </si>
  <si>
    <t>ValueMW!E7</t>
  </si>
  <si>
    <t>F-046, F-049, F-122, F-251, F-266</t>
  </si>
  <si>
    <t>ev_per_operating_mw_ipo_9_neutral</t>
  </si>
  <si>
    <t>ValueMW!D8</t>
  </si>
  <si>
    <t>F-046, F-049, F-173, F-213</t>
  </si>
  <si>
    <t>ev_per_pipeline_mw_ipo_9_neutral</t>
  </si>
  <si>
    <t>ValueMW!E8</t>
  </si>
  <si>
    <t>F-046, F-049, F-173, F-266</t>
  </si>
  <si>
    <t>ev_per_operating_mw_ipo_9_facility</t>
  </si>
  <si>
    <t>ValueMW!D9</t>
  </si>
  <si>
    <t>F-046, F-049, F-122, F-173, F-213, F-251</t>
  </si>
  <si>
    <t>ev_per_pipeline_mw_ipo_9_facility</t>
  </si>
  <si>
    <t>ValueMW!E9</t>
  </si>
  <si>
    <t>F-046, F-049, F-122, F-173, F-251, F-266</t>
  </si>
  <si>
    <t>ev_per_operating_mw_ipo_8.25_neutral</t>
  </si>
  <si>
    <t>ValueMW!D10</t>
  </si>
  <si>
    <t>F-046, F-049, F-174, F-176, F-213, F-262</t>
  </si>
  <si>
    <t>ev_per_pipeline_mw_ipo_8.25_neutral</t>
  </si>
  <si>
    <t>ValueMW!E10</t>
  </si>
  <si>
    <t>F-046, F-049, F-174, F-176, F-262, F-266</t>
  </si>
  <si>
    <t>ev_per_operating_mw_ipo_8.25_facility</t>
  </si>
  <si>
    <t>ValueMW!D11</t>
  </si>
  <si>
    <t>F-046, F-049, F-122, F-174, F-176, F-213, F-251, F-262</t>
  </si>
  <si>
    <t>ev_per_pipeline_mw_ipo_8.25_facility</t>
  </si>
  <si>
    <t>ValueMW!E11</t>
  </si>
  <si>
    <t>F-046, F-049, F-122, F-174, F-176, F-251, F-262, F-266</t>
  </si>
  <si>
    <t>ev_per_operating_mw_ipo_5.5_neutral</t>
  </si>
  <si>
    <t>ValueMW!D12</t>
  </si>
  <si>
    <t>F-046, F-049, F-177, F-213</t>
  </si>
  <si>
    <t>ev_per_pipeline_mw_ipo_5.5_neutral</t>
  </si>
  <si>
    <t>ValueMW!E12</t>
  </si>
  <si>
    <t>F-046, F-049, F-177, F-266</t>
  </si>
  <si>
    <t>ev_per_operating_mw_ipo_5.5_facility</t>
  </si>
  <si>
    <t>ValueMW!D13</t>
  </si>
  <si>
    <t>F-046, F-049, F-122, F-177, F-213, F-251</t>
  </si>
  <si>
    <t>ev_per_pipeline_mw_ipo_5.5_facility</t>
  </si>
  <si>
    <t>ValueMW!E13</t>
  </si>
  <si>
    <t>F-046, F-049, F-122, F-177, F-251, F-266</t>
  </si>
  <si>
    <t>capital_recovery_contracted</t>
  </si>
  <si>
    <t>EV-zero revenue under the same operating margin, cash tax, working capital, development and replacement capex, terminal assumptions and discount rate. It is not hardware-only payback or a cash funding estimate.</t>
  </si>
  <si>
    <t>RecoveryDCF!D32</t>
  </si>
  <si>
    <t>F-213, F-214, F-229, F-231, F-251, F-277, F-278, F-279, F-280, F-281</t>
  </si>
  <si>
    <t>capital_recovery_share_contracted_ipo_11_neutral</t>
  </si>
  <si>
    <t>This profile's EV-zero threshold / central fast requirement</t>
  </si>
  <si>
    <t>Recovery!G6</t>
  </si>
  <si>
    <t>capital_recovery_share_contracted_ipo_11_facility</t>
  </si>
  <si>
    <t>Recovery!G7</t>
  </si>
  <si>
    <t>capital_recovery_share_contracted_ipo_9_neutral</t>
  </si>
  <si>
    <t>Recovery!G8</t>
  </si>
  <si>
    <t>capital_recovery_share_contracted_ipo_9_facility</t>
  </si>
  <si>
    <t>Recovery!G9</t>
  </si>
  <si>
    <t>capital_recovery_share_contracted_ipo_8.25_neutral</t>
  </si>
  <si>
    <t>Recovery!G10</t>
  </si>
  <si>
    <t>capital_recovery_share_contracted_ipo_8.25_facility</t>
  </si>
  <si>
    <t>Recovery!G11</t>
  </si>
  <si>
    <t>capital_recovery_share_contracted_ipo_5.5_neutral</t>
  </si>
  <si>
    <t>Recovery!G12</t>
  </si>
  <si>
    <t>capital_recovery_share_contracted_ipo_5.5_facility</t>
  </si>
  <si>
    <t>Recovery!G13</t>
  </si>
  <si>
    <t>capital_recovery_slow_911</t>
  </si>
  <si>
    <t>RecoveryDCF!D78</t>
  </si>
  <si>
    <t>capital_recovery_share_slow_911_ipo_11_neutral</t>
  </si>
  <si>
    <t>Recovery!G14</t>
  </si>
  <si>
    <t>capital_recovery_share_slow_911_ipo_11_facility</t>
  </si>
  <si>
    <t>Recovery!G15</t>
  </si>
  <si>
    <t>capital_recovery_share_slow_911_ipo_9_neutral</t>
  </si>
  <si>
    <t>Recovery!G16</t>
  </si>
  <si>
    <t>capital_recovery_share_slow_911_ipo_9_facility</t>
  </si>
  <si>
    <t>Recovery!G17</t>
  </si>
  <si>
    <t>capital_recovery_share_slow_911_ipo_8.25_neutral</t>
  </si>
  <si>
    <t>Recovery!G18</t>
  </si>
  <si>
    <t>capital_recovery_share_slow_911_ipo_8.25_facility</t>
  </si>
  <si>
    <t>Recovery!G19</t>
  </si>
  <si>
    <t>capital_recovery_share_slow_911_ipo_5.5_neutral</t>
  </si>
  <si>
    <t>Recovery!G20</t>
  </si>
  <si>
    <t>capital_recovery_share_slow_911_ipo_5.5_facility</t>
  </si>
  <si>
    <t>Recovery!G21</t>
  </si>
  <si>
    <t>capital_recovery_fast_1600</t>
  </si>
  <si>
    <t>RecoveryDCF!D124</t>
  </si>
  <si>
    <t>F-061, F-213, F-214, F-229, F-231, F-242, F-251, F-277, F-278, F-279, F-280, F-281</t>
  </si>
  <si>
    <t>capital_recovery_share_fast_1600_ipo_11_neutral</t>
  </si>
  <si>
    <t>Recovery!G22</t>
  </si>
  <si>
    <t>F-046, F-049, F-061, F-213, F-214, F-229, F-231, F-242, F-251, F-277, F-278, F-279, F-280, F-281</t>
  </si>
  <si>
    <t>capital_recovery_share_fast_1600_ipo_11_facility</t>
  </si>
  <si>
    <t>Recovery!G23</t>
  </si>
  <si>
    <t>F-046, F-049, F-061, F-122, F-213, F-214, F-229, F-231, F-242, F-251, F-277, F-278, F-279, F-280, F-281</t>
  </si>
  <si>
    <t>capital_recovery_share_fast_1600_ipo_9_neutral</t>
  </si>
  <si>
    <t>Recovery!G24</t>
  </si>
  <si>
    <t>F-046, F-049, F-061, F-173, F-213, F-214, F-229, F-231, F-242, F-251, F-277, F-278, F-279, F-280, F-281</t>
  </si>
  <si>
    <t>capital_recovery_share_fast_1600_ipo_9_facility</t>
  </si>
  <si>
    <t>Recovery!G25</t>
  </si>
  <si>
    <t>F-046, F-049, F-061, F-122, F-173, F-213, F-214, F-229, F-231, F-242, F-251, F-277, F-278, F-279, F-280, F-281</t>
  </si>
  <si>
    <t>capital_recovery_share_fast_1600_ipo_8.25_neutral</t>
  </si>
  <si>
    <t>Recovery!G26</t>
  </si>
  <si>
    <t>F-046, F-049, F-061, F-174, F-176, F-213, F-214, F-229, F-231, F-242, F-251, F-262, F-277, F-278, F-279, F-280, F-281</t>
  </si>
  <si>
    <t>capital_recovery_share_fast_1600_ipo_8.25_facility</t>
  </si>
  <si>
    <t>Recovery!G27</t>
  </si>
  <si>
    <t>F-046, F-049, F-061, F-122, F-174, F-176, F-213, F-214, F-229, F-231, F-242, F-251, F-262, F-277, F-278, F-279, F-280, F-281</t>
  </si>
  <si>
    <t>capital_recovery_share_fast_1600_ipo_5.5_neutral</t>
  </si>
  <si>
    <t>Recovery!G28</t>
  </si>
  <si>
    <t>F-046, F-049, F-061, F-177, F-213, F-214, F-229, F-231, F-242, F-251, F-277, F-278, F-279, F-280, F-281</t>
  </si>
  <si>
    <t>capital_recovery_share_fast_1600_ipo_5.5_facility</t>
  </si>
  <si>
    <t>Recovery!G29</t>
  </si>
  <si>
    <t>F-046, F-049, F-061, F-122, F-177, F-213, F-214, F-229, F-231, F-242, F-251, F-277, F-278, F-279, F-280, F-281</t>
  </si>
  <si>
    <t>september_2025_requirement</t>
  </si>
  <si>
    <t>A$m/equivalent IT MW/year</t>
  </si>
  <si>
    <t>Historical private equity reference applied to current operating assumptions</t>
  </si>
  <si>
    <t>Recovery!D31</t>
  </si>
  <si>
    <t>F-033, F-213, F-214, F-229, F-231, F-251, F-277, F-278, F-279, F-280, F-281</t>
  </si>
  <si>
    <t>project_revenue_per_reported_pipeline_mw</t>
  </si>
  <si>
    <t>US$m/reported pipeline MW/year</t>
  </si>
  <si>
    <t>Project revenue sum F-208 over reported pipeline F-266; original MW basis, without an IT conversion</t>
  </si>
  <si>
    <t>Profitability!C67</t>
  </si>
  <si>
    <t>F-208, F-266</t>
  </si>
  <si>
    <t>project_server_life</t>
  </si>
  <si>
    <t>2029 project context; counterfactual alignment of differing twelve-month windows, excluding corporate costs</t>
  </si>
  <si>
    <t>Profitability!C53</t>
  </si>
  <si>
    <t>F-208, F-209, F-229, F-231, F-277, F-278, F-279, F-280, F-281</t>
  </si>
  <si>
    <t>project_ebit_four_year</t>
  </si>
  <si>
    <t>2029 project context; fixed four-year server-life assumption, differing project windows and conditional in-service asset base</t>
  </si>
  <si>
    <t>Profitability!C68</t>
  </si>
  <si>
    <t>F-208, F-229, F-231, F-277, F-278, F-279, F-280, F-281</t>
  </si>
  <si>
    <t>sensitivity_ebit_price_0_full_billing_life_4</t>
  </si>
  <si>
    <t>2029 project context: differing twelve-month windows, full 912-MW pipeline allocation and residual non-server depreciation; full billing and 4-year life use fixed server-life assumptions, separate from the editable matrix axes</t>
  </si>
  <si>
    <t>Sensitivity!K57</t>
  </si>
  <si>
    <t>F-095, F-101, F-208, F-224, F-229, F-231, F-251, F-266, F-277, F-278, F-279, F-280, F-281</t>
  </si>
  <si>
    <t>sensitivity_gpu_hour_price_0_full_billing_life_4</t>
  </si>
  <si>
    <t>Sensitivity!E57</t>
  </si>
  <si>
    <t>F-068, F-071, F-208, F-224, F-266</t>
  </si>
  <si>
    <t>sensitivity_ebit_price_0_full_billing_life_5</t>
  </si>
  <si>
    <t>2029 project context: differing twelve-month windows, full 912-MW pipeline allocation and residual non-server depreciation; full billing and 5-year life use fixed server-life assumptions, separate from the editable matrix axes</t>
  </si>
  <si>
    <t>Sensitivity!K58</t>
  </si>
  <si>
    <t>sensitivity_gpu_hour_price_0_full_billing_life_5</t>
  </si>
  <si>
    <t>Sensitivity!E58</t>
  </si>
  <si>
    <t>sensitivity_ebit_price_0_full_billing_life_6</t>
  </si>
  <si>
    <t>2029 project context: differing twelve-month windows, full 912-MW pipeline allocation and residual non-server depreciation; full billing and 6-year life use fixed server-life assumptions, separate from the editable matrix axes</t>
  </si>
  <si>
    <t>Sensitivity!K59</t>
  </si>
  <si>
    <t>sensitivity_gpu_hour_price_0_full_billing_life_6</t>
  </si>
  <si>
    <t>Sensitivity!E59</t>
  </si>
  <si>
    <t>sensitivity_ebit_price_1_full_billing_life_4</t>
  </si>
  <si>
    <t>Sensitivity!K60</t>
  </si>
  <si>
    <t>sensitivity_gpu_hour_price_1_full_billing_life_4</t>
  </si>
  <si>
    <t>Sensitivity!E60</t>
  </si>
  <si>
    <t>sensitivity_ebit_price_1_full_billing_life_5</t>
  </si>
  <si>
    <t>Sensitivity!K61</t>
  </si>
  <si>
    <t>sensitivity_gpu_hour_price_1_full_billing_life_5</t>
  </si>
  <si>
    <t>Sensitivity!E61</t>
  </si>
  <si>
    <t>sensitivity_ebit_price_1_full_billing_life_6</t>
  </si>
  <si>
    <t>Sensitivity!K62</t>
  </si>
  <si>
    <t>sensitivity_gpu_hour_price_1_full_billing_life_6</t>
  </si>
  <si>
    <t>Sensitivity!E62</t>
  </si>
  <si>
    <t>sensitivity_ebit_price_2_full_billing_life_4</t>
  </si>
  <si>
    <t>Sensitivity!K63</t>
  </si>
  <si>
    <t>sensitivity_gpu_hour_price_2_full_billing_life_4</t>
  </si>
  <si>
    <t>Sensitivity!E63</t>
  </si>
  <si>
    <t>sensitivity_ebit_price_2_full_billing_life_5</t>
  </si>
  <si>
    <t>Sensitivity!K64</t>
  </si>
  <si>
    <t>sensitivity_gpu_hour_price_2_full_billing_life_5</t>
  </si>
  <si>
    <t>Sensitivity!E64</t>
  </si>
  <si>
    <t>sensitivity_ebit_price_2_full_billing_life_6</t>
  </si>
  <si>
    <t>Sensitivity!K65</t>
  </si>
  <si>
    <t>sensitivity_gpu_hour_price_2_full_billing_life_6</t>
  </si>
  <si>
    <t>Sensitivity!E65</t>
  </si>
  <si>
    <t>sensitivity_ebit_price_3_full_billing_life_4</t>
  </si>
  <si>
    <t>Sensitivity!K66</t>
  </si>
  <si>
    <t>sensitivity_gpu_hour_price_3_full_billing_life_4</t>
  </si>
  <si>
    <t>Sensitivity!E66</t>
  </si>
  <si>
    <t>sensitivity_ebit_price_3_full_billing_life_5</t>
  </si>
  <si>
    <t>Sensitivity!K67</t>
  </si>
  <si>
    <t>sensitivity_gpu_hour_price_3_full_billing_life_5</t>
  </si>
  <si>
    <t>Sensitivity!E67</t>
  </si>
  <si>
    <t>sensitivity_ebit_price_3_full_billing_life_6</t>
  </si>
  <si>
    <t>Sensitivity!K68</t>
  </si>
  <si>
    <t>sensitivity_gpu_hour_price_3_full_billing_life_6</t>
  </si>
  <si>
    <t>Sensitivity!E68</t>
  </si>
  <si>
    <t>funding_residual_headline</t>
  </si>
  <si>
    <t>Pathfinder-attributed gross five-site budget less partial issuer announced-equity history and assumed full facility; not remaining cash need</t>
  </si>
  <si>
    <t>Funding!F13</t>
  </si>
  <si>
    <t>F-037, F-039, F-122, F-212, F-251</t>
  </si>
  <si>
    <t>central_ebitda_margin</t>
  </si>
  <si>
    <t>Conditional central-model assumption; not an issuer forecast</t>
  </si>
  <si>
    <t>central_discount_rate</t>
  </si>
  <si>
    <t>central_mature_equivalent_it_mw</t>
  </si>
  <si>
    <t>central_dcf_server_life</t>
  </si>
  <si>
    <t>central_terminal_growth</t>
  </si>
  <si>
    <t>central_horizon_end_year</t>
  </si>
  <si>
    <t>year</t>
  </si>
  <si>
    <t>0</t>
  </si>
  <si>
    <t>Final assumed June year-end of the explicit model period</t>
  </si>
  <si>
    <t>Summary!H60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</si>
</sst>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1">
    <numFmt numFmtId="164" formatCode="#,##0;\(#,##0\);&quot;-&quot;"/>
    <numFmt numFmtId="165" formatCode="d\ mmm\ yyyy"/>
    <numFmt numFmtId="166" formatCode="0.0%;\(0.0%\);&quot;-&quot;"/>
    <numFmt numFmtId="167" formatCode="yyyy\-mm\-dd"/>
    <numFmt numFmtId="168" formatCode="#,##0.0;\(#,##0.0\);&quot;-&quot;"/>
    <numFmt numFmtId="169" formatCode="&quot;A$&quot;0.00"/>
    <numFmt numFmtId="170" formatCode="0.0,"/>
    <numFmt numFmtId="171" formatCode="0.00;\(0.00\);&quot;-&quot;"/>
    <numFmt numFmtId="172" formatCode="0.000000"/>
    <numFmt numFmtId="173" formatCode="0;0;0;&quot;12 Oct 2026&quot;"/>
    <numFmt numFmtId="174" formatCode="0;0;0;&quot;30 Jun 2026&quot;"/>
    <numFmt numFmtId="175" formatCode="0;0;0;&quot;31 Dec 2025&quot;"/>
    <numFmt numFmtId="176" formatCode="0;0;0;&quot;4 Sep 2024&quot;"/>
    <numFmt numFmtId="177" formatCode="0;0;0;&quot;16 Sep 2026&quot;"/>
    <numFmt numFmtId="178" formatCode="0;0;0;&quot;30 Sep 2026&quot;"/>
    <numFmt numFmtId="179" formatCode="0;0;0;&quot;8 Oct 2026&quot;"/>
    <numFmt numFmtId="180" formatCode="0;0;0;&quot;11 Aug 2026&quot;"/>
    <numFmt numFmtId="181" formatCode="0;0;0;&quot;12 Aug 2026&quot;"/>
    <numFmt numFmtId="182" formatCode="0;0;0;&quot;31 Jul 2026&quot;"/>
    <numFmt numFmtId="183" formatCode="0;0;0;&quot;9 Oct 2026&quot;"/>
    <numFmt numFmtId="184" formatCode="0;0;0;&quot;12 Feb 2026&quot;"/>
    <numFmt numFmtId="185" formatCode="0;0;0;&quot;27 Aug 2026&quot;"/>
    <numFmt numFmtId="186" formatCode="0;0;0;&quot;31 Dec 2026&quot;"/>
    <numFmt numFmtId="187" formatCode="0;0;0;&quot;26 Aug 2026&quot;"/>
    <numFmt numFmtId="188" formatCode="0;0;0;&quot;3 Nov 2025&quot;"/>
    <numFmt numFmtId="189" formatCode="0;0;0;&quot;14 Aug 2026&quot;"/>
    <numFmt numFmtId="190" formatCode="0;0;0;&quot;7 Oct 2026&quot;"/>
    <numFmt numFmtId="191" formatCode="0;0;0;&quot;11 Oct 2026&quot;"/>
    <numFmt numFmtId="192" formatCode="0;0;0;&quot;5 Oct 2026&quot;"/>
    <numFmt numFmtId="193" formatCode="0;0;0;&quot;26 Feb 2025&quot;"/>
    <numFmt numFmtId="194" formatCode="0;0;0;&quot;16 Sep 2025&quot;"/>
    <numFmt numFmtId="195" formatCode="0;0;0;&quot;14 Nov 2025&quot;"/>
    <numFmt numFmtId="196" formatCode="0;0;0;&quot;7 Apr 2026&quot;"/>
    <numFmt numFmtId="197" formatCode="0;0;0;&quot;7 Aug 2026&quot;"/>
    <numFmt numFmtId="198" formatCode="0;0;0;&quot;4 Aug 2026&quot;"/>
    <numFmt numFmtId="199" formatCode="0;0;0;&quot;2 Apr 2026&quot;"/>
    <numFmt numFmtId="200" formatCode="0;0;0;&quot;1 Oct 2026&quot;"/>
    <numFmt numFmtId="201" formatCode="0;0;0;&quot;24 Sep 2026&quot;"/>
    <numFmt numFmtId="202" formatCode="0;0;0;&quot;8 Sep 2026&quot;"/>
    <numFmt numFmtId="203" formatCode="0;0;0;&quot;15 Oct 2025&quot;"/>
    <numFmt numFmtId="204" formatCode="0;0;0;&quot;6 Oct 2026&quot;"/>
    <numFmt numFmtId="205" formatCode="0;0;0;&quot;4 Oct 2026&quot;"/>
    <numFmt numFmtId="206" formatCode="0;0;0;&quot;5 Mar 2026&quot;"/>
    <numFmt numFmtId="207" formatCode="0;0;0;&quot;3 Mar 2026&quot;"/>
    <numFmt numFmtId="208" formatCode="0;0;0;&quot;16 Oct 2025&quot;"/>
    <numFmt numFmtId="209" formatCode="0;0;0;&quot;11 May 2026&quot;"/>
    <numFmt numFmtId="210" formatCode="0;0;0;&quot;28 Jun 2026&quot;"/>
    <numFmt numFmtId="211" formatCode="0;0;0;&quot;29 Jun 2026&quot;"/>
    <numFmt numFmtId="212" formatCode="0;0;0;&quot;18 Sep 2026&quot;"/>
    <numFmt numFmtId="213" formatCode="0;0;0;&quot;9 Feb 2026&quot;"/>
    <numFmt numFmtId="214" formatCode="0;0;0;&quot;30 Oct 2025&quot;"/>
    <numFmt numFmtId="215" formatCode="0;0;0;&quot;28 Sep 2026&quot;"/>
    <numFmt numFmtId="216" formatCode="0;0;0;&quot;29 Sep 2026&quot;"/>
    <numFmt numFmtId="217" formatCode="0;0;0;&quot;2 Jul 2025&quot;"/>
    <numFmt numFmtId="218" formatCode="0;0;0;&quot;3 Sep 2025&quot;"/>
    <numFmt numFmtId="219" formatCode="0;0;0;&quot;2 Oct 2026&quot;"/>
    <numFmt numFmtId="220" formatCode="0;0;0;&quot;6 Feb 2026&quot;"/>
    <numFmt numFmtId="221" formatCode="0;0;0;&quot;5 Feb 2026&quot;"/>
    <numFmt numFmtId="222" formatCode="0;0;0;&quot;20 Aug 2026&quot;"/>
    <numFmt numFmtId="223" formatCode="#,##0,,;\(#,##0,,\);&quot;-&quot;"/>
    <numFmt numFmtId="224" formatCode="#,##0.0,,;\(#,##0.0,,\);&quot;-&quot;"/>
  </numFmts>
  <fonts count="8" x14ac:knownFonts="1">
    <font>
      <sz val="9"/>
      <color rgb="FF0A1E3C"/>
      <name val="Arial"/>
      <family val="2"/>
    </font>
    <font>
      <b/>
      <sz val="14"/>
      <color rgb="FF0A1E3C"/>
      <name val="Arial"/>
      <family val="2"/>
    </font>
    <font>
      <sz val="9"/>
      <color rgb="FF5B6B84"/>
      <name val="Arial"/>
      <family val="2"/>
    </font>
    <font>
      <b/>
      <sz val="9"/>
      <color rgb="FFFFFFFF"/>
      <name val="Arial"/>
      <family val="2"/>
    </font>
    <font>
      <sz val="9"/>
      <color rgb="FF0A1E3C"/>
      <name val="Arial"/>
      <family val="2"/>
    </font>
    <font>
      <u/>
      <sz val="9"/>
      <color rgb="FF5B6B84"/>
      <name val="Arial"/>
      <family val="2"/>
    </font>
    <font>
      <b/>
      <sz val="9"/>
      <color rgb="FF0A1E3C"/>
      <name val="Arial"/>
      <family val="2"/>
    </font>
    <font>
      <u/>
      <sz val="9"/>
      <color rgb="FF0A1E3C"/>
      <name val="Arial"/>
      <family val="2"/>
    </font>
  </fonts>
  <fills count="4">
    <fill>
      <patternFill patternType="none"/>
    </fill>
    <fill>
      <patternFill patternType="gray125"/>
    </fill>
    <fill>
      <patternFill patternType="solid">
        <fgColor rgb="FF3D4E68"/>
      </patternFill>
    </fill>
    <fill>
      <patternFill patternType="solid">
        <fgColor rgb="FFEEF2F8"/>
      </patternFill>
    </fill>
  </fills>
  <borders count="3">
    <border>
      <left/>
      <right/>
      <top/>
      <bottom/>
      <diagonal/>
    </border>
    <border>
      <left/>
      <right/>
      <top/>
      <bottom style="thin">
        <color rgb="FF3D4E68"/>
      </bottom>
      <diagonal/>
    </border>
    <border>
      <left style="medium">
        <color rgb="FFC2410C"/>
      </left>
      <right/>
      <top/>
      <bottom/>
      <diagonal/>
    </border>
  </borders>
  <cellStyleXfs count="1">
    <xf numFmtId="0" fontId="0" fillId="0" borderId="0"/>
  </cellStyleXfs>
  <cellXfs count="106">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applyAlignment="1">
      <alignmen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vertical="top" wrapText="1"/>
    </xf>
    <xf numFmtId="169" fontId="4" fillId="0" borderId="0" xfId="0" applyNumberFormat="1" applyFont="1" applyAlignment="1">
      <alignment horizontal="right" vertical="center"/>
    </xf>
    <xf numFmtId="170" fontId="6" fillId="0" borderId="0" xfId="0" applyNumberFormat="1" applyFont="1" applyAlignment="1">
      <alignment horizontal="right" vertical="center"/>
    </xf>
    <xf numFmtId="168" fontId="6" fillId="0" borderId="0" xfId="0" applyNumberFormat="1" applyFont="1" applyAlignment="1">
      <alignment horizontal="right" vertical="center"/>
    </xf>
    <xf numFmtId="168" fontId="6" fillId="0" borderId="0" xfId="0" applyNumberFormat="1" applyFont="1" applyAlignment="1">
      <alignment horizontal="center"/>
    </xf>
    <xf numFmtId="0" fontId="2" fillId="0" borderId="0" xfId="0" applyFont="1" applyAlignment="1">
      <alignment horizontal="left" vertical="center"/>
    </xf>
    <xf numFmtId="171" fontId="4" fillId="0" borderId="0" xfId="0" applyNumberFormat="1" applyFont="1" applyAlignment="1">
      <alignment horizontal="right" vertical="center"/>
    </xf>
    <xf numFmtId="164" fontId="6" fillId="0" borderId="0" xfId="0" applyNumberFormat="1" applyFont="1" applyAlignment="1">
      <alignment horizontal="right" vertical="center"/>
    </xf>
    <xf numFmtId="171" fontId="2" fillId="0" borderId="0" xfId="0" applyNumberFormat="1" applyFont="1" applyAlignment="1">
      <alignment horizontal="left" vertical="center"/>
    </xf>
    <xf numFmtId="0" fontId="3" fillId="2" borderId="1" xfId="0" applyFont="1" applyFill="1" applyBorder="1" applyAlignment="1">
      <alignment horizontal="left" vertical="top" wrapText="1"/>
    </xf>
    <xf numFmtId="166" fontId="6" fillId="0" borderId="0" xfId="0" applyNumberFormat="1" applyFont="1" applyAlignment="1">
      <alignment horizontal="right" vertical="center"/>
    </xf>
    <xf numFmtId="164" fontId="4" fillId="0" borderId="0" xfId="0" applyNumberFormat="1" applyFont="1" applyAlignment="1">
      <alignment horizontal="right" vertical="center"/>
    </xf>
    <xf numFmtId="164" fontId="4" fillId="3" borderId="0" xfId="0" applyNumberFormat="1" applyFont="1" applyFill="1" applyAlignment="1">
      <alignment horizontal="right" vertical="top" indent="1"/>
    </xf>
    <xf numFmtId="173" fontId="2" fillId="0" borderId="0" xfId="0" applyNumberFormat="1" applyFont="1" applyAlignment="1">
      <alignment horizontal="left" vertical="top" indent="1"/>
    </xf>
    <xf numFmtId="2" fontId="4" fillId="3" borderId="0" xfId="0" applyNumberFormat="1" applyFont="1" applyFill="1" applyAlignment="1">
      <alignment horizontal="right" vertical="top" indent="1"/>
    </xf>
    <xf numFmtId="166" fontId="4" fillId="3" borderId="0" xfId="0" applyNumberFormat="1" applyFont="1" applyFill="1" applyAlignment="1">
      <alignment horizontal="right" vertical="top" indent="1"/>
    </xf>
    <xf numFmtId="165" fontId="4" fillId="3" borderId="0" xfId="0" applyNumberFormat="1" applyFont="1" applyFill="1" applyAlignment="1">
      <alignment horizontal="right" vertical="top" indent="1"/>
    </xf>
    <xf numFmtId="172" fontId="4" fillId="3" borderId="0" xfId="0" applyNumberFormat="1" applyFont="1" applyFill="1" applyAlignment="1">
      <alignment horizontal="right" vertical="top" indent="1"/>
    </xf>
    <xf numFmtId="223" fontId="4" fillId="3" borderId="0" xfId="0" applyNumberFormat="1" applyFont="1" applyFill="1" applyAlignment="1">
      <alignment horizontal="right" vertical="top" indent="1"/>
    </xf>
    <xf numFmtId="168" fontId="4" fillId="3" borderId="0" xfId="0" applyNumberFormat="1" applyFont="1" applyFill="1" applyAlignment="1">
      <alignment horizontal="right" vertical="top" indent="1"/>
    </xf>
    <xf numFmtId="224" fontId="4" fillId="3" borderId="0" xfId="0" applyNumberFormat="1" applyFont="1" applyFill="1" applyAlignment="1">
      <alignment horizontal="right" vertical="top" indent="1"/>
    </xf>
    <xf numFmtId="2" fontId="4" fillId="0" borderId="0" xfId="0" applyNumberFormat="1" applyFont="1" applyAlignment="1">
      <alignment horizontal="right" vertical="center"/>
    </xf>
    <xf numFmtId="172" fontId="4" fillId="0" borderId="0" xfId="0" applyNumberFormat="1" applyFont="1" applyAlignment="1">
      <alignment horizontal="right" vertical="center"/>
    </xf>
    <xf numFmtId="168" fontId="4" fillId="0" borderId="0" xfId="0" applyNumberFormat="1" applyFont="1" applyAlignment="1">
      <alignment horizontal="right" vertical="center"/>
    </xf>
    <xf numFmtId="165" fontId="4" fillId="0" borderId="0" xfId="0" applyNumberFormat="1" applyFont="1" applyAlignment="1">
      <alignment horizontal="right" vertical="center"/>
    </xf>
    <xf numFmtId="166" fontId="4" fillId="0" borderId="0" xfId="0" applyNumberFormat="1" applyFont="1" applyAlignment="1">
      <alignment horizontal="right" vertical="center"/>
    </xf>
    <xf numFmtId="0" fontId="4" fillId="0" borderId="0" xfId="0" applyFont="1" applyAlignment="1">
      <alignment horizontal="right" vertical="center"/>
    </xf>
    <xf numFmtId="0" fontId="6" fillId="0" borderId="2" xfId="0" applyFont="1" applyBorder="1" applyAlignment="1">
      <alignment vertical="top" wrapText="1"/>
    </xf>
    <xf numFmtId="0" fontId="0" fillId="0" borderId="0" xfId="0" applyAlignment="1">
      <alignment horizontal="left" vertical="top" wrapText="1"/>
    </xf>
    <xf numFmtId="168" fontId="6" fillId="0" borderId="2" xfId="0" applyNumberFormat="1" applyFont="1" applyBorder="1" applyAlignment="1">
      <alignment horizontal="right" vertical="center"/>
    </xf>
    <xf numFmtId="164" fontId="6" fillId="0" borderId="2" xfId="0" applyNumberFormat="1" applyFont="1" applyBorder="1" applyAlignment="1">
      <alignment horizontal="right" vertical="center"/>
    </xf>
    <xf numFmtId="174" fontId="2" fillId="0" borderId="0" xfId="0" applyNumberFormat="1" applyFont="1" applyAlignment="1">
      <alignment horizontal="left" vertical="center"/>
    </xf>
    <xf numFmtId="175" fontId="2" fillId="0" borderId="0" xfId="0" applyNumberFormat="1" applyFont="1" applyAlignment="1">
      <alignment horizontal="left" vertical="center"/>
    </xf>
    <xf numFmtId="164" fontId="2" fillId="0" borderId="0" xfId="0" applyNumberFormat="1" applyFont="1" applyAlignment="1">
      <alignment horizontal="left" vertical="center"/>
    </xf>
    <xf numFmtId="176" fontId="2" fillId="0" borderId="0" xfId="0" applyNumberFormat="1" applyFont="1" applyAlignment="1">
      <alignment horizontal="left" vertical="center"/>
    </xf>
    <xf numFmtId="177" fontId="2" fillId="0" borderId="0" xfId="0" applyNumberFormat="1" applyFont="1" applyAlignment="1">
      <alignment horizontal="left" vertical="center"/>
    </xf>
    <xf numFmtId="178" fontId="2" fillId="0" borderId="0" xfId="0" applyNumberFormat="1" applyFont="1" applyAlignment="1">
      <alignment horizontal="left" vertical="center"/>
    </xf>
    <xf numFmtId="179" fontId="2" fillId="0" borderId="0" xfId="0" applyNumberFormat="1" applyFont="1" applyAlignment="1">
      <alignment horizontal="left" vertical="center"/>
    </xf>
    <xf numFmtId="180" fontId="2" fillId="0" borderId="0" xfId="0" applyNumberFormat="1" applyFont="1" applyAlignment="1">
      <alignment horizontal="left" vertical="center"/>
    </xf>
    <xf numFmtId="181" fontId="2" fillId="0" borderId="0" xfId="0" applyNumberFormat="1" applyFont="1" applyAlignment="1">
      <alignment horizontal="left" vertical="center"/>
    </xf>
    <xf numFmtId="182" fontId="2" fillId="0" borderId="0" xfId="0" applyNumberFormat="1" applyFont="1" applyAlignment="1">
      <alignment horizontal="left" vertical="center"/>
    </xf>
    <xf numFmtId="173" fontId="2" fillId="0" borderId="0" xfId="0" applyNumberFormat="1" applyFont="1" applyAlignment="1">
      <alignment horizontal="left" vertical="center"/>
    </xf>
    <xf numFmtId="183" fontId="2" fillId="0" borderId="0" xfId="0" applyNumberFormat="1" applyFont="1" applyAlignment="1">
      <alignment horizontal="left" vertical="center"/>
    </xf>
    <xf numFmtId="184" fontId="2" fillId="0" borderId="0" xfId="0" applyNumberFormat="1" applyFont="1" applyAlignment="1">
      <alignment horizontal="left" vertical="center"/>
    </xf>
    <xf numFmtId="185" fontId="2" fillId="0" borderId="0" xfId="0" applyNumberFormat="1" applyFont="1" applyAlignment="1">
      <alignment horizontal="left" vertical="center"/>
    </xf>
    <xf numFmtId="186" fontId="2" fillId="0" borderId="0" xfId="0" applyNumberFormat="1" applyFont="1" applyAlignment="1">
      <alignment horizontal="left" vertical="center"/>
    </xf>
    <xf numFmtId="187" fontId="2" fillId="0" borderId="0" xfId="0" applyNumberFormat="1" applyFont="1" applyAlignment="1">
      <alignment horizontal="left" vertical="center"/>
    </xf>
    <xf numFmtId="188" fontId="2" fillId="0" borderId="0" xfId="0" applyNumberFormat="1" applyFont="1" applyAlignment="1">
      <alignment horizontal="left" vertical="center"/>
    </xf>
    <xf numFmtId="189" fontId="2" fillId="0" borderId="0" xfId="0" applyNumberFormat="1" applyFont="1" applyAlignment="1">
      <alignment horizontal="left" vertical="center"/>
    </xf>
    <xf numFmtId="190" fontId="2" fillId="0" borderId="0" xfId="0" applyNumberFormat="1" applyFont="1" applyAlignment="1">
      <alignment horizontal="left" vertical="center"/>
    </xf>
    <xf numFmtId="191" fontId="2" fillId="0" borderId="0" xfId="0" applyNumberFormat="1" applyFont="1" applyAlignment="1">
      <alignment horizontal="left" vertical="center"/>
    </xf>
    <xf numFmtId="192" fontId="2" fillId="0" borderId="0" xfId="0" applyNumberFormat="1" applyFont="1" applyAlignment="1">
      <alignment horizontal="left" vertical="center"/>
    </xf>
    <xf numFmtId="193" fontId="2" fillId="0" borderId="0" xfId="0" applyNumberFormat="1" applyFont="1" applyAlignment="1">
      <alignment horizontal="left" vertical="center"/>
    </xf>
    <xf numFmtId="194" fontId="2" fillId="0" borderId="0" xfId="0" applyNumberFormat="1" applyFont="1" applyAlignment="1">
      <alignment horizontal="left" vertical="center"/>
    </xf>
    <xf numFmtId="195" fontId="2" fillId="0" borderId="0" xfId="0" applyNumberFormat="1" applyFont="1" applyAlignment="1">
      <alignment horizontal="left" vertical="center"/>
    </xf>
    <xf numFmtId="196" fontId="2" fillId="0" borderId="0" xfId="0" applyNumberFormat="1" applyFont="1" applyAlignment="1">
      <alignment horizontal="left" vertical="center"/>
    </xf>
    <xf numFmtId="197" fontId="2" fillId="0" borderId="0" xfId="0" applyNumberFormat="1" applyFont="1" applyAlignment="1">
      <alignment horizontal="left" vertical="center"/>
    </xf>
    <xf numFmtId="198" fontId="2" fillId="0" borderId="0" xfId="0" applyNumberFormat="1" applyFont="1" applyAlignment="1">
      <alignment horizontal="left" vertical="center"/>
    </xf>
    <xf numFmtId="199" fontId="2" fillId="0" borderId="0" xfId="0" applyNumberFormat="1" applyFont="1" applyAlignment="1">
      <alignment horizontal="left" vertical="center"/>
    </xf>
    <xf numFmtId="200" fontId="2" fillId="0" borderId="0" xfId="0" applyNumberFormat="1" applyFont="1" applyAlignment="1">
      <alignment horizontal="left" vertical="center"/>
    </xf>
    <xf numFmtId="201" fontId="2" fillId="0" borderId="0" xfId="0" applyNumberFormat="1" applyFont="1" applyAlignment="1">
      <alignment horizontal="left" vertical="center"/>
    </xf>
    <xf numFmtId="202" fontId="2" fillId="0" borderId="0" xfId="0" applyNumberFormat="1" applyFont="1" applyAlignment="1">
      <alignment horizontal="left" vertical="center"/>
    </xf>
    <xf numFmtId="203" fontId="2" fillId="0" borderId="0" xfId="0" applyNumberFormat="1" applyFont="1" applyAlignment="1">
      <alignment horizontal="left" vertical="center"/>
    </xf>
    <xf numFmtId="204" fontId="2" fillId="0" borderId="0" xfId="0" applyNumberFormat="1" applyFont="1" applyAlignment="1">
      <alignment horizontal="left" vertical="center"/>
    </xf>
    <xf numFmtId="205" fontId="2" fillId="0" borderId="0" xfId="0" applyNumberFormat="1" applyFont="1" applyAlignment="1">
      <alignment horizontal="left" vertical="center"/>
    </xf>
    <xf numFmtId="206" fontId="2" fillId="0" borderId="0" xfId="0" applyNumberFormat="1" applyFont="1" applyAlignment="1">
      <alignment horizontal="left" vertical="center"/>
    </xf>
    <xf numFmtId="207" fontId="2" fillId="0" borderId="0" xfId="0" applyNumberFormat="1" applyFont="1" applyAlignment="1">
      <alignment horizontal="left" vertical="center"/>
    </xf>
    <xf numFmtId="208" fontId="2" fillId="0" borderId="0" xfId="0" applyNumberFormat="1" applyFont="1" applyAlignment="1">
      <alignment horizontal="left" vertical="center"/>
    </xf>
    <xf numFmtId="209" fontId="2" fillId="0" borderId="0" xfId="0" applyNumberFormat="1" applyFont="1" applyAlignment="1">
      <alignment horizontal="left" vertical="center"/>
    </xf>
    <xf numFmtId="210" fontId="2" fillId="0" borderId="0" xfId="0" applyNumberFormat="1" applyFont="1" applyAlignment="1">
      <alignment horizontal="left" vertical="center"/>
    </xf>
    <xf numFmtId="211" fontId="2" fillId="0" borderId="0" xfId="0" applyNumberFormat="1" applyFont="1" applyAlignment="1">
      <alignment horizontal="left" vertical="center"/>
    </xf>
    <xf numFmtId="212" fontId="2" fillId="0" borderId="0" xfId="0" applyNumberFormat="1" applyFont="1" applyAlignment="1">
      <alignment horizontal="left" vertical="center"/>
    </xf>
    <xf numFmtId="213" fontId="2" fillId="0" borderId="0" xfId="0" applyNumberFormat="1" applyFont="1" applyAlignment="1">
      <alignment horizontal="left" vertical="center"/>
    </xf>
    <xf numFmtId="214" fontId="2" fillId="0" borderId="0" xfId="0" applyNumberFormat="1" applyFont="1" applyAlignment="1">
      <alignment horizontal="left" vertical="center"/>
    </xf>
    <xf numFmtId="215" fontId="2" fillId="0" borderId="0" xfId="0" applyNumberFormat="1" applyFont="1" applyAlignment="1">
      <alignment horizontal="left" vertical="center"/>
    </xf>
    <xf numFmtId="216" fontId="2" fillId="0" borderId="0" xfId="0" applyNumberFormat="1" applyFont="1" applyAlignment="1">
      <alignment horizontal="left" vertical="center"/>
    </xf>
    <xf numFmtId="217" fontId="2" fillId="0" borderId="0" xfId="0" applyNumberFormat="1" applyFont="1" applyAlignment="1">
      <alignment horizontal="left" vertical="center"/>
    </xf>
    <xf numFmtId="218" fontId="2" fillId="0" borderId="0" xfId="0" applyNumberFormat="1" applyFont="1" applyAlignment="1">
      <alignment horizontal="left" vertical="center"/>
    </xf>
    <xf numFmtId="219" fontId="2" fillId="0" borderId="0" xfId="0" applyNumberFormat="1" applyFont="1" applyAlignment="1">
      <alignment horizontal="left" vertical="center"/>
    </xf>
    <xf numFmtId="220" fontId="2" fillId="0" borderId="0" xfId="0" applyNumberFormat="1" applyFont="1" applyAlignment="1">
      <alignment horizontal="left" vertical="center"/>
    </xf>
    <xf numFmtId="221" fontId="2" fillId="0" borderId="0" xfId="0" applyNumberFormat="1" applyFont="1" applyAlignment="1">
      <alignment horizontal="left" vertical="center"/>
    </xf>
    <xf numFmtId="222" fontId="2" fillId="0" borderId="0" xfId="0" applyNumberFormat="1" applyFont="1" applyAlignment="1">
      <alignment horizontal="left" vertical="center"/>
    </xf>
    <xf numFmtId="2" fontId="6" fillId="0" borderId="0" xfId="0" applyNumberFormat="1" applyFont="1" applyAlignment="1">
      <alignment horizontal="right" vertical="center"/>
    </xf>
    <xf numFmtId="167" fontId="4" fillId="0" borderId="0" xfId="0" applyNumberFormat="1" applyFont="1" applyAlignment="1">
      <alignment horizontal="right" vertical="center"/>
    </xf>
    <xf numFmtId="1" fontId="6" fillId="0" borderId="0" xfId="0" applyNumberFormat="1" applyFont="1" applyAlignment="1">
      <alignment horizontal="right" vertical="center"/>
    </xf>
    <xf numFmtId="0" fontId="2" fillId="0" borderId="0" xfId="0" applyFont="1" applyAlignment="1">
      <alignment horizontal="left" vertical="top" wrapText="1"/>
    </xf>
    <xf numFmtId="0" fontId="0" fillId="0" borderId="0" xfId="0"/>
    <xf numFmtId="0" fontId="2" fillId="0" borderId="0" xfId="0" applyFont="1" applyAlignment="1">
      <alignment vertical="top" wrapText="1"/>
    </xf>
    <xf numFmtId="0" fontId="1" fillId="0" borderId="0" xfId="0" applyFont="1" applyAlignment="1">
      <alignment vertical="center" wrapText="1"/>
    </xf>
    <xf numFmtId="0" fontId="7" fillId="0" borderId="0" xfId="0" applyFont="1" applyAlignment="1">
      <alignment horizontal="left" vertical="top" wrapText="1"/>
    </xf>
    <xf numFmtId="0" fontId="3" fillId="2" borderId="0" xfId="0" applyFont="1" applyFill="1" applyAlignment="1">
      <alignment horizontal="left" vertical="center"/>
    </xf>
    <xf numFmtId="0" fontId="3" fillId="2" borderId="0" xfId="0" applyFont="1" applyFill="1"/>
    <xf numFmtId="0" fontId="6" fillId="0" borderId="2" xfId="0" applyFont="1" applyBorder="1" applyAlignment="1">
      <alignment horizontal="left" vertical="top" wrapText="1"/>
    </xf>
    <xf numFmtId="0" fontId="3" fillId="2" borderId="0" xfId="0" applyFont="1" applyFill="1" applyAlignment="1">
      <alignment vertical="top" wrapText="1"/>
    </xf>
    <xf numFmtId="0" fontId="2" fillId="0" borderId="0" xfId="0" applyFont="1" applyAlignment="1">
      <alignment horizontal="left" vertical="center"/>
    </xf>
    <xf numFmtId="0" fontId="5" fillId="0" borderId="0" xfId="0" applyFont="1" applyAlignment="1">
      <alignment horizontal="left" vertical="top" wrapText="1"/>
    </xf>
    <xf numFmtId="0" fontId="1" fillId="0" borderId="0" xfId="0" applyFont="1" applyAlignment="1">
      <alignment vertical="top" wrapText="1"/>
    </xf>
    <xf numFmtId="0" fontId="3" fillId="2" borderId="1" xfId="0" applyFont="1" applyFill="1" applyBorder="1" applyAlignment="1">
      <alignment horizontal="center" vertical="center" wrapText="1"/>
    </xf>
    <xf numFmtId="0" fontId="1" fillId="0" borderId="0" xfId="0" applyFont="1" applyAlignment="1">
      <alignment horizontal="left" vertical="center" wrapText="1"/>
    </xf>
    <xf numFmtId="0" fontId="6" fillId="0" borderId="0" xfId="0" applyFont="1" applyAlignment="1">
      <alignment vertical="top" wrapText="1"/>
    </xf>
    <xf numFmtId="0" fontId="0" fillId="0" borderId="0" xfId="0" applyAlignment="1">
      <alignment horizontal="left" vertical="top" wrapText="1"/>
    </xf>
  </cellXfs>
  <cellStyles count="1">
    <cellStyle name="Normal"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layoutTarget val="inner"/>
          <c:xMode val="edge"/>
          <c:yMode val="edge"/>
          <c:x val="7.2514699964563931E-2"/>
          <c:y val="8.5925057240185398E-2"/>
          <c:w val="0.72768878718535468"/>
          <c:h val="0.5957446808510638"/>
        </c:manualLayout>
      </c:layout>
      <c:barChart>
        <c:barDir val="col"/>
        <c:grouping val="clustered"/>
        <c:varyColors val="1"/>
        <c:ser>
          <c:idx val="0"/>
          <c:order val="0"/>
          <c:tx>
            <c:v>Central model</c:v>
          </c:tx>
          <c:spPr>
            <a:solidFill>
              <a:srgbClr val="0A1E3C"/>
            </a:solidFill>
            <a:ln>
              <a:noFill/>
              <a:prstDash val="solid"/>
            </a:ln>
          </c:spPr>
          <c:invertIfNegative val="1"/>
          <c:dLbls>
            <c:spPr>
              <a:noFill/>
              <a:ln>
                <a:noFill/>
              </a:ln>
              <a:effectLst/>
            </c:spPr>
            <c:txPr>
              <a:bodyPr/>
              <a:lstStyle/>
              <a:p>
                <a:pPr>
                  <a:defRPr sz="900">
                    <a:solidFill>
                      <a:srgbClr val="0A1E3C"/>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'Read me'!$A$29:$A$32</c:f>
              <c:numCache>
                <c:formatCode>"A$"0.00</c:formatCode>
                <c:ptCount val="4"/>
                <c:pt idx="0">
                  <c:v>11</c:v>
                </c:pt>
                <c:pt idx="1">
                  <c:v>9</c:v>
                </c:pt>
                <c:pt idx="2">
                  <c:v>8.25</c:v>
                </c:pt>
                <c:pt idx="3">
                  <c:v>5.5</c:v>
                </c:pt>
              </c:numCache>
            </c:numRef>
          </c:cat>
          <c:val>
            <c:numRef>
              <c:f>'Read me'!$C$29:$C$32</c:f>
              <c:numCache>
                <c:formatCode>#,##0.0;\(#,##0.0\);"-"</c:formatCode>
                <c:ptCount val="4"/>
                <c:pt idx="0">
                  <c:v>30.231217302896585</c:v>
                </c:pt>
                <c:pt idx="1">
                  <c:v>28.831289686564443</c:v>
                </c:pt>
                <c:pt idx="2">
                  <c:v>28.306316830439883</c:v>
                </c:pt>
                <c:pt idx="3">
                  <c:v>26.381416357983181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1522-4787-89CD-B488200B4EB7}"/>
            </c:ext>
          </c:extLst>
        </c:ser>
        <c:dLbls>
          <c:showLegendKey val="0"/>
          <c:showVal val="0"/>
          <c:showCatName val="0"/>
          <c:showSerName val="0"/>
          <c:showPercent val="0"/>
          <c:showBubbleSize val="0"/>
        </c:dLbls>
        <c:gapWidth val="150"/>
        <c:axId val="10"/>
        <c:axId val="100"/>
      </c:barChart>
      <c:lineChart>
        <c:grouping val="standard"/>
        <c:varyColors val="1"/>
        <c:ser>
          <c:idx val="1"/>
          <c:order val="1"/>
          <c:tx>
            <c:v>Reported project reference</c:v>
          </c:tx>
          <c:spPr>
            <a:ln w="25400">
              <a:solidFill>
                <a:srgbClr val="C2410C"/>
              </a:solidFill>
              <a:prstDash val="solid"/>
            </a:ln>
          </c:spPr>
          <c:marker>
            <c:symbol val="none"/>
          </c:marker>
          <c:dLbls>
            <c:dLbl>
              <c:idx val="3"/>
              <c:layout>
                <c:manualLayout>
                  <c:x val="4.553775743707094E-2"/>
                  <c:y val="0"/>
                </c:manualLayout>
              </c:layout>
              <c:numFmt formatCode="&quot;Projects: US$&quot;0.0&quot;m&quot;" sourceLinked="0"/>
              <c:spPr>
                <a:noFill/>
                <a:ln>
                  <a:noFill/>
                </a:ln>
                <a:effectLst/>
              </c:spPr>
              <c:txPr>
                <a:bodyPr wrap="square" lIns="38100" tIns="19050" rIns="38100" bIns="19050" anchor="ctr">
                  <a:spAutoFit/>
                </a:bodyPr>
                <a:lstStyle/>
                <a:p>
                  <a:pPr>
                    <a:defRPr sz="900">
                      <a:solidFill>
                        <a:srgbClr val="0A1E3C"/>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522-4787-89CD-B488200B4E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'Read me'!$A$29:$A$32</c:f>
              <c:numCache>
                <c:formatCode>"A$"0.00</c:formatCode>
                <c:ptCount val="4"/>
                <c:pt idx="0">
                  <c:v>11</c:v>
                </c:pt>
                <c:pt idx="1">
                  <c:v>9</c:v>
                </c:pt>
                <c:pt idx="2">
                  <c:v>8.25</c:v>
                </c:pt>
                <c:pt idx="3">
                  <c:v>5.5</c:v>
                </c:pt>
              </c:numCache>
            </c:numRef>
          </c:cat>
          <c:val>
            <c:numRef>
              <c:f>'Read me'!$F$29:$F$32</c:f>
              <c:numCache>
                <c:formatCode>#,##0.0;\(#,##0.0\);"-"</c:formatCode>
                <c:ptCount val="4"/>
                <c:pt idx="0">
                  <c:v>15.515350877192983</c:v>
                </c:pt>
                <c:pt idx="1">
                  <c:v>15.515350877192983</c:v>
                </c:pt>
                <c:pt idx="2">
                  <c:v>15.515350877192983</c:v>
                </c:pt>
                <c:pt idx="3">
                  <c:v>15.515350877192983</c:v>
                </c:pt>
              </c:numCache>
            </c:numRef>
          </c:val>
          <c:smooth val="1"/>
          <c:extLst>
            <c:ext xmlns:c16="http://schemas.microsoft.com/office/drawing/2014/chart" uri="{C3380CC4-5D6E-409C-BE32-E72D297353CC}">
              <c16:uniqueId val="{00000001-1522-4787-89CD-B488200B4EB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sz="900">
                    <a:solidFill>
                      <a:srgbClr val="5B6B84"/>
                    </a:solidFill>
                    <a:latin typeface="Arial"/>
                    <a:ea typeface="Arial"/>
                    <a:cs typeface="Arial"/>
                  </a:defRPr>
                </a:pPr>
                <a:r>
                  <a:rPr lang="en-AU"/>
                  <a:t>Reported share price (A$)</a:t>
                </a:r>
              </a:p>
            </c:rich>
          </c:tx>
          <c:layout>
            <c:manualLayout>
              <c:xMode val="edge"/>
              <c:yMode val="edge"/>
              <c:x val="0.34785791936191041"/>
              <c:y val="0.83924349881796689"/>
            </c:manualLayout>
          </c:layout>
          <c:overlay val="1"/>
        </c:title>
        <c:numFmt formatCode="&quot;A$&quot;0.00" sourceLinked="0"/>
        <c:majorTickMark val="none"/>
        <c:minorTickMark val="none"/>
        <c:tickLblPos val="low"/>
        <c:txPr>
          <a:bodyPr/>
          <a:lstStyle/>
          <a:p>
            <a:pPr>
              <a:defRPr sz="900">
                <a:solidFill>
                  <a:srgbClr val="5B6B84"/>
                </a:solidFill>
                <a:latin typeface="Arial"/>
                <a:ea typeface="Arial"/>
                <a:cs typeface="Arial"/>
              </a:defRPr>
            </a:pPr>
            <a:endParaRPr lang="en-US"/>
          </a:p>
        </c:txPr>
        <c:crossAx val="100"/>
        <c:crosses val="autoZero"/>
        <c:auto val="1"/>
        <c:lblAlgn val="ctr"/>
        <c:lblOffset val="100"/>
        <c:noMultiLvlLbl val="1"/>
      </c:catAx>
      <c:valAx>
        <c:axId val="100"/>
        <c:scaling>
          <c:orientation val="minMax"/>
        </c:scaling>
        <c:delete val="0"/>
        <c:axPos val="l"/>
        <c:title>
          <c:tx>
            <c:rich>
              <a:bodyPr rot="-5400000" vert="horz"/>
              <a:lstStyle/>
              <a:p>
                <a:pPr>
                  <a:defRPr sz="900">
                    <a:solidFill>
                      <a:srgbClr val="5B6B84"/>
                    </a:solidFill>
                    <a:latin typeface="Arial"/>
                    <a:ea typeface="Arial"/>
                    <a:cs typeface="Arial"/>
                  </a:defRPr>
                </a:pPr>
                <a:r>
                  <a:rPr lang="en-AU"/>
                  <a:t>US$m per MW per year</a:t>
                </a:r>
              </a:p>
            </c:rich>
          </c:tx>
          <c:layout>
            <c:manualLayout>
              <c:xMode val="edge"/>
              <c:yMode val="edge"/>
              <c:x val="6.1022120518688027E-3"/>
              <c:y val="0.13787531877664227"/>
            </c:manualLayout>
          </c:layout>
          <c:overlay val="1"/>
        </c:title>
        <c:numFmt formatCode="0.0" sourceLinked="0"/>
        <c:majorTickMark val="none"/>
        <c:minorTickMark val="none"/>
        <c:tickLblPos val="low"/>
        <c:txPr>
          <a:bodyPr/>
          <a:lstStyle/>
          <a:p>
            <a:pPr>
              <a:defRPr sz="900">
                <a:solidFill>
                  <a:srgbClr val="5B6B84"/>
                </a:solidFill>
                <a:latin typeface="Arial"/>
                <a:ea typeface="Arial"/>
                <a:cs typeface="Arial"/>
              </a:defRPr>
            </a:pPr>
            <a:endParaRPr lang="en-US"/>
          </a:p>
        </c:txPr>
        <c:crossAx val="10"/>
        <c:crosses val="autoZero"/>
        <c:crossBetween val="between"/>
      </c:valAx>
      <c:spPr>
        <a:solidFill>
          <a:srgbClr val="FFFFFF"/>
        </a:solidFill>
        <a:ln>
          <a:noFill/>
        </a:ln>
        <a:effectLst/>
        <a:extLst>
          <a:ext uri="{91240B29-F687-4F45-9708-019B960494DF}">
            <a14:hiddenLine xmlns:a14="http://schemas.microsoft.com/office/drawing/2010/main">
              <a:noFill/>
            </a14:hiddenLine>
          </a:ext>
        </a:extLst>
      </c:spPr>
    </c:plotArea>
    <c:legend>
      <c:legendPos val="b"/>
      <c:overlay val="1"/>
      <c:txPr>
        <a:bodyPr/>
        <a:lstStyle/>
        <a:p>
          <a:pPr>
            <a:defRPr sz="900">
              <a:solidFill>
                <a:srgbClr val="5B6B84"/>
              </a:solidFill>
              <a:latin typeface="Arial"/>
              <a:ea typeface="Arial"/>
              <a:cs typeface="Arial"/>
            </a:defRPr>
          </a:pPr>
          <a:endParaRPr lang="en-US"/>
        </a:p>
      </c:txPr>
    </c:legend>
    <c:plotVisOnly val="1"/>
    <c:dispBlanksAs val="gap"/>
    <c:showDLblsOverMax val="1"/>
  </c:chart>
  <c:spPr>
    <a:solidFill>
      <a:srgbClr val="FFFFFF"/>
    </a:solidFill>
    <a:ln w="9525" cap="flat" cmpd="sng" algn="ctr">
      <a:noFill/>
      <a:prstDash val="solid"/>
      <a:round/>
    </a:ln>
    <a:effectLst/>
    <a:extLs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txPr>
    <a:bodyPr/>
    <a:lstStyle/>
    <a:p>
      <a:pPr>
        <a:defRPr sz="900">
          <a:solidFill>
            <a:srgbClr val="0A1E3C"/>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pPr>
              <a:defRPr sz="1400" b="1">
                <a:solidFill>
                  <a:srgbClr val="0A1E3C"/>
                </a:solidFill>
                <a:latin typeface="Arial"/>
                <a:ea typeface="Arial"/>
                <a:cs typeface="Arial"/>
              </a:defRPr>
            </a:pPr>
            <a:r>
              <a:rPr lang="en-AU"/>
              <a:t>Equity and assumed debt (A$m)</a:t>
            </a:r>
          </a:p>
        </c:rich>
      </c:tx>
      <c:overlay val="1"/>
    </c:title>
    <c:autoTitleDeleted val="0"/>
    <c:plotArea>
      <c:layout/>
      <c:barChart>
        <c:barDir val="col"/>
        <c:grouping val="stacked"/>
        <c:varyColors val="1"/>
        <c:ser>
          <c:idx val="0"/>
          <c:order val="0"/>
          <c:tx>
            <c:strRef>
              <c:f>Summary!$B$60</c:f>
              <c:strCache>
                <c:ptCount val="1"/>
                <c:pt idx="0">
                  <c:v>Base</c:v>
                </c:pt>
              </c:strCache>
            </c:strRef>
          </c:tx>
          <c:spPr>
            <a:noFill/>
            <a:ln>
              <a:noFill/>
              <a:prstDash val="solid"/>
            </a:ln>
          </c:spPr>
          <c:invertIfNegative val="1"/>
          <c:cat>
            <c:strRef>
              <c:f>Summary!$A$61:$A$63</c:f>
              <c:strCache>
                <c:ptCount val="3"/>
                <c:pt idx="0">
                  <c:v>Equity reference</c:v>
                </c:pt>
                <c:pt idx="1">
                  <c:v>Facility at its limit assumed</c:v>
                </c:pt>
                <c:pt idx="2">
                  <c:v>Enterprise value under these assumptions</c:v>
                </c:pt>
              </c:strCache>
            </c:strRef>
          </c:cat>
          <c:val>
            <c:numRef>
              <c:f>Summary!$B$61:$B$63</c:f>
              <c:numCache>
                <c:formatCode>#,##0;\(#,##0\);"-"</c:formatCode>
                <c:ptCount val="3"/>
                <c:pt idx="0">
                  <c:v>0</c:v>
                </c:pt>
                <c:pt idx="1">
                  <c:v>43700</c:v>
                </c:pt>
                <c:pt idx="2">
                  <c:v>0</c:v>
                </c:pt>
              </c:numCache>
            </c:numRef>
          </c:val>
          <c:extLst>
            <c:ext xmlns:c16="http://schemas.microsoft.com/office/drawing/2014/chart" uri="{C3380CC4-5D6E-409C-BE32-E72D297353CC}">
              <c16:uniqueId val="{00000000-0670-4DAA-89BA-350E62286716}"/>
            </c:ext>
          </c:extLst>
        </c:ser>
        <c:ser>
          <c:idx val="1"/>
          <c:order val="1"/>
          <c:tx>
            <c:strRef>
              <c:f>Summary!$C$60</c:f>
              <c:strCache>
                <c:ptCount val="1"/>
                <c:pt idx="0">
                  <c:v>Increase</c:v>
                </c:pt>
              </c:strCache>
            </c:strRef>
          </c:tx>
          <c:spPr>
            <a:solidFill>
              <a:srgbClr val="5B6B84"/>
            </a:solidFill>
            <a:ln>
              <a:noFill/>
              <a:prstDash val="solid"/>
            </a:ln>
          </c:spPr>
          <c:invertIfNegative val="1"/>
          <c:dLbls>
            <c:numFmt formatCode="#,##0;;" sourceLinked="0"/>
            <c:spPr>
              <a:noFill/>
              <a:ln>
                <a:noFill/>
              </a:ln>
              <a:effectLst/>
            </c:spPr>
            <c:txPr>
              <a:bodyPr/>
              <a:lstStyle/>
              <a:p>
                <a:pPr>
                  <a:defRPr sz="900">
                    <a:solidFill>
                      <a:srgbClr val="FFFFFF"/>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Summary!$A$61:$A$63</c:f>
              <c:strCache>
                <c:ptCount val="3"/>
                <c:pt idx="0">
                  <c:v>Equity reference</c:v>
                </c:pt>
                <c:pt idx="1">
                  <c:v>Facility at its limit assumed</c:v>
                </c:pt>
                <c:pt idx="2">
                  <c:v>Enterprise value under these assumptions</c:v>
                </c:pt>
              </c:strCache>
            </c:strRef>
          </c:cat>
          <c:val>
            <c:numRef>
              <c:f>Summary!$C$61:$C$63</c:f>
              <c:numCache>
                <c:formatCode>#,##0;\(#,##0\);"-"</c:formatCode>
                <c:ptCount val="3"/>
                <c:pt idx="0">
                  <c:v>0</c:v>
                </c:pt>
                <c:pt idx="1">
                  <c:v>14328.700386874911</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0670-4DAA-89BA-350E62286716}"/>
            </c:ext>
          </c:extLst>
        </c:ser>
        <c:ser>
          <c:idx val="2"/>
          <c:order val="2"/>
          <c:tx>
            <c:strRef>
              <c:f>Summary!$D$60</c:f>
              <c:strCache>
                <c:ptCount val="1"/>
                <c:pt idx="0">
                  <c:v>Decrease</c:v>
                </c:pt>
              </c:strCache>
            </c:strRef>
          </c:tx>
          <c:spPr>
            <a:solidFill>
              <a:srgbClr val="5B6B84"/>
            </a:solidFill>
            <a:ln>
              <a:noFill/>
              <a:prstDash val="solid"/>
            </a:ln>
          </c:spPr>
          <c:invertIfNegative val="1"/>
          <c:dLbls>
            <c:spPr>
              <a:noFill/>
              <a:ln>
                <a:noFill/>
              </a:ln>
              <a:effectLst/>
            </c:spPr>
            <c:txPr>
              <a:bodyPr/>
              <a:lstStyle/>
              <a:p>
                <a:pPr>
                  <a:defRPr sz="900">
                    <a:solidFill>
                      <a:srgbClr val="0A1E3C"/>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Summary!$A$61:$A$63</c:f>
              <c:strCache>
                <c:ptCount val="3"/>
                <c:pt idx="0">
                  <c:v>Equity reference</c:v>
                </c:pt>
                <c:pt idx="1">
                  <c:v>Facility at its limit assumed</c:v>
                </c:pt>
                <c:pt idx="2">
                  <c:v>Enterprise value under these assumptions</c:v>
                </c:pt>
              </c:strCache>
            </c:strRef>
          </c:cat>
          <c:val>
            <c:numRef>
              <c:f>Summary!$D$61:$D$63</c:f>
              <c:numCache>
                <c:formatCode>#,##0;\(#,##0\);"-"</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0670-4DAA-89BA-350E62286716}"/>
            </c:ext>
          </c:extLst>
        </c:ser>
        <c:ser>
          <c:idx val="3"/>
          <c:order val="3"/>
          <c:tx>
            <c:strRef>
              <c:f>Summary!$E$60</c:f>
              <c:strCache>
                <c:ptCount val="1"/>
                <c:pt idx="0">
                  <c:v>Total</c:v>
                </c:pt>
              </c:strCache>
            </c:strRef>
          </c:tx>
          <c:spPr>
            <a:solidFill>
              <a:srgbClr val="C2410C"/>
            </a:solidFill>
            <a:ln>
              <a:noFill/>
              <a:prstDash val="solid"/>
            </a:ln>
          </c:spPr>
          <c:invertIfNegative val="1"/>
          <c:dLbls>
            <c:numFmt formatCode="#,##0;;" sourceLinked="0"/>
            <c:spPr>
              <a:noFill/>
              <a:ln>
                <a:noFill/>
              </a:ln>
              <a:effectLst/>
            </c:spPr>
            <c:txPr>
              <a:bodyPr/>
              <a:lstStyle/>
              <a:p>
                <a:pPr>
                  <a:defRPr sz="900">
                    <a:solidFill>
                      <a:srgbClr val="FFFFFF"/>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Summary!$A$61:$A$63</c:f>
              <c:strCache>
                <c:ptCount val="3"/>
                <c:pt idx="0">
                  <c:v>Equity reference</c:v>
                </c:pt>
                <c:pt idx="1">
                  <c:v>Facility at its limit assumed</c:v>
                </c:pt>
                <c:pt idx="2">
                  <c:v>Enterprise value under these assumptions</c:v>
                </c:pt>
              </c:strCache>
            </c:strRef>
          </c:cat>
          <c:val>
            <c:numRef>
              <c:f>Summary!$E$61:$E$63</c:f>
              <c:numCache>
                <c:formatCode>#,##0;\(#,##0\);"-"</c:formatCode>
                <c:ptCount val="3"/>
                <c:pt idx="0">
                  <c:v>43700</c:v>
                </c:pt>
                <c:pt idx="1">
                  <c:v>0</c:v>
                </c:pt>
                <c:pt idx="2">
                  <c:v>58028.700386874909</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3-0670-4DAA-89BA-350E62286716}"/>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low"/>
        <c:txPr>
          <a:bodyPr/>
          <a:lstStyle/>
          <a:p>
            <a:pPr>
              <a:defRPr sz="900">
                <a:solidFill>
                  <a:srgbClr val="5B6B84"/>
                </a:solidFill>
                <a:latin typeface="Arial"/>
                <a:ea typeface="Arial"/>
                <a:cs typeface="Arial"/>
              </a:defRPr>
            </a:pPr>
            <a:endParaRPr lang="en-US"/>
          </a:p>
        </c:txPr>
        <c:crossAx val="100"/>
        <c:crosses val="autoZero"/>
        <c:auto val="1"/>
        <c:lblAlgn val="ctr"/>
        <c:lblOffset val="100"/>
        <c:noMultiLvlLbl val="1"/>
      </c:catAx>
      <c:valAx>
        <c:axId val="100"/>
        <c:scaling>
          <c:orientation val="minMax"/>
        </c:scaling>
        <c:delete val="0"/>
        <c:axPos val="l"/>
        <c:numFmt formatCode="#,##0" sourceLinked="0"/>
        <c:majorTickMark val="none"/>
        <c:minorTickMark val="none"/>
        <c:tickLblPos val="low"/>
        <c:txPr>
          <a:bodyPr/>
          <a:lstStyle/>
          <a:p>
            <a:pPr>
              <a:defRPr sz="900">
                <a:solidFill>
                  <a:srgbClr val="5B6B84"/>
                </a:solidFill>
                <a:latin typeface="Arial"/>
                <a:ea typeface="Arial"/>
                <a:cs typeface="Arial"/>
              </a:defRPr>
            </a:pPr>
            <a:endParaRPr lang="en-US"/>
          </a:p>
        </c:txPr>
        <c:crossAx val="10"/>
        <c:crosses val="autoZero"/>
        <c:crossBetween val="between"/>
      </c:valAx>
      <c:spPr>
        <a:solidFill>
          <a:srgbClr val="FFFFFF"/>
        </a:solidFill>
        <a:ln>
          <a:noFill/>
        </a:ln>
        <a:effectLst/>
        <a:extLst>
          <a:ext uri="{91240B29-F687-4F45-9708-019B960494DF}">
            <a14:hiddenLine xmlns:a14="http://schemas.microsoft.com/office/drawing/2010/main">
              <a:noFill/>
            </a14:hiddenLine>
          </a:ext>
        </a:extLst>
      </c:spPr>
    </c:plotArea>
    <c:plotVisOnly val="1"/>
    <c:dispBlanksAs val="gap"/>
    <c:showDLblsOverMax val="1"/>
  </c:chart>
  <c:spPr>
    <a:solidFill>
      <a:srgbClr val="FFFFFF"/>
    </a:solidFill>
    <a:ln w="9525" cap="flat" cmpd="sng" algn="ctr">
      <a:noFill/>
      <a:prstDash val="solid"/>
      <a:round/>
    </a:ln>
    <a:effectLst/>
    <a:extLs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txPr>
    <a:bodyPr/>
    <a:lstStyle/>
    <a:p>
      <a:pPr>
        <a:defRPr sz="900">
          <a:solidFill>
            <a:srgbClr val="0A1E3C"/>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3</xdr:col>
      <xdr:colOff>38100</xdr:colOff>
      <xdr:row>10</xdr:row>
      <xdr:rowOff>38100</xdr:rowOff>
    </xdr:from>
    <xdr:ext cx="8324850" cy="268605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0</xdr:row>
      <xdr:rowOff>0</xdr:rowOff>
    </xdr:from>
    <xdr:ext cx="1471220" cy="38100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18</xdr:row>
      <xdr:rowOff>31376</xdr:rowOff>
    </xdr:from>
    <xdr:ext cx="11525250" cy="15367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17" Type="http://schemas.openxmlformats.org/officeDocument/2006/relationships/hyperlink" Target="https://thenightly.com.au/business/firmus-431b-asx-listing-fund-managers-warn-over-ai-data-centre-giants-valuation-ahead-of-october-ipo-c-22975665" TargetMode="External"/><Relationship Id="rId21" Type="http://schemas.openxmlformats.org/officeDocument/2006/relationships/hyperlink" Target="https://www.sec.gov/Archives/edgar/data/1513845/000110465926094568/tm2622968d1_ex99-1.htm" TargetMode="External"/><Relationship Id="rId42" Type="http://schemas.openxmlformats.org/officeDocument/2006/relationships/hyperlink" Target="https://airtrunk.com/?p=14233" TargetMode="External"/><Relationship Id="rId63" Type="http://schemas.openxmlformats.org/officeDocument/2006/relationships/hyperlink" Target="https://firmus.co/newsroom/capital-raise-to-expand-project-southgate-nationally" TargetMode="External"/><Relationship Id="rId84" Type="http://schemas.openxmlformats.org/officeDocument/2006/relationships/hyperlink" Target="https://www.lightreading.com/ai-machine-learning/firmus-expands-to-indonesia-through-ai-access-deal-with-nvidia" TargetMode="External"/><Relationship Id="rId138" Type="http://schemas.openxmlformats.org/officeDocument/2006/relationships/hyperlink" Target="https://www.startupdaily.net/topic/asx/firmus-will-spend-4-4-billion-on-servers-and-deployment-from-asx-raise/" TargetMode="External"/><Relationship Id="rId159" Type="http://schemas.openxmlformats.org/officeDocument/2006/relationships/hyperlink" Target="https://www.startupdaily.net/topic/funding/firmus-looks-cut-share-price-by-nearly-20-an-8-billion-haircut-on-its-market-cap-and-may-even-pull-the-ipo/" TargetMode="External"/><Relationship Id="rId107" Type="http://schemas.openxmlformats.org/officeDocument/2006/relationships/hyperlink" Target="https://thenightly.com.au/business/ai-hopeful-firmus-struggles-to-sell-investors-on-44-billion-valuation-c-22984194" TargetMode="External"/><Relationship Id="rId11" Type="http://schemas.openxmlformats.org/officeDocument/2006/relationships/hyperlink" Target="https://assets.nebius.com/assets/4462517b-ce83-41f2-96ed-f2ac1bc06a05/SHLQ226%20(1).pdf-0" TargetMode="External"/><Relationship Id="rId32" Type="http://schemas.openxmlformats.org/officeDocument/2006/relationships/hyperlink" Target="https://www.sec.gov/Archives/edgar/data/1878848/000187884826000051/irenreportsfy26results.htm" TargetMode="External"/><Relationship Id="rId53" Type="http://schemas.openxmlformats.org/officeDocument/2006/relationships/hyperlink" Target="https://getdeploying.com/gpus/nvidia-b300" TargetMode="External"/><Relationship Id="rId74" Type="http://schemas.openxmlformats.org/officeDocument/2006/relationships/hyperlink" Target="https://firmus.co/newsroom/firmus-surpasses-900-mw-contracted-capacity-adds-openai-as-anchor-customer-and-expands-into-malaysia" TargetMode="External"/><Relationship Id="rId128" Type="http://schemas.openxmlformats.org/officeDocument/2006/relationships/hyperlink" Target="https://www.startupdaily.net/topic/asx/firmus-will-spend-4-4-billion-on-servers-and-deployment-from-asx-raise/" TargetMode="External"/><Relationship Id="rId149" Type="http://schemas.openxmlformats.org/officeDocument/2006/relationships/hyperlink" Target="https://firmus.co/ourcommitments/tasmaniancommunity" TargetMode="External"/><Relationship Id="rId5" Type="http://schemas.openxmlformats.org/officeDocument/2006/relationships/hyperlink" Target="https://investors.coreweave.com/news/news-details/2026/CoreWeave-Reports-Strong-Second-Quarter-2026-Results/default.aspx" TargetMode="External"/><Relationship Id="rId95" Type="http://schemas.openxmlformats.org/officeDocument/2006/relationships/hyperlink" Target="https://firmus.co/newsroom/firmus-and-meta-announce-strategic-ai-infrastructure-agreements-across-asia-pacific" TargetMode="External"/><Relationship Id="rId160" Type="http://schemas.openxmlformats.org/officeDocument/2006/relationships/hyperlink" Target="https://www.startupdaily.net/topic/funding/firmus-looks-cut-share-price-by-nearly-20-an-8-billion-haircut-on-its-market-cap-and-may-even-pull-the-ipo/" TargetMode="External"/><Relationship Id="rId22" Type="http://schemas.openxmlformats.org/officeDocument/2006/relationships/hyperlink" Target="https://finance.yahoo.com/quote/NBIS/history/" TargetMode="External"/><Relationship Id="rId43" Type="http://schemas.openxmlformats.org/officeDocument/2006/relationships/hyperlink" Target="https://airtrunk.com/?p=14233" TargetMode="External"/><Relationship Id="rId64" Type="http://schemas.openxmlformats.org/officeDocument/2006/relationships/hyperlink" Target="https://firmus.co/newsroom/firmus-raises-usdusd505-million-in-strategic-equity-investment-led-by-coatue" TargetMode="External"/><Relationship Id="rId118" Type="http://schemas.openxmlformats.org/officeDocument/2006/relationships/hyperlink" Target="https://thenightly.com.au/business/firmus-431b-asx-listing-fund-managers-warn-over-ai-data-centre-giants-valuation-ahead-of-october-ipo-c-22975665" TargetMode="External"/><Relationship Id="rId139" Type="http://schemas.openxmlformats.org/officeDocument/2006/relationships/hyperlink" Target="https://www.startupdaily.net/topic/asx/firmus-will-spend-4-4-billion-on-servers-and-deployment-from-asx-raise/" TargetMode="External"/><Relationship Id="rId85" Type="http://schemas.openxmlformats.org/officeDocument/2006/relationships/hyperlink" Target="https://www.hydro.com.au/hydro-tasmania-and-firmus-technologies" TargetMode="External"/><Relationship Id="rId150" Type="http://schemas.openxmlformats.org/officeDocument/2006/relationships/hyperlink" Target="https://wtaq.com/2026/10/08/firmus-investor-stock-falls-after-reports-ai-data-centre-operator-may-cut-5-billion-ipo/" TargetMode="External"/><Relationship Id="rId12" Type="http://schemas.openxmlformats.org/officeDocument/2006/relationships/hyperlink" Target="https://assets.nebius.com/assets/4462517b-ce83-41f2-96ed-f2ac1bc06a05/SHLQ226%20(1).pdf-0" TargetMode="External"/><Relationship Id="rId17" Type="http://schemas.openxmlformats.org/officeDocument/2006/relationships/hyperlink" Target="https://assets.nebius.com/assets/4462517b-ce83-41f2-96ed-f2ac1bc06a05/SHLQ226%20(1).pdf-0" TargetMode="External"/><Relationship Id="rId33" Type="http://schemas.openxmlformats.org/officeDocument/2006/relationships/hyperlink" Target="https://www.sec.gov/Archives/edgar/data/1878848/000187884826000051/irenreportsfy26results.htm" TargetMode="External"/><Relationship Id="rId38" Type="http://schemas.openxmlformats.org/officeDocument/2006/relationships/hyperlink" Target="https://grafa.com/en/news/australia/nextdc-reports-405-m-net-revenue-for-fy26" TargetMode="External"/><Relationship Id="rId59" Type="http://schemas.openxmlformats.org/officeDocument/2006/relationships/hyperlink" Target="https://octus.com/resources/articles/nomura-struggles-to-selldown-funded-120m-4y-private-credit-facility-for-singapores-firmus/" TargetMode="External"/><Relationship Id="rId103" Type="http://schemas.openxmlformats.org/officeDocument/2006/relationships/hyperlink" Target="https://theedgemalaysia.com/node/820982" TargetMode="External"/><Relationship Id="rId108" Type="http://schemas.openxmlformats.org/officeDocument/2006/relationships/hyperlink" Target="https://finance.yahoo.com/technology/ai/articles/firmus-withdraws-7-1-billion-151554787.html" TargetMode="External"/><Relationship Id="rId124" Type="http://schemas.openxmlformats.org/officeDocument/2006/relationships/hyperlink" Target="https://thenightly.com.au/business/firmus-431b-asx-listing-fund-managers-warn-over-ai-data-centre-giants-valuation-ahead-of-october-ipo-c-22975665" TargetMode="External"/><Relationship Id="rId129" Type="http://schemas.openxmlformats.org/officeDocument/2006/relationships/hyperlink" Target="https://www.startupdaily.net/topic/asx/firmus-will-spend-4-4-billion-on-servers-and-deployment-from-asx-raise/" TargetMode="External"/><Relationship Id="rId54" Type="http://schemas.openxmlformats.org/officeDocument/2006/relationships/hyperlink" Target="https://getdeploying.com/gpus/nvidia-gb200" TargetMode="External"/><Relationship Id="rId70" Type="http://schemas.openxmlformats.org/officeDocument/2006/relationships/hyperlink" Target="https://wtaq.com/2026/10/01/australias-firmus-prices-shares-to-raise-5-billion-term-sheet-shows/" TargetMode="External"/><Relationship Id="rId75" Type="http://schemas.openxmlformats.org/officeDocument/2006/relationships/hyperlink" Target="https://firmus.co/newsroom/firmus-surpasses-900-mw-contracted-capacity-adds-openai-as-anchor-customer-and-expands-into-malaysia" TargetMode="External"/><Relationship Id="rId91" Type="http://schemas.openxmlformats.org/officeDocument/2006/relationships/hyperlink" Target="https://firmus.co/newsroom/firmus-secures-us10-billion-financing-led-by-blackstone-and-coatue-to-scale-energy-efficient-ai-infrastructure" TargetMode="External"/><Relationship Id="rId96" Type="http://schemas.openxmlformats.org/officeDocument/2006/relationships/hyperlink" Target="https://www.abc.net.au/news/2025-07-02/firmus-ai-factory-launceston-tasmania/105481780" TargetMode="External"/><Relationship Id="rId140" Type="http://schemas.openxmlformats.org/officeDocument/2006/relationships/hyperlink" Target="https://www.startupdaily.net/topic/asx/firmus-will-spend-4-4-billion-on-servers-and-deployment-from-asx-raise/" TargetMode="External"/><Relationship Id="rId145" Type="http://schemas.openxmlformats.org/officeDocument/2006/relationships/hyperlink" Target="https://investors.maasgroup.com.au/DownloadFile.axd?file=/Report/ComNews/20261009/03146611.pdf" TargetMode="External"/><Relationship Id="rId161" Type="http://schemas.openxmlformats.org/officeDocument/2006/relationships/hyperlink" Target="https://www.startupdaily.net/topic/funding/firmus-looks-cut-share-price-by-nearly-20-an-8-billion-haircut-on-its-market-cap-and-may-even-pull-the-ipo/" TargetMode="External"/><Relationship Id="rId1" Type="http://schemas.openxmlformats.org/officeDocument/2006/relationships/hyperlink" Target="https://investors.coreweave.com/news/news-details/2026/CoreWeave-Reports-Strong-Second-Quarter-2026-Results/default.aspx" TargetMode="External"/><Relationship Id="rId6" Type="http://schemas.openxmlformats.org/officeDocument/2006/relationships/hyperlink" Target="https://investors.coreweave.com/news/news-details/2026/CoreWeave-Reports-Strong-Second-Quarter-2026-Results/default.aspx" TargetMode="External"/><Relationship Id="rId23" Type="http://schemas.openxmlformats.org/officeDocument/2006/relationships/hyperlink" Target="https://www.sec.gov/Archives/edgar/data/1878848/000187884826000051/irenreportsfy26results.htm" TargetMode="External"/><Relationship Id="rId28" Type="http://schemas.openxmlformats.org/officeDocument/2006/relationships/hyperlink" Target="https://www.sec.gov/Archives/edgar/data/1878848/000114036125040072/ef20058139_ex99-2.htm" TargetMode="External"/><Relationship Id="rId49" Type="http://schemas.openxmlformats.org/officeDocument/2006/relationships/hyperlink" Target="https://www.silicondata.com/products/silicon-index/h100" TargetMode="External"/><Relationship Id="rId114" Type="http://schemas.openxmlformats.org/officeDocument/2006/relationships/hyperlink" Target="https://thenightly.com.au/business/firmus-431b-asx-listing-fund-managers-warn-over-ai-data-centre-giants-valuation-ahead-of-october-ipo-c-22975665" TargetMode="External"/><Relationship Id="rId119" Type="http://schemas.openxmlformats.org/officeDocument/2006/relationships/hyperlink" Target="https://thenightly.com.au/business/firmus-431b-asx-listing-fund-managers-warn-over-ai-data-centre-giants-valuation-ahead-of-october-ipo-c-22975665" TargetMode="External"/><Relationship Id="rId44" Type="http://schemas.openxmlformats.org/officeDocument/2006/relationships/hyperlink" Target="https://www.nzx.com/announcements/481262" TargetMode="External"/><Relationship Id="rId60" Type="http://schemas.openxmlformats.org/officeDocument/2006/relationships/hyperlink" Target="https://firmus.co/newsroom/firmus-closes-usd330m-raise-with-nvidia-joining-as-an-investor" TargetMode="External"/><Relationship Id="rId65" Type="http://schemas.openxmlformats.org/officeDocument/2006/relationships/hyperlink" Target="https://firmus.co/newsroom/firmus-raises-usdusd505-million-in-strategic-equity-investment-led-by-coatue" TargetMode="External"/><Relationship Id="rId81" Type="http://schemas.openxmlformats.org/officeDocument/2006/relationships/hyperlink" Target="https://www.parliament.tas.gov.au/__data/assets/pdf_file/0020/107480/JSC-Energy-Matters-IN-CAMERA-Mon-11-May-2026-For-publication_Redacted.pdf" TargetMode="External"/><Relationship Id="rId86" Type="http://schemas.openxmlformats.org/officeDocument/2006/relationships/hyperlink" Target="https://www.parliament.tas.gov.au/__data/assets/pdf_file/0020/107480/JSC-Energy-Matters-IN-CAMERA-Mon-11-May-2026-For-publication_Redacted.pdf" TargetMode="External"/><Relationship Id="rId130" Type="http://schemas.openxmlformats.org/officeDocument/2006/relationships/hyperlink" Target="https://www.startupdaily.net/topic/asx/firmus-will-spend-4-4-billion-on-servers-and-deployment-from-asx-raise/" TargetMode="External"/><Relationship Id="rId135" Type="http://schemas.openxmlformats.org/officeDocument/2006/relationships/hyperlink" Target="https://www.startupdaily.net/topic/asx/firmus-will-spend-4-4-billion-on-servers-and-deployment-from-asx-raise/" TargetMode="External"/><Relationship Id="rId151" Type="http://schemas.openxmlformats.org/officeDocument/2006/relationships/hyperlink" Target="https://www.startupdaily.net/topic/funding/ai-data-centre-startup-firmus-technologies-banks-another-100-million/" TargetMode="External"/><Relationship Id="rId156" Type="http://schemas.openxmlformats.org/officeDocument/2006/relationships/hyperlink" Target="https://www.lightreading.com/ai-machine-learning/firmus-to-supply-meta-with-gpu-capacity-in-southeast-asia" TargetMode="External"/><Relationship Id="rId13" Type="http://schemas.openxmlformats.org/officeDocument/2006/relationships/hyperlink" Target="https://assets.nebius.com/assets/4462517b-ce83-41f2-96ed-f2ac1bc06a05/SHLQ226%20(1).pdf-0" TargetMode="External"/><Relationship Id="rId18" Type="http://schemas.openxmlformats.org/officeDocument/2006/relationships/hyperlink" Target="https://assets.nebius.com/assets/4462517b-ce83-41f2-96ed-f2ac1bc06a05/SHLQ226%20(1).pdf-0" TargetMode="External"/><Relationship Id="rId39" Type="http://schemas.openxmlformats.org/officeDocument/2006/relationships/hyperlink" Target="https://www.nextdc.com/investor-centre" TargetMode="External"/><Relationship Id="rId109" Type="http://schemas.openxmlformats.org/officeDocument/2006/relationships/hyperlink" Target="https://www.startupdaily.net/topic/asx/firmus-float-fizzles-out/" TargetMode="External"/><Relationship Id="rId34" Type="http://schemas.openxmlformats.org/officeDocument/2006/relationships/hyperlink" Target="https://www.sec.gov/Archives/edgar/data/1878848/000187884826000052/iren-20260630.htm" TargetMode="External"/><Relationship Id="rId50" Type="http://schemas.openxmlformats.org/officeDocument/2006/relationships/hyperlink" Target="https://www.silicondata.com/products/silicon-index/b200" TargetMode="External"/><Relationship Id="rId55" Type="http://schemas.openxmlformats.org/officeDocument/2006/relationships/hyperlink" Target="https://getdeploying.com/gpus/nvidia-gb300" TargetMode="External"/><Relationship Id="rId76" Type="http://schemas.openxmlformats.org/officeDocument/2006/relationships/hyperlink" Target="https://firmus.co/newsroom/southgate-expansion" TargetMode="External"/><Relationship Id="rId97" Type="http://schemas.openxmlformats.org/officeDocument/2006/relationships/hyperlink" Target="https://w.media/firmus-wins-approval-to-build-2-1bn-ai-factory-in-launceston/" TargetMode="External"/><Relationship Id="rId104" Type="http://schemas.openxmlformats.org/officeDocument/2006/relationships/hyperlink" Target="https://investors.maasgroup.com.au/DownloadFile.axd?file=/Report/ComNews/20261009/03146611.pdf" TargetMode="External"/><Relationship Id="rId120" Type="http://schemas.openxmlformats.org/officeDocument/2006/relationships/hyperlink" Target="https://thenightly.com.au/business/firmus-431b-asx-listing-fund-managers-warn-over-ai-data-centre-giants-valuation-ahead-of-october-ipo-c-22975665" TargetMode="External"/><Relationship Id="rId125" Type="http://schemas.openxmlformats.org/officeDocument/2006/relationships/hyperlink" Target="https://www.startupdaily.net/topic/asx/firmus-will-spend-4-4-billion-on-servers-and-deployment-from-asx-raise/" TargetMode="External"/><Relationship Id="rId141" Type="http://schemas.openxmlformats.org/officeDocument/2006/relationships/hyperlink" Target="https://w.media/firmus-and-cdc-end-project-southgate-partnership-after-42mw-rollout/" TargetMode="External"/><Relationship Id="rId146" Type="http://schemas.openxmlformats.org/officeDocument/2006/relationships/hyperlink" Target="https://investors.maasgroup.com.au/DownloadFile.axd?file=/Report/ComNews/20261009/03146611.pdf" TargetMode="External"/><Relationship Id="rId7" Type="http://schemas.openxmlformats.org/officeDocument/2006/relationships/hyperlink" Target="https://investors.coreweave.com/news/news-details/2026/CoreWeave-Reports-Strong-Second-Quarter-2026-Results/default.aspx" TargetMode="External"/><Relationship Id="rId71" Type="http://schemas.openxmlformats.org/officeDocument/2006/relationships/hyperlink" Target="https://wtaq.com/2026/10/01/australias-firmus-prices-shares-to-raise-5-billion-term-sheet-shows/" TargetMode="External"/><Relationship Id="rId92" Type="http://schemas.openxmlformats.org/officeDocument/2006/relationships/hyperlink" Target="https://firmus.co/newsroom/firmus-project-southgate-goes-on-net-with-megaport" TargetMode="External"/><Relationship Id="rId162" Type="http://schemas.openxmlformats.org/officeDocument/2006/relationships/hyperlink" Target="https://www.startupdaily.net/topic/funding/firmus-looks-cut-share-price-by-nearly-20-an-8-billion-haircut-on-its-market-cap-and-may-even-pull-the-ipo/" TargetMode="External"/><Relationship Id="rId2" Type="http://schemas.openxmlformats.org/officeDocument/2006/relationships/hyperlink" Target="https://investors.coreweave.com/news/news-details/2026/CoreWeave-Reports-Strong-Second-Quarter-2026-Results/default.aspx" TargetMode="External"/><Relationship Id="rId29" Type="http://schemas.openxmlformats.org/officeDocument/2006/relationships/hyperlink" Target="https://www.sec.gov/Archives/edgar/data/1878848/000187884826000052/iren-20260630.htm" TargetMode="External"/><Relationship Id="rId24" Type="http://schemas.openxmlformats.org/officeDocument/2006/relationships/hyperlink" Target="https://www.sec.gov/Archives/edgar/data/1878848/000187884826000051/irenreportsfy26results.htm" TargetMode="External"/><Relationship Id="rId40" Type="http://schemas.openxmlformats.org/officeDocument/2006/relationships/hyperlink" Target="https://asx.api.markitdigital.com/asx-research/1.0/companies/nxt/key-statistics" TargetMode="External"/><Relationship Id="rId45" Type="http://schemas.openxmlformats.org/officeDocument/2006/relationships/hyperlink" Target="https://www.nzx.com/announcements/479856" TargetMode="External"/><Relationship Id="rId66" Type="http://schemas.openxmlformats.org/officeDocument/2006/relationships/hyperlink" Target="https://firmus.co/newsroom/firmus-announces-fully-subscribed-usdusd2-billion-strategic-equity-investment-to-accelerate-nvidia-ai-factory-expansion-across-australia-and-asia-pacific" TargetMode="External"/><Relationship Id="rId87" Type="http://schemas.openxmlformats.org/officeDocument/2006/relationships/hyperlink" Target="https://firmus.co/newsroom/firmus-secures-600-mw-energy-supply-agreement-in-south-australia-linked-to-1-2-gw-of-new-renewable-generation-and-battery-storage" TargetMode="External"/><Relationship Id="rId110" Type="http://schemas.openxmlformats.org/officeDocument/2006/relationships/hyperlink" Target="https://www.startupdaily.net/topic/funding/firmus-looks-cut-share-price-by-nearly-20-an-8-billion-haircut-on-its-market-cap-and-may-even-pull-the-ipo/" TargetMode="External"/><Relationship Id="rId115" Type="http://schemas.openxmlformats.org/officeDocument/2006/relationships/hyperlink" Target="https://investors.maasgroup.com.au/DownloadFile.axd?file=/Report/ComNews/20261009/03146611.pdf" TargetMode="External"/><Relationship Id="rId131" Type="http://schemas.openxmlformats.org/officeDocument/2006/relationships/hyperlink" Target="https://www.startupdaily.net/topic/asx/firmus-will-spend-4-4-billion-on-servers-and-deployment-from-asx-raise/" TargetMode="External"/><Relationship Id="rId136" Type="http://schemas.openxmlformats.org/officeDocument/2006/relationships/hyperlink" Target="https://www.startupdaily.net/topic/asx/firmus-will-spend-4-4-billion-on-servers-and-deployment-from-asx-raise/" TargetMode="External"/><Relationship Id="rId157" Type="http://schemas.openxmlformats.org/officeDocument/2006/relationships/hyperlink" Target="https://www.startupdaily.net/topic/funding/firmus-looks-cut-share-price-by-nearly-20-an-8-billion-haircut-on-its-market-cap-and-may-even-pull-the-ipo/" TargetMode="External"/><Relationship Id="rId61" Type="http://schemas.openxmlformats.org/officeDocument/2006/relationships/hyperlink" Target="https://firmus.co/newsroom/firmus-closes-usd330m-raise-with-nvidia-joining-as-an-investor" TargetMode="External"/><Relationship Id="rId82" Type="http://schemas.openxmlformats.org/officeDocument/2006/relationships/hyperlink" Target="https://firmus.co/about" TargetMode="External"/><Relationship Id="rId152" Type="http://schemas.openxmlformats.org/officeDocument/2006/relationships/hyperlink" Target="https://investors.maasgroup.com.au/DownloadFile.axd?file=/Report/ComNews/20260820/03123204.pdf" TargetMode="External"/><Relationship Id="rId19" Type="http://schemas.openxmlformats.org/officeDocument/2006/relationships/hyperlink" Target="https://www.sec.gov/Archives/edgar/data/1513845/000110465926094568/tm2622968d1_ex99-1.htm" TargetMode="External"/><Relationship Id="rId14" Type="http://schemas.openxmlformats.org/officeDocument/2006/relationships/hyperlink" Target="https://assets.nebius.com/assets/4462517b-ce83-41f2-96ed-f2ac1bc06a05/SHLQ226%20(1).pdf-0" TargetMode="External"/><Relationship Id="rId30" Type="http://schemas.openxmlformats.org/officeDocument/2006/relationships/hyperlink" Target="https://www.sec.gov/Archives/edgar/data/1878848/000187884826000052/iren-20260630.htm" TargetMode="External"/><Relationship Id="rId35" Type="http://schemas.openxmlformats.org/officeDocument/2006/relationships/hyperlink" Target="https://finance.yahoo.com/quote/IREN/history/" TargetMode="External"/><Relationship Id="rId56" Type="http://schemas.openxmlformats.org/officeDocument/2006/relationships/hyperlink" Target="https://getdeploying.com/gpu-price-trends" TargetMode="External"/><Relationship Id="rId77" Type="http://schemas.openxmlformats.org/officeDocument/2006/relationships/hyperlink" Target="https://firmus.co/infrastructure/southgate" TargetMode="External"/><Relationship Id="rId100" Type="http://schemas.openxmlformats.org/officeDocument/2006/relationships/hyperlink" Target="https://thenightly.com.au/business/firmus-hits-43b-asx-valuation-marking-oliver-curtis-journey-from-jail-to-ai-billionaire-c-22954723" TargetMode="External"/><Relationship Id="rId105" Type="http://schemas.openxmlformats.org/officeDocument/2006/relationships/hyperlink" Target="https://au.finance.yahoo.com/news/ai-firm-rocked-1bn-valuation-082408634.html" TargetMode="External"/><Relationship Id="rId126" Type="http://schemas.openxmlformats.org/officeDocument/2006/relationships/hyperlink" Target="https://www.startupdaily.net/topic/asx/firmus-will-spend-4-4-billion-on-servers-and-deployment-from-asx-raise/" TargetMode="External"/><Relationship Id="rId147" Type="http://schemas.openxmlformats.org/officeDocument/2006/relationships/hyperlink" Target="https://www.rba.gov.au/statistics/frequency/exchange-rates.html" TargetMode="External"/><Relationship Id="rId8" Type="http://schemas.openxmlformats.org/officeDocument/2006/relationships/hyperlink" Target="https://investors.coreweave.com/news/news-details/2026/CoreWeave-Reports-Strong-Second-Quarter-2026-Results/default.aspx" TargetMode="External"/><Relationship Id="rId51" Type="http://schemas.openxmlformats.org/officeDocument/2006/relationships/hyperlink" Target="https://getdeploying.com/gpus/nvidia-h100" TargetMode="External"/><Relationship Id="rId72" Type="http://schemas.openxmlformats.org/officeDocument/2006/relationships/hyperlink" Target="https://thenightly.com.au/business/firmus-hits-43b-asx-valuation-marking-oliver-curtis-journey-from-jail-to-ai-billionaire-c-22954723" TargetMode="External"/><Relationship Id="rId93" Type="http://schemas.openxmlformats.org/officeDocument/2006/relationships/hyperlink" Target="https://www.parliament.tas.gov.au/__data/assets/pdf_file/0020/107480/JSC-Energy-Matters-IN-CAMERA-Mon-11-May-2026-For-publication_Redacted.pdf" TargetMode="External"/><Relationship Id="rId98" Type="http://schemas.openxmlformats.org/officeDocument/2006/relationships/hyperlink" Target="https://www.parliament.tas.gov.au/__data/assets/pdf_file/0020/107480/JSC-Energy-Matters-IN-CAMERA-Mon-11-May-2026-For-publication_Redacted.pdf" TargetMode="External"/><Relationship Id="rId121" Type="http://schemas.openxmlformats.org/officeDocument/2006/relationships/hyperlink" Target="https://www.startupdaily.net/topic/asx/firmus-will-spend-4-4-billion-on-servers-and-deployment-from-asx-raise/" TargetMode="External"/><Relationship Id="rId142" Type="http://schemas.openxmlformats.org/officeDocument/2006/relationships/hyperlink" Target="https://www.mingtiandi.com/real-estate/data-centres/nvidia-backed-firmus-scraps-australian-ipo-as-investors-balk-at-31b-valuation/" TargetMode="External"/><Relationship Id="rId163" Type="http://schemas.openxmlformats.org/officeDocument/2006/relationships/hyperlink" Target="https://www.startupdaily.net/topic/funding/firmus-looks-cut-share-price-by-nearly-20-an-8-billion-haircut-on-its-market-cap-and-may-even-pull-the-ipo/" TargetMode="External"/><Relationship Id="rId3" Type="http://schemas.openxmlformats.org/officeDocument/2006/relationships/hyperlink" Target="https://investors.coreweave.com/news/news-details/2026/CoreWeave-Reports-Strong-Second-Quarter-2026-Results/default.aspx" TargetMode="External"/><Relationship Id="rId25" Type="http://schemas.openxmlformats.org/officeDocument/2006/relationships/hyperlink" Target="https://www.sec.gov/Archives/edgar/data/1878848/000187884826000051/irenreportsfy26results.htm" TargetMode="External"/><Relationship Id="rId46" Type="http://schemas.openxmlformats.org/officeDocument/2006/relationships/hyperlink" Target="https://www.nzx.com/announcements/479856" TargetMode="External"/><Relationship Id="rId67" Type="http://schemas.openxmlformats.org/officeDocument/2006/relationships/hyperlink" Target="https://firmus.co/newsroom/firmus-announces-fully-subscribed-usdusd2-billion-strategic-equity-investment-to-accelerate-nvidia-ai-factory-expansion-across-australia-and-asia-pacific" TargetMode="External"/><Relationship Id="rId116" Type="http://schemas.openxmlformats.org/officeDocument/2006/relationships/hyperlink" Target="https://thenightly.com.au/business/firmus-431b-asx-listing-fund-managers-warn-over-ai-data-centre-giants-valuation-ahead-of-october-ipo-c-22975665" TargetMode="External"/><Relationship Id="rId137" Type="http://schemas.openxmlformats.org/officeDocument/2006/relationships/hyperlink" Target="https://www.startupdaily.net/topic/asx/firmus-will-spend-4-4-billion-on-servers-and-deployment-from-asx-raise/" TargetMode="External"/><Relationship Id="rId158" Type="http://schemas.openxmlformats.org/officeDocument/2006/relationships/hyperlink" Target="https://www.startupdaily.net/topic/funding/firmus-looks-cut-share-price-by-nearly-20-an-8-billion-haircut-on-its-market-cap-and-may-even-pull-the-ipo/" TargetMode="External"/><Relationship Id="rId20" Type="http://schemas.openxmlformats.org/officeDocument/2006/relationships/hyperlink" Target="https://www.sec.gov/Archives/edgar/data/1513845/000110465926094568/tm2622968d1_ex99-1.htm" TargetMode="External"/><Relationship Id="rId41" Type="http://schemas.openxmlformats.org/officeDocument/2006/relationships/hyperlink" Target="https://finance.yahoo.com/quote/NXT.AX/history/" TargetMode="External"/><Relationship Id="rId62" Type="http://schemas.openxmlformats.org/officeDocument/2006/relationships/hyperlink" Target="https://firmus.co/newsroom/capital-raise-to-expand-project-southgate-nationally" TargetMode="External"/><Relationship Id="rId83" Type="http://schemas.openxmlformats.org/officeDocument/2006/relationships/hyperlink" Target="https://firmus.co/newsroom/firmus-to-build-170-000-gpu-ai-factor-y-campus-with-nvidia-for-global-ai-natives" TargetMode="External"/><Relationship Id="rId88" Type="http://schemas.openxmlformats.org/officeDocument/2006/relationships/hyperlink" Target="https://cdn.sanity.io/files/q43wife6/production/abee15eeb342ae068045b9fbfb435e6a7ff39ad5.pdf" TargetMode="External"/><Relationship Id="rId111" Type="http://schemas.openxmlformats.org/officeDocument/2006/relationships/hyperlink" Target="https://finance.yahoo.com/technology/ai/articles/nvidia-backed-fermus-wanted-30-182039299.html" TargetMode="External"/><Relationship Id="rId132" Type="http://schemas.openxmlformats.org/officeDocument/2006/relationships/hyperlink" Target="https://www.startupdaily.net/topic/asx/firmus-will-spend-4-4-billion-on-servers-and-deployment-from-asx-raise/" TargetMode="External"/><Relationship Id="rId153" Type="http://schemas.openxmlformats.org/officeDocument/2006/relationships/hyperlink" Target="https://www.mingtiandi.com/real-estate/data-centres/nvidia-backed-firmus-scraps-australian-ipo-as-investors-balk-at-31b-valuation/" TargetMode="External"/><Relationship Id="rId15" Type="http://schemas.openxmlformats.org/officeDocument/2006/relationships/hyperlink" Target="https://assets.nebius.com/assets/e59fb92e-9027-473a-8cac-04f9d2e9ea9a/Shareholder%20Letter%20Q4%202025.pdf?cache-buster=2026-02-12T11%3A43%3A13.446Z" TargetMode="External"/><Relationship Id="rId36" Type="http://schemas.openxmlformats.org/officeDocument/2006/relationships/hyperlink" Target="https://www.nextdc.com/investor-centre" TargetMode="External"/><Relationship Id="rId57" Type="http://schemas.openxmlformats.org/officeDocument/2006/relationships/hyperlink" Target="https://www.sec.gov/Archives/edgar/data/1878848/000114036125040072/ef20058139_ex99-2.htm" TargetMode="External"/><Relationship Id="rId106" Type="http://schemas.openxmlformats.org/officeDocument/2006/relationships/hyperlink" Target="https://www.startupdaily.net/topic/funding/firmus-looks-cut-share-price-by-nearly-20-an-8-billion-haircut-on-its-market-cap-and-may-even-pull-the-ipo/" TargetMode="External"/><Relationship Id="rId127" Type="http://schemas.openxmlformats.org/officeDocument/2006/relationships/hyperlink" Target="https://www.startupdaily.net/topic/asx/firmus-will-spend-4-4-billion-on-servers-and-deployment-from-asx-raise/" TargetMode="External"/><Relationship Id="rId10" Type="http://schemas.openxmlformats.org/officeDocument/2006/relationships/hyperlink" Target="https://finance.yahoo.com/quote/CRWV/history/" TargetMode="External"/><Relationship Id="rId31" Type="http://schemas.openxmlformats.org/officeDocument/2006/relationships/hyperlink" Target="https://www.sec.gov/Archives/edgar/data/1878848/000187884826000051/irenreportsfy26results.htm" TargetMode="External"/><Relationship Id="rId52" Type="http://schemas.openxmlformats.org/officeDocument/2006/relationships/hyperlink" Target="https://getdeploying.com/gpus/nvidia-b200" TargetMode="External"/><Relationship Id="rId73" Type="http://schemas.openxmlformats.org/officeDocument/2006/relationships/hyperlink" Target="https://1027wbow.com/2026/09/24/australias-firmus-expects-77-million-first-half-loss-as-it-plans-5-billion-ipo-sources-say/" TargetMode="External"/><Relationship Id="rId78" Type="http://schemas.openxmlformats.org/officeDocument/2006/relationships/hyperlink" Target="https://www.parliament.tas.gov.au/__data/assets/pdf_file/0020/107480/JSC-Energy-Matters-IN-CAMERA-Mon-11-May-2026-For-publication_Redacted.pdf" TargetMode="External"/><Relationship Id="rId94" Type="http://schemas.openxmlformats.org/officeDocument/2006/relationships/hyperlink" Target="https://firmus.co/newsroom/firmus-surpasses-900-mw-contracted-capacity-adds-openai-as-anchor-customer-and-expands-into-malaysia" TargetMode="External"/><Relationship Id="rId99" Type="http://schemas.openxmlformats.org/officeDocument/2006/relationships/hyperlink" Target="https://firmus.co/tasmaniancommunity" TargetMode="External"/><Relationship Id="rId101" Type="http://schemas.openxmlformats.org/officeDocument/2006/relationships/hyperlink" Target="https://data.ornn.com/markets/h100-sxm" TargetMode="External"/><Relationship Id="rId122" Type="http://schemas.openxmlformats.org/officeDocument/2006/relationships/hyperlink" Target="https://www.startupdaily.net/topic/asx/firmus-will-spend-4-4-billion-on-servers-and-deployment-from-asx-raise/" TargetMode="External"/><Relationship Id="rId143" Type="http://schemas.openxmlformats.org/officeDocument/2006/relationships/hyperlink" Target="https://www.startupdaily.net/topic/asx/cdc-kills-off-its-73-3-billion-data-cente-rollout-deal-with-firmus/" TargetMode="External"/><Relationship Id="rId148" Type="http://schemas.openxmlformats.org/officeDocument/2006/relationships/hyperlink" Target="https://firmus.co/ourcommitments/sa-community" TargetMode="External"/><Relationship Id="rId164" Type="http://schemas.openxmlformats.org/officeDocument/2006/relationships/printerSettings" Target="../printerSettings/printerSettings13.bin"/><Relationship Id="rId4" Type="http://schemas.openxmlformats.org/officeDocument/2006/relationships/hyperlink" Target="https://www.sec.gov/Archives/edgar/data/1769628/000176962826000366/crwv-20260630.htm" TargetMode="External"/><Relationship Id="rId9" Type="http://schemas.openxmlformats.org/officeDocument/2006/relationships/hyperlink" Target="https://www.sec.gov/Archives/edgar/data/1769628/000176962826000366/crwv-20260630.htm" TargetMode="External"/><Relationship Id="rId26" Type="http://schemas.openxmlformats.org/officeDocument/2006/relationships/hyperlink" Target="https://www.sec.gov/Archives/edgar/data/1878848/000187884826000051/irenreportsfy26results.htm" TargetMode="External"/><Relationship Id="rId47" Type="http://schemas.openxmlformats.org/officeDocument/2006/relationships/hyperlink" Target="https://data.ornn.com/markets/h100-sxm" TargetMode="External"/><Relationship Id="rId68" Type="http://schemas.openxmlformats.org/officeDocument/2006/relationships/hyperlink" Target="https://www.businessnewsaustralia.com/articles/maas-group-locks-in-855m-firmus-contract.html" TargetMode="External"/><Relationship Id="rId89" Type="http://schemas.openxmlformats.org/officeDocument/2006/relationships/hyperlink" Target="https://firmus.co/newsroom/firmus-surpasses-900-mw-contracted-capacity-adds-openai-as-anchor-customer-and-expands-into-malaysia" TargetMode="External"/><Relationship Id="rId112" Type="http://schemas.openxmlformats.org/officeDocument/2006/relationships/hyperlink" Target="https://theedgemalaysia.com/node/820982" TargetMode="External"/><Relationship Id="rId133" Type="http://schemas.openxmlformats.org/officeDocument/2006/relationships/hyperlink" Target="https://finance.yahoo.com/technology/ai/articles/nvidia-backed-ipo-cratering-demand-102043878.html" TargetMode="External"/><Relationship Id="rId154" Type="http://schemas.openxmlformats.org/officeDocument/2006/relationships/hyperlink" Target="https://finance.yahoo.com/technology/ai/articles/nvidia-backed-ipo-cratering-demand-102043878.html" TargetMode="External"/><Relationship Id="rId16" Type="http://schemas.openxmlformats.org/officeDocument/2006/relationships/hyperlink" Target="https://assets.nebius.com/assets/e59fb92e-9027-473a-8cac-04f9d2e9ea9a/Shareholder%20Letter%20Q4%202025.pdf?cache-buster=2026-02-12T11%3A43%3A13.446Z" TargetMode="External"/><Relationship Id="rId37" Type="http://schemas.openxmlformats.org/officeDocument/2006/relationships/hyperlink" Target="https://www.nextdc.com/investor-centre" TargetMode="External"/><Relationship Id="rId58" Type="http://schemas.openxmlformats.org/officeDocument/2006/relationships/hyperlink" Target="https://www.sec.gov/Archives/edgar/data/1878848/000114036125040072/ef20058139_ex99-2.htm" TargetMode="External"/><Relationship Id="rId79" Type="http://schemas.openxmlformats.org/officeDocument/2006/relationships/hyperlink" Target="https://firmus.co/newsroom/firmus-signs-multi-year-agreement-with-global-hyperscale-customer-at-project-southgate" TargetMode="External"/><Relationship Id="rId102" Type="http://schemas.openxmlformats.org/officeDocument/2006/relationships/hyperlink" Target="https://getdeploying.com/gpu-price-trends" TargetMode="External"/><Relationship Id="rId123" Type="http://schemas.openxmlformats.org/officeDocument/2006/relationships/hyperlink" Target="https://thenightly.com.au/business/firmus-431b-asx-listing-fund-managers-warn-over-ai-data-centre-giants-valuation-ahead-of-october-ipo-c-22975665" TargetMode="External"/><Relationship Id="rId144" Type="http://schemas.openxmlformats.org/officeDocument/2006/relationships/hyperlink" Target="https://firmus.co/infrastructure/southgate" TargetMode="External"/><Relationship Id="rId90" Type="http://schemas.openxmlformats.org/officeDocument/2006/relationships/hyperlink" Target="https://firmus.co/newsroom/firmus-to-build-170-000-gpu-ai-factor-y-campus-with-nvidia-for-global-ai-natives" TargetMode="External"/><Relationship Id="rId27" Type="http://schemas.openxmlformats.org/officeDocument/2006/relationships/hyperlink" Target="https://www.sec.gov/Archives/edgar/data/1878848/000114036125040072/ef20058139_ex99-1.htm" TargetMode="External"/><Relationship Id="rId48" Type="http://schemas.openxmlformats.org/officeDocument/2006/relationships/hyperlink" Target="https://data.ornn.com/markets/b200" TargetMode="External"/><Relationship Id="rId69" Type="http://schemas.openxmlformats.org/officeDocument/2006/relationships/hyperlink" Target="https://wilsonassetmanagement.com.au/oliver-curtiss-firmus-eyes-12bn-float-with-no-escrow-restrictions-for-early-investors/" TargetMode="External"/><Relationship Id="rId113" Type="http://schemas.openxmlformats.org/officeDocument/2006/relationships/hyperlink" Target="https://theedgemalaysia.com/node/820290" TargetMode="External"/><Relationship Id="rId134" Type="http://schemas.openxmlformats.org/officeDocument/2006/relationships/hyperlink" Target="https://www.startupdaily.net/topic/asx/firmus-will-spend-4-4-billion-on-servers-and-deployment-from-asx-raise/" TargetMode="External"/><Relationship Id="rId80" Type="http://schemas.openxmlformats.org/officeDocument/2006/relationships/hyperlink" Target="https://www.nzx.com/announcements/460798" TargetMode="External"/><Relationship Id="rId155" Type="http://schemas.openxmlformats.org/officeDocument/2006/relationships/hyperlink" Target="https://www.lightreading.com/ai-machine-learning/firmus-to-supply-meta-with-gpu-capacity-in-southeast-asia"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8"/>
  <sheetViews>
    <sheetView showGridLines="0" tabSelected="1" zoomScale="85" workbookViewId="0">
      <pane ySplit="4" topLeftCell="A5" activePane="bottomLeft" state="frozen"/>
      <selection pane="bottomLeft" activeCell="A5" sqref="A5"/>
    </sheetView>
  </sheetViews>
  <sheetFormatPr defaultRowHeight="15" customHeight="1" x14ac:dyDescent="0.2"/>
  <cols>
    <col min="1" max="1" width="19" customWidth="1"/>
    <col min="2" max="2" width="21" customWidth="1"/>
    <col min="3" max="6" width="24" customWidth="1"/>
    <col min="7" max="7" width="54" customWidth="1"/>
    <col min="8" max="17" width="19" customWidth="1"/>
  </cols>
  <sheetData>
    <row r="1" spans="1:7" ht="15" customHeight="1" x14ac:dyDescent="0.2">
      <c r="C1" s="93" t="str">
        <f>"Firmus: what the A$"&amp;TEXT(Prices!D6,"0")&amp;" offer price required"</f>
        <v>Firmus: what the A$11 offer price required</v>
      </c>
      <c r="D1" s="91"/>
      <c r="E1" s="91"/>
      <c r="F1" s="91"/>
      <c r="G1" s="91"/>
    </row>
    <row r="2" spans="1:7" ht="15" customHeight="1" x14ac:dyDescent="0.25">
      <c r="A2" s="1"/>
      <c r="C2" s="91"/>
      <c r="D2" s="91"/>
      <c r="E2" s="91"/>
      <c r="F2" s="91"/>
      <c r="G2" s="91"/>
    </row>
    <row r="3" spans="1:7" ht="15" customHeight="1" x14ac:dyDescent="0.2">
      <c r="A3" s="90" t="str">
        <f>"Model as at "&amp;TEXT(Inputs!$D$13,"d mmmm yyyy")&amp;". The offer was withdrawn on 9 October 2026."</f>
        <v>Model as at 12 October 2026. The offer was withdrawn on 9 October 2026.</v>
      </c>
      <c r="B3" s="91"/>
      <c r="C3" s="91"/>
      <c r="D3" s="91"/>
      <c r="E3" s="91"/>
      <c r="F3" s="91"/>
      <c r="G3" s="91"/>
    </row>
    <row r="4" spans="1:7" ht="15" customHeight="1" x14ac:dyDescent="0.2">
      <c r="A4" s="92" t="s">
        <v>0</v>
      </c>
      <c r="B4" s="91"/>
      <c r="C4" s="91"/>
      <c r="D4" s="91"/>
      <c r="E4" s="91"/>
      <c r="F4" s="91"/>
      <c r="G4" s="91"/>
    </row>
    <row r="6" spans="1:7" ht="15" customHeight="1" x14ac:dyDescent="0.2">
      <c r="A6" s="95" t="s">
        <v>1</v>
      </c>
      <c r="B6" s="96"/>
      <c r="C6" s="96"/>
      <c r="D6" s="96"/>
      <c r="E6" s="96"/>
      <c r="F6" s="96"/>
      <c r="G6" s="96"/>
    </row>
    <row r="7" spans="1:7" ht="27" customHeight="1" x14ac:dyDescent="0.2">
      <c r="A7" s="97" t="str">
        <f>"At A$"&amp;TEXT(Prices!D6,"0")&amp;" a share the offer valued Firmus at about A$"&amp;TEXT(Prices!F6,"0.0,")&amp;" billion. "&amp;"In the model's central case that price needed each megawatt to earn about US$"&amp;TEXT(DCF!J32,"0.0")&amp;" million a year at a "&amp;TEXT(Inputs!$D$81,"0%")&amp;" cash margin and a "&amp;TEXT(Inputs!$D$82,"0%")&amp;" discount rate, about US$"&amp;TEXT(DCF!D48,"0.00")&amp;" for every hour of every GB300-equivalent GPU. "&amp;"The offer documents' own projects imply about US$"&amp;TEXT(Profitability!C67,"0.0")&amp;" million a megawatt a year, "&amp;IF(MIN(Requirements!$E$6:$E$101)&gt;Profitability!$C$67,"less than every price, margin and discount rate in the grid requires","for comparison with the requirements in the grid")&amp;"."</f>
        <v>At A$11 a share the offer valued Firmus at about A$43.7 billion. In the model's central case that price needed each megawatt to earn about US$30.2 million a year at a 60% cash margin and a 10% discount rate, about US$7.88 for every hour of every GB300-equivalent GPU. The offer documents' own projects imply about US$15.5 million a megawatt a year, less than every price, margin and discount rate in the grid requires.</v>
      </c>
      <c r="B7" s="91"/>
      <c r="C7" s="91"/>
      <c r="D7" s="91"/>
      <c r="E7" s="91"/>
      <c r="F7" s="91"/>
      <c r="G7" s="91"/>
    </row>
    <row r="8" spans="1:7" ht="15" customHeight="1" x14ac:dyDescent="0.2">
      <c r="A8" s="92" t="s">
        <v>2</v>
      </c>
      <c r="B8" s="91"/>
      <c r="C8" s="91"/>
      <c r="D8" s="91"/>
      <c r="E8" s="91"/>
      <c r="F8" s="91"/>
      <c r="G8" s="91"/>
    </row>
    <row r="10" spans="1:7" ht="15" customHeight="1" x14ac:dyDescent="0.2">
      <c r="A10" s="95" t="s">
        <v>3</v>
      </c>
      <c r="B10" s="96"/>
      <c r="C10" s="96"/>
      <c r="D10" s="98" t="s">
        <v>4</v>
      </c>
      <c r="E10" s="96"/>
      <c r="F10" s="96"/>
      <c r="G10" s="96"/>
    </row>
    <row r="11" spans="1:7" ht="15" customHeight="1" x14ac:dyDescent="0.2">
      <c r="A11" s="92" t="s">
        <v>5</v>
      </c>
      <c r="B11" s="91"/>
      <c r="C11" s="91"/>
    </row>
    <row r="12" spans="1:7" ht="15" customHeight="1" x14ac:dyDescent="0.2">
      <c r="A12" s="91"/>
      <c r="B12" s="91"/>
      <c r="C12" s="91"/>
    </row>
    <row r="13" spans="1:7" ht="15" customHeight="1" x14ac:dyDescent="0.2">
      <c r="A13" s="95" t="s">
        <v>6</v>
      </c>
      <c r="B13" s="96"/>
      <c r="C13" s="96"/>
    </row>
    <row r="14" spans="1:7" ht="15" customHeight="1" x14ac:dyDescent="0.2">
      <c r="A14" s="92" t="s">
        <v>7</v>
      </c>
      <c r="B14" s="91"/>
      <c r="C14" s="91"/>
    </row>
    <row r="15" spans="1:7" ht="15" customHeight="1" x14ac:dyDescent="0.2">
      <c r="A15" s="91"/>
      <c r="B15" s="91"/>
      <c r="C15" s="91"/>
    </row>
    <row r="16" spans="1:7" ht="15" customHeight="1" x14ac:dyDescent="0.2">
      <c r="A16" s="91"/>
      <c r="B16" s="91"/>
      <c r="C16" s="91"/>
    </row>
    <row r="17" spans="1:7" ht="15" customHeight="1" x14ac:dyDescent="0.2">
      <c r="A17" s="95" t="s">
        <v>8</v>
      </c>
      <c r="B17" s="96"/>
      <c r="C17" s="96"/>
    </row>
    <row r="18" spans="1:7" ht="22.7" customHeight="1" x14ac:dyDescent="0.2">
      <c r="A18" s="90" t="str">
        <f>IF(MIN(Requirements!$E$6:$E$101)&gt;Profitability!$C$67,"Every cell in the grid needs more revenue per megawatt than the projects provide. ","The grid compares required revenue per megawatt with the reported projects. ")&amp;"Even with the equity worth nothing, the model needs about US$"&amp;TEXT(RecoveryDCF!J32,"0.0")&amp;" million a megawatt a year to recover the servers, their replacement and the buildings, which is most of the requirement at every price. "&amp;"The projects' reported EBITDA and EBIT are consistent with servers written off over about "&amp;TEXT(Profitability!C53,"0.0")&amp;" years. "&amp;"On a "&amp;TEXT(Inputs!$D$176,"[=4]""four"";0")&amp;"-year life the same projects earn about US$"&amp;TEXT(Profitability!C68,"0.0,")&amp;" billion of EBIT a year. "&amp;"Set against the equity raised in the year to August 2026 and the debt facility at its limit, about A$"&amp;TEXT(Funding!F13,"0.0,")&amp;" billion of the five-site programme is left to fund from other sources."</f>
        <v>Every cell in the grid needs more revenue per megawatt than the projects provide. Even with the equity worth nothing, the model needs about US$22.5 million a megawatt a year to recover the servers, their replacement and the buildings, which is most of the requirement at every price. The projects' reported EBITDA and EBIT are consistent with servers written off over about 5.1 years. On a four-year life the same projects earn about US$3.8 billion of EBIT a year. Set against the equity raised in the year to August 2026 and the debt facility at its limit, about A$34.9 billion of the five-site programme is left to fund from other sources.</v>
      </c>
      <c r="B18" s="91"/>
      <c r="C18" s="91"/>
    </row>
    <row r="19" spans="1:7" ht="22.7" customHeight="1" x14ac:dyDescent="0.2">
      <c r="A19" s="91"/>
      <c r="B19" s="91"/>
      <c r="C19" s="91"/>
    </row>
    <row r="20" spans="1:7" ht="22.7" customHeight="1" x14ac:dyDescent="0.2">
      <c r="A20" s="91"/>
      <c r="B20" s="91"/>
      <c r="C20" s="91"/>
    </row>
    <row r="21" spans="1:7" ht="22.7" customHeight="1" x14ac:dyDescent="0.2">
      <c r="A21" s="91"/>
      <c r="B21" s="91"/>
      <c r="C21" s="91"/>
    </row>
    <row r="22" spans="1:7" ht="22.7" customHeight="1" x14ac:dyDescent="0.2">
      <c r="A22" s="91"/>
      <c r="B22" s="91"/>
      <c r="C22" s="91"/>
    </row>
    <row r="23" spans="1:7" ht="15" customHeight="1" x14ac:dyDescent="0.2">
      <c r="A23" s="95" t="s">
        <v>9</v>
      </c>
      <c r="B23" s="96"/>
      <c r="C23" s="96"/>
    </row>
    <row r="24" spans="1:7" ht="19.5" customHeight="1" x14ac:dyDescent="0.2">
      <c r="A24" s="92" t="s">
        <v>10</v>
      </c>
      <c r="B24" s="91"/>
      <c r="C24" s="91"/>
      <c r="D24" s="92" t="s">
        <v>11</v>
      </c>
      <c r="E24" s="91"/>
      <c r="F24" s="91"/>
      <c r="G24" s="91"/>
    </row>
    <row r="25" spans="1:7" ht="19.5" customHeight="1" x14ac:dyDescent="0.2">
      <c r="A25" s="91"/>
      <c r="B25" s="91"/>
      <c r="C25" s="91"/>
      <c r="D25" s="91"/>
      <c r="E25" s="91"/>
      <c r="F25" s="91"/>
      <c r="G25" s="91"/>
    </row>
    <row r="27" spans="1:7" ht="15" customHeight="1" x14ac:dyDescent="0.2">
      <c r="A27" s="98" t="s">
        <v>12</v>
      </c>
      <c r="B27" s="96"/>
      <c r="C27" s="96"/>
      <c r="D27" s="96"/>
      <c r="E27" s="96"/>
      <c r="F27" s="96"/>
      <c r="G27" s="96"/>
    </row>
    <row r="28" spans="1:7" ht="39" customHeight="1" x14ac:dyDescent="0.2">
      <c r="A28" s="4" t="s">
        <v>13</v>
      </c>
      <c r="B28" s="4" t="s">
        <v>14</v>
      </c>
      <c r="C28" s="5" t="s">
        <v>15</v>
      </c>
      <c r="D28" s="5" t="s">
        <v>16</v>
      </c>
      <c r="E28" s="5" t="s">
        <v>17</v>
      </c>
      <c r="F28" s="4" t="s">
        <v>18</v>
      </c>
    </row>
    <row r="29" spans="1:7" ht="15" customHeight="1" x14ac:dyDescent="0.2">
      <c r="A29" s="6">
        <f>Prices!D6</f>
        <v>11</v>
      </c>
      <c r="B29" s="7">
        <f>Prices!F6</f>
        <v>43700</v>
      </c>
      <c r="C29" s="8">
        <f>DCF!J32</f>
        <v>30.231217302896585</v>
      </c>
      <c r="D29" s="8">
        <f>GridDCF!J998</f>
        <v>19.896018946603391</v>
      </c>
      <c r="E29" s="8">
        <f>RecoveryDCF!J32</f>
        <v>22.531615413069783</v>
      </c>
      <c r="F29" s="9">
        <f>Profitability!C67</f>
        <v>15.515350877192983</v>
      </c>
    </row>
    <row r="30" spans="1:7" ht="15" customHeight="1" x14ac:dyDescent="0.2">
      <c r="A30" s="6">
        <f>Prices!D7</f>
        <v>9</v>
      </c>
      <c r="B30" s="7">
        <f>Prices!F7</f>
        <v>35754.545454545456</v>
      </c>
      <c r="C30" s="8">
        <f>DCF!J308</f>
        <v>28.831289686564443</v>
      </c>
      <c r="D30" s="8">
        <f>GridDCF!J2102</f>
        <v>18.974686996938601</v>
      </c>
      <c r="E30" s="8">
        <f>RecoveryDCF!J32</f>
        <v>22.531615413069783</v>
      </c>
      <c r="F30" s="9">
        <f>Profitability!C67</f>
        <v>15.515350877192983</v>
      </c>
    </row>
    <row r="31" spans="1:7" ht="15" customHeight="1" x14ac:dyDescent="0.2">
      <c r="A31" s="6">
        <f>Prices!D8</f>
        <v>8.25</v>
      </c>
      <c r="B31" s="7">
        <f>Prices!F8</f>
        <v>32775</v>
      </c>
      <c r="C31" s="8">
        <f>DCF!J584</f>
        <v>28.306316830439883</v>
      </c>
      <c r="D31" s="8">
        <f>GridDCF!J3206</f>
        <v>18.629187515814301</v>
      </c>
      <c r="E31" s="8">
        <f>RecoveryDCF!J32</f>
        <v>22.531615413069783</v>
      </c>
      <c r="F31" s="9">
        <f>Profitability!C67</f>
        <v>15.515350877192983</v>
      </c>
    </row>
    <row r="32" spans="1:7" ht="15" customHeight="1" x14ac:dyDescent="0.2">
      <c r="A32" s="6">
        <f>Prices!D9</f>
        <v>5.5</v>
      </c>
      <c r="B32" s="7">
        <f>Prices!F9</f>
        <v>21850</v>
      </c>
      <c r="C32" s="8">
        <f>DCF!J860</f>
        <v>26.381416357983181</v>
      </c>
      <c r="D32" s="8">
        <f>GridDCF!J4310</f>
        <v>17.362356085025215</v>
      </c>
      <c r="E32" s="8">
        <f>RecoveryDCF!J32</f>
        <v>22.531615413069783</v>
      </c>
      <c r="F32" s="9">
        <f>Profitability!C67</f>
        <v>15.515350877192983</v>
      </c>
    </row>
    <row r="33" spans="1:7" ht="27" customHeight="1" x14ac:dyDescent="0.2">
      <c r="A33" s="92" t="s">
        <v>19</v>
      </c>
      <c r="B33" s="91"/>
      <c r="C33" s="91"/>
      <c r="D33" s="91"/>
      <c r="E33" s="91"/>
      <c r="F33" s="91"/>
      <c r="G33" s="91"/>
    </row>
    <row r="34" spans="1:7" ht="15" customHeight="1" x14ac:dyDescent="0.2">
      <c r="A34" s="95" t="s">
        <v>20</v>
      </c>
      <c r="B34" s="96"/>
      <c r="C34" s="96"/>
      <c r="D34" s="96"/>
      <c r="E34" s="96"/>
      <c r="F34" s="96"/>
      <c r="G34" s="96"/>
    </row>
    <row r="35" spans="1:7" ht="15" customHeight="1" x14ac:dyDescent="0.2">
      <c r="A35" s="92" t="s">
        <v>21</v>
      </c>
      <c r="B35" s="91"/>
      <c r="C35" s="91"/>
      <c r="D35" s="91"/>
      <c r="E35" s="91"/>
      <c r="F35" s="91"/>
      <c r="G35" s="91"/>
    </row>
    <row r="37" spans="1:7" ht="15" customHeight="1" x14ac:dyDescent="0.2">
      <c r="A37" s="95" t="s">
        <v>22</v>
      </c>
      <c r="B37" s="96"/>
      <c r="C37" s="96"/>
      <c r="D37" s="96"/>
      <c r="E37" s="96"/>
      <c r="F37" s="96"/>
      <c r="G37" s="96"/>
    </row>
    <row r="38" spans="1:7" ht="15" customHeight="1" x14ac:dyDescent="0.2">
      <c r="A38" s="95" t="s">
        <v>23</v>
      </c>
      <c r="B38" s="96"/>
      <c r="C38" s="96"/>
      <c r="D38" s="98" t="s">
        <v>24</v>
      </c>
      <c r="E38" s="96"/>
      <c r="F38" s="96"/>
      <c r="G38" s="96"/>
    </row>
    <row r="39" spans="1:7" ht="15" customHeight="1" x14ac:dyDescent="0.2">
      <c r="A39" s="94" t="s">
        <v>25</v>
      </c>
      <c r="B39" s="90" t="s">
        <v>26</v>
      </c>
      <c r="C39" s="91"/>
      <c r="D39" s="94" t="s">
        <v>27</v>
      </c>
      <c r="E39" s="90" t="s">
        <v>28</v>
      </c>
      <c r="F39" s="91"/>
      <c r="G39" s="91"/>
    </row>
    <row r="40" spans="1:7" ht="15" customHeight="1" x14ac:dyDescent="0.2">
      <c r="A40" s="94" t="s">
        <v>29</v>
      </c>
      <c r="B40" s="90" t="s">
        <v>30</v>
      </c>
      <c r="C40" s="91"/>
      <c r="D40" s="94" t="s">
        <v>31</v>
      </c>
      <c r="E40" s="92" t="s">
        <v>32</v>
      </c>
      <c r="F40" s="91"/>
      <c r="G40" s="91"/>
    </row>
    <row r="41" spans="1:7" ht="15" customHeight="1" x14ac:dyDescent="0.2">
      <c r="A41" s="94" t="s">
        <v>33</v>
      </c>
      <c r="B41" s="90" t="s">
        <v>34</v>
      </c>
      <c r="C41" s="91"/>
      <c r="D41" s="94" t="s">
        <v>35</v>
      </c>
      <c r="E41" s="90" t="s">
        <v>36</v>
      </c>
      <c r="F41" s="91"/>
      <c r="G41" s="91"/>
    </row>
    <row r="42" spans="1:7" ht="15" customHeight="1" x14ac:dyDescent="0.2">
      <c r="A42" s="94" t="s">
        <v>37</v>
      </c>
      <c r="B42" s="92" t="s">
        <v>38</v>
      </c>
      <c r="C42" s="91"/>
      <c r="D42" s="94" t="s">
        <v>39</v>
      </c>
      <c r="E42" s="92" t="s">
        <v>40</v>
      </c>
      <c r="F42" s="91"/>
      <c r="G42" s="91"/>
    </row>
    <row r="43" spans="1:7" ht="15" customHeight="1" x14ac:dyDescent="0.2">
      <c r="A43" s="94" t="s">
        <v>41</v>
      </c>
      <c r="B43" s="90" t="s">
        <v>42</v>
      </c>
      <c r="C43" s="91"/>
      <c r="D43" s="94" t="s">
        <v>43</v>
      </c>
      <c r="E43" s="90" t="s">
        <v>44</v>
      </c>
      <c r="F43" s="91"/>
      <c r="G43" s="91"/>
    </row>
    <row r="44" spans="1:7" ht="15" customHeight="1" x14ac:dyDescent="0.2">
      <c r="A44" s="94" t="s">
        <v>45</v>
      </c>
      <c r="B44" s="90" t="s">
        <v>46</v>
      </c>
      <c r="C44" s="91"/>
      <c r="D44" s="94" t="s">
        <v>47</v>
      </c>
      <c r="E44" s="92" t="s">
        <v>48</v>
      </c>
      <c r="F44" s="91"/>
      <c r="G44" s="91"/>
    </row>
    <row r="45" spans="1:7" ht="15" customHeight="1" x14ac:dyDescent="0.2">
      <c r="A45" s="94" t="s">
        <v>49</v>
      </c>
      <c r="B45" s="92" t="s">
        <v>50</v>
      </c>
      <c r="C45" s="91"/>
      <c r="D45" s="94" t="s">
        <v>51</v>
      </c>
      <c r="E45" s="90" t="s">
        <v>52</v>
      </c>
      <c r="F45" s="91"/>
      <c r="G45" s="91"/>
    </row>
    <row r="46" spans="1:7" ht="15" customHeight="1" x14ac:dyDescent="0.2">
      <c r="A46" s="94" t="s">
        <v>53</v>
      </c>
      <c r="B46" s="90" t="s">
        <v>54</v>
      </c>
      <c r="C46" s="91"/>
      <c r="D46" s="94" t="s">
        <v>55</v>
      </c>
      <c r="E46" s="90" t="s">
        <v>56</v>
      </c>
      <c r="F46" s="91"/>
      <c r="G46" s="91"/>
    </row>
    <row r="47" spans="1:7" ht="15" customHeight="1" x14ac:dyDescent="0.2">
      <c r="A47" s="94" t="s">
        <v>57</v>
      </c>
      <c r="B47" s="92" t="s">
        <v>58</v>
      </c>
      <c r="C47" s="91"/>
      <c r="D47" s="94" t="s">
        <v>59</v>
      </c>
      <c r="E47" s="90" t="s">
        <v>60</v>
      </c>
      <c r="F47" s="91"/>
      <c r="G47" s="91"/>
    </row>
    <row r="48" spans="1:7" ht="15" customHeight="1" x14ac:dyDescent="0.2">
      <c r="A48" s="94" t="s">
        <v>61</v>
      </c>
      <c r="B48" s="90" t="s">
        <v>62</v>
      </c>
      <c r="C48" s="91"/>
    </row>
  </sheetData>
  <mergeCells count="61">
    <mergeCell ref="B47:C47"/>
    <mergeCell ref="A8:G8"/>
    <mergeCell ref="D39"/>
    <mergeCell ref="A35:G35"/>
    <mergeCell ref="A4:G4"/>
    <mergeCell ref="A43"/>
    <mergeCell ref="B46:C46"/>
    <mergeCell ref="E40:G40"/>
    <mergeCell ref="D42"/>
    <mergeCell ref="D38:G38"/>
    <mergeCell ref="A44"/>
    <mergeCell ref="B43:C43"/>
    <mergeCell ref="B39:C39"/>
    <mergeCell ref="E46:G46"/>
    <mergeCell ref="D44"/>
    <mergeCell ref="D10:G10"/>
    <mergeCell ref="B48:C48"/>
    <mergeCell ref="A40"/>
    <mergeCell ref="A11:C12"/>
    <mergeCell ref="A23:C23"/>
    <mergeCell ref="A48"/>
    <mergeCell ref="A39"/>
    <mergeCell ref="A18:C22"/>
    <mergeCell ref="A34:G34"/>
    <mergeCell ref="B42:C42"/>
    <mergeCell ref="A17:C17"/>
    <mergeCell ref="A24:C25"/>
    <mergeCell ref="E45:G45"/>
    <mergeCell ref="D46"/>
    <mergeCell ref="A38:C38"/>
    <mergeCell ref="A45"/>
    <mergeCell ref="D45"/>
    <mergeCell ref="A27:G27"/>
    <mergeCell ref="A10:C10"/>
    <mergeCell ref="D24:G25"/>
    <mergeCell ref="A14:C16"/>
    <mergeCell ref="A13:C13"/>
    <mergeCell ref="E43:G43"/>
    <mergeCell ref="A46"/>
    <mergeCell ref="A37:G37"/>
    <mergeCell ref="D41"/>
    <mergeCell ref="E42:G42"/>
    <mergeCell ref="B44:C44"/>
    <mergeCell ref="D40"/>
    <mergeCell ref="E41:G41"/>
    <mergeCell ref="A3:G3"/>
    <mergeCell ref="E39:G39"/>
    <mergeCell ref="B45:C45"/>
    <mergeCell ref="C1:G2"/>
    <mergeCell ref="D47"/>
    <mergeCell ref="D43"/>
    <mergeCell ref="A42"/>
    <mergeCell ref="E44:G44"/>
    <mergeCell ref="B41:C41"/>
    <mergeCell ref="A33:G33"/>
    <mergeCell ref="A47"/>
    <mergeCell ref="A6:G6"/>
    <mergeCell ref="E47:G47"/>
    <mergeCell ref="A7:G7"/>
    <mergeCell ref="B40:C40"/>
    <mergeCell ref="A41"/>
  </mergeCells>
  <hyperlinks>
    <hyperlink ref="A39" location="'Read me'!A1" display="Read me" xr:uid="{00000000-0004-0000-0000-000000000000}"/>
    <hyperlink ref="D39" location="'Comps'!A1" display="Comps" xr:uid="{00000000-0004-0000-0000-000001000000}"/>
    <hyperlink ref="A40" location="'Summary'!A1" display="Summary" xr:uid="{00000000-0004-0000-0000-000002000000}"/>
    <hyperlink ref="D40" location="'PageFigures'!A1" display="PageFigures" xr:uid="{00000000-0004-0000-0000-000003000000}"/>
    <hyperlink ref="A41" location="'Prices'!A1" display="Prices" xr:uid="{00000000-0004-0000-0000-000004000000}"/>
    <hyperlink ref="D41" location="'Inputs'!A1" display="Inputs" xr:uid="{00000000-0004-0000-0000-000005000000}"/>
    <hyperlink ref="A42" location="'Requirements'!A1" display="Requirements" xr:uid="{00000000-0004-0000-0000-000006000000}"/>
    <hyperlink ref="D42" location="'Capital'!A1" display="Capital" xr:uid="{00000000-0004-0000-0000-000007000000}"/>
    <hyperlink ref="A43" location="'Recovery'!A1" display="Recovery" xr:uid="{00000000-0004-0000-0000-000008000000}"/>
    <hyperlink ref="D43" location="'DCF'!A1" display="DCF" xr:uid="{00000000-0004-0000-0000-000009000000}"/>
    <hyperlink ref="A44" location="'Profitability'!A1" display="Profitability" xr:uid="{00000000-0004-0000-0000-00000A000000}"/>
    <hyperlink ref="D44" location="'GridDCF'!A1" display="GridDCF" xr:uid="{00000000-0004-0000-0000-00000B000000}"/>
    <hyperlink ref="A45" location="'Sensitivity'!A1" display="Sensitivity" xr:uid="{00000000-0004-0000-0000-00000C000000}"/>
    <hyperlink ref="D45" location="'RecoveryDCF'!A1" display="RecoveryDCF" xr:uid="{00000000-0004-0000-0000-00000D000000}"/>
    <hyperlink ref="A46" location="'Funding'!A1" display="Funding" xr:uid="{00000000-0004-0000-0000-00000E000000}"/>
    <hyperlink ref="D46" location="'Provenance'!A1" display="Provenance" xr:uid="{00000000-0004-0000-0000-00000F000000}"/>
    <hyperlink ref="A47" location="'ValueMW'!A1" display="ValueMW" xr:uid="{00000000-0004-0000-0000-000010000000}"/>
    <hyperlink ref="D47" location="'Sources'!A1" display="Sources" xr:uid="{00000000-0004-0000-0000-000011000000}"/>
    <hyperlink ref="A48" location="'Record'!A1" display="Record" xr:uid="{00000000-0004-0000-0000-000012000000}"/>
  </hyperlinks>
  <printOptions horizontalCentered="1"/>
  <pageMargins left="0.2" right="0.2" top="0.25" bottom="0.55000000000000004" header="0.5" footer="0.5"/>
  <pageSetup paperSize="8" scale="69"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1E3C"/>
    <pageSetUpPr fitToPage="1"/>
  </sheetPr>
  <dimension ref="A2:H63"/>
  <sheetViews>
    <sheetView showGridLines="0" zoomScale="85" workbookViewId="0">
      <pane xSplit="2" ySplit="5" topLeftCell="C6" activePane="bottomRight" state="frozen"/>
      <selection pane="topRight"/>
      <selection pane="bottomLeft"/>
      <selection pane="bottomRight" activeCell="C6" sqref="C6"/>
    </sheetView>
  </sheetViews>
  <sheetFormatPr defaultRowHeight="15" customHeight="1" x14ac:dyDescent="0.2"/>
  <cols>
    <col min="1" max="1" width="48" customWidth="1"/>
    <col min="2" max="2" width="34" customWidth="1"/>
    <col min="3" max="3" width="18" customWidth="1"/>
    <col min="4" max="5" width="22" customWidth="1"/>
    <col min="6" max="6" width="30" customWidth="1"/>
    <col min="7" max="17" width="19" customWidth="1"/>
  </cols>
  <sheetData>
    <row r="2" spans="1:6" ht="21" customHeight="1" x14ac:dyDescent="0.2">
      <c r="A2" s="101" t="s">
        <v>63</v>
      </c>
      <c r="B2" s="91"/>
      <c r="C2" s="91"/>
      <c r="D2" s="91"/>
      <c r="E2" s="91"/>
      <c r="F2" s="91"/>
    </row>
    <row r="3" spans="1:6"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row>
    <row r="4" spans="1:6" ht="15" customHeight="1" x14ac:dyDescent="0.2">
      <c r="A4" s="100" t="s">
        <v>64</v>
      </c>
      <c r="B4" s="91"/>
      <c r="C4" s="91"/>
      <c r="D4" s="91"/>
      <c r="E4" s="91"/>
      <c r="F4" s="91"/>
    </row>
    <row r="5" spans="1:6" ht="15" customHeight="1" x14ac:dyDescent="0.2">
      <c r="A5" s="4" t="s">
        <v>65</v>
      </c>
      <c r="B5" s="4" t="s">
        <v>66</v>
      </c>
      <c r="C5" s="4" t="s">
        <v>67</v>
      </c>
      <c r="D5" s="4" t="s">
        <v>68</v>
      </c>
      <c r="E5" s="4" t="s">
        <v>69</v>
      </c>
      <c r="F5" s="4" t="s">
        <v>70</v>
      </c>
    </row>
    <row r="6" spans="1:6" ht="15" customHeight="1" x14ac:dyDescent="0.2">
      <c r="A6" s="10" t="s">
        <v>71</v>
      </c>
      <c r="B6" s="10" t="s">
        <v>72</v>
      </c>
      <c r="C6" s="11">
        <f>Prices!D6</f>
        <v>11</v>
      </c>
      <c r="D6" s="12">
        <f>Prices!F6</f>
        <v>43700</v>
      </c>
      <c r="E6" s="12">
        <f>Prices!I6</f>
        <v>43700</v>
      </c>
      <c r="F6" s="12">
        <f>Prices!K6</f>
        <v>58028.700386874909</v>
      </c>
    </row>
    <row r="7" spans="1:6" ht="15" customHeight="1" x14ac:dyDescent="0.2">
      <c r="A7" s="10" t="s">
        <v>73</v>
      </c>
      <c r="B7" s="10" t="s">
        <v>74</v>
      </c>
      <c r="C7" s="11">
        <f>Prices!D7</f>
        <v>9</v>
      </c>
      <c r="D7" s="12">
        <f>Prices!F7</f>
        <v>35754.545454545456</v>
      </c>
      <c r="E7" s="12">
        <f>Prices!I7</f>
        <v>35754.545454545456</v>
      </c>
      <c r="F7" s="12">
        <f>Prices!K7</f>
        <v>50083.245841420365</v>
      </c>
    </row>
    <row r="8" spans="1:6" ht="15" customHeight="1" x14ac:dyDescent="0.2">
      <c r="A8" s="10" t="s">
        <v>75</v>
      </c>
      <c r="B8" s="10" t="s">
        <v>76</v>
      </c>
      <c r="C8" s="11">
        <f>Prices!D8</f>
        <v>8.25</v>
      </c>
      <c r="D8" s="12">
        <f>Prices!F8</f>
        <v>32775</v>
      </c>
      <c r="E8" s="12">
        <f>Prices!I8</f>
        <v>32775</v>
      </c>
      <c r="F8" s="12">
        <f>Prices!K8</f>
        <v>47103.700386874909</v>
      </c>
    </row>
    <row r="9" spans="1:6" ht="15" customHeight="1" x14ac:dyDescent="0.2">
      <c r="A9" s="10" t="s">
        <v>77</v>
      </c>
      <c r="B9" s="10" t="s">
        <v>78</v>
      </c>
      <c r="C9" s="11">
        <f>Prices!D9</f>
        <v>5.5</v>
      </c>
      <c r="D9" s="12">
        <f>Prices!F9</f>
        <v>21850</v>
      </c>
      <c r="E9" s="12">
        <f>Prices!I9</f>
        <v>21850</v>
      </c>
      <c r="F9" s="12">
        <f>Prices!K9</f>
        <v>36178.700386874909</v>
      </c>
    </row>
    <row r="10" spans="1:6" ht="15" customHeight="1" x14ac:dyDescent="0.2">
      <c r="A10" s="10" t="s">
        <v>79</v>
      </c>
      <c r="B10" s="10" t="s">
        <v>80</v>
      </c>
      <c r="C10" s="13" t="s">
        <v>81</v>
      </c>
      <c r="D10" s="12">
        <f>Prices!F12</f>
        <v>7880.7852127812012</v>
      </c>
      <c r="E10" s="12">
        <f>Prices!I12</f>
        <v>7880.7852127812012</v>
      </c>
      <c r="F10" s="12">
        <f>Prices!K12</f>
        <v>22209.485599656113</v>
      </c>
    </row>
    <row r="11" spans="1:6" ht="15" customHeight="1" x14ac:dyDescent="0.2">
      <c r="A11" s="10" t="s">
        <v>82</v>
      </c>
      <c r="B11" s="10" t="s">
        <v>83</v>
      </c>
      <c r="C11" s="13" t="s">
        <v>81</v>
      </c>
      <c r="D11" s="12">
        <f>Prices!F13</f>
        <v>15045.135406218656</v>
      </c>
      <c r="E11" s="12">
        <f>Prices!I13</f>
        <v>15045.135406218656</v>
      </c>
      <c r="F11" s="12">
        <f>Prices!K13</f>
        <v>29373.835793093567</v>
      </c>
    </row>
    <row r="12" spans="1:6" ht="15" customHeight="1" x14ac:dyDescent="0.2">
      <c r="A12" s="10" t="s">
        <v>84</v>
      </c>
      <c r="B12" s="10" t="s">
        <v>85</v>
      </c>
      <c r="C12" s="13" t="s">
        <v>81</v>
      </c>
      <c r="D12" s="12">
        <f>Prices!F14</f>
        <v>15500</v>
      </c>
      <c r="E12" s="12">
        <f>Prices!I14</f>
        <v>15500</v>
      </c>
      <c r="F12" s="12">
        <f>Prices!K14</f>
        <v>29828.700386874909</v>
      </c>
    </row>
    <row r="13" spans="1:6" ht="15" customHeight="1" x14ac:dyDescent="0.2">
      <c r="A13" s="2" t="s">
        <v>86</v>
      </c>
      <c r="B13" s="10" t="s">
        <v>87</v>
      </c>
      <c r="C13" s="11">
        <f>Prices!D15</f>
        <v>11</v>
      </c>
      <c r="D13" s="12">
        <f>Prices!F15</f>
        <v>43845.82318383723</v>
      </c>
      <c r="E13" s="12">
        <f>Prices!I15</f>
        <v>43845.82318383723</v>
      </c>
      <c r="F13" s="12">
        <f>Prices!K15</f>
        <v>58174.523570712139</v>
      </c>
    </row>
    <row r="15" spans="1:6" ht="15" customHeight="1" x14ac:dyDescent="0.2">
      <c r="A15" s="90" t="s">
        <v>88</v>
      </c>
      <c r="B15" s="91"/>
      <c r="C15" s="91"/>
      <c r="D15" s="91"/>
      <c r="E15" s="91"/>
      <c r="F15" s="91"/>
    </row>
    <row r="16" spans="1:6" ht="15" customHeight="1" x14ac:dyDescent="0.2">
      <c r="A16" s="92" t="s">
        <v>89</v>
      </c>
      <c r="B16" s="91"/>
      <c r="C16" s="91"/>
      <c r="D16" s="91"/>
      <c r="E16" s="91"/>
      <c r="F16" s="91"/>
    </row>
    <row r="17" spans="1:6" ht="15" customHeight="1" x14ac:dyDescent="0.2">
      <c r="A17" s="92" t="s">
        <v>90</v>
      </c>
      <c r="B17" s="91"/>
      <c r="C17" s="91"/>
      <c r="D17" s="91"/>
      <c r="E17" s="91"/>
      <c r="F17" s="91"/>
    </row>
    <row r="18" spans="1:6" ht="15" customHeight="1" x14ac:dyDescent="0.2">
      <c r="A18" s="90" t="s">
        <v>91</v>
      </c>
      <c r="B18" s="91"/>
      <c r="C18" s="91"/>
      <c r="D18" s="91"/>
      <c r="E18" s="91"/>
      <c r="F18" s="91"/>
    </row>
    <row r="28" spans="1:6" ht="15" customHeight="1" x14ac:dyDescent="0.2">
      <c r="A28" s="92" t="s">
        <v>92</v>
      </c>
      <c r="B28" s="91"/>
      <c r="C28" s="91"/>
      <c r="D28" s="91"/>
      <c r="E28" s="91"/>
      <c r="F28" s="91"/>
    </row>
    <row r="29" spans="1:6" ht="15" customHeight="1" x14ac:dyDescent="0.2">
      <c r="A29" s="14" t="s">
        <v>93</v>
      </c>
      <c r="B29" s="4"/>
      <c r="C29" s="4"/>
      <c r="D29" s="4" t="s">
        <v>94</v>
      </c>
      <c r="E29" s="4" t="s">
        <v>95</v>
      </c>
      <c r="F29" s="4" t="s">
        <v>66</v>
      </c>
    </row>
    <row r="30" spans="1:6" ht="15" customHeight="1" x14ac:dyDescent="0.2">
      <c r="A30" s="90" t="s">
        <v>96</v>
      </c>
      <c r="B30" s="91"/>
      <c r="C30" s="91"/>
      <c r="D30" s="12">
        <f>Profitability!C39</f>
        <v>12900</v>
      </c>
      <c r="E30" s="10" t="s">
        <v>97</v>
      </c>
      <c r="F30" s="10" t="s">
        <v>98</v>
      </c>
    </row>
    <row r="31" spans="1:6" ht="15" customHeight="1" x14ac:dyDescent="0.2">
      <c r="A31" s="90" t="s">
        <v>99</v>
      </c>
      <c r="B31" s="91"/>
      <c r="C31" s="91"/>
      <c r="D31" s="12">
        <f>Profitability!C40</f>
        <v>5800</v>
      </c>
      <c r="E31" s="10" t="s">
        <v>97</v>
      </c>
      <c r="F31" s="10" t="s">
        <v>100</v>
      </c>
    </row>
    <row r="32" spans="1:6" ht="15" customHeight="1" x14ac:dyDescent="0.2">
      <c r="A32" s="99" t="s">
        <v>101</v>
      </c>
      <c r="B32" s="91"/>
      <c r="C32" s="91"/>
      <c r="D32" s="12">
        <f>Profitability!C37</f>
        <v>50.8</v>
      </c>
      <c r="E32" s="10" t="s">
        <v>97</v>
      </c>
      <c r="F32" s="10" t="s">
        <v>102</v>
      </c>
    </row>
    <row r="33" spans="1:6" ht="15" customHeight="1" x14ac:dyDescent="0.2">
      <c r="A33" s="90" t="s">
        <v>103</v>
      </c>
      <c r="B33" s="91"/>
      <c r="C33" s="91"/>
      <c r="D33" s="15">
        <f>Profitability!C44</f>
        <v>0.91166077738515905</v>
      </c>
      <c r="E33" s="10" t="s">
        <v>104</v>
      </c>
      <c r="F33" s="10" t="s">
        <v>105</v>
      </c>
    </row>
    <row r="34" spans="1:6" ht="15" customHeight="1" x14ac:dyDescent="0.2">
      <c r="A34" s="90" t="s">
        <v>106</v>
      </c>
      <c r="B34" s="91"/>
      <c r="C34" s="91"/>
      <c r="D34" s="8">
        <f>Profitability!C53</f>
        <v>5.1378374517926009</v>
      </c>
      <c r="E34" s="10" t="s">
        <v>107</v>
      </c>
      <c r="F34" s="10" t="s">
        <v>108</v>
      </c>
    </row>
    <row r="35" spans="1:6" ht="15" customHeight="1" x14ac:dyDescent="0.2">
      <c r="A35" s="90" t="s">
        <v>109</v>
      </c>
      <c r="B35" s="91"/>
      <c r="C35" s="91"/>
      <c r="D35" s="12">
        <f>Funding!F12</f>
        <v>49219.085828915326</v>
      </c>
      <c r="E35" s="10" t="s">
        <v>110</v>
      </c>
      <c r="F35" s="10" t="s">
        <v>111</v>
      </c>
    </row>
    <row r="36" spans="1:6" ht="15" customHeight="1" x14ac:dyDescent="0.2">
      <c r="A36" s="90" t="s">
        <v>112</v>
      </c>
      <c r="B36" s="91"/>
      <c r="C36" s="91"/>
      <c r="D36" s="12">
        <f>Funding!F13</f>
        <v>34890.385442040417</v>
      </c>
      <c r="E36" s="10" t="s">
        <v>110</v>
      </c>
      <c r="F36" s="10" t="s">
        <v>113</v>
      </c>
    </row>
    <row r="38" spans="1:6" ht="15" customHeight="1" x14ac:dyDescent="0.2">
      <c r="A38" s="92" t="s">
        <v>114</v>
      </c>
      <c r="B38" s="91"/>
      <c r="C38" s="91"/>
      <c r="D38" s="91"/>
      <c r="E38" s="91"/>
      <c r="F38" s="91"/>
    </row>
    <row r="39" spans="1:6" ht="15" customHeight="1" x14ac:dyDescent="0.2">
      <c r="A39" s="92" t="s">
        <v>115</v>
      </c>
      <c r="B39" s="91"/>
      <c r="C39" s="91"/>
      <c r="D39" s="91"/>
      <c r="E39" s="91"/>
      <c r="F39" s="91"/>
    </row>
    <row r="40" spans="1:6" ht="15" customHeight="1" x14ac:dyDescent="0.2">
      <c r="A40" s="90" t="s">
        <v>116</v>
      </c>
      <c r="B40" s="91"/>
      <c r="C40" s="91"/>
      <c r="D40" s="91"/>
      <c r="E40" s="91"/>
      <c r="F40" s="91"/>
    </row>
    <row r="42" spans="1:6" ht="15" customHeight="1" x14ac:dyDescent="0.2">
      <c r="A42" s="102" t="s">
        <v>117</v>
      </c>
      <c r="B42" s="91"/>
      <c r="C42" s="91"/>
      <c r="D42" s="91"/>
      <c r="E42" s="91"/>
      <c r="F42" s="91"/>
    </row>
    <row r="43" spans="1:6" ht="15" customHeight="1" x14ac:dyDescent="0.2">
      <c r="A43" s="90" t="s">
        <v>118</v>
      </c>
      <c r="B43" s="91"/>
      <c r="C43" s="91"/>
      <c r="D43" s="91"/>
      <c r="E43" s="91"/>
      <c r="F43" s="91"/>
    </row>
    <row r="44" spans="1:6" ht="15" customHeight="1" x14ac:dyDescent="0.2">
      <c r="A44" s="90" t="s">
        <v>119</v>
      </c>
      <c r="B44" s="91"/>
      <c r="C44" s="91"/>
      <c r="D44" s="91"/>
      <c r="E44" s="91"/>
      <c r="F44" s="91"/>
    </row>
    <row r="45" spans="1:6" ht="15" customHeight="1" x14ac:dyDescent="0.2">
      <c r="A45" s="90" t="s">
        <v>120</v>
      </c>
      <c r="B45" s="91"/>
      <c r="C45" s="91"/>
      <c r="D45" s="91"/>
      <c r="E45" s="91"/>
      <c r="F45" s="91"/>
    </row>
    <row r="46" spans="1:6" ht="15" customHeight="1" x14ac:dyDescent="0.2">
      <c r="A46" s="90" t="s">
        <v>121</v>
      </c>
      <c r="B46" s="91"/>
      <c r="C46" s="91"/>
      <c r="D46" s="91"/>
      <c r="E46" s="91"/>
      <c r="F46" s="91"/>
    </row>
    <row r="47" spans="1:6" ht="15" customHeight="1" x14ac:dyDescent="0.2">
      <c r="A47" s="90" t="s">
        <v>122</v>
      </c>
      <c r="B47" s="91"/>
      <c r="C47" s="91"/>
      <c r="D47" s="91"/>
      <c r="E47" s="91"/>
      <c r="F47" s="91"/>
    </row>
    <row r="48" spans="1:6" ht="15" customHeight="1" x14ac:dyDescent="0.2">
      <c r="A48" s="90" t="s">
        <v>123</v>
      </c>
      <c r="B48" s="91"/>
      <c r="C48" s="91"/>
      <c r="D48" s="91"/>
      <c r="E48" s="91"/>
      <c r="F48" s="91"/>
    </row>
    <row r="49" spans="1:8" ht="15" customHeight="1" x14ac:dyDescent="0.2">
      <c r="A49" s="90" t="s">
        <v>124</v>
      </c>
      <c r="B49" s="91"/>
      <c r="C49" s="91"/>
      <c r="D49" s="91"/>
      <c r="E49" s="91"/>
      <c r="F49" s="91"/>
    </row>
    <row r="60" spans="1:8" ht="15" customHeight="1" x14ac:dyDescent="0.2">
      <c r="A60" s="4" t="s">
        <v>125</v>
      </c>
      <c r="B60" s="4" t="s">
        <v>126</v>
      </c>
      <c r="C60" s="4" t="s">
        <v>127</v>
      </c>
      <c r="D60" s="4" t="s">
        <v>128</v>
      </c>
      <c r="E60" s="4" t="s">
        <v>129</v>
      </c>
      <c r="H60" s="16">
        <f>YEAR(Inputs!$D$79)</f>
        <v>2036</v>
      </c>
    </row>
    <row r="61" spans="1:8" ht="15" customHeight="1" x14ac:dyDescent="0.2">
      <c r="A61" s="10" t="s">
        <v>130</v>
      </c>
      <c r="B61" s="16">
        <f>Inputs!$D$6</f>
        <v>0</v>
      </c>
      <c r="C61" s="16">
        <f>Inputs!$D$6</f>
        <v>0</v>
      </c>
      <c r="D61" s="12">
        <f>Inputs!$D$6</f>
        <v>0</v>
      </c>
      <c r="E61" s="12">
        <f>Prices!F6</f>
        <v>43700</v>
      </c>
    </row>
    <row r="62" spans="1:8" ht="15" customHeight="1" x14ac:dyDescent="0.2">
      <c r="A62" s="2" t="s">
        <v>131</v>
      </c>
      <c r="B62" s="16">
        <f>Prices!F6</f>
        <v>43700</v>
      </c>
      <c r="C62" s="16">
        <f>Prices!J6</f>
        <v>14328.700386874911</v>
      </c>
      <c r="D62" s="12">
        <f>Inputs!$D$6</f>
        <v>0</v>
      </c>
      <c r="E62" s="12">
        <f>Inputs!$D$6</f>
        <v>0</v>
      </c>
    </row>
    <row r="63" spans="1:8" ht="15" customHeight="1" x14ac:dyDescent="0.2">
      <c r="A63" s="2" t="s">
        <v>132</v>
      </c>
      <c r="B63" s="16">
        <f>Inputs!$D$6</f>
        <v>0</v>
      </c>
      <c r="C63" s="16">
        <f>Inputs!$D$6</f>
        <v>0</v>
      </c>
      <c r="D63" s="12">
        <f>Inputs!$D$6</f>
        <v>0</v>
      </c>
      <c r="E63" s="12">
        <f>Prices!K6</f>
        <v>58028.700386874909</v>
      </c>
    </row>
  </sheetData>
  <mergeCells count="26">
    <mergeCell ref="A3:F3"/>
    <mergeCell ref="A2:F2"/>
    <mergeCell ref="A33:C33"/>
    <mergeCell ref="A42:F42"/>
    <mergeCell ref="A4:F4"/>
    <mergeCell ref="A35:C35"/>
    <mergeCell ref="A43:F43"/>
    <mergeCell ref="A38:F38"/>
    <mergeCell ref="A28:F28"/>
    <mergeCell ref="A31:C31"/>
    <mergeCell ref="A40:F40"/>
    <mergeCell ref="A30:C30"/>
    <mergeCell ref="A34:C34"/>
    <mergeCell ref="A16:F16"/>
    <mergeCell ref="A18:F18"/>
    <mergeCell ref="A48:F48"/>
    <mergeCell ref="A39:F39"/>
    <mergeCell ref="A15:F15"/>
    <mergeCell ref="A49:F49"/>
    <mergeCell ref="A36:C36"/>
    <mergeCell ref="A45:F45"/>
    <mergeCell ref="A47:F47"/>
    <mergeCell ref="A32:C32"/>
    <mergeCell ref="A17:F17"/>
    <mergeCell ref="A44:F44"/>
    <mergeCell ref="A46:F46"/>
  </mergeCells>
  <hyperlinks>
    <hyperlink ref="A4" location="'Read me'!A1" display="Start on Read me for the answer and assumptions. This sheet shows the prices, reported earnings and funding comparison." xr:uid="{00000000-0004-0000-0100-000000000000}"/>
  </hyperlinks>
  <printOptions horizontalCentered="1"/>
  <pageMargins left="0.2" right="0.2" top="0.25" bottom="0.55000000000000004" header="0.5" footer="0.5"/>
  <pageSetup paperSize="8" scale="71"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6B84"/>
    <pageSetUpPr fitToPage="1"/>
  </sheetPr>
  <dimension ref="A2:H259"/>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18" customWidth="1"/>
    <col min="2" max="2" width="48" customWidth="1"/>
    <col min="3" max="3" width="22" customWidth="1"/>
    <col min="4" max="5" width="17" customWidth="1"/>
    <col min="6" max="6" width="26" customWidth="1"/>
    <col min="7" max="7" width="21" customWidth="1"/>
    <col min="8" max="8" width="57" customWidth="1"/>
    <col min="9" max="17" width="19" customWidth="1"/>
  </cols>
  <sheetData>
    <row r="2" spans="1:8" ht="21" customHeight="1" x14ac:dyDescent="0.2">
      <c r="A2" s="103" t="s">
        <v>133</v>
      </c>
      <c r="B2" s="91"/>
      <c r="C2" s="91"/>
      <c r="D2" s="91"/>
      <c r="E2" s="91"/>
      <c r="F2" s="91"/>
      <c r="G2" s="91"/>
      <c r="H2" s="91"/>
    </row>
    <row r="3" spans="1:8"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row>
    <row r="5" spans="1:8" ht="15" customHeight="1" x14ac:dyDescent="0.2">
      <c r="A5" s="4" t="s">
        <v>134</v>
      </c>
      <c r="B5" s="4" t="s">
        <v>135</v>
      </c>
      <c r="C5" s="4" t="s">
        <v>95</v>
      </c>
      <c r="D5" s="4" t="s">
        <v>94</v>
      </c>
      <c r="E5" s="4" t="s">
        <v>136</v>
      </c>
      <c r="F5" s="4" t="s">
        <v>137</v>
      </c>
      <c r="G5" s="4" t="s">
        <v>138</v>
      </c>
      <c r="H5" s="4" t="s">
        <v>139</v>
      </c>
    </row>
    <row r="6" spans="1:8" ht="15" customHeight="1" x14ac:dyDescent="0.2">
      <c r="A6" s="2" t="s">
        <v>140</v>
      </c>
      <c r="B6" s="10" t="s">
        <v>141</v>
      </c>
      <c r="C6" s="10" t="s">
        <v>142</v>
      </c>
      <c r="D6" s="17">
        <v>0</v>
      </c>
      <c r="E6" s="18" t="s">
        <v>143</v>
      </c>
      <c r="F6" s="10"/>
      <c r="G6" s="10" t="s">
        <v>144</v>
      </c>
      <c r="H6" s="10"/>
    </row>
    <row r="7" spans="1:8" ht="15" customHeight="1" x14ac:dyDescent="0.2">
      <c r="A7" s="2" t="s">
        <v>145</v>
      </c>
      <c r="B7" s="10" t="s">
        <v>146</v>
      </c>
      <c r="C7" s="10" t="s">
        <v>142</v>
      </c>
      <c r="D7" s="17">
        <v>1</v>
      </c>
      <c r="E7" s="18" t="s">
        <v>143</v>
      </c>
      <c r="F7" s="10"/>
      <c r="G7" s="10" t="s">
        <v>144</v>
      </c>
      <c r="H7" s="10"/>
    </row>
    <row r="8" spans="1:8" ht="15" customHeight="1" x14ac:dyDescent="0.2">
      <c r="A8" s="2" t="s">
        <v>147</v>
      </c>
      <c r="B8" s="10" t="s">
        <v>148</v>
      </c>
      <c r="C8" s="10" t="s">
        <v>142</v>
      </c>
      <c r="D8" s="17">
        <v>1000000</v>
      </c>
      <c r="E8" s="18" t="s">
        <v>143</v>
      </c>
      <c r="F8" s="10"/>
      <c r="G8" s="10" t="s">
        <v>144</v>
      </c>
      <c r="H8" s="10"/>
    </row>
    <row r="9" spans="1:8" ht="15" customHeight="1" x14ac:dyDescent="0.2">
      <c r="A9" s="2" t="s">
        <v>149</v>
      </c>
      <c r="B9" s="10" t="s">
        <v>150</v>
      </c>
      <c r="C9" s="10" t="s">
        <v>142</v>
      </c>
      <c r="D9" s="17">
        <v>100</v>
      </c>
      <c r="E9" s="18" t="s">
        <v>143</v>
      </c>
      <c r="F9" s="10"/>
      <c r="G9" s="10" t="s">
        <v>144</v>
      </c>
      <c r="H9" s="10"/>
    </row>
    <row r="10" spans="1:8" ht="15" customHeight="1" x14ac:dyDescent="0.2">
      <c r="A10" s="2" t="s">
        <v>151</v>
      </c>
      <c r="B10" s="10" t="s">
        <v>152</v>
      </c>
      <c r="C10" s="10" t="s">
        <v>153</v>
      </c>
      <c r="D10" s="19">
        <v>365.25</v>
      </c>
      <c r="E10" s="18" t="s">
        <v>143</v>
      </c>
      <c r="F10" s="10"/>
      <c r="G10" s="10" t="s">
        <v>144</v>
      </c>
      <c r="H10" s="10"/>
    </row>
    <row r="11" spans="1:8" ht="15" customHeight="1" x14ac:dyDescent="0.2">
      <c r="A11" s="2" t="s">
        <v>154</v>
      </c>
      <c r="B11" s="10" t="s">
        <v>155</v>
      </c>
      <c r="C11" s="10" t="s">
        <v>156</v>
      </c>
      <c r="D11" s="17">
        <v>8760</v>
      </c>
      <c r="E11" s="18" t="s">
        <v>143</v>
      </c>
      <c r="F11" s="10"/>
      <c r="G11" s="10" t="s">
        <v>144</v>
      </c>
      <c r="H11" s="10"/>
    </row>
    <row r="12" spans="1:8" ht="15" customHeight="1" x14ac:dyDescent="0.2">
      <c r="A12" s="2" t="s">
        <v>157</v>
      </c>
      <c r="B12" s="10" t="s">
        <v>158</v>
      </c>
      <c r="C12" s="10" t="s">
        <v>104</v>
      </c>
      <c r="D12" s="20">
        <v>0.5</v>
      </c>
      <c r="E12" s="18" t="s">
        <v>143</v>
      </c>
      <c r="F12" s="10"/>
      <c r="G12" s="10" t="s">
        <v>144</v>
      </c>
      <c r="H12" s="10"/>
    </row>
    <row r="13" spans="1:8" ht="15" customHeight="1" x14ac:dyDescent="0.2">
      <c r="A13" s="2" t="s">
        <v>159</v>
      </c>
      <c r="B13" s="10" t="s">
        <v>160</v>
      </c>
      <c r="C13" s="10" t="s">
        <v>161</v>
      </c>
      <c r="D13" s="21">
        <v>46307</v>
      </c>
      <c r="E13" s="18" t="s">
        <v>143</v>
      </c>
      <c r="F13" s="10"/>
      <c r="G13" s="10" t="s">
        <v>162</v>
      </c>
      <c r="H13" s="10"/>
    </row>
    <row r="14" spans="1:8" ht="15" customHeight="1" x14ac:dyDescent="0.2">
      <c r="A14" s="2" t="s">
        <v>163</v>
      </c>
      <c r="B14" s="3" t="s">
        <v>164</v>
      </c>
      <c r="C14" s="10" t="s">
        <v>165</v>
      </c>
      <c r="D14" s="22">
        <v>1.4383999999999999</v>
      </c>
      <c r="E14" s="18" t="s">
        <v>143</v>
      </c>
      <c r="F14" s="10" t="s">
        <v>166</v>
      </c>
      <c r="G14" s="10" t="s">
        <v>167</v>
      </c>
      <c r="H14" s="3" t="s">
        <v>168</v>
      </c>
    </row>
    <row r="15" spans="1:8" ht="15" customHeight="1" x14ac:dyDescent="0.2">
      <c r="A15" s="2" t="s">
        <v>169</v>
      </c>
      <c r="B15" s="10" t="s">
        <v>170</v>
      </c>
      <c r="C15" s="10" t="s">
        <v>171</v>
      </c>
      <c r="D15" s="22">
        <v>0.69789999999999996</v>
      </c>
      <c r="E15" s="18" t="s">
        <v>143</v>
      </c>
      <c r="F15" s="10" t="s">
        <v>172</v>
      </c>
      <c r="G15" s="10" t="s">
        <v>167</v>
      </c>
      <c r="H15" s="10" t="s">
        <v>173</v>
      </c>
    </row>
    <row r="16" spans="1:8" ht="15" customHeight="1" x14ac:dyDescent="0.2">
      <c r="A16" s="2" t="s">
        <v>174</v>
      </c>
      <c r="B16" s="10" t="s">
        <v>175</v>
      </c>
      <c r="C16" s="10" t="s">
        <v>176</v>
      </c>
      <c r="D16" s="17">
        <v>0</v>
      </c>
      <c r="E16" s="18" t="s">
        <v>143</v>
      </c>
      <c r="F16" s="10"/>
      <c r="G16" s="10" t="s">
        <v>162</v>
      </c>
      <c r="H16" s="10"/>
    </row>
    <row r="17" spans="1:8" ht="15" customHeight="1" x14ac:dyDescent="0.2">
      <c r="A17" s="2" t="s">
        <v>177</v>
      </c>
      <c r="B17" s="3" t="s">
        <v>178</v>
      </c>
      <c r="C17" s="10" t="s">
        <v>176</v>
      </c>
      <c r="D17" s="17">
        <v>0</v>
      </c>
      <c r="E17" s="18" t="s">
        <v>143</v>
      </c>
      <c r="F17" s="10"/>
      <c r="G17" s="10" t="s">
        <v>162</v>
      </c>
      <c r="H17" s="10"/>
    </row>
    <row r="18" spans="1:8" ht="15" customHeight="1" x14ac:dyDescent="0.2">
      <c r="A18" s="2" t="s">
        <v>179</v>
      </c>
      <c r="B18" s="3" t="s">
        <v>180</v>
      </c>
      <c r="C18" s="10" t="s">
        <v>97</v>
      </c>
      <c r="D18" s="23">
        <v>10000000000</v>
      </c>
      <c r="E18" s="18" t="s">
        <v>143</v>
      </c>
      <c r="F18" s="10" t="s">
        <v>181</v>
      </c>
      <c r="G18" s="10" t="s">
        <v>167</v>
      </c>
      <c r="H18" s="10" t="s">
        <v>182</v>
      </c>
    </row>
    <row r="19" spans="1:8" ht="15" customHeight="1" x14ac:dyDescent="0.2">
      <c r="A19" s="2" t="s">
        <v>183</v>
      </c>
      <c r="B19" s="10" t="s">
        <v>184</v>
      </c>
      <c r="C19" s="10" t="s">
        <v>104</v>
      </c>
      <c r="D19" s="20">
        <v>0.3</v>
      </c>
      <c r="E19" s="18" t="s">
        <v>143</v>
      </c>
      <c r="F19" s="10"/>
      <c r="G19" s="10" t="s">
        <v>162</v>
      </c>
      <c r="H19" s="10"/>
    </row>
    <row r="20" spans="1:8" ht="15" customHeight="1" x14ac:dyDescent="0.2">
      <c r="A20" s="2" t="s">
        <v>185</v>
      </c>
      <c r="B20" s="10" t="s">
        <v>186</v>
      </c>
      <c r="C20" s="10" t="s">
        <v>104</v>
      </c>
      <c r="D20" s="20">
        <v>2.5000000000000001E-2</v>
      </c>
      <c r="E20" s="18" t="s">
        <v>143</v>
      </c>
      <c r="F20" s="10"/>
      <c r="G20" s="10" t="s">
        <v>162</v>
      </c>
      <c r="H20" s="10"/>
    </row>
    <row r="21" spans="1:8" ht="15" customHeight="1" x14ac:dyDescent="0.2">
      <c r="A21" s="2" t="s">
        <v>187</v>
      </c>
      <c r="B21" s="3" t="s">
        <v>188</v>
      </c>
      <c r="C21" s="10" t="s">
        <v>107</v>
      </c>
      <c r="D21" s="24">
        <v>4</v>
      </c>
      <c r="E21" s="18" t="s">
        <v>143</v>
      </c>
      <c r="F21" s="10"/>
      <c r="G21" s="10" t="s">
        <v>162</v>
      </c>
      <c r="H21" s="10"/>
    </row>
    <row r="22" spans="1:8" ht="15" customHeight="1" x14ac:dyDescent="0.2">
      <c r="A22" s="2" t="s">
        <v>189</v>
      </c>
      <c r="B22" s="3" t="s">
        <v>190</v>
      </c>
      <c r="C22" s="10" t="s">
        <v>107</v>
      </c>
      <c r="D22" s="24">
        <v>20</v>
      </c>
      <c r="E22" s="18" t="s">
        <v>143</v>
      </c>
      <c r="F22" s="10"/>
      <c r="G22" s="10" t="s">
        <v>162</v>
      </c>
      <c r="H22" s="10"/>
    </row>
    <row r="23" spans="1:8" ht="15" customHeight="1" x14ac:dyDescent="0.2">
      <c r="A23" s="2" t="s">
        <v>191</v>
      </c>
      <c r="B23" s="3" t="s">
        <v>192</v>
      </c>
      <c r="C23" s="10" t="s">
        <v>104</v>
      </c>
      <c r="D23" s="20">
        <v>2.5000000000000001E-2</v>
      </c>
      <c r="E23" s="18" t="s">
        <v>143</v>
      </c>
      <c r="F23" s="10"/>
      <c r="G23" s="10" t="s">
        <v>162</v>
      </c>
      <c r="H23" s="10"/>
    </row>
    <row r="24" spans="1:8" ht="15" customHeight="1" x14ac:dyDescent="0.2">
      <c r="A24" s="2" t="s">
        <v>193</v>
      </c>
      <c r="B24" s="10" t="s">
        <v>194</v>
      </c>
      <c r="C24" s="10" t="s">
        <v>195</v>
      </c>
      <c r="D24" s="24">
        <v>46</v>
      </c>
      <c r="E24" s="18" t="s">
        <v>143</v>
      </c>
      <c r="F24" s="10" t="s">
        <v>196</v>
      </c>
      <c r="G24" s="10" t="s">
        <v>162</v>
      </c>
      <c r="H24" s="10"/>
    </row>
    <row r="25" spans="1:8" ht="15" customHeight="1" x14ac:dyDescent="0.2">
      <c r="A25" s="2" t="s">
        <v>197</v>
      </c>
      <c r="B25" s="10" t="s">
        <v>198</v>
      </c>
      <c r="C25" s="10" t="s">
        <v>199</v>
      </c>
      <c r="D25" s="24">
        <v>84</v>
      </c>
      <c r="E25" s="18" t="s">
        <v>143</v>
      </c>
      <c r="F25" s="10" t="s">
        <v>200</v>
      </c>
      <c r="G25" s="10" t="s">
        <v>167</v>
      </c>
      <c r="H25" s="10" t="s">
        <v>201</v>
      </c>
    </row>
    <row r="26" spans="1:8" ht="15" customHeight="1" x14ac:dyDescent="0.2">
      <c r="A26" s="2" t="s">
        <v>202</v>
      </c>
      <c r="B26" s="10" t="s">
        <v>203</v>
      </c>
      <c r="C26" s="10" t="s">
        <v>204</v>
      </c>
      <c r="D26" s="17">
        <v>36800</v>
      </c>
      <c r="E26" s="18" t="s">
        <v>143</v>
      </c>
      <c r="F26" s="10" t="s">
        <v>205</v>
      </c>
      <c r="G26" s="10" t="s">
        <v>167</v>
      </c>
      <c r="H26" s="10" t="s">
        <v>206</v>
      </c>
    </row>
    <row r="27" spans="1:8" ht="15" customHeight="1" x14ac:dyDescent="0.2">
      <c r="A27" s="2" t="s">
        <v>207</v>
      </c>
      <c r="B27" s="3" t="s">
        <v>208</v>
      </c>
      <c r="C27" s="10" t="s">
        <v>199</v>
      </c>
      <c r="D27" s="24">
        <v>912</v>
      </c>
      <c r="E27" s="18" t="s">
        <v>143</v>
      </c>
      <c r="F27" s="10" t="s">
        <v>209</v>
      </c>
      <c r="G27" s="10" t="s">
        <v>167</v>
      </c>
      <c r="H27" s="3" t="s">
        <v>210</v>
      </c>
    </row>
    <row r="28" spans="1:8" ht="15" customHeight="1" x14ac:dyDescent="0.2">
      <c r="A28" s="2" t="s">
        <v>211</v>
      </c>
      <c r="B28" s="3" t="s">
        <v>212</v>
      </c>
      <c r="C28" s="10" t="s">
        <v>213</v>
      </c>
      <c r="D28" s="24">
        <v>1</v>
      </c>
      <c r="E28" s="18" t="s">
        <v>143</v>
      </c>
      <c r="F28" s="10"/>
      <c r="G28" s="10" t="s">
        <v>162</v>
      </c>
      <c r="H28" s="10"/>
    </row>
    <row r="29" spans="1:8" ht="27" customHeight="1" x14ac:dyDescent="0.2">
      <c r="A29" s="2" t="s">
        <v>214</v>
      </c>
      <c r="B29" s="3" t="s">
        <v>215</v>
      </c>
      <c r="C29" s="10" t="s">
        <v>104</v>
      </c>
      <c r="D29" s="20">
        <v>1</v>
      </c>
      <c r="E29" s="18" t="s">
        <v>143</v>
      </c>
      <c r="F29" s="10"/>
      <c r="G29" s="10" t="s">
        <v>162</v>
      </c>
      <c r="H29" s="10"/>
    </row>
    <row r="30" spans="1:8" ht="27" customHeight="1" x14ac:dyDescent="0.2">
      <c r="A30" s="2" t="s">
        <v>216</v>
      </c>
      <c r="B30" s="3" t="s">
        <v>217</v>
      </c>
      <c r="C30" s="10" t="s">
        <v>218</v>
      </c>
      <c r="D30" s="17">
        <v>0</v>
      </c>
      <c r="E30" s="18" t="s">
        <v>143</v>
      </c>
      <c r="F30" s="10"/>
      <c r="G30" s="10" t="s">
        <v>162</v>
      </c>
      <c r="H30" s="10"/>
    </row>
    <row r="31" spans="1:8" ht="15" customHeight="1" x14ac:dyDescent="0.2">
      <c r="A31" s="2" t="s">
        <v>219</v>
      </c>
      <c r="B31" s="3" t="s">
        <v>220</v>
      </c>
      <c r="C31" s="10" t="s">
        <v>97</v>
      </c>
      <c r="D31" s="23">
        <v>35970000000</v>
      </c>
      <c r="E31" s="18" t="s">
        <v>143</v>
      </c>
      <c r="F31" s="10" t="s">
        <v>221</v>
      </c>
      <c r="G31" s="10" t="s">
        <v>167</v>
      </c>
      <c r="H31" s="3" t="s">
        <v>222</v>
      </c>
    </row>
    <row r="32" spans="1:8" ht="27" customHeight="1" x14ac:dyDescent="0.2">
      <c r="A32" s="2" t="s">
        <v>223</v>
      </c>
      <c r="B32" s="3" t="s">
        <v>224</v>
      </c>
      <c r="C32" s="10" t="s">
        <v>97</v>
      </c>
      <c r="D32" s="23">
        <v>630000000</v>
      </c>
      <c r="E32" s="18" t="s">
        <v>143</v>
      </c>
      <c r="F32" s="10" t="s">
        <v>225</v>
      </c>
      <c r="G32" s="10" t="s">
        <v>167</v>
      </c>
      <c r="H32" s="3" t="s">
        <v>226</v>
      </c>
    </row>
    <row r="33" spans="1:8" ht="27" customHeight="1" x14ac:dyDescent="0.2">
      <c r="A33" s="2" t="s">
        <v>227</v>
      </c>
      <c r="B33" s="3" t="s">
        <v>228</v>
      </c>
      <c r="C33" s="10" t="s">
        <v>97</v>
      </c>
      <c r="D33" s="23">
        <v>14150000000</v>
      </c>
      <c r="E33" s="18" t="s">
        <v>143</v>
      </c>
      <c r="F33" s="10" t="s">
        <v>105</v>
      </c>
      <c r="G33" s="10" t="s">
        <v>167</v>
      </c>
      <c r="H33" s="3" t="s">
        <v>229</v>
      </c>
    </row>
    <row r="34" spans="1:8" ht="27" customHeight="1" x14ac:dyDescent="0.2">
      <c r="A34" s="2" t="s">
        <v>230</v>
      </c>
      <c r="B34" s="10" t="s">
        <v>231</v>
      </c>
      <c r="C34" s="10" t="s">
        <v>97</v>
      </c>
      <c r="D34" s="23">
        <v>12900000000</v>
      </c>
      <c r="E34" s="18" t="s">
        <v>143</v>
      </c>
      <c r="F34" s="10" t="s">
        <v>105</v>
      </c>
      <c r="G34" s="10" t="s">
        <v>167</v>
      </c>
      <c r="H34" s="3" t="s">
        <v>232</v>
      </c>
    </row>
    <row r="35" spans="1:8" ht="15" customHeight="1" x14ac:dyDescent="0.2">
      <c r="A35" s="2" t="s">
        <v>233</v>
      </c>
      <c r="B35" s="10" t="s">
        <v>234</v>
      </c>
      <c r="C35" s="10" t="s">
        <v>97</v>
      </c>
      <c r="D35" s="23">
        <v>5000000000</v>
      </c>
      <c r="E35" s="18" t="s">
        <v>143</v>
      </c>
      <c r="F35" s="10" t="s">
        <v>235</v>
      </c>
      <c r="G35" s="10" t="s">
        <v>167</v>
      </c>
      <c r="H35" s="3" t="s">
        <v>236</v>
      </c>
    </row>
    <row r="36" spans="1:8" ht="27" customHeight="1" x14ac:dyDescent="0.2">
      <c r="A36" s="2" t="s">
        <v>237</v>
      </c>
      <c r="B36" s="3" t="s">
        <v>238</v>
      </c>
      <c r="C36" s="10" t="s">
        <v>97</v>
      </c>
      <c r="D36" s="23">
        <v>750000000</v>
      </c>
      <c r="E36" s="18" t="s">
        <v>143</v>
      </c>
      <c r="F36" s="10" t="s">
        <v>239</v>
      </c>
      <c r="G36" s="10" t="s">
        <v>167</v>
      </c>
      <c r="H36" s="3" t="s">
        <v>240</v>
      </c>
    </row>
    <row r="37" spans="1:8" ht="15" customHeight="1" x14ac:dyDescent="0.2">
      <c r="A37" s="2" t="s">
        <v>241</v>
      </c>
      <c r="B37" s="3" t="s">
        <v>242</v>
      </c>
      <c r="C37" s="10" t="s">
        <v>104</v>
      </c>
      <c r="D37" s="20">
        <v>0.6</v>
      </c>
      <c r="E37" s="18" t="s">
        <v>143</v>
      </c>
      <c r="F37" s="10" t="s">
        <v>243</v>
      </c>
      <c r="G37" s="10" t="s">
        <v>162</v>
      </c>
      <c r="H37" s="10"/>
    </row>
    <row r="38" spans="1:8" ht="27" customHeight="1" x14ac:dyDescent="0.2">
      <c r="A38" s="2" t="s">
        <v>244</v>
      </c>
      <c r="B38" s="3" t="s">
        <v>245</v>
      </c>
      <c r="C38" s="10" t="s">
        <v>97</v>
      </c>
      <c r="D38" s="23">
        <v>37700000000</v>
      </c>
      <c r="E38" s="18" t="s">
        <v>143</v>
      </c>
      <c r="F38" s="10" t="s">
        <v>244</v>
      </c>
      <c r="G38" s="10" t="s">
        <v>167</v>
      </c>
      <c r="H38" s="3" t="s">
        <v>246</v>
      </c>
    </row>
    <row r="39" spans="1:8" ht="39" customHeight="1" x14ac:dyDescent="0.2">
      <c r="A39" s="2" t="s">
        <v>196</v>
      </c>
      <c r="B39" s="3" t="s">
        <v>247</v>
      </c>
      <c r="C39" s="10" t="s">
        <v>199</v>
      </c>
      <c r="D39" s="24">
        <v>46</v>
      </c>
      <c r="E39" s="18" t="s">
        <v>143</v>
      </c>
      <c r="F39" s="10" t="s">
        <v>196</v>
      </c>
      <c r="G39" s="10" t="s">
        <v>167</v>
      </c>
      <c r="H39" s="3" t="s">
        <v>248</v>
      </c>
    </row>
    <row r="40" spans="1:8" ht="15" customHeight="1" x14ac:dyDescent="0.2">
      <c r="A40" s="2" t="s">
        <v>249</v>
      </c>
      <c r="B40" s="3" t="s">
        <v>250</v>
      </c>
      <c r="C40" s="10" t="s">
        <v>199</v>
      </c>
      <c r="D40" s="24">
        <v>865</v>
      </c>
      <c r="E40" s="18" t="s">
        <v>143</v>
      </c>
      <c r="F40" s="10" t="s">
        <v>249</v>
      </c>
      <c r="G40" s="10" t="s">
        <v>167</v>
      </c>
      <c r="H40" s="3" t="s">
        <v>251</v>
      </c>
    </row>
    <row r="41" spans="1:8" ht="27" customHeight="1" x14ac:dyDescent="0.2">
      <c r="A41" s="2" t="s">
        <v>252</v>
      </c>
      <c r="B41" s="3" t="s">
        <v>253</v>
      </c>
      <c r="C41" s="10" t="s">
        <v>97</v>
      </c>
      <c r="D41" s="23">
        <v>14030000000</v>
      </c>
      <c r="E41" s="18" t="s">
        <v>143</v>
      </c>
      <c r="F41" s="10" t="s">
        <v>252</v>
      </c>
      <c r="G41" s="10" t="s">
        <v>167</v>
      </c>
      <c r="H41" s="3" t="s">
        <v>254</v>
      </c>
    </row>
    <row r="42" spans="1:8" ht="27" customHeight="1" x14ac:dyDescent="0.2">
      <c r="A42" s="2" t="s">
        <v>255</v>
      </c>
      <c r="B42" s="3" t="s">
        <v>256</v>
      </c>
      <c r="C42" s="10" t="s">
        <v>97</v>
      </c>
      <c r="D42" s="23">
        <v>1350000000</v>
      </c>
      <c r="E42" s="18" t="s">
        <v>143</v>
      </c>
      <c r="F42" s="10" t="s">
        <v>255</v>
      </c>
      <c r="G42" s="10" t="s">
        <v>167</v>
      </c>
      <c r="H42" s="3" t="s">
        <v>257</v>
      </c>
    </row>
    <row r="43" spans="1:8" ht="27" customHeight="1" x14ac:dyDescent="0.2">
      <c r="A43" s="2" t="s">
        <v>258</v>
      </c>
      <c r="B43" s="3" t="s">
        <v>259</v>
      </c>
      <c r="C43" s="10" t="s">
        <v>97</v>
      </c>
      <c r="D43" s="23">
        <v>3750000000</v>
      </c>
      <c r="E43" s="18" t="s">
        <v>143</v>
      </c>
      <c r="F43" s="10" t="s">
        <v>258</v>
      </c>
      <c r="G43" s="10" t="s">
        <v>167</v>
      </c>
      <c r="H43" s="3" t="s">
        <v>260</v>
      </c>
    </row>
    <row r="44" spans="1:8" ht="27" customHeight="1" x14ac:dyDescent="0.2">
      <c r="A44" s="2" t="s">
        <v>261</v>
      </c>
      <c r="B44" s="3" t="s">
        <v>262</v>
      </c>
      <c r="C44" s="10" t="s">
        <v>199</v>
      </c>
      <c r="D44" s="24">
        <v>84</v>
      </c>
      <c r="E44" s="18" t="s">
        <v>143</v>
      </c>
      <c r="F44" s="10" t="s">
        <v>261</v>
      </c>
      <c r="G44" s="10" t="s">
        <v>167</v>
      </c>
      <c r="H44" s="10" t="s">
        <v>263</v>
      </c>
    </row>
    <row r="45" spans="1:8" ht="27" customHeight="1" x14ac:dyDescent="0.2">
      <c r="A45" s="2" t="s">
        <v>264</v>
      </c>
      <c r="B45" s="3" t="s">
        <v>265</v>
      </c>
      <c r="C45" s="10" t="s">
        <v>199</v>
      </c>
      <c r="D45" s="24">
        <v>23</v>
      </c>
      <c r="E45" s="18" t="s">
        <v>143</v>
      </c>
      <c r="F45" s="10" t="s">
        <v>264</v>
      </c>
      <c r="G45" s="10" t="s">
        <v>167</v>
      </c>
      <c r="H45" s="3" t="s">
        <v>266</v>
      </c>
    </row>
    <row r="46" spans="1:8" ht="39" customHeight="1" x14ac:dyDescent="0.2">
      <c r="A46" s="2" t="s">
        <v>267</v>
      </c>
      <c r="B46" s="3" t="s">
        <v>268</v>
      </c>
      <c r="C46" s="10" t="s">
        <v>199</v>
      </c>
      <c r="D46" s="24">
        <v>360</v>
      </c>
      <c r="E46" s="18" t="s">
        <v>143</v>
      </c>
      <c r="F46" s="10" t="s">
        <v>267</v>
      </c>
      <c r="G46" s="10" t="s">
        <v>167</v>
      </c>
      <c r="H46" s="3" t="s">
        <v>269</v>
      </c>
    </row>
    <row r="47" spans="1:8" ht="27" customHeight="1" x14ac:dyDescent="0.2">
      <c r="A47" s="2" t="s">
        <v>270</v>
      </c>
      <c r="B47" s="3" t="s">
        <v>271</v>
      </c>
      <c r="C47" s="10" t="s">
        <v>199</v>
      </c>
      <c r="D47" s="24">
        <v>192</v>
      </c>
      <c r="E47" s="18" t="s">
        <v>143</v>
      </c>
      <c r="F47" s="10" t="s">
        <v>270</v>
      </c>
      <c r="G47" s="10" t="s">
        <v>167</v>
      </c>
      <c r="H47" s="10" t="s">
        <v>272</v>
      </c>
    </row>
    <row r="48" spans="1:8" ht="39" customHeight="1" x14ac:dyDescent="0.2">
      <c r="A48" s="2" t="s">
        <v>273</v>
      </c>
      <c r="B48" s="3" t="s">
        <v>274</v>
      </c>
      <c r="C48" s="10" t="s">
        <v>199</v>
      </c>
      <c r="D48" s="24">
        <v>206</v>
      </c>
      <c r="E48" s="18" t="s">
        <v>143</v>
      </c>
      <c r="F48" s="10" t="s">
        <v>273</v>
      </c>
      <c r="G48" s="10" t="s">
        <v>167</v>
      </c>
      <c r="H48" s="10" t="s">
        <v>272</v>
      </c>
    </row>
    <row r="49" spans="1:8" ht="27" customHeight="1" x14ac:dyDescent="0.2">
      <c r="A49" s="2" t="s">
        <v>275</v>
      </c>
      <c r="B49" s="3" t="s">
        <v>276</v>
      </c>
      <c r="C49" s="10" t="s">
        <v>199</v>
      </c>
      <c r="D49" s="24">
        <v>42</v>
      </c>
      <c r="E49" s="18" t="s">
        <v>143</v>
      </c>
      <c r="F49" s="10" t="s">
        <v>275</v>
      </c>
      <c r="G49" s="10" t="s">
        <v>167</v>
      </c>
      <c r="H49" s="10" t="s">
        <v>277</v>
      </c>
    </row>
    <row r="50" spans="1:8" ht="39" customHeight="1" x14ac:dyDescent="0.2">
      <c r="A50" s="2" t="s">
        <v>278</v>
      </c>
      <c r="B50" s="3" t="s">
        <v>279</v>
      </c>
      <c r="C50" s="10" t="s">
        <v>97</v>
      </c>
      <c r="D50" s="23">
        <v>36200000000</v>
      </c>
      <c r="E50" s="18" t="s">
        <v>143</v>
      </c>
      <c r="F50" s="10" t="s">
        <v>278</v>
      </c>
      <c r="G50" s="10" t="s">
        <v>167</v>
      </c>
      <c r="H50" s="3" t="s">
        <v>280</v>
      </c>
    </row>
    <row r="51" spans="1:8" ht="39" customHeight="1" x14ac:dyDescent="0.2">
      <c r="A51" s="2" t="s">
        <v>281</v>
      </c>
      <c r="B51" s="3" t="s">
        <v>282</v>
      </c>
      <c r="C51" s="10" t="s">
        <v>97</v>
      </c>
      <c r="D51" s="23">
        <v>3480000000</v>
      </c>
      <c r="E51" s="18" t="s">
        <v>143</v>
      </c>
      <c r="F51" s="10" t="s">
        <v>281</v>
      </c>
      <c r="G51" s="10" t="s">
        <v>167</v>
      </c>
      <c r="H51" s="3" t="s">
        <v>283</v>
      </c>
    </row>
    <row r="52" spans="1:8" ht="39" customHeight="1" x14ac:dyDescent="0.2">
      <c r="A52" s="2" t="s">
        <v>284</v>
      </c>
      <c r="B52" s="3" t="s">
        <v>285</v>
      </c>
      <c r="C52" s="10" t="s">
        <v>97</v>
      </c>
      <c r="D52" s="23">
        <v>900000000</v>
      </c>
      <c r="E52" s="18" t="s">
        <v>143</v>
      </c>
      <c r="F52" s="10" t="s">
        <v>284</v>
      </c>
      <c r="G52" s="10" t="s">
        <v>167</v>
      </c>
      <c r="H52" s="3" t="s">
        <v>283</v>
      </c>
    </row>
    <row r="53" spans="1:8" ht="39" customHeight="1" x14ac:dyDescent="0.2">
      <c r="A53" s="2" t="s">
        <v>286</v>
      </c>
      <c r="B53" s="3" t="s">
        <v>287</v>
      </c>
      <c r="C53" s="10" t="s">
        <v>97</v>
      </c>
      <c r="D53" s="23">
        <v>14460000000</v>
      </c>
      <c r="E53" s="18" t="s">
        <v>143</v>
      </c>
      <c r="F53" s="10" t="s">
        <v>286</v>
      </c>
      <c r="G53" s="10" t="s">
        <v>167</v>
      </c>
      <c r="H53" s="3" t="s">
        <v>283</v>
      </c>
    </row>
    <row r="54" spans="1:8" ht="39" customHeight="1" x14ac:dyDescent="0.2">
      <c r="A54" s="2" t="s">
        <v>288</v>
      </c>
      <c r="B54" s="3" t="s">
        <v>289</v>
      </c>
      <c r="C54" s="10" t="s">
        <v>97</v>
      </c>
      <c r="D54" s="23">
        <v>8380000000</v>
      </c>
      <c r="E54" s="18" t="s">
        <v>143</v>
      </c>
      <c r="F54" s="10" t="s">
        <v>288</v>
      </c>
      <c r="G54" s="10" t="s">
        <v>167</v>
      </c>
      <c r="H54" s="3" t="s">
        <v>283</v>
      </c>
    </row>
    <row r="55" spans="1:8" ht="39" customHeight="1" x14ac:dyDescent="0.2">
      <c r="A55" s="2" t="s">
        <v>290</v>
      </c>
      <c r="B55" s="3" t="s">
        <v>291</v>
      </c>
      <c r="C55" s="10" t="s">
        <v>97</v>
      </c>
      <c r="D55" s="23">
        <v>8980000000</v>
      </c>
      <c r="E55" s="18" t="s">
        <v>143</v>
      </c>
      <c r="F55" s="10" t="s">
        <v>290</v>
      </c>
      <c r="G55" s="10" t="s">
        <v>167</v>
      </c>
      <c r="H55" s="3" t="s">
        <v>283</v>
      </c>
    </row>
    <row r="56" spans="1:8" ht="15" customHeight="1" x14ac:dyDescent="0.2">
      <c r="A56" s="2" t="s">
        <v>292</v>
      </c>
      <c r="B56" s="3" t="s">
        <v>293</v>
      </c>
      <c r="C56" s="10" t="s">
        <v>104</v>
      </c>
      <c r="D56" s="20">
        <v>1</v>
      </c>
      <c r="E56" s="18" t="s">
        <v>143</v>
      </c>
      <c r="F56" s="10" t="s">
        <v>294</v>
      </c>
      <c r="G56" s="10" t="s">
        <v>162</v>
      </c>
      <c r="H56" s="10"/>
    </row>
    <row r="57" spans="1:8" ht="15" customHeight="1" x14ac:dyDescent="0.2">
      <c r="A57" s="2" t="s">
        <v>295</v>
      </c>
      <c r="B57" s="3" t="s">
        <v>296</v>
      </c>
      <c r="C57" s="10" t="s">
        <v>104</v>
      </c>
      <c r="D57" s="20">
        <v>0.8</v>
      </c>
      <c r="E57" s="18" t="s">
        <v>143</v>
      </c>
      <c r="F57" s="10"/>
      <c r="G57" s="10" t="s">
        <v>162</v>
      </c>
      <c r="H57" s="10"/>
    </row>
    <row r="58" spans="1:8" ht="15" customHeight="1" x14ac:dyDescent="0.2">
      <c r="A58" s="2" t="s">
        <v>297</v>
      </c>
      <c r="B58" s="10" t="s">
        <v>298</v>
      </c>
      <c r="C58" s="10" t="s">
        <v>299</v>
      </c>
      <c r="D58" s="24">
        <v>100</v>
      </c>
      <c r="E58" s="18" t="s">
        <v>143</v>
      </c>
      <c r="F58" s="10" t="s">
        <v>300</v>
      </c>
      <c r="G58" s="10" t="s">
        <v>162</v>
      </c>
      <c r="H58" s="10"/>
    </row>
    <row r="59" spans="1:8" ht="15" customHeight="1" x14ac:dyDescent="0.2">
      <c r="A59" s="2" t="s">
        <v>301</v>
      </c>
      <c r="B59" s="3" t="s">
        <v>302</v>
      </c>
      <c r="C59" s="10" t="s">
        <v>303</v>
      </c>
      <c r="D59" s="19">
        <v>1.1499999999999999</v>
      </c>
      <c r="E59" s="18" t="s">
        <v>143</v>
      </c>
      <c r="F59" s="10" t="s">
        <v>304</v>
      </c>
      <c r="G59" s="10" t="s">
        <v>162</v>
      </c>
      <c r="H59" s="10"/>
    </row>
    <row r="60" spans="1:8" ht="15" customHeight="1" x14ac:dyDescent="0.2">
      <c r="A60" s="2" t="s">
        <v>305</v>
      </c>
      <c r="B60" s="10" t="s">
        <v>306</v>
      </c>
      <c r="C60" s="10" t="s">
        <v>107</v>
      </c>
      <c r="D60" s="24">
        <v>1</v>
      </c>
      <c r="E60" s="18" t="s">
        <v>143</v>
      </c>
      <c r="F60" s="10"/>
      <c r="G60" s="10" t="s">
        <v>144</v>
      </c>
      <c r="H60" s="10"/>
    </row>
    <row r="61" spans="1:8" ht="15" customHeight="1" x14ac:dyDescent="0.2">
      <c r="A61" s="2" t="s">
        <v>307</v>
      </c>
      <c r="B61" s="10" t="s">
        <v>308</v>
      </c>
      <c r="C61" s="10" t="s">
        <v>161</v>
      </c>
      <c r="D61" s="21">
        <v>46568</v>
      </c>
      <c r="E61" s="18" t="s">
        <v>143</v>
      </c>
      <c r="F61" s="10"/>
      <c r="G61" s="10" t="s">
        <v>162</v>
      </c>
      <c r="H61" s="10"/>
    </row>
    <row r="62" spans="1:8" ht="15" customHeight="1" x14ac:dyDescent="0.2">
      <c r="A62" s="2" t="s">
        <v>309</v>
      </c>
      <c r="B62" s="10" t="s">
        <v>310</v>
      </c>
      <c r="C62" s="10" t="s">
        <v>107</v>
      </c>
      <c r="D62" s="24">
        <v>2</v>
      </c>
      <c r="E62" s="18" t="s">
        <v>143</v>
      </c>
      <c r="F62" s="10"/>
      <c r="G62" s="10" t="s">
        <v>144</v>
      </c>
      <c r="H62" s="10"/>
    </row>
    <row r="63" spans="1:8" ht="15" customHeight="1" x14ac:dyDescent="0.2">
      <c r="A63" s="2" t="s">
        <v>311</v>
      </c>
      <c r="B63" s="10" t="s">
        <v>312</v>
      </c>
      <c r="C63" s="10" t="s">
        <v>161</v>
      </c>
      <c r="D63" s="21">
        <v>46934</v>
      </c>
      <c r="E63" s="18" t="s">
        <v>143</v>
      </c>
      <c r="F63" s="10"/>
      <c r="G63" s="10" t="s">
        <v>162</v>
      </c>
      <c r="H63" s="10"/>
    </row>
    <row r="64" spans="1:8" ht="15" customHeight="1" x14ac:dyDescent="0.2">
      <c r="A64" s="2" t="s">
        <v>313</v>
      </c>
      <c r="B64" s="10" t="s">
        <v>314</v>
      </c>
      <c r="C64" s="10" t="s">
        <v>107</v>
      </c>
      <c r="D64" s="24">
        <v>3</v>
      </c>
      <c r="E64" s="18" t="s">
        <v>143</v>
      </c>
      <c r="F64" s="10"/>
      <c r="G64" s="10" t="s">
        <v>144</v>
      </c>
      <c r="H64" s="10"/>
    </row>
    <row r="65" spans="1:8" ht="15" customHeight="1" x14ac:dyDescent="0.2">
      <c r="A65" s="2" t="s">
        <v>315</v>
      </c>
      <c r="B65" s="10" t="s">
        <v>316</v>
      </c>
      <c r="C65" s="10" t="s">
        <v>161</v>
      </c>
      <c r="D65" s="21">
        <v>47299</v>
      </c>
      <c r="E65" s="18" t="s">
        <v>143</v>
      </c>
      <c r="F65" s="10"/>
      <c r="G65" s="10" t="s">
        <v>162</v>
      </c>
      <c r="H65" s="10"/>
    </row>
    <row r="66" spans="1:8" ht="15" customHeight="1" x14ac:dyDescent="0.2">
      <c r="A66" s="2" t="s">
        <v>317</v>
      </c>
      <c r="B66" s="10" t="s">
        <v>318</v>
      </c>
      <c r="C66" s="10" t="s">
        <v>107</v>
      </c>
      <c r="D66" s="24">
        <v>4</v>
      </c>
      <c r="E66" s="18" t="s">
        <v>143</v>
      </c>
      <c r="F66" s="10"/>
      <c r="G66" s="10" t="s">
        <v>144</v>
      </c>
      <c r="H66" s="10"/>
    </row>
    <row r="67" spans="1:8" ht="15" customHeight="1" x14ac:dyDescent="0.2">
      <c r="A67" s="2" t="s">
        <v>319</v>
      </c>
      <c r="B67" s="10" t="s">
        <v>320</v>
      </c>
      <c r="C67" s="10" t="s">
        <v>161</v>
      </c>
      <c r="D67" s="21">
        <v>47664</v>
      </c>
      <c r="E67" s="18" t="s">
        <v>143</v>
      </c>
      <c r="F67" s="10"/>
      <c r="G67" s="10" t="s">
        <v>162</v>
      </c>
      <c r="H67" s="10"/>
    </row>
    <row r="68" spans="1:8" ht="15" customHeight="1" x14ac:dyDescent="0.2">
      <c r="A68" s="2" t="s">
        <v>321</v>
      </c>
      <c r="B68" s="10" t="s">
        <v>322</v>
      </c>
      <c r="C68" s="10" t="s">
        <v>107</v>
      </c>
      <c r="D68" s="24">
        <v>5</v>
      </c>
      <c r="E68" s="18" t="s">
        <v>143</v>
      </c>
      <c r="F68" s="10"/>
      <c r="G68" s="10" t="s">
        <v>144</v>
      </c>
      <c r="H68" s="10"/>
    </row>
    <row r="69" spans="1:8" ht="15" customHeight="1" x14ac:dyDescent="0.2">
      <c r="A69" s="2" t="s">
        <v>323</v>
      </c>
      <c r="B69" s="10" t="s">
        <v>324</v>
      </c>
      <c r="C69" s="10" t="s">
        <v>161</v>
      </c>
      <c r="D69" s="21">
        <v>48029</v>
      </c>
      <c r="E69" s="18" t="s">
        <v>143</v>
      </c>
      <c r="F69" s="10"/>
      <c r="G69" s="10" t="s">
        <v>162</v>
      </c>
      <c r="H69" s="10"/>
    </row>
    <row r="70" spans="1:8" ht="15" customHeight="1" x14ac:dyDescent="0.2">
      <c r="A70" s="2" t="s">
        <v>325</v>
      </c>
      <c r="B70" s="10" t="s">
        <v>326</v>
      </c>
      <c r="C70" s="10" t="s">
        <v>107</v>
      </c>
      <c r="D70" s="24">
        <v>6</v>
      </c>
      <c r="E70" s="18" t="s">
        <v>143</v>
      </c>
      <c r="F70" s="10"/>
      <c r="G70" s="10" t="s">
        <v>144</v>
      </c>
      <c r="H70" s="10"/>
    </row>
    <row r="71" spans="1:8" ht="15" customHeight="1" x14ac:dyDescent="0.2">
      <c r="A71" s="2" t="s">
        <v>327</v>
      </c>
      <c r="B71" s="10" t="s">
        <v>328</v>
      </c>
      <c r="C71" s="10" t="s">
        <v>161</v>
      </c>
      <c r="D71" s="21">
        <v>48395</v>
      </c>
      <c r="E71" s="18" t="s">
        <v>143</v>
      </c>
      <c r="F71" s="10"/>
      <c r="G71" s="10" t="s">
        <v>162</v>
      </c>
      <c r="H71" s="10"/>
    </row>
    <row r="72" spans="1:8" ht="15" customHeight="1" x14ac:dyDescent="0.2">
      <c r="A72" s="2" t="s">
        <v>329</v>
      </c>
      <c r="B72" s="10" t="s">
        <v>330</v>
      </c>
      <c r="C72" s="10" t="s">
        <v>107</v>
      </c>
      <c r="D72" s="24">
        <v>7</v>
      </c>
      <c r="E72" s="18" t="s">
        <v>143</v>
      </c>
      <c r="F72" s="10"/>
      <c r="G72" s="10" t="s">
        <v>144</v>
      </c>
      <c r="H72" s="10"/>
    </row>
    <row r="73" spans="1:8" ht="15" customHeight="1" x14ac:dyDescent="0.2">
      <c r="A73" s="2" t="s">
        <v>331</v>
      </c>
      <c r="B73" s="10" t="s">
        <v>332</v>
      </c>
      <c r="C73" s="10" t="s">
        <v>161</v>
      </c>
      <c r="D73" s="21">
        <v>48760</v>
      </c>
      <c r="E73" s="18" t="s">
        <v>143</v>
      </c>
      <c r="F73" s="10"/>
      <c r="G73" s="10" t="s">
        <v>162</v>
      </c>
      <c r="H73" s="10"/>
    </row>
    <row r="74" spans="1:8" ht="15" customHeight="1" x14ac:dyDescent="0.2">
      <c r="A74" s="2" t="s">
        <v>333</v>
      </c>
      <c r="B74" s="10" t="s">
        <v>334</v>
      </c>
      <c r="C74" s="10" t="s">
        <v>107</v>
      </c>
      <c r="D74" s="24">
        <v>8</v>
      </c>
      <c r="E74" s="18" t="s">
        <v>143</v>
      </c>
      <c r="F74" s="10"/>
      <c r="G74" s="10" t="s">
        <v>144</v>
      </c>
      <c r="H74" s="10"/>
    </row>
    <row r="75" spans="1:8" ht="15" customHeight="1" x14ac:dyDescent="0.2">
      <c r="A75" s="2" t="s">
        <v>335</v>
      </c>
      <c r="B75" s="10" t="s">
        <v>336</v>
      </c>
      <c r="C75" s="10" t="s">
        <v>161</v>
      </c>
      <c r="D75" s="21">
        <v>49125</v>
      </c>
      <c r="E75" s="18" t="s">
        <v>143</v>
      </c>
      <c r="F75" s="10"/>
      <c r="G75" s="10" t="s">
        <v>162</v>
      </c>
      <c r="H75" s="10"/>
    </row>
    <row r="76" spans="1:8" ht="15" customHeight="1" x14ac:dyDescent="0.2">
      <c r="A76" s="2" t="s">
        <v>337</v>
      </c>
      <c r="B76" s="10" t="s">
        <v>338</v>
      </c>
      <c r="C76" s="10" t="s">
        <v>107</v>
      </c>
      <c r="D76" s="24">
        <v>9</v>
      </c>
      <c r="E76" s="18" t="s">
        <v>143</v>
      </c>
      <c r="F76" s="10"/>
      <c r="G76" s="10" t="s">
        <v>144</v>
      </c>
      <c r="H76" s="10"/>
    </row>
    <row r="77" spans="1:8" ht="15" customHeight="1" x14ac:dyDescent="0.2">
      <c r="A77" s="2" t="s">
        <v>339</v>
      </c>
      <c r="B77" s="10" t="s">
        <v>340</v>
      </c>
      <c r="C77" s="10" t="s">
        <v>161</v>
      </c>
      <c r="D77" s="21">
        <v>49490</v>
      </c>
      <c r="E77" s="18" t="s">
        <v>143</v>
      </c>
      <c r="F77" s="10"/>
      <c r="G77" s="10" t="s">
        <v>162</v>
      </c>
      <c r="H77" s="10"/>
    </row>
    <row r="78" spans="1:8" ht="15" customHeight="1" x14ac:dyDescent="0.2">
      <c r="A78" s="2" t="s">
        <v>341</v>
      </c>
      <c r="B78" s="10" t="s">
        <v>342</v>
      </c>
      <c r="C78" s="10" t="s">
        <v>107</v>
      </c>
      <c r="D78" s="24">
        <v>10</v>
      </c>
      <c r="E78" s="18" t="s">
        <v>143</v>
      </c>
      <c r="F78" s="10"/>
      <c r="G78" s="10" t="s">
        <v>144</v>
      </c>
      <c r="H78" s="10"/>
    </row>
    <row r="79" spans="1:8" ht="15" customHeight="1" x14ac:dyDescent="0.2">
      <c r="A79" s="2" t="s">
        <v>343</v>
      </c>
      <c r="B79" s="10" t="s">
        <v>344</v>
      </c>
      <c r="C79" s="10" t="s">
        <v>161</v>
      </c>
      <c r="D79" s="21">
        <v>49856</v>
      </c>
      <c r="E79" s="18" t="s">
        <v>143</v>
      </c>
      <c r="F79" s="10"/>
      <c r="G79" s="10" t="s">
        <v>162</v>
      </c>
      <c r="H79" s="10"/>
    </row>
    <row r="80" spans="1:8" ht="27" customHeight="1" x14ac:dyDescent="0.2">
      <c r="A80" s="2" t="s">
        <v>345</v>
      </c>
      <c r="B80" s="3" t="s">
        <v>346</v>
      </c>
      <c r="C80" s="10" t="s">
        <v>195</v>
      </c>
      <c r="D80" s="24">
        <v>911</v>
      </c>
      <c r="E80" s="18" t="s">
        <v>143</v>
      </c>
      <c r="F80" s="10" t="s">
        <v>347</v>
      </c>
      <c r="G80" s="10" t="s">
        <v>162</v>
      </c>
      <c r="H80" s="10"/>
    </row>
    <row r="81" spans="1:8" ht="15" customHeight="1" x14ac:dyDescent="0.2">
      <c r="A81" s="2" t="s">
        <v>348</v>
      </c>
      <c r="B81" s="3" t="s">
        <v>349</v>
      </c>
      <c r="C81" s="10" t="s">
        <v>104</v>
      </c>
      <c r="D81" s="20">
        <v>0.6</v>
      </c>
      <c r="E81" s="18" t="s">
        <v>143</v>
      </c>
      <c r="F81" s="10"/>
      <c r="G81" s="10" t="s">
        <v>162</v>
      </c>
      <c r="H81" s="10"/>
    </row>
    <row r="82" spans="1:8" ht="15" customHeight="1" x14ac:dyDescent="0.2">
      <c r="A82" s="2" t="s">
        <v>350</v>
      </c>
      <c r="B82" s="3" t="s">
        <v>351</v>
      </c>
      <c r="C82" s="10" t="s">
        <v>104</v>
      </c>
      <c r="D82" s="20">
        <v>0.1</v>
      </c>
      <c r="E82" s="18" t="s">
        <v>143</v>
      </c>
      <c r="F82" s="10"/>
      <c r="G82" s="10" t="s">
        <v>162</v>
      </c>
      <c r="H82" s="10"/>
    </row>
    <row r="83" spans="1:8" ht="27" customHeight="1" x14ac:dyDescent="0.2">
      <c r="A83" s="2" t="s">
        <v>352</v>
      </c>
      <c r="B83" s="3" t="s">
        <v>353</v>
      </c>
      <c r="C83" s="3" t="s">
        <v>354</v>
      </c>
      <c r="D83" s="20">
        <v>0.3</v>
      </c>
      <c r="E83" s="18" t="s">
        <v>143</v>
      </c>
      <c r="F83" s="10"/>
      <c r="G83" s="10" t="s">
        <v>162</v>
      </c>
      <c r="H83" s="10"/>
    </row>
    <row r="84" spans="1:8" ht="27" customHeight="1" x14ac:dyDescent="0.2">
      <c r="A84" s="2" t="s">
        <v>355</v>
      </c>
      <c r="B84" s="3" t="s">
        <v>356</v>
      </c>
      <c r="C84" s="3" t="s">
        <v>354</v>
      </c>
      <c r="D84" s="20">
        <v>0.7</v>
      </c>
      <c r="E84" s="18" t="s">
        <v>143</v>
      </c>
      <c r="F84" s="10"/>
      <c r="G84" s="10" t="s">
        <v>162</v>
      </c>
      <c r="H84" s="10"/>
    </row>
    <row r="85" spans="1:8" ht="27" customHeight="1" x14ac:dyDescent="0.2">
      <c r="A85" s="2" t="s">
        <v>357</v>
      </c>
      <c r="B85" s="3" t="s">
        <v>358</v>
      </c>
      <c r="C85" s="3" t="s">
        <v>354</v>
      </c>
      <c r="D85" s="20">
        <v>1</v>
      </c>
      <c r="E85" s="18" t="s">
        <v>143</v>
      </c>
      <c r="F85" s="10"/>
      <c r="G85" s="10" t="s">
        <v>162</v>
      </c>
      <c r="H85" s="10"/>
    </row>
    <row r="86" spans="1:8" ht="27" customHeight="1" x14ac:dyDescent="0.2">
      <c r="A86" s="2" t="s">
        <v>359</v>
      </c>
      <c r="B86" s="3" t="s">
        <v>360</v>
      </c>
      <c r="C86" s="3" t="s">
        <v>354</v>
      </c>
      <c r="D86" s="20">
        <v>1</v>
      </c>
      <c r="E86" s="18" t="s">
        <v>143</v>
      </c>
      <c r="F86" s="10"/>
      <c r="G86" s="10" t="s">
        <v>162</v>
      </c>
      <c r="H86" s="10"/>
    </row>
    <row r="87" spans="1:8" ht="27" customHeight="1" x14ac:dyDescent="0.2">
      <c r="A87" s="2" t="s">
        <v>361</v>
      </c>
      <c r="B87" s="3" t="s">
        <v>362</v>
      </c>
      <c r="C87" s="3" t="s">
        <v>354</v>
      </c>
      <c r="D87" s="20">
        <v>1</v>
      </c>
      <c r="E87" s="18" t="s">
        <v>143</v>
      </c>
      <c r="F87" s="10"/>
      <c r="G87" s="10" t="s">
        <v>162</v>
      </c>
      <c r="H87" s="10"/>
    </row>
    <row r="88" spans="1:8" ht="27" customHeight="1" x14ac:dyDescent="0.2">
      <c r="A88" s="2" t="s">
        <v>363</v>
      </c>
      <c r="B88" s="3" t="s">
        <v>364</v>
      </c>
      <c r="C88" s="3" t="s">
        <v>354</v>
      </c>
      <c r="D88" s="20">
        <v>1</v>
      </c>
      <c r="E88" s="18" t="s">
        <v>143</v>
      </c>
      <c r="F88" s="10"/>
      <c r="G88" s="10" t="s">
        <v>162</v>
      </c>
      <c r="H88" s="10"/>
    </row>
    <row r="89" spans="1:8" ht="27" customHeight="1" x14ac:dyDescent="0.2">
      <c r="A89" s="2" t="s">
        <v>365</v>
      </c>
      <c r="B89" s="3" t="s">
        <v>366</v>
      </c>
      <c r="C89" s="3" t="s">
        <v>354</v>
      </c>
      <c r="D89" s="20">
        <v>1</v>
      </c>
      <c r="E89" s="18" t="s">
        <v>143</v>
      </c>
      <c r="F89" s="10"/>
      <c r="G89" s="10" t="s">
        <v>162</v>
      </c>
      <c r="H89" s="10"/>
    </row>
    <row r="90" spans="1:8" ht="27" customHeight="1" x14ac:dyDescent="0.2">
      <c r="A90" s="2" t="s">
        <v>367</v>
      </c>
      <c r="B90" s="3" t="s">
        <v>368</v>
      </c>
      <c r="C90" s="3" t="s">
        <v>354</v>
      </c>
      <c r="D90" s="20">
        <v>1</v>
      </c>
      <c r="E90" s="18" t="s">
        <v>143</v>
      </c>
      <c r="F90" s="10"/>
      <c r="G90" s="10" t="s">
        <v>162</v>
      </c>
      <c r="H90" s="10"/>
    </row>
    <row r="91" spans="1:8" ht="27" customHeight="1" x14ac:dyDescent="0.2">
      <c r="A91" s="2" t="s">
        <v>369</v>
      </c>
      <c r="B91" s="3" t="s">
        <v>370</v>
      </c>
      <c r="C91" s="3" t="s">
        <v>354</v>
      </c>
      <c r="D91" s="20">
        <v>1</v>
      </c>
      <c r="E91" s="18" t="s">
        <v>143</v>
      </c>
      <c r="F91" s="10"/>
      <c r="G91" s="10" t="s">
        <v>162</v>
      </c>
      <c r="H91" s="10"/>
    </row>
    <row r="92" spans="1:8" ht="27" customHeight="1" x14ac:dyDescent="0.2">
      <c r="A92" s="2" t="s">
        <v>371</v>
      </c>
      <c r="B92" s="3" t="s">
        <v>372</v>
      </c>
      <c r="C92" s="3" t="s">
        <v>354</v>
      </c>
      <c r="D92" s="20">
        <v>1</v>
      </c>
      <c r="E92" s="18" t="s">
        <v>143</v>
      </c>
      <c r="F92" s="10"/>
      <c r="G92" s="10" t="s">
        <v>162</v>
      </c>
      <c r="H92" s="10"/>
    </row>
    <row r="93" spans="1:8" ht="27" customHeight="1" x14ac:dyDescent="0.2">
      <c r="A93" s="2" t="s">
        <v>373</v>
      </c>
      <c r="B93" s="3" t="s">
        <v>374</v>
      </c>
      <c r="C93" s="10" t="s">
        <v>195</v>
      </c>
      <c r="D93" s="24">
        <v>1600</v>
      </c>
      <c r="E93" s="18" t="s">
        <v>143</v>
      </c>
      <c r="F93" s="10" t="s">
        <v>375</v>
      </c>
      <c r="G93" s="10" t="s">
        <v>162</v>
      </c>
      <c r="H93" s="10"/>
    </row>
    <row r="94" spans="1:8" ht="15" customHeight="1" x14ac:dyDescent="0.2">
      <c r="A94" s="2" t="s">
        <v>376</v>
      </c>
      <c r="B94" s="3" t="s">
        <v>377</v>
      </c>
      <c r="C94" s="10" t="s">
        <v>104</v>
      </c>
      <c r="D94" s="20">
        <v>0.75</v>
      </c>
      <c r="E94" s="18" t="s">
        <v>143</v>
      </c>
      <c r="F94" s="10"/>
      <c r="G94" s="10" t="s">
        <v>162</v>
      </c>
      <c r="H94" s="10"/>
    </row>
    <row r="95" spans="1:8" ht="15" customHeight="1" x14ac:dyDescent="0.2">
      <c r="A95" s="2" t="s">
        <v>378</v>
      </c>
      <c r="B95" s="3" t="s">
        <v>379</v>
      </c>
      <c r="C95" s="10" t="s">
        <v>104</v>
      </c>
      <c r="D95" s="20">
        <v>0.13</v>
      </c>
      <c r="E95" s="18" t="s">
        <v>143</v>
      </c>
      <c r="F95" s="10"/>
      <c r="G95" s="10" t="s">
        <v>162</v>
      </c>
      <c r="H95" s="10"/>
    </row>
    <row r="96" spans="1:8" ht="27" customHeight="1" x14ac:dyDescent="0.2">
      <c r="A96" s="2" t="s">
        <v>380</v>
      </c>
      <c r="B96" s="3" t="s">
        <v>381</v>
      </c>
      <c r="C96" s="3" t="s">
        <v>354</v>
      </c>
      <c r="D96" s="20">
        <v>0.15</v>
      </c>
      <c r="E96" s="18" t="s">
        <v>143</v>
      </c>
      <c r="F96" s="10"/>
      <c r="G96" s="10" t="s">
        <v>162</v>
      </c>
      <c r="H96" s="10"/>
    </row>
    <row r="97" spans="1:8" ht="27" customHeight="1" x14ac:dyDescent="0.2">
      <c r="A97" s="2" t="s">
        <v>382</v>
      </c>
      <c r="B97" s="3" t="s">
        <v>383</v>
      </c>
      <c r="C97" s="3" t="s">
        <v>354</v>
      </c>
      <c r="D97" s="20">
        <v>0.55000000000000004</v>
      </c>
      <c r="E97" s="18" t="s">
        <v>143</v>
      </c>
      <c r="F97" s="10"/>
      <c r="G97" s="10" t="s">
        <v>162</v>
      </c>
      <c r="H97" s="10"/>
    </row>
    <row r="98" spans="1:8" ht="27" customHeight="1" x14ac:dyDescent="0.2">
      <c r="A98" s="2" t="s">
        <v>384</v>
      </c>
      <c r="B98" s="3" t="s">
        <v>385</v>
      </c>
      <c r="C98" s="3" t="s">
        <v>354</v>
      </c>
      <c r="D98" s="20">
        <v>0.85</v>
      </c>
      <c r="E98" s="18" t="s">
        <v>143</v>
      </c>
      <c r="F98" s="10"/>
      <c r="G98" s="10" t="s">
        <v>162</v>
      </c>
      <c r="H98" s="10"/>
    </row>
    <row r="99" spans="1:8" ht="27" customHeight="1" x14ac:dyDescent="0.2">
      <c r="A99" s="2" t="s">
        <v>386</v>
      </c>
      <c r="B99" s="3" t="s">
        <v>387</v>
      </c>
      <c r="C99" s="3" t="s">
        <v>354</v>
      </c>
      <c r="D99" s="20">
        <v>1</v>
      </c>
      <c r="E99" s="18" t="s">
        <v>143</v>
      </c>
      <c r="F99" s="10"/>
      <c r="G99" s="10" t="s">
        <v>162</v>
      </c>
      <c r="H99" s="10"/>
    </row>
    <row r="100" spans="1:8" ht="27" customHeight="1" x14ac:dyDescent="0.2">
      <c r="A100" s="2" t="s">
        <v>388</v>
      </c>
      <c r="B100" s="3" t="s">
        <v>389</v>
      </c>
      <c r="C100" s="3" t="s">
        <v>354</v>
      </c>
      <c r="D100" s="20">
        <v>1</v>
      </c>
      <c r="E100" s="18" t="s">
        <v>143</v>
      </c>
      <c r="F100" s="10"/>
      <c r="G100" s="10" t="s">
        <v>162</v>
      </c>
      <c r="H100" s="10"/>
    </row>
    <row r="101" spans="1:8" ht="27" customHeight="1" x14ac:dyDescent="0.2">
      <c r="A101" s="2" t="s">
        <v>390</v>
      </c>
      <c r="B101" s="3" t="s">
        <v>391</v>
      </c>
      <c r="C101" s="3" t="s">
        <v>354</v>
      </c>
      <c r="D101" s="20">
        <v>1</v>
      </c>
      <c r="E101" s="18" t="s">
        <v>143</v>
      </c>
      <c r="F101" s="10"/>
      <c r="G101" s="10" t="s">
        <v>162</v>
      </c>
      <c r="H101" s="10"/>
    </row>
    <row r="102" spans="1:8" ht="27" customHeight="1" x14ac:dyDescent="0.2">
      <c r="A102" s="2" t="s">
        <v>392</v>
      </c>
      <c r="B102" s="3" t="s">
        <v>393</v>
      </c>
      <c r="C102" s="3" t="s">
        <v>354</v>
      </c>
      <c r="D102" s="20">
        <v>1</v>
      </c>
      <c r="E102" s="18" t="s">
        <v>143</v>
      </c>
      <c r="F102" s="10"/>
      <c r="G102" s="10" t="s">
        <v>162</v>
      </c>
      <c r="H102" s="10"/>
    </row>
    <row r="103" spans="1:8" ht="27" customHeight="1" x14ac:dyDescent="0.2">
      <c r="A103" s="2" t="s">
        <v>394</v>
      </c>
      <c r="B103" s="3" t="s">
        <v>395</v>
      </c>
      <c r="C103" s="3" t="s">
        <v>354</v>
      </c>
      <c r="D103" s="20">
        <v>1</v>
      </c>
      <c r="E103" s="18" t="s">
        <v>143</v>
      </c>
      <c r="F103" s="10"/>
      <c r="G103" s="10" t="s">
        <v>162</v>
      </c>
      <c r="H103" s="10"/>
    </row>
    <row r="104" spans="1:8" ht="27" customHeight="1" x14ac:dyDescent="0.2">
      <c r="A104" s="2" t="s">
        <v>396</v>
      </c>
      <c r="B104" s="3" t="s">
        <v>397</v>
      </c>
      <c r="C104" s="3" t="s">
        <v>354</v>
      </c>
      <c r="D104" s="20">
        <v>1</v>
      </c>
      <c r="E104" s="18" t="s">
        <v>143</v>
      </c>
      <c r="F104" s="10"/>
      <c r="G104" s="10" t="s">
        <v>162</v>
      </c>
      <c r="H104" s="10"/>
    </row>
    <row r="105" spans="1:8" ht="27" customHeight="1" x14ac:dyDescent="0.2">
      <c r="A105" s="2" t="s">
        <v>398</v>
      </c>
      <c r="B105" s="3" t="s">
        <v>399</v>
      </c>
      <c r="C105" s="3" t="s">
        <v>354</v>
      </c>
      <c r="D105" s="20">
        <v>1</v>
      </c>
      <c r="E105" s="18" t="s">
        <v>143</v>
      </c>
      <c r="F105" s="10"/>
      <c r="G105" s="10" t="s">
        <v>162</v>
      </c>
      <c r="H105" s="10"/>
    </row>
    <row r="106" spans="1:8" ht="27" customHeight="1" x14ac:dyDescent="0.2">
      <c r="A106" s="2" t="s">
        <v>400</v>
      </c>
      <c r="B106" s="3" t="s">
        <v>401</v>
      </c>
      <c r="C106" s="10" t="s">
        <v>195</v>
      </c>
      <c r="D106" s="24">
        <v>1600</v>
      </c>
      <c r="E106" s="18" t="s">
        <v>143</v>
      </c>
      <c r="F106" s="10" t="s">
        <v>375</v>
      </c>
      <c r="G106" s="10" t="s">
        <v>162</v>
      </c>
      <c r="H106" s="10"/>
    </row>
    <row r="107" spans="1:8" ht="15" customHeight="1" x14ac:dyDescent="0.2">
      <c r="A107" s="2" t="s">
        <v>402</v>
      </c>
      <c r="B107" s="3" t="s">
        <v>403</v>
      </c>
      <c r="C107" s="10" t="s">
        <v>104</v>
      </c>
      <c r="D107" s="20">
        <v>0.9</v>
      </c>
      <c r="E107" s="18" t="s">
        <v>143</v>
      </c>
      <c r="F107" s="10"/>
      <c r="G107" s="10" t="s">
        <v>162</v>
      </c>
      <c r="H107" s="10"/>
    </row>
    <row r="108" spans="1:8" ht="15" customHeight="1" x14ac:dyDescent="0.2">
      <c r="A108" s="2" t="s">
        <v>404</v>
      </c>
      <c r="B108" s="3" t="s">
        <v>405</v>
      </c>
      <c r="C108" s="10" t="s">
        <v>104</v>
      </c>
      <c r="D108" s="20">
        <v>0.16</v>
      </c>
      <c r="E108" s="18" t="s">
        <v>143</v>
      </c>
      <c r="F108" s="10"/>
      <c r="G108" s="10" t="s">
        <v>162</v>
      </c>
      <c r="H108" s="10"/>
    </row>
    <row r="109" spans="1:8" ht="27" customHeight="1" x14ac:dyDescent="0.2">
      <c r="A109" s="2" t="s">
        <v>406</v>
      </c>
      <c r="B109" s="3" t="s">
        <v>407</v>
      </c>
      <c r="C109" s="3" t="s">
        <v>354</v>
      </c>
      <c r="D109" s="20">
        <v>0.08</v>
      </c>
      <c r="E109" s="18" t="s">
        <v>143</v>
      </c>
      <c r="F109" s="10"/>
      <c r="G109" s="10" t="s">
        <v>162</v>
      </c>
      <c r="H109" s="10"/>
    </row>
    <row r="110" spans="1:8" ht="27" customHeight="1" x14ac:dyDescent="0.2">
      <c r="A110" s="2" t="s">
        <v>408</v>
      </c>
      <c r="B110" s="3" t="s">
        <v>409</v>
      </c>
      <c r="C110" s="3" t="s">
        <v>354</v>
      </c>
      <c r="D110" s="20">
        <v>0.28000000000000003</v>
      </c>
      <c r="E110" s="18" t="s">
        <v>143</v>
      </c>
      <c r="F110" s="10"/>
      <c r="G110" s="10" t="s">
        <v>162</v>
      </c>
      <c r="H110" s="10"/>
    </row>
    <row r="111" spans="1:8" ht="27" customHeight="1" x14ac:dyDescent="0.2">
      <c r="A111" s="2" t="s">
        <v>410</v>
      </c>
      <c r="B111" s="3" t="s">
        <v>411</v>
      </c>
      <c r="C111" s="3" t="s">
        <v>354</v>
      </c>
      <c r="D111" s="20">
        <v>0.5</v>
      </c>
      <c r="E111" s="18" t="s">
        <v>143</v>
      </c>
      <c r="F111" s="10"/>
      <c r="G111" s="10" t="s">
        <v>162</v>
      </c>
      <c r="H111" s="10"/>
    </row>
    <row r="112" spans="1:8" ht="27" customHeight="1" x14ac:dyDescent="0.2">
      <c r="A112" s="2" t="s">
        <v>412</v>
      </c>
      <c r="B112" s="3" t="s">
        <v>413</v>
      </c>
      <c r="C112" s="3" t="s">
        <v>354</v>
      </c>
      <c r="D112" s="20">
        <v>0.75</v>
      </c>
      <c r="E112" s="18" t="s">
        <v>143</v>
      </c>
      <c r="F112" s="10"/>
      <c r="G112" s="10" t="s">
        <v>162</v>
      </c>
      <c r="H112" s="10"/>
    </row>
    <row r="113" spans="1:8" ht="27" customHeight="1" x14ac:dyDescent="0.2">
      <c r="A113" s="2" t="s">
        <v>414</v>
      </c>
      <c r="B113" s="3" t="s">
        <v>415</v>
      </c>
      <c r="C113" s="3" t="s">
        <v>354</v>
      </c>
      <c r="D113" s="20">
        <v>1</v>
      </c>
      <c r="E113" s="18" t="s">
        <v>143</v>
      </c>
      <c r="F113" s="10"/>
      <c r="G113" s="10" t="s">
        <v>162</v>
      </c>
      <c r="H113" s="10"/>
    </row>
    <row r="114" spans="1:8" ht="27" customHeight="1" x14ac:dyDescent="0.2">
      <c r="A114" s="2" t="s">
        <v>416</v>
      </c>
      <c r="B114" s="3" t="s">
        <v>417</v>
      </c>
      <c r="C114" s="3" t="s">
        <v>354</v>
      </c>
      <c r="D114" s="20">
        <v>1</v>
      </c>
      <c r="E114" s="18" t="s">
        <v>143</v>
      </c>
      <c r="F114" s="10"/>
      <c r="G114" s="10" t="s">
        <v>162</v>
      </c>
      <c r="H114" s="10"/>
    </row>
    <row r="115" spans="1:8" ht="27" customHeight="1" x14ac:dyDescent="0.2">
      <c r="A115" s="2" t="s">
        <v>418</v>
      </c>
      <c r="B115" s="3" t="s">
        <v>419</v>
      </c>
      <c r="C115" s="3" t="s">
        <v>354</v>
      </c>
      <c r="D115" s="20">
        <v>1</v>
      </c>
      <c r="E115" s="18" t="s">
        <v>143</v>
      </c>
      <c r="F115" s="10"/>
      <c r="G115" s="10" t="s">
        <v>162</v>
      </c>
      <c r="H115" s="10"/>
    </row>
    <row r="116" spans="1:8" ht="27" customHeight="1" x14ac:dyDescent="0.2">
      <c r="A116" s="2" t="s">
        <v>420</v>
      </c>
      <c r="B116" s="3" t="s">
        <v>421</v>
      </c>
      <c r="C116" s="3" t="s">
        <v>354</v>
      </c>
      <c r="D116" s="20">
        <v>1</v>
      </c>
      <c r="E116" s="18" t="s">
        <v>143</v>
      </c>
      <c r="F116" s="10"/>
      <c r="G116" s="10" t="s">
        <v>162</v>
      </c>
      <c r="H116" s="10"/>
    </row>
    <row r="117" spans="1:8" ht="27" customHeight="1" x14ac:dyDescent="0.2">
      <c r="A117" s="2" t="s">
        <v>422</v>
      </c>
      <c r="B117" s="3" t="s">
        <v>423</v>
      </c>
      <c r="C117" s="3" t="s">
        <v>354</v>
      </c>
      <c r="D117" s="20">
        <v>1</v>
      </c>
      <c r="E117" s="18" t="s">
        <v>143</v>
      </c>
      <c r="F117" s="10"/>
      <c r="G117" s="10" t="s">
        <v>162</v>
      </c>
      <c r="H117" s="10"/>
    </row>
    <row r="118" spans="1:8" ht="27" customHeight="1" x14ac:dyDescent="0.2">
      <c r="A118" s="2" t="s">
        <v>424</v>
      </c>
      <c r="B118" s="3" t="s">
        <v>425</v>
      </c>
      <c r="C118" s="3" t="s">
        <v>354</v>
      </c>
      <c r="D118" s="20">
        <v>1</v>
      </c>
      <c r="E118" s="18" t="s">
        <v>143</v>
      </c>
      <c r="F118" s="10"/>
      <c r="G118" s="10" t="s">
        <v>162</v>
      </c>
      <c r="H118" s="10"/>
    </row>
    <row r="119" spans="1:8" ht="15" customHeight="1" x14ac:dyDescent="0.2">
      <c r="A119" s="2" t="s">
        <v>426</v>
      </c>
      <c r="B119" s="3" t="s">
        <v>427</v>
      </c>
      <c r="C119" s="10" t="s">
        <v>110</v>
      </c>
      <c r="D119" s="17">
        <v>9.9999999999999995E-7</v>
      </c>
      <c r="E119" s="18" t="s">
        <v>143</v>
      </c>
      <c r="F119" s="10"/>
      <c r="G119" s="10" t="s">
        <v>144</v>
      </c>
      <c r="H119" s="10"/>
    </row>
    <row r="120" spans="1:8" ht="15" customHeight="1" x14ac:dyDescent="0.2">
      <c r="A120" s="2" t="s">
        <v>428</v>
      </c>
      <c r="B120" s="10" t="s">
        <v>429</v>
      </c>
      <c r="C120" s="10" t="s">
        <v>430</v>
      </c>
      <c r="D120" s="19">
        <v>11</v>
      </c>
      <c r="E120" s="18" t="s">
        <v>143</v>
      </c>
      <c r="F120" s="10" t="s">
        <v>166</v>
      </c>
      <c r="G120" s="10" t="s">
        <v>167</v>
      </c>
      <c r="H120" s="10" t="s">
        <v>431</v>
      </c>
    </row>
    <row r="121" spans="1:8" ht="15" customHeight="1" x14ac:dyDescent="0.2">
      <c r="A121" s="2" t="s">
        <v>432</v>
      </c>
      <c r="B121" s="10" t="s">
        <v>433</v>
      </c>
      <c r="C121" s="10" t="s">
        <v>110</v>
      </c>
      <c r="D121" s="23">
        <v>43700000000</v>
      </c>
      <c r="E121" s="18" t="s">
        <v>143</v>
      </c>
      <c r="F121" s="10" t="s">
        <v>434</v>
      </c>
      <c r="G121" s="10" t="s">
        <v>167</v>
      </c>
      <c r="H121" s="3" t="s">
        <v>435</v>
      </c>
    </row>
    <row r="122" spans="1:8" ht="15" customHeight="1" x14ac:dyDescent="0.2">
      <c r="A122" s="2" t="s">
        <v>436</v>
      </c>
      <c r="B122" s="10" t="s">
        <v>437</v>
      </c>
      <c r="C122" s="10" t="s">
        <v>67</v>
      </c>
      <c r="D122" s="19">
        <v>9</v>
      </c>
      <c r="E122" s="18" t="s">
        <v>143</v>
      </c>
      <c r="F122" s="10" t="s">
        <v>74</v>
      </c>
      <c r="G122" s="10" t="s">
        <v>167</v>
      </c>
      <c r="H122" s="3" t="s">
        <v>438</v>
      </c>
    </row>
    <row r="123" spans="1:8" ht="15" customHeight="1" x14ac:dyDescent="0.2">
      <c r="A123" s="2" t="s">
        <v>439</v>
      </c>
      <c r="B123" s="10" t="s">
        <v>440</v>
      </c>
      <c r="C123" s="10" t="s">
        <v>67</v>
      </c>
      <c r="D123" s="19">
        <v>8.25</v>
      </c>
      <c r="E123" s="18" t="s">
        <v>143</v>
      </c>
      <c r="F123" s="10" t="s">
        <v>76</v>
      </c>
      <c r="G123" s="10" t="s">
        <v>167</v>
      </c>
      <c r="H123" s="3" t="s">
        <v>438</v>
      </c>
    </row>
    <row r="124" spans="1:8" ht="15" customHeight="1" x14ac:dyDescent="0.2">
      <c r="A124" s="2" t="s">
        <v>441</v>
      </c>
      <c r="B124" s="10" t="s">
        <v>442</v>
      </c>
      <c r="C124" s="10" t="s">
        <v>67</v>
      </c>
      <c r="D124" s="19">
        <v>5.5</v>
      </c>
      <c r="E124" s="18" t="s">
        <v>143</v>
      </c>
      <c r="F124" s="10" t="s">
        <v>78</v>
      </c>
      <c r="G124" s="10" t="s">
        <v>167</v>
      </c>
      <c r="H124" s="3" t="s">
        <v>438</v>
      </c>
    </row>
    <row r="125" spans="1:8" ht="15" customHeight="1" x14ac:dyDescent="0.2">
      <c r="A125" s="2" t="s">
        <v>443</v>
      </c>
      <c r="B125" s="3" t="s">
        <v>444</v>
      </c>
      <c r="C125" s="10" t="s">
        <v>110</v>
      </c>
      <c r="D125" s="23">
        <v>1850000000</v>
      </c>
      <c r="E125" s="18" t="s">
        <v>143</v>
      </c>
      <c r="F125" s="10" t="s">
        <v>443</v>
      </c>
      <c r="G125" s="10" t="s">
        <v>167</v>
      </c>
      <c r="H125" s="10" t="s">
        <v>445</v>
      </c>
    </row>
    <row r="126" spans="1:8" ht="15" customHeight="1" x14ac:dyDescent="0.2">
      <c r="A126" s="2" t="s">
        <v>446</v>
      </c>
      <c r="B126" s="3" t="s">
        <v>447</v>
      </c>
      <c r="C126" s="10" t="s">
        <v>110</v>
      </c>
      <c r="D126" s="23">
        <v>6000000000</v>
      </c>
      <c r="E126" s="18" t="s">
        <v>143</v>
      </c>
      <c r="F126" s="10" t="s">
        <v>446</v>
      </c>
      <c r="G126" s="10" t="s">
        <v>167</v>
      </c>
      <c r="H126" s="10" t="s">
        <v>448</v>
      </c>
    </row>
    <row r="127" spans="1:8" ht="15" customHeight="1" x14ac:dyDescent="0.2">
      <c r="A127" s="2" t="s">
        <v>80</v>
      </c>
      <c r="B127" s="3" t="s">
        <v>449</v>
      </c>
      <c r="C127" s="10" t="s">
        <v>97</v>
      </c>
      <c r="D127" s="23">
        <v>5500000000</v>
      </c>
      <c r="E127" s="18" t="s">
        <v>143</v>
      </c>
      <c r="F127" s="10" t="s">
        <v>80</v>
      </c>
      <c r="G127" s="10" t="s">
        <v>167</v>
      </c>
      <c r="H127" s="10" t="s">
        <v>445</v>
      </c>
    </row>
    <row r="128" spans="1:8" ht="27" customHeight="1" x14ac:dyDescent="0.2">
      <c r="A128" s="2" t="s">
        <v>83</v>
      </c>
      <c r="B128" s="3" t="s">
        <v>450</v>
      </c>
      <c r="C128" s="10" t="s">
        <v>97</v>
      </c>
      <c r="D128" s="23">
        <v>10500000000</v>
      </c>
      <c r="E128" s="18" t="s">
        <v>143</v>
      </c>
      <c r="F128" s="10" t="s">
        <v>83</v>
      </c>
      <c r="G128" s="10" t="s">
        <v>167</v>
      </c>
      <c r="H128" s="3" t="s">
        <v>451</v>
      </c>
    </row>
    <row r="129" spans="1:8" ht="27" customHeight="1" x14ac:dyDescent="0.2">
      <c r="A129" s="2" t="s">
        <v>85</v>
      </c>
      <c r="B129" s="3" t="s">
        <v>452</v>
      </c>
      <c r="C129" s="10" t="s">
        <v>110</v>
      </c>
      <c r="D129" s="23">
        <v>15500000000</v>
      </c>
      <c r="E129" s="18" t="s">
        <v>143</v>
      </c>
      <c r="F129" s="10" t="s">
        <v>85</v>
      </c>
      <c r="G129" s="10" t="s">
        <v>167</v>
      </c>
      <c r="H129" s="3" t="s">
        <v>453</v>
      </c>
    </row>
    <row r="130" spans="1:8" ht="15" customHeight="1" x14ac:dyDescent="0.2">
      <c r="A130" s="2" t="s">
        <v>454</v>
      </c>
      <c r="B130" s="3" t="s">
        <v>455</v>
      </c>
      <c r="C130" s="10" t="s">
        <v>97</v>
      </c>
      <c r="D130" s="23">
        <v>30600000000</v>
      </c>
      <c r="E130" s="18" t="s">
        <v>143</v>
      </c>
      <c r="F130" s="10" t="s">
        <v>454</v>
      </c>
      <c r="G130" s="10" t="s">
        <v>167</v>
      </c>
      <c r="H130" s="10" t="s">
        <v>456</v>
      </c>
    </row>
    <row r="131" spans="1:8" ht="51" customHeight="1" x14ac:dyDescent="0.2">
      <c r="A131" s="2" t="s">
        <v>457</v>
      </c>
      <c r="B131" s="3" t="s">
        <v>458</v>
      </c>
      <c r="C131" s="10" t="s">
        <v>97</v>
      </c>
      <c r="D131" s="23">
        <v>30300000000</v>
      </c>
      <c r="E131" s="18" t="s">
        <v>143</v>
      </c>
      <c r="F131" s="10" t="s">
        <v>457</v>
      </c>
      <c r="G131" s="10" t="s">
        <v>167</v>
      </c>
      <c r="H131" s="3" t="s">
        <v>435</v>
      </c>
    </row>
    <row r="132" spans="1:8" ht="15" customHeight="1" x14ac:dyDescent="0.2">
      <c r="A132" s="2" t="s">
        <v>459</v>
      </c>
      <c r="B132" s="3" t="s">
        <v>460</v>
      </c>
      <c r="C132" s="10" t="s">
        <v>97</v>
      </c>
      <c r="D132" s="23">
        <v>30400000000</v>
      </c>
      <c r="E132" s="18" t="s">
        <v>143</v>
      </c>
      <c r="F132" s="10" t="s">
        <v>461</v>
      </c>
      <c r="G132" s="10" t="s">
        <v>167</v>
      </c>
      <c r="H132" s="3" t="s">
        <v>462</v>
      </c>
    </row>
    <row r="133" spans="1:8" ht="27" customHeight="1" x14ac:dyDescent="0.2">
      <c r="A133" s="2" t="s">
        <v>463</v>
      </c>
      <c r="B133" s="3" t="s">
        <v>464</v>
      </c>
      <c r="C133" s="10" t="s">
        <v>110</v>
      </c>
      <c r="D133" s="23">
        <v>43100000000</v>
      </c>
      <c r="E133" s="18" t="s">
        <v>143</v>
      </c>
      <c r="F133" s="10" t="s">
        <v>463</v>
      </c>
      <c r="G133" s="10" t="s">
        <v>167</v>
      </c>
      <c r="H133" s="3" t="s">
        <v>465</v>
      </c>
    </row>
    <row r="134" spans="1:8" ht="39" customHeight="1" x14ac:dyDescent="0.2">
      <c r="A134" s="2" t="s">
        <v>466</v>
      </c>
      <c r="B134" s="3" t="s">
        <v>467</v>
      </c>
      <c r="C134" s="10" t="s">
        <v>110</v>
      </c>
      <c r="D134" s="23">
        <v>30000000000</v>
      </c>
      <c r="E134" s="18" t="s">
        <v>143</v>
      </c>
      <c r="F134" s="10" t="s">
        <v>466</v>
      </c>
      <c r="G134" s="10" t="s">
        <v>167</v>
      </c>
      <c r="H134" s="3" t="s">
        <v>468</v>
      </c>
    </row>
    <row r="135" spans="1:8" ht="39" customHeight="1" x14ac:dyDescent="0.2">
      <c r="A135" s="2" t="s">
        <v>469</v>
      </c>
      <c r="B135" s="3" t="s">
        <v>470</v>
      </c>
      <c r="C135" s="10" t="s">
        <v>97</v>
      </c>
      <c r="D135" s="23">
        <v>20000000000</v>
      </c>
      <c r="E135" s="18" t="s">
        <v>143</v>
      </c>
      <c r="F135" s="10" t="s">
        <v>469</v>
      </c>
      <c r="G135" s="10" t="s">
        <v>167</v>
      </c>
      <c r="H135" s="3" t="s">
        <v>471</v>
      </c>
    </row>
    <row r="136" spans="1:8" ht="27" customHeight="1" x14ac:dyDescent="0.2">
      <c r="A136" s="2" t="s">
        <v>472</v>
      </c>
      <c r="B136" s="3" t="s">
        <v>473</v>
      </c>
      <c r="C136" s="10" t="s">
        <v>97</v>
      </c>
      <c r="D136" s="23">
        <v>25000000000</v>
      </c>
      <c r="E136" s="18" t="s">
        <v>143</v>
      </c>
      <c r="F136" s="10" t="s">
        <v>469</v>
      </c>
      <c r="G136" s="10" t="s">
        <v>167</v>
      </c>
      <c r="H136" s="3" t="s">
        <v>474</v>
      </c>
    </row>
    <row r="137" spans="1:8" ht="51" customHeight="1" x14ac:dyDescent="0.2">
      <c r="A137" s="2" t="s">
        <v>475</v>
      </c>
      <c r="B137" s="3" t="s">
        <v>476</v>
      </c>
      <c r="C137" s="3" t="s">
        <v>477</v>
      </c>
      <c r="D137" s="19">
        <v>50</v>
      </c>
      <c r="E137" s="18" t="s">
        <v>143</v>
      </c>
      <c r="F137" s="10" t="s">
        <v>478</v>
      </c>
      <c r="G137" s="10" t="s">
        <v>167</v>
      </c>
      <c r="H137" s="10" t="s">
        <v>479</v>
      </c>
    </row>
    <row r="138" spans="1:8" ht="15" customHeight="1" x14ac:dyDescent="0.2">
      <c r="A138" s="2" t="s">
        <v>480</v>
      </c>
      <c r="B138" s="3" t="s">
        <v>481</v>
      </c>
      <c r="C138" s="10" t="s">
        <v>67</v>
      </c>
      <c r="D138" s="19">
        <v>230</v>
      </c>
      <c r="E138" s="18" t="s">
        <v>143</v>
      </c>
      <c r="F138" s="10" t="s">
        <v>482</v>
      </c>
      <c r="G138" s="10" t="s">
        <v>167</v>
      </c>
      <c r="H138" s="3" t="s">
        <v>483</v>
      </c>
    </row>
    <row r="139" spans="1:8" ht="39" customHeight="1" x14ac:dyDescent="0.2">
      <c r="A139" s="2" t="s">
        <v>484</v>
      </c>
      <c r="B139" s="3" t="s">
        <v>485</v>
      </c>
      <c r="C139" s="10" t="s">
        <v>430</v>
      </c>
      <c r="D139" s="19">
        <v>145</v>
      </c>
      <c r="E139" s="18" t="s">
        <v>143</v>
      </c>
      <c r="F139" s="10" t="s">
        <v>484</v>
      </c>
      <c r="G139" s="10" t="s">
        <v>167</v>
      </c>
      <c r="H139" s="10" t="s">
        <v>486</v>
      </c>
    </row>
    <row r="140" spans="1:8" ht="15" customHeight="1" x14ac:dyDescent="0.2">
      <c r="A140" s="2" t="s">
        <v>487</v>
      </c>
      <c r="B140" s="10" t="s">
        <v>488</v>
      </c>
      <c r="C140" s="10" t="s">
        <v>104</v>
      </c>
      <c r="D140" s="20">
        <v>0.5</v>
      </c>
      <c r="E140" s="18" t="s">
        <v>143</v>
      </c>
      <c r="F140" s="10"/>
      <c r="G140" s="10" t="s">
        <v>162</v>
      </c>
      <c r="H140" s="10"/>
    </row>
    <row r="141" spans="1:8" ht="15" customHeight="1" x14ac:dyDescent="0.2">
      <c r="A141" s="2" t="s">
        <v>489</v>
      </c>
      <c r="B141" s="10" t="s">
        <v>488</v>
      </c>
      <c r="C141" s="10" t="s">
        <v>104</v>
      </c>
      <c r="D141" s="20">
        <v>0.59</v>
      </c>
      <c r="E141" s="18" t="s">
        <v>143</v>
      </c>
      <c r="F141" s="10"/>
      <c r="G141" s="10" t="s">
        <v>162</v>
      </c>
      <c r="H141" s="10"/>
    </row>
    <row r="142" spans="1:8" ht="15" customHeight="1" x14ac:dyDescent="0.2">
      <c r="A142" s="2" t="s">
        <v>490</v>
      </c>
      <c r="B142" s="10" t="s">
        <v>488</v>
      </c>
      <c r="C142" s="10" t="s">
        <v>104</v>
      </c>
      <c r="D142" s="20">
        <v>0.6</v>
      </c>
      <c r="E142" s="18" t="s">
        <v>143</v>
      </c>
      <c r="F142" s="10"/>
      <c r="G142" s="10" t="s">
        <v>162</v>
      </c>
      <c r="H142" s="10"/>
    </row>
    <row r="143" spans="1:8" ht="15" customHeight="1" x14ac:dyDescent="0.2">
      <c r="A143" s="2" t="s">
        <v>491</v>
      </c>
      <c r="B143" s="10" t="s">
        <v>488</v>
      </c>
      <c r="C143" s="10" t="s">
        <v>104</v>
      </c>
      <c r="D143" s="20">
        <v>0.7</v>
      </c>
      <c r="E143" s="18" t="s">
        <v>143</v>
      </c>
      <c r="F143" s="10"/>
      <c r="G143" s="10" t="s">
        <v>162</v>
      </c>
      <c r="H143" s="10"/>
    </row>
    <row r="144" spans="1:8" ht="15" customHeight="1" x14ac:dyDescent="0.2">
      <c r="A144" s="2" t="s">
        <v>492</v>
      </c>
      <c r="B144" s="10" t="s">
        <v>488</v>
      </c>
      <c r="C144" s="10" t="s">
        <v>104</v>
      </c>
      <c r="D144" s="20">
        <v>0.8</v>
      </c>
      <c r="E144" s="18" t="s">
        <v>143</v>
      </c>
      <c r="F144" s="10"/>
      <c r="G144" s="10" t="s">
        <v>162</v>
      </c>
      <c r="H144" s="10"/>
    </row>
    <row r="145" spans="1:8" ht="15" customHeight="1" x14ac:dyDescent="0.2">
      <c r="A145" s="2" t="s">
        <v>493</v>
      </c>
      <c r="B145" s="10" t="s">
        <v>488</v>
      </c>
      <c r="C145" s="10" t="s">
        <v>104</v>
      </c>
      <c r="D145" s="20">
        <v>0.91</v>
      </c>
      <c r="E145" s="18" t="s">
        <v>143</v>
      </c>
      <c r="F145" s="10"/>
      <c r="G145" s="10" t="s">
        <v>162</v>
      </c>
      <c r="H145" s="10"/>
    </row>
    <row r="146" spans="1:8" ht="15" customHeight="1" x14ac:dyDescent="0.2">
      <c r="A146" s="2" t="s">
        <v>494</v>
      </c>
      <c r="B146" s="10" t="s">
        <v>495</v>
      </c>
      <c r="C146" s="10" t="s">
        <v>104</v>
      </c>
      <c r="D146" s="20">
        <v>0.08</v>
      </c>
      <c r="E146" s="18" t="s">
        <v>143</v>
      </c>
      <c r="F146" s="10"/>
      <c r="G146" s="10" t="s">
        <v>162</v>
      </c>
      <c r="H146" s="10"/>
    </row>
    <row r="147" spans="1:8" ht="15" customHeight="1" x14ac:dyDescent="0.2">
      <c r="A147" s="2" t="s">
        <v>496</v>
      </c>
      <c r="B147" s="10" t="s">
        <v>495</v>
      </c>
      <c r="C147" s="10" t="s">
        <v>104</v>
      </c>
      <c r="D147" s="20">
        <v>0.1</v>
      </c>
      <c r="E147" s="18" t="s">
        <v>143</v>
      </c>
      <c r="F147" s="10"/>
      <c r="G147" s="10" t="s">
        <v>162</v>
      </c>
      <c r="H147" s="10"/>
    </row>
    <row r="148" spans="1:8" ht="15" customHeight="1" x14ac:dyDescent="0.2">
      <c r="A148" s="2" t="s">
        <v>497</v>
      </c>
      <c r="B148" s="10" t="s">
        <v>495</v>
      </c>
      <c r="C148" s="10" t="s">
        <v>104</v>
      </c>
      <c r="D148" s="20">
        <v>0.12</v>
      </c>
      <c r="E148" s="18" t="s">
        <v>143</v>
      </c>
      <c r="F148" s="10"/>
      <c r="G148" s="10" t="s">
        <v>162</v>
      </c>
      <c r="H148" s="10"/>
    </row>
    <row r="149" spans="1:8" ht="15" customHeight="1" x14ac:dyDescent="0.2">
      <c r="A149" s="2" t="s">
        <v>498</v>
      </c>
      <c r="B149" s="10" t="s">
        <v>495</v>
      </c>
      <c r="C149" s="10" t="s">
        <v>104</v>
      </c>
      <c r="D149" s="20">
        <v>0.14000000000000001</v>
      </c>
      <c r="E149" s="18" t="s">
        <v>143</v>
      </c>
      <c r="F149" s="10"/>
      <c r="G149" s="10" t="s">
        <v>162</v>
      </c>
      <c r="H149" s="10"/>
    </row>
    <row r="150" spans="1:8" ht="15" customHeight="1" x14ac:dyDescent="0.2">
      <c r="A150" s="2" t="s">
        <v>499</v>
      </c>
      <c r="B150" s="3" t="s">
        <v>500</v>
      </c>
      <c r="C150" s="10" t="s">
        <v>195</v>
      </c>
      <c r="D150" s="24">
        <v>1600</v>
      </c>
      <c r="E150" s="18" t="s">
        <v>143</v>
      </c>
      <c r="F150" s="10" t="s">
        <v>501</v>
      </c>
      <c r="G150" s="10" t="s">
        <v>162</v>
      </c>
      <c r="H150" s="10"/>
    </row>
    <row r="151" spans="1:8" ht="39" customHeight="1" x14ac:dyDescent="0.2">
      <c r="A151" s="2" t="s">
        <v>502</v>
      </c>
      <c r="B151" s="3" t="s">
        <v>503</v>
      </c>
      <c r="C151" s="3" t="s">
        <v>504</v>
      </c>
      <c r="D151" s="23">
        <v>77000000</v>
      </c>
      <c r="E151" s="18" t="s">
        <v>143</v>
      </c>
      <c r="F151" s="10" t="s">
        <v>502</v>
      </c>
      <c r="G151" s="10" t="s">
        <v>167</v>
      </c>
      <c r="H151" s="10" t="s">
        <v>505</v>
      </c>
    </row>
    <row r="152" spans="1:8" ht="51" customHeight="1" x14ac:dyDescent="0.2">
      <c r="A152" s="2" t="s">
        <v>506</v>
      </c>
      <c r="B152" s="3" t="s">
        <v>507</v>
      </c>
      <c r="C152" s="10" t="s">
        <v>508</v>
      </c>
      <c r="D152" s="23">
        <v>77000000</v>
      </c>
      <c r="E152" s="18" t="s">
        <v>143</v>
      </c>
      <c r="F152" s="10" t="s">
        <v>506</v>
      </c>
      <c r="G152" s="10" t="s">
        <v>167</v>
      </c>
      <c r="H152" s="3" t="s">
        <v>509</v>
      </c>
    </row>
    <row r="153" spans="1:8" ht="27" customHeight="1" x14ac:dyDescent="0.2">
      <c r="A153" s="2" t="s">
        <v>510</v>
      </c>
      <c r="B153" s="3" t="s">
        <v>511</v>
      </c>
      <c r="C153" s="10" t="s">
        <v>512</v>
      </c>
      <c r="D153" s="19">
        <v>2.59</v>
      </c>
      <c r="E153" s="18" t="s">
        <v>143</v>
      </c>
      <c r="F153" s="10" t="s">
        <v>510</v>
      </c>
      <c r="G153" s="10" t="s">
        <v>167</v>
      </c>
      <c r="H153" s="10" t="s">
        <v>513</v>
      </c>
    </row>
    <row r="154" spans="1:8" ht="39" customHeight="1" x14ac:dyDescent="0.2">
      <c r="A154" s="2" t="s">
        <v>514</v>
      </c>
      <c r="B154" s="3" t="s">
        <v>515</v>
      </c>
      <c r="C154" s="10" t="s">
        <v>512</v>
      </c>
      <c r="D154" s="19">
        <v>3.4</v>
      </c>
      <c r="E154" s="18" t="s">
        <v>143</v>
      </c>
      <c r="F154" s="10" t="s">
        <v>514</v>
      </c>
      <c r="G154" s="10" t="s">
        <v>167</v>
      </c>
      <c r="H154" s="10" t="s">
        <v>516</v>
      </c>
    </row>
    <row r="155" spans="1:8" ht="27" customHeight="1" x14ac:dyDescent="0.2">
      <c r="A155" s="2" t="s">
        <v>102</v>
      </c>
      <c r="B155" s="3" t="s">
        <v>517</v>
      </c>
      <c r="C155" s="10" t="s">
        <v>97</v>
      </c>
      <c r="D155" s="23">
        <v>50800000</v>
      </c>
      <c r="E155" s="18" t="s">
        <v>143</v>
      </c>
      <c r="F155" s="10" t="s">
        <v>102</v>
      </c>
      <c r="G155" s="10" t="s">
        <v>167</v>
      </c>
      <c r="H155" s="3" t="s">
        <v>518</v>
      </c>
    </row>
    <row r="156" spans="1:8" ht="27" customHeight="1" x14ac:dyDescent="0.2">
      <c r="A156" s="2" t="s">
        <v>519</v>
      </c>
      <c r="B156" s="3" t="s">
        <v>520</v>
      </c>
      <c r="C156" s="10" t="s">
        <v>97</v>
      </c>
      <c r="D156" s="23">
        <v>68200000</v>
      </c>
      <c r="E156" s="18" t="s">
        <v>143</v>
      </c>
      <c r="F156" s="10" t="s">
        <v>519</v>
      </c>
      <c r="G156" s="10" t="s">
        <v>167</v>
      </c>
      <c r="H156" s="3" t="s">
        <v>521</v>
      </c>
    </row>
    <row r="157" spans="1:8" ht="27" customHeight="1" x14ac:dyDescent="0.2">
      <c r="A157" s="2" t="s">
        <v>100</v>
      </c>
      <c r="B157" s="3" t="s">
        <v>522</v>
      </c>
      <c r="C157" s="10" t="s">
        <v>97</v>
      </c>
      <c r="D157" s="23">
        <v>5800000000</v>
      </c>
      <c r="E157" s="18" t="s">
        <v>143</v>
      </c>
      <c r="F157" s="10" t="s">
        <v>100</v>
      </c>
      <c r="G157" s="10" t="s">
        <v>167</v>
      </c>
      <c r="H157" s="3" t="s">
        <v>523</v>
      </c>
    </row>
    <row r="158" spans="1:8" ht="15" customHeight="1" x14ac:dyDescent="0.2">
      <c r="A158" s="2" t="s">
        <v>98</v>
      </c>
      <c r="B158" s="3" t="s">
        <v>524</v>
      </c>
      <c r="C158" s="10" t="s">
        <v>97</v>
      </c>
      <c r="D158" s="23">
        <v>12900000000</v>
      </c>
      <c r="E158" s="18" t="s">
        <v>143</v>
      </c>
      <c r="F158" s="10" t="s">
        <v>98</v>
      </c>
      <c r="G158" s="10" t="s">
        <v>167</v>
      </c>
      <c r="H158" s="3" t="s">
        <v>525</v>
      </c>
    </row>
    <row r="159" spans="1:8" ht="39" customHeight="1" x14ac:dyDescent="0.2">
      <c r="A159" s="2" t="s">
        <v>526</v>
      </c>
      <c r="B159" s="3" t="s">
        <v>527</v>
      </c>
      <c r="C159" s="10" t="s">
        <v>97</v>
      </c>
      <c r="D159" s="23">
        <v>5820000000</v>
      </c>
      <c r="E159" s="18" t="s">
        <v>143</v>
      </c>
      <c r="F159" s="10" t="s">
        <v>526</v>
      </c>
      <c r="G159" s="10" t="s">
        <v>167</v>
      </c>
      <c r="H159" s="3" t="s">
        <v>528</v>
      </c>
    </row>
    <row r="160" spans="1:8" ht="27" customHeight="1" x14ac:dyDescent="0.2">
      <c r="A160" s="2" t="s">
        <v>529</v>
      </c>
      <c r="B160" s="3" t="s">
        <v>530</v>
      </c>
      <c r="C160" s="10" t="s">
        <v>97</v>
      </c>
      <c r="D160" s="23">
        <v>72800000000</v>
      </c>
      <c r="E160" s="18" t="s">
        <v>143</v>
      </c>
      <c r="F160" s="10" t="s">
        <v>529</v>
      </c>
      <c r="G160" s="10" t="s">
        <v>167</v>
      </c>
      <c r="H160" s="3" t="s">
        <v>531</v>
      </c>
    </row>
    <row r="161" spans="1:8" ht="15" customHeight="1" x14ac:dyDescent="0.2">
      <c r="A161" s="2" t="s">
        <v>532</v>
      </c>
      <c r="B161" s="10" t="s">
        <v>533</v>
      </c>
      <c r="C161" s="10" t="s">
        <v>104</v>
      </c>
      <c r="D161" s="20">
        <v>0.4</v>
      </c>
      <c r="E161" s="18" t="s">
        <v>143</v>
      </c>
      <c r="F161" s="10"/>
      <c r="G161" s="10" t="s">
        <v>162</v>
      </c>
      <c r="H161" s="10"/>
    </row>
    <row r="162" spans="1:8" ht="15" customHeight="1" x14ac:dyDescent="0.2">
      <c r="A162" s="2" t="s">
        <v>534</v>
      </c>
      <c r="B162" s="10" t="s">
        <v>533</v>
      </c>
      <c r="C162" s="10" t="s">
        <v>104</v>
      </c>
      <c r="D162" s="20">
        <v>0.6</v>
      </c>
      <c r="E162" s="18" t="s">
        <v>143</v>
      </c>
      <c r="F162" s="10"/>
      <c r="G162" s="10" t="s">
        <v>162</v>
      </c>
      <c r="H162" s="10"/>
    </row>
    <row r="163" spans="1:8" ht="15" customHeight="1" x14ac:dyDescent="0.2">
      <c r="A163" s="2" t="s">
        <v>535</v>
      </c>
      <c r="B163" s="10" t="s">
        <v>533</v>
      </c>
      <c r="C163" s="10" t="s">
        <v>104</v>
      </c>
      <c r="D163" s="20">
        <v>0.8</v>
      </c>
      <c r="E163" s="18" t="s">
        <v>143</v>
      </c>
      <c r="F163" s="10"/>
      <c r="G163" s="10" t="s">
        <v>162</v>
      </c>
      <c r="H163" s="10"/>
    </row>
    <row r="164" spans="1:8" ht="15" customHeight="1" x14ac:dyDescent="0.2">
      <c r="A164" s="2" t="s">
        <v>536</v>
      </c>
      <c r="B164" s="10" t="s">
        <v>533</v>
      </c>
      <c r="C164" s="10" t="s">
        <v>104</v>
      </c>
      <c r="D164" s="20">
        <v>1</v>
      </c>
      <c r="E164" s="18" t="s">
        <v>143</v>
      </c>
      <c r="F164" s="10"/>
      <c r="G164" s="10" t="s">
        <v>162</v>
      </c>
      <c r="H164" s="10"/>
    </row>
    <row r="165" spans="1:8" ht="15" customHeight="1" x14ac:dyDescent="0.2">
      <c r="A165" s="2" t="s">
        <v>537</v>
      </c>
      <c r="B165" s="10" t="s">
        <v>538</v>
      </c>
      <c r="C165" s="10" t="s">
        <v>539</v>
      </c>
      <c r="D165" s="20">
        <v>0.6</v>
      </c>
      <c r="E165" s="18" t="s">
        <v>143</v>
      </c>
      <c r="F165" s="10"/>
      <c r="G165" s="10" t="s">
        <v>162</v>
      </c>
      <c r="H165" s="10"/>
    </row>
    <row r="166" spans="1:8" ht="15" customHeight="1" x14ac:dyDescent="0.2">
      <c r="A166" s="2" t="s">
        <v>540</v>
      </c>
      <c r="B166" s="10" t="s">
        <v>538</v>
      </c>
      <c r="C166" s="10" t="s">
        <v>539</v>
      </c>
      <c r="D166" s="20">
        <v>0.8</v>
      </c>
      <c r="E166" s="18" t="s">
        <v>143</v>
      </c>
      <c r="F166" s="10"/>
      <c r="G166" s="10" t="s">
        <v>162</v>
      </c>
      <c r="H166" s="10"/>
    </row>
    <row r="167" spans="1:8" ht="15" customHeight="1" x14ac:dyDescent="0.2">
      <c r="A167" s="2" t="s">
        <v>541</v>
      </c>
      <c r="B167" s="10" t="s">
        <v>538</v>
      </c>
      <c r="C167" s="10" t="s">
        <v>539</v>
      </c>
      <c r="D167" s="20">
        <v>1</v>
      </c>
      <c r="E167" s="18" t="s">
        <v>143</v>
      </c>
      <c r="F167" s="10"/>
      <c r="G167" s="10" t="s">
        <v>162</v>
      </c>
      <c r="H167" s="10"/>
    </row>
    <row r="168" spans="1:8" ht="15" customHeight="1" x14ac:dyDescent="0.2">
      <c r="A168" s="2" t="s">
        <v>542</v>
      </c>
      <c r="B168" s="10" t="s">
        <v>538</v>
      </c>
      <c r="C168" s="10" t="s">
        <v>539</v>
      </c>
      <c r="D168" s="20">
        <v>1.2</v>
      </c>
      <c r="E168" s="18" t="s">
        <v>143</v>
      </c>
      <c r="F168" s="10"/>
      <c r="G168" s="10" t="s">
        <v>162</v>
      </c>
      <c r="H168" s="10"/>
    </row>
    <row r="169" spans="1:8" ht="15" customHeight="1" x14ac:dyDescent="0.2">
      <c r="A169" s="2" t="s">
        <v>543</v>
      </c>
      <c r="B169" s="10" t="s">
        <v>544</v>
      </c>
      <c r="C169" s="10" t="s">
        <v>104</v>
      </c>
      <c r="D169" s="20">
        <v>0.6</v>
      </c>
      <c r="E169" s="18" t="s">
        <v>143</v>
      </c>
      <c r="F169" s="10"/>
      <c r="G169" s="10" t="s">
        <v>162</v>
      </c>
      <c r="H169" s="10"/>
    </row>
    <row r="170" spans="1:8" ht="15" customHeight="1" x14ac:dyDescent="0.2">
      <c r="A170" s="2" t="s">
        <v>545</v>
      </c>
      <c r="B170" s="10" t="s">
        <v>544</v>
      </c>
      <c r="C170" s="10" t="s">
        <v>104</v>
      </c>
      <c r="D170" s="20">
        <v>0.8</v>
      </c>
      <c r="E170" s="18" t="s">
        <v>143</v>
      </c>
      <c r="F170" s="10"/>
      <c r="G170" s="10" t="s">
        <v>162</v>
      </c>
      <c r="H170" s="10"/>
    </row>
    <row r="171" spans="1:8" ht="15" customHeight="1" x14ac:dyDescent="0.2">
      <c r="A171" s="2" t="s">
        <v>546</v>
      </c>
      <c r="B171" s="10" t="s">
        <v>544</v>
      </c>
      <c r="C171" s="10" t="s">
        <v>104</v>
      </c>
      <c r="D171" s="20">
        <v>1</v>
      </c>
      <c r="E171" s="18" t="s">
        <v>143</v>
      </c>
      <c r="F171" s="10"/>
      <c r="G171" s="10" t="s">
        <v>162</v>
      </c>
      <c r="H171" s="10"/>
    </row>
    <row r="172" spans="1:8" ht="15" customHeight="1" x14ac:dyDescent="0.2">
      <c r="A172" s="2" t="s">
        <v>547</v>
      </c>
      <c r="B172" s="10" t="s">
        <v>548</v>
      </c>
      <c r="C172" s="10" t="s">
        <v>107</v>
      </c>
      <c r="D172" s="24">
        <v>3</v>
      </c>
      <c r="E172" s="18" t="s">
        <v>143</v>
      </c>
      <c r="F172" s="10"/>
      <c r="G172" s="10" t="s">
        <v>162</v>
      </c>
      <c r="H172" s="10"/>
    </row>
    <row r="173" spans="1:8" ht="15" customHeight="1" x14ac:dyDescent="0.2">
      <c r="A173" s="2" t="s">
        <v>549</v>
      </c>
      <c r="B173" s="10" t="s">
        <v>548</v>
      </c>
      <c r="C173" s="10" t="s">
        <v>107</v>
      </c>
      <c r="D173" s="24">
        <v>4</v>
      </c>
      <c r="E173" s="18" t="s">
        <v>143</v>
      </c>
      <c r="F173" s="10"/>
      <c r="G173" s="10" t="s">
        <v>162</v>
      </c>
      <c r="H173" s="10"/>
    </row>
    <row r="174" spans="1:8" ht="15" customHeight="1" x14ac:dyDescent="0.2">
      <c r="A174" s="2" t="s">
        <v>550</v>
      </c>
      <c r="B174" s="10" t="s">
        <v>548</v>
      </c>
      <c r="C174" s="10" t="s">
        <v>107</v>
      </c>
      <c r="D174" s="24">
        <v>5</v>
      </c>
      <c r="E174" s="18" t="s">
        <v>143</v>
      </c>
      <c r="F174" s="10"/>
      <c r="G174" s="10" t="s">
        <v>162</v>
      </c>
      <c r="H174" s="10"/>
    </row>
    <row r="175" spans="1:8" ht="15" customHeight="1" x14ac:dyDescent="0.2">
      <c r="A175" s="2" t="s">
        <v>551</v>
      </c>
      <c r="B175" s="10" t="s">
        <v>548</v>
      </c>
      <c r="C175" s="10" t="s">
        <v>107</v>
      </c>
      <c r="D175" s="24">
        <v>6</v>
      </c>
      <c r="E175" s="18" t="s">
        <v>143</v>
      </c>
      <c r="F175" s="10"/>
      <c r="G175" s="10" t="s">
        <v>162</v>
      </c>
      <c r="H175" s="10"/>
    </row>
    <row r="176" spans="1:8" ht="15" customHeight="1" x14ac:dyDescent="0.2">
      <c r="A176" s="2" t="s">
        <v>552</v>
      </c>
      <c r="B176" s="3" t="s">
        <v>553</v>
      </c>
      <c r="C176" s="10" t="s">
        <v>107</v>
      </c>
      <c r="D176" s="24">
        <v>4</v>
      </c>
      <c r="E176" s="18" t="s">
        <v>143</v>
      </c>
      <c r="F176" s="10"/>
      <c r="G176" s="10" t="s">
        <v>144</v>
      </c>
      <c r="H176" s="10"/>
    </row>
    <row r="177" spans="1:8" ht="15" customHeight="1" x14ac:dyDescent="0.2">
      <c r="A177" s="2" t="s">
        <v>554</v>
      </c>
      <c r="B177" s="3" t="s">
        <v>555</v>
      </c>
      <c r="C177" s="10" t="s">
        <v>107</v>
      </c>
      <c r="D177" s="24">
        <v>5</v>
      </c>
      <c r="E177" s="18" t="s">
        <v>143</v>
      </c>
      <c r="F177" s="10"/>
      <c r="G177" s="10" t="s">
        <v>144</v>
      </c>
      <c r="H177" s="10"/>
    </row>
    <row r="178" spans="1:8" ht="15" customHeight="1" x14ac:dyDescent="0.2">
      <c r="A178" s="2" t="s">
        <v>556</v>
      </c>
      <c r="B178" s="3" t="s">
        <v>557</v>
      </c>
      <c r="C178" s="10" t="s">
        <v>107</v>
      </c>
      <c r="D178" s="24">
        <v>6</v>
      </c>
      <c r="E178" s="18" t="s">
        <v>143</v>
      </c>
      <c r="F178" s="10"/>
      <c r="G178" s="10" t="s">
        <v>144</v>
      </c>
      <c r="H178" s="10"/>
    </row>
    <row r="179" spans="1:8" ht="39" customHeight="1" x14ac:dyDescent="0.2">
      <c r="A179" s="2" t="s">
        <v>558</v>
      </c>
      <c r="B179" s="3" t="s">
        <v>559</v>
      </c>
      <c r="C179" s="10" t="s">
        <v>110</v>
      </c>
      <c r="D179" s="23">
        <v>330000000</v>
      </c>
      <c r="E179" s="18" t="s">
        <v>143</v>
      </c>
      <c r="F179" s="10" t="s">
        <v>560</v>
      </c>
      <c r="G179" s="10" t="s">
        <v>167</v>
      </c>
      <c r="H179" s="10" t="s">
        <v>561</v>
      </c>
    </row>
    <row r="180" spans="1:8" ht="39" customHeight="1" x14ac:dyDescent="0.2">
      <c r="A180" s="2" t="s">
        <v>562</v>
      </c>
      <c r="B180" s="3" t="s">
        <v>563</v>
      </c>
      <c r="C180" s="10" t="s">
        <v>110</v>
      </c>
      <c r="D180" s="23">
        <v>500000000</v>
      </c>
      <c r="E180" s="18" t="s">
        <v>143</v>
      </c>
      <c r="F180" s="10" t="s">
        <v>564</v>
      </c>
      <c r="G180" s="10" t="s">
        <v>167</v>
      </c>
      <c r="H180" s="10" t="s">
        <v>565</v>
      </c>
    </row>
    <row r="181" spans="1:8" ht="51" customHeight="1" x14ac:dyDescent="0.2">
      <c r="A181" s="2" t="s">
        <v>566</v>
      </c>
      <c r="B181" s="3" t="s">
        <v>567</v>
      </c>
      <c r="C181" s="10" t="s">
        <v>110</v>
      </c>
      <c r="D181" s="23">
        <v>110000000</v>
      </c>
      <c r="E181" s="18" t="s">
        <v>143</v>
      </c>
      <c r="F181" s="10" t="s">
        <v>568</v>
      </c>
      <c r="G181" s="10" t="s">
        <v>167</v>
      </c>
      <c r="H181" s="3" t="s">
        <v>569</v>
      </c>
    </row>
    <row r="182" spans="1:8" ht="39" customHeight="1" x14ac:dyDescent="0.2">
      <c r="A182" s="2" t="s">
        <v>570</v>
      </c>
      <c r="B182" s="3" t="s">
        <v>571</v>
      </c>
      <c r="C182" s="10" t="s">
        <v>97</v>
      </c>
      <c r="D182" s="23">
        <v>505000000</v>
      </c>
      <c r="E182" s="18" t="s">
        <v>143</v>
      </c>
      <c r="F182" s="10" t="s">
        <v>572</v>
      </c>
      <c r="G182" s="10" t="s">
        <v>167</v>
      </c>
      <c r="H182" s="3" t="s">
        <v>573</v>
      </c>
    </row>
    <row r="183" spans="1:8" ht="39" customHeight="1" x14ac:dyDescent="0.2">
      <c r="A183" s="2" t="s">
        <v>574</v>
      </c>
      <c r="B183" s="3" t="s">
        <v>575</v>
      </c>
      <c r="C183" s="10" t="s">
        <v>97</v>
      </c>
      <c r="D183" s="23">
        <v>2000000000</v>
      </c>
      <c r="E183" s="18" t="s">
        <v>143</v>
      </c>
      <c r="F183" s="10" t="s">
        <v>576</v>
      </c>
      <c r="G183" s="10" t="s">
        <v>167</v>
      </c>
      <c r="H183" s="3" t="s">
        <v>577</v>
      </c>
    </row>
    <row r="184" spans="1:8" ht="27" customHeight="1" x14ac:dyDescent="0.2">
      <c r="A184" s="2" t="s">
        <v>578</v>
      </c>
      <c r="B184" s="3" t="s">
        <v>579</v>
      </c>
      <c r="C184" s="10" t="s">
        <v>97</v>
      </c>
      <c r="D184" s="23">
        <v>1350000000</v>
      </c>
      <c r="E184" s="18" t="s">
        <v>143</v>
      </c>
      <c r="F184" s="10" t="s">
        <v>572</v>
      </c>
      <c r="G184" s="10" t="s">
        <v>167</v>
      </c>
      <c r="H184" s="3" t="s">
        <v>580</v>
      </c>
    </row>
    <row r="185" spans="1:8" ht="15" customHeight="1" x14ac:dyDescent="0.2">
      <c r="A185" s="2" t="s">
        <v>581</v>
      </c>
      <c r="B185" s="3" t="s">
        <v>582</v>
      </c>
      <c r="C185" s="10" t="s">
        <v>110</v>
      </c>
      <c r="D185" s="23">
        <v>73300000000</v>
      </c>
      <c r="E185" s="18" t="s">
        <v>143</v>
      </c>
      <c r="F185" s="10" t="s">
        <v>501</v>
      </c>
      <c r="G185" s="10" t="s">
        <v>167</v>
      </c>
      <c r="H185" s="3" t="s">
        <v>583</v>
      </c>
    </row>
    <row r="186" spans="1:8" ht="39" customHeight="1" x14ac:dyDescent="0.2">
      <c r="A186" s="2" t="s">
        <v>584</v>
      </c>
      <c r="B186" s="3" t="s">
        <v>585</v>
      </c>
      <c r="C186" s="10" t="s">
        <v>110</v>
      </c>
      <c r="D186" s="23">
        <v>100000000</v>
      </c>
      <c r="E186" s="18" t="s">
        <v>143</v>
      </c>
      <c r="F186" s="10" t="s">
        <v>584</v>
      </c>
      <c r="G186" s="10" t="s">
        <v>167</v>
      </c>
      <c r="H186" s="10" t="s">
        <v>586</v>
      </c>
    </row>
    <row r="187" spans="1:8" ht="39" customHeight="1" x14ac:dyDescent="0.2">
      <c r="A187" s="2" t="s">
        <v>587</v>
      </c>
      <c r="B187" s="3" t="s">
        <v>588</v>
      </c>
      <c r="C187" s="10" t="s">
        <v>199</v>
      </c>
      <c r="D187" s="24">
        <v>40</v>
      </c>
      <c r="E187" s="18" t="s">
        <v>143</v>
      </c>
      <c r="F187" s="10" t="s">
        <v>587</v>
      </c>
      <c r="G187" s="10" t="s">
        <v>167</v>
      </c>
      <c r="H187" s="3" t="s">
        <v>589</v>
      </c>
    </row>
    <row r="188" spans="1:8" ht="39" customHeight="1" x14ac:dyDescent="0.2">
      <c r="A188" s="2" t="s">
        <v>590</v>
      </c>
      <c r="B188" s="3" t="s">
        <v>591</v>
      </c>
      <c r="C188" s="10" t="s">
        <v>199</v>
      </c>
      <c r="D188" s="24">
        <v>42</v>
      </c>
      <c r="E188" s="18" t="s">
        <v>143</v>
      </c>
      <c r="F188" s="10" t="s">
        <v>590</v>
      </c>
      <c r="G188" s="10" t="s">
        <v>167</v>
      </c>
      <c r="H188" s="10" t="s">
        <v>592</v>
      </c>
    </row>
    <row r="189" spans="1:8" ht="39" customHeight="1" x14ac:dyDescent="0.2">
      <c r="A189" s="2" t="s">
        <v>593</v>
      </c>
      <c r="B189" s="3" t="s">
        <v>594</v>
      </c>
      <c r="C189" s="10" t="s">
        <v>199</v>
      </c>
      <c r="D189" s="24">
        <v>3</v>
      </c>
      <c r="E189" s="18" t="s">
        <v>143</v>
      </c>
      <c r="F189" s="10" t="s">
        <v>593</v>
      </c>
      <c r="G189" s="10" t="s">
        <v>167</v>
      </c>
      <c r="H189" s="10" t="s">
        <v>277</v>
      </c>
    </row>
    <row r="190" spans="1:8" ht="27" customHeight="1" x14ac:dyDescent="0.2">
      <c r="A190" s="2" t="s">
        <v>595</v>
      </c>
      <c r="B190" s="3" t="s">
        <v>596</v>
      </c>
      <c r="C190" s="10" t="s">
        <v>199</v>
      </c>
      <c r="D190" s="24">
        <v>900</v>
      </c>
      <c r="E190" s="18" t="s">
        <v>143</v>
      </c>
      <c r="F190" s="10" t="s">
        <v>595</v>
      </c>
      <c r="G190" s="10" t="s">
        <v>167</v>
      </c>
      <c r="H190" s="3" t="s">
        <v>597</v>
      </c>
    </row>
    <row r="191" spans="1:8" ht="39" customHeight="1" x14ac:dyDescent="0.2">
      <c r="A191" s="2" t="s">
        <v>598</v>
      </c>
      <c r="B191" s="3" t="s">
        <v>599</v>
      </c>
      <c r="C191" s="10" t="s">
        <v>199</v>
      </c>
      <c r="D191" s="24">
        <v>104</v>
      </c>
      <c r="E191" s="18" t="s">
        <v>143</v>
      </c>
      <c r="F191" s="10" t="s">
        <v>598</v>
      </c>
      <c r="G191" s="10" t="s">
        <v>167</v>
      </c>
      <c r="H191" s="10" t="s">
        <v>600</v>
      </c>
    </row>
    <row r="192" spans="1:8" ht="39" customHeight="1" x14ac:dyDescent="0.2">
      <c r="A192" s="2" t="s">
        <v>601</v>
      </c>
      <c r="B192" s="3" t="s">
        <v>602</v>
      </c>
      <c r="C192" s="10" t="s">
        <v>199</v>
      </c>
      <c r="D192" s="24">
        <v>600</v>
      </c>
      <c r="E192" s="18" t="s">
        <v>143</v>
      </c>
      <c r="F192" s="10" t="s">
        <v>601</v>
      </c>
      <c r="G192" s="10" t="s">
        <v>167</v>
      </c>
      <c r="H192" s="10" t="s">
        <v>603</v>
      </c>
    </row>
    <row r="193" spans="1:8" ht="39" customHeight="1" x14ac:dyDescent="0.2">
      <c r="A193" s="2" t="s">
        <v>604</v>
      </c>
      <c r="B193" s="3" t="s">
        <v>605</v>
      </c>
      <c r="C193" s="10" t="s">
        <v>199</v>
      </c>
      <c r="D193" s="24">
        <v>360</v>
      </c>
      <c r="E193" s="18" t="s">
        <v>143</v>
      </c>
      <c r="F193" s="10" t="s">
        <v>604</v>
      </c>
      <c r="G193" s="10" t="s">
        <v>167</v>
      </c>
      <c r="H193" s="10" t="s">
        <v>592</v>
      </c>
    </row>
    <row r="194" spans="1:8" ht="27" customHeight="1" x14ac:dyDescent="0.2">
      <c r="A194" s="2" t="s">
        <v>501</v>
      </c>
      <c r="B194" s="3" t="s">
        <v>606</v>
      </c>
      <c r="C194" s="10" t="s">
        <v>199</v>
      </c>
      <c r="D194" s="24">
        <v>1600</v>
      </c>
      <c r="E194" s="18" t="s">
        <v>143</v>
      </c>
      <c r="F194" s="10" t="s">
        <v>501</v>
      </c>
      <c r="G194" s="10" t="s">
        <v>167</v>
      </c>
      <c r="H194" s="3" t="s">
        <v>607</v>
      </c>
    </row>
    <row r="195" spans="1:8" ht="39" customHeight="1" x14ac:dyDescent="0.2">
      <c r="A195" s="2" t="s">
        <v>608</v>
      </c>
      <c r="B195" s="3" t="s">
        <v>609</v>
      </c>
      <c r="C195" s="10" t="s">
        <v>199</v>
      </c>
      <c r="D195" s="24">
        <v>444</v>
      </c>
      <c r="E195" s="18" t="s">
        <v>143</v>
      </c>
      <c r="F195" s="10" t="s">
        <v>608</v>
      </c>
      <c r="G195" s="10" t="s">
        <v>167</v>
      </c>
      <c r="H195" s="3" t="s">
        <v>610</v>
      </c>
    </row>
    <row r="196" spans="1:8" ht="39" customHeight="1" x14ac:dyDescent="0.2">
      <c r="A196" s="2" t="s">
        <v>611</v>
      </c>
      <c r="B196" s="3" t="s">
        <v>612</v>
      </c>
      <c r="C196" s="10" t="s">
        <v>97</v>
      </c>
      <c r="D196" s="23">
        <v>120000000</v>
      </c>
      <c r="E196" s="18" t="s">
        <v>143</v>
      </c>
      <c r="F196" s="10" t="s">
        <v>611</v>
      </c>
      <c r="G196" s="10" t="s">
        <v>167</v>
      </c>
      <c r="H196" s="3" t="s">
        <v>613</v>
      </c>
    </row>
    <row r="197" spans="1:8" ht="39" customHeight="1" x14ac:dyDescent="0.2">
      <c r="A197" s="2" t="s">
        <v>614</v>
      </c>
      <c r="B197" s="3" t="s">
        <v>615</v>
      </c>
      <c r="C197" s="10" t="s">
        <v>110</v>
      </c>
      <c r="D197" s="23">
        <v>373000000</v>
      </c>
      <c r="E197" s="18" t="s">
        <v>143</v>
      </c>
      <c r="F197" s="10" t="s">
        <v>614</v>
      </c>
      <c r="G197" s="10" t="s">
        <v>167</v>
      </c>
      <c r="H197" s="3" t="s">
        <v>616</v>
      </c>
    </row>
    <row r="198" spans="1:8" ht="51" customHeight="1" x14ac:dyDescent="0.2">
      <c r="A198" s="2" t="s">
        <v>617</v>
      </c>
      <c r="B198" s="3" t="s">
        <v>618</v>
      </c>
      <c r="C198" s="10" t="s">
        <v>110</v>
      </c>
      <c r="D198" s="23">
        <v>1100000000</v>
      </c>
      <c r="E198" s="18" t="s">
        <v>143</v>
      </c>
      <c r="F198" s="10" t="s">
        <v>617</v>
      </c>
      <c r="G198" s="10" t="s">
        <v>167</v>
      </c>
      <c r="H198" s="3" t="s">
        <v>619</v>
      </c>
    </row>
    <row r="199" spans="1:8" ht="15" customHeight="1" x14ac:dyDescent="0.2">
      <c r="A199" s="2" t="s">
        <v>620</v>
      </c>
      <c r="B199" s="3" t="s">
        <v>621</v>
      </c>
      <c r="C199" s="10" t="s">
        <v>142</v>
      </c>
      <c r="D199" s="17">
        <v>4</v>
      </c>
      <c r="E199" s="18" t="s">
        <v>143</v>
      </c>
      <c r="F199" s="10"/>
      <c r="G199" s="10" t="s">
        <v>144</v>
      </c>
      <c r="H199" s="10"/>
    </row>
    <row r="200" spans="1:8" ht="27" customHeight="1" x14ac:dyDescent="0.2">
      <c r="A200" s="2" t="s">
        <v>622</v>
      </c>
      <c r="B200" s="10" t="s">
        <v>623</v>
      </c>
      <c r="C200" s="10" t="s">
        <v>97</v>
      </c>
      <c r="D200" s="23">
        <v>221000000</v>
      </c>
      <c r="E200" s="18" t="s">
        <v>143</v>
      </c>
      <c r="F200" s="10" t="s">
        <v>624</v>
      </c>
      <c r="G200" s="10" t="s">
        <v>167</v>
      </c>
      <c r="H200" s="3" t="s">
        <v>625</v>
      </c>
    </row>
    <row r="201" spans="1:8" ht="27" customHeight="1" x14ac:dyDescent="0.2">
      <c r="A201" s="2" t="s">
        <v>626</v>
      </c>
      <c r="B201" s="10" t="s">
        <v>627</v>
      </c>
      <c r="C201" s="10" t="s">
        <v>97</v>
      </c>
      <c r="D201" s="23">
        <v>243800000</v>
      </c>
      <c r="E201" s="18" t="s">
        <v>143</v>
      </c>
      <c r="F201" s="10" t="s">
        <v>628</v>
      </c>
      <c r="G201" s="10" t="s">
        <v>167</v>
      </c>
      <c r="H201" s="3" t="s">
        <v>629</v>
      </c>
    </row>
    <row r="202" spans="1:8" ht="39" customHeight="1" x14ac:dyDescent="0.2">
      <c r="A202" s="2" t="s">
        <v>630</v>
      </c>
      <c r="B202" s="3" t="s">
        <v>631</v>
      </c>
      <c r="C202" s="10" t="s">
        <v>632</v>
      </c>
      <c r="D202" s="17">
        <v>551536602</v>
      </c>
      <c r="E202" s="18" t="s">
        <v>143</v>
      </c>
      <c r="F202" s="10" t="s">
        <v>630</v>
      </c>
      <c r="G202" s="10" t="s">
        <v>167</v>
      </c>
      <c r="H202" s="10" t="s">
        <v>633</v>
      </c>
    </row>
    <row r="203" spans="1:8" ht="15" customHeight="1" x14ac:dyDescent="0.2">
      <c r="A203" s="2" t="s">
        <v>634</v>
      </c>
      <c r="B203" s="3" t="s">
        <v>635</v>
      </c>
      <c r="C203" s="10" t="s">
        <v>636</v>
      </c>
      <c r="D203" s="19">
        <v>82.08</v>
      </c>
      <c r="E203" s="18" t="s">
        <v>143</v>
      </c>
      <c r="F203" s="10" t="s">
        <v>634</v>
      </c>
      <c r="G203" s="10" t="s">
        <v>167</v>
      </c>
      <c r="H203" s="10" t="s">
        <v>637</v>
      </c>
    </row>
    <row r="204" spans="1:8" ht="51" customHeight="1" x14ac:dyDescent="0.2">
      <c r="A204" s="2" t="s">
        <v>624</v>
      </c>
      <c r="B204" s="3" t="s">
        <v>638</v>
      </c>
      <c r="C204" s="10" t="s">
        <v>97</v>
      </c>
      <c r="D204" s="23">
        <v>35068000000</v>
      </c>
      <c r="E204" s="18" t="s">
        <v>143</v>
      </c>
      <c r="F204" s="10" t="s">
        <v>624</v>
      </c>
      <c r="G204" s="10" t="s">
        <v>167</v>
      </c>
      <c r="H204" s="3" t="s">
        <v>639</v>
      </c>
    </row>
    <row r="205" spans="1:8" ht="51" customHeight="1" x14ac:dyDescent="0.2">
      <c r="A205" s="2" t="s">
        <v>640</v>
      </c>
      <c r="B205" s="3" t="s">
        <v>641</v>
      </c>
      <c r="C205" s="10" t="s">
        <v>97</v>
      </c>
      <c r="D205" s="23">
        <v>5524000000</v>
      </c>
      <c r="E205" s="18" t="s">
        <v>143</v>
      </c>
      <c r="F205" s="10" t="s">
        <v>640</v>
      </c>
      <c r="G205" s="10" t="s">
        <v>167</v>
      </c>
      <c r="H205" s="10" t="s">
        <v>642</v>
      </c>
    </row>
    <row r="206" spans="1:8" ht="39" customHeight="1" x14ac:dyDescent="0.2">
      <c r="A206" s="2" t="s">
        <v>643</v>
      </c>
      <c r="B206" s="3" t="s">
        <v>644</v>
      </c>
      <c r="C206" s="10" t="s">
        <v>97</v>
      </c>
      <c r="D206" s="23">
        <v>2575000000</v>
      </c>
      <c r="E206" s="18" t="s">
        <v>143</v>
      </c>
      <c r="F206" s="10" t="s">
        <v>643</v>
      </c>
      <c r="G206" s="10" t="s">
        <v>167</v>
      </c>
      <c r="H206" s="3" t="s">
        <v>645</v>
      </c>
    </row>
    <row r="207" spans="1:8" ht="27" customHeight="1" x14ac:dyDescent="0.2">
      <c r="A207" s="2" t="s">
        <v>646</v>
      </c>
      <c r="B207" s="3" t="s">
        <v>647</v>
      </c>
      <c r="C207" s="10" t="s">
        <v>199</v>
      </c>
      <c r="D207" s="24">
        <v>1500</v>
      </c>
      <c r="E207" s="18" t="s">
        <v>143</v>
      </c>
      <c r="F207" s="10" t="s">
        <v>646</v>
      </c>
      <c r="G207" s="10" t="s">
        <v>167</v>
      </c>
      <c r="H207" s="10" t="s">
        <v>648</v>
      </c>
    </row>
    <row r="208" spans="1:8" ht="27" customHeight="1" x14ac:dyDescent="0.2">
      <c r="A208" s="2" t="s">
        <v>649</v>
      </c>
      <c r="B208" s="3" t="s">
        <v>650</v>
      </c>
      <c r="C208" s="10" t="s">
        <v>199</v>
      </c>
      <c r="D208" s="24">
        <v>3700</v>
      </c>
      <c r="E208" s="18" t="s">
        <v>143</v>
      </c>
      <c r="F208" s="10" t="s">
        <v>649</v>
      </c>
      <c r="G208" s="10" t="s">
        <v>167</v>
      </c>
      <c r="H208" s="10" t="s">
        <v>651</v>
      </c>
    </row>
    <row r="209" spans="1:8" ht="39" customHeight="1" x14ac:dyDescent="0.2">
      <c r="A209" s="2" t="s">
        <v>652</v>
      </c>
      <c r="B209" s="3" t="s">
        <v>653</v>
      </c>
      <c r="C209" s="10" t="s">
        <v>97</v>
      </c>
      <c r="D209" s="23">
        <v>104000000000</v>
      </c>
      <c r="E209" s="18" t="s">
        <v>143</v>
      </c>
      <c r="F209" s="10" t="s">
        <v>652</v>
      </c>
      <c r="G209" s="10" t="s">
        <v>167</v>
      </c>
      <c r="H209" s="3" t="s">
        <v>654</v>
      </c>
    </row>
    <row r="210" spans="1:8" ht="51" customHeight="1" x14ac:dyDescent="0.2">
      <c r="A210" s="2" t="s">
        <v>655</v>
      </c>
      <c r="B210" s="3" t="s">
        <v>656</v>
      </c>
      <c r="C210" s="10" t="s">
        <v>97</v>
      </c>
      <c r="D210" s="23">
        <v>103700000000</v>
      </c>
      <c r="E210" s="18" t="s">
        <v>143</v>
      </c>
      <c r="F210" s="10" t="s">
        <v>655</v>
      </c>
      <c r="G210" s="10" t="s">
        <v>167</v>
      </c>
      <c r="H210" s="10" t="s">
        <v>657</v>
      </c>
    </row>
    <row r="211" spans="1:8" ht="39" customHeight="1" x14ac:dyDescent="0.2">
      <c r="A211" s="2" t="s">
        <v>658</v>
      </c>
      <c r="B211" s="3" t="s">
        <v>659</v>
      </c>
      <c r="C211" s="10" t="s">
        <v>97</v>
      </c>
      <c r="D211" s="23">
        <v>1510000000</v>
      </c>
      <c r="E211" s="18" t="s">
        <v>143</v>
      </c>
      <c r="F211" s="10" t="s">
        <v>658</v>
      </c>
      <c r="G211" s="10" t="s">
        <v>167</v>
      </c>
      <c r="H211" s="3" t="s">
        <v>660</v>
      </c>
    </row>
    <row r="212" spans="1:8" ht="39" customHeight="1" x14ac:dyDescent="0.2">
      <c r="A212" s="2" t="s">
        <v>661</v>
      </c>
      <c r="B212" s="3" t="s">
        <v>662</v>
      </c>
      <c r="C212" s="10" t="s">
        <v>632</v>
      </c>
      <c r="D212" s="17">
        <v>271855218</v>
      </c>
      <c r="E212" s="18" t="s">
        <v>143</v>
      </c>
      <c r="F212" s="10" t="s">
        <v>661</v>
      </c>
      <c r="G212" s="10" t="s">
        <v>167</v>
      </c>
      <c r="H212" s="10" t="s">
        <v>663</v>
      </c>
    </row>
    <row r="213" spans="1:8" ht="15" customHeight="1" x14ac:dyDescent="0.2">
      <c r="A213" s="2" t="s">
        <v>664</v>
      </c>
      <c r="B213" s="3" t="s">
        <v>665</v>
      </c>
      <c r="C213" s="10" t="s">
        <v>636</v>
      </c>
      <c r="D213" s="19">
        <v>221.07</v>
      </c>
      <c r="E213" s="18" t="s">
        <v>143</v>
      </c>
      <c r="F213" s="10" t="s">
        <v>664</v>
      </c>
      <c r="G213" s="10" t="s">
        <v>167</v>
      </c>
      <c r="H213" s="10" t="s">
        <v>637</v>
      </c>
    </row>
    <row r="214" spans="1:8" ht="27" customHeight="1" x14ac:dyDescent="0.2">
      <c r="A214" s="2" t="s">
        <v>666</v>
      </c>
      <c r="B214" s="3" t="s">
        <v>667</v>
      </c>
      <c r="C214" s="10" t="s">
        <v>97</v>
      </c>
      <c r="D214" s="23">
        <v>8545700000</v>
      </c>
      <c r="E214" s="18" t="s">
        <v>143</v>
      </c>
      <c r="F214" s="10" t="s">
        <v>666</v>
      </c>
      <c r="G214" s="10" t="s">
        <v>167</v>
      </c>
      <c r="H214" s="3" t="s">
        <v>668</v>
      </c>
    </row>
    <row r="215" spans="1:8" ht="27" customHeight="1" x14ac:dyDescent="0.2">
      <c r="A215" s="2" t="s">
        <v>669</v>
      </c>
      <c r="B215" s="3" t="s">
        <v>670</v>
      </c>
      <c r="C215" s="10" t="s">
        <v>97</v>
      </c>
      <c r="D215" s="23">
        <v>8042100000</v>
      </c>
      <c r="E215" s="18" t="s">
        <v>143</v>
      </c>
      <c r="F215" s="10" t="s">
        <v>669</v>
      </c>
      <c r="G215" s="10" t="s">
        <v>167</v>
      </c>
      <c r="H215" s="10" t="s">
        <v>642</v>
      </c>
    </row>
    <row r="216" spans="1:8" ht="39" customHeight="1" x14ac:dyDescent="0.2">
      <c r="A216" s="2" t="s">
        <v>671</v>
      </c>
      <c r="B216" s="3" t="s">
        <v>672</v>
      </c>
      <c r="C216" s="10" t="s">
        <v>97</v>
      </c>
      <c r="D216" s="23">
        <v>582300000</v>
      </c>
      <c r="E216" s="18" t="s">
        <v>143</v>
      </c>
      <c r="F216" s="10" t="s">
        <v>671</v>
      </c>
      <c r="G216" s="10" t="s">
        <v>167</v>
      </c>
      <c r="H216" s="3" t="s">
        <v>645</v>
      </c>
    </row>
    <row r="217" spans="1:8" ht="39" customHeight="1" x14ac:dyDescent="0.2">
      <c r="A217" s="2" t="s">
        <v>673</v>
      </c>
      <c r="B217" s="3" t="s">
        <v>674</v>
      </c>
      <c r="C217" s="10" t="s">
        <v>199</v>
      </c>
      <c r="D217" s="24">
        <v>170</v>
      </c>
      <c r="E217" s="18" t="s">
        <v>143</v>
      </c>
      <c r="F217" s="10" t="s">
        <v>673</v>
      </c>
      <c r="G217" s="10" t="s">
        <v>167</v>
      </c>
      <c r="H217" s="10" t="s">
        <v>648</v>
      </c>
    </row>
    <row r="218" spans="1:8" ht="27" customHeight="1" x14ac:dyDescent="0.2">
      <c r="A218" s="2" t="s">
        <v>675</v>
      </c>
      <c r="B218" s="3" t="s">
        <v>676</v>
      </c>
      <c r="C218" s="10" t="s">
        <v>97</v>
      </c>
      <c r="D218" s="23">
        <v>40000000000</v>
      </c>
      <c r="E218" s="18" t="s">
        <v>143</v>
      </c>
      <c r="F218" s="10" t="s">
        <v>675</v>
      </c>
      <c r="G218" s="10" t="s">
        <v>167</v>
      </c>
      <c r="H218" s="3" t="s">
        <v>677</v>
      </c>
    </row>
    <row r="219" spans="1:8" ht="27" customHeight="1" x14ac:dyDescent="0.2">
      <c r="A219" s="2" t="s">
        <v>678</v>
      </c>
      <c r="B219" s="3" t="s">
        <v>679</v>
      </c>
      <c r="C219" s="10" t="s">
        <v>97</v>
      </c>
      <c r="D219" s="23">
        <v>3000000000</v>
      </c>
      <c r="E219" s="18" t="s">
        <v>143</v>
      </c>
      <c r="F219" s="10" t="s">
        <v>678</v>
      </c>
      <c r="G219" s="10" t="s">
        <v>167</v>
      </c>
      <c r="H219" s="3" t="s">
        <v>680</v>
      </c>
    </row>
    <row r="220" spans="1:8" ht="51" customHeight="1" x14ac:dyDescent="0.2">
      <c r="A220" s="2" t="s">
        <v>681</v>
      </c>
      <c r="B220" s="3" t="s">
        <v>682</v>
      </c>
      <c r="C220" s="10" t="s">
        <v>199</v>
      </c>
      <c r="D220" s="24">
        <v>5000</v>
      </c>
      <c r="E220" s="18" t="s">
        <v>143</v>
      </c>
      <c r="F220" s="10" t="s">
        <v>681</v>
      </c>
      <c r="G220" s="10" t="s">
        <v>167</v>
      </c>
      <c r="H220" s="3" t="s">
        <v>683</v>
      </c>
    </row>
    <row r="221" spans="1:8" ht="39" customHeight="1" x14ac:dyDescent="0.2">
      <c r="A221" s="2" t="s">
        <v>684</v>
      </c>
      <c r="B221" s="3" t="s">
        <v>685</v>
      </c>
      <c r="C221" s="10" t="s">
        <v>199</v>
      </c>
      <c r="D221" s="24">
        <v>800</v>
      </c>
      <c r="E221" s="18" t="s">
        <v>143</v>
      </c>
      <c r="F221" s="10" t="s">
        <v>684</v>
      </c>
      <c r="G221" s="10" t="s">
        <v>167</v>
      </c>
      <c r="H221" s="3" t="s">
        <v>686</v>
      </c>
    </row>
    <row r="222" spans="1:8" ht="27" customHeight="1" x14ac:dyDescent="0.2">
      <c r="A222" s="2" t="s">
        <v>687</v>
      </c>
      <c r="B222" s="3" t="s">
        <v>688</v>
      </c>
      <c r="C222" s="10" t="s">
        <v>632</v>
      </c>
      <c r="D222" s="17">
        <v>394058648</v>
      </c>
      <c r="E222" s="18" t="s">
        <v>143</v>
      </c>
      <c r="F222" s="10" t="s">
        <v>687</v>
      </c>
      <c r="G222" s="10" t="s">
        <v>167</v>
      </c>
      <c r="H222" s="3" t="s">
        <v>689</v>
      </c>
    </row>
    <row r="223" spans="1:8" ht="15" customHeight="1" x14ac:dyDescent="0.2">
      <c r="A223" s="2" t="s">
        <v>690</v>
      </c>
      <c r="B223" s="3" t="s">
        <v>691</v>
      </c>
      <c r="C223" s="10" t="s">
        <v>636</v>
      </c>
      <c r="D223" s="19">
        <v>35.19</v>
      </c>
      <c r="E223" s="18" t="s">
        <v>143</v>
      </c>
      <c r="F223" s="10" t="s">
        <v>690</v>
      </c>
      <c r="G223" s="10" t="s">
        <v>167</v>
      </c>
      <c r="H223" s="10" t="s">
        <v>637</v>
      </c>
    </row>
    <row r="224" spans="1:8" ht="39" customHeight="1" x14ac:dyDescent="0.2">
      <c r="A224" s="2" t="s">
        <v>628</v>
      </c>
      <c r="B224" s="3" t="s">
        <v>692</v>
      </c>
      <c r="C224" s="10" t="s">
        <v>97</v>
      </c>
      <c r="D224" s="23">
        <v>7593000000</v>
      </c>
      <c r="E224" s="18" t="s">
        <v>143</v>
      </c>
      <c r="F224" s="10" t="s">
        <v>628</v>
      </c>
      <c r="G224" s="10" t="s">
        <v>167</v>
      </c>
      <c r="H224" s="3" t="s">
        <v>668</v>
      </c>
    </row>
    <row r="225" spans="1:8" ht="39" customHeight="1" x14ac:dyDescent="0.2">
      <c r="A225" s="2" t="s">
        <v>693</v>
      </c>
      <c r="B225" s="3" t="s">
        <v>694</v>
      </c>
      <c r="C225" s="10" t="s">
        <v>97</v>
      </c>
      <c r="D225" s="23">
        <v>5895600000</v>
      </c>
      <c r="E225" s="18" t="s">
        <v>143</v>
      </c>
      <c r="F225" s="10" t="s">
        <v>693</v>
      </c>
      <c r="G225" s="10" t="s">
        <v>167</v>
      </c>
      <c r="H225" s="10" t="s">
        <v>642</v>
      </c>
    </row>
    <row r="226" spans="1:8" ht="27" customHeight="1" x14ac:dyDescent="0.2">
      <c r="A226" s="2" t="s">
        <v>695</v>
      </c>
      <c r="B226" s="3" t="s">
        <v>696</v>
      </c>
      <c r="C226" s="10" t="s">
        <v>97</v>
      </c>
      <c r="D226" s="23">
        <v>707000000</v>
      </c>
      <c r="E226" s="18" t="s">
        <v>143</v>
      </c>
      <c r="F226" s="10" t="s">
        <v>695</v>
      </c>
      <c r="G226" s="10" t="s">
        <v>167</v>
      </c>
      <c r="H226" s="10" t="s">
        <v>697</v>
      </c>
    </row>
    <row r="227" spans="1:8" ht="27" customHeight="1" x14ac:dyDescent="0.2">
      <c r="A227" s="2" t="s">
        <v>698</v>
      </c>
      <c r="B227" s="3" t="s">
        <v>699</v>
      </c>
      <c r="C227" s="10" t="s">
        <v>199</v>
      </c>
      <c r="D227" s="24">
        <v>40</v>
      </c>
      <c r="E227" s="18" t="s">
        <v>143</v>
      </c>
      <c r="F227" s="10" t="s">
        <v>698</v>
      </c>
      <c r="G227" s="10" t="s">
        <v>167</v>
      </c>
      <c r="H227" s="3" t="s">
        <v>700</v>
      </c>
    </row>
    <row r="228" spans="1:8" ht="27" customHeight="1" x14ac:dyDescent="0.2">
      <c r="A228" s="2" t="s">
        <v>701</v>
      </c>
      <c r="B228" s="3" t="s">
        <v>702</v>
      </c>
      <c r="C228" s="10" t="s">
        <v>199</v>
      </c>
      <c r="D228" s="24">
        <v>380</v>
      </c>
      <c r="E228" s="18" t="s">
        <v>143</v>
      </c>
      <c r="F228" s="10" t="s">
        <v>701</v>
      </c>
      <c r="G228" s="10" t="s">
        <v>167</v>
      </c>
      <c r="H228" s="3" t="s">
        <v>703</v>
      </c>
    </row>
    <row r="229" spans="1:8" ht="27" customHeight="1" x14ac:dyDescent="0.2">
      <c r="A229" s="2" t="s">
        <v>704</v>
      </c>
      <c r="B229" s="3" t="s">
        <v>705</v>
      </c>
      <c r="C229" s="10" t="s">
        <v>97</v>
      </c>
      <c r="D229" s="23">
        <v>128800000</v>
      </c>
      <c r="E229" s="18" t="s">
        <v>143</v>
      </c>
      <c r="F229" s="10" t="s">
        <v>704</v>
      </c>
      <c r="G229" s="10" t="s">
        <v>167</v>
      </c>
      <c r="H229" s="10" t="s">
        <v>706</v>
      </c>
    </row>
    <row r="230" spans="1:8" ht="27" customHeight="1" x14ac:dyDescent="0.2">
      <c r="A230" s="2" t="s">
        <v>707</v>
      </c>
      <c r="B230" s="3" t="s">
        <v>708</v>
      </c>
      <c r="C230" s="10" t="s">
        <v>97</v>
      </c>
      <c r="D230" s="23">
        <v>4000000000</v>
      </c>
      <c r="E230" s="18" t="s">
        <v>143</v>
      </c>
      <c r="F230" s="10" t="s">
        <v>707</v>
      </c>
      <c r="G230" s="10" t="s">
        <v>167</v>
      </c>
      <c r="H230" s="3" t="s">
        <v>709</v>
      </c>
    </row>
    <row r="231" spans="1:8" ht="27" customHeight="1" x14ac:dyDescent="0.2">
      <c r="A231" s="2" t="s">
        <v>710</v>
      </c>
      <c r="B231" s="3" t="s">
        <v>711</v>
      </c>
      <c r="C231" s="10" t="s">
        <v>97</v>
      </c>
      <c r="D231" s="23">
        <v>1000000000</v>
      </c>
      <c r="E231" s="18" t="s">
        <v>143</v>
      </c>
      <c r="F231" s="10" t="s">
        <v>710</v>
      </c>
      <c r="G231" s="10" t="s">
        <v>167</v>
      </c>
      <c r="H231" s="3" t="s">
        <v>712</v>
      </c>
    </row>
    <row r="232" spans="1:8" ht="27" customHeight="1" x14ac:dyDescent="0.2">
      <c r="A232" s="2" t="s">
        <v>713</v>
      </c>
      <c r="B232" s="3" t="s">
        <v>714</v>
      </c>
      <c r="C232" s="10" t="s">
        <v>632</v>
      </c>
      <c r="D232" s="17">
        <v>760488511</v>
      </c>
      <c r="E232" s="18" t="s">
        <v>143</v>
      </c>
      <c r="F232" s="10" t="s">
        <v>713</v>
      </c>
      <c r="G232" s="10" t="s">
        <v>167</v>
      </c>
      <c r="H232" s="10" t="s">
        <v>715</v>
      </c>
    </row>
    <row r="233" spans="1:8" ht="15" customHeight="1" x14ac:dyDescent="0.2">
      <c r="A233" s="2" t="s">
        <v>716</v>
      </c>
      <c r="B233" s="3" t="s">
        <v>717</v>
      </c>
      <c r="C233" s="10" t="s">
        <v>430</v>
      </c>
      <c r="D233" s="19">
        <v>10.37</v>
      </c>
      <c r="E233" s="18" t="s">
        <v>143</v>
      </c>
      <c r="F233" s="10" t="s">
        <v>716</v>
      </c>
      <c r="G233" s="10" t="s">
        <v>167</v>
      </c>
      <c r="H233" s="10" t="s">
        <v>637</v>
      </c>
    </row>
    <row r="234" spans="1:8" ht="27" customHeight="1" x14ac:dyDescent="0.2">
      <c r="A234" s="2" t="s">
        <v>718</v>
      </c>
      <c r="B234" s="3" t="s">
        <v>719</v>
      </c>
      <c r="C234" s="10" t="s">
        <v>199</v>
      </c>
      <c r="D234" s="24">
        <v>740.1</v>
      </c>
      <c r="E234" s="18" t="s">
        <v>143</v>
      </c>
      <c r="F234" s="10" t="s">
        <v>718</v>
      </c>
      <c r="G234" s="10" t="s">
        <v>167</v>
      </c>
      <c r="H234" s="3" t="s">
        <v>720</v>
      </c>
    </row>
    <row r="235" spans="1:8" ht="15" customHeight="1" x14ac:dyDescent="0.2">
      <c r="A235" s="2" t="s">
        <v>721</v>
      </c>
      <c r="B235" s="3" t="s">
        <v>722</v>
      </c>
      <c r="C235" s="10" t="s">
        <v>199</v>
      </c>
      <c r="D235" s="24">
        <v>175</v>
      </c>
      <c r="E235" s="18" t="s">
        <v>143</v>
      </c>
      <c r="F235" s="10" t="s">
        <v>721</v>
      </c>
      <c r="G235" s="10" t="s">
        <v>167</v>
      </c>
      <c r="H235" s="10" t="s">
        <v>723</v>
      </c>
    </row>
    <row r="236" spans="1:8" ht="15" customHeight="1" x14ac:dyDescent="0.2">
      <c r="A236" s="2" t="s">
        <v>724</v>
      </c>
      <c r="B236" s="3" t="s">
        <v>725</v>
      </c>
      <c r="C236" s="10" t="s">
        <v>199</v>
      </c>
      <c r="D236" s="24">
        <v>287.89999999999998</v>
      </c>
      <c r="E236" s="18" t="s">
        <v>143</v>
      </c>
      <c r="F236" s="10" t="s">
        <v>724</v>
      </c>
      <c r="G236" s="10" t="s">
        <v>167</v>
      </c>
      <c r="H236" s="10" t="s">
        <v>726</v>
      </c>
    </row>
    <row r="237" spans="1:8" ht="15" customHeight="1" x14ac:dyDescent="0.2">
      <c r="A237" s="2" t="s">
        <v>727</v>
      </c>
      <c r="B237" s="3" t="s">
        <v>728</v>
      </c>
      <c r="C237" s="10" t="s">
        <v>110</v>
      </c>
      <c r="D237" s="23">
        <v>405000000</v>
      </c>
      <c r="E237" s="18" t="s">
        <v>143</v>
      </c>
      <c r="F237" s="10" t="s">
        <v>727</v>
      </c>
      <c r="G237" s="10" t="s">
        <v>167</v>
      </c>
      <c r="H237" s="10" t="s">
        <v>729</v>
      </c>
    </row>
    <row r="238" spans="1:8" ht="51" customHeight="1" x14ac:dyDescent="0.2">
      <c r="A238" s="2" t="s">
        <v>730</v>
      </c>
      <c r="B238" s="3" t="s">
        <v>731</v>
      </c>
      <c r="C238" s="10" t="s">
        <v>110</v>
      </c>
      <c r="D238" s="23">
        <v>24000000000</v>
      </c>
      <c r="E238" s="18" t="s">
        <v>143</v>
      </c>
      <c r="F238" s="10" t="s">
        <v>730</v>
      </c>
      <c r="G238" s="10" t="s">
        <v>167</v>
      </c>
      <c r="H238" s="3" t="s">
        <v>732</v>
      </c>
    </row>
    <row r="239" spans="1:8" ht="27" customHeight="1" x14ac:dyDescent="0.2">
      <c r="A239" s="2" t="s">
        <v>733</v>
      </c>
      <c r="B239" s="3" t="s">
        <v>734</v>
      </c>
      <c r="C239" s="10" t="s">
        <v>199</v>
      </c>
      <c r="D239" s="24">
        <v>800</v>
      </c>
      <c r="E239" s="18" t="s">
        <v>143</v>
      </c>
      <c r="F239" s="10" t="s">
        <v>733</v>
      </c>
      <c r="G239" s="10" t="s">
        <v>167</v>
      </c>
      <c r="H239" s="3" t="s">
        <v>735</v>
      </c>
    </row>
    <row r="240" spans="1:8" ht="39" customHeight="1" x14ac:dyDescent="0.2">
      <c r="A240" s="2" t="s">
        <v>736</v>
      </c>
      <c r="B240" s="3" t="s">
        <v>737</v>
      </c>
      <c r="C240" s="10" t="s">
        <v>110</v>
      </c>
      <c r="D240" s="23">
        <v>18450000000</v>
      </c>
      <c r="E240" s="18" t="s">
        <v>143</v>
      </c>
      <c r="F240" s="10" t="s">
        <v>736</v>
      </c>
      <c r="G240" s="10" t="s">
        <v>167</v>
      </c>
      <c r="H240" s="3" t="s">
        <v>738</v>
      </c>
    </row>
    <row r="241" spans="1:8" ht="15" customHeight="1" x14ac:dyDescent="0.2">
      <c r="A241" s="2" t="s">
        <v>739</v>
      </c>
      <c r="B241" s="3" t="s">
        <v>740</v>
      </c>
      <c r="C241" s="10" t="s">
        <v>199</v>
      </c>
      <c r="D241" s="24">
        <v>350</v>
      </c>
      <c r="E241" s="18" t="s">
        <v>143</v>
      </c>
      <c r="F241" s="10" t="s">
        <v>739</v>
      </c>
      <c r="G241" s="10" t="s">
        <v>167</v>
      </c>
      <c r="H241" s="10" t="s">
        <v>741</v>
      </c>
    </row>
    <row r="242" spans="1:8" ht="39" customHeight="1" x14ac:dyDescent="0.2">
      <c r="A242" s="2" t="s">
        <v>742</v>
      </c>
      <c r="B242" s="3" t="s">
        <v>743</v>
      </c>
      <c r="C242" s="10" t="s">
        <v>199</v>
      </c>
      <c r="D242" s="24">
        <v>1100</v>
      </c>
      <c r="E242" s="18" t="s">
        <v>143</v>
      </c>
      <c r="F242" s="10" t="s">
        <v>742</v>
      </c>
      <c r="G242" s="10" t="s">
        <v>167</v>
      </c>
      <c r="H242" s="10" t="s">
        <v>744</v>
      </c>
    </row>
    <row r="243" spans="1:8" ht="27" customHeight="1" x14ac:dyDescent="0.2">
      <c r="A243" s="2" t="s">
        <v>745</v>
      </c>
      <c r="B243" s="3" t="s">
        <v>746</v>
      </c>
      <c r="C243" s="10" t="s">
        <v>747</v>
      </c>
      <c r="D243" s="25">
        <v>12000000</v>
      </c>
      <c r="E243" s="18" t="s">
        <v>143</v>
      </c>
      <c r="F243" s="10" t="s">
        <v>745</v>
      </c>
      <c r="G243" s="10" t="s">
        <v>167</v>
      </c>
      <c r="H243" s="3" t="s">
        <v>748</v>
      </c>
    </row>
    <row r="244" spans="1:8" ht="63" customHeight="1" x14ac:dyDescent="0.2">
      <c r="A244" s="2" t="s">
        <v>749</v>
      </c>
      <c r="B244" s="3" t="s">
        <v>750</v>
      </c>
      <c r="C244" s="10" t="s">
        <v>747</v>
      </c>
      <c r="D244" s="25">
        <v>20000000</v>
      </c>
      <c r="E244" s="18" t="s">
        <v>143</v>
      </c>
      <c r="F244" s="10" t="s">
        <v>749</v>
      </c>
      <c r="G244" s="10" t="s">
        <v>167</v>
      </c>
      <c r="H244" s="3" t="s">
        <v>751</v>
      </c>
    </row>
    <row r="245" spans="1:8" ht="39" customHeight="1" x14ac:dyDescent="0.2">
      <c r="A245" s="2" t="s">
        <v>752</v>
      </c>
      <c r="B245" s="3" t="s">
        <v>753</v>
      </c>
      <c r="C245" s="10" t="s">
        <v>754</v>
      </c>
      <c r="D245" s="25">
        <v>20000000</v>
      </c>
      <c r="E245" s="18" t="s">
        <v>143</v>
      </c>
      <c r="F245" s="10" t="s">
        <v>752</v>
      </c>
      <c r="G245" s="10" t="s">
        <v>167</v>
      </c>
      <c r="H245" s="3" t="s">
        <v>755</v>
      </c>
    </row>
    <row r="246" spans="1:8" ht="39" customHeight="1" x14ac:dyDescent="0.2">
      <c r="A246" s="2" t="s">
        <v>756</v>
      </c>
      <c r="B246" s="3" t="s">
        <v>757</v>
      </c>
      <c r="C246" s="10" t="s">
        <v>512</v>
      </c>
      <c r="D246" s="19">
        <v>2.65</v>
      </c>
      <c r="E246" s="18" t="s">
        <v>143</v>
      </c>
      <c r="F246" s="10" t="s">
        <v>756</v>
      </c>
      <c r="G246" s="10" t="s">
        <v>167</v>
      </c>
      <c r="H246" s="3" t="s">
        <v>758</v>
      </c>
    </row>
    <row r="247" spans="1:8" ht="39" customHeight="1" x14ac:dyDescent="0.2">
      <c r="A247" s="2" t="s">
        <v>759</v>
      </c>
      <c r="B247" s="3" t="s">
        <v>760</v>
      </c>
      <c r="C247" s="10" t="s">
        <v>512</v>
      </c>
      <c r="D247" s="19">
        <v>7.45</v>
      </c>
      <c r="E247" s="18" t="s">
        <v>143</v>
      </c>
      <c r="F247" s="10" t="s">
        <v>759</v>
      </c>
      <c r="G247" s="10" t="s">
        <v>167</v>
      </c>
      <c r="H247" s="3" t="s">
        <v>761</v>
      </c>
    </row>
    <row r="248" spans="1:8" ht="39" customHeight="1" x14ac:dyDescent="0.2">
      <c r="A248" s="2" t="s">
        <v>762</v>
      </c>
      <c r="B248" s="3" t="s">
        <v>763</v>
      </c>
      <c r="C248" s="10" t="s">
        <v>512</v>
      </c>
      <c r="D248" s="19">
        <v>2.83</v>
      </c>
      <c r="E248" s="18" t="s">
        <v>143</v>
      </c>
      <c r="F248" s="10" t="s">
        <v>762</v>
      </c>
      <c r="G248" s="10" t="s">
        <v>167</v>
      </c>
      <c r="H248" s="3" t="s">
        <v>764</v>
      </c>
    </row>
    <row r="249" spans="1:8" ht="39" customHeight="1" x14ac:dyDescent="0.2">
      <c r="A249" s="2" t="s">
        <v>765</v>
      </c>
      <c r="B249" s="3" t="s">
        <v>766</v>
      </c>
      <c r="C249" s="10" t="s">
        <v>512</v>
      </c>
      <c r="D249" s="19">
        <v>5.93</v>
      </c>
      <c r="E249" s="18" t="s">
        <v>143</v>
      </c>
      <c r="F249" s="10" t="s">
        <v>765</v>
      </c>
      <c r="G249" s="10" t="s">
        <v>167</v>
      </c>
      <c r="H249" s="10" t="s">
        <v>767</v>
      </c>
    </row>
    <row r="250" spans="1:8" ht="39" customHeight="1" x14ac:dyDescent="0.2">
      <c r="A250" s="2" t="s">
        <v>768</v>
      </c>
      <c r="B250" s="3" t="s">
        <v>769</v>
      </c>
      <c r="C250" s="10" t="s">
        <v>512</v>
      </c>
      <c r="D250" s="19">
        <v>3.49</v>
      </c>
      <c r="E250" s="18" t="s">
        <v>143</v>
      </c>
      <c r="F250" s="10" t="s">
        <v>768</v>
      </c>
      <c r="G250" s="10" t="s">
        <v>167</v>
      </c>
      <c r="H250" s="10" t="s">
        <v>516</v>
      </c>
    </row>
    <row r="251" spans="1:8" ht="39" customHeight="1" x14ac:dyDescent="0.2">
      <c r="A251" s="2" t="s">
        <v>770</v>
      </c>
      <c r="B251" s="3" t="s">
        <v>771</v>
      </c>
      <c r="C251" s="10" t="s">
        <v>512</v>
      </c>
      <c r="D251" s="19">
        <v>7.07</v>
      </c>
      <c r="E251" s="18" t="s">
        <v>143</v>
      </c>
      <c r="F251" s="10" t="s">
        <v>770</v>
      </c>
      <c r="G251" s="10" t="s">
        <v>167</v>
      </c>
      <c r="H251" s="10" t="s">
        <v>516</v>
      </c>
    </row>
    <row r="252" spans="1:8" ht="39" customHeight="1" x14ac:dyDescent="0.2">
      <c r="A252" s="2" t="s">
        <v>772</v>
      </c>
      <c r="B252" s="3" t="s">
        <v>773</v>
      </c>
      <c r="C252" s="10" t="s">
        <v>512</v>
      </c>
      <c r="D252" s="19">
        <v>8.99</v>
      </c>
      <c r="E252" s="18" t="s">
        <v>143</v>
      </c>
      <c r="F252" s="10" t="s">
        <v>772</v>
      </c>
      <c r="G252" s="10" t="s">
        <v>167</v>
      </c>
      <c r="H252" s="10" t="s">
        <v>516</v>
      </c>
    </row>
    <row r="253" spans="1:8" ht="51" customHeight="1" x14ac:dyDescent="0.2">
      <c r="A253" s="2" t="s">
        <v>774</v>
      </c>
      <c r="B253" s="3" t="s">
        <v>775</v>
      </c>
      <c r="C253" s="10" t="s">
        <v>512</v>
      </c>
      <c r="D253" s="19">
        <v>16</v>
      </c>
      <c r="E253" s="18" t="s">
        <v>143</v>
      </c>
      <c r="F253" s="10" t="s">
        <v>774</v>
      </c>
      <c r="G253" s="10" t="s">
        <v>167</v>
      </c>
      <c r="H253" s="3" t="s">
        <v>776</v>
      </c>
    </row>
    <row r="254" spans="1:8" ht="51" customHeight="1" x14ac:dyDescent="0.2">
      <c r="A254" s="2" t="s">
        <v>777</v>
      </c>
      <c r="B254" s="3" t="s">
        <v>778</v>
      </c>
      <c r="C254" s="10" t="s">
        <v>512</v>
      </c>
      <c r="D254" s="19">
        <v>18</v>
      </c>
      <c r="E254" s="18" t="s">
        <v>143</v>
      </c>
      <c r="F254" s="10" t="s">
        <v>777</v>
      </c>
      <c r="G254" s="10" t="s">
        <v>167</v>
      </c>
      <c r="H254" s="10" t="s">
        <v>779</v>
      </c>
    </row>
    <row r="255" spans="1:8" ht="39" customHeight="1" x14ac:dyDescent="0.2">
      <c r="A255" s="2" t="s">
        <v>780</v>
      </c>
      <c r="B255" s="3" t="s">
        <v>781</v>
      </c>
      <c r="C255" s="10" t="s">
        <v>782</v>
      </c>
      <c r="D255" s="17">
        <v>28</v>
      </c>
      <c r="E255" s="18" t="s">
        <v>143</v>
      </c>
      <c r="F255" s="10" t="s">
        <v>780</v>
      </c>
      <c r="G255" s="10" t="s">
        <v>167</v>
      </c>
      <c r="H255" s="3" t="s">
        <v>783</v>
      </c>
    </row>
    <row r="256" spans="1:8" ht="75" customHeight="1" x14ac:dyDescent="0.2">
      <c r="A256" s="2" t="s">
        <v>784</v>
      </c>
      <c r="B256" s="3" t="s">
        <v>785</v>
      </c>
      <c r="C256" s="10" t="s">
        <v>786</v>
      </c>
      <c r="D256" s="25">
        <v>14000000</v>
      </c>
      <c r="E256" s="18" t="s">
        <v>143</v>
      </c>
      <c r="F256" s="10" t="s">
        <v>784</v>
      </c>
      <c r="G256" s="10" t="s">
        <v>167</v>
      </c>
      <c r="H256" s="3" t="s">
        <v>787</v>
      </c>
    </row>
    <row r="257" spans="1:8" ht="39" customHeight="1" x14ac:dyDescent="0.2">
      <c r="A257" s="2" t="s">
        <v>788</v>
      </c>
      <c r="B257" s="3" t="s">
        <v>789</v>
      </c>
      <c r="C257" s="10" t="s">
        <v>97</v>
      </c>
      <c r="D257" s="23">
        <v>5800000000</v>
      </c>
      <c r="E257" s="18" t="s">
        <v>143</v>
      </c>
      <c r="F257" s="10" t="s">
        <v>788</v>
      </c>
      <c r="G257" s="10" t="s">
        <v>167</v>
      </c>
      <c r="H257" s="3" t="s">
        <v>790</v>
      </c>
    </row>
    <row r="258" spans="1:8" ht="15" customHeight="1" x14ac:dyDescent="0.2">
      <c r="A258" s="2" t="s">
        <v>791</v>
      </c>
      <c r="B258" s="3" t="s">
        <v>792</v>
      </c>
      <c r="C258" s="10" t="s">
        <v>793</v>
      </c>
      <c r="D258" s="24">
        <v>200</v>
      </c>
      <c r="E258" s="18" t="s">
        <v>143</v>
      </c>
      <c r="F258" s="10" t="s">
        <v>794</v>
      </c>
      <c r="G258" s="10" t="s">
        <v>167</v>
      </c>
      <c r="H258" s="3" t="s">
        <v>795</v>
      </c>
    </row>
    <row r="259" spans="1:8" ht="27" customHeight="1" x14ac:dyDescent="0.2">
      <c r="A259" s="2" t="s">
        <v>796</v>
      </c>
      <c r="B259" s="3" t="s">
        <v>797</v>
      </c>
      <c r="C259" s="10" t="s">
        <v>97</v>
      </c>
      <c r="D259" s="23">
        <v>1940000000</v>
      </c>
      <c r="E259" s="18" t="s">
        <v>143</v>
      </c>
      <c r="F259" s="10" t="s">
        <v>796</v>
      </c>
      <c r="G259" s="10" t="s">
        <v>167</v>
      </c>
      <c r="H259" s="3" t="s">
        <v>798</v>
      </c>
    </row>
  </sheetData>
  <mergeCells count="2">
    <mergeCell ref="A3:H3"/>
    <mergeCell ref="A2:H2"/>
  </mergeCells>
  <dataValidations count="1">
    <dataValidation type="whole" showErrorMessage="1" errorTitle="Whole-year cohort replacement" error="Choose a positive whole number of years within the model horizon." sqref="D21" xr:uid="{00000000-0002-0000-0200-000000000000}">
      <formula1>$D$7</formula1>
      <formula2>$D$78</formula2>
    </dataValidation>
  </dataValidations>
  <printOptions horizontalCentered="1"/>
  <pageMargins left="0.2" right="0.2" top="0.25" bottom="0.55000000000000004" header="0.5" footer="0.5"/>
  <pageSetup paperSize="8" scale="66"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P32"/>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31" customWidth="1"/>
    <col min="2" max="2" width="57" customWidth="1"/>
    <col min="3" max="17" width="19" customWidth="1"/>
  </cols>
  <sheetData>
    <row r="2" spans="1:16" ht="21" customHeight="1" x14ac:dyDescent="0.2">
      <c r="A2" s="103" t="s">
        <v>799</v>
      </c>
      <c r="B2" s="91"/>
      <c r="C2" s="91"/>
      <c r="D2" s="91"/>
      <c r="E2" s="91"/>
      <c r="F2" s="91"/>
      <c r="G2" s="91"/>
      <c r="H2" s="91"/>
      <c r="I2" s="91"/>
      <c r="J2" s="91"/>
      <c r="K2" s="91"/>
      <c r="L2" s="91"/>
    </row>
    <row r="3" spans="1:16"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c r="L3" s="91"/>
    </row>
    <row r="5" spans="1:16" ht="15" customHeight="1" x14ac:dyDescent="0.2">
      <c r="A5" s="4" t="s">
        <v>65</v>
      </c>
      <c r="B5" s="4" t="s">
        <v>800</v>
      </c>
      <c r="C5" s="4" t="s">
        <v>801</v>
      </c>
      <c r="D5" s="4" t="s">
        <v>67</v>
      </c>
      <c r="E5" s="4" t="s">
        <v>802</v>
      </c>
      <c r="F5" s="4" t="s">
        <v>68</v>
      </c>
      <c r="G5" s="4" t="s">
        <v>803</v>
      </c>
      <c r="H5" s="4" t="s">
        <v>804</v>
      </c>
      <c r="I5" s="4" t="s">
        <v>69</v>
      </c>
      <c r="J5" s="4" t="s">
        <v>805</v>
      </c>
      <c r="K5" s="4" t="s">
        <v>70</v>
      </c>
      <c r="L5" s="4" t="s">
        <v>806</v>
      </c>
    </row>
    <row r="6" spans="1:16" ht="27" customHeight="1" x14ac:dyDescent="0.2">
      <c r="A6" s="10" t="s">
        <v>71</v>
      </c>
      <c r="B6" s="3" t="s">
        <v>807</v>
      </c>
      <c r="C6" s="10" t="s">
        <v>808</v>
      </c>
      <c r="D6" s="26">
        <f>Inputs!$D$120</f>
        <v>11</v>
      </c>
      <c r="E6" s="16">
        <f>Inputs!$D$121/Inputs!$D$120/Inputs!$D$8</f>
        <v>3972.7272727272725</v>
      </c>
      <c r="F6" s="16">
        <f>D6*E6</f>
        <v>43700</v>
      </c>
      <c r="G6" s="16">
        <f>Inputs!$D$17/Inputs!$D$8</f>
        <v>0</v>
      </c>
      <c r="H6" s="16">
        <f>Inputs!$D$16/Inputs!$D$8</f>
        <v>0</v>
      </c>
      <c r="I6" s="16">
        <f t="shared" ref="I6:I21" si="0">F6+G6-H6</f>
        <v>43700</v>
      </c>
      <c r="J6" s="16">
        <f>Inputs!$D$18*Prices!$P$6/Inputs!$D$8</f>
        <v>14328.700386874911</v>
      </c>
      <c r="K6" s="16">
        <f t="shared" ref="K6:K21" si="1">F6+J6-H6</f>
        <v>58028.700386874909</v>
      </c>
      <c r="L6" s="3" t="s">
        <v>809</v>
      </c>
      <c r="M6" s="16">
        <f t="shared" ref="M6:M21" si="2">G6-H6</f>
        <v>0</v>
      </c>
      <c r="N6" s="16">
        <f t="shared" ref="N6:N21" si="3">J6-H6</f>
        <v>14328.700386874911</v>
      </c>
      <c r="O6" s="10" t="s">
        <v>810</v>
      </c>
      <c r="P6" s="27">
        <f>Inputs!$D$7/Inputs!$D$15</f>
        <v>1.4328700386874911</v>
      </c>
    </row>
    <row r="7" spans="1:16" ht="27" customHeight="1" x14ac:dyDescent="0.2">
      <c r="A7" s="10" t="s">
        <v>73</v>
      </c>
      <c r="B7" s="3" t="s">
        <v>807</v>
      </c>
      <c r="C7" s="10" t="s">
        <v>811</v>
      </c>
      <c r="D7" s="26">
        <f>Inputs!$D$122</f>
        <v>9</v>
      </c>
      <c r="E7" s="16">
        <f>Inputs!$D$121/Inputs!$D$120/Inputs!$D$8</f>
        <v>3972.7272727272725</v>
      </c>
      <c r="F7" s="16">
        <f>D7*E7</f>
        <v>35754.545454545456</v>
      </c>
      <c r="G7" s="16">
        <f>Inputs!$D$17/Inputs!$D$8</f>
        <v>0</v>
      </c>
      <c r="H7" s="16">
        <f>Inputs!$D$16/Inputs!$D$8</f>
        <v>0</v>
      </c>
      <c r="I7" s="16">
        <f t="shared" si="0"/>
        <v>35754.545454545456</v>
      </c>
      <c r="J7" s="16">
        <f>Inputs!$D$18*Prices!$P$6/Inputs!$D$8</f>
        <v>14328.700386874911</v>
      </c>
      <c r="K7" s="16">
        <f t="shared" si="1"/>
        <v>50083.245841420365</v>
      </c>
      <c r="L7" s="3" t="s">
        <v>809</v>
      </c>
      <c r="M7" s="16">
        <f t="shared" si="2"/>
        <v>0</v>
      </c>
      <c r="N7" s="16">
        <f t="shared" si="3"/>
        <v>14328.700386874911</v>
      </c>
    </row>
    <row r="8" spans="1:16" ht="27" customHeight="1" x14ac:dyDescent="0.2">
      <c r="A8" s="10" t="s">
        <v>75</v>
      </c>
      <c r="B8" s="3" t="s">
        <v>807</v>
      </c>
      <c r="C8" s="10" t="s">
        <v>811</v>
      </c>
      <c r="D8" s="26">
        <f>Inputs!$D$123</f>
        <v>8.25</v>
      </c>
      <c r="E8" s="16">
        <f>Inputs!$D$121/Inputs!$D$120/Inputs!$D$8</f>
        <v>3972.7272727272725</v>
      </c>
      <c r="F8" s="16">
        <f>D8*E8</f>
        <v>32775</v>
      </c>
      <c r="G8" s="16">
        <f>Inputs!$D$17/Inputs!$D$8</f>
        <v>0</v>
      </c>
      <c r="H8" s="16">
        <f>Inputs!$D$16/Inputs!$D$8</f>
        <v>0</v>
      </c>
      <c r="I8" s="16">
        <f t="shared" si="0"/>
        <v>32775</v>
      </c>
      <c r="J8" s="16">
        <f>Inputs!$D$18*Prices!$P$6/Inputs!$D$8</f>
        <v>14328.700386874911</v>
      </c>
      <c r="K8" s="16">
        <f t="shared" si="1"/>
        <v>47103.700386874909</v>
      </c>
      <c r="L8" s="3" t="s">
        <v>809</v>
      </c>
      <c r="M8" s="16">
        <f t="shared" si="2"/>
        <v>0</v>
      </c>
      <c r="N8" s="16">
        <f t="shared" si="3"/>
        <v>14328.700386874911</v>
      </c>
    </row>
    <row r="9" spans="1:16" ht="27" customHeight="1" x14ac:dyDescent="0.2">
      <c r="A9" s="10" t="s">
        <v>77</v>
      </c>
      <c r="B9" s="3" t="s">
        <v>807</v>
      </c>
      <c r="C9" s="10" t="s">
        <v>811</v>
      </c>
      <c r="D9" s="26">
        <f>Inputs!$D$124</f>
        <v>5.5</v>
      </c>
      <c r="E9" s="16">
        <f>Inputs!$D$121/Inputs!$D$120/Inputs!$D$8</f>
        <v>3972.7272727272725</v>
      </c>
      <c r="F9" s="16">
        <f>D9*E9</f>
        <v>21850</v>
      </c>
      <c r="G9" s="16">
        <f>Inputs!$D$17/Inputs!$D$8</f>
        <v>0</v>
      </c>
      <c r="H9" s="16">
        <f>Inputs!$D$16/Inputs!$D$8</f>
        <v>0</v>
      </c>
      <c r="I9" s="16">
        <f t="shared" si="0"/>
        <v>21850</v>
      </c>
      <c r="J9" s="16">
        <f>Inputs!$D$18*Prices!$P$6/Inputs!$D$8</f>
        <v>14328.700386874911</v>
      </c>
      <c r="K9" s="16">
        <f t="shared" si="1"/>
        <v>36178.700386874909</v>
      </c>
      <c r="L9" s="3" t="s">
        <v>809</v>
      </c>
      <c r="M9" s="16">
        <f t="shared" si="2"/>
        <v>0</v>
      </c>
      <c r="N9" s="16">
        <f t="shared" si="3"/>
        <v>14328.700386874911</v>
      </c>
    </row>
    <row r="10" spans="1:16" ht="27" customHeight="1" x14ac:dyDescent="0.2">
      <c r="A10" s="10" t="s">
        <v>812</v>
      </c>
      <c r="B10" s="3" t="s">
        <v>807</v>
      </c>
      <c r="C10" s="10" t="s">
        <v>813</v>
      </c>
      <c r="D10" s="13" t="s">
        <v>81</v>
      </c>
      <c r="E10" s="10" t="s">
        <v>81</v>
      </c>
      <c r="F10" s="16">
        <f>(Inputs!$D$125)/Inputs!$D$8</f>
        <v>1850</v>
      </c>
      <c r="G10" s="16">
        <f>Inputs!$D$17/Inputs!$D$8</f>
        <v>0</v>
      </c>
      <c r="H10" s="16">
        <f>Inputs!$D$16/Inputs!$D$8</f>
        <v>0</v>
      </c>
      <c r="I10" s="16">
        <f t="shared" si="0"/>
        <v>1850</v>
      </c>
      <c r="J10" s="16">
        <f>Inputs!$D$18*Prices!$P$6/Inputs!$D$8</f>
        <v>14328.700386874911</v>
      </c>
      <c r="K10" s="16">
        <f t="shared" si="1"/>
        <v>16178.700386874911</v>
      </c>
      <c r="L10" s="3" t="s">
        <v>809</v>
      </c>
      <c r="M10" s="16">
        <f t="shared" si="2"/>
        <v>0</v>
      </c>
      <c r="N10" s="16">
        <f t="shared" si="3"/>
        <v>14328.700386874911</v>
      </c>
    </row>
    <row r="11" spans="1:16" ht="27" customHeight="1" x14ac:dyDescent="0.2">
      <c r="A11" s="10" t="s">
        <v>814</v>
      </c>
      <c r="B11" s="3" t="s">
        <v>807</v>
      </c>
      <c r="C11" s="10" t="s">
        <v>813</v>
      </c>
      <c r="D11" s="13" t="s">
        <v>81</v>
      </c>
      <c r="E11" s="10" t="s">
        <v>81</v>
      </c>
      <c r="F11" s="16">
        <f>(Inputs!$D$126)/Inputs!$D$8</f>
        <v>6000</v>
      </c>
      <c r="G11" s="16">
        <f>Inputs!$D$17/Inputs!$D$8</f>
        <v>0</v>
      </c>
      <c r="H11" s="16">
        <f>Inputs!$D$16/Inputs!$D$8</f>
        <v>0</v>
      </c>
      <c r="I11" s="16">
        <f t="shared" si="0"/>
        <v>6000</v>
      </c>
      <c r="J11" s="16">
        <f>Inputs!$D$18*Prices!$P$6/Inputs!$D$8</f>
        <v>14328.700386874911</v>
      </c>
      <c r="K11" s="16">
        <f t="shared" si="1"/>
        <v>20328.700386874909</v>
      </c>
      <c r="L11" s="3" t="s">
        <v>809</v>
      </c>
      <c r="M11" s="16">
        <f t="shared" si="2"/>
        <v>0</v>
      </c>
      <c r="N11" s="16">
        <f t="shared" si="3"/>
        <v>14328.700386874911</v>
      </c>
    </row>
    <row r="12" spans="1:16" ht="27" customHeight="1" x14ac:dyDescent="0.2">
      <c r="A12" s="10" t="s">
        <v>815</v>
      </c>
      <c r="B12" s="3" t="s">
        <v>807</v>
      </c>
      <c r="C12" s="10" t="s">
        <v>813</v>
      </c>
      <c r="D12" s="13" t="s">
        <v>81</v>
      </c>
      <c r="E12" s="10" t="s">
        <v>81</v>
      </c>
      <c r="F12" s="16">
        <f>(Inputs!$D$127*Prices!$P$6)/Inputs!$D$8</f>
        <v>7880.7852127812012</v>
      </c>
      <c r="G12" s="16">
        <f>Inputs!$D$17/Inputs!$D$8</f>
        <v>0</v>
      </c>
      <c r="H12" s="16">
        <f>Inputs!$D$16/Inputs!$D$8</f>
        <v>0</v>
      </c>
      <c r="I12" s="16">
        <f t="shared" si="0"/>
        <v>7880.7852127812012</v>
      </c>
      <c r="J12" s="16">
        <f>Inputs!$D$18*Prices!$P$6/Inputs!$D$8</f>
        <v>14328.700386874911</v>
      </c>
      <c r="K12" s="16">
        <f t="shared" si="1"/>
        <v>22209.485599656113</v>
      </c>
      <c r="L12" s="3" t="s">
        <v>809</v>
      </c>
      <c r="M12" s="16">
        <f t="shared" si="2"/>
        <v>0</v>
      </c>
      <c r="N12" s="16">
        <f t="shared" si="3"/>
        <v>14328.700386874911</v>
      </c>
    </row>
    <row r="13" spans="1:16" ht="39" customHeight="1" x14ac:dyDescent="0.2">
      <c r="A13" s="10" t="s">
        <v>816</v>
      </c>
      <c r="B13" s="3" t="s">
        <v>817</v>
      </c>
      <c r="C13" s="10" t="s">
        <v>813</v>
      </c>
      <c r="D13" s="13" t="s">
        <v>81</v>
      </c>
      <c r="E13" s="10" t="s">
        <v>81</v>
      </c>
      <c r="F13" s="16">
        <f>(Inputs!$D$128*Prices!$P$6)/Inputs!$D$8</f>
        <v>15045.135406218656</v>
      </c>
      <c r="G13" s="16">
        <f>Inputs!$D$17/Inputs!$D$8</f>
        <v>0</v>
      </c>
      <c r="H13" s="16">
        <f>Inputs!$D$16/Inputs!$D$8</f>
        <v>0</v>
      </c>
      <c r="I13" s="16">
        <f t="shared" si="0"/>
        <v>15045.135406218656</v>
      </c>
      <c r="J13" s="16">
        <f>Inputs!$D$18*Prices!$P$6/Inputs!$D$8</f>
        <v>14328.700386874911</v>
      </c>
      <c r="K13" s="16">
        <f t="shared" si="1"/>
        <v>29373.835793093567</v>
      </c>
      <c r="L13" s="3" t="s">
        <v>818</v>
      </c>
      <c r="M13" s="16">
        <f t="shared" si="2"/>
        <v>0</v>
      </c>
      <c r="N13" s="16">
        <f t="shared" si="3"/>
        <v>14328.700386874911</v>
      </c>
    </row>
    <row r="14" spans="1:16" ht="27" customHeight="1" x14ac:dyDescent="0.2">
      <c r="A14" s="10" t="s">
        <v>819</v>
      </c>
      <c r="B14" s="3" t="s">
        <v>807</v>
      </c>
      <c r="C14" s="10" t="s">
        <v>813</v>
      </c>
      <c r="D14" s="13" t="s">
        <v>81</v>
      </c>
      <c r="E14" s="10" t="s">
        <v>81</v>
      </c>
      <c r="F14" s="16">
        <f>(Inputs!$D$129)/Inputs!$D$8</f>
        <v>15500</v>
      </c>
      <c r="G14" s="16">
        <f>Inputs!$D$17/Inputs!$D$8</f>
        <v>0</v>
      </c>
      <c r="H14" s="16">
        <f>Inputs!$D$16/Inputs!$D$8</f>
        <v>0</v>
      </c>
      <c r="I14" s="16">
        <f t="shared" si="0"/>
        <v>15500</v>
      </c>
      <c r="J14" s="16">
        <f>Inputs!$D$18*Prices!$P$6/Inputs!$D$8</f>
        <v>14328.700386874911</v>
      </c>
      <c r="K14" s="16">
        <f t="shared" si="1"/>
        <v>29828.700386874909</v>
      </c>
      <c r="L14" s="3" t="s">
        <v>809</v>
      </c>
      <c r="M14" s="16">
        <f t="shared" si="2"/>
        <v>0</v>
      </c>
      <c r="N14" s="16">
        <f t="shared" si="3"/>
        <v>14328.700386874911</v>
      </c>
    </row>
    <row r="15" spans="1:16" ht="27" customHeight="1" x14ac:dyDescent="0.2">
      <c r="A15" s="3" t="s">
        <v>820</v>
      </c>
      <c r="B15" s="3" t="s">
        <v>807</v>
      </c>
      <c r="C15" s="10" t="s">
        <v>821</v>
      </c>
      <c r="D15" s="26">
        <f>Inputs!$D$120</f>
        <v>11</v>
      </c>
      <c r="E15" s="16">
        <f>F15/D15</f>
        <v>3985.9839258033844</v>
      </c>
      <c r="F15" s="16">
        <f>(Inputs!$D$130*Prices!$P$6)/Inputs!$D$8</f>
        <v>43845.82318383723</v>
      </c>
      <c r="G15" s="16">
        <f>Inputs!$D$17/Inputs!$D$8</f>
        <v>0</v>
      </c>
      <c r="H15" s="16">
        <f>Inputs!$D$16/Inputs!$D$8</f>
        <v>0</v>
      </c>
      <c r="I15" s="16">
        <f t="shared" si="0"/>
        <v>43845.82318383723</v>
      </c>
      <c r="J15" s="16">
        <f>Inputs!$D$18*Prices!$P$6/Inputs!$D$8</f>
        <v>14328.700386874911</v>
      </c>
      <c r="K15" s="16">
        <f t="shared" si="1"/>
        <v>58174.523570712139</v>
      </c>
      <c r="L15" s="3" t="s">
        <v>809</v>
      </c>
      <c r="M15" s="16">
        <f t="shared" si="2"/>
        <v>0</v>
      </c>
      <c r="N15" s="16">
        <f t="shared" si="3"/>
        <v>14328.700386874911</v>
      </c>
    </row>
    <row r="16" spans="1:16" ht="27" customHeight="1" x14ac:dyDescent="0.2">
      <c r="A16" s="3" t="s">
        <v>822</v>
      </c>
      <c r="B16" s="3" t="s">
        <v>807</v>
      </c>
      <c r="C16" s="10" t="s">
        <v>821</v>
      </c>
      <c r="D16" s="26">
        <f>Inputs!$D$120</f>
        <v>11</v>
      </c>
      <c r="E16" s="16">
        <f>F16/D16</f>
        <v>3946.9056520209983</v>
      </c>
      <c r="F16" s="16">
        <f>(Inputs!$D$131*Prices!$P$6)/Inputs!$D$8</f>
        <v>43415.962172230982</v>
      </c>
      <c r="G16" s="16">
        <f>Inputs!$D$17/Inputs!$D$8</f>
        <v>0</v>
      </c>
      <c r="H16" s="16">
        <f>Inputs!$D$16/Inputs!$D$8</f>
        <v>0</v>
      </c>
      <c r="I16" s="16">
        <f t="shared" si="0"/>
        <v>43415.962172230982</v>
      </c>
      <c r="J16" s="16">
        <f>Inputs!$D$18*Prices!$P$6/Inputs!$D$8</f>
        <v>14328.700386874911</v>
      </c>
      <c r="K16" s="16">
        <f t="shared" si="1"/>
        <v>57744.662559105891</v>
      </c>
      <c r="L16" s="3" t="s">
        <v>809</v>
      </c>
      <c r="M16" s="16">
        <f t="shared" si="2"/>
        <v>0</v>
      </c>
      <c r="N16" s="16">
        <f t="shared" si="3"/>
        <v>14328.700386874911</v>
      </c>
    </row>
    <row r="17" spans="1:14" ht="27" customHeight="1" x14ac:dyDescent="0.2">
      <c r="A17" s="10" t="s">
        <v>823</v>
      </c>
      <c r="B17" s="3" t="s">
        <v>807</v>
      </c>
      <c r="C17" s="10" t="s">
        <v>821</v>
      </c>
      <c r="D17" s="26">
        <f>Inputs!$D$120</f>
        <v>11</v>
      </c>
      <c r="E17" s="16">
        <f>F17/D17</f>
        <v>3959.9317432817934</v>
      </c>
      <c r="F17" s="16">
        <f>(Inputs!$D$132*Prices!$P$6)/Inputs!$D$8</f>
        <v>43559.249176099729</v>
      </c>
      <c r="G17" s="16">
        <f>Inputs!$D$17/Inputs!$D$8</f>
        <v>0</v>
      </c>
      <c r="H17" s="16">
        <f>Inputs!$D$16/Inputs!$D$8</f>
        <v>0</v>
      </c>
      <c r="I17" s="16">
        <f t="shared" si="0"/>
        <v>43559.249176099729</v>
      </c>
      <c r="J17" s="16">
        <f>Inputs!$D$18*Prices!$P$6/Inputs!$D$8</f>
        <v>14328.700386874911</v>
      </c>
      <c r="K17" s="16">
        <f t="shared" si="1"/>
        <v>57887.949562974638</v>
      </c>
      <c r="L17" s="3" t="s">
        <v>809</v>
      </c>
      <c r="M17" s="16">
        <f t="shared" si="2"/>
        <v>0</v>
      </c>
      <c r="N17" s="16">
        <f t="shared" si="3"/>
        <v>14328.700386874911</v>
      </c>
    </row>
    <row r="18" spans="1:14" ht="27" customHeight="1" x14ac:dyDescent="0.2">
      <c r="A18" s="10" t="s">
        <v>824</v>
      </c>
      <c r="B18" s="3" t="s">
        <v>807</v>
      </c>
      <c r="C18" s="10" t="s">
        <v>821</v>
      </c>
      <c r="D18" s="26">
        <f>Inputs!$D$120</f>
        <v>11</v>
      </c>
      <c r="E18" s="16">
        <f>F18/D18</f>
        <v>3918.181818181818</v>
      </c>
      <c r="F18" s="16">
        <f>(Inputs!$D$133)/Inputs!$D$8</f>
        <v>43100</v>
      </c>
      <c r="G18" s="16">
        <f>Inputs!$D$17/Inputs!$D$8</f>
        <v>0</v>
      </c>
      <c r="H18" s="16">
        <f>Inputs!$D$16/Inputs!$D$8</f>
        <v>0</v>
      </c>
      <c r="I18" s="16">
        <f t="shared" si="0"/>
        <v>43100</v>
      </c>
      <c r="J18" s="16">
        <f>Inputs!$D$18*Prices!$P$6/Inputs!$D$8</f>
        <v>14328.700386874911</v>
      </c>
      <c r="K18" s="16">
        <f t="shared" si="1"/>
        <v>57428.700386874909</v>
      </c>
      <c r="L18" s="3" t="s">
        <v>809</v>
      </c>
      <c r="M18" s="16">
        <f t="shared" si="2"/>
        <v>0</v>
      </c>
      <c r="N18" s="16">
        <f t="shared" si="3"/>
        <v>14328.700386874911</v>
      </c>
    </row>
    <row r="19" spans="1:14" ht="27" customHeight="1" x14ac:dyDescent="0.2">
      <c r="A19" s="3" t="s">
        <v>825</v>
      </c>
      <c r="B19" s="3" t="s">
        <v>807</v>
      </c>
      <c r="C19" s="10" t="s">
        <v>826</v>
      </c>
      <c r="D19" s="13" t="s">
        <v>81</v>
      </c>
      <c r="E19" s="10" t="s">
        <v>81</v>
      </c>
      <c r="F19" s="16">
        <f>(Inputs!$D$134)/Inputs!$D$8</f>
        <v>30000</v>
      </c>
      <c r="G19" s="16">
        <f>Inputs!$D$17/Inputs!$D$8</f>
        <v>0</v>
      </c>
      <c r="H19" s="16">
        <f>Inputs!$D$16/Inputs!$D$8</f>
        <v>0</v>
      </c>
      <c r="I19" s="16">
        <f t="shared" si="0"/>
        <v>30000</v>
      </c>
      <c r="J19" s="16">
        <f>Inputs!$D$18*Prices!$P$6/Inputs!$D$8</f>
        <v>14328.700386874911</v>
      </c>
      <c r="K19" s="16">
        <f t="shared" si="1"/>
        <v>44328.700386874909</v>
      </c>
      <c r="L19" s="3" t="s">
        <v>809</v>
      </c>
      <c r="M19" s="16">
        <f t="shared" si="2"/>
        <v>0</v>
      </c>
      <c r="N19" s="16">
        <f t="shared" si="3"/>
        <v>14328.700386874911</v>
      </c>
    </row>
    <row r="20" spans="1:14" ht="27" customHeight="1" x14ac:dyDescent="0.2">
      <c r="A20" s="3" t="s">
        <v>827</v>
      </c>
      <c r="B20" s="3" t="s">
        <v>807</v>
      </c>
      <c r="C20" s="10" t="s">
        <v>826</v>
      </c>
      <c r="D20" s="13" t="s">
        <v>81</v>
      </c>
      <c r="E20" s="10" t="s">
        <v>81</v>
      </c>
      <c r="F20" s="16">
        <f>(Inputs!$D$135*Prices!$P$6)/Inputs!$D$8</f>
        <v>28657.400773749821</v>
      </c>
      <c r="G20" s="16">
        <f>Inputs!$D$17/Inputs!$D$8</f>
        <v>0</v>
      </c>
      <c r="H20" s="16">
        <f>Inputs!$D$16/Inputs!$D$8</f>
        <v>0</v>
      </c>
      <c r="I20" s="16">
        <f t="shared" si="0"/>
        <v>28657.400773749821</v>
      </c>
      <c r="J20" s="16">
        <f>Inputs!$D$18*Prices!$P$6/Inputs!$D$8</f>
        <v>14328.700386874911</v>
      </c>
      <c r="K20" s="16">
        <f t="shared" si="1"/>
        <v>42986.101160624734</v>
      </c>
      <c r="L20" s="3" t="s">
        <v>809</v>
      </c>
      <c r="M20" s="16">
        <f t="shared" si="2"/>
        <v>0</v>
      </c>
      <c r="N20" s="16">
        <f t="shared" si="3"/>
        <v>14328.700386874911</v>
      </c>
    </row>
    <row r="21" spans="1:14" ht="27" customHeight="1" x14ac:dyDescent="0.2">
      <c r="A21" s="3" t="s">
        <v>828</v>
      </c>
      <c r="B21" s="3" t="s">
        <v>807</v>
      </c>
      <c r="C21" s="10" t="s">
        <v>826</v>
      </c>
      <c r="D21" s="13" t="s">
        <v>81</v>
      </c>
      <c r="E21" s="10" t="s">
        <v>81</v>
      </c>
      <c r="F21" s="16">
        <f>(Inputs!$D$136*Prices!$P$6)/Inputs!$D$8</f>
        <v>35821.750967187276</v>
      </c>
      <c r="G21" s="16">
        <f>Inputs!$D$17/Inputs!$D$8</f>
        <v>0</v>
      </c>
      <c r="H21" s="16">
        <f>Inputs!$D$16/Inputs!$D$8</f>
        <v>0</v>
      </c>
      <c r="I21" s="16">
        <f t="shared" si="0"/>
        <v>35821.750967187276</v>
      </c>
      <c r="J21" s="16">
        <f>Inputs!$D$18*Prices!$P$6/Inputs!$D$8</f>
        <v>14328.700386874911</v>
      </c>
      <c r="K21" s="16">
        <f t="shared" si="1"/>
        <v>50150.451354062185</v>
      </c>
      <c r="L21" s="3" t="s">
        <v>809</v>
      </c>
      <c r="M21" s="16">
        <f t="shared" si="2"/>
        <v>0</v>
      </c>
      <c r="N21" s="16">
        <f t="shared" si="3"/>
        <v>14328.700386874911</v>
      </c>
    </row>
    <row r="31" spans="1:14" ht="15" customHeight="1" x14ac:dyDescent="0.2">
      <c r="A31" s="10" t="s">
        <v>829</v>
      </c>
      <c r="B31" s="3" t="s">
        <v>830</v>
      </c>
      <c r="D31" s="26">
        <f>Inputs!$D$138/Inputs!$D$137</f>
        <v>4.5999999999999996</v>
      </c>
      <c r="E31" s="16">
        <f>Inputs!$D$120/D31</f>
        <v>2.3913043478260874</v>
      </c>
    </row>
    <row r="32" spans="1:14" ht="15" customHeight="1" x14ac:dyDescent="0.2">
      <c r="A32" s="10" t="s">
        <v>831</v>
      </c>
      <c r="B32" s="3" t="s">
        <v>830</v>
      </c>
      <c r="D32" s="26">
        <f>Inputs!$D$139/Inputs!$D$137</f>
        <v>2.9</v>
      </c>
      <c r="E32" s="16">
        <f>Inputs!$D$120/D32</f>
        <v>3.7931034482758621</v>
      </c>
    </row>
  </sheetData>
  <mergeCells count="2">
    <mergeCell ref="A3:L3"/>
    <mergeCell ref="A2:L2"/>
  </mergeCells>
  <printOptions horizontalCentered="1"/>
  <pageMargins left="0.2" right="0.2" top="0.25" bottom="0.55000000000000004" header="0.5" footer="0.5"/>
  <pageSetup paperSize="8" scale="54"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30"/>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7" customWidth="1"/>
    <col min="2" max="2" width="70" customWidth="1"/>
    <col min="3" max="3" width="28" customWidth="1"/>
    <col min="4" max="4" width="24" customWidth="1"/>
    <col min="5" max="17" width="19" customWidth="1"/>
  </cols>
  <sheetData>
    <row r="2" spans="1:4" ht="21" customHeight="1" x14ac:dyDescent="0.2">
      <c r="A2" s="103" t="s">
        <v>832</v>
      </c>
      <c r="B2" s="91"/>
      <c r="C2" s="91"/>
      <c r="D2" s="91"/>
    </row>
    <row r="3" spans="1:4"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row>
    <row r="5" spans="1:4" ht="15" customHeight="1" x14ac:dyDescent="0.2">
      <c r="A5" s="4" t="s">
        <v>833</v>
      </c>
      <c r="B5" s="4" t="s">
        <v>834</v>
      </c>
      <c r="C5" s="4" t="s">
        <v>95</v>
      </c>
      <c r="D5" s="4" t="s">
        <v>94</v>
      </c>
    </row>
    <row r="6" spans="1:4" ht="15" customHeight="1" x14ac:dyDescent="0.2">
      <c r="A6" s="10" t="s">
        <v>835</v>
      </c>
      <c r="B6" s="3" t="s">
        <v>836</v>
      </c>
      <c r="C6" s="10" t="s">
        <v>97</v>
      </c>
      <c r="D6" s="16">
        <f>SUM(Inputs!$D$51,Inputs!$D$52,Inputs!$D$53,Inputs!$D$54,Inputs!$D$55)/Inputs!$D$8</f>
        <v>36200</v>
      </c>
    </row>
    <row r="7" spans="1:4" ht="15" customHeight="1" x14ac:dyDescent="0.2">
      <c r="A7" s="10" t="s">
        <v>837</v>
      </c>
      <c r="B7" s="3" t="s">
        <v>838</v>
      </c>
      <c r="C7" s="10" t="s">
        <v>97</v>
      </c>
      <c r="D7" s="16">
        <f>Inputs!$D$31/Inputs!$D$8</f>
        <v>35970</v>
      </c>
    </row>
    <row r="8" spans="1:4" ht="15" customHeight="1" x14ac:dyDescent="0.2">
      <c r="A8" s="10" t="s">
        <v>839</v>
      </c>
      <c r="B8" s="10" t="s">
        <v>840</v>
      </c>
      <c r="C8" s="10" t="s">
        <v>97</v>
      </c>
      <c r="D8" s="16">
        <f>Inputs!$D$42/Inputs!$D$8</f>
        <v>1350</v>
      </c>
    </row>
    <row r="9" spans="1:4" ht="15" customHeight="1" x14ac:dyDescent="0.2">
      <c r="A9" s="10" t="s">
        <v>835</v>
      </c>
      <c r="B9" s="3" t="s">
        <v>841</v>
      </c>
      <c r="C9" s="10" t="s">
        <v>97</v>
      </c>
      <c r="D9" s="16">
        <f>D7-D8</f>
        <v>34620</v>
      </c>
    </row>
    <row r="10" spans="1:4" ht="15" customHeight="1" x14ac:dyDescent="0.2">
      <c r="A10" s="10" t="s">
        <v>835</v>
      </c>
      <c r="B10" s="3" t="s">
        <v>842</v>
      </c>
      <c r="C10" s="10" t="s">
        <v>97</v>
      </c>
      <c r="D10" s="16">
        <f>D6-D9</f>
        <v>1580</v>
      </c>
    </row>
    <row r="11" spans="1:4" ht="15" customHeight="1" x14ac:dyDescent="0.2">
      <c r="A11" s="10" t="s">
        <v>835</v>
      </c>
      <c r="B11" s="3" t="s">
        <v>843</v>
      </c>
      <c r="C11" s="10" t="s">
        <v>844</v>
      </c>
      <c r="D11" s="16">
        <f>Inputs!$D$40</f>
        <v>865</v>
      </c>
    </row>
    <row r="12" spans="1:4" ht="15" customHeight="1" x14ac:dyDescent="0.2">
      <c r="A12" s="10" t="s">
        <v>845</v>
      </c>
      <c r="B12" s="3" t="s">
        <v>846</v>
      </c>
      <c r="C12" s="10" t="s">
        <v>844</v>
      </c>
      <c r="D12" s="16">
        <f>Inputs!$D$39</f>
        <v>46</v>
      </c>
    </row>
    <row r="13" spans="1:4" ht="15" customHeight="1" x14ac:dyDescent="0.2">
      <c r="A13" s="10" t="s">
        <v>835</v>
      </c>
      <c r="B13" s="3" t="s">
        <v>847</v>
      </c>
      <c r="C13" s="10" t="s">
        <v>848</v>
      </c>
      <c r="D13" s="28">
        <f>D9*Prices!$P$6/(D11*Inputs!$D$28)</f>
        <v>57.347931490590682</v>
      </c>
    </row>
    <row r="14" spans="1:4" ht="15" customHeight="1" x14ac:dyDescent="0.2">
      <c r="A14" s="10" t="s">
        <v>835</v>
      </c>
      <c r="B14" s="3" t="s">
        <v>849</v>
      </c>
      <c r="C14" s="10" t="s">
        <v>848</v>
      </c>
      <c r="D14" s="28">
        <f>D10*Prices!$P$6/(D11*Inputs!$D$28)</f>
        <v>2.6172655041921802</v>
      </c>
    </row>
    <row r="15" spans="1:4" ht="15" customHeight="1" x14ac:dyDescent="0.2">
      <c r="A15" s="10" t="s">
        <v>850</v>
      </c>
      <c r="B15" s="3" t="s">
        <v>851</v>
      </c>
      <c r="C15" s="10" t="s">
        <v>844</v>
      </c>
      <c r="D15" s="28">
        <f>D11+D12</f>
        <v>911</v>
      </c>
    </row>
    <row r="16" spans="1:4" ht="15" customHeight="1" x14ac:dyDescent="0.2">
      <c r="A16" s="10" t="s">
        <v>852</v>
      </c>
      <c r="B16" s="3" t="s">
        <v>853</v>
      </c>
      <c r="C16" s="10" t="s">
        <v>97</v>
      </c>
      <c r="D16" s="16">
        <f>Inputs!$D$38/Inputs!$D$8</f>
        <v>37700</v>
      </c>
    </row>
    <row r="17" spans="1:4" ht="15" customHeight="1" x14ac:dyDescent="0.2">
      <c r="A17" s="10" t="s">
        <v>854</v>
      </c>
      <c r="B17" s="3" t="s">
        <v>855</v>
      </c>
      <c r="C17" s="10" t="s">
        <v>97</v>
      </c>
      <c r="D17" s="16">
        <f>Inputs!$D$43/Inputs!$D$8</f>
        <v>3750</v>
      </c>
    </row>
    <row r="18" spans="1:4" ht="15" customHeight="1" x14ac:dyDescent="0.2">
      <c r="A18" s="10" t="s">
        <v>854</v>
      </c>
      <c r="B18" s="3" t="s">
        <v>856</v>
      </c>
      <c r="C18" s="10" t="s">
        <v>793</v>
      </c>
      <c r="D18" s="16">
        <f>Inputs!$D$44+Inputs!$D$45</f>
        <v>107</v>
      </c>
    </row>
    <row r="19" spans="1:4" ht="15" customHeight="1" x14ac:dyDescent="0.2">
      <c r="A19" s="10" t="s">
        <v>854</v>
      </c>
      <c r="B19" s="10" t="s">
        <v>857</v>
      </c>
      <c r="C19" s="10" t="s">
        <v>858</v>
      </c>
      <c r="D19" s="28">
        <f>D17/D18</f>
        <v>35.046728971962615</v>
      </c>
    </row>
    <row r="20" spans="1:4" ht="15" customHeight="1" x14ac:dyDescent="0.2">
      <c r="A20" s="10" t="s">
        <v>854</v>
      </c>
      <c r="B20" s="10" t="s">
        <v>859</v>
      </c>
      <c r="C20" s="10" t="s">
        <v>97</v>
      </c>
      <c r="D20" s="16">
        <f>Inputs!$D$32/Inputs!$D$8</f>
        <v>630</v>
      </c>
    </row>
    <row r="21" spans="1:4" ht="15" customHeight="1" x14ac:dyDescent="0.2">
      <c r="A21" s="10" t="s">
        <v>854</v>
      </c>
      <c r="B21" s="3" t="s">
        <v>860</v>
      </c>
      <c r="C21" s="10" t="s">
        <v>858</v>
      </c>
      <c r="D21" s="16">
        <f>D20/D18</f>
        <v>5.8878504672897201</v>
      </c>
    </row>
    <row r="22" spans="1:4" ht="15" customHeight="1" x14ac:dyDescent="0.2">
      <c r="A22" s="10" t="s">
        <v>861</v>
      </c>
      <c r="B22" s="10" t="s">
        <v>862</v>
      </c>
      <c r="C22" s="10" t="s">
        <v>97</v>
      </c>
      <c r="D22" s="16">
        <f>Inputs!$D$41/Inputs!$D$8</f>
        <v>14030</v>
      </c>
    </row>
    <row r="23" spans="1:4" ht="15" customHeight="1" x14ac:dyDescent="0.2">
      <c r="A23" s="10" t="s">
        <v>861</v>
      </c>
      <c r="B23" s="3" t="s">
        <v>863</v>
      </c>
      <c r="C23" s="10" t="s">
        <v>844</v>
      </c>
      <c r="D23" s="16">
        <f>Inputs!$D$46</f>
        <v>360</v>
      </c>
    </row>
    <row r="24" spans="1:4" ht="15" customHeight="1" x14ac:dyDescent="0.2">
      <c r="A24" s="10" t="s">
        <v>861</v>
      </c>
      <c r="B24" s="3" t="s">
        <v>864</v>
      </c>
      <c r="C24" s="10" t="s">
        <v>858</v>
      </c>
      <c r="D24" s="28">
        <f>D22/D23</f>
        <v>38.972222222222221</v>
      </c>
    </row>
    <row r="25" spans="1:4" ht="15" customHeight="1" x14ac:dyDescent="0.2">
      <c r="A25" s="10" t="s">
        <v>865</v>
      </c>
      <c r="B25" s="3" t="s">
        <v>866</v>
      </c>
      <c r="C25" s="10" t="s">
        <v>97</v>
      </c>
      <c r="D25" s="16">
        <f>D7-D8-D17-D22</f>
        <v>16840</v>
      </c>
    </row>
    <row r="26" spans="1:4" ht="15" customHeight="1" x14ac:dyDescent="0.2">
      <c r="A26" s="10" t="s">
        <v>865</v>
      </c>
      <c r="B26" s="3" t="s">
        <v>867</v>
      </c>
      <c r="C26" s="10" t="s">
        <v>844</v>
      </c>
      <c r="D26" s="16">
        <f>Inputs!$D$47+Inputs!$D$48</f>
        <v>398</v>
      </c>
    </row>
    <row r="27" spans="1:4" ht="15" customHeight="1" x14ac:dyDescent="0.2">
      <c r="A27" s="10" t="s">
        <v>865</v>
      </c>
      <c r="B27" s="3" t="s">
        <v>868</v>
      </c>
      <c r="C27" s="10" t="s">
        <v>858</v>
      </c>
      <c r="D27" s="28">
        <f>D25/D26</f>
        <v>42.311557788944725</v>
      </c>
    </row>
    <row r="28" spans="1:4" ht="15" customHeight="1" x14ac:dyDescent="0.2">
      <c r="A28" s="10" t="s">
        <v>839</v>
      </c>
      <c r="B28" s="3" t="s">
        <v>869</v>
      </c>
      <c r="C28" s="10" t="s">
        <v>858</v>
      </c>
      <c r="D28" s="28">
        <f>D8/Inputs!$D$49</f>
        <v>32.142857142857146</v>
      </c>
    </row>
    <row r="30" spans="1:4" ht="15" customHeight="1" x14ac:dyDescent="0.2">
      <c r="B30" s="3" t="s">
        <v>870</v>
      </c>
      <c r="C30" s="10" t="s">
        <v>871</v>
      </c>
      <c r="D30" s="16">
        <f>Inputs!$D$35+Inputs!$D$36</f>
        <v>5750000000</v>
      </c>
    </row>
  </sheetData>
  <mergeCells count="2">
    <mergeCell ref="A3:D3"/>
    <mergeCell ref="A2:D2"/>
  </mergeCells>
  <printOptions horizontalCentered="1"/>
  <pageMargins left="0.2" right="0.2" top="0.25" bottom="0.55000000000000004" header="0.5" footer="0.5"/>
  <pageSetup paperSize="8"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M5154"/>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18" customWidth="1"/>
    <col min="2" max="2" width="50" customWidth="1"/>
    <col min="3" max="3" width="17" customWidth="1"/>
    <col min="4" max="13" width="14" customWidth="1"/>
    <col min="14" max="17" width="19" customWidth="1"/>
  </cols>
  <sheetData>
    <row r="2" spans="1:13" ht="21" customHeight="1" x14ac:dyDescent="0.2">
      <c r="A2" s="103" t="s">
        <v>872</v>
      </c>
      <c r="B2" s="91"/>
      <c r="C2" s="91"/>
      <c r="D2" s="91"/>
      <c r="E2" s="91"/>
      <c r="F2" s="91"/>
      <c r="G2" s="91"/>
      <c r="H2" s="91"/>
      <c r="I2" s="91"/>
      <c r="J2" s="91"/>
      <c r="K2" s="91"/>
      <c r="L2" s="91"/>
      <c r="M2" s="91"/>
    </row>
    <row r="3" spans="1:13"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c r="L3" s="91"/>
      <c r="M3" s="91"/>
    </row>
    <row r="5" spans="1:13" ht="15" customHeight="1" x14ac:dyDescent="0.2">
      <c r="A5" s="4" t="s">
        <v>873</v>
      </c>
      <c r="B5" s="4" t="s">
        <v>874</v>
      </c>
      <c r="C5" s="4" t="s">
        <v>95</v>
      </c>
      <c r="D5" s="4" t="s">
        <v>875</v>
      </c>
      <c r="E5" s="4" t="s">
        <v>876</v>
      </c>
      <c r="F5" s="4" t="s">
        <v>877</v>
      </c>
      <c r="G5" s="4" t="s">
        <v>878</v>
      </c>
      <c r="H5" s="4" t="s">
        <v>879</v>
      </c>
      <c r="I5" s="4" t="s">
        <v>880</v>
      </c>
      <c r="J5" s="4" t="s">
        <v>881</v>
      </c>
      <c r="K5" s="4" t="s">
        <v>882</v>
      </c>
      <c r="L5" s="4" t="s">
        <v>883</v>
      </c>
      <c r="M5" s="4" t="s">
        <v>884</v>
      </c>
    </row>
    <row r="6" spans="1:13" ht="15" customHeight="1" x14ac:dyDescent="0.2">
      <c r="A6" s="104" t="s">
        <v>885</v>
      </c>
      <c r="B6" s="10" t="s">
        <v>886</v>
      </c>
      <c r="C6" s="10" t="s">
        <v>107</v>
      </c>
      <c r="D6" s="28">
        <f>Inputs!$D$60</f>
        <v>1</v>
      </c>
      <c r="E6" s="28">
        <f>Inputs!$D$62</f>
        <v>2</v>
      </c>
      <c r="F6" s="28">
        <f>Inputs!$D$64</f>
        <v>3</v>
      </c>
      <c r="G6" s="28">
        <f>Inputs!$D$66</f>
        <v>4</v>
      </c>
      <c r="H6" s="28">
        <f>Inputs!$D$68</f>
        <v>5</v>
      </c>
      <c r="I6" s="28">
        <f>Inputs!$D$70</f>
        <v>6</v>
      </c>
      <c r="J6" s="28">
        <f>Inputs!$D$72</f>
        <v>7</v>
      </c>
      <c r="K6" s="28">
        <f>Inputs!$D$74</f>
        <v>8</v>
      </c>
      <c r="L6" s="28">
        <f>Inputs!$D$76</f>
        <v>9</v>
      </c>
      <c r="M6" s="28">
        <f>Inputs!$D$78</f>
        <v>10</v>
      </c>
    </row>
    <row r="7" spans="1:13" ht="15" customHeight="1" x14ac:dyDescent="0.2">
      <c r="A7" s="91"/>
      <c r="B7" s="10" t="s">
        <v>887</v>
      </c>
      <c r="C7" s="10" t="s">
        <v>161</v>
      </c>
      <c r="D7" s="29">
        <f>Inputs!$D$61</f>
        <v>46568</v>
      </c>
      <c r="E7" s="29">
        <f>Inputs!$D$63</f>
        <v>46934</v>
      </c>
      <c r="F7" s="29">
        <f>Inputs!$D$65</f>
        <v>47299</v>
      </c>
      <c r="G7" s="29">
        <f>Inputs!$D$67</f>
        <v>47664</v>
      </c>
      <c r="H7" s="29">
        <f>Inputs!$D$69</f>
        <v>48029</v>
      </c>
      <c r="I7" s="29">
        <f>Inputs!$D$71</f>
        <v>48395</v>
      </c>
      <c r="J7" s="29">
        <f>Inputs!$D$73</f>
        <v>48760</v>
      </c>
      <c r="K7" s="29">
        <f>Inputs!$D$75</f>
        <v>49125</v>
      </c>
      <c r="L7" s="29">
        <f>Inputs!$D$77</f>
        <v>49490</v>
      </c>
      <c r="M7" s="29">
        <f>Inputs!$D$79</f>
        <v>49856</v>
      </c>
    </row>
    <row r="8" spans="1:13" ht="15" customHeight="1" x14ac:dyDescent="0.2">
      <c r="A8" s="91"/>
      <c r="B8" s="10" t="s">
        <v>888</v>
      </c>
      <c r="C8" s="10" t="s">
        <v>107</v>
      </c>
      <c r="D8" s="28">
        <f>(D7-Inputs!$D$13)/Inputs!$D$10</f>
        <v>0.71457905544147848</v>
      </c>
      <c r="E8" s="28">
        <f>(E7-Inputs!$D$13)/Inputs!$D$10</f>
        <v>1.7166324435318274</v>
      </c>
      <c r="F8" s="28">
        <f>(F7-Inputs!$D$13)/Inputs!$D$10</f>
        <v>2.7159479808350446</v>
      </c>
      <c r="G8" s="28">
        <f>(G7-Inputs!$D$13)/Inputs!$D$10</f>
        <v>3.7152635181382614</v>
      </c>
      <c r="H8" s="28">
        <f>(H7-Inputs!$D$13)/Inputs!$D$10</f>
        <v>4.7145790554414786</v>
      </c>
      <c r="I8" s="28">
        <f>(I7-Inputs!$D$13)/Inputs!$D$10</f>
        <v>5.7166324435318279</v>
      </c>
      <c r="J8" s="28">
        <f>(J7-Inputs!$D$13)/Inputs!$D$10</f>
        <v>6.7159479808350442</v>
      </c>
      <c r="K8" s="28">
        <f>(K7-Inputs!$D$13)/Inputs!$D$10</f>
        <v>7.7152635181382614</v>
      </c>
      <c r="L8" s="28">
        <f>(L7-Inputs!$D$13)/Inputs!$D$10</f>
        <v>8.7145790554414777</v>
      </c>
      <c r="M8" s="28">
        <f>(M7-Inputs!$D$13)/Inputs!$D$10</f>
        <v>9.716632443531827</v>
      </c>
    </row>
    <row r="9" spans="1:13" ht="15" customHeight="1" x14ac:dyDescent="0.2">
      <c r="A9" s="91"/>
      <c r="B9" s="10" t="s">
        <v>889</v>
      </c>
      <c r="C9" s="10" t="s">
        <v>107</v>
      </c>
      <c r="D9" s="28">
        <f>D8</f>
        <v>0.71457905544147848</v>
      </c>
      <c r="E9" s="28">
        <f>Inputs!$D$7</f>
        <v>1</v>
      </c>
      <c r="F9" s="28">
        <f>Inputs!$D$7</f>
        <v>1</v>
      </c>
      <c r="G9" s="28">
        <f>Inputs!$D$7</f>
        <v>1</v>
      </c>
      <c r="H9" s="28">
        <f>Inputs!$D$7</f>
        <v>1</v>
      </c>
      <c r="I9" s="28">
        <f>Inputs!$D$7</f>
        <v>1</v>
      </c>
      <c r="J9" s="28">
        <f>Inputs!$D$7</f>
        <v>1</v>
      </c>
      <c r="K9" s="28">
        <f>Inputs!$D$7</f>
        <v>1</v>
      </c>
      <c r="L9" s="28">
        <f>Inputs!$D$7</f>
        <v>1</v>
      </c>
      <c r="M9" s="28">
        <f>Inputs!$D$7</f>
        <v>1</v>
      </c>
    </row>
    <row r="10" spans="1:13" ht="15" customHeight="1" x14ac:dyDescent="0.2">
      <c r="A10" s="91"/>
      <c r="B10" s="3" t="s">
        <v>890</v>
      </c>
      <c r="C10" s="10" t="s">
        <v>199</v>
      </c>
      <c r="D10" s="28">
        <f>Inputs!$D$24+(Inputs!$D$80-Inputs!$D$24)*Inputs!$D$83</f>
        <v>305.5</v>
      </c>
      <c r="E10" s="28">
        <f>Inputs!$D$24+(Inputs!$D$80-Inputs!$D$24)*Inputs!$D$84</f>
        <v>651.5</v>
      </c>
      <c r="F10" s="28">
        <f>Inputs!$D$24+(Inputs!$D$80-Inputs!$D$24)*Inputs!$D$85</f>
        <v>911</v>
      </c>
      <c r="G10" s="28">
        <f>Inputs!$D$24+(Inputs!$D$80-Inputs!$D$24)*Inputs!$D$86</f>
        <v>911</v>
      </c>
      <c r="H10" s="28">
        <f>Inputs!$D$24+(Inputs!$D$80-Inputs!$D$24)*Inputs!$D$87</f>
        <v>911</v>
      </c>
      <c r="I10" s="28">
        <f>Inputs!$D$24+(Inputs!$D$80-Inputs!$D$24)*Inputs!$D$88</f>
        <v>911</v>
      </c>
      <c r="J10" s="28">
        <f>Inputs!$D$24+(Inputs!$D$80-Inputs!$D$24)*Inputs!$D$89</f>
        <v>911</v>
      </c>
      <c r="K10" s="28">
        <f>Inputs!$D$24+(Inputs!$D$80-Inputs!$D$24)*Inputs!$D$90</f>
        <v>911</v>
      </c>
      <c r="L10" s="28">
        <f>Inputs!$D$24+(Inputs!$D$80-Inputs!$D$24)*Inputs!$D$91</f>
        <v>911</v>
      </c>
      <c r="M10" s="28">
        <f>Inputs!$D$24+(Inputs!$D$80-Inputs!$D$24)*Inputs!$D$92</f>
        <v>911</v>
      </c>
    </row>
    <row r="11" spans="1:13" ht="15" customHeight="1" x14ac:dyDescent="0.2">
      <c r="A11" s="91"/>
      <c r="B11" s="10" t="s">
        <v>891</v>
      </c>
      <c r="C11" s="10" t="s">
        <v>199</v>
      </c>
      <c r="D11" s="28">
        <f>Inputs!$D$24</f>
        <v>46</v>
      </c>
      <c r="E11" s="28">
        <f t="shared" ref="E11:M11" si="0">D10</f>
        <v>305.5</v>
      </c>
      <c r="F11" s="28">
        <f t="shared" si="0"/>
        <v>651.5</v>
      </c>
      <c r="G11" s="28">
        <f t="shared" si="0"/>
        <v>911</v>
      </c>
      <c r="H11" s="28">
        <f t="shared" si="0"/>
        <v>911</v>
      </c>
      <c r="I11" s="28">
        <f t="shared" si="0"/>
        <v>911</v>
      </c>
      <c r="J11" s="28">
        <f t="shared" si="0"/>
        <v>911</v>
      </c>
      <c r="K11" s="28">
        <f t="shared" si="0"/>
        <v>911</v>
      </c>
      <c r="L11" s="28">
        <f t="shared" si="0"/>
        <v>911</v>
      </c>
      <c r="M11" s="28">
        <f t="shared" si="0"/>
        <v>911</v>
      </c>
    </row>
    <row r="12" spans="1:13" ht="15" customHeight="1" x14ac:dyDescent="0.2">
      <c r="B12" s="10" t="s">
        <v>892</v>
      </c>
      <c r="C12" s="10" t="s">
        <v>199</v>
      </c>
      <c r="D12" s="28">
        <f>(D11+D10)*Inputs!$D$12</f>
        <v>175.75</v>
      </c>
      <c r="E12" s="28">
        <f>(E11+E10)*Inputs!$D$12</f>
        <v>478.5</v>
      </c>
      <c r="F12" s="28">
        <f>(F11+F10)*Inputs!$D$12</f>
        <v>781.25</v>
      </c>
      <c r="G12" s="28">
        <f>(G11+G10)*Inputs!$D$12</f>
        <v>911</v>
      </c>
      <c r="H12" s="28">
        <f>(H11+H10)*Inputs!$D$12</f>
        <v>911</v>
      </c>
      <c r="I12" s="28">
        <f>(I11+I10)*Inputs!$D$12</f>
        <v>911</v>
      </c>
      <c r="J12" s="28">
        <f>(J11+J10)*Inputs!$D$12</f>
        <v>911</v>
      </c>
      <c r="K12" s="28">
        <f>(K11+K10)*Inputs!$D$12</f>
        <v>911</v>
      </c>
      <c r="L12" s="28">
        <f>(L11+L10)*Inputs!$D$12</f>
        <v>911</v>
      </c>
      <c r="M12" s="28">
        <f>(M11+M10)*Inputs!$D$12</f>
        <v>911</v>
      </c>
    </row>
    <row r="13" spans="1:13" ht="15" customHeight="1" x14ac:dyDescent="0.2">
      <c r="B13" s="10" t="s">
        <v>893</v>
      </c>
      <c r="C13" s="10" t="s">
        <v>199</v>
      </c>
      <c r="D13" s="28">
        <f t="shared" ref="D13:M13" si="1">D10-D11</f>
        <v>259.5</v>
      </c>
      <c r="E13" s="28">
        <f t="shared" si="1"/>
        <v>346</v>
      </c>
      <c r="F13" s="28">
        <f t="shared" si="1"/>
        <v>259.5</v>
      </c>
      <c r="G13" s="28">
        <f t="shared" si="1"/>
        <v>0</v>
      </c>
      <c r="H13" s="28">
        <f t="shared" si="1"/>
        <v>0</v>
      </c>
      <c r="I13" s="28">
        <f t="shared" si="1"/>
        <v>0</v>
      </c>
      <c r="J13" s="28">
        <f t="shared" si="1"/>
        <v>0</v>
      </c>
      <c r="K13" s="28">
        <f t="shared" si="1"/>
        <v>0</v>
      </c>
      <c r="L13" s="28">
        <f t="shared" si="1"/>
        <v>0</v>
      </c>
      <c r="M13" s="28">
        <f t="shared" si="1"/>
        <v>0</v>
      </c>
    </row>
    <row r="14" spans="1:13" ht="15" customHeight="1" x14ac:dyDescent="0.2">
      <c r="B14" s="10" t="s">
        <v>894</v>
      </c>
      <c r="C14" s="10" t="s">
        <v>199</v>
      </c>
      <c r="D14" s="28">
        <f>IF(MOD(D6,Inputs!$D$21)=Inputs!$D$6,Inputs!$D$24,Inputs!$D$6)+SUMPRODUCT(--(D6&gt;$D$6:$M$6),--(MOD(D6-$D$6:$M$6,Inputs!$D$21)=Inputs!$D$6),$D$13:$M$13)</f>
        <v>0</v>
      </c>
      <c r="E14" s="28">
        <f>IF(MOD(E6,Inputs!$D$21)=Inputs!$D$6,Inputs!$D$24,Inputs!$D$6)+SUMPRODUCT(--(E6&gt;$D$6:$M$6),--(MOD(E6-$D$6:$M$6,Inputs!$D$21)=Inputs!$D$6),$D$13:$M$13)</f>
        <v>0</v>
      </c>
      <c r="F14" s="28">
        <f>IF(MOD(F6,Inputs!$D$21)=Inputs!$D$6,Inputs!$D$24,Inputs!$D$6)+SUMPRODUCT(--(F6&gt;$D$6:$M$6),--(MOD(F6-$D$6:$M$6,Inputs!$D$21)=Inputs!$D$6),$D$13:$M$13)</f>
        <v>0</v>
      </c>
      <c r="G14" s="28">
        <f>IF(MOD(G6,Inputs!$D$21)=Inputs!$D$6,Inputs!$D$24,Inputs!$D$6)+SUMPRODUCT(--(G6&gt;$D$6:$M$6),--(MOD(G6-$D$6:$M$6,Inputs!$D$21)=Inputs!$D$6),$D$13:$M$13)</f>
        <v>46</v>
      </c>
      <c r="H14" s="28">
        <f>IF(MOD(H6,Inputs!$D$21)=Inputs!$D$6,Inputs!$D$24,Inputs!$D$6)+SUMPRODUCT(--(H6&gt;$D$6:$M$6),--(MOD(H6-$D$6:$M$6,Inputs!$D$21)=Inputs!$D$6),$D$13:$M$13)</f>
        <v>259.5</v>
      </c>
      <c r="I14" s="28">
        <f>IF(MOD(I6,Inputs!$D$21)=Inputs!$D$6,Inputs!$D$24,Inputs!$D$6)+SUMPRODUCT(--(I6&gt;$D$6:$M$6),--(MOD(I6-$D$6:$M$6,Inputs!$D$21)=Inputs!$D$6),$D$13:$M$13)</f>
        <v>346</v>
      </c>
      <c r="J14" s="28">
        <f>IF(MOD(J6,Inputs!$D$21)=Inputs!$D$6,Inputs!$D$24,Inputs!$D$6)+SUMPRODUCT(--(J6&gt;$D$6:$M$6),--(MOD(J6-$D$6:$M$6,Inputs!$D$21)=Inputs!$D$6),$D$13:$M$13)</f>
        <v>259.5</v>
      </c>
      <c r="K14" s="28">
        <f>IF(MOD(K6,Inputs!$D$21)=Inputs!$D$6,Inputs!$D$24,Inputs!$D$6)+SUMPRODUCT(--(K6&gt;$D$6:$M$6),--(MOD(K6-$D$6:$M$6,Inputs!$D$21)=Inputs!$D$6),$D$13:$M$13)</f>
        <v>46</v>
      </c>
      <c r="L14" s="28">
        <f>IF(MOD(L6,Inputs!$D$21)=Inputs!$D$6,Inputs!$D$24,Inputs!$D$6)+SUMPRODUCT(--(L6&gt;$D$6:$M$6),--(MOD(L6-$D$6:$M$6,Inputs!$D$21)=Inputs!$D$6),$D$13:$M$13)</f>
        <v>259.5</v>
      </c>
      <c r="M14" s="28">
        <f>IF(MOD(M6,Inputs!$D$21)=Inputs!$D$6,Inputs!$D$24,Inputs!$D$6)+SUMPRODUCT(--(M6&gt;$D$6:$M$6),--(MOD(M6-$D$6:$M$6,Inputs!$D$21)=Inputs!$D$6),$D$13:$M$13)</f>
        <v>346</v>
      </c>
    </row>
    <row r="15" spans="1:13" ht="15" customHeight="1" x14ac:dyDescent="0.2">
      <c r="B15" s="10" t="s">
        <v>895</v>
      </c>
      <c r="C15" s="10" t="s">
        <v>896</v>
      </c>
      <c r="D15" s="28">
        <f t="shared" ref="D15:M15" si="2">D12*D9</f>
        <v>125.58726899383984</v>
      </c>
      <c r="E15" s="28">
        <f t="shared" si="2"/>
        <v>478.5</v>
      </c>
      <c r="F15" s="28">
        <f t="shared" si="2"/>
        <v>781.25</v>
      </c>
      <c r="G15" s="28">
        <f t="shared" si="2"/>
        <v>911</v>
      </c>
      <c r="H15" s="28">
        <f t="shared" si="2"/>
        <v>911</v>
      </c>
      <c r="I15" s="28">
        <f t="shared" si="2"/>
        <v>911</v>
      </c>
      <c r="J15" s="28">
        <f t="shared" si="2"/>
        <v>911</v>
      </c>
      <c r="K15" s="28">
        <f t="shared" si="2"/>
        <v>911</v>
      </c>
      <c r="L15" s="28">
        <f t="shared" si="2"/>
        <v>911</v>
      </c>
      <c r="M15" s="28">
        <f t="shared" si="2"/>
        <v>911</v>
      </c>
    </row>
    <row r="16" spans="1:13" ht="15" customHeight="1" x14ac:dyDescent="0.2">
      <c r="B16" s="10" t="s">
        <v>897</v>
      </c>
      <c r="C16" s="10" t="s">
        <v>110</v>
      </c>
      <c r="D16" s="16">
        <f>D15*($D$35/Inputs!$D$21+$D$36/Inputs!$D$22)</f>
        <v>1816.9772859324419</v>
      </c>
      <c r="E16" s="16">
        <f>E15*($D$35/Inputs!$D$21+$D$36/Inputs!$D$22)</f>
        <v>6922.8643817497086</v>
      </c>
      <c r="F16" s="16">
        <f>F15*($D$35/Inputs!$D$21+$D$36/Inputs!$D$22)</f>
        <v>11303.0048030135</v>
      </c>
      <c r="G16" s="16">
        <f>G15*($D$35/Inputs!$D$21+$D$36/Inputs!$D$22)</f>
        <v>13180.207840697982</v>
      </c>
      <c r="H16" s="16">
        <f>H15*($D$35/Inputs!$D$21+$D$36/Inputs!$D$22)</f>
        <v>13180.207840697982</v>
      </c>
      <c r="I16" s="16">
        <f>I15*($D$35/Inputs!$D$21+$D$36/Inputs!$D$22)</f>
        <v>13180.207840697982</v>
      </c>
      <c r="J16" s="16">
        <f>J15*($D$35/Inputs!$D$21+$D$36/Inputs!$D$22)</f>
        <v>13180.207840697982</v>
      </c>
      <c r="K16" s="16">
        <f>K15*($D$35/Inputs!$D$21+$D$36/Inputs!$D$22)</f>
        <v>13180.207840697982</v>
      </c>
      <c r="L16" s="16">
        <f>L15*($D$35/Inputs!$D$21+$D$36/Inputs!$D$22)</f>
        <v>13180.207840697982</v>
      </c>
      <c r="M16" s="16">
        <f>M15*($D$35/Inputs!$D$21+$D$36/Inputs!$D$22)</f>
        <v>13180.207840697982</v>
      </c>
    </row>
    <row r="17" spans="2:13" ht="15" customHeight="1" x14ac:dyDescent="0.2">
      <c r="B17" s="10" t="s">
        <v>898</v>
      </c>
      <c r="C17" s="10" t="s">
        <v>110</v>
      </c>
      <c r="D17" s="16">
        <f t="shared" ref="D17:M17" si="3">D13*($D$35+$D$36)</f>
        <v>15560.968620146154</v>
      </c>
      <c r="E17" s="16">
        <f t="shared" si="3"/>
        <v>20747.95816019487</v>
      </c>
      <c r="F17" s="16">
        <f t="shared" si="3"/>
        <v>15560.968620146154</v>
      </c>
      <c r="G17" s="16">
        <f t="shared" si="3"/>
        <v>0</v>
      </c>
      <c r="H17" s="16">
        <f t="shared" si="3"/>
        <v>0</v>
      </c>
      <c r="I17" s="16">
        <f t="shared" si="3"/>
        <v>0</v>
      </c>
      <c r="J17" s="16">
        <f t="shared" si="3"/>
        <v>0</v>
      </c>
      <c r="K17" s="16">
        <f t="shared" si="3"/>
        <v>0</v>
      </c>
      <c r="L17" s="16">
        <f t="shared" si="3"/>
        <v>0</v>
      </c>
      <c r="M17" s="16">
        <f t="shared" si="3"/>
        <v>0</v>
      </c>
    </row>
    <row r="18" spans="2:13" ht="15" customHeight="1" x14ac:dyDescent="0.2">
      <c r="B18" s="10" t="s">
        <v>899</v>
      </c>
      <c r="C18" s="10" t="s">
        <v>110</v>
      </c>
      <c r="D18" s="16">
        <f t="shared" ref="D18:M18" si="4">D14*$D$35</f>
        <v>0</v>
      </c>
      <c r="E18" s="16">
        <f t="shared" si="4"/>
        <v>0</v>
      </c>
      <c r="F18" s="16">
        <f t="shared" si="4"/>
        <v>0</v>
      </c>
      <c r="G18" s="16">
        <f t="shared" si="4"/>
        <v>2638.0048485671714</v>
      </c>
      <c r="H18" s="16">
        <f t="shared" si="4"/>
        <v>14881.788221808281</v>
      </c>
      <c r="I18" s="16">
        <f t="shared" si="4"/>
        <v>19842.384295744378</v>
      </c>
      <c r="J18" s="16">
        <f t="shared" si="4"/>
        <v>14881.788221808281</v>
      </c>
      <c r="K18" s="16">
        <f t="shared" si="4"/>
        <v>2638.0048485671714</v>
      </c>
      <c r="L18" s="16">
        <f t="shared" si="4"/>
        <v>14881.788221808281</v>
      </c>
      <c r="M18" s="16">
        <f t="shared" si="4"/>
        <v>19842.384295744378</v>
      </c>
    </row>
    <row r="19" spans="2:13" ht="15" customHeight="1" x14ac:dyDescent="0.2">
      <c r="B19" s="10" t="s">
        <v>900</v>
      </c>
      <c r="C19" s="10" t="s">
        <v>199</v>
      </c>
      <c r="D19" s="28">
        <f>D13*Inputs!$D$23</f>
        <v>6.4875000000000007</v>
      </c>
      <c r="E19" s="28">
        <f>E13*Inputs!$D$23</f>
        <v>8.65</v>
      </c>
      <c r="F19" s="28">
        <f>F13*Inputs!$D$23</f>
        <v>6.4875000000000007</v>
      </c>
      <c r="G19" s="28">
        <f>G13*Inputs!$D$23</f>
        <v>0</v>
      </c>
      <c r="H19" s="28">
        <f>H13*Inputs!$D$23</f>
        <v>0</v>
      </c>
      <c r="I19" s="28">
        <f>I13*Inputs!$D$23</f>
        <v>0</v>
      </c>
      <c r="J19" s="28">
        <f>J13*Inputs!$D$23</f>
        <v>0</v>
      </c>
      <c r="K19" s="28">
        <f>K13*Inputs!$D$23</f>
        <v>0</v>
      </c>
      <c r="L19" s="28">
        <f>L13*Inputs!$D$23</f>
        <v>0</v>
      </c>
      <c r="M19" s="28">
        <f>M13*Inputs!$D$23</f>
        <v>0</v>
      </c>
    </row>
    <row r="20" spans="2:13" ht="15" customHeight="1" x14ac:dyDescent="0.2">
      <c r="B20" s="3" t="s">
        <v>901</v>
      </c>
      <c r="C20" s="10" t="s">
        <v>896</v>
      </c>
      <c r="D20" s="28">
        <f>(D15*$D$33*(Inputs!$D$7-Inputs!$D$19)-D19)/(Inputs!$D$7+$D$34)^D8</f>
        <v>43.213488846686175</v>
      </c>
      <c r="E20" s="28">
        <f>(E15*$D$33*(Inputs!$D$7-Inputs!$D$19)-E19)/(Inputs!$D$7+$D$34)^E8</f>
        <v>163.29332190458183</v>
      </c>
      <c r="F20" s="28">
        <f>(F15*$D$33*(Inputs!$D$7-Inputs!$D$19)-F19)/(Inputs!$D$7+$D$34)^F8</f>
        <v>248.28260771010829</v>
      </c>
      <c r="G20" s="28">
        <f>(G15*$D$33*(Inputs!$D$7-Inputs!$D$19)-G19)/(Inputs!$D$7+$D$34)^G8</f>
        <v>268.5238926419492</v>
      </c>
      <c r="H20" s="28">
        <f>(H15*$D$33*(Inputs!$D$7-Inputs!$D$19)-H19)/(Inputs!$D$7+$D$34)^H8</f>
        <v>244.12855518959191</v>
      </c>
      <c r="I20" s="28">
        <f>(I15*$D$33*(Inputs!$D$7-Inputs!$D$19)-I19)/(Inputs!$D$7+$D$34)^I8</f>
        <v>221.8916197826434</v>
      </c>
      <c r="J20" s="28">
        <f>(J15*$D$33*(Inputs!$D$7-Inputs!$D$19)-J19)/(Inputs!$D$7+$D$34)^J8</f>
        <v>201.73281421346593</v>
      </c>
      <c r="K20" s="28">
        <f>(K15*$D$33*(Inputs!$D$7-Inputs!$D$19)-K19)/(Inputs!$D$7+$D$34)^K8</f>
        <v>183.40543176145695</v>
      </c>
      <c r="L20" s="28">
        <f>(L15*$D$33*(Inputs!$D$7-Inputs!$D$19)-L19)/(Inputs!$D$7+$D$34)^L8</f>
        <v>166.74308803332551</v>
      </c>
      <c r="M20" s="28">
        <f>(M15*$D$33*(Inputs!$D$7-Inputs!$D$19)-M19)/(Inputs!$D$7+$D$34)^M8</f>
        <v>151.55496194429571</v>
      </c>
    </row>
    <row r="21" spans="2:13" ht="15" customHeight="1" x14ac:dyDescent="0.2">
      <c r="B21" s="10" t="s">
        <v>902</v>
      </c>
      <c r="C21" s="10" t="s">
        <v>110</v>
      </c>
      <c r="D21" s="16">
        <f>(D16*Inputs!$D$19-D17-D18)/(Inputs!$D$7+$D$34)^D8</f>
        <v>-14027.24269342025</v>
      </c>
      <c r="E21" s="16">
        <f>(E16*Inputs!$D$19-E17-E18)/(Inputs!$D$7+$D$34)^E8</f>
        <v>-15853.087323826181</v>
      </c>
      <c r="F21" s="16">
        <f>(F16*Inputs!$D$19-F17-F18)/(Inputs!$D$7+$D$34)^F8</f>
        <v>-9394.4767487293357</v>
      </c>
      <c r="G21" s="16">
        <f>(G16*Inputs!$D$19-G17-G18)/(Inputs!$D$7+$D$34)^G8</f>
        <v>923.61320322684639</v>
      </c>
      <c r="H21" s="16">
        <f>(H16*Inputs!$D$19-H17-H18)/(Inputs!$D$7+$D$34)^H8</f>
        <v>-6972.3744918015345</v>
      </c>
      <c r="I21" s="16">
        <f>(I16*Inputs!$D$19-I17-I18)/(Inputs!$D$7+$D$34)^I8</f>
        <v>-9214.0648467907959</v>
      </c>
      <c r="J21" s="16">
        <f>(J16*Inputs!$D$19-J17-J18)/(Inputs!$D$7+$D$34)^J8</f>
        <v>-5761.5411965591911</v>
      </c>
      <c r="K21" s="16">
        <f>(K16*Inputs!$D$19-K17-K18)/(Inputs!$D$7+$D$34)^K8</f>
        <v>630.8402453567694</v>
      </c>
      <c r="L21" s="16">
        <f>(L16*Inputs!$D$19-L17-L18)/(Inputs!$D$7+$D$34)^L8</f>
        <v>-4762.2255937446444</v>
      </c>
      <c r="M21" s="16">
        <f>(M16*Inputs!$D$19-M17-M18)/(Inputs!$D$7+$D$34)^M8</f>
        <v>-6293.3302689644106</v>
      </c>
    </row>
    <row r="22" spans="2:13" ht="15" customHeight="1" x14ac:dyDescent="0.2">
      <c r="B22" s="10" t="s">
        <v>903</v>
      </c>
      <c r="C22" s="10" t="s">
        <v>110</v>
      </c>
      <c r="D22" s="16">
        <f t="shared" ref="D22:M22" si="5">D15*$D$32</f>
        <v>5440.1146574439017</v>
      </c>
      <c r="E22" s="16">
        <f t="shared" si="5"/>
        <v>20727.378534798707</v>
      </c>
      <c r="F22" s="16">
        <f t="shared" si="5"/>
        <v>33841.723051852641</v>
      </c>
      <c r="G22" s="16">
        <f t="shared" si="5"/>
        <v>39462.156416304329</v>
      </c>
      <c r="H22" s="16">
        <f t="shared" si="5"/>
        <v>39462.156416304329</v>
      </c>
      <c r="I22" s="16">
        <f t="shared" si="5"/>
        <v>39462.156416304329</v>
      </c>
      <c r="J22" s="16">
        <f t="shared" si="5"/>
        <v>39462.156416304329</v>
      </c>
      <c r="K22" s="16">
        <f t="shared" si="5"/>
        <v>39462.156416304329</v>
      </c>
      <c r="L22" s="16">
        <f t="shared" si="5"/>
        <v>39462.156416304329</v>
      </c>
      <c r="M22" s="16">
        <f t="shared" si="5"/>
        <v>39462.156416304329</v>
      </c>
    </row>
    <row r="23" spans="2:13" ht="15" customHeight="1" x14ac:dyDescent="0.2">
      <c r="B23" s="10" t="s">
        <v>904</v>
      </c>
      <c r="C23" s="10" t="s">
        <v>110</v>
      </c>
      <c r="D23" s="16">
        <f t="shared" ref="D23:M23" si="6">D22*$D$33</f>
        <v>3264.0687944663409</v>
      </c>
      <c r="E23" s="16">
        <f t="shared" si="6"/>
        <v>12436.427120879223</v>
      </c>
      <c r="F23" s="16">
        <f t="shared" si="6"/>
        <v>20305.033831111585</v>
      </c>
      <c r="G23" s="16">
        <f t="shared" si="6"/>
        <v>23677.293849782596</v>
      </c>
      <c r="H23" s="16">
        <f t="shared" si="6"/>
        <v>23677.293849782596</v>
      </c>
      <c r="I23" s="16">
        <f t="shared" si="6"/>
        <v>23677.293849782596</v>
      </c>
      <c r="J23" s="16">
        <f t="shared" si="6"/>
        <v>23677.293849782596</v>
      </c>
      <c r="K23" s="16">
        <f t="shared" si="6"/>
        <v>23677.293849782596</v>
      </c>
      <c r="L23" s="16">
        <f t="shared" si="6"/>
        <v>23677.293849782596</v>
      </c>
      <c r="M23" s="16">
        <f t="shared" si="6"/>
        <v>23677.293849782596</v>
      </c>
    </row>
    <row r="24" spans="2:13" ht="15" customHeight="1" x14ac:dyDescent="0.2">
      <c r="B24" s="10" t="s">
        <v>905</v>
      </c>
      <c r="C24" s="10" t="s">
        <v>110</v>
      </c>
      <c r="D24" s="16">
        <f t="shared" ref="D24:M24" si="7">D23-D16</f>
        <v>1447.0915085338991</v>
      </c>
      <c r="E24" s="16">
        <f t="shared" si="7"/>
        <v>5513.5627391295147</v>
      </c>
      <c r="F24" s="16">
        <f t="shared" si="7"/>
        <v>9002.0290280980844</v>
      </c>
      <c r="G24" s="16">
        <f t="shared" si="7"/>
        <v>10497.086009084614</v>
      </c>
      <c r="H24" s="16">
        <f t="shared" si="7"/>
        <v>10497.086009084614</v>
      </c>
      <c r="I24" s="16">
        <f t="shared" si="7"/>
        <v>10497.086009084614</v>
      </c>
      <c r="J24" s="16">
        <f t="shared" si="7"/>
        <v>10497.086009084614</v>
      </c>
      <c r="K24" s="16">
        <f t="shared" si="7"/>
        <v>10497.086009084614</v>
      </c>
      <c r="L24" s="16">
        <f t="shared" si="7"/>
        <v>10497.086009084614</v>
      </c>
      <c r="M24" s="16">
        <f t="shared" si="7"/>
        <v>10497.086009084614</v>
      </c>
    </row>
    <row r="25" spans="2:13" ht="15" customHeight="1" x14ac:dyDescent="0.2">
      <c r="B25" s="10" t="s">
        <v>906</v>
      </c>
      <c r="C25" s="10" t="s">
        <v>110</v>
      </c>
      <c r="D25" s="16">
        <f>MAX(D24,Inputs!$D$6)*Inputs!$D$19</f>
        <v>434.12745256016973</v>
      </c>
      <c r="E25" s="16">
        <f>MAX(E24,Inputs!$D$6)*Inputs!$D$19</f>
        <v>1654.0688217388545</v>
      </c>
      <c r="F25" s="16">
        <f>MAX(F24,Inputs!$D$6)*Inputs!$D$19</f>
        <v>2700.6087084294254</v>
      </c>
      <c r="G25" s="16">
        <f>MAX(G24,Inputs!$D$6)*Inputs!$D$19</f>
        <v>3149.1258027253843</v>
      </c>
      <c r="H25" s="16">
        <f>MAX(H24,Inputs!$D$6)*Inputs!$D$19</f>
        <v>3149.1258027253843</v>
      </c>
      <c r="I25" s="16">
        <f>MAX(I24,Inputs!$D$6)*Inputs!$D$19</f>
        <v>3149.1258027253843</v>
      </c>
      <c r="J25" s="16">
        <f>MAX(J24,Inputs!$D$6)*Inputs!$D$19</f>
        <v>3149.1258027253843</v>
      </c>
      <c r="K25" s="16">
        <f>MAX(K24,Inputs!$D$6)*Inputs!$D$19</f>
        <v>3149.1258027253843</v>
      </c>
      <c r="L25" s="16">
        <f>MAX(L24,Inputs!$D$6)*Inputs!$D$19</f>
        <v>3149.1258027253843</v>
      </c>
      <c r="M25" s="16">
        <f>MAX(M24,Inputs!$D$6)*Inputs!$D$19</f>
        <v>3149.1258027253843</v>
      </c>
    </row>
    <row r="26" spans="2:13" ht="15" customHeight="1" x14ac:dyDescent="0.2">
      <c r="B26" s="10" t="s">
        <v>907</v>
      </c>
      <c r="C26" s="10" t="s">
        <v>110</v>
      </c>
      <c r="D26" s="16">
        <f t="shared" ref="D26:M26" si="8">D19*$D$32</f>
        <v>281.02166822258437</v>
      </c>
      <c r="E26" s="16">
        <f t="shared" si="8"/>
        <v>374.69555763011243</v>
      </c>
      <c r="F26" s="16">
        <f t="shared" si="8"/>
        <v>281.02166822258437</v>
      </c>
      <c r="G26" s="16">
        <f t="shared" si="8"/>
        <v>0</v>
      </c>
      <c r="H26" s="16">
        <f t="shared" si="8"/>
        <v>0</v>
      </c>
      <c r="I26" s="16">
        <f t="shared" si="8"/>
        <v>0</v>
      </c>
      <c r="J26" s="16">
        <f t="shared" si="8"/>
        <v>0</v>
      </c>
      <c r="K26" s="16">
        <f t="shared" si="8"/>
        <v>0</v>
      </c>
      <c r="L26" s="16">
        <f t="shared" si="8"/>
        <v>0</v>
      </c>
      <c r="M26" s="16">
        <f t="shared" si="8"/>
        <v>0</v>
      </c>
    </row>
    <row r="27" spans="2:13" ht="15" customHeight="1" x14ac:dyDescent="0.2">
      <c r="B27" s="10" t="s">
        <v>908</v>
      </c>
      <c r="C27" s="10" t="s">
        <v>110</v>
      </c>
      <c r="D27" s="16">
        <f t="shared" ref="D27:M27" si="9">D23-D25-D17-D18-D26</f>
        <v>-13012.048946462566</v>
      </c>
      <c r="E27" s="16">
        <f t="shared" si="9"/>
        <v>-10340.295418684613</v>
      </c>
      <c r="F27" s="16">
        <f t="shared" si="9"/>
        <v>1762.43483431342</v>
      </c>
      <c r="G27" s="16">
        <f t="shared" si="9"/>
        <v>17890.163198490038</v>
      </c>
      <c r="H27" s="16">
        <f t="shared" si="9"/>
        <v>5646.3798252489287</v>
      </c>
      <c r="I27" s="16">
        <f t="shared" si="9"/>
        <v>685.78375131283246</v>
      </c>
      <c r="J27" s="16">
        <f t="shared" si="9"/>
        <v>5646.3798252489287</v>
      </c>
      <c r="K27" s="16">
        <f t="shared" si="9"/>
        <v>17890.163198490038</v>
      </c>
      <c r="L27" s="16">
        <f t="shared" si="9"/>
        <v>5646.3798252489287</v>
      </c>
      <c r="M27" s="16">
        <f t="shared" si="9"/>
        <v>685.78375131283246</v>
      </c>
    </row>
    <row r="28" spans="2:13" ht="15" customHeight="1" x14ac:dyDescent="0.2">
      <c r="B28" s="10" t="s">
        <v>909</v>
      </c>
      <c r="C28" s="10" t="s">
        <v>110</v>
      </c>
      <c r="D28" s="16">
        <f>D27/(Inputs!$D$7+$D$34)^D8</f>
        <v>-12155.346473703288</v>
      </c>
      <c r="E28" s="16">
        <f>E27/(Inputs!$D$7+$D$34)^E8</f>
        <v>-8779.6442824029727</v>
      </c>
      <c r="F28" s="16">
        <f>F27/(Inputs!$D$7+$D$34)^F8</f>
        <v>1360.4816496287547</v>
      </c>
      <c r="G28" s="16">
        <f>G27/(Inputs!$D$7+$D$34)^G8</f>
        <v>12555.371548947493</v>
      </c>
      <c r="H28" s="16">
        <f>H27/(Inputs!$D$7+$D$34)^H8</f>
        <v>3602.6411290305823</v>
      </c>
      <c r="I28" s="16">
        <f>I27/(Inputs!$D$7+$D$34)^I8</f>
        <v>397.70442579954499</v>
      </c>
      <c r="J28" s="16">
        <f>J27/(Inputs!$D$7+$D$34)^J8</f>
        <v>2977.0009206669915</v>
      </c>
      <c r="K28" s="16">
        <f>K27/(Inputs!$D$7+$D$34)^K8</f>
        <v>8575.4877050389241</v>
      </c>
      <c r="L28" s="16">
        <f>L27/(Inputs!$D$7+$D$34)^L8</f>
        <v>2460.6523659794971</v>
      </c>
      <c r="M28" s="16">
        <f>M27/(Inputs!$D$7+$D$34)^M8</f>
        <v>271.63747407932851</v>
      </c>
    </row>
    <row r="29" spans="2:13" ht="15" customHeight="1" x14ac:dyDescent="0.2">
      <c r="B29" s="3" t="s">
        <v>910</v>
      </c>
      <c r="C29" s="10" t="s">
        <v>896</v>
      </c>
      <c r="D29" s="28">
        <f>(D15*$D$33-D19)/(Inputs!$D$7+$D$34)^D8</f>
        <v>64.330856237917445</v>
      </c>
      <c r="E29" s="28">
        <f>(E15*$D$33-E19)/(Inputs!$D$7+$D$34)^E8</f>
        <v>236.42380139523098</v>
      </c>
      <c r="F29" s="28">
        <f>(F15*$D$33-F19)/(Inputs!$D$7+$D$34)^F8</f>
        <v>356.83568908039001</v>
      </c>
      <c r="G29" s="28">
        <f>(G15*$D$33-G19)/(Inputs!$D$7+$D$34)^G8</f>
        <v>383.60556091707036</v>
      </c>
      <c r="H29" s="28">
        <f>(H15*$D$33-H19)/(Inputs!$D$7+$D$34)^H8</f>
        <v>348.75507884227414</v>
      </c>
      <c r="I29" s="28">
        <f>(I15*$D$33-I19)/(Inputs!$D$7+$D$34)^I8</f>
        <v>316.98802826091918</v>
      </c>
      <c r="J29" s="28">
        <f>(J15*$D$33-J19)/(Inputs!$D$7+$D$34)^J8</f>
        <v>288.18973459066564</v>
      </c>
      <c r="K29" s="28">
        <f>(K15*$D$33-K19)/(Inputs!$D$7+$D$34)^K8</f>
        <v>262.00775965922423</v>
      </c>
      <c r="L29" s="28">
        <f>(L15*$D$33-L19)/(Inputs!$D$7+$D$34)^L8</f>
        <v>238.2044114761793</v>
      </c>
      <c r="M29" s="28">
        <f>(M15*$D$33-M19)/(Inputs!$D$7+$D$34)^M8</f>
        <v>216.50708849185102</v>
      </c>
    </row>
    <row r="30" spans="2:13" ht="15" customHeight="1" x14ac:dyDescent="0.2">
      <c r="B30" s="10" t="s">
        <v>911</v>
      </c>
      <c r="C30" s="10" t="s">
        <v>110</v>
      </c>
      <c r="D30" s="16">
        <f>(-D17-D18)/(Inputs!$D$7+$D$34)^D8</f>
        <v>-14536.447397527105</v>
      </c>
      <c r="E30" s="16">
        <f>(-E17-E18)/(Inputs!$D$7+$D$34)^E8</f>
        <v>-17616.488200475756</v>
      </c>
      <c r="F30" s="16">
        <f>(-F17-F18)/(Inputs!$D$7+$D$34)^F8</f>
        <v>-12012.025548964448</v>
      </c>
      <c r="G30" s="16">
        <f>(-G17-G18)/(Inputs!$D$7+$D$34)^G8</f>
        <v>-1851.359915178487</v>
      </c>
      <c r="H30" s="16">
        <f>(-H17-H18)/(Inputs!$D$7+$D$34)^H8</f>
        <v>-9495.2419037884629</v>
      </c>
      <c r="I30" s="16">
        <f>(-I17-I18)/(Inputs!$D$7+$D$34)^I8</f>
        <v>-11507.131858586603</v>
      </c>
      <c r="J30" s="16">
        <f>(-J17-J18)/(Inputs!$D$7+$D$34)^J8</f>
        <v>-7846.2835672839774</v>
      </c>
      <c r="K30" s="16">
        <f>(-K17-K18)/(Inputs!$D$7+$D$34)^K8</f>
        <v>-1264.5037327904422</v>
      </c>
      <c r="L30" s="16">
        <f>(-L17-L18)/(Inputs!$D$7+$D$34)^L8</f>
        <v>-6485.3779822337692</v>
      </c>
      <c r="M30" s="16">
        <f>(-M17-M18)/(Inputs!$D$7+$D$34)^M8</f>
        <v>-7859.5258920747219</v>
      </c>
    </row>
    <row r="31" spans="2:13" ht="15" customHeight="1" x14ac:dyDescent="0.2">
      <c r="B31" s="10" t="s">
        <v>912</v>
      </c>
      <c r="C31" s="10" t="s">
        <v>110</v>
      </c>
      <c r="D31" s="16">
        <f>Prices!I6</f>
        <v>43700</v>
      </c>
    </row>
    <row r="32" spans="2:13" ht="15" customHeight="1" x14ac:dyDescent="0.2">
      <c r="B32" s="3" t="s">
        <v>913</v>
      </c>
      <c r="C32" s="10" t="s">
        <v>914</v>
      </c>
      <c r="D32" s="28">
        <f>IF(J39&gt;=J35,J39,(D31-J38)/J37)</f>
        <v>43.317405506371379</v>
      </c>
      <c r="G32" s="99" t="s">
        <v>915</v>
      </c>
      <c r="H32" s="91"/>
      <c r="I32" s="91"/>
      <c r="J32" s="28">
        <f>D32*Inputs!$D$15</f>
        <v>30.231217302896585</v>
      </c>
      <c r="K32" s="99" t="s">
        <v>916</v>
      </c>
      <c r="L32" s="91"/>
      <c r="M32" s="91"/>
    </row>
    <row r="33" spans="2:13" ht="15" customHeight="1" x14ac:dyDescent="0.2">
      <c r="B33" s="10" t="s">
        <v>917</v>
      </c>
      <c r="C33" s="10" t="s">
        <v>104</v>
      </c>
      <c r="D33" s="30">
        <f>Inputs!$D$81</f>
        <v>0.6</v>
      </c>
      <c r="G33" s="99" t="s">
        <v>918</v>
      </c>
      <c r="H33" s="91"/>
      <c r="I33" s="91"/>
      <c r="J33" s="28">
        <f>IF(-D44/D43&gt;=J35,-D44/D43,-J38/J37)</f>
        <v>32.284876648616972</v>
      </c>
      <c r="K33" s="99" t="s">
        <v>919</v>
      </c>
      <c r="L33" s="91"/>
      <c r="M33" s="91"/>
    </row>
    <row r="34" spans="2:13" ht="15" customHeight="1" x14ac:dyDescent="0.2">
      <c r="B34" s="10" t="s">
        <v>920</v>
      </c>
      <c r="C34" s="10" t="s">
        <v>104</v>
      </c>
      <c r="D34" s="30">
        <f>Inputs!$D$82</f>
        <v>0.1</v>
      </c>
      <c r="G34" s="99" t="s">
        <v>918</v>
      </c>
      <c r="H34" s="91"/>
      <c r="I34" s="91"/>
      <c r="J34" s="28">
        <f>J33*Inputs!$D$15</f>
        <v>22.531615413069783</v>
      </c>
      <c r="K34" s="99" t="s">
        <v>916</v>
      </c>
      <c r="L34" s="91"/>
      <c r="M34" s="91"/>
    </row>
    <row r="35" spans="2:13" ht="15" customHeight="1" x14ac:dyDescent="0.2">
      <c r="B35" s="3" t="s">
        <v>921</v>
      </c>
      <c r="C35" s="10" t="s">
        <v>848</v>
      </c>
      <c r="D35" s="28">
        <f>Capital!$D$13</f>
        <v>57.347931490590682</v>
      </c>
      <c r="G35" s="99" t="s">
        <v>922</v>
      </c>
      <c r="H35" s="91"/>
      <c r="I35" s="91"/>
      <c r="J35" s="28">
        <f>($D$35/Inputs!$D$21+$D$36/Inputs!$D$22)/$D$33</f>
        <v>24.113076913095469</v>
      </c>
      <c r="K35" s="99" t="s">
        <v>919</v>
      </c>
      <c r="L35" s="91"/>
      <c r="M35" s="91"/>
    </row>
    <row r="36" spans="2:13" ht="15" customHeight="1" x14ac:dyDescent="0.2">
      <c r="B36" s="3" t="s">
        <v>923</v>
      </c>
      <c r="C36" s="10" t="s">
        <v>848</v>
      </c>
      <c r="D36" s="28">
        <f>Capital!$D$14</f>
        <v>2.6172655041921802</v>
      </c>
    </row>
    <row r="37" spans="2:13" ht="15" customHeight="1" x14ac:dyDescent="0.2">
      <c r="B37" s="10" t="s">
        <v>924</v>
      </c>
      <c r="C37" s="10" t="s">
        <v>896</v>
      </c>
      <c r="D37" s="28">
        <f>(M10*(Inputs!$D$7+Inputs!$D$20)*$D$33*(Inputs!$D$7-Inputs!$D$19)-M10*Inputs!$D$20*Inputs!$D$23)/($D$34-Inputs!$D$20)/(Inputs!$D$7+$D$34)^M8</f>
        <v>2068.2441036763203</v>
      </c>
      <c r="G37" s="92" t="s">
        <v>910</v>
      </c>
      <c r="H37" s="91"/>
      <c r="I37" s="91"/>
      <c r="J37" s="28">
        <f>SUM(D29:M29)+(M10*(Inputs!$D$7+Inputs!$D$20)*$D$33-M10*Inputs!$D$20*Inputs!$D$23)/($D$34-Inputs!$D$20)/(Inputs!$D$7+$D$34)^M8</f>
        <v>5667.7711754446318</v>
      </c>
      <c r="K37" s="99" t="s">
        <v>896</v>
      </c>
      <c r="L37" s="91"/>
      <c r="M37" s="91"/>
    </row>
    <row r="38" spans="2:13" ht="15" customHeight="1" x14ac:dyDescent="0.2">
      <c r="B38" s="10" t="s">
        <v>925</v>
      </c>
      <c r="C38" s="10" t="s">
        <v>110</v>
      </c>
      <c r="D38" s="16">
        <f>(D41*Inputs!$D$19-D41-D42)/($D$34-Inputs!$D$20)/(Inputs!$D$7+$D$34)^M8</f>
        <v>-57156.954988173631</v>
      </c>
      <c r="G38" s="92" t="s">
        <v>926</v>
      </c>
      <c r="H38" s="91"/>
      <c r="I38" s="91"/>
      <c r="J38" s="16">
        <f>SUM(D30:M30)-(D41+D42)/($D$34-Inputs!$D$20)/(Inputs!$D$7+$D$34)^M8</f>
        <v>-169036.01450291832</v>
      </c>
      <c r="K38" s="99" t="s">
        <v>110</v>
      </c>
      <c r="L38" s="91"/>
      <c r="M38" s="91"/>
    </row>
    <row r="39" spans="2:13" ht="15" customHeight="1" x14ac:dyDescent="0.2">
      <c r="B39" s="10" t="s">
        <v>927</v>
      </c>
      <c r="C39" s="10" t="s">
        <v>928</v>
      </c>
      <c r="D39" s="16">
        <f>(M10*(Inputs!$D$7+Inputs!$D$20)*$D$32*$D$33-D41)-MAX((M10*(Inputs!$D$7+Inputs!$D$20)*$D$32*$D$33-D41),Inputs!$D$6)*Inputs!$D$19-D42-M10*Inputs!$D$20*$D$32*Inputs!$D$23</f>
        <v>6141.2880022018398</v>
      </c>
      <c r="G39" s="99" t="s">
        <v>929</v>
      </c>
      <c r="H39" s="91"/>
      <c r="I39" s="91"/>
      <c r="J39" s="28">
        <f>(D31-D44)/D43</f>
        <v>43.317405506371379</v>
      </c>
      <c r="K39" s="99" t="s">
        <v>919</v>
      </c>
      <c r="L39" s="91"/>
      <c r="M39" s="91"/>
    </row>
    <row r="40" spans="2:13" ht="15" customHeight="1" x14ac:dyDescent="0.2">
      <c r="B40" s="10" t="s">
        <v>930</v>
      </c>
      <c r="C40" s="10" t="s">
        <v>110</v>
      </c>
      <c r="D40" s="16">
        <f>D39/($D$34-Inputs!$D$20)</f>
        <v>81883.84002935786</v>
      </c>
      <c r="G40" s="99" t="s">
        <v>931</v>
      </c>
      <c r="H40" s="91"/>
      <c r="I40" s="91"/>
      <c r="J40" s="16">
        <f>MIN(D24:M24,(M10*(Inputs!$D$7+Inputs!$D$20)*$D$32*$D$33-D41))</f>
        <v>1447.0915085338991</v>
      </c>
      <c r="K40" s="99" t="s">
        <v>110</v>
      </c>
      <c r="L40" s="91"/>
      <c r="M40" s="91"/>
    </row>
    <row r="41" spans="2:13" ht="15" customHeight="1" x14ac:dyDescent="0.2">
      <c r="B41" s="10" t="s">
        <v>932</v>
      </c>
      <c r="C41" s="10" t="s">
        <v>928</v>
      </c>
      <c r="D41" s="16">
        <f>M10*(Inputs!$D$7+Inputs!$D$20)*($D$35/Inputs!$D$21+$D$36/Inputs!$D$22)</f>
        <v>13509.71303671543</v>
      </c>
      <c r="G41" s="99" t="s">
        <v>933</v>
      </c>
      <c r="H41" s="91"/>
      <c r="I41" s="91"/>
      <c r="J41" s="31" t="str">
        <f>IF(J40&lt;Inputs!$D$6,"breached","satisfied")</f>
        <v>satisfied</v>
      </c>
      <c r="K41" s="99" t="s">
        <v>934</v>
      </c>
      <c r="L41" s="91"/>
      <c r="M41" s="91"/>
    </row>
    <row r="42" spans="2:13" ht="15" customHeight="1" x14ac:dyDescent="0.2">
      <c r="B42" s="10" t="s">
        <v>935</v>
      </c>
      <c r="C42" s="10" t="s">
        <v>928</v>
      </c>
      <c r="D42" s="16">
        <f>M10*Inputs!$D$20*($D$35+$D$36)</f>
        <v>1365.7073615561799</v>
      </c>
    </row>
    <row r="43" spans="2:13" ht="15" customHeight="1" x14ac:dyDescent="0.2">
      <c r="B43" s="10" t="s">
        <v>936</v>
      </c>
      <c r="C43" s="10" t="s">
        <v>896</v>
      </c>
      <c r="D43" s="28">
        <f>SUM(D20:M20)+D37</f>
        <v>3961.0138857044249</v>
      </c>
      <c r="G43" s="99" t="s">
        <v>937</v>
      </c>
      <c r="H43" s="91"/>
      <c r="I43" s="91"/>
      <c r="J43" s="16">
        <f>D45-D31</f>
        <v>0</v>
      </c>
      <c r="K43" s="99" t="s">
        <v>110</v>
      </c>
      <c r="L43" s="91"/>
      <c r="M43" s="91"/>
    </row>
    <row r="44" spans="2:13" ht="15" customHeight="1" x14ac:dyDescent="0.2">
      <c r="B44" s="10" t="s">
        <v>938</v>
      </c>
      <c r="C44" s="10" t="s">
        <v>110</v>
      </c>
      <c r="D44" s="16">
        <f>SUM(D21:M21)+D38</f>
        <v>-127880.84470342637</v>
      </c>
    </row>
    <row r="45" spans="2:13" ht="15" customHeight="1" x14ac:dyDescent="0.2">
      <c r="B45" s="10" t="s">
        <v>939</v>
      </c>
      <c r="C45" s="10" t="s">
        <v>110</v>
      </c>
      <c r="D45" s="16">
        <f>SUM(D28:M28)+D40/(Inputs!$D$7+$D$34)^M8</f>
        <v>43700.000000000007</v>
      </c>
    </row>
    <row r="46" spans="2:13" ht="15" customHeight="1" x14ac:dyDescent="0.2">
      <c r="B46" s="10" t="s">
        <v>940</v>
      </c>
      <c r="C46" s="10" t="s">
        <v>104</v>
      </c>
      <c r="D46" s="30">
        <f>IF(ABS(D31)&gt;Inputs!$D$6,D45/D31-Inputs!$D$7,Inputs!$D$6)</f>
        <v>2.2204460492503131E-16</v>
      </c>
    </row>
    <row r="47" spans="2:13" ht="15" customHeight="1" x14ac:dyDescent="0.2">
      <c r="B47" s="10" t="s">
        <v>941</v>
      </c>
      <c r="C47" s="10" t="s">
        <v>104</v>
      </c>
      <c r="D47" s="30">
        <f>IF(ABS(D45)&gt;Inputs!$D$119,D40/(Inputs!$D$7+$D$34)^M8/D45,Inputs!$D$6)</f>
        <v>0.74219710610835576</v>
      </c>
    </row>
    <row r="48" spans="2:13" ht="15" customHeight="1" x14ac:dyDescent="0.2">
      <c r="B48" s="10" t="s">
        <v>942</v>
      </c>
      <c r="C48" s="10" t="s">
        <v>943</v>
      </c>
      <c r="D48" s="26">
        <f>$D$32*Inputs!$D$8/Prices!$P$6/(Inputs!$D$26/Inputs!$D$25)/Inputs!$D$11/Inputs!$D$56</f>
        <v>7.8774017689203433</v>
      </c>
    </row>
    <row r="52" spans="1:13" ht="15" customHeight="1" x14ac:dyDescent="0.2">
      <c r="A52" s="104" t="s">
        <v>944</v>
      </c>
      <c r="B52" s="10" t="s">
        <v>886</v>
      </c>
      <c r="C52" s="10" t="s">
        <v>107</v>
      </c>
      <c r="D52" s="28">
        <f>Inputs!$D$60</f>
        <v>1</v>
      </c>
      <c r="E52" s="28">
        <f>Inputs!$D$62</f>
        <v>2</v>
      </c>
      <c r="F52" s="28">
        <f>Inputs!$D$64</f>
        <v>3</v>
      </c>
      <c r="G52" s="28">
        <f>Inputs!$D$66</f>
        <v>4</v>
      </c>
      <c r="H52" s="28">
        <f>Inputs!$D$68</f>
        <v>5</v>
      </c>
      <c r="I52" s="28">
        <f>Inputs!$D$70</f>
        <v>6</v>
      </c>
      <c r="J52" s="28">
        <f>Inputs!$D$72</f>
        <v>7</v>
      </c>
      <c r="K52" s="28">
        <f>Inputs!$D$74</f>
        <v>8</v>
      </c>
      <c r="L52" s="28">
        <f>Inputs!$D$76</f>
        <v>9</v>
      </c>
      <c r="M52" s="28">
        <f>Inputs!$D$78</f>
        <v>10</v>
      </c>
    </row>
    <row r="53" spans="1:13" ht="15" customHeight="1" x14ac:dyDescent="0.2">
      <c r="A53" s="91"/>
      <c r="B53" s="10" t="s">
        <v>887</v>
      </c>
      <c r="C53" s="10" t="s">
        <v>161</v>
      </c>
      <c r="D53" s="29">
        <f>Inputs!$D$61</f>
        <v>46568</v>
      </c>
      <c r="E53" s="29">
        <f>Inputs!$D$63</f>
        <v>46934</v>
      </c>
      <c r="F53" s="29">
        <f>Inputs!$D$65</f>
        <v>47299</v>
      </c>
      <c r="G53" s="29">
        <f>Inputs!$D$67</f>
        <v>47664</v>
      </c>
      <c r="H53" s="29">
        <f>Inputs!$D$69</f>
        <v>48029</v>
      </c>
      <c r="I53" s="29">
        <f>Inputs!$D$71</f>
        <v>48395</v>
      </c>
      <c r="J53" s="29">
        <f>Inputs!$D$73</f>
        <v>48760</v>
      </c>
      <c r="K53" s="29">
        <f>Inputs!$D$75</f>
        <v>49125</v>
      </c>
      <c r="L53" s="29">
        <f>Inputs!$D$77</f>
        <v>49490</v>
      </c>
      <c r="M53" s="29">
        <f>Inputs!$D$79</f>
        <v>49856</v>
      </c>
    </row>
    <row r="54" spans="1:13" ht="15" customHeight="1" x14ac:dyDescent="0.2">
      <c r="A54" s="91"/>
      <c r="B54" s="10" t="s">
        <v>888</v>
      </c>
      <c r="C54" s="10" t="s">
        <v>107</v>
      </c>
      <c r="D54" s="28">
        <f>(D53-Inputs!$D$13)/Inputs!$D$10</f>
        <v>0.71457905544147848</v>
      </c>
      <c r="E54" s="28">
        <f>(E53-Inputs!$D$13)/Inputs!$D$10</f>
        <v>1.7166324435318274</v>
      </c>
      <c r="F54" s="28">
        <f>(F53-Inputs!$D$13)/Inputs!$D$10</f>
        <v>2.7159479808350446</v>
      </c>
      <c r="G54" s="28">
        <f>(G53-Inputs!$D$13)/Inputs!$D$10</f>
        <v>3.7152635181382614</v>
      </c>
      <c r="H54" s="28">
        <f>(H53-Inputs!$D$13)/Inputs!$D$10</f>
        <v>4.7145790554414786</v>
      </c>
      <c r="I54" s="28">
        <f>(I53-Inputs!$D$13)/Inputs!$D$10</f>
        <v>5.7166324435318279</v>
      </c>
      <c r="J54" s="28">
        <f>(J53-Inputs!$D$13)/Inputs!$D$10</f>
        <v>6.7159479808350442</v>
      </c>
      <c r="K54" s="28">
        <f>(K53-Inputs!$D$13)/Inputs!$D$10</f>
        <v>7.7152635181382614</v>
      </c>
      <c r="L54" s="28">
        <f>(L53-Inputs!$D$13)/Inputs!$D$10</f>
        <v>8.7145790554414777</v>
      </c>
      <c r="M54" s="28">
        <f>(M53-Inputs!$D$13)/Inputs!$D$10</f>
        <v>9.716632443531827</v>
      </c>
    </row>
    <row r="55" spans="1:13" ht="15" customHeight="1" x14ac:dyDescent="0.2">
      <c r="A55" s="91"/>
      <c r="B55" s="10" t="s">
        <v>889</v>
      </c>
      <c r="C55" s="10" t="s">
        <v>107</v>
      </c>
      <c r="D55" s="28">
        <f>D54</f>
        <v>0.71457905544147848</v>
      </c>
      <c r="E55" s="28">
        <f>Inputs!$D$7</f>
        <v>1</v>
      </c>
      <c r="F55" s="28">
        <f>Inputs!$D$7</f>
        <v>1</v>
      </c>
      <c r="G55" s="28">
        <f>Inputs!$D$7</f>
        <v>1</v>
      </c>
      <c r="H55" s="28">
        <f>Inputs!$D$7</f>
        <v>1</v>
      </c>
      <c r="I55" s="28">
        <f>Inputs!$D$7</f>
        <v>1</v>
      </c>
      <c r="J55" s="28">
        <f>Inputs!$D$7</f>
        <v>1</v>
      </c>
      <c r="K55" s="28">
        <f>Inputs!$D$7</f>
        <v>1</v>
      </c>
      <c r="L55" s="28">
        <f>Inputs!$D$7</f>
        <v>1</v>
      </c>
      <c r="M55" s="28">
        <f>Inputs!$D$7</f>
        <v>1</v>
      </c>
    </row>
    <row r="56" spans="1:13" ht="15" customHeight="1" x14ac:dyDescent="0.2">
      <c r="A56" s="91"/>
      <c r="B56" s="3" t="s">
        <v>890</v>
      </c>
      <c r="C56" s="10" t="s">
        <v>199</v>
      </c>
      <c r="D56" s="28">
        <f>Inputs!$D$24+(Inputs!$D$93-Inputs!$D$24)*Inputs!$D$96</f>
        <v>279.10000000000002</v>
      </c>
      <c r="E56" s="28">
        <f>Inputs!$D$24+(Inputs!$D$93-Inputs!$D$24)*Inputs!$D$97</f>
        <v>900.7</v>
      </c>
      <c r="F56" s="28">
        <f>Inputs!$D$24+(Inputs!$D$93-Inputs!$D$24)*Inputs!$D$98</f>
        <v>1366.8999999999999</v>
      </c>
      <c r="G56" s="28">
        <f>Inputs!$D$24+(Inputs!$D$93-Inputs!$D$24)*Inputs!$D$99</f>
        <v>1600</v>
      </c>
      <c r="H56" s="28">
        <f>Inputs!$D$24+(Inputs!$D$93-Inputs!$D$24)*Inputs!$D$100</f>
        <v>1600</v>
      </c>
      <c r="I56" s="28">
        <f>Inputs!$D$24+(Inputs!$D$93-Inputs!$D$24)*Inputs!$D$101</f>
        <v>1600</v>
      </c>
      <c r="J56" s="28">
        <f>Inputs!$D$24+(Inputs!$D$93-Inputs!$D$24)*Inputs!$D$102</f>
        <v>1600</v>
      </c>
      <c r="K56" s="28">
        <f>Inputs!$D$24+(Inputs!$D$93-Inputs!$D$24)*Inputs!$D$103</f>
        <v>1600</v>
      </c>
      <c r="L56" s="28">
        <f>Inputs!$D$24+(Inputs!$D$93-Inputs!$D$24)*Inputs!$D$104</f>
        <v>1600</v>
      </c>
      <c r="M56" s="28">
        <f>Inputs!$D$24+(Inputs!$D$93-Inputs!$D$24)*Inputs!$D$105</f>
        <v>1600</v>
      </c>
    </row>
    <row r="57" spans="1:13" ht="15" customHeight="1" x14ac:dyDescent="0.2">
      <c r="A57" s="91"/>
      <c r="B57" s="10" t="s">
        <v>891</v>
      </c>
      <c r="C57" s="10" t="s">
        <v>199</v>
      </c>
      <c r="D57" s="28">
        <f>Inputs!$D$24</f>
        <v>46</v>
      </c>
      <c r="E57" s="28">
        <f t="shared" ref="E57:M57" si="10">D56</f>
        <v>279.10000000000002</v>
      </c>
      <c r="F57" s="28">
        <f t="shared" si="10"/>
        <v>900.7</v>
      </c>
      <c r="G57" s="28">
        <f t="shared" si="10"/>
        <v>1366.8999999999999</v>
      </c>
      <c r="H57" s="28">
        <f t="shared" si="10"/>
        <v>1600</v>
      </c>
      <c r="I57" s="28">
        <f t="shared" si="10"/>
        <v>1600</v>
      </c>
      <c r="J57" s="28">
        <f t="shared" si="10"/>
        <v>1600</v>
      </c>
      <c r="K57" s="28">
        <f t="shared" si="10"/>
        <v>1600</v>
      </c>
      <c r="L57" s="28">
        <f t="shared" si="10"/>
        <v>1600</v>
      </c>
      <c r="M57" s="28">
        <f t="shared" si="10"/>
        <v>1600</v>
      </c>
    </row>
    <row r="58" spans="1:13" ht="15" customHeight="1" x14ac:dyDescent="0.2">
      <c r="B58" s="10" t="s">
        <v>892</v>
      </c>
      <c r="C58" s="10" t="s">
        <v>199</v>
      </c>
      <c r="D58" s="28">
        <f>(D57+D56)*Inputs!$D$12</f>
        <v>162.55000000000001</v>
      </c>
      <c r="E58" s="28">
        <f>(E57+E56)*Inputs!$D$12</f>
        <v>589.90000000000009</v>
      </c>
      <c r="F58" s="28">
        <f>(F57+F56)*Inputs!$D$12</f>
        <v>1133.8</v>
      </c>
      <c r="G58" s="28">
        <f>(G57+G56)*Inputs!$D$12</f>
        <v>1483.4499999999998</v>
      </c>
      <c r="H58" s="28">
        <f>(H57+H56)*Inputs!$D$12</f>
        <v>1600</v>
      </c>
      <c r="I58" s="28">
        <f>(I57+I56)*Inputs!$D$12</f>
        <v>1600</v>
      </c>
      <c r="J58" s="28">
        <f>(J57+J56)*Inputs!$D$12</f>
        <v>1600</v>
      </c>
      <c r="K58" s="28">
        <f>(K57+K56)*Inputs!$D$12</f>
        <v>1600</v>
      </c>
      <c r="L58" s="28">
        <f>(L57+L56)*Inputs!$D$12</f>
        <v>1600</v>
      </c>
      <c r="M58" s="28">
        <f>(M57+M56)*Inputs!$D$12</f>
        <v>1600</v>
      </c>
    </row>
    <row r="59" spans="1:13" ht="15" customHeight="1" x14ac:dyDescent="0.2">
      <c r="B59" s="10" t="s">
        <v>893</v>
      </c>
      <c r="C59" s="10" t="s">
        <v>199</v>
      </c>
      <c r="D59" s="28">
        <f t="shared" ref="D59:M59" si="11">D56-D57</f>
        <v>233.10000000000002</v>
      </c>
      <c r="E59" s="28">
        <f t="shared" si="11"/>
        <v>621.6</v>
      </c>
      <c r="F59" s="28">
        <f t="shared" si="11"/>
        <v>466.19999999999982</v>
      </c>
      <c r="G59" s="28">
        <f t="shared" si="11"/>
        <v>233.10000000000014</v>
      </c>
      <c r="H59" s="28">
        <f t="shared" si="11"/>
        <v>0</v>
      </c>
      <c r="I59" s="28">
        <f t="shared" si="11"/>
        <v>0</v>
      </c>
      <c r="J59" s="28">
        <f t="shared" si="11"/>
        <v>0</v>
      </c>
      <c r="K59" s="28">
        <f t="shared" si="11"/>
        <v>0</v>
      </c>
      <c r="L59" s="28">
        <f t="shared" si="11"/>
        <v>0</v>
      </c>
      <c r="M59" s="28">
        <f t="shared" si="11"/>
        <v>0</v>
      </c>
    </row>
    <row r="60" spans="1:13" ht="15" customHeight="1" x14ac:dyDescent="0.2">
      <c r="B60" s="10" t="s">
        <v>894</v>
      </c>
      <c r="C60" s="10" t="s">
        <v>199</v>
      </c>
      <c r="D60" s="28">
        <f>IF(MOD(D52,Inputs!$D$21)=Inputs!$D$6,Inputs!$D$24,Inputs!$D$6)+SUMPRODUCT(--(D52&gt;$D$52:$M$52),--(MOD(D52-$D$52:$M$52,Inputs!$D$21)=Inputs!$D$6),$D$59:$M$59)</f>
        <v>0</v>
      </c>
      <c r="E60" s="28">
        <f>IF(MOD(E52,Inputs!$D$21)=Inputs!$D$6,Inputs!$D$24,Inputs!$D$6)+SUMPRODUCT(--(E52&gt;$D$52:$M$52),--(MOD(E52-$D$52:$M$52,Inputs!$D$21)=Inputs!$D$6),$D$59:$M$59)</f>
        <v>0</v>
      </c>
      <c r="F60" s="28">
        <f>IF(MOD(F52,Inputs!$D$21)=Inputs!$D$6,Inputs!$D$24,Inputs!$D$6)+SUMPRODUCT(--(F52&gt;$D$52:$M$52),--(MOD(F52-$D$52:$M$52,Inputs!$D$21)=Inputs!$D$6),$D$59:$M$59)</f>
        <v>0</v>
      </c>
      <c r="G60" s="28">
        <f>IF(MOD(G52,Inputs!$D$21)=Inputs!$D$6,Inputs!$D$24,Inputs!$D$6)+SUMPRODUCT(--(G52&gt;$D$52:$M$52),--(MOD(G52-$D$52:$M$52,Inputs!$D$21)=Inputs!$D$6),$D$59:$M$59)</f>
        <v>46</v>
      </c>
      <c r="H60" s="28">
        <f>IF(MOD(H52,Inputs!$D$21)=Inputs!$D$6,Inputs!$D$24,Inputs!$D$6)+SUMPRODUCT(--(H52&gt;$D$52:$M$52),--(MOD(H52-$D$52:$M$52,Inputs!$D$21)=Inputs!$D$6),$D$59:$M$59)</f>
        <v>233.10000000000002</v>
      </c>
      <c r="I60" s="28">
        <f>IF(MOD(I52,Inputs!$D$21)=Inputs!$D$6,Inputs!$D$24,Inputs!$D$6)+SUMPRODUCT(--(I52&gt;$D$52:$M$52),--(MOD(I52-$D$52:$M$52,Inputs!$D$21)=Inputs!$D$6),$D$59:$M$59)</f>
        <v>621.6</v>
      </c>
      <c r="J60" s="28">
        <f>IF(MOD(J52,Inputs!$D$21)=Inputs!$D$6,Inputs!$D$24,Inputs!$D$6)+SUMPRODUCT(--(J52&gt;$D$52:$M$52),--(MOD(J52-$D$52:$M$52,Inputs!$D$21)=Inputs!$D$6),$D$59:$M$59)</f>
        <v>466.19999999999982</v>
      </c>
      <c r="K60" s="28">
        <f>IF(MOD(K52,Inputs!$D$21)=Inputs!$D$6,Inputs!$D$24,Inputs!$D$6)+SUMPRODUCT(--(K52&gt;$D$52:$M$52),--(MOD(K52-$D$52:$M$52,Inputs!$D$21)=Inputs!$D$6),$D$59:$M$59)</f>
        <v>279.10000000000014</v>
      </c>
      <c r="L60" s="28">
        <f>IF(MOD(L52,Inputs!$D$21)=Inputs!$D$6,Inputs!$D$24,Inputs!$D$6)+SUMPRODUCT(--(L52&gt;$D$52:$M$52),--(MOD(L52-$D$52:$M$52,Inputs!$D$21)=Inputs!$D$6),$D$59:$M$59)</f>
        <v>233.10000000000002</v>
      </c>
      <c r="M60" s="28">
        <f>IF(MOD(M52,Inputs!$D$21)=Inputs!$D$6,Inputs!$D$24,Inputs!$D$6)+SUMPRODUCT(--(M52&gt;$D$52:$M$52),--(MOD(M52-$D$52:$M$52,Inputs!$D$21)=Inputs!$D$6),$D$59:$M$59)</f>
        <v>621.6</v>
      </c>
    </row>
    <row r="61" spans="1:13" ht="15" customHeight="1" x14ac:dyDescent="0.2">
      <c r="B61" s="10" t="s">
        <v>895</v>
      </c>
      <c r="C61" s="10" t="s">
        <v>896</v>
      </c>
      <c r="D61" s="28">
        <f t="shared" ref="D61:M61" si="12">D58*D55</f>
        <v>116.15482546201234</v>
      </c>
      <c r="E61" s="28">
        <f t="shared" si="12"/>
        <v>589.90000000000009</v>
      </c>
      <c r="F61" s="28">
        <f t="shared" si="12"/>
        <v>1133.8</v>
      </c>
      <c r="G61" s="28">
        <f t="shared" si="12"/>
        <v>1483.4499999999998</v>
      </c>
      <c r="H61" s="28">
        <f t="shared" si="12"/>
        <v>1600</v>
      </c>
      <c r="I61" s="28">
        <f t="shared" si="12"/>
        <v>1600</v>
      </c>
      <c r="J61" s="28">
        <f t="shared" si="12"/>
        <v>1600</v>
      </c>
      <c r="K61" s="28">
        <f t="shared" si="12"/>
        <v>1600</v>
      </c>
      <c r="L61" s="28">
        <f t="shared" si="12"/>
        <v>1600</v>
      </c>
      <c r="M61" s="28">
        <f t="shared" si="12"/>
        <v>1600</v>
      </c>
    </row>
    <row r="62" spans="1:13" ht="15" customHeight="1" x14ac:dyDescent="0.2">
      <c r="B62" s="10" t="s">
        <v>897</v>
      </c>
      <c r="C62" s="10" t="s">
        <v>110</v>
      </c>
      <c r="D62" s="16">
        <f>D61*($D$81/Inputs!$D$21+$D$82/Inputs!$D$22)</f>
        <v>1680.51014411561</v>
      </c>
      <c r="E62" s="16">
        <f>E61*($D$81/Inputs!$D$21+$D$82/Inputs!$D$22)</f>
        <v>8534.5824426210111</v>
      </c>
      <c r="F62" s="16">
        <f>F61*($D$81/Inputs!$D$21+$D$82/Inputs!$D$22)</f>
        <v>16403.643962440583</v>
      </c>
      <c r="G62" s="16">
        <f>G61*($D$81/Inputs!$D$21+$D$82/Inputs!$D$22)</f>
        <v>21462.326368038881</v>
      </c>
      <c r="H62" s="16">
        <f>H61*($D$81/Inputs!$D$21+$D$82/Inputs!$D$22)</f>
        <v>23148.553836571649</v>
      </c>
      <c r="I62" s="16">
        <f>I61*($D$81/Inputs!$D$21+$D$82/Inputs!$D$22)</f>
        <v>23148.553836571649</v>
      </c>
      <c r="J62" s="16">
        <f>J61*($D$81/Inputs!$D$21+$D$82/Inputs!$D$22)</f>
        <v>23148.553836571649</v>
      </c>
      <c r="K62" s="16">
        <f>K61*($D$81/Inputs!$D$21+$D$82/Inputs!$D$22)</f>
        <v>23148.553836571649</v>
      </c>
      <c r="L62" s="16">
        <f>L61*($D$81/Inputs!$D$21+$D$82/Inputs!$D$22)</f>
        <v>23148.553836571649</v>
      </c>
      <c r="M62" s="16">
        <f>M61*($D$81/Inputs!$D$21+$D$82/Inputs!$D$22)</f>
        <v>23148.553836571649</v>
      </c>
    </row>
    <row r="63" spans="1:13" ht="15" customHeight="1" x14ac:dyDescent="0.2">
      <c r="B63" s="10" t="s">
        <v>898</v>
      </c>
      <c r="C63" s="10" t="s">
        <v>110</v>
      </c>
      <c r="D63" s="16">
        <f t="shared" ref="D63:M63" si="13">D59*($D$81+$D$82)</f>
        <v>13977.887419483886</v>
      </c>
      <c r="E63" s="16">
        <f t="shared" si="13"/>
        <v>37274.36645195703</v>
      </c>
      <c r="F63" s="16">
        <f t="shared" si="13"/>
        <v>27955.774838967762</v>
      </c>
      <c r="G63" s="16">
        <f t="shared" si="13"/>
        <v>13977.887419483894</v>
      </c>
      <c r="H63" s="16">
        <f t="shared" si="13"/>
        <v>0</v>
      </c>
      <c r="I63" s="16">
        <f t="shared" si="13"/>
        <v>0</v>
      </c>
      <c r="J63" s="16">
        <f t="shared" si="13"/>
        <v>0</v>
      </c>
      <c r="K63" s="16">
        <f t="shared" si="13"/>
        <v>0</v>
      </c>
      <c r="L63" s="16">
        <f t="shared" si="13"/>
        <v>0</v>
      </c>
      <c r="M63" s="16">
        <f t="shared" si="13"/>
        <v>0</v>
      </c>
    </row>
    <row r="64" spans="1:13" ht="15" customHeight="1" x14ac:dyDescent="0.2">
      <c r="B64" s="10" t="s">
        <v>899</v>
      </c>
      <c r="C64" s="10" t="s">
        <v>110</v>
      </c>
      <c r="D64" s="16">
        <f t="shared" ref="D64:M64" si="14">D60*$D$81</f>
        <v>0</v>
      </c>
      <c r="E64" s="16">
        <f t="shared" si="14"/>
        <v>0</v>
      </c>
      <c r="F64" s="16">
        <f t="shared" si="14"/>
        <v>0</v>
      </c>
      <c r="G64" s="16">
        <f t="shared" si="14"/>
        <v>2638.0048485671714</v>
      </c>
      <c r="H64" s="16">
        <f t="shared" si="14"/>
        <v>13367.802830456689</v>
      </c>
      <c r="I64" s="16">
        <f t="shared" si="14"/>
        <v>35647.47421455117</v>
      </c>
      <c r="J64" s="16">
        <f t="shared" si="14"/>
        <v>26735.605660913367</v>
      </c>
      <c r="K64" s="16">
        <f t="shared" si="14"/>
        <v>16005.807679023867</v>
      </c>
      <c r="L64" s="16">
        <f t="shared" si="14"/>
        <v>13367.802830456689</v>
      </c>
      <c r="M64" s="16">
        <f t="shared" si="14"/>
        <v>35647.47421455117</v>
      </c>
    </row>
    <row r="65" spans="2:13" ht="15" customHeight="1" x14ac:dyDescent="0.2">
      <c r="B65" s="10" t="s">
        <v>900</v>
      </c>
      <c r="C65" s="10" t="s">
        <v>199</v>
      </c>
      <c r="D65" s="28">
        <f>D59*Inputs!$D$23</f>
        <v>5.8275000000000006</v>
      </c>
      <c r="E65" s="28">
        <f>E59*Inputs!$D$23</f>
        <v>15.540000000000001</v>
      </c>
      <c r="F65" s="28">
        <f>F59*Inputs!$D$23</f>
        <v>11.654999999999996</v>
      </c>
      <c r="G65" s="28">
        <f>G59*Inputs!$D$23</f>
        <v>5.8275000000000041</v>
      </c>
      <c r="H65" s="28">
        <f>H59*Inputs!$D$23</f>
        <v>0</v>
      </c>
      <c r="I65" s="28">
        <f>I59*Inputs!$D$23</f>
        <v>0</v>
      </c>
      <c r="J65" s="28">
        <f>J59*Inputs!$D$23</f>
        <v>0</v>
      </c>
      <c r="K65" s="28">
        <f>K59*Inputs!$D$23</f>
        <v>0</v>
      </c>
      <c r="L65" s="28">
        <f>L59*Inputs!$D$23</f>
        <v>0</v>
      </c>
      <c r="M65" s="28">
        <f>M59*Inputs!$D$23</f>
        <v>0</v>
      </c>
    </row>
    <row r="66" spans="2:13" ht="15" customHeight="1" x14ac:dyDescent="0.2">
      <c r="B66" s="3" t="s">
        <v>901</v>
      </c>
      <c r="C66" s="10" t="s">
        <v>896</v>
      </c>
      <c r="D66" s="28">
        <f>(D61*$D$79*(Inputs!$D$7-Inputs!$D$19)-D65)/(Inputs!$D$7+$D$80)^D54</f>
        <v>50.541318213721269</v>
      </c>
      <c r="E66" s="28">
        <f>(E61*$D$79*(Inputs!$D$7-Inputs!$D$19)-E65)/(Inputs!$D$7+$D$80)^E54</f>
        <v>238.4864713152904</v>
      </c>
      <c r="F66" s="28">
        <f>(F61*$D$79*(Inputs!$D$7-Inputs!$D$19)-F65)/(Inputs!$D$7+$D$80)^F54</f>
        <v>418.74491871678316</v>
      </c>
      <c r="G66" s="28">
        <f>(G61*$D$79*(Inputs!$D$7-Inputs!$D$19)-G65)/(Inputs!$D$7+$D$80)^G54</f>
        <v>490.87392073514752</v>
      </c>
      <c r="H66" s="28">
        <f>(H61*$D$79*(Inputs!$D$7-Inputs!$D$19)-H65)/(Inputs!$D$7+$D$80)^H54</f>
        <v>472.10300862628105</v>
      </c>
      <c r="I66" s="28">
        <f>(I61*$D$79*(Inputs!$D$7-Inputs!$D$19)-I65)/(Inputs!$D$7+$D$80)^I54</f>
        <v>417.68543753228789</v>
      </c>
      <c r="J66" s="28">
        <f>(J61*$D$79*(Inputs!$D$7-Inputs!$D$19)-J65)/(Inputs!$D$7+$D$80)^J54</f>
        <v>369.66405292491049</v>
      </c>
      <c r="K66" s="28">
        <f>(K61*$D$79*(Inputs!$D$7-Inputs!$D$19)-K65)/(Inputs!$D$7+$D$80)^K54</f>
        <v>327.16369723641031</v>
      </c>
      <c r="L66" s="28">
        <f>(L61*$D$79*(Inputs!$D$7-Inputs!$D$19)-L65)/(Inputs!$D$7+$D$80)^L54</f>
        <v>289.54961658427663</v>
      </c>
      <c r="M66" s="28">
        <f>(M61*$D$79*(Inputs!$D$7-Inputs!$D$19)-M65)/(Inputs!$D$7+$D$80)^M54</f>
        <v>256.17430111750662</v>
      </c>
    </row>
    <row r="67" spans="2:13" ht="15" customHeight="1" x14ac:dyDescent="0.2">
      <c r="B67" s="10" t="s">
        <v>902</v>
      </c>
      <c r="C67" s="10" t="s">
        <v>110</v>
      </c>
      <c r="D67" s="16">
        <f>(D62*Inputs!$D$19-D63-D64)/(Inputs!$D$7+$D$80)^D54</f>
        <v>-12346.937146613671</v>
      </c>
      <c r="E67" s="16">
        <f>(E62*Inputs!$D$19-E63-E64)/(Inputs!$D$7+$D$80)^E54</f>
        <v>-28144.165592831177</v>
      </c>
      <c r="F67" s="16">
        <f>(F62*Inputs!$D$19-F63-F64)/(Inputs!$D$7+$D$80)^F54</f>
        <v>-16528.13772562052</v>
      </c>
      <c r="G67" s="16">
        <f>(G62*Inputs!$D$19-G63-G64)/(Inputs!$D$7+$D$80)^G54</f>
        <v>-6462.9033875784253</v>
      </c>
      <c r="H67" s="16">
        <f>(H62*Inputs!$D$19-H63-H64)/(Inputs!$D$7+$D$80)^H54</f>
        <v>-3610.0349541710043</v>
      </c>
      <c r="I67" s="16">
        <f>(I62*Inputs!$D$19-I63-I64)/(Inputs!$D$7+$D$80)^I54</f>
        <v>-14272.365134506323</v>
      </c>
      <c r="J67" s="16">
        <f>(J62*Inputs!$D$19-J63-J64)/(Inputs!$D$7+$D$80)^J54</f>
        <v>-8709.5665200501735</v>
      </c>
      <c r="K67" s="16">
        <f>(K62*Inputs!$D$19-K63-K64)/(Inputs!$D$7+$D$80)^K54</f>
        <v>-3529.1777141306115</v>
      </c>
      <c r="L67" s="16">
        <f>(L62*Inputs!$D$19-L63-L64)/(Inputs!$D$7+$D$80)^L54</f>
        <v>-2214.1020449702382</v>
      </c>
      <c r="M67" s="16">
        <f>(M62*Inputs!$D$19-M63-M64)/(Inputs!$D$7+$D$80)^M54</f>
        <v>-8753.5088252709138</v>
      </c>
    </row>
    <row r="68" spans="2:13" ht="15" customHeight="1" x14ac:dyDescent="0.2">
      <c r="B68" s="10" t="s">
        <v>903</v>
      </c>
      <c r="C68" s="10" t="s">
        <v>110</v>
      </c>
      <c r="D68" s="16">
        <f t="shared" ref="D68:M68" si="15">D61*$D$78</f>
        <v>4054.8391255379415</v>
      </c>
      <c r="E68" s="16">
        <f t="shared" si="15"/>
        <v>20592.769957173266</v>
      </c>
      <c r="F68" s="16">
        <f t="shared" si="15"/>
        <v>39579.729746470664</v>
      </c>
      <c r="G68" s="16">
        <f t="shared" si="15"/>
        <v>51785.63246816185</v>
      </c>
      <c r="H68" s="16">
        <f t="shared" si="15"/>
        <v>55854.266708725583</v>
      </c>
      <c r="I68" s="16">
        <f t="shared" si="15"/>
        <v>55854.266708725583</v>
      </c>
      <c r="J68" s="16">
        <f t="shared" si="15"/>
        <v>55854.266708725583</v>
      </c>
      <c r="K68" s="16">
        <f t="shared" si="15"/>
        <v>55854.266708725583</v>
      </c>
      <c r="L68" s="16">
        <f t="shared" si="15"/>
        <v>55854.266708725583</v>
      </c>
      <c r="M68" s="16">
        <f t="shared" si="15"/>
        <v>55854.266708725583</v>
      </c>
    </row>
    <row r="69" spans="2:13" ht="15" customHeight="1" x14ac:dyDescent="0.2">
      <c r="B69" s="10" t="s">
        <v>904</v>
      </c>
      <c r="C69" s="10" t="s">
        <v>110</v>
      </c>
      <c r="D69" s="16">
        <f t="shared" ref="D69:M69" si="16">D68*$D$79</f>
        <v>3041.1293441534563</v>
      </c>
      <c r="E69" s="16">
        <f t="shared" si="16"/>
        <v>15444.57746787995</v>
      </c>
      <c r="F69" s="16">
        <f t="shared" si="16"/>
        <v>29684.797309852998</v>
      </c>
      <c r="G69" s="16">
        <f t="shared" si="16"/>
        <v>38839.224351121389</v>
      </c>
      <c r="H69" s="16">
        <f t="shared" si="16"/>
        <v>41890.700031544184</v>
      </c>
      <c r="I69" s="16">
        <f t="shared" si="16"/>
        <v>41890.700031544184</v>
      </c>
      <c r="J69" s="16">
        <f t="shared" si="16"/>
        <v>41890.700031544184</v>
      </c>
      <c r="K69" s="16">
        <f t="shared" si="16"/>
        <v>41890.700031544184</v>
      </c>
      <c r="L69" s="16">
        <f t="shared" si="16"/>
        <v>41890.700031544184</v>
      </c>
      <c r="M69" s="16">
        <f t="shared" si="16"/>
        <v>41890.700031544184</v>
      </c>
    </row>
    <row r="70" spans="2:13" ht="15" customHeight="1" x14ac:dyDescent="0.2">
      <c r="B70" s="10" t="s">
        <v>905</v>
      </c>
      <c r="C70" s="10" t="s">
        <v>110</v>
      </c>
      <c r="D70" s="16">
        <f t="shared" ref="D70:M70" si="17">D69-D62</f>
        <v>1360.6192000378462</v>
      </c>
      <c r="E70" s="16">
        <f t="shared" si="17"/>
        <v>6909.9950252589388</v>
      </c>
      <c r="F70" s="16">
        <f t="shared" si="17"/>
        <v>13281.153347412415</v>
      </c>
      <c r="G70" s="16">
        <f t="shared" si="17"/>
        <v>17376.897983082508</v>
      </c>
      <c r="H70" s="16">
        <f t="shared" si="17"/>
        <v>18742.146194972534</v>
      </c>
      <c r="I70" s="16">
        <f t="shared" si="17"/>
        <v>18742.146194972534</v>
      </c>
      <c r="J70" s="16">
        <f t="shared" si="17"/>
        <v>18742.146194972534</v>
      </c>
      <c r="K70" s="16">
        <f t="shared" si="17"/>
        <v>18742.146194972534</v>
      </c>
      <c r="L70" s="16">
        <f t="shared" si="17"/>
        <v>18742.146194972534</v>
      </c>
      <c r="M70" s="16">
        <f t="shared" si="17"/>
        <v>18742.146194972534</v>
      </c>
    </row>
    <row r="71" spans="2:13" ht="15" customHeight="1" x14ac:dyDescent="0.2">
      <c r="B71" s="10" t="s">
        <v>906</v>
      </c>
      <c r="C71" s="10" t="s">
        <v>110</v>
      </c>
      <c r="D71" s="16">
        <f>MAX(D70,Inputs!$D$6)*Inputs!$D$19</f>
        <v>408.18576001135386</v>
      </c>
      <c r="E71" s="16">
        <f>MAX(E70,Inputs!$D$6)*Inputs!$D$19</f>
        <v>2072.9985075776817</v>
      </c>
      <c r="F71" s="16">
        <f>MAX(F70,Inputs!$D$6)*Inputs!$D$19</f>
        <v>3984.3460042237243</v>
      </c>
      <c r="G71" s="16">
        <f>MAX(G70,Inputs!$D$6)*Inputs!$D$19</f>
        <v>5213.0693949247525</v>
      </c>
      <c r="H71" s="16">
        <f>MAX(H70,Inputs!$D$6)*Inputs!$D$19</f>
        <v>5622.6438584917605</v>
      </c>
      <c r="I71" s="16">
        <f>MAX(I70,Inputs!$D$6)*Inputs!$D$19</f>
        <v>5622.6438584917605</v>
      </c>
      <c r="J71" s="16">
        <f>MAX(J70,Inputs!$D$6)*Inputs!$D$19</f>
        <v>5622.6438584917605</v>
      </c>
      <c r="K71" s="16">
        <f>MAX(K70,Inputs!$D$6)*Inputs!$D$19</f>
        <v>5622.6438584917605</v>
      </c>
      <c r="L71" s="16">
        <f>MAX(L70,Inputs!$D$6)*Inputs!$D$19</f>
        <v>5622.6438584917605</v>
      </c>
      <c r="M71" s="16">
        <f>MAX(M70,Inputs!$D$6)*Inputs!$D$19</f>
        <v>5622.6438584917605</v>
      </c>
    </row>
    <row r="72" spans="2:13" ht="15" customHeight="1" x14ac:dyDescent="0.2">
      <c r="B72" s="10" t="s">
        <v>907</v>
      </c>
      <c r="C72" s="10" t="s">
        <v>110</v>
      </c>
      <c r="D72" s="16">
        <f t="shared" ref="D72:M72" si="18">D65*$D$78</f>
        <v>203.43171202818647</v>
      </c>
      <c r="E72" s="16">
        <f t="shared" si="18"/>
        <v>542.48456540849725</v>
      </c>
      <c r="F72" s="16">
        <f t="shared" si="18"/>
        <v>406.86342405637276</v>
      </c>
      <c r="G72" s="16">
        <f t="shared" si="18"/>
        <v>203.43171202818661</v>
      </c>
      <c r="H72" s="16">
        <f t="shared" si="18"/>
        <v>0</v>
      </c>
      <c r="I72" s="16">
        <f t="shared" si="18"/>
        <v>0</v>
      </c>
      <c r="J72" s="16">
        <f t="shared" si="18"/>
        <v>0</v>
      </c>
      <c r="K72" s="16">
        <f t="shared" si="18"/>
        <v>0</v>
      </c>
      <c r="L72" s="16">
        <f t="shared" si="18"/>
        <v>0</v>
      </c>
      <c r="M72" s="16">
        <f t="shared" si="18"/>
        <v>0</v>
      </c>
    </row>
    <row r="73" spans="2:13" ht="15" customHeight="1" x14ac:dyDescent="0.2">
      <c r="B73" s="10" t="s">
        <v>908</v>
      </c>
      <c r="C73" s="10" t="s">
        <v>110</v>
      </c>
      <c r="D73" s="16">
        <f t="shared" ref="D73:M73" si="19">D69-D71-D63-D64-D72</f>
        <v>-11548.375547369971</v>
      </c>
      <c r="E73" s="16">
        <f t="shared" si="19"/>
        <v>-24445.272057063259</v>
      </c>
      <c r="F73" s="16">
        <f t="shared" si="19"/>
        <v>-2662.1869573948602</v>
      </c>
      <c r="G73" s="16">
        <f t="shared" si="19"/>
        <v>16806.830976117388</v>
      </c>
      <c r="H73" s="16">
        <f t="shared" si="19"/>
        <v>22900.25334259573</v>
      </c>
      <c r="I73" s="16">
        <f t="shared" si="19"/>
        <v>620.58195850125048</v>
      </c>
      <c r="J73" s="16">
        <f t="shared" si="19"/>
        <v>9532.4505121390539</v>
      </c>
      <c r="K73" s="16">
        <f t="shared" si="19"/>
        <v>20262.248494028554</v>
      </c>
      <c r="L73" s="16">
        <f t="shared" si="19"/>
        <v>22900.25334259573</v>
      </c>
      <c r="M73" s="16">
        <f t="shared" si="19"/>
        <v>620.58195850125048</v>
      </c>
    </row>
    <row r="74" spans="2:13" ht="15" customHeight="1" x14ac:dyDescent="0.2">
      <c r="B74" s="10" t="s">
        <v>909</v>
      </c>
      <c r="C74" s="10" t="s">
        <v>110</v>
      </c>
      <c r="D74" s="16">
        <f>D73/(Inputs!$D$7+$D$80)^D54</f>
        <v>-10582.594479538822</v>
      </c>
      <c r="E74" s="16">
        <f>E73/(Inputs!$D$7+$D$80)^E54</f>
        <v>-19818.861233289263</v>
      </c>
      <c r="F74" s="16">
        <f>F73/(Inputs!$D$7+$D$80)^F54</f>
        <v>-1910.2062425387537</v>
      </c>
      <c r="G74" s="16">
        <f>G73/(Inputs!$D$7+$D$80)^G54</f>
        <v>10672.973418108297</v>
      </c>
      <c r="H74" s="16">
        <f>H73/(Inputs!$D$7+$D$80)^H54</f>
        <v>12870.56964445654</v>
      </c>
      <c r="I74" s="16">
        <f>I73/(Inputs!$D$7+$D$80)^I54</f>
        <v>308.58100816814158</v>
      </c>
      <c r="J74" s="16">
        <f>J73/(Inputs!$D$7+$D$80)^J54</f>
        <v>4195.0051078850729</v>
      </c>
      <c r="K74" s="16">
        <f>K73/(Inputs!$D$7+$D$80)^K54</f>
        <v>7891.7525376538915</v>
      </c>
      <c r="L74" s="16">
        <f>L73/(Inputs!$D$7+$D$80)^L54</f>
        <v>7893.7613988468956</v>
      </c>
      <c r="M74" s="16">
        <f>M73/(Inputs!$D$7+$D$80)^M54</f>
        <v>189.25851131570397</v>
      </c>
    </row>
    <row r="75" spans="2:13" ht="15" customHeight="1" x14ac:dyDescent="0.2">
      <c r="B75" s="3" t="s">
        <v>910</v>
      </c>
      <c r="C75" s="10" t="s">
        <v>896</v>
      </c>
      <c r="D75" s="28">
        <f>(D61*$D$79-D65)/(Inputs!$D$7+$D$80)^D54</f>
        <v>74.490519309095831</v>
      </c>
      <c r="E75" s="28">
        <f>(E61*$D$79-E65)/(Inputs!$D$7+$D$80)^E54</f>
        <v>346.09451503846662</v>
      </c>
      <c r="F75" s="28">
        <f>(F61*$D$79-F65)/(Inputs!$D$7+$D$80)^F54</f>
        <v>601.79110266312398</v>
      </c>
      <c r="G75" s="28">
        <f>(G61*$D$79-G65)/(Inputs!$D$7+$D$80)^G54</f>
        <v>702.83446516544734</v>
      </c>
      <c r="H75" s="28">
        <f>(H61*$D$79-H65)/(Inputs!$D$7+$D$80)^H54</f>
        <v>674.43286946611579</v>
      </c>
      <c r="I75" s="28">
        <f>(I61*$D$79-I65)/(Inputs!$D$7+$D$80)^I54</f>
        <v>596.69348218898278</v>
      </c>
      <c r="J75" s="28">
        <f>(J61*$D$79-J65)/(Inputs!$D$7+$D$80)^J54</f>
        <v>528.09150417844353</v>
      </c>
      <c r="K75" s="28">
        <f>(K61*$D$79-K65)/(Inputs!$D$7+$D$80)^K54</f>
        <v>467.37671033772904</v>
      </c>
      <c r="L75" s="28">
        <f>(L61*$D$79-L65)/(Inputs!$D$7+$D$80)^L54</f>
        <v>413.64230940610946</v>
      </c>
      <c r="M75" s="28">
        <f>(M61*$D$79-M65)/(Inputs!$D$7+$D$80)^M54</f>
        <v>365.96328731072373</v>
      </c>
    </row>
    <row r="76" spans="2:13" ht="15" customHeight="1" x14ac:dyDescent="0.2">
      <c r="B76" s="10" t="s">
        <v>911</v>
      </c>
      <c r="C76" s="10" t="s">
        <v>110</v>
      </c>
      <c r="D76" s="16">
        <f>(-D63-D64)/(Inputs!$D$7+$D$80)^D54</f>
        <v>-12808.928289029636</v>
      </c>
      <c r="E76" s="16">
        <f>(-E63-E64)/(Inputs!$D$7+$D$80)^E54</f>
        <v>-30219.974420642928</v>
      </c>
      <c r="F76" s="16">
        <f>(-F63-F64)/(Inputs!$D$7+$D$80)^F54</f>
        <v>-20059.183095337907</v>
      </c>
      <c r="G76" s="16">
        <f>(-G63-G64)/(Inputs!$D$7+$D$80)^G54</f>
        <v>-10551.720115889953</v>
      </c>
      <c r="H76" s="16">
        <f>(-H63-H64)/(Inputs!$D$7+$D$80)^H54</f>
        <v>-7513.0713511684744</v>
      </c>
      <c r="I76" s="16">
        <f>(-I63-I64)/(Inputs!$D$7+$D$80)^I54</f>
        <v>-17725.512933602091</v>
      </c>
      <c r="J76" s="16">
        <f>(-J63-J64)/(Inputs!$D$7+$D$80)^J54</f>
        <v>-11765.705173827875</v>
      </c>
      <c r="K76" s="16">
        <f>(-K63-K64)/(Inputs!$D$7+$D$80)^K54</f>
        <v>-6233.95144943378</v>
      </c>
      <c r="L76" s="16">
        <f>(-L63-L64)/(Inputs!$D$7+$D$80)^L54</f>
        <v>-4607.9073620630261</v>
      </c>
      <c r="M76" s="16">
        <f>(-M63-M64)/(Inputs!$D$7+$D$80)^M54</f>
        <v>-10871.389039901173</v>
      </c>
    </row>
    <row r="77" spans="2:13" ht="15" customHeight="1" x14ac:dyDescent="0.2">
      <c r="B77" s="10" t="s">
        <v>912</v>
      </c>
      <c r="C77" s="10" t="s">
        <v>110</v>
      </c>
      <c r="D77" s="16">
        <f>Prices!I6</f>
        <v>43700</v>
      </c>
    </row>
    <row r="78" spans="2:13" ht="15" customHeight="1" x14ac:dyDescent="0.2">
      <c r="B78" s="3" t="s">
        <v>913</v>
      </c>
      <c r="C78" s="10" t="s">
        <v>914</v>
      </c>
      <c r="D78" s="28">
        <f>IF(J85&gt;=J81,J85,(D77-J84)/J83)</f>
        <v>34.90891669295349</v>
      </c>
      <c r="G78" s="99" t="s">
        <v>915</v>
      </c>
      <c r="H78" s="91"/>
      <c r="I78" s="91"/>
      <c r="J78" s="28">
        <f>D78*Inputs!$D$15</f>
        <v>24.362932960012238</v>
      </c>
      <c r="K78" s="99" t="s">
        <v>916</v>
      </c>
      <c r="L78" s="91"/>
      <c r="M78" s="91"/>
    </row>
    <row r="79" spans="2:13" ht="15" customHeight="1" x14ac:dyDescent="0.2">
      <c r="B79" s="10" t="s">
        <v>917</v>
      </c>
      <c r="C79" s="10" t="s">
        <v>104</v>
      </c>
      <c r="D79" s="30">
        <f>Inputs!$D$94</f>
        <v>0.75</v>
      </c>
      <c r="G79" s="99" t="s">
        <v>918</v>
      </c>
      <c r="H79" s="91"/>
      <c r="I79" s="91"/>
      <c r="J79" s="28">
        <f>IF(-D90/D89&gt;=J81,-D90/D89,-J84/J83)</f>
        <v>27.411702074287536</v>
      </c>
      <c r="K79" s="99" t="s">
        <v>919</v>
      </c>
      <c r="L79" s="91"/>
      <c r="M79" s="91"/>
    </row>
    <row r="80" spans="2:13" ht="15" customHeight="1" x14ac:dyDescent="0.2">
      <c r="B80" s="10" t="s">
        <v>920</v>
      </c>
      <c r="C80" s="10" t="s">
        <v>104</v>
      </c>
      <c r="D80" s="30">
        <f>Inputs!$D$95</f>
        <v>0.13</v>
      </c>
      <c r="G80" s="99" t="s">
        <v>918</v>
      </c>
      <c r="H80" s="91"/>
      <c r="I80" s="91"/>
      <c r="J80" s="28">
        <f>J79*Inputs!$D$15</f>
        <v>19.13062687764527</v>
      </c>
      <c r="K80" s="99" t="s">
        <v>916</v>
      </c>
      <c r="L80" s="91"/>
      <c r="M80" s="91"/>
    </row>
    <row r="81" spans="2:13" ht="15" customHeight="1" x14ac:dyDescent="0.2">
      <c r="B81" s="3" t="s">
        <v>921</v>
      </c>
      <c r="C81" s="10" t="s">
        <v>848</v>
      </c>
      <c r="D81" s="28">
        <f>Capital!$D$13</f>
        <v>57.347931490590682</v>
      </c>
      <c r="G81" s="99" t="s">
        <v>922</v>
      </c>
      <c r="H81" s="91"/>
      <c r="I81" s="91"/>
      <c r="J81" s="28">
        <f>($D$81/Inputs!$D$21+$D$82/Inputs!$D$22)/$D$79</f>
        <v>19.290461530476374</v>
      </c>
      <c r="K81" s="99" t="s">
        <v>919</v>
      </c>
      <c r="L81" s="91"/>
      <c r="M81" s="91"/>
    </row>
    <row r="82" spans="2:13" ht="15" customHeight="1" x14ac:dyDescent="0.2">
      <c r="B82" s="3" t="s">
        <v>923</v>
      </c>
      <c r="C82" s="10" t="s">
        <v>848</v>
      </c>
      <c r="D82" s="28">
        <f>Capital!$D$14</f>
        <v>2.6172655041921802</v>
      </c>
    </row>
    <row r="83" spans="2:13" ht="15" customHeight="1" x14ac:dyDescent="0.2">
      <c r="B83" s="10" t="s">
        <v>924</v>
      </c>
      <c r="C83" s="10" t="s">
        <v>896</v>
      </c>
      <c r="D83" s="28">
        <f>(M56*(Inputs!$D$7+Inputs!$D$20)*$D$79*(Inputs!$D$7-Inputs!$D$19)-M56*Inputs!$D$20*Inputs!$D$23)/($D$80-Inputs!$D$20)/(Inputs!$D$7+$D$80)^M54</f>
        <v>2497.8446594223992</v>
      </c>
      <c r="G83" s="92" t="s">
        <v>910</v>
      </c>
      <c r="H83" s="91"/>
      <c r="I83" s="91"/>
      <c r="J83" s="28">
        <f>SUM(D75:M75)+(M56*(Inputs!$D$7+Inputs!$D$20)*$D$79-M56*Inputs!$D$20*Inputs!$D$23)/($D$80-Inputs!$D$20)/(Inputs!$D$7+$D$80)^M54</f>
        <v>8341.0050516109004</v>
      </c>
      <c r="K83" s="99" t="s">
        <v>896</v>
      </c>
      <c r="L83" s="91"/>
      <c r="M83" s="91"/>
    </row>
    <row r="84" spans="2:13" ht="15" customHeight="1" x14ac:dyDescent="0.2">
      <c r="B84" s="10" t="s">
        <v>925</v>
      </c>
      <c r="C84" s="10" t="s">
        <v>110</v>
      </c>
      <c r="D84" s="16">
        <f>(D87*Inputs!$D$19-D87-D88)/($D$80-Inputs!$D$20)/(Inputs!$D$7+$D$80)^M54</f>
        <v>-55207.290798783099</v>
      </c>
      <c r="G84" s="92" t="s">
        <v>926</v>
      </c>
      <c r="H84" s="91"/>
      <c r="I84" s="91"/>
      <c r="J84" s="16">
        <f>SUM(D76:M76)-(D87+D88)/($D$80-Inputs!$D$20)/(Inputs!$D$7+$D$80)^M54</f>
        <v>-208239.17898202292</v>
      </c>
      <c r="K84" s="99" t="s">
        <v>110</v>
      </c>
      <c r="L84" s="91"/>
      <c r="M84" s="91"/>
    </row>
    <row r="85" spans="2:13" ht="15" customHeight="1" x14ac:dyDescent="0.2">
      <c r="B85" s="10" t="s">
        <v>927</v>
      </c>
      <c r="C85" s="10" t="s">
        <v>928</v>
      </c>
      <c r="D85" s="16">
        <f>(M56*(Inputs!$D$7+Inputs!$D$20)*$D$78*$D$79-D87)-MAX((M56*(Inputs!$D$7+Inputs!$D$20)*$D$78*$D$79-D87),Inputs!$D$6)*Inputs!$D$19-D88-M56*Inputs!$D$20*$D$78*Inputs!$D$23</f>
        <v>11013.973098408524</v>
      </c>
      <c r="G85" s="99" t="s">
        <v>929</v>
      </c>
      <c r="H85" s="91"/>
      <c r="I85" s="91"/>
      <c r="J85" s="28">
        <f>(D77-D90)/D89</f>
        <v>34.90891669295349</v>
      </c>
      <c r="K85" s="99" t="s">
        <v>919</v>
      </c>
      <c r="L85" s="91"/>
      <c r="M85" s="91"/>
    </row>
    <row r="86" spans="2:13" ht="15" customHeight="1" x14ac:dyDescent="0.2">
      <c r="B86" s="10" t="s">
        <v>930</v>
      </c>
      <c r="C86" s="10" t="s">
        <v>110</v>
      </c>
      <c r="D86" s="16">
        <f>D85/($D$80-Inputs!$D$20)</f>
        <v>104894.98188960498</v>
      </c>
      <c r="G86" s="99" t="s">
        <v>931</v>
      </c>
      <c r="H86" s="91"/>
      <c r="I86" s="91"/>
      <c r="J86" s="16">
        <f>MIN(D70:M70,(M56*(Inputs!$D$7+Inputs!$D$20)*$D$78*$D$79-D87))</f>
        <v>1360.6192000378462</v>
      </c>
      <c r="K86" s="99" t="s">
        <v>110</v>
      </c>
      <c r="L86" s="91"/>
      <c r="M86" s="91"/>
    </row>
    <row r="87" spans="2:13" ht="15" customHeight="1" x14ac:dyDescent="0.2">
      <c r="B87" s="10" t="s">
        <v>932</v>
      </c>
      <c r="C87" s="10" t="s">
        <v>928</v>
      </c>
      <c r="D87" s="16">
        <f>M56*(Inputs!$D$7+Inputs!$D$20)*($D$81/Inputs!$D$21+$D$82/Inputs!$D$22)</f>
        <v>23727.267682485937</v>
      </c>
      <c r="G87" s="99" t="s">
        <v>933</v>
      </c>
      <c r="H87" s="91"/>
      <c r="I87" s="91"/>
      <c r="J87" s="31" t="str">
        <f>IF(J86&lt;Inputs!$D$6,"breached","satisfied")</f>
        <v>satisfied</v>
      </c>
      <c r="K87" s="99" t="s">
        <v>934</v>
      </c>
      <c r="L87" s="91"/>
      <c r="M87" s="91"/>
    </row>
    <row r="88" spans="2:13" ht="15" customHeight="1" x14ac:dyDescent="0.2">
      <c r="B88" s="10" t="s">
        <v>935</v>
      </c>
      <c r="C88" s="10" t="s">
        <v>928</v>
      </c>
      <c r="D88" s="16">
        <f>M56*Inputs!$D$20*($D$81+$D$82)</f>
        <v>2398.6078797913146</v>
      </c>
    </row>
    <row r="89" spans="2:13" ht="15" customHeight="1" x14ac:dyDescent="0.2">
      <c r="B89" s="10" t="s">
        <v>936</v>
      </c>
      <c r="C89" s="10" t="s">
        <v>896</v>
      </c>
      <c r="D89" s="28">
        <f>SUM(D66:M66)+D83</f>
        <v>5828.8314024250149</v>
      </c>
      <c r="G89" s="99" t="s">
        <v>937</v>
      </c>
      <c r="H89" s="91"/>
      <c r="I89" s="91"/>
      <c r="J89" s="16">
        <f>D91-D77</f>
        <v>-7.2759576141834259E-11</v>
      </c>
      <c r="K89" s="99" t="s">
        <v>110</v>
      </c>
      <c r="L89" s="91"/>
      <c r="M89" s="91"/>
    </row>
    <row r="90" spans="2:13" ht="15" customHeight="1" x14ac:dyDescent="0.2">
      <c r="B90" s="10" t="s">
        <v>938</v>
      </c>
      <c r="C90" s="10" t="s">
        <v>110</v>
      </c>
      <c r="D90" s="16">
        <f>SUM(D67:M67)+D84</f>
        <v>-159778.18984452612</v>
      </c>
    </row>
    <row r="91" spans="2:13" ht="15" customHeight="1" x14ac:dyDescent="0.2">
      <c r="B91" s="10" t="s">
        <v>939</v>
      </c>
      <c r="C91" s="10" t="s">
        <v>110</v>
      </c>
      <c r="D91" s="16">
        <f>SUM(D74:M74)+D86/(Inputs!$D$7+$D$80)^M54</f>
        <v>43699.999999999927</v>
      </c>
    </row>
    <row r="92" spans="2:13" ht="15" customHeight="1" x14ac:dyDescent="0.2">
      <c r="B92" s="10" t="s">
        <v>940</v>
      </c>
      <c r="C92" s="10" t="s">
        <v>104</v>
      </c>
      <c r="D92" s="30">
        <f>IF(ABS(D77)&gt;Inputs!$D$6,D91/D77-Inputs!$D$7,Inputs!$D$6)</f>
        <v>-1.6653345369377348E-15</v>
      </c>
    </row>
    <row r="93" spans="2:13" ht="15" customHeight="1" x14ac:dyDescent="0.2">
      <c r="B93" s="10" t="s">
        <v>941</v>
      </c>
      <c r="C93" s="10" t="s">
        <v>104</v>
      </c>
      <c r="D93" s="30">
        <f>IF(ABS(D91)&gt;Inputs!$D$119,D86/(Inputs!$D$7+$D$80)^M54/D91,Inputs!$D$6)</f>
        <v>0.73203112880851895</v>
      </c>
    </row>
    <row r="94" spans="2:13" ht="15" customHeight="1" x14ac:dyDescent="0.2">
      <c r="B94" s="10" t="s">
        <v>942</v>
      </c>
      <c r="C94" s="10" t="s">
        <v>943</v>
      </c>
      <c r="D94" s="26">
        <f>$D$78*Inputs!$D$8/Prices!$P$6/(Inputs!$D$26/Inputs!$D$25)/Inputs!$D$11/Inputs!$D$56</f>
        <v>6.3482925372277279</v>
      </c>
    </row>
    <row r="98" spans="1:13" ht="15" customHeight="1" x14ac:dyDescent="0.2">
      <c r="A98" s="104" t="s">
        <v>945</v>
      </c>
      <c r="B98" s="10" t="s">
        <v>886</v>
      </c>
      <c r="C98" s="10" t="s">
        <v>107</v>
      </c>
      <c r="D98" s="28">
        <f>Inputs!$D$60</f>
        <v>1</v>
      </c>
      <c r="E98" s="28">
        <f>Inputs!$D$62</f>
        <v>2</v>
      </c>
      <c r="F98" s="28">
        <f>Inputs!$D$64</f>
        <v>3</v>
      </c>
      <c r="G98" s="28">
        <f>Inputs!$D$66</f>
        <v>4</v>
      </c>
      <c r="H98" s="28">
        <f>Inputs!$D$68</f>
        <v>5</v>
      </c>
      <c r="I98" s="28">
        <f>Inputs!$D$70</f>
        <v>6</v>
      </c>
      <c r="J98" s="28">
        <f>Inputs!$D$72</f>
        <v>7</v>
      </c>
      <c r="K98" s="28">
        <f>Inputs!$D$74</f>
        <v>8</v>
      </c>
      <c r="L98" s="28">
        <f>Inputs!$D$76</f>
        <v>9</v>
      </c>
      <c r="M98" s="28">
        <f>Inputs!$D$78</f>
        <v>10</v>
      </c>
    </row>
    <row r="99" spans="1:13" ht="15" customHeight="1" x14ac:dyDescent="0.2">
      <c r="A99" s="91"/>
      <c r="B99" s="10" t="s">
        <v>887</v>
      </c>
      <c r="C99" s="10" t="s">
        <v>161</v>
      </c>
      <c r="D99" s="29">
        <f>Inputs!$D$61</f>
        <v>46568</v>
      </c>
      <c r="E99" s="29">
        <f>Inputs!$D$63</f>
        <v>46934</v>
      </c>
      <c r="F99" s="29">
        <f>Inputs!$D$65</f>
        <v>47299</v>
      </c>
      <c r="G99" s="29">
        <f>Inputs!$D$67</f>
        <v>47664</v>
      </c>
      <c r="H99" s="29">
        <f>Inputs!$D$69</f>
        <v>48029</v>
      </c>
      <c r="I99" s="29">
        <f>Inputs!$D$71</f>
        <v>48395</v>
      </c>
      <c r="J99" s="29">
        <f>Inputs!$D$73</f>
        <v>48760</v>
      </c>
      <c r="K99" s="29">
        <f>Inputs!$D$75</f>
        <v>49125</v>
      </c>
      <c r="L99" s="29">
        <f>Inputs!$D$77</f>
        <v>49490</v>
      </c>
      <c r="M99" s="29">
        <f>Inputs!$D$79</f>
        <v>49856</v>
      </c>
    </row>
    <row r="100" spans="1:13" ht="15" customHeight="1" x14ac:dyDescent="0.2">
      <c r="A100" s="91"/>
      <c r="B100" s="10" t="s">
        <v>888</v>
      </c>
      <c r="C100" s="10" t="s">
        <v>107</v>
      </c>
      <c r="D100" s="28">
        <f>(D99-Inputs!$D$13)/Inputs!$D$10</f>
        <v>0.71457905544147848</v>
      </c>
      <c r="E100" s="28">
        <f>(E99-Inputs!$D$13)/Inputs!$D$10</f>
        <v>1.7166324435318274</v>
      </c>
      <c r="F100" s="28">
        <f>(F99-Inputs!$D$13)/Inputs!$D$10</f>
        <v>2.7159479808350446</v>
      </c>
      <c r="G100" s="28">
        <f>(G99-Inputs!$D$13)/Inputs!$D$10</f>
        <v>3.7152635181382614</v>
      </c>
      <c r="H100" s="28">
        <f>(H99-Inputs!$D$13)/Inputs!$D$10</f>
        <v>4.7145790554414786</v>
      </c>
      <c r="I100" s="28">
        <f>(I99-Inputs!$D$13)/Inputs!$D$10</f>
        <v>5.7166324435318279</v>
      </c>
      <c r="J100" s="28">
        <f>(J99-Inputs!$D$13)/Inputs!$D$10</f>
        <v>6.7159479808350442</v>
      </c>
      <c r="K100" s="28">
        <f>(K99-Inputs!$D$13)/Inputs!$D$10</f>
        <v>7.7152635181382614</v>
      </c>
      <c r="L100" s="28">
        <f>(L99-Inputs!$D$13)/Inputs!$D$10</f>
        <v>8.7145790554414777</v>
      </c>
      <c r="M100" s="28">
        <f>(M99-Inputs!$D$13)/Inputs!$D$10</f>
        <v>9.716632443531827</v>
      </c>
    </row>
    <row r="101" spans="1:13" ht="15" customHeight="1" x14ac:dyDescent="0.2">
      <c r="A101" s="91"/>
      <c r="B101" s="10" t="s">
        <v>889</v>
      </c>
      <c r="C101" s="10" t="s">
        <v>107</v>
      </c>
      <c r="D101" s="28">
        <f>D100</f>
        <v>0.71457905544147848</v>
      </c>
      <c r="E101" s="28">
        <f>Inputs!$D$7</f>
        <v>1</v>
      </c>
      <c r="F101" s="28">
        <f>Inputs!$D$7</f>
        <v>1</v>
      </c>
      <c r="G101" s="28">
        <f>Inputs!$D$7</f>
        <v>1</v>
      </c>
      <c r="H101" s="28">
        <f>Inputs!$D$7</f>
        <v>1</v>
      </c>
      <c r="I101" s="28">
        <f>Inputs!$D$7</f>
        <v>1</v>
      </c>
      <c r="J101" s="28">
        <f>Inputs!$D$7</f>
        <v>1</v>
      </c>
      <c r="K101" s="28">
        <f>Inputs!$D$7</f>
        <v>1</v>
      </c>
      <c r="L101" s="28">
        <f>Inputs!$D$7</f>
        <v>1</v>
      </c>
      <c r="M101" s="28">
        <f>Inputs!$D$7</f>
        <v>1</v>
      </c>
    </row>
    <row r="102" spans="1:13" ht="15" customHeight="1" x14ac:dyDescent="0.2">
      <c r="A102" s="91"/>
      <c r="B102" s="3" t="s">
        <v>890</v>
      </c>
      <c r="C102" s="10" t="s">
        <v>199</v>
      </c>
      <c r="D102" s="28">
        <f>Inputs!$D$24+(Inputs!$D$106-Inputs!$D$24)*Inputs!$D$109</f>
        <v>170.32</v>
      </c>
      <c r="E102" s="28">
        <f>Inputs!$D$24+(Inputs!$D$106-Inputs!$D$24)*Inputs!$D$110</f>
        <v>481.12000000000006</v>
      </c>
      <c r="F102" s="28">
        <f>Inputs!$D$24+(Inputs!$D$106-Inputs!$D$24)*Inputs!$D$111</f>
        <v>823</v>
      </c>
      <c r="G102" s="28">
        <f>Inputs!$D$24+(Inputs!$D$106-Inputs!$D$24)*Inputs!$D$112</f>
        <v>1211.5</v>
      </c>
      <c r="H102" s="28">
        <f>Inputs!$D$24+(Inputs!$D$106-Inputs!$D$24)*Inputs!$D$113</f>
        <v>1600</v>
      </c>
      <c r="I102" s="28">
        <f>Inputs!$D$24+(Inputs!$D$106-Inputs!$D$24)*Inputs!$D$114</f>
        <v>1600</v>
      </c>
      <c r="J102" s="28">
        <f>Inputs!$D$24+(Inputs!$D$106-Inputs!$D$24)*Inputs!$D$115</f>
        <v>1600</v>
      </c>
      <c r="K102" s="28">
        <f>Inputs!$D$24+(Inputs!$D$106-Inputs!$D$24)*Inputs!$D$116</f>
        <v>1600</v>
      </c>
      <c r="L102" s="28">
        <f>Inputs!$D$24+(Inputs!$D$106-Inputs!$D$24)*Inputs!$D$117</f>
        <v>1600</v>
      </c>
      <c r="M102" s="28">
        <f>Inputs!$D$24+(Inputs!$D$106-Inputs!$D$24)*Inputs!$D$118</f>
        <v>1600</v>
      </c>
    </row>
    <row r="103" spans="1:13" ht="15" customHeight="1" x14ac:dyDescent="0.2">
      <c r="A103" s="91"/>
      <c r="B103" s="10" t="s">
        <v>891</v>
      </c>
      <c r="C103" s="10" t="s">
        <v>199</v>
      </c>
      <c r="D103" s="28">
        <f>Inputs!$D$24</f>
        <v>46</v>
      </c>
      <c r="E103" s="28">
        <f t="shared" ref="E103:M103" si="20">D102</f>
        <v>170.32</v>
      </c>
      <c r="F103" s="28">
        <f t="shared" si="20"/>
        <v>481.12000000000006</v>
      </c>
      <c r="G103" s="28">
        <f t="shared" si="20"/>
        <v>823</v>
      </c>
      <c r="H103" s="28">
        <f t="shared" si="20"/>
        <v>1211.5</v>
      </c>
      <c r="I103" s="28">
        <f t="shared" si="20"/>
        <v>1600</v>
      </c>
      <c r="J103" s="28">
        <f t="shared" si="20"/>
        <v>1600</v>
      </c>
      <c r="K103" s="28">
        <f t="shared" si="20"/>
        <v>1600</v>
      </c>
      <c r="L103" s="28">
        <f t="shared" si="20"/>
        <v>1600</v>
      </c>
      <c r="M103" s="28">
        <f t="shared" si="20"/>
        <v>1600</v>
      </c>
    </row>
    <row r="104" spans="1:13" ht="15" customHeight="1" x14ac:dyDescent="0.2">
      <c r="B104" s="10" t="s">
        <v>892</v>
      </c>
      <c r="C104" s="10" t="s">
        <v>199</v>
      </c>
      <c r="D104" s="28">
        <f>(D103+D102)*Inputs!$D$12</f>
        <v>108.16</v>
      </c>
      <c r="E104" s="28">
        <f>(E103+E102)*Inputs!$D$12</f>
        <v>325.72000000000003</v>
      </c>
      <c r="F104" s="28">
        <f>(F103+F102)*Inputs!$D$12</f>
        <v>652.06000000000006</v>
      </c>
      <c r="G104" s="28">
        <f>(G103+G102)*Inputs!$D$12</f>
        <v>1017.25</v>
      </c>
      <c r="H104" s="28">
        <f>(H103+H102)*Inputs!$D$12</f>
        <v>1405.75</v>
      </c>
      <c r="I104" s="28">
        <f>(I103+I102)*Inputs!$D$12</f>
        <v>1600</v>
      </c>
      <c r="J104" s="28">
        <f>(J103+J102)*Inputs!$D$12</f>
        <v>1600</v>
      </c>
      <c r="K104" s="28">
        <f>(K103+K102)*Inputs!$D$12</f>
        <v>1600</v>
      </c>
      <c r="L104" s="28">
        <f>(L103+L102)*Inputs!$D$12</f>
        <v>1600</v>
      </c>
      <c r="M104" s="28">
        <f>(M103+M102)*Inputs!$D$12</f>
        <v>1600</v>
      </c>
    </row>
    <row r="105" spans="1:13" ht="15" customHeight="1" x14ac:dyDescent="0.2">
      <c r="B105" s="10" t="s">
        <v>893</v>
      </c>
      <c r="C105" s="10" t="s">
        <v>199</v>
      </c>
      <c r="D105" s="28">
        <f t="shared" ref="D105:M105" si="21">D102-D103</f>
        <v>124.32</v>
      </c>
      <c r="E105" s="28">
        <f t="shared" si="21"/>
        <v>310.80000000000007</v>
      </c>
      <c r="F105" s="28">
        <f t="shared" si="21"/>
        <v>341.87999999999994</v>
      </c>
      <c r="G105" s="28">
        <f t="shared" si="21"/>
        <v>388.5</v>
      </c>
      <c r="H105" s="28">
        <f t="shared" si="21"/>
        <v>388.5</v>
      </c>
      <c r="I105" s="28">
        <f t="shared" si="21"/>
        <v>0</v>
      </c>
      <c r="J105" s="28">
        <f t="shared" si="21"/>
        <v>0</v>
      </c>
      <c r="K105" s="28">
        <f t="shared" si="21"/>
        <v>0</v>
      </c>
      <c r="L105" s="28">
        <f t="shared" si="21"/>
        <v>0</v>
      </c>
      <c r="M105" s="28">
        <f t="shared" si="21"/>
        <v>0</v>
      </c>
    </row>
    <row r="106" spans="1:13" ht="15" customHeight="1" x14ac:dyDescent="0.2">
      <c r="B106" s="10" t="s">
        <v>894</v>
      </c>
      <c r="C106" s="10" t="s">
        <v>199</v>
      </c>
      <c r="D106" s="28">
        <f>IF(MOD(D98,Inputs!$D$21)=Inputs!$D$6,Inputs!$D$24,Inputs!$D$6)+SUMPRODUCT(--(D98&gt;$D$98:$M$98),--(MOD(D98-$D$98:$M$98,Inputs!$D$21)=Inputs!$D$6),$D$105:$M$105)</f>
        <v>0</v>
      </c>
      <c r="E106" s="28">
        <f>IF(MOD(E98,Inputs!$D$21)=Inputs!$D$6,Inputs!$D$24,Inputs!$D$6)+SUMPRODUCT(--(E98&gt;$D$98:$M$98),--(MOD(E98-$D$98:$M$98,Inputs!$D$21)=Inputs!$D$6),$D$105:$M$105)</f>
        <v>0</v>
      </c>
      <c r="F106" s="28">
        <f>IF(MOD(F98,Inputs!$D$21)=Inputs!$D$6,Inputs!$D$24,Inputs!$D$6)+SUMPRODUCT(--(F98&gt;$D$98:$M$98),--(MOD(F98-$D$98:$M$98,Inputs!$D$21)=Inputs!$D$6),$D$105:$M$105)</f>
        <v>0</v>
      </c>
      <c r="G106" s="28">
        <f>IF(MOD(G98,Inputs!$D$21)=Inputs!$D$6,Inputs!$D$24,Inputs!$D$6)+SUMPRODUCT(--(G98&gt;$D$98:$M$98),--(MOD(G98-$D$98:$M$98,Inputs!$D$21)=Inputs!$D$6),$D$105:$M$105)</f>
        <v>46</v>
      </c>
      <c r="H106" s="28">
        <f>IF(MOD(H98,Inputs!$D$21)=Inputs!$D$6,Inputs!$D$24,Inputs!$D$6)+SUMPRODUCT(--(H98&gt;$D$98:$M$98),--(MOD(H98-$D$98:$M$98,Inputs!$D$21)=Inputs!$D$6),$D$105:$M$105)</f>
        <v>124.32</v>
      </c>
      <c r="I106" s="28">
        <f>IF(MOD(I98,Inputs!$D$21)=Inputs!$D$6,Inputs!$D$24,Inputs!$D$6)+SUMPRODUCT(--(I98&gt;$D$98:$M$98),--(MOD(I98-$D$98:$M$98,Inputs!$D$21)=Inputs!$D$6),$D$105:$M$105)</f>
        <v>310.80000000000007</v>
      </c>
      <c r="J106" s="28">
        <f>IF(MOD(J98,Inputs!$D$21)=Inputs!$D$6,Inputs!$D$24,Inputs!$D$6)+SUMPRODUCT(--(J98&gt;$D$98:$M$98),--(MOD(J98-$D$98:$M$98,Inputs!$D$21)=Inputs!$D$6),$D$105:$M$105)</f>
        <v>341.87999999999994</v>
      </c>
      <c r="K106" s="28">
        <f>IF(MOD(K98,Inputs!$D$21)=Inputs!$D$6,Inputs!$D$24,Inputs!$D$6)+SUMPRODUCT(--(K98&gt;$D$98:$M$98),--(MOD(K98-$D$98:$M$98,Inputs!$D$21)=Inputs!$D$6),$D$105:$M$105)</f>
        <v>434.5</v>
      </c>
      <c r="L106" s="28">
        <f>IF(MOD(L98,Inputs!$D$21)=Inputs!$D$6,Inputs!$D$24,Inputs!$D$6)+SUMPRODUCT(--(L98&gt;$D$98:$M$98),--(MOD(L98-$D$98:$M$98,Inputs!$D$21)=Inputs!$D$6),$D$105:$M$105)</f>
        <v>512.81999999999994</v>
      </c>
      <c r="M106" s="28">
        <f>IF(MOD(M98,Inputs!$D$21)=Inputs!$D$6,Inputs!$D$24,Inputs!$D$6)+SUMPRODUCT(--(M98&gt;$D$98:$M$98),--(MOD(M98-$D$98:$M$98,Inputs!$D$21)=Inputs!$D$6),$D$105:$M$105)</f>
        <v>310.80000000000007</v>
      </c>
    </row>
    <row r="107" spans="1:13" ht="15" customHeight="1" x14ac:dyDescent="0.2">
      <c r="B107" s="10" t="s">
        <v>895</v>
      </c>
      <c r="C107" s="10" t="s">
        <v>896</v>
      </c>
      <c r="D107" s="28">
        <f t="shared" ref="D107:M107" si="22">D104*D101</f>
        <v>77.288870636550314</v>
      </c>
      <c r="E107" s="28">
        <f t="shared" si="22"/>
        <v>325.72000000000003</v>
      </c>
      <c r="F107" s="28">
        <f t="shared" si="22"/>
        <v>652.06000000000006</v>
      </c>
      <c r="G107" s="28">
        <f t="shared" si="22"/>
        <v>1017.25</v>
      </c>
      <c r="H107" s="28">
        <f t="shared" si="22"/>
        <v>1405.75</v>
      </c>
      <c r="I107" s="28">
        <f t="shared" si="22"/>
        <v>1600</v>
      </c>
      <c r="J107" s="28">
        <f t="shared" si="22"/>
        <v>1600</v>
      </c>
      <c r="K107" s="28">
        <f t="shared" si="22"/>
        <v>1600</v>
      </c>
      <c r="L107" s="28">
        <f t="shared" si="22"/>
        <v>1600</v>
      </c>
      <c r="M107" s="28">
        <f t="shared" si="22"/>
        <v>1600</v>
      </c>
    </row>
    <row r="108" spans="1:13" ht="15" customHeight="1" x14ac:dyDescent="0.2">
      <c r="B108" s="10" t="s">
        <v>897</v>
      </c>
      <c r="C108" s="10" t="s">
        <v>110</v>
      </c>
      <c r="D108" s="16">
        <f>D107*($D$127/Inputs!$D$21+$D$128/Inputs!$D$22)</f>
        <v>1118.2034893112541</v>
      </c>
      <c r="E108" s="16">
        <f>E107*($D$127/Inputs!$D$21+$D$128/Inputs!$D$22)</f>
        <v>4712.466847280074</v>
      </c>
      <c r="F108" s="16">
        <f>F107*($D$127/Inputs!$D$21+$D$128/Inputs!$D$22)</f>
        <v>9433.9037591718188</v>
      </c>
      <c r="G108" s="16">
        <f>G107*($D$127/Inputs!$D$21+$D$128/Inputs!$D$22)</f>
        <v>14717.416493907818</v>
      </c>
      <c r="H108" s="16">
        <f>H107*($D$127/Inputs!$D$21+$D$128/Inputs!$D$22)</f>
        <v>20338.17472235037</v>
      </c>
      <c r="I108" s="16">
        <f>I107*($D$127/Inputs!$D$21+$D$128/Inputs!$D$22)</f>
        <v>23148.553836571649</v>
      </c>
      <c r="J108" s="16">
        <f>J107*($D$127/Inputs!$D$21+$D$128/Inputs!$D$22)</f>
        <v>23148.553836571649</v>
      </c>
      <c r="K108" s="16">
        <f>K107*($D$127/Inputs!$D$21+$D$128/Inputs!$D$22)</f>
        <v>23148.553836571649</v>
      </c>
      <c r="L108" s="16">
        <f>L107*($D$127/Inputs!$D$21+$D$128/Inputs!$D$22)</f>
        <v>23148.553836571649</v>
      </c>
      <c r="M108" s="16">
        <f>M107*($D$127/Inputs!$D$21+$D$128/Inputs!$D$22)</f>
        <v>23148.553836571649</v>
      </c>
    </row>
    <row r="109" spans="1:13" ht="15" customHeight="1" x14ac:dyDescent="0.2">
      <c r="B109" s="10" t="s">
        <v>898</v>
      </c>
      <c r="C109" s="10" t="s">
        <v>110</v>
      </c>
      <c r="D109" s="16">
        <f t="shared" ref="D109:M109" si="23">D105*($D$127+$D$128)</f>
        <v>7454.8732903914051</v>
      </c>
      <c r="E109" s="16">
        <f t="shared" si="23"/>
        <v>18637.183225978519</v>
      </c>
      <c r="F109" s="16">
        <f t="shared" si="23"/>
        <v>20500.901548576363</v>
      </c>
      <c r="G109" s="16">
        <f t="shared" si="23"/>
        <v>23296.479032473144</v>
      </c>
      <c r="H109" s="16">
        <f t="shared" si="23"/>
        <v>23296.479032473144</v>
      </c>
      <c r="I109" s="16">
        <f t="shared" si="23"/>
        <v>0</v>
      </c>
      <c r="J109" s="16">
        <f t="shared" si="23"/>
        <v>0</v>
      </c>
      <c r="K109" s="16">
        <f t="shared" si="23"/>
        <v>0</v>
      </c>
      <c r="L109" s="16">
        <f t="shared" si="23"/>
        <v>0</v>
      </c>
      <c r="M109" s="16">
        <f t="shared" si="23"/>
        <v>0</v>
      </c>
    </row>
    <row r="110" spans="1:13" ht="15" customHeight="1" x14ac:dyDescent="0.2">
      <c r="B110" s="10" t="s">
        <v>899</v>
      </c>
      <c r="C110" s="10" t="s">
        <v>110</v>
      </c>
      <c r="D110" s="16">
        <f t="shared" ref="D110:M110" si="24">D106*$D$127</f>
        <v>0</v>
      </c>
      <c r="E110" s="16">
        <f t="shared" si="24"/>
        <v>0</v>
      </c>
      <c r="F110" s="16">
        <f t="shared" si="24"/>
        <v>0</v>
      </c>
      <c r="G110" s="16">
        <f t="shared" si="24"/>
        <v>2638.0048485671714</v>
      </c>
      <c r="H110" s="16">
        <f t="shared" si="24"/>
        <v>7129.4948429102333</v>
      </c>
      <c r="I110" s="16">
        <f t="shared" si="24"/>
        <v>17823.737107275589</v>
      </c>
      <c r="J110" s="16">
        <f t="shared" si="24"/>
        <v>19606.110818003141</v>
      </c>
      <c r="K110" s="16">
        <f t="shared" si="24"/>
        <v>24917.676232661652</v>
      </c>
      <c r="L110" s="16">
        <f t="shared" si="24"/>
        <v>29409.166227004709</v>
      </c>
      <c r="M110" s="16">
        <f t="shared" si="24"/>
        <v>17823.737107275589</v>
      </c>
    </row>
    <row r="111" spans="1:13" ht="15" customHeight="1" x14ac:dyDescent="0.2">
      <c r="B111" s="10" t="s">
        <v>900</v>
      </c>
      <c r="C111" s="10" t="s">
        <v>199</v>
      </c>
      <c r="D111" s="28">
        <f>D105*Inputs!$D$23</f>
        <v>3.1080000000000001</v>
      </c>
      <c r="E111" s="28">
        <f>E105*Inputs!$D$23</f>
        <v>7.7700000000000022</v>
      </c>
      <c r="F111" s="28">
        <f>F105*Inputs!$D$23</f>
        <v>8.5469999999999988</v>
      </c>
      <c r="G111" s="28">
        <f>G105*Inputs!$D$23</f>
        <v>9.7125000000000004</v>
      </c>
      <c r="H111" s="28">
        <f>H105*Inputs!$D$23</f>
        <v>9.7125000000000004</v>
      </c>
      <c r="I111" s="28">
        <f>I105*Inputs!$D$23</f>
        <v>0</v>
      </c>
      <c r="J111" s="28">
        <f>J105*Inputs!$D$23</f>
        <v>0</v>
      </c>
      <c r="K111" s="28">
        <f>K105*Inputs!$D$23</f>
        <v>0</v>
      </c>
      <c r="L111" s="28">
        <f>L105*Inputs!$D$23</f>
        <v>0</v>
      </c>
      <c r="M111" s="28">
        <f>M105*Inputs!$D$23</f>
        <v>0</v>
      </c>
    </row>
    <row r="112" spans="1:13" ht="15" customHeight="1" x14ac:dyDescent="0.2">
      <c r="B112" s="3" t="s">
        <v>901</v>
      </c>
      <c r="C112" s="10" t="s">
        <v>896</v>
      </c>
      <c r="D112" s="28">
        <f>(D107*$D$125*(Inputs!$D$7-Inputs!$D$19)-D111)/(Inputs!$D$7+$D$126)^D100</f>
        <v>40.99699201112098</v>
      </c>
      <c r="E112" s="28">
        <f>(E107*$D$125*(Inputs!$D$7-Inputs!$D$19)-E111)/(Inputs!$D$7+$D$126)^E100</f>
        <v>153.02781912726542</v>
      </c>
      <c r="F112" s="28">
        <f>(F107*$D$125*(Inputs!$D$7-Inputs!$D$19)-F111)/(Inputs!$D$7+$D$126)^F100</f>
        <v>268.8019226843403</v>
      </c>
      <c r="G112" s="28">
        <f>(G107*$D$125*(Inputs!$D$7-Inputs!$D$19)-G111)/(Inputs!$D$7+$D$126)^G100</f>
        <v>363.62824610263397</v>
      </c>
      <c r="H112" s="28">
        <f>(H107*$D$125*(Inputs!$D$7-Inputs!$D$19)-H111)/(Inputs!$D$7+$D$126)^H100</f>
        <v>435.07807528321291</v>
      </c>
      <c r="I112" s="28">
        <f>(I107*$D$125*(Inputs!$D$7-Inputs!$D$19)-I111)/(Inputs!$D$7+$D$126)^I100</f>
        <v>431.49711827119876</v>
      </c>
      <c r="J112" s="28">
        <f>(J107*$D$125*(Inputs!$D$7-Inputs!$D$19)-J111)/(Inputs!$D$7+$D$126)^J100</f>
        <v>372.01806500733016</v>
      </c>
      <c r="K112" s="28">
        <f>(K107*$D$125*(Inputs!$D$7-Inputs!$D$19)-K111)/(Inputs!$D$7+$D$126)^K100</f>
        <v>320.73780989845312</v>
      </c>
      <c r="L112" s="28">
        <f>(L107*$D$125*(Inputs!$D$7-Inputs!$D$19)-L111)/(Inputs!$D$7+$D$126)^L100</f>
        <v>276.52620228651875</v>
      </c>
      <c r="M112" s="28">
        <f>(M107*$D$125*(Inputs!$D$7-Inputs!$D$19)-M111)/(Inputs!$D$7+$D$126)^M100</f>
        <v>238.31201718226143</v>
      </c>
    </row>
    <row r="113" spans="2:13" ht="15" customHeight="1" x14ac:dyDescent="0.2">
      <c r="B113" s="10" t="s">
        <v>902</v>
      </c>
      <c r="C113" s="10" t="s">
        <v>110</v>
      </c>
      <c r="D113" s="16">
        <f>(D108*Inputs!$D$19-D109-D110)/(Inputs!$D$7+$D$126)^D100</f>
        <v>-6403.0045740313244</v>
      </c>
      <c r="E113" s="16">
        <f>(E108*Inputs!$D$19-E109-E110)/(Inputs!$D$7+$D$126)^E100</f>
        <v>-13349.632212764713</v>
      </c>
      <c r="F113" s="16">
        <f>(F108*Inputs!$D$19-F109-F110)/(Inputs!$D$7+$D$126)^F100</f>
        <v>-11808.370082432088</v>
      </c>
      <c r="G113" s="16">
        <f>(G108*Inputs!$D$19-G109-G110)/(Inputs!$D$7+$D$126)^G100</f>
        <v>-12397.921878440668</v>
      </c>
      <c r="H113" s="16">
        <f>(H108*Inputs!$D$19-H109-H110)/(Inputs!$D$7+$D$126)^H100</f>
        <v>-12082.366885213038</v>
      </c>
      <c r="I113" s="16">
        <f>(I108*Inputs!$D$19-I109-I110)/(Inputs!$D$7+$D$126)^I100</f>
        <v>-4657.0743222469628</v>
      </c>
      <c r="J113" s="16">
        <f>(J108*Inputs!$D$19-J109-J110)/(Inputs!$D$7+$D$126)^J100</f>
        <v>-4672.9398284057479</v>
      </c>
      <c r="K113" s="16">
        <f>(K108*Inputs!$D$19-K109-K110)/(Inputs!$D$7+$D$126)^K100</f>
        <v>-5718.9047268503064</v>
      </c>
      <c r="L113" s="16">
        <f>(L108*Inputs!$D$19-L109-L110)/(Inputs!$D$7+$D$126)^L100</f>
        <v>-6162.7485564592316</v>
      </c>
      <c r="M113" s="16">
        <f>(M108*Inputs!$D$19-M109-M110)/(Inputs!$D$7+$D$126)^M100</f>
        <v>-2572.0606903447429</v>
      </c>
    </row>
    <row r="114" spans="2:13" ht="15" customHeight="1" x14ac:dyDescent="0.2">
      <c r="B114" s="10" t="s">
        <v>903</v>
      </c>
      <c r="C114" s="10" t="s">
        <v>110</v>
      </c>
      <c r="D114" s="16">
        <f t="shared" ref="D114:M114" si="25">D107*$D$124</f>
        <v>2574.1597413780491</v>
      </c>
      <c r="E114" s="16">
        <f t="shared" si="25"/>
        <v>10848.331772170421</v>
      </c>
      <c r="F114" s="16">
        <f t="shared" si="25"/>
        <v>21717.313076757477</v>
      </c>
      <c r="G114" s="16">
        <f t="shared" si="25"/>
        <v>33880.220727128697</v>
      </c>
      <c r="H114" s="16">
        <f t="shared" si="25"/>
        <v>46819.484184970432</v>
      </c>
      <c r="I114" s="16">
        <f t="shared" si="25"/>
        <v>53289.115913891292</v>
      </c>
      <c r="J114" s="16">
        <f t="shared" si="25"/>
        <v>53289.115913891292</v>
      </c>
      <c r="K114" s="16">
        <f t="shared" si="25"/>
        <v>53289.115913891292</v>
      </c>
      <c r="L114" s="16">
        <f t="shared" si="25"/>
        <v>53289.115913891292</v>
      </c>
      <c r="M114" s="16">
        <f t="shared" si="25"/>
        <v>53289.115913891292</v>
      </c>
    </row>
    <row r="115" spans="2:13" ht="15" customHeight="1" x14ac:dyDescent="0.2">
      <c r="B115" s="10" t="s">
        <v>904</v>
      </c>
      <c r="C115" s="10" t="s">
        <v>110</v>
      </c>
      <c r="D115" s="16">
        <f t="shared" ref="D115:M115" si="26">D114*$D$125</f>
        <v>2316.7437672402443</v>
      </c>
      <c r="E115" s="16">
        <f t="shared" si="26"/>
        <v>9763.4985949533784</v>
      </c>
      <c r="F115" s="16">
        <f t="shared" si="26"/>
        <v>19545.581769081731</v>
      </c>
      <c r="G115" s="16">
        <f t="shared" si="26"/>
        <v>30492.198654415828</v>
      </c>
      <c r="H115" s="16">
        <f t="shared" si="26"/>
        <v>42137.535766473389</v>
      </c>
      <c r="I115" s="16">
        <f t="shared" si="26"/>
        <v>47960.204322502163</v>
      </c>
      <c r="J115" s="16">
        <f t="shared" si="26"/>
        <v>47960.204322502163</v>
      </c>
      <c r="K115" s="16">
        <f t="shared" si="26"/>
        <v>47960.204322502163</v>
      </c>
      <c r="L115" s="16">
        <f t="shared" si="26"/>
        <v>47960.204322502163</v>
      </c>
      <c r="M115" s="16">
        <f t="shared" si="26"/>
        <v>47960.204322502163</v>
      </c>
    </row>
    <row r="116" spans="2:13" ht="15" customHeight="1" x14ac:dyDescent="0.2">
      <c r="B116" s="10" t="s">
        <v>905</v>
      </c>
      <c r="C116" s="10" t="s">
        <v>110</v>
      </c>
      <c r="D116" s="16">
        <f t="shared" ref="D116:M116" si="27">D115-D108</f>
        <v>1198.5402779289902</v>
      </c>
      <c r="E116" s="16">
        <f t="shared" si="27"/>
        <v>5051.0317476733044</v>
      </c>
      <c r="F116" s="16">
        <f t="shared" si="27"/>
        <v>10111.678009909912</v>
      </c>
      <c r="G116" s="16">
        <f t="shared" si="27"/>
        <v>15774.78216050801</v>
      </c>
      <c r="H116" s="16">
        <f t="shared" si="27"/>
        <v>21799.361044123019</v>
      </c>
      <c r="I116" s="16">
        <f t="shared" si="27"/>
        <v>24811.650485930513</v>
      </c>
      <c r="J116" s="16">
        <f t="shared" si="27"/>
        <v>24811.650485930513</v>
      </c>
      <c r="K116" s="16">
        <f t="shared" si="27"/>
        <v>24811.650485930513</v>
      </c>
      <c r="L116" s="16">
        <f t="shared" si="27"/>
        <v>24811.650485930513</v>
      </c>
      <c r="M116" s="16">
        <f t="shared" si="27"/>
        <v>24811.650485930513</v>
      </c>
    </row>
    <row r="117" spans="2:13" ht="15" customHeight="1" x14ac:dyDescent="0.2">
      <c r="B117" s="10" t="s">
        <v>906</v>
      </c>
      <c r="C117" s="10" t="s">
        <v>110</v>
      </c>
      <c r="D117" s="16">
        <f>MAX(D116,Inputs!$D$6)*Inputs!$D$19</f>
        <v>359.56208337869708</v>
      </c>
      <c r="E117" s="16">
        <f>MAX(E116,Inputs!$D$6)*Inputs!$D$19</f>
        <v>1515.3095243019914</v>
      </c>
      <c r="F117" s="16">
        <f>MAX(F116,Inputs!$D$6)*Inputs!$D$19</f>
        <v>3033.5034029729736</v>
      </c>
      <c r="G117" s="16">
        <f>MAX(G116,Inputs!$D$6)*Inputs!$D$19</f>
        <v>4732.4346481524026</v>
      </c>
      <c r="H117" s="16">
        <f>MAX(H116,Inputs!$D$6)*Inputs!$D$19</f>
        <v>6539.8083132369056</v>
      </c>
      <c r="I117" s="16">
        <f>MAX(I116,Inputs!$D$6)*Inputs!$D$19</f>
        <v>7443.495145779154</v>
      </c>
      <c r="J117" s="16">
        <f>MAX(J116,Inputs!$D$6)*Inputs!$D$19</f>
        <v>7443.495145779154</v>
      </c>
      <c r="K117" s="16">
        <f>MAX(K116,Inputs!$D$6)*Inputs!$D$19</f>
        <v>7443.495145779154</v>
      </c>
      <c r="L117" s="16">
        <f>MAX(L116,Inputs!$D$6)*Inputs!$D$19</f>
        <v>7443.495145779154</v>
      </c>
      <c r="M117" s="16">
        <f>MAX(M116,Inputs!$D$6)*Inputs!$D$19</f>
        <v>7443.495145779154</v>
      </c>
    </row>
    <row r="118" spans="2:13" ht="15" customHeight="1" x14ac:dyDescent="0.2">
      <c r="B118" s="10" t="s">
        <v>907</v>
      </c>
      <c r="C118" s="10" t="s">
        <v>110</v>
      </c>
      <c r="D118" s="16">
        <f t="shared" ref="D118:M118" si="28">D111*$D$124</f>
        <v>103.51410766273384</v>
      </c>
      <c r="E118" s="16">
        <f t="shared" si="28"/>
        <v>258.78526915683466</v>
      </c>
      <c r="F118" s="16">
        <f t="shared" si="28"/>
        <v>284.66379607251804</v>
      </c>
      <c r="G118" s="16">
        <f t="shared" si="28"/>
        <v>323.48158644604325</v>
      </c>
      <c r="H118" s="16">
        <f t="shared" si="28"/>
        <v>323.48158644604325</v>
      </c>
      <c r="I118" s="16">
        <f t="shared" si="28"/>
        <v>0</v>
      </c>
      <c r="J118" s="16">
        <f t="shared" si="28"/>
        <v>0</v>
      </c>
      <c r="K118" s="16">
        <f t="shared" si="28"/>
        <v>0</v>
      </c>
      <c r="L118" s="16">
        <f t="shared" si="28"/>
        <v>0</v>
      </c>
      <c r="M118" s="16">
        <f t="shared" si="28"/>
        <v>0</v>
      </c>
    </row>
    <row r="119" spans="2:13" ht="15" customHeight="1" x14ac:dyDescent="0.2">
      <c r="B119" s="10" t="s">
        <v>908</v>
      </c>
      <c r="C119" s="10" t="s">
        <v>110</v>
      </c>
      <c r="D119" s="16">
        <f t="shared" ref="D119:M119" si="29">D115-D117-D109-D110-D118</f>
        <v>-5601.2057141925916</v>
      </c>
      <c r="E119" s="16">
        <f t="shared" si="29"/>
        <v>-10647.779424483966</v>
      </c>
      <c r="F119" s="16">
        <f t="shared" si="29"/>
        <v>-4273.4869785401224</v>
      </c>
      <c r="G119" s="16">
        <f t="shared" si="29"/>
        <v>-498.20146122293488</v>
      </c>
      <c r="H119" s="16">
        <f t="shared" si="29"/>
        <v>4848.2719914070622</v>
      </c>
      <c r="I119" s="16">
        <f t="shared" si="29"/>
        <v>22692.97206944742</v>
      </c>
      <c r="J119" s="16">
        <f t="shared" si="29"/>
        <v>20910.598358719868</v>
      </c>
      <c r="K119" s="16">
        <f t="shared" si="29"/>
        <v>15599.032944061357</v>
      </c>
      <c r="L119" s="16">
        <f t="shared" si="29"/>
        <v>11107.542949718299</v>
      </c>
      <c r="M119" s="16">
        <f t="shared" si="29"/>
        <v>22692.97206944742</v>
      </c>
    </row>
    <row r="120" spans="2:13" ht="15" customHeight="1" x14ac:dyDescent="0.2">
      <c r="B120" s="10" t="s">
        <v>909</v>
      </c>
      <c r="C120" s="10" t="s">
        <v>110</v>
      </c>
      <c r="D120" s="16">
        <f>D119/(Inputs!$D$7+$D$126)^D100</f>
        <v>-5037.5711619053864</v>
      </c>
      <c r="E120" s="16">
        <f>E119/(Inputs!$D$7+$D$126)^E100</f>
        <v>-8252.9339680629382</v>
      </c>
      <c r="F120" s="16">
        <f>F119/(Inputs!$D$7+$D$126)^F100</f>
        <v>-2855.7345725554233</v>
      </c>
      <c r="G120" s="16">
        <f>G119/(Inputs!$D$7+$D$126)^G100</f>
        <v>-287.02953086051002</v>
      </c>
      <c r="H120" s="16">
        <f>H119/(Inputs!$D$7+$D$126)^H100</f>
        <v>2408.2118556368741</v>
      </c>
      <c r="I120" s="16">
        <f>I119/(Inputs!$D$7+$D$126)^I100</f>
        <v>9714.2381477930212</v>
      </c>
      <c r="J120" s="16">
        <f>J119/(Inputs!$D$7+$D$126)^J100</f>
        <v>7717.3812892424803</v>
      </c>
      <c r="K120" s="16">
        <f>K119/(Inputs!$D$7+$D$126)^K100</f>
        <v>4963.4917291786305</v>
      </c>
      <c r="L120" s="16">
        <f>L119/(Inputs!$D$7+$D$126)^L100</f>
        <v>3047.1494728372995</v>
      </c>
      <c r="M120" s="16">
        <f>M119/(Inputs!$D$7+$D$126)^M100</f>
        <v>5365.0872517169973</v>
      </c>
    </row>
    <row r="121" spans="2:13" ht="15" customHeight="1" x14ac:dyDescent="0.2">
      <c r="B121" s="3" t="s">
        <v>910</v>
      </c>
      <c r="C121" s="10" t="s">
        <v>896</v>
      </c>
      <c r="D121" s="28">
        <f>(D107*$D$125-D111)/(Inputs!$D$7+$D$126)^D100</f>
        <v>59.765095798928819</v>
      </c>
      <c r="E121" s="28">
        <f>(E107*$D$125-E111)/(Inputs!$D$7+$D$126)^E100</f>
        <v>221.1922031857838</v>
      </c>
      <c r="F121" s="28">
        <f>(F107*$D$125-F111)/(Inputs!$D$7+$D$126)^F100</f>
        <v>386.45052664112239</v>
      </c>
      <c r="G121" s="28">
        <f>(G107*$D$125-G111)/(Inputs!$D$7+$D$126)^G100</f>
        <v>521.867070169518</v>
      </c>
      <c r="H121" s="28">
        <f>(H107*$D$125-H111)/(Inputs!$D$7+$D$126)^H100</f>
        <v>623.60768582417222</v>
      </c>
      <c r="I121" s="28">
        <f>(I107*$D$125-I111)/(Inputs!$D$7+$D$126)^I100</f>
        <v>616.42445467314121</v>
      </c>
      <c r="J121" s="28">
        <f>(J107*$D$125-J111)/(Inputs!$D$7+$D$126)^J100</f>
        <v>531.4543785819003</v>
      </c>
      <c r="K121" s="28">
        <f>(K107*$D$125-K111)/(Inputs!$D$7+$D$126)^K100</f>
        <v>458.19687128350449</v>
      </c>
      <c r="L121" s="28">
        <f>(L107*$D$125-L111)/(Inputs!$D$7+$D$126)^L100</f>
        <v>395.03743183788401</v>
      </c>
      <c r="M121" s="28">
        <f>(M107*$D$125-M111)/(Inputs!$D$7+$D$126)^M100</f>
        <v>340.44573883180209</v>
      </c>
    </row>
    <row r="122" spans="2:13" ht="15" customHeight="1" x14ac:dyDescent="0.2">
      <c r="B122" s="10" t="s">
        <v>911</v>
      </c>
      <c r="C122" s="10" t="s">
        <v>110</v>
      </c>
      <c r="D122" s="16">
        <f>(-D109-D110)/(Inputs!$D$7+$D$126)^D100</f>
        <v>-6704.7090607969039</v>
      </c>
      <c r="E122" s="16">
        <f>(-E109-E110)/(Inputs!$D$7+$D$126)^E100</f>
        <v>-14445.4009031226</v>
      </c>
      <c r="F122" s="16">
        <f>(-F109-F110)/(Inputs!$D$7+$D$126)^F100</f>
        <v>-13699.616639717549</v>
      </c>
      <c r="G122" s="16">
        <f>(-G109-G110)/(Inputs!$D$7+$D$126)^G100</f>
        <v>-14941.671835349038</v>
      </c>
      <c r="H122" s="16">
        <f>(-H109-H110)/(Inputs!$D$7+$D$126)^H100</f>
        <v>-15113.052884793095</v>
      </c>
      <c r="I122" s="16">
        <f>(-I109-I110)/(Inputs!$D$7+$D$126)^I100</f>
        <v>-7629.8523795762403</v>
      </c>
      <c r="J122" s="16">
        <f>(-J109-J110)/(Inputs!$D$7+$D$126)^J100</f>
        <v>-7235.9398897150922</v>
      </c>
      <c r="K122" s="16">
        <f>(-K109-K110)/(Inputs!$D$7+$D$126)^K100</f>
        <v>-7928.612006570077</v>
      </c>
      <c r="L122" s="16">
        <f>(-L109-L110)/(Inputs!$D$7+$D$126)^L100</f>
        <v>-8067.8621519509534</v>
      </c>
      <c r="M122" s="16">
        <f>(-M109-M110)/(Inputs!$D$7+$D$126)^M100</f>
        <v>-4213.8995473821142</v>
      </c>
    </row>
    <row r="123" spans="2:13" ht="15" customHeight="1" x14ac:dyDescent="0.2">
      <c r="B123" s="10" t="s">
        <v>912</v>
      </c>
      <c r="C123" s="10" t="s">
        <v>110</v>
      </c>
      <c r="D123" s="16">
        <f>Prices!I6</f>
        <v>43700</v>
      </c>
    </row>
    <row r="124" spans="2:13" ht="15" customHeight="1" x14ac:dyDescent="0.2">
      <c r="B124" s="3" t="s">
        <v>913</v>
      </c>
      <c r="C124" s="10" t="s">
        <v>914</v>
      </c>
      <c r="D124" s="28">
        <f>IF(J131&gt;=J127,J131,(D123-J130)/J129)</f>
        <v>33.305697446182059</v>
      </c>
      <c r="G124" s="99" t="s">
        <v>915</v>
      </c>
      <c r="H124" s="91"/>
      <c r="I124" s="91"/>
      <c r="J124" s="28">
        <f>D124*Inputs!$D$15</f>
        <v>23.244046247690459</v>
      </c>
      <c r="K124" s="99" t="s">
        <v>916</v>
      </c>
      <c r="L124" s="91"/>
      <c r="M124" s="91"/>
    </row>
    <row r="125" spans="2:13" ht="15" customHeight="1" x14ac:dyDescent="0.2">
      <c r="B125" s="10" t="s">
        <v>917</v>
      </c>
      <c r="C125" s="10" t="s">
        <v>104</v>
      </c>
      <c r="D125" s="30">
        <f>Inputs!$D$107</f>
        <v>0.9</v>
      </c>
      <c r="G125" s="99" t="s">
        <v>918</v>
      </c>
      <c r="H125" s="91"/>
      <c r="I125" s="91"/>
      <c r="J125" s="28">
        <f>IF(-D136/D135&gt;=J127,-D136/D135,-J130/J129)</f>
        <v>24.024174528419383</v>
      </c>
      <c r="K125" s="99" t="s">
        <v>919</v>
      </c>
      <c r="L125" s="91"/>
      <c r="M125" s="91"/>
    </row>
    <row r="126" spans="2:13" ht="15" customHeight="1" x14ac:dyDescent="0.2">
      <c r="B126" s="10" t="s">
        <v>920</v>
      </c>
      <c r="C126" s="10" t="s">
        <v>104</v>
      </c>
      <c r="D126" s="30">
        <f>Inputs!$D$108</f>
        <v>0.16</v>
      </c>
      <c r="G126" s="99" t="s">
        <v>918</v>
      </c>
      <c r="H126" s="91"/>
      <c r="I126" s="91"/>
      <c r="J126" s="28">
        <f>J125*Inputs!$D$15</f>
        <v>16.766471403383886</v>
      </c>
      <c r="K126" s="99" t="s">
        <v>916</v>
      </c>
      <c r="L126" s="91"/>
      <c r="M126" s="91"/>
    </row>
    <row r="127" spans="2:13" ht="15" customHeight="1" x14ac:dyDescent="0.2">
      <c r="B127" s="3" t="s">
        <v>921</v>
      </c>
      <c r="C127" s="10" t="s">
        <v>848</v>
      </c>
      <c r="D127" s="28">
        <f>Capital!$D$13</f>
        <v>57.347931490590682</v>
      </c>
      <c r="G127" s="99" t="s">
        <v>922</v>
      </c>
      <c r="H127" s="91"/>
      <c r="I127" s="91"/>
      <c r="J127" s="28">
        <f>($D$127/Inputs!$D$21+$D$128/Inputs!$D$22)/$D$125</f>
        <v>16.07538460873031</v>
      </c>
      <c r="K127" s="99" t="s">
        <v>919</v>
      </c>
      <c r="L127" s="91"/>
      <c r="M127" s="91"/>
    </row>
    <row r="128" spans="2:13" ht="15" customHeight="1" x14ac:dyDescent="0.2">
      <c r="B128" s="3" t="s">
        <v>923</v>
      </c>
      <c r="C128" s="10" t="s">
        <v>848</v>
      </c>
      <c r="D128" s="28">
        <f>Capital!$D$14</f>
        <v>2.6172655041921802</v>
      </c>
    </row>
    <row r="129" spans="1:13" ht="15" customHeight="1" x14ac:dyDescent="0.2">
      <c r="B129" s="10" t="s">
        <v>924</v>
      </c>
      <c r="C129" s="10" t="s">
        <v>896</v>
      </c>
      <c r="D129" s="28">
        <f>(M102*(Inputs!$D$7+Inputs!$D$20)*$D$125*(Inputs!$D$7-Inputs!$D$19)-M102*Inputs!$D$20*Inputs!$D$23)/($D$126-Inputs!$D$20)/(Inputs!$D$7+$D$126)^M100</f>
        <v>1807.6547922951956</v>
      </c>
      <c r="G129" s="92" t="s">
        <v>910</v>
      </c>
      <c r="H129" s="91"/>
      <c r="I129" s="91"/>
      <c r="J129" s="28">
        <f>SUM(D121:M121)+(M102*(Inputs!$D$7+Inputs!$D$20)*$D$125-M102*Inputs!$D$20*Inputs!$D$23)/($D$126-Inputs!$D$20)/(Inputs!$D$7+$D$126)^M100</f>
        <v>6737.5559875731687</v>
      </c>
      <c r="K129" s="99" t="s">
        <v>896</v>
      </c>
      <c r="L129" s="91"/>
      <c r="M129" s="91"/>
    </row>
    <row r="130" spans="1:13" ht="15" customHeight="1" x14ac:dyDescent="0.2">
      <c r="B130" s="10" t="s">
        <v>925</v>
      </c>
      <c r="C130" s="10" t="s">
        <v>110</v>
      </c>
      <c r="D130" s="16">
        <f>(D133*Inputs!$D$19-D133-D134)/($D$126-Inputs!$D$20)/(Inputs!$D$7+$D$126)^M100</f>
        <v>-33287.494112345899</v>
      </c>
      <c r="G130" s="92" t="s">
        <v>926</v>
      </c>
      <c r="H130" s="91"/>
      <c r="I130" s="91"/>
      <c r="J130" s="16">
        <f>SUM(D122:M122)-(D133+D134)/($D$126-Inputs!$D$20)/(Inputs!$D$7+$D$126)^M100</f>
        <v>-145733.9249554922</v>
      </c>
      <c r="K130" s="99" t="s">
        <v>110</v>
      </c>
      <c r="L130" s="91"/>
      <c r="M130" s="91"/>
    </row>
    <row r="131" spans="1:13" ht="15" customHeight="1" x14ac:dyDescent="0.2">
      <c r="B131" s="10" t="s">
        <v>927</v>
      </c>
      <c r="C131" s="10" t="s">
        <v>928</v>
      </c>
      <c r="D131" s="16">
        <f>(M102*(Inputs!$D$7+Inputs!$D$20)*$D$124*$D$125-D133)-MAX((M102*(Inputs!$D$7+Inputs!$D$20)*$D$124*$D$125-D133),Inputs!$D$6)*Inputs!$D$19-D134-M102*Inputs!$D$20*$D$124*Inputs!$D$23</f>
        <v>15370.445646417646</v>
      </c>
      <c r="G131" s="99" t="s">
        <v>929</v>
      </c>
      <c r="H131" s="91"/>
      <c r="I131" s="91"/>
      <c r="J131" s="28">
        <f>(D123-D136)/D135</f>
        <v>33.305697446182059</v>
      </c>
      <c r="K131" s="99" t="s">
        <v>919</v>
      </c>
      <c r="L131" s="91"/>
      <c r="M131" s="91"/>
    </row>
    <row r="132" spans="1:13" ht="15" customHeight="1" x14ac:dyDescent="0.2">
      <c r="B132" s="10" t="s">
        <v>930</v>
      </c>
      <c r="C132" s="10" t="s">
        <v>110</v>
      </c>
      <c r="D132" s="16">
        <f>D131/($D$126-Inputs!$D$20)</f>
        <v>113855.152936427</v>
      </c>
      <c r="G132" s="99" t="s">
        <v>931</v>
      </c>
      <c r="H132" s="91"/>
      <c r="I132" s="91"/>
      <c r="J132" s="16">
        <f>MIN(D116:M116,(M102*(Inputs!$D$7+Inputs!$D$20)*$D$124*$D$125-D133))</f>
        <v>1198.5402779289902</v>
      </c>
      <c r="K132" s="99" t="s">
        <v>110</v>
      </c>
      <c r="L132" s="91"/>
      <c r="M132" s="91"/>
    </row>
    <row r="133" spans="1:13" ht="15" customHeight="1" x14ac:dyDescent="0.2">
      <c r="B133" s="10" t="s">
        <v>932</v>
      </c>
      <c r="C133" s="10" t="s">
        <v>928</v>
      </c>
      <c r="D133" s="16">
        <f>M102*(Inputs!$D$7+Inputs!$D$20)*($D$127/Inputs!$D$21+$D$128/Inputs!$D$22)</f>
        <v>23727.267682485937</v>
      </c>
      <c r="G133" s="99" t="s">
        <v>933</v>
      </c>
      <c r="H133" s="91"/>
      <c r="I133" s="91"/>
      <c r="J133" s="31" t="str">
        <f>IF(J132&lt;Inputs!$D$6,"breached","satisfied")</f>
        <v>satisfied</v>
      </c>
      <c r="K133" s="99" t="s">
        <v>934</v>
      </c>
      <c r="L133" s="91"/>
      <c r="M133" s="91"/>
    </row>
    <row r="134" spans="1:13" ht="15" customHeight="1" x14ac:dyDescent="0.2">
      <c r="B134" s="10" t="s">
        <v>935</v>
      </c>
      <c r="C134" s="10" t="s">
        <v>928</v>
      </c>
      <c r="D134" s="16">
        <f>M102*Inputs!$D$20*($D$127+$D$128)</f>
        <v>2398.6078797913146</v>
      </c>
    </row>
    <row r="135" spans="1:13" ht="15" customHeight="1" x14ac:dyDescent="0.2">
      <c r="B135" s="10" t="s">
        <v>936</v>
      </c>
      <c r="C135" s="10" t="s">
        <v>896</v>
      </c>
      <c r="D135" s="28">
        <f>SUM(D112:M112)+D129</f>
        <v>4708.2790601495317</v>
      </c>
      <c r="G135" s="99" t="s">
        <v>937</v>
      </c>
      <c r="H135" s="91"/>
      <c r="I135" s="91"/>
      <c r="J135" s="16">
        <f>D137-D123</f>
        <v>0</v>
      </c>
      <c r="K135" s="99" t="s">
        <v>110</v>
      </c>
      <c r="L135" s="91"/>
      <c r="M135" s="91"/>
    </row>
    <row r="136" spans="1:13" ht="15" customHeight="1" x14ac:dyDescent="0.2">
      <c r="B136" s="10" t="s">
        <v>938</v>
      </c>
      <c r="C136" s="10" t="s">
        <v>110</v>
      </c>
      <c r="D136" s="16">
        <f>SUM(D113:M113)+D130</f>
        <v>-113112.51786953473</v>
      </c>
    </row>
    <row r="137" spans="1:13" ht="15" customHeight="1" x14ac:dyDescent="0.2">
      <c r="B137" s="10" t="s">
        <v>939</v>
      </c>
      <c r="C137" s="10" t="s">
        <v>110</v>
      </c>
      <c r="D137" s="16">
        <f>SUM(D120:M120)+D132/(Inputs!$D$7+$D$126)^M100</f>
        <v>43700.000000000015</v>
      </c>
    </row>
    <row r="138" spans="1:13" ht="15" customHeight="1" x14ac:dyDescent="0.2">
      <c r="B138" s="10" t="s">
        <v>940</v>
      </c>
      <c r="C138" s="10" t="s">
        <v>104</v>
      </c>
      <c r="D138" s="30">
        <f>IF(ABS(D123)&gt;Inputs!$D$6,D137/D123-Inputs!$D$7,Inputs!$D$6)</f>
        <v>2.2204460492503131E-16</v>
      </c>
    </row>
    <row r="139" spans="1:13" ht="15" customHeight="1" x14ac:dyDescent="0.2">
      <c r="B139" s="10" t="s">
        <v>941</v>
      </c>
      <c r="C139" s="10" t="s">
        <v>104</v>
      </c>
      <c r="D139" s="30">
        <f>IF(ABS(D137)&gt;Inputs!$D$119,D132/(Inputs!$D$7+$D$126)^M100/D137,Inputs!$D$6)</f>
        <v>0.6159658921505482</v>
      </c>
    </row>
    <row r="140" spans="1:13" ht="15" customHeight="1" x14ac:dyDescent="0.2">
      <c r="B140" s="10" t="s">
        <v>942</v>
      </c>
      <c r="C140" s="10" t="s">
        <v>943</v>
      </c>
      <c r="D140" s="26">
        <f>$D$124*Inputs!$D$8/Prices!$P$6/(Inputs!$D$26/Inputs!$D$25)/Inputs!$D$11/Inputs!$D$56</f>
        <v>6.0567422473880743</v>
      </c>
    </row>
    <row r="144" spans="1:13" ht="15" customHeight="1" x14ac:dyDescent="0.2">
      <c r="A144" s="104" t="s">
        <v>946</v>
      </c>
      <c r="B144" s="10" t="s">
        <v>886</v>
      </c>
      <c r="C144" s="10" t="s">
        <v>107</v>
      </c>
      <c r="D144" s="28">
        <f>Inputs!$D$60</f>
        <v>1</v>
      </c>
      <c r="E144" s="28">
        <f>Inputs!$D$62</f>
        <v>2</v>
      </c>
      <c r="F144" s="28">
        <f>Inputs!$D$64</f>
        <v>3</v>
      </c>
      <c r="G144" s="28">
        <f>Inputs!$D$66</f>
        <v>4</v>
      </c>
      <c r="H144" s="28">
        <f>Inputs!$D$68</f>
        <v>5</v>
      </c>
      <c r="I144" s="28">
        <f>Inputs!$D$70</f>
        <v>6</v>
      </c>
      <c r="J144" s="28">
        <f>Inputs!$D$72</f>
        <v>7</v>
      </c>
      <c r="K144" s="28">
        <f>Inputs!$D$74</f>
        <v>8</v>
      </c>
      <c r="L144" s="28">
        <f>Inputs!$D$76</f>
        <v>9</v>
      </c>
      <c r="M144" s="28">
        <f>Inputs!$D$78</f>
        <v>10</v>
      </c>
    </row>
    <row r="145" spans="1:13" ht="15" customHeight="1" x14ac:dyDescent="0.2">
      <c r="A145" s="91"/>
      <c r="B145" s="10" t="s">
        <v>887</v>
      </c>
      <c r="C145" s="10" t="s">
        <v>161</v>
      </c>
      <c r="D145" s="29">
        <f>Inputs!$D$61</f>
        <v>46568</v>
      </c>
      <c r="E145" s="29">
        <f>Inputs!$D$63</f>
        <v>46934</v>
      </c>
      <c r="F145" s="29">
        <f>Inputs!$D$65</f>
        <v>47299</v>
      </c>
      <c r="G145" s="29">
        <f>Inputs!$D$67</f>
        <v>47664</v>
      </c>
      <c r="H145" s="29">
        <f>Inputs!$D$69</f>
        <v>48029</v>
      </c>
      <c r="I145" s="29">
        <f>Inputs!$D$71</f>
        <v>48395</v>
      </c>
      <c r="J145" s="29">
        <f>Inputs!$D$73</f>
        <v>48760</v>
      </c>
      <c r="K145" s="29">
        <f>Inputs!$D$75</f>
        <v>49125</v>
      </c>
      <c r="L145" s="29">
        <f>Inputs!$D$77</f>
        <v>49490</v>
      </c>
      <c r="M145" s="29">
        <f>Inputs!$D$79</f>
        <v>49856</v>
      </c>
    </row>
    <row r="146" spans="1:13" ht="15" customHeight="1" x14ac:dyDescent="0.2">
      <c r="A146" s="91"/>
      <c r="B146" s="10" t="s">
        <v>888</v>
      </c>
      <c r="C146" s="10" t="s">
        <v>107</v>
      </c>
      <c r="D146" s="28">
        <f>(D145-Inputs!$D$13)/Inputs!$D$10</f>
        <v>0.71457905544147848</v>
      </c>
      <c r="E146" s="28">
        <f>(E145-Inputs!$D$13)/Inputs!$D$10</f>
        <v>1.7166324435318274</v>
      </c>
      <c r="F146" s="28">
        <f>(F145-Inputs!$D$13)/Inputs!$D$10</f>
        <v>2.7159479808350446</v>
      </c>
      <c r="G146" s="28">
        <f>(G145-Inputs!$D$13)/Inputs!$D$10</f>
        <v>3.7152635181382614</v>
      </c>
      <c r="H146" s="28">
        <f>(H145-Inputs!$D$13)/Inputs!$D$10</f>
        <v>4.7145790554414786</v>
      </c>
      <c r="I146" s="28">
        <f>(I145-Inputs!$D$13)/Inputs!$D$10</f>
        <v>5.7166324435318279</v>
      </c>
      <c r="J146" s="28">
        <f>(J145-Inputs!$D$13)/Inputs!$D$10</f>
        <v>6.7159479808350442</v>
      </c>
      <c r="K146" s="28">
        <f>(K145-Inputs!$D$13)/Inputs!$D$10</f>
        <v>7.7152635181382614</v>
      </c>
      <c r="L146" s="28">
        <f>(L145-Inputs!$D$13)/Inputs!$D$10</f>
        <v>8.7145790554414777</v>
      </c>
      <c r="M146" s="28">
        <f>(M145-Inputs!$D$13)/Inputs!$D$10</f>
        <v>9.716632443531827</v>
      </c>
    </row>
    <row r="147" spans="1:13" ht="15" customHeight="1" x14ac:dyDescent="0.2">
      <c r="A147" s="91"/>
      <c r="B147" s="10" t="s">
        <v>889</v>
      </c>
      <c r="C147" s="10" t="s">
        <v>107</v>
      </c>
      <c r="D147" s="28">
        <f>D146</f>
        <v>0.71457905544147848</v>
      </c>
      <c r="E147" s="28">
        <f>Inputs!$D$7</f>
        <v>1</v>
      </c>
      <c r="F147" s="28">
        <f>Inputs!$D$7</f>
        <v>1</v>
      </c>
      <c r="G147" s="28">
        <f>Inputs!$D$7</f>
        <v>1</v>
      </c>
      <c r="H147" s="28">
        <f>Inputs!$D$7</f>
        <v>1</v>
      </c>
      <c r="I147" s="28">
        <f>Inputs!$D$7</f>
        <v>1</v>
      </c>
      <c r="J147" s="28">
        <f>Inputs!$D$7</f>
        <v>1</v>
      </c>
      <c r="K147" s="28">
        <f>Inputs!$D$7</f>
        <v>1</v>
      </c>
      <c r="L147" s="28">
        <f>Inputs!$D$7</f>
        <v>1</v>
      </c>
      <c r="M147" s="28">
        <f>Inputs!$D$7</f>
        <v>1</v>
      </c>
    </row>
    <row r="148" spans="1:13" ht="15" customHeight="1" x14ac:dyDescent="0.2">
      <c r="A148" s="91"/>
      <c r="B148" s="3" t="s">
        <v>890</v>
      </c>
      <c r="C148" s="10" t="s">
        <v>199</v>
      </c>
      <c r="D148" s="28">
        <f>Inputs!$D$24+(Inputs!$D$80-Inputs!$D$24)*Inputs!$D$83</f>
        <v>305.5</v>
      </c>
      <c r="E148" s="28">
        <f>Inputs!$D$24+(Inputs!$D$80-Inputs!$D$24)*Inputs!$D$84</f>
        <v>651.5</v>
      </c>
      <c r="F148" s="28">
        <f>Inputs!$D$24+(Inputs!$D$80-Inputs!$D$24)*Inputs!$D$85</f>
        <v>911</v>
      </c>
      <c r="G148" s="28">
        <f>Inputs!$D$24+(Inputs!$D$80-Inputs!$D$24)*Inputs!$D$86</f>
        <v>911</v>
      </c>
      <c r="H148" s="28">
        <f>Inputs!$D$24+(Inputs!$D$80-Inputs!$D$24)*Inputs!$D$87</f>
        <v>911</v>
      </c>
      <c r="I148" s="28">
        <f>Inputs!$D$24+(Inputs!$D$80-Inputs!$D$24)*Inputs!$D$88</f>
        <v>911</v>
      </c>
      <c r="J148" s="28">
        <f>Inputs!$D$24+(Inputs!$D$80-Inputs!$D$24)*Inputs!$D$89</f>
        <v>911</v>
      </c>
      <c r="K148" s="28">
        <f>Inputs!$D$24+(Inputs!$D$80-Inputs!$D$24)*Inputs!$D$90</f>
        <v>911</v>
      </c>
      <c r="L148" s="28">
        <f>Inputs!$D$24+(Inputs!$D$80-Inputs!$D$24)*Inputs!$D$91</f>
        <v>911</v>
      </c>
      <c r="M148" s="28">
        <f>Inputs!$D$24+(Inputs!$D$80-Inputs!$D$24)*Inputs!$D$92</f>
        <v>911</v>
      </c>
    </row>
    <row r="149" spans="1:13" ht="15" customHeight="1" x14ac:dyDescent="0.2">
      <c r="A149" s="91"/>
      <c r="B149" s="10" t="s">
        <v>891</v>
      </c>
      <c r="C149" s="10" t="s">
        <v>199</v>
      </c>
      <c r="D149" s="28">
        <f>Inputs!$D$24</f>
        <v>46</v>
      </c>
      <c r="E149" s="28">
        <f t="shared" ref="E149:M149" si="30">D148</f>
        <v>305.5</v>
      </c>
      <c r="F149" s="28">
        <f t="shared" si="30"/>
        <v>651.5</v>
      </c>
      <c r="G149" s="28">
        <f t="shared" si="30"/>
        <v>911</v>
      </c>
      <c r="H149" s="28">
        <f t="shared" si="30"/>
        <v>911</v>
      </c>
      <c r="I149" s="28">
        <f t="shared" si="30"/>
        <v>911</v>
      </c>
      <c r="J149" s="28">
        <f t="shared" si="30"/>
        <v>911</v>
      </c>
      <c r="K149" s="28">
        <f t="shared" si="30"/>
        <v>911</v>
      </c>
      <c r="L149" s="28">
        <f t="shared" si="30"/>
        <v>911</v>
      </c>
      <c r="M149" s="28">
        <f t="shared" si="30"/>
        <v>911</v>
      </c>
    </row>
    <row r="150" spans="1:13" ht="15" customHeight="1" x14ac:dyDescent="0.2">
      <c r="B150" s="10" t="s">
        <v>892</v>
      </c>
      <c r="C150" s="10" t="s">
        <v>199</v>
      </c>
      <c r="D150" s="28">
        <f>(D149+D148)*Inputs!$D$12</f>
        <v>175.75</v>
      </c>
      <c r="E150" s="28">
        <f>(E149+E148)*Inputs!$D$12</f>
        <v>478.5</v>
      </c>
      <c r="F150" s="28">
        <f>(F149+F148)*Inputs!$D$12</f>
        <v>781.25</v>
      </c>
      <c r="G150" s="28">
        <f>(G149+G148)*Inputs!$D$12</f>
        <v>911</v>
      </c>
      <c r="H150" s="28">
        <f>(H149+H148)*Inputs!$D$12</f>
        <v>911</v>
      </c>
      <c r="I150" s="28">
        <f>(I149+I148)*Inputs!$D$12</f>
        <v>911</v>
      </c>
      <c r="J150" s="28">
        <f>(J149+J148)*Inputs!$D$12</f>
        <v>911</v>
      </c>
      <c r="K150" s="28">
        <f>(K149+K148)*Inputs!$D$12</f>
        <v>911</v>
      </c>
      <c r="L150" s="28">
        <f>(L149+L148)*Inputs!$D$12</f>
        <v>911</v>
      </c>
      <c r="M150" s="28">
        <f>(M149+M148)*Inputs!$D$12</f>
        <v>911</v>
      </c>
    </row>
    <row r="151" spans="1:13" ht="15" customHeight="1" x14ac:dyDescent="0.2">
      <c r="B151" s="10" t="s">
        <v>893</v>
      </c>
      <c r="C151" s="10" t="s">
        <v>199</v>
      </c>
      <c r="D151" s="28">
        <f t="shared" ref="D151:M151" si="31">D148-D149</f>
        <v>259.5</v>
      </c>
      <c r="E151" s="28">
        <f t="shared" si="31"/>
        <v>346</v>
      </c>
      <c r="F151" s="28">
        <f t="shared" si="31"/>
        <v>259.5</v>
      </c>
      <c r="G151" s="28">
        <f t="shared" si="31"/>
        <v>0</v>
      </c>
      <c r="H151" s="28">
        <f t="shared" si="31"/>
        <v>0</v>
      </c>
      <c r="I151" s="28">
        <f t="shared" si="31"/>
        <v>0</v>
      </c>
      <c r="J151" s="28">
        <f t="shared" si="31"/>
        <v>0</v>
      </c>
      <c r="K151" s="28">
        <f t="shared" si="31"/>
        <v>0</v>
      </c>
      <c r="L151" s="28">
        <f t="shared" si="31"/>
        <v>0</v>
      </c>
      <c r="M151" s="28">
        <f t="shared" si="31"/>
        <v>0</v>
      </c>
    </row>
    <row r="152" spans="1:13" ht="15" customHeight="1" x14ac:dyDescent="0.2">
      <c r="B152" s="10" t="s">
        <v>894</v>
      </c>
      <c r="C152" s="10" t="s">
        <v>199</v>
      </c>
      <c r="D152" s="28">
        <f>IF(MOD(D144,Inputs!$D$21)=Inputs!$D$6,Inputs!$D$24,Inputs!$D$6)+SUMPRODUCT(--(D144&gt;$D$144:$M$144),--(MOD(D144-$D$144:$M$144,Inputs!$D$21)=Inputs!$D$6),$D$151:$M$151)</f>
        <v>0</v>
      </c>
      <c r="E152" s="28">
        <f>IF(MOD(E144,Inputs!$D$21)=Inputs!$D$6,Inputs!$D$24,Inputs!$D$6)+SUMPRODUCT(--(E144&gt;$D$144:$M$144),--(MOD(E144-$D$144:$M$144,Inputs!$D$21)=Inputs!$D$6),$D$151:$M$151)</f>
        <v>0</v>
      </c>
      <c r="F152" s="28">
        <f>IF(MOD(F144,Inputs!$D$21)=Inputs!$D$6,Inputs!$D$24,Inputs!$D$6)+SUMPRODUCT(--(F144&gt;$D$144:$M$144),--(MOD(F144-$D$144:$M$144,Inputs!$D$21)=Inputs!$D$6),$D$151:$M$151)</f>
        <v>0</v>
      </c>
      <c r="G152" s="28">
        <f>IF(MOD(G144,Inputs!$D$21)=Inputs!$D$6,Inputs!$D$24,Inputs!$D$6)+SUMPRODUCT(--(G144&gt;$D$144:$M$144),--(MOD(G144-$D$144:$M$144,Inputs!$D$21)=Inputs!$D$6),$D$151:$M$151)</f>
        <v>46</v>
      </c>
      <c r="H152" s="28">
        <f>IF(MOD(H144,Inputs!$D$21)=Inputs!$D$6,Inputs!$D$24,Inputs!$D$6)+SUMPRODUCT(--(H144&gt;$D$144:$M$144),--(MOD(H144-$D$144:$M$144,Inputs!$D$21)=Inputs!$D$6),$D$151:$M$151)</f>
        <v>259.5</v>
      </c>
      <c r="I152" s="28">
        <f>IF(MOD(I144,Inputs!$D$21)=Inputs!$D$6,Inputs!$D$24,Inputs!$D$6)+SUMPRODUCT(--(I144&gt;$D$144:$M$144),--(MOD(I144-$D$144:$M$144,Inputs!$D$21)=Inputs!$D$6),$D$151:$M$151)</f>
        <v>346</v>
      </c>
      <c r="J152" s="28">
        <f>IF(MOD(J144,Inputs!$D$21)=Inputs!$D$6,Inputs!$D$24,Inputs!$D$6)+SUMPRODUCT(--(J144&gt;$D$144:$M$144),--(MOD(J144-$D$144:$M$144,Inputs!$D$21)=Inputs!$D$6),$D$151:$M$151)</f>
        <v>259.5</v>
      </c>
      <c r="K152" s="28">
        <f>IF(MOD(K144,Inputs!$D$21)=Inputs!$D$6,Inputs!$D$24,Inputs!$D$6)+SUMPRODUCT(--(K144&gt;$D$144:$M$144),--(MOD(K144-$D$144:$M$144,Inputs!$D$21)=Inputs!$D$6),$D$151:$M$151)</f>
        <v>46</v>
      </c>
      <c r="L152" s="28">
        <f>IF(MOD(L144,Inputs!$D$21)=Inputs!$D$6,Inputs!$D$24,Inputs!$D$6)+SUMPRODUCT(--(L144&gt;$D$144:$M$144),--(MOD(L144-$D$144:$M$144,Inputs!$D$21)=Inputs!$D$6),$D$151:$M$151)</f>
        <v>259.5</v>
      </c>
      <c r="M152" s="28">
        <f>IF(MOD(M144,Inputs!$D$21)=Inputs!$D$6,Inputs!$D$24,Inputs!$D$6)+SUMPRODUCT(--(M144&gt;$D$144:$M$144),--(MOD(M144-$D$144:$M$144,Inputs!$D$21)=Inputs!$D$6),$D$151:$M$151)</f>
        <v>346</v>
      </c>
    </row>
    <row r="153" spans="1:13" ht="15" customHeight="1" x14ac:dyDescent="0.2">
      <c r="B153" s="10" t="s">
        <v>895</v>
      </c>
      <c r="C153" s="10" t="s">
        <v>896</v>
      </c>
      <c r="D153" s="28">
        <f t="shared" ref="D153:M153" si="32">D150*D147</f>
        <v>125.58726899383984</v>
      </c>
      <c r="E153" s="28">
        <f t="shared" si="32"/>
        <v>478.5</v>
      </c>
      <c r="F153" s="28">
        <f t="shared" si="32"/>
        <v>781.25</v>
      </c>
      <c r="G153" s="28">
        <f t="shared" si="32"/>
        <v>911</v>
      </c>
      <c r="H153" s="28">
        <f t="shared" si="32"/>
        <v>911</v>
      </c>
      <c r="I153" s="28">
        <f t="shared" si="32"/>
        <v>911</v>
      </c>
      <c r="J153" s="28">
        <f t="shared" si="32"/>
        <v>911</v>
      </c>
      <c r="K153" s="28">
        <f t="shared" si="32"/>
        <v>911</v>
      </c>
      <c r="L153" s="28">
        <f t="shared" si="32"/>
        <v>911</v>
      </c>
      <c r="M153" s="28">
        <f t="shared" si="32"/>
        <v>911</v>
      </c>
    </row>
    <row r="154" spans="1:13" ht="15" customHeight="1" x14ac:dyDescent="0.2">
      <c r="B154" s="10" t="s">
        <v>897</v>
      </c>
      <c r="C154" s="10" t="s">
        <v>110</v>
      </c>
      <c r="D154" s="16">
        <f>D153*($D$173/Inputs!$D$21+$D$174/Inputs!$D$22)</f>
        <v>1816.9772859324419</v>
      </c>
      <c r="E154" s="16">
        <f>E153*($D$173/Inputs!$D$21+$D$174/Inputs!$D$22)</f>
        <v>6922.8643817497086</v>
      </c>
      <c r="F154" s="16">
        <f>F153*($D$173/Inputs!$D$21+$D$174/Inputs!$D$22)</f>
        <v>11303.0048030135</v>
      </c>
      <c r="G154" s="16">
        <f>G153*($D$173/Inputs!$D$21+$D$174/Inputs!$D$22)</f>
        <v>13180.207840697982</v>
      </c>
      <c r="H154" s="16">
        <f>H153*($D$173/Inputs!$D$21+$D$174/Inputs!$D$22)</f>
        <v>13180.207840697982</v>
      </c>
      <c r="I154" s="16">
        <f>I153*($D$173/Inputs!$D$21+$D$174/Inputs!$D$22)</f>
        <v>13180.207840697982</v>
      </c>
      <c r="J154" s="16">
        <f>J153*($D$173/Inputs!$D$21+$D$174/Inputs!$D$22)</f>
        <v>13180.207840697982</v>
      </c>
      <c r="K154" s="16">
        <f>K153*($D$173/Inputs!$D$21+$D$174/Inputs!$D$22)</f>
        <v>13180.207840697982</v>
      </c>
      <c r="L154" s="16">
        <f>L153*($D$173/Inputs!$D$21+$D$174/Inputs!$D$22)</f>
        <v>13180.207840697982</v>
      </c>
      <c r="M154" s="16">
        <f>M153*($D$173/Inputs!$D$21+$D$174/Inputs!$D$22)</f>
        <v>13180.207840697982</v>
      </c>
    </row>
    <row r="155" spans="1:13" ht="15" customHeight="1" x14ac:dyDescent="0.2">
      <c r="B155" s="10" t="s">
        <v>898</v>
      </c>
      <c r="C155" s="10" t="s">
        <v>110</v>
      </c>
      <c r="D155" s="16">
        <f t="shared" ref="D155:M155" si="33">D151*($D$173+$D$174)</f>
        <v>15560.968620146154</v>
      </c>
      <c r="E155" s="16">
        <f t="shared" si="33"/>
        <v>20747.95816019487</v>
      </c>
      <c r="F155" s="16">
        <f t="shared" si="33"/>
        <v>15560.968620146154</v>
      </c>
      <c r="G155" s="16">
        <f t="shared" si="33"/>
        <v>0</v>
      </c>
      <c r="H155" s="16">
        <f t="shared" si="33"/>
        <v>0</v>
      </c>
      <c r="I155" s="16">
        <f t="shared" si="33"/>
        <v>0</v>
      </c>
      <c r="J155" s="16">
        <f t="shared" si="33"/>
        <v>0</v>
      </c>
      <c r="K155" s="16">
        <f t="shared" si="33"/>
        <v>0</v>
      </c>
      <c r="L155" s="16">
        <f t="shared" si="33"/>
        <v>0</v>
      </c>
      <c r="M155" s="16">
        <f t="shared" si="33"/>
        <v>0</v>
      </c>
    </row>
    <row r="156" spans="1:13" ht="15" customHeight="1" x14ac:dyDescent="0.2">
      <c r="B156" s="10" t="s">
        <v>899</v>
      </c>
      <c r="C156" s="10" t="s">
        <v>110</v>
      </c>
      <c r="D156" s="16">
        <f t="shared" ref="D156:M156" si="34">D152*$D$173</f>
        <v>0</v>
      </c>
      <c r="E156" s="16">
        <f t="shared" si="34"/>
        <v>0</v>
      </c>
      <c r="F156" s="16">
        <f t="shared" si="34"/>
        <v>0</v>
      </c>
      <c r="G156" s="16">
        <f t="shared" si="34"/>
        <v>2638.0048485671714</v>
      </c>
      <c r="H156" s="16">
        <f t="shared" si="34"/>
        <v>14881.788221808281</v>
      </c>
      <c r="I156" s="16">
        <f t="shared" si="34"/>
        <v>19842.384295744378</v>
      </c>
      <c r="J156" s="16">
        <f t="shared" si="34"/>
        <v>14881.788221808281</v>
      </c>
      <c r="K156" s="16">
        <f t="shared" si="34"/>
        <v>2638.0048485671714</v>
      </c>
      <c r="L156" s="16">
        <f t="shared" si="34"/>
        <v>14881.788221808281</v>
      </c>
      <c r="M156" s="16">
        <f t="shared" si="34"/>
        <v>19842.384295744378</v>
      </c>
    </row>
    <row r="157" spans="1:13" ht="15" customHeight="1" x14ac:dyDescent="0.2">
      <c r="B157" s="10" t="s">
        <v>900</v>
      </c>
      <c r="C157" s="10" t="s">
        <v>199</v>
      </c>
      <c r="D157" s="28">
        <f>D151*Inputs!$D$23</f>
        <v>6.4875000000000007</v>
      </c>
      <c r="E157" s="28">
        <f>E151*Inputs!$D$23</f>
        <v>8.65</v>
      </c>
      <c r="F157" s="28">
        <f>F151*Inputs!$D$23</f>
        <v>6.4875000000000007</v>
      </c>
      <c r="G157" s="28">
        <f>G151*Inputs!$D$23</f>
        <v>0</v>
      </c>
      <c r="H157" s="28">
        <f>H151*Inputs!$D$23</f>
        <v>0</v>
      </c>
      <c r="I157" s="28">
        <f>I151*Inputs!$D$23</f>
        <v>0</v>
      </c>
      <c r="J157" s="28">
        <f>J151*Inputs!$D$23</f>
        <v>0</v>
      </c>
      <c r="K157" s="28">
        <f>K151*Inputs!$D$23</f>
        <v>0</v>
      </c>
      <c r="L157" s="28">
        <f>L151*Inputs!$D$23</f>
        <v>0</v>
      </c>
      <c r="M157" s="28">
        <f>M151*Inputs!$D$23</f>
        <v>0</v>
      </c>
    </row>
    <row r="158" spans="1:13" ht="15" customHeight="1" x14ac:dyDescent="0.2">
      <c r="B158" s="3" t="s">
        <v>901</v>
      </c>
      <c r="C158" s="10" t="s">
        <v>896</v>
      </c>
      <c r="D158" s="28">
        <f>(D153*$D$171*(Inputs!$D$7-Inputs!$D$19)-D157)/(Inputs!$D$7+$D$172)^D146</f>
        <v>43.213488846686175</v>
      </c>
      <c r="E158" s="28">
        <f>(E153*$D$171*(Inputs!$D$7-Inputs!$D$19)-E157)/(Inputs!$D$7+$D$172)^E146</f>
        <v>163.29332190458183</v>
      </c>
      <c r="F158" s="28">
        <f>(F153*$D$171*(Inputs!$D$7-Inputs!$D$19)-F157)/(Inputs!$D$7+$D$172)^F146</f>
        <v>248.28260771010829</v>
      </c>
      <c r="G158" s="28">
        <f>(G153*$D$171*(Inputs!$D$7-Inputs!$D$19)-G157)/(Inputs!$D$7+$D$172)^G146</f>
        <v>268.5238926419492</v>
      </c>
      <c r="H158" s="28">
        <f>(H153*$D$171*(Inputs!$D$7-Inputs!$D$19)-H157)/(Inputs!$D$7+$D$172)^H146</f>
        <v>244.12855518959191</v>
      </c>
      <c r="I158" s="28">
        <f>(I153*$D$171*(Inputs!$D$7-Inputs!$D$19)-I157)/(Inputs!$D$7+$D$172)^I146</f>
        <v>221.8916197826434</v>
      </c>
      <c r="J158" s="28">
        <f>(J153*$D$171*(Inputs!$D$7-Inputs!$D$19)-J157)/(Inputs!$D$7+$D$172)^J146</f>
        <v>201.73281421346593</v>
      </c>
      <c r="K158" s="28">
        <f>(K153*$D$171*(Inputs!$D$7-Inputs!$D$19)-K157)/(Inputs!$D$7+$D$172)^K146</f>
        <v>183.40543176145695</v>
      </c>
      <c r="L158" s="28">
        <f>(L153*$D$171*(Inputs!$D$7-Inputs!$D$19)-L157)/(Inputs!$D$7+$D$172)^L146</f>
        <v>166.74308803332551</v>
      </c>
      <c r="M158" s="28">
        <f>(M153*$D$171*(Inputs!$D$7-Inputs!$D$19)-M157)/(Inputs!$D$7+$D$172)^M146</f>
        <v>151.55496194429571</v>
      </c>
    </row>
    <row r="159" spans="1:13" ht="15" customHeight="1" x14ac:dyDescent="0.2">
      <c r="B159" s="10" t="s">
        <v>902</v>
      </c>
      <c r="C159" s="10" t="s">
        <v>110</v>
      </c>
      <c r="D159" s="16">
        <f>(D154*Inputs!$D$19-D155-D156)/(Inputs!$D$7+$D$172)^D146</f>
        <v>-14027.24269342025</v>
      </c>
      <c r="E159" s="16">
        <f>(E154*Inputs!$D$19-E155-E156)/(Inputs!$D$7+$D$172)^E146</f>
        <v>-15853.087323826181</v>
      </c>
      <c r="F159" s="16">
        <f>(F154*Inputs!$D$19-F155-F156)/(Inputs!$D$7+$D$172)^F146</f>
        <v>-9394.4767487293357</v>
      </c>
      <c r="G159" s="16">
        <f>(G154*Inputs!$D$19-G155-G156)/(Inputs!$D$7+$D$172)^G146</f>
        <v>923.61320322684639</v>
      </c>
      <c r="H159" s="16">
        <f>(H154*Inputs!$D$19-H155-H156)/(Inputs!$D$7+$D$172)^H146</f>
        <v>-6972.3744918015345</v>
      </c>
      <c r="I159" s="16">
        <f>(I154*Inputs!$D$19-I155-I156)/(Inputs!$D$7+$D$172)^I146</f>
        <v>-9214.0648467907959</v>
      </c>
      <c r="J159" s="16">
        <f>(J154*Inputs!$D$19-J155-J156)/(Inputs!$D$7+$D$172)^J146</f>
        <v>-5761.5411965591911</v>
      </c>
      <c r="K159" s="16">
        <f>(K154*Inputs!$D$19-K155-K156)/(Inputs!$D$7+$D$172)^K146</f>
        <v>630.8402453567694</v>
      </c>
      <c r="L159" s="16">
        <f>(L154*Inputs!$D$19-L155-L156)/(Inputs!$D$7+$D$172)^L146</f>
        <v>-4762.2255937446444</v>
      </c>
      <c r="M159" s="16">
        <f>(M154*Inputs!$D$19-M155-M156)/(Inputs!$D$7+$D$172)^M146</f>
        <v>-6293.3302689644106</v>
      </c>
    </row>
    <row r="160" spans="1:13" ht="15" customHeight="1" x14ac:dyDescent="0.2">
      <c r="B160" s="10" t="s">
        <v>903</v>
      </c>
      <c r="C160" s="10" t="s">
        <v>110</v>
      </c>
      <c r="D160" s="16">
        <f t="shared" ref="D160:M160" si="35">D153*$D$170</f>
        <v>5894.4181266423129</v>
      </c>
      <c r="E160" s="16">
        <f t="shared" si="35"/>
        <v>22458.319988920961</v>
      </c>
      <c r="F160" s="16">
        <f t="shared" si="35"/>
        <v>36667.842197167185</v>
      </c>
      <c r="G160" s="16">
        <f t="shared" si="35"/>
        <v>42757.637429272712</v>
      </c>
      <c r="H160" s="16">
        <f t="shared" si="35"/>
        <v>42757.637429272712</v>
      </c>
      <c r="I160" s="16">
        <f t="shared" si="35"/>
        <v>42757.637429272712</v>
      </c>
      <c r="J160" s="16">
        <f t="shared" si="35"/>
        <v>42757.637429272712</v>
      </c>
      <c r="K160" s="16">
        <f t="shared" si="35"/>
        <v>42757.637429272712</v>
      </c>
      <c r="L160" s="16">
        <f t="shared" si="35"/>
        <v>42757.637429272712</v>
      </c>
      <c r="M160" s="16">
        <f t="shared" si="35"/>
        <v>42757.637429272712</v>
      </c>
    </row>
    <row r="161" spans="2:13" ht="15" customHeight="1" x14ac:dyDescent="0.2">
      <c r="B161" s="10" t="s">
        <v>904</v>
      </c>
      <c r="C161" s="10" t="s">
        <v>110</v>
      </c>
      <c r="D161" s="16">
        <f t="shared" ref="D161:M161" si="36">D160*$D$171</f>
        <v>3536.6508759853878</v>
      </c>
      <c r="E161" s="16">
        <f t="shared" si="36"/>
        <v>13474.991993352576</v>
      </c>
      <c r="F161" s="16">
        <f t="shared" si="36"/>
        <v>22000.705318300312</v>
      </c>
      <c r="G161" s="16">
        <f t="shared" si="36"/>
        <v>25654.582457563625</v>
      </c>
      <c r="H161" s="16">
        <f t="shared" si="36"/>
        <v>25654.582457563625</v>
      </c>
      <c r="I161" s="16">
        <f t="shared" si="36"/>
        <v>25654.582457563625</v>
      </c>
      <c r="J161" s="16">
        <f t="shared" si="36"/>
        <v>25654.582457563625</v>
      </c>
      <c r="K161" s="16">
        <f t="shared" si="36"/>
        <v>25654.582457563625</v>
      </c>
      <c r="L161" s="16">
        <f t="shared" si="36"/>
        <v>25654.582457563625</v>
      </c>
      <c r="M161" s="16">
        <f t="shared" si="36"/>
        <v>25654.582457563625</v>
      </c>
    </row>
    <row r="162" spans="2:13" ht="15" customHeight="1" x14ac:dyDescent="0.2">
      <c r="B162" s="10" t="s">
        <v>905</v>
      </c>
      <c r="C162" s="10" t="s">
        <v>110</v>
      </c>
      <c r="D162" s="16">
        <f t="shared" ref="D162:M162" si="37">D161-D154</f>
        <v>1719.6735900529459</v>
      </c>
      <c r="E162" s="16">
        <f t="shared" si="37"/>
        <v>6552.1276116028675</v>
      </c>
      <c r="F162" s="16">
        <f t="shared" si="37"/>
        <v>10697.700515286811</v>
      </c>
      <c r="G162" s="16">
        <f t="shared" si="37"/>
        <v>12474.374616865643</v>
      </c>
      <c r="H162" s="16">
        <f t="shared" si="37"/>
        <v>12474.374616865643</v>
      </c>
      <c r="I162" s="16">
        <f t="shared" si="37"/>
        <v>12474.374616865643</v>
      </c>
      <c r="J162" s="16">
        <f t="shared" si="37"/>
        <v>12474.374616865643</v>
      </c>
      <c r="K162" s="16">
        <f t="shared" si="37"/>
        <v>12474.374616865643</v>
      </c>
      <c r="L162" s="16">
        <f t="shared" si="37"/>
        <v>12474.374616865643</v>
      </c>
      <c r="M162" s="16">
        <f t="shared" si="37"/>
        <v>12474.374616865643</v>
      </c>
    </row>
    <row r="163" spans="2:13" ht="15" customHeight="1" x14ac:dyDescent="0.2">
      <c r="B163" s="10" t="s">
        <v>906</v>
      </c>
      <c r="C163" s="10" t="s">
        <v>110</v>
      </c>
      <c r="D163" s="16">
        <f>MAX(D162,Inputs!$D$6)*Inputs!$D$19</f>
        <v>515.90207701588372</v>
      </c>
      <c r="E163" s="16">
        <f>MAX(E162,Inputs!$D$6)*Inputs!$D$19</f>
        <v>1965.6382834808601</v>
      </c>
      <c r="F163" s="16">
        <f>MAX(F162,Inputs!$D$6)*Inputs!$D$19</f>
        <v>3209.3101545860432</v>
      </c>
      <c r="G163" s="16">
        <f>MAX(G162,Inputs!$D$6)*Inputs!$D$19</f>
        <v>3742.312385059693</v>
      </c>
      <c r="H163" s="16">
        <f>MAX(H162,Inputs!$D$6)*Inputs!$D$19</f>
        <v>3742.312385059693</v>
      </c>
      <c r="I163" s="16">
        <f>MAX(I162,Inputs!$D$6)*Inputs!$D$19</f>
        <v>3742.312385059693</v>
      </c>
      <c r="J163" s="16">
        <f>MAX(J162,Inputs!$D$6)*Inputs!$D$19</f>
        <v>3742.312385059693</v>
      </c>
      <c r="K163" s="16">
        <f>MAX(K162,Inputs!$D$6)*Inputs!$D$19</f>
        <v>3742.312385059693</v>
      </c>
      <c r="L163" s="16">
        <f>MAX(L162,Inputs!$D$6)*Inputs!$D$19</f>
        <v>3742.312385059693</v>
      </c>
      <c r="M163" s="16">
        <f>MAX(M162,Inputs!$D$6)*Inputs!$D$19</f>
        <v>3742.312385059693</v>
      </c>
    </row>
    <row r="164" spans="2:13" ht="15" customHeight="1" x14ac:dyDescent="0.2">
      <c r="B164" s="10" t="s">
        <v>907</v>
      </c>
      <c r="C164" s="10" t="s">
        <v>110</v>
      </c>
      <c r="D164" s="16">
        <f t="shared" ref="D164:M164" si="38">D157*$D$170</f>
        <v>304.48976160527639</v>
      </c>
      <c r="E164" s="16">
        <f t="shared" si="38"/>
        <v>405.98634880703514</v>
      </c>
      <c r="F164" s="16">
        <f t="shared" si="38"/>
        <v>304.48976160527639</v>
      </c>
      <c r="G164" s="16">
        <f t="shared" si="38"/>
        <v>0</v>
      </c>
      <c r="H164" s="16">
        <f t="shared" si="38"/>
        <v>0</v>
      </c>
      <c r="I164" s="16">
        <f t="shared" si="38"/>
        <v>0</v>
      </c>
      <c r="J164" s="16">
        <f t="shared" si="38"/>
        <v>0</v>
      </c>
      <c r="K164" s="16">
        <f t="shared" si="38"/>
        <v>0</v>
      </c>
      <c r="L164" s="16">
        <f t="shared" si="38"/>
        <v>0</v>
      </c>
      <c r="M164" s="16">
        <f t="shared" si="38"/>
        <v>0</v>
      </c>
    </row>
    <row r="165" spans="2:13" ht="15" customHeight="1" x14ac:dyDescent="0.2">
      <c r="B165" s="10" t="s">
        <v>908</v>
      </c>
      <c r="C165" s="10" t="s">
        <v>110</v>
      </c>
      <c r="D165" s="16">
        <f t="shared" ref="D165:M165" si="39">D161-D163-D155-D156-D164</f>
        <v>-12844.709582781927</v>
      </c>
      <c r="E165" s="16">
        <f t="shared" si="39"/>
        <v>-9644.5907991301883</v>
      </c>
      <c r="F165" s="16">
        <f t="shared" si="39"/>
        <v>2925.9367819628374</v>
      </c>
      <c r="G165" s="16">
        <f t="shared" si="39"/>
        <v>19274.26522393676</v>
      </c>
      <c r="H165" s="16">
        <f t="shared" si="39"/>
        <v>7030.4818506956508</v>
      </c>
      <c r="I165" s="16">
        <f t="shared" si="39"/>
        <v>2069.8857767595546</v>
      </c>
      <c r="J165" s="16">
        <f t="shared" si="39"/>
        <v>7030.4818506956508</v>
      </c>
      <c r="K165" s="16">
        <f t="shared" si="39"/>
        <v>19274.26522393676</v>
      </c>
      <c r="L165" s="16">
        <f t="shared" si="39"/>
        <v>7030.4818506956508</v>
      </c>
      <c r="M165" s="16">
        <f t="shared" si="39"/>
        <v>2069.8857767595546</v>
      </c>
    </row>
    <row r="166" spans="2:13" ht="15" customHeight="1" x14ac:dyDescent="0.2">
      <c r="B166" s="10" t="s">
        <v>909</v>
      </c>
      <c r="C166" s="10" t="s">
        <v>110</v>
      </c>
      <c r="D166" s="16">
        <f>D165/(Inputs!$D$7+$D$172)^D146</f>
        <v>-11999.024594451505</v>
      </c>
      <c r="E166" s="16">
        <f>E165/(Inputs!$D$7+$D$172)^E146</f>
        <v>-8188.9417117321882</v>
      </c>
      <c r="F166" s="16">
        <f>F165/(Inputs!$D$7+$D$172)^F146</f>
        <v>2258.6272254343971</v>
      </c>
      <c r="G166" s="16">
        <f>G165/(Inputs!$D$7+$D$172)^G146</f>
        <v>13526.738606828838</v>
      </c>
      <c r="H166" s="16">
        <f>H165/(Inputs!$D$7+$D$172)^H146</f>
        <v>4485.7597002168668</v>
      </c>
      <c r="I166" s="16">
        <f>I165/(Inputs!$D$7+$D$172)^I146</f>
        <v>1200.382384010853</v>
      </c>
      <c r="J166" s="16">
        <f>J165/(Inputs!$D$7+$D$172)^J146</f>
        <v>3706.7557603301702</v>
      </c>
      <c r="K166" s="16">
        <f>K165/(Inputs!$D$7+$D$172)^K146</f>
        <v>9238.9444756702633</v>
      </c>
      <c r="L166" s="16">
        <f>L165/(Inputs!$D$7+$D$172)^L146</f>
        <v>3063.8342327825048</v>
      </c>
      <c r="M166" s="16">
        <f>M165/(Inputs!$D$7+$D$172)^M146</f>
        <v>819.87731986261372</v>
      </c>
    </row>
    <row r="167" spans="2:13" ht="15" customHeight="1" x14ac:dyDescent="0.2">
      <c r="B167" s="3" t="s">
        <v>910</v>
      </c>
      <c r="C167" s="10" t="s">
        <v>896</v>
      </c>
      <c r="D167" s="28">
        <f>(D153*$D$171-D157)/(Inputs!$D$7+$D$172)^D146</f>
        <v>64.330856237917445</v>
      </c>
      <c r="E167" s="28">
        <f>(E153*$D$171-E157)/(Inputs!$D$7+$D$172)^E146</f>
        <v>236.42380139523098</v>
      </c>
      <c r="F167" s="28">
        <f>(F153*$D$171-F157)/(Inputs!$D$7+$D$172)^F146</f>
        <v>356.83568908039001</v>
      </c>
      <c r="G167" s="28">
        <f>(G153*$D$171-G157)/(Inputs!$D$7+$D$172)^G146</f>
        <v>383.60556091707036</v>
      </c>
      <c r="H167" s="28">
        <f>(H153*$D$171-H157)/(Inputs!$D$7+$D$172)^H146</f>
        <v>348.75507884227414</v>
      </c>
      <c r="I167" s="28">
        <f>(I153*$D$171-I157)/(Inputs!$D$7+$D$172)^I146</f>
        <v>316.98802826091918</v>
      </c>
      <c r="J167" s="28">
        <f>(J153*$D$171-J157)/(Inputs!$D$7+$D$172)^J146</f>
        <v>288.18973459066564</v>
      </c>
      <c r="K167" s="28">
        <f>(K153*$D$171-K157)/(Inputs!$D$7+$D$172)^K146</f>
        <v>262.00775965922423</v>
      </c>
      <c r="L167" s="28">
        <f>(L153*$D$171-L157)/(Inputs!$D$7+$D$172)^L146</f>
        <v>238.2044114761793</v>
      </c>
      <c r="M167" s="28">
        <f>(M153*$D$171-M157)/(Inputs!$D$7+$D$172)^M146</f>
        <v>216.50708849185102</v>
      </c>
    </row>
    <row r="168" spans="2:13" ht="15" customHeight="1" x14ac:dyDescent="0.2">
      <c r="B168" s="10" t="s">
        <v>911</v>
      </c>
      <c r="C168" s="10" t="s">
        <v>110</v>
      </c>
      <c r="D168" s="16">
        <f>(-D155-D156)/(Inputs!$D$7+$D$172)^D146</f>
        <v>-14536.447397527105</v>
      </c>
      <c r="E168" s="16">
        <f>(-E155-E156)/(Inputs!$D$7+$D$172)^E146</f>
        <v>-17616.488200475756</v>
      </c>
      <c r="F168" s="16">
        <f>(-F155-F156)/(Inputs!$D$7+$D$172)^F146</f>
        <v>-12012.025548964448</v>
      </c>
      <c r="G168" s="16">
        <f>(-G155-G156)/(Inputs!$D$7+$D$172)^G146</f>
        <v>-1851.359915178487</v>
      </c>
      <c r="H168" s="16">
        <f>(-H155-H156)/(Inputs!$D$7+$D$172)^H146</f>
        <v>-9495.2419037884629</v>
      </c>
      <c r="I168" s="16">
        <f>(-I155-I156)/(Inputs!$D$7+$D$172)^I146</f>
        <v>-11507.131858586603</v>
      </c>
      <c r="J168" s="16">
        <f>(-J155-J156)/(Inputs!$D$7+$D$172)^J146</f>
        <v>-7846.2835672839774</v>
      </c>
      <c r="K168" s="16">
        <f>(-K155-K156)/(Inputs!$D$7+$D$172)^K146</f>
        <v>-1264.5037327904422</v>
      </c>
      <c r="L168" s="16">
        <f>(-L155-L156)/(Inputs!$D$7+$D$172)^L146</f>
        <v>-6485.3779822337692</v>
      </c>
      <c r="M168" s="16">
        <f>(-M155-M156)/(Inputs!$D$7+$D$172)^M146</f>
        <v>-7859.5258920747219</v>
      </c>
    </row>
    <row r="169" spans="2:13" ht="15" customHeight="1" x14ac:dyDescent="0.2">
      <c r="B169" s="10" t="s">
        <v>912</v>
      </c>
      <c r="C169" s="10" t="s">
        <v>110</v>
      </c>
      <c r="D169" s="16">
        <f>Prices!K6</f>
        <v>58028.700386874909</v>
      </c>
    </row>
    <row r="170" spans="2:13" ht="15" customHeight="1" x14ac:dyDescent="0.2">
      <c r="B170" s="3" t="s">
        <v>913</v>
      </c>
      <c r="C170" s="10" t="s">
        <v>914</v>
      </c>
      <c r="D170" s="28">
        <f>IF(J177&gt;=J173,J177,(D169-J176)/J175)</f>
        <v>46.934838012374001</v>
      </c>
      <c r="G170" s="99" t="s">
        <v>915</v>
      </c>
      <c r="H170" s="91"/>
      <c r="I170" s="91"/>
      <c r="J170" s="28">
        <f>D170*Inputs!$D$15</f>
        <v>32.755823448835812</v>
      </c>
      <c r="K170" s="99" t="s">
        <v>916</v>
      </c>
      <c r="L170" s="91"/>
      <c r="M170" s="91"/>
    </row>
    <row r="171" spans="2:13" ht="15" customHeight="1" x14ac:dyDescent="0.2">
      <c r="B171" s="10" t="s">
        <v>917</v>
      </c>
      <c r="C171" s="10" t="s">
        <v>104</v>
      </c>
      <c r="D171" s="30">
        <f>Inputs!$D$81</f>
        <v>0.6</v>
      </c>
      <c r="G171" s="99" t="s">
        <v>918</v>
      </c>
      <c r="H171" s="91"/>
      <c r="I171" s="91"/>
      <c r="J171" s="28">
        <f>IF(-D182/D181&gt;=J173,-D182/D181,-J176/J175)</f>
        <v>32.284876648616972</v>
      </c>
      <c r="K171" s="99" t="s">
        <v>919</v>
      </c>
      <c r="L171" s="91"/>
      <c r="M171" s="91"/>
    </row>
    <row r="172" spans="2:13" ht="15" customHeight="1" x14ac:dyDescent="0.2">
      <c r="B172" s="10" t="s">
        <v>920</v>
      </c>
      <c r="C172" s="10" t="s">
        <v>104</v>
      </c>
      <c r="D172" s="30">
        <f>Inputs!$D$82</f>
        <v>0.1</v>
      </c>
      <c r="G172" s="99" t="s">
        <v>918</v>
      </c>
      <c r="H172" s="91"/>
      <c r="I172" s="91"/>
      <c r="J172" s="28">
        <f>J171*Inputs!$D$15</f>
        <v>22.531615413069783</v>
      </c>
      <c r="K172" s="99" t="s">
        <v>916</v>
      </c>
      <c r="L172" s="91"/>
      <c r="M172" s="91"/>
    </row>
    <row r="173" spans="2:13" ht="15" customHeight="1" x14ac:dyDescent="0.2">
      <c r="B173" s="3" t="s">
        <v>921</v>
      </c>
      <c r="C173" s="10" t="s">
        <v>848</v>
      </c>
      <c r="D173" s="28">
        <f>Capital!$D$13</f>
        <v>57.347931490590682</v>
      </c>
      <c r="G173" s="99" t="s">
        <v>922</v>
      </c>
      <c r="H173" s="91"/>
      <c r="I173" s="91"/>
      <c r="J173" s="28">
        <f>($D$173/Inputs!$D$21+$D$174/Inputs!$D$22)/$D$171</f>
        <v>24.113076913095469</v>
      </c>
      <c r="K173" s="99" t="s">
        <v>919</v>
      </c>
      <c r="L173" s="91"/>
      <c r="M173" s="91"/>
    </row>
    <row r="174" spans="2:13" ht="15" customHeight="1" x14ac:dyDescent="0.2">
      <c r="B174" s="3" t="s">
        <v>923</v>
      </c>
      <c r="C174" s="10" t="s">
        <v>848</v>
      </c>
      <c r="D174" s="28">
        <f>Capital!$D$14</f>
        <v>2.6172655041921802</v>
      </c>
    </row>
    <row r="175" spans="2:13" ht="15" customHeight="1" x14ac:dyDescent="0.2">
      <c r="B175" s="10" t="s">
        <v>924</v>
      </c>
      <c r="C175" s="10" t="s">
        <v>896</v>
      </c>
      <c r="D175" s="28">
        <f>(M148*(Inputs!$D$7+Inputs!$D$20)*$D$171*(Inputs!$D$7-Inputs!$D$19)-M148*Inputs!$D$20*Inputs!$D$23)/($D$172-Inputs!$D$20)/(Inputs!$D$7+$D$172)^M146</f>
        <v>2068.2441036763203</v>
      </c>
      <c r="G175" s="92" t="s">
        <v>910</v>
      </c>
      <c r="H175" s="91"/>
      <c r="I175" s="91"/>
      <c r="J175" s="28">
        <f>SUM(D167:M167)+(M148*(Inputs!$D$7+Inputs!$D$20)*$D$171-M148*Inputs!$D$20*Inputs!$D$23)/($D$172-Inputs!$D$20)/(Inputs!$D$7+$D$172)^M146</f>
        <v>5667.7711754446318</v>
      </c>
      <c r="K175" s="99" t="s">
        <v>896</v>
      </c>
      <c r="L175" s="91"/>
      <c r="M175" s="91"/>
    </row>
    <row r="176" spans="2:13" ht="15" customHeight="1" x14ac:dyDescent="0.2">
      <c r="B176" s="10" t="s">
        <v>925</v>
      </c>
      <c r="C176" s="10" t="s">
        <v>110</v>
      </c>
      <c r="D176" s="16">
        <f>(D179*Inputs!$D$19-D179-D180)/($D$172-Inputs!$D$20)/(Inputs!$D$7+$D$172)^M146</f>
        <v>-57156.954988173631</v>
      </c>
      <c r="G176" s="92" t="s">
        <v>926</v>
      </c>
      <c r="H176" s="91"/>
      <c r="I176" s="91"/>
      <c r="J176" s="16">
        <f>SUM(D168:M168)-(D179+D180)/($D$172-Inputs!$D$20)/(Inputs!$D$7+$D$172)^M146</f>
        <v>-169036.01450291832</v>
      </c>
      <c r="K176" s="99" t="s">
        <v>110</v>
      </c>
      <c r="L176" s="91"/>
      <c r="M176" s="91"/>
    </row>
    <row r="177" spans="1:13" ht="15" customHeight="1" x14ac:dyDescent="0.2">
      <c r="B177" s="10" t="s">
        <v>927</v>
      </c>
      <c r="C177" s="10" t="s">
        <v>928</v>
      </c>
      <c r="D177" s="16">
        <f>(M148*(Inputs!$D$7+Inputs!$D$20)*$D$170*$D$171-D179)-MAX((M148*(Inputs!$D$7+Inputs!$D$20)*$D$170*$D$171-D179),Inputs!$D$6)*Inputs!$D$19-D180-M148*Inputs!$D$20*$D$170*Inputs!$D$23</f>
        <v>7557.9329026516261</v>
      </c>
      <c r="G177" s="99" t="s">
        <v>929</v>
      </c>
      <c r="H177" s="91"/>
      <c r="I177" s="91"/>
      <c r="J177" s="28">
        <f>(D169-D182)/D181</f>
        <v>46.934838012374001</v>
      </c>
      <c r="K177" s="99" t="s">
        <v>919</v>
      </c>
      <c r="L177" s="91"/>
      <c r="M177" s="91"/>
    </row>
    <row r="178" spans="1:13" ht="15" customHeight="1" x14ac:dyDescent="0.2">
      <c r="B178" s="10" t="s">
        <v>930</v>
      </c>
      <c r="C178" s="10" t="s">
        <v>110</v>
      </c>
      <c r="D178" s="16">
        <f>D177/($D$172-Inputs!$D$20)</f>
        <v>100772.43870202167</v>
      </c>
      <c r="G178" s="99" t="s">
        <v>931</v>
      </c>
      <c r="H178" s="91"/>
      <c r="I178" s="91"/>
      <c r="J178" s="16">
        <f>MIN(D162:M162,(M148*(Inputs!$D$7+Inputs!$D$20)*$D$170*$D$171-D179))</f>
        <v>1719.6735900529459</v>
      </c>
      <c r="K178" s="99" t="s">
        <v>110</v>
      </c>
      <c r="L178" s="91"/>
      <c r="M178" s="91"/>
    </row>
    <row r="179" spans="1:13" ht="15" customHeight="1" x14ac:dyDescent="0.2">
      <c r="B179" s="10" t="s">
        <v>932</v>
      </c>
      <c r="C179" s="10" t="s">
        <v>928</v>
      </c>
      <c r="D179" s="16">
        <f>M148*(Inputs!$D$7+Inputs!$D$20)*($D$173/Inputs!$D$21+$D$174/Inputs!$D$22)</f>
        <v>13509.71303671543</v>
      </c>
      <c r="G179" s="99" t="s">
        <v>933</v>
      </c>
      <c r="H179" s="91"/>
      <c r="I179" s="91"/>
      <c r="J179" s="31" t="str">
        <f>IF(J178&lt;Inputs!$D$6,"breached","satisfied")</f>
        <v>satisfied</v>
      </c>
      <c r="K179" s="99" t="s">
        <v>934</v>
      </c>
      <c r="L179" s="91"/>
      <c r="M179" s="91"/>
    </row>
    <row r="180" spans="1:13" ht="15" customHeight="1" x14ac:dyDescent="0.2">
      <c r="B180" s="10" t="s">
        <v>935</v>
      </c>
      <c r="C180" s="10" t="s">
        <v>928</v>
      </c>
      <c r="D180" s="16">
        <f>M148*Inputs!$D$20*($D$173+$D$174)</f>
        <v>1365.7073615561799</v>
      </c>
    </row>
    <row r="181" spans="1:13" ht="15" customHeight="1" x14ac:dyDescent="0.2">
      <c r="B181" s="10" t="s">
        <v>936</v>
      </c>
      <c r="C181" s="10" t="s">
        <v>896</v>
      </c>
      <c r="D181" s="28">
        <f>SUM(D158:M158)+D175</f>
        <v>3961.0138857044249</v>
      </c>
      <c r="G181" s="99" t="s">
        <v>937</v>
      </c>
      <c r="H181" s="91"/>
      <c r="I181" s="91"/>
      <c r="J181" s="16">
        <f>D183-D169</f>
        <v>0</v>
      </c>
      <c r="K181" s="99" t="s">
        <v>110</v>
      </c>
      <c r="L181" s="91"/>
      <c r="M181" s="91"/>
    </row>
    <row r="182" spans="1:13" ht="15" customHeight="1" x14ac:dyDescent="0.2">
      <c r="B182" s="10" t="s">
        <v>938</v>
      </c>
      <c r="C182" s="10" t="s">
        <v>110</v>
      </c>
      <c r="D182" s="16">
        <f>SUM(D159:M159)+D176</f>
        <v>-127880.84470342637</v>
      </c>
    </row>
    <row r="183" spans="1:13" ht="15" customHeight="1" x14ac:dyDescent="0.2">
      <c r="B183" s="10" t="s">
        <v>939</v>
      </c>
      <c r="C183" s="10" t="s">
        <v>110</v>
      </c>
      <c r="D183" s="16">
        <f>SUM(D166:M166)+D178/(Inputs!$D$7+$D$172)^M146</f>
        <v>58028.700386874945</v>
      </c>
    </row>
    <row r="184" spans="1:13" ht="15" customHeight="1" x14ac:dyDescent="0.2">
      <c r="B184" s="10" t="s">
        <v>940</v>
      </c>
      <c r="C184" s="10" t="s">
        <v>104</v>
      </c>
      <c r="D184" s="30">
        <f>IF(ABS(D169)&gt;Inputs!$D$6,D183/D169-Inputs!$D$7,Inputs!$D$6)</f>
        <v>6.6613381477509392E-16</v>
      </c>
    </row>
    <row r="185" spans="1:13" ht="15" customHeight="1" x14ac:dyDescent="0.2">
      <c r="B185" s="10" t="s">
        <v>941</v>
      </c>
      <c r="C185" s="10" t="s">
        <v>104</v>
      </c>
      <c r="D185" s="30">
        <f>IF(ABS(D183)&gt;Inputs!$D$119,D178/(Inputs!$D$7+$D$172)^M146/D183,Inputs!$D$6)</f>
        <v>0.68786215651574989</v>
      </c>
    </row>
    <row r="186" spans="1:13" ht="15" customHeight="1" x14ac:dyDescent="0.2">
      <c r="B186" s="10" t="s">
        <v>942</v>
      </c>
      <c r="C186" s="10" t="s">
        <v>943</v>
      </c>
      <c r="D186" s="26">
        <f>$D$170*Inputs!$D$8/Prices!$P$6/(Inputs!$D$26/Inputs!$D$25)/Inputs!$D$11/Inputs!$D$56</f>
        <v>8.5352428581689512</v>
      </c>
    </row>
    <row r="190" spans="1:13" ht="15" customHeight="1" x14ac:dyDescent="0.2">
      <c r="A190" s="104" t="s">
        <v>947</v>
      </c>
      <c r="B190" s="10" t="s">
        <v>886</v>
      </c>
      <c r="C190" s="10" t="s">
        <v>107</v>
      </c>
      <c r="D190" s="28">
        <f>Inputs!$D$60</f>
        <v>1</v>
      </c>
      <c r="E190" s="28">
        <f>Inputs!$D$62</f>
        <v>2</v>
      </c>
      <c r="F190" s="28">
        <f>Inputs!$D$64</f>
        <v>3</v>
      </c>
      <c r="G190" s="28">
        <f>Inputs!$D$66</f>
        <v>4</v>
      </c>
      <c r="H190" s="28">
        <f>Inputs!$D$68</f>
        <v>5</v>
      </c>
      <c r="I190" s="28">
        <f>Inputs!$D$70</f>
        <v>6</v>
      </c>
      <c r="J190" s="28">
        <f>Inputs!$D$72</f>
        <v>7</v>
      </c>
      <c r="K190" s="28">
        <f>Inputs!$D$74</f>
        <v>8</v>
      </c>
      <c r="L190" s="28">
        <f>Inputs!$D$76</f>
        <v>9</v>
      </c>
      <c r="M190" s="28">
        <f>Inputs!$D$78</f>
        <v>10</v>
      </c>
    </row>
    <row r="191" spans="1:13" ht="15" customHeight="1" x14ac:dyDescent="0.2">
      <c r="A191" s="91"/>
      <c r="B191" s="10" t="s">
        <v>887</v>
      </c>
      <c r="C191" s="10" t="s">
        <v>161</v>
      </c>
      <c r="D191" s="29">
        <f>Inputs!$D$61</f>
        <v>46568</v>
      </c>
      <c r="E191" s="29">
        <f>Inputs!$D$63</f>
        <v>46934</v>
      </c>
      <c r="F191" s="29">
        <f>Inputs!$D$65</f>
        <v>47299</v>
      </c>
      <c r="G191" s="29">
        <f>Inputs!$D$67</f>
        <v>47664</v>
      </c>
      <c r="H191" s="29">
        <f>Inputs!$D$69</f>
        <v>48029</v>
      </c>
      <c r="I191" s="29">
        <f>Inputs!$D$71</f>
        <v>48395</v>
      </c>
      <c r="J191" s="29">
        <f>Inputs!$D$73</f>
        <v>48760</v>
      </c>
      <c r="K191" s="29">
        <f>Inputs!$D$75</f>
        <v>49125</v>
      </c>
      <c r="L191" s="29">
        <f>Inputs!$D$77</f>
        <v>49490</v>
      </c>
      <c r="M191" s="29">
        <f>Inputs!$D$79</f>
        <v>49856</v>
      </c>
    </row>
    <row r="192" spans="1:13" ht="15" customHeight="1" x14ac:dyDescent="0.2">
      <c r="A192" s="91"/>
      <c r="B192" s="10" t="s">
        <v>888</v>
      </c>
      <c r="C192" s="10" t="s">
        <v>107</v>
      </c>
      <c r="D192" s="28">
        <f>(D191-Inputs!$D$13)/Inputs!$D$10</f>
        <v>0.71457905544147848</v>
      </c>
      <c r="E192" s="28">
        <f>(E191-Inputs!$D$13)/Inputs!$D$10</f>
        <v>1.7166324435318274</v>
      </c>
      <c r="F192" s="28">
        <f>(F191-Inputs!$D$13)/Inputs!$D$10</f>
        <v>2.7159479808350446</v>
      </c>
      <c r="G192" s="28">
        <f>(G191-Inputs!$D$13)/Inputs!$D$10</f>
        <v>3.7152635181382614</v>
      </c>
      <c r="H192" s="28">
        <f>(H191-Inputs!$D$13)/Inputs!$D$10</f>
        <v>4.7145790554414786</v>
      </c>
      <c r="I192" s="28">
        <f>(I191-Inputs!$D$13)/Inputs!$D$10</f>
        <v>5.7166324435318279</v>
      </c>
      <c r="J192" s="28">
        <f>(J191-Inputs!$D$13)/Inputs!$D$10</f>
        <v>6.7159479808350442</v>
      </c>
      <c r="K192" s="28">
        <f>(K191-Inputs!$D$13)/Inputs!$D$10</f>
        <v>7.7152635181382614</v>
      </c>
      <c r="L192" s="28">
        <f>(L191-Inputs!$D$13)/Inputs!$D$10</f>
        <v>8.7145790554414777</v>
      </c>
      <c r="M192" s="28">
        <f>(M191-Inputs!$D$13)/Inputs!$D$10</f>
        <v>9.716632443531827</v>
      </c>
    </row>
    <row r="193" spans="1:13" ht="15" customHeight="1" x14ac:dyDescent="0.2">
      <c r="A193" s="91"/>
      <c r="B193" s="10" t="s">
        <v>889</v>
      </c>
      <c r="C193" s="10" t="s">
        <v>107</v>
      </c>
      <c r="D193" s="28">
        <f>D192</f>
        <v>0.71457905544147848</v>
      </c>
      <c r="E193" s="28">
        <f>Inputs!$D$7</f>
        <v>1</v>
      </c>
      <c r="F193" s="28">
        <f>Inputs!$D$7</f>
        <v>1</v>
      </c>
      <c r="G193" s="28">
        <f>Inputs!$D$7</f>
        <v>1</v>
      </c>
      <c r="H193" s="28">
        <f>Inputs!$D$7</f>
        <v>1</v>
      </c>
      <c r="I193" s="28">
        <f>Inputs!$D$7</f>
        <v>1</v>
      </c>
      <c r="J193" s="28">
        <f>Inputs!$D$7</f>
        <v>1</v>
      </c>
      <c r="K193" s="28">
        <f>Inputs!$D$7</f>
        <v>1</v>
      </c>
      <c r="L193" s="28">
        <f>Inputs!$D$7</f>
        <v>1</v>
      </c>
      <c r="M193" s="28">
        <f>Inputs!$D$7</f>
        <v>1</v>
      </c>
    </row>
    <row r="194" spans="1:13" ht="15" customHeight="1" x14ac:dyDescent="0.2">
      <c r="A194" s="91"/>
      <c r="B194" s="3" t="s">
        <v>890</v>
      </c>
      <c r="C194" s="10" t="s">
        <v>199</v>
      </c>
      <c r="D194" s="28">
        <f>Inputs!$D$24+(Inputs!$D$93-Inputs!$D$24)*Inputs!$D$96</f>
        <v>279.10000000000002</v>
      </c>
      <c r="E194" s="28">
        <f>Inputs!$D$24+(Inputs!$D$93-Inputs!$D$24)*Inputs!$D$97</f>
        <v>900.7</v>
      </c>
      <c r="F194" s="28">
        <f>Inputs!$D$24+(Inputs!$D$93-Inputs!$D$24)*Inputs!$D$98</f>
        <v>1366.8999999999999</v>
      </c>
      <c r="G194" s="28">
        <f>Inputs!$D$24+(Inputs!$D$93-Inputs!$D$24)*Inputs!$D$99</f>
        <v>1600</v>
      </c>
      <c r="H194" s="28">
        <f>Inputs!$D$24+(Inputs!$D$93-Inputs!$D$24)*Inputs!$D$100</f>
        <v>1600</v>
      </c>
      <c r="I194" s="28">
        <f>Inputs!$D$24+(Inputs!$D$93-Inputs!$D$24)*Inputs!$D$101</f>
        <v>1600</v>
      </c>
      <c r="J194" s="28">
        <f>Inputs!$D$24+(Inputs!$D$93-Inputs!$D$24)*Inputs!$D$102</f>
        <v>1600</v>
      </c>
      <c r="K194" s="28">
        <f>Inputs!$D$24+(Inputs!$D$93-Inputs!$D$24)*Inputs!$D$103</f>
        <v>1600</v>
      </c>
      <c r="L194" s="28">
        <f>Inputs!$D$24+(Inputs!$D$93-Inputs!$D$24)*Inputs!$D$104</f>
        <v>1600</v>
      </c>
      <c r="M194" s="28">
        <f>Inputs!$D$24+(Inputs!$D$93-Inputs!$D$24)*Inputs!$D$105</f>
        <v>1600</v>
      </c>
    </row>
    <row r="195" spans="1:13" ht="15" customHeight="1" x14ac:dyDescent="0.2">
      <c r="A195" s="91"/>
      <c r="B195" s="10" t="s">
        <v>891</v>
      </c>
      <c r="C195" s="10" t="s">
        <v>199</v>
      </c>
      <c r="D195" s="28">
        <f>Inputs!$D$24</f>
        <v>46</v>
      </c>
      <c r="E195" s="28">
        <f t="shared" ref="E195:M195" si="40">D194</f>
        <v>279.10000000000002</v>
      </c>
      <c r="F195" s="28">
        <f t="shared" si="40"/>
        <v>900.7</v>
      </c>
      <c r="G195" s="28">
        <f t="shared" si="40"/>
        <v>1366.8999999999999</v>
      </c>
      <c r="H195" s="28">
        <f t="shared" si="40"/>
        <v>1600</v>
      </c>
      <c r="I195" s="28">
        <f t="shared" si="40"/>
        <v>1600</v>
      </c>
      <c r="J195" s="28">
        <f t="shared" si="40"/>
        <v>1600</v>
      </c>
      <c r="K195" s="28">
        <f t="shared" si="40"/>
        <v>1600</v>
      </c>
      <c r="L195" s="28">
        <f t="shared" si="40"/>
        <v>1600</v>
      </c>
      <c r="M195" s="28">
        <f t="shared" si="40"/>
        <v>1600</v>
      </c>
    </row>
    <row r="196" spans="1:13" ht="15" customHeight="1" x14ac:dyDescent="0.2">
      <c r="B196" s="10" t="s">
        <v>892</v>
      </c>
      <c r="C196" s="10" t="s">
        <v>199</v>
      </c>
      <c r="D196" s="28">
        <f>(D195+D194)*Inputs!$D$12</f>
        <v>162.55000000000001</v>
      </c>
      <c r="E196" s="28">
        <f>(E195+E194)*Inputs!$D$12</f>
        <v>589.90000000000009</v>
      </c>
      <c r="F196" s="28">
        <f>(F195+F194)*Inputs!$D$12</f>
        <v>1133.8</v>
      </c>
      <c r="G196" s="28">
        <f>(G195+G194)*Inputs!$D$12</f>
        <v>1483.4499999999998</v>
      </c>
      <c r="H196" s="28">
        <f>(H195+H194)*Inputs!$D$12</f>
        <v>1600</v>
      </c>
      <c r="I196" s="28">
        <f>(I195+I194)*Inputs!$D$12</f>
        <v>1600</v>
      </c>
      <c r="J196" s="28">
        <f>(J195+J194)*Inputs!$D$12</f>
        <v>1600</v>
      </c>
      <c r="K196" s="28">
        <f>(K195+K194)*Inputs!$D$12</f>
        <v>1600</v>
      </c>
      <c r="L196" s="28">
        <f>(L195+L194)*Inputs!$D$12</f>
        <v>1600</v>
      </c>
      <c r="M196" s="28">
        <f>(M195+M194)*Inputs!$D$12</f>
        <v>1600</v>
      </c>
    </row>
    <row r="197" spans="1:13" ht="15" customHeight="1" x14ac:dyDescent="0.2">
      <c r="B197" s="10" t="s">
        <v>893</v>
      </c>
      <c r="C197" s="10" t="s">
        <v>199</v>
      </c>
      <c r="D197" s="28">
        <f t="shared" ref="D197:M197" si="41">D194-D195</f>
        <v>233.10000000000002</v>
      </c>
      <c r="E197" s="28">
        <f t="shared" si="41"/>
        <v>621.6</v>
      </c>
      <c r="F197" s="28">
        <f t="shared" si="41"/>
        <v>466.19999999999982</v>
      </c>
      <c r="G197" s="28">
        <f t="shared" si="41"/>
        <v>233.10000000000014</v>
      </c>
      <c r="H197" s="28">
        <f t="shared" si="41"/>
        <v>0</v>
      </c>
      <c r="I197" s="28">
        <f t="shared" si="41"/>
        <v>0</v>
      </c>
      <c r="J197" s="28">
        <f t="shared" si="41"/>
        <v>0</v>
      </c>
      <c r="K197" s="28">
        <f t="shared" si="41"/>
        <v>0</v>
      </c>
      <c r="L197" s="28">
        <f t="shared" si="41"/>
        <v>0</v>
      </c>
      <c r="M197" s="28">
        <f t="shared" si="41"/>
        <v>0</v>
      </c>
    </row>
    <row r="198" spans="1:13" ht="15" customHeight="1" x14ac:dyDescent="0.2">
      <c r="B198" s="10" t="s">
        <v>894</v>
      </c>
      <c r="C198" s="10" t="s">
        <v>199</v>
      </c>
      <c r="D198" s="28">
        <f>IF(MOD(D190,Inputs!$D$21)=Inputs!$D$6,Inputs!$D$24,Inputs!$D$6)+SUMPRODUCT(--(D190&gt;$D$190:$M$190),--(MOD(D190-$D$190:$M$190,Inputs!$D$21)=Inputs!$D$6),$D$197:$M$197)</f>
        <v>0</v>
      </c>
      <c r="E198" s="28">
        <f>IF(MOD(E190,Inputs!$D$21)=Inputs!$D$6,Inputs!$D$24,Inputs!$D$6)+SUMPRODUCT(--(E190&gt;$D$190:$M$190),--(MOD(E190-$D$190:$M$190,Inputs!$D$21)=Inputs!$D$6),$D$197:$M$197)</f>
        <v>0</v>
      </c>
      <c r="F198" s="28">
        <f>IF(MOD(F190,Inputs!$D$21)=Inputs!$D$6,Inputs!$D$24,Inputs!$D$6)+SUMPRODUCT(--(F190&gt;$D$190:$M$190),--(MOD(F190-$D$190:$M$190,Inputs!$D$21)=Inputs!$D$6),$D$197:$M$197)</f>
        <v>0</v>
      </c>
      <c r="G198" s="28">
        <f>IF(MOD(G190,Inputs!$D$21)=Inputs!$D$6,Inputs!$D$24,Inputs!$D$6)+SUMPRODUCT(--(G190&gt;$D$190:$M$190),--(MOD(G190-$D$190:$M$190,Inputs!$D$21)=Inputs!$D$6),$D$197:$M$197)</f>
        <v>46</v>
      </c>
      <c r="H198" s="28">
        <f>IF(MOD(H190,Inputs!$D$21)=Inputs!$D$6,Inputs!$D$24,Inputs!$D$6)+SUMPRODUCT(--(H190&gt;$D$190:$M$190),--(MOD(H190-$D$190:$M$190,Inputs!$D$21)=Inputs!$D$6),$D$197:$M$197)</f>
        <v>233.10000000000002</v>
      </c>
      <c r="I198" s="28">
        <f>IF(MOD(I190,Inputs!$D$21)=Inputs!$D$6,Inputs!$D$24,Inputs!$D$6)+SUMPRODUCT(--(I190&gt;$D$190:$M$190),--(MOD(I190-$D$190:$M$190,Inputs!$D$21)=Inputs!$D$6),$D$197:$M$197)</f>
        <v>621.6</v>
      </c>
      <c r="J198" s="28">
        <f>IF(MOD(J190,Inputs!$D$21)=Inputs!$D$6,Inputs!$D$24,Inputs!$D$6)+SUMPRODUCT(--(J190&gt;$D$190:$M$190),--(MOD(J190-$D$190:$M$190,Inputs!$D$21)=Inputs!$D$6),$D$197:$M$197)</f>
        <v>466.19999999999982</v>
      </c>
      <c r="K198" s="28">
        <f>IF(MOD(K190,Inputs!$D$21)=Inputs!$D$6,Inputs!$D$24,Inputs!$D$6)+SUMPRODUCT(--(K190&gt;$D$190:$M$190),--(MOD(K190-$D$190:$M$190,Inputs!$D$21)=Inputs!$D$6),$D$197:$M$197)</f>
        <v>279.10000000000014</v>
      </c>
      <c r="L198" s="28">
        <f>IF(MOD(L190,Inputs!$D$21)=Inputs!$D$6,Inputs!$D$24,Inputs!$D$6)+SUMPRODUCT(--(L190&gt;$D$190:$M$190),--(MOD(L190-$D$190:$M$190,Inputs!$D$21)=Inputs!$D$6),$D$197:$M$197)</f>
        <v>233.10000000000002</v>
      </c>
      <c r="M198" s="28">
        <f>IF(MOD(M190,Inputs!$D$21)=Inputs!$D$6,Inputs!$D$24,Inputs!$D$6)+SUMPRODUCT(--(M190&gt;$D$190:$M$190),--(MOD(M190-$D$190:$M$190,Inputs!$D$21)=Inputs!$D$6),$D$197:$M$197)</f>
        <v>621.6</v>
      </c>
    </row>
    <row r="199" spans="1:13" ht="15" customHeight="1" x14ac:dyDescent="0.2">
      <c r="B199" s="10" t="s">
        <v>895</v>
      </c>
      <c r="C199" s="10" t="s">
        <v>896</v>
      </c>
      <c r="D199" s="28">
        <f t="shared" ref="D199:M199" si="42">D196*D193</f>
        <v>116.15482546201234</v>
      </c>
      <c r="E199" s="28">
        <f t="shared" si="42"/>
        <v>589.90000000000009</v>
      </c>
      <c r="F199" s="28">
        <f t="shared" si="42"/>
        <v>1133.8</v>
      </c>
      <c r="G199" s="28">
        <f t="shared" si="42"/>
        <v>1483.4499999999998</v>
      </c>
      <c r="H199" s="28">
        <f t="shared" si="42"/>
        <v>1600</v>
      </c>
      <c r="I199" s="28">
        <f t="shared" si="42"/>
        <v>1600</v>
      </c>
      <c r="J199" s="28">
        <f t="shared" si="42"/>
        <v>1600</v>
      </c>
      <c r="K199" s="28">
        <f t="shared" si="42"/>
        <v>1600</v>
      </c>
      <c r="L199" s="28">
        <f t="shared" si="42"/>
        <v>1600</v>
      </c>
      <c r="M199" s="28">
        <f t="shared" si="42"/>
        <v>1600</v>
      </c>
    </row>
    <row r="200" spans="1:13" ht="15" customHeight="1" x14ac:dyDescent="0.2">
      <c r="B200" s="10" t="s">
        <v>897</v>
      </c>
      <c r="C200" s="10" t="s">
        <v>110</v>
      </c>
      <c r="D200" s="16">
        <f>D199*($D$219/Inputs!$D$21+$D$220/Inputs!$D$22)</f>
        <v>1680.51014411561</v>
      </c>
      <c r="E200" s="16">
        <f>E199*($D$219/Inputs!$D$21+$D$220/Inputs!$D$22)</f>
        <v>8534.5824426210111</v>
      </c>
      <c r="F200" s="16">
        <f>F199*($D$219/Inputs!$D$21+$D$220/Inputs!$D$22)</f>
        <v>16403.643962440583</v>
      </c>
      <c r="G200" s="16">
        <f>G199*($D$219/Inputs!$D$21+$D$220/Inputs!$D$22)</f>
        <v>21462.326368038881</v>
      </c>
      <c r="H200" s="16">
        <f>H199*($D$219/Inputs!$D$21+$D$220/Inputs!$D$22)</f>
        <v>23148.553836571649</v>
      </c>
      <c r="I200" s="16">
        <f>I199*($D$219/Inputs!$D$21+$D$220/Inputs!$D$22)</f>
        <v>23148.553836571649</v>
      </c>
      <c r="J200" s="16">
        <f>J199*($D$219/Inputs!$D$21+$D$220/Inputs!$D$22)</f>
        <v>23148.553836571649</v>
      </c>
      <c r="K200" s="16">
        <f>K199*($D$219/Inputs!$D$21+$D$220/Inputs!$D$22)</f>
        <v>23148.553836571649</v>
      </c>
      <c r="L200" s="16">
        <f>L199*($D$219/Inputs!$D$21+$D$220/Inputs!$D$22)</f>
        <v>23148.553836571649</v>
      </c>
      <c r="M200" s="16">
        <f>M199*($D$219/Inputs!$D$21+$D$220/Inputs!$D$22)</f>
        <v>23148.553836571649</v>
      </c>
    </row>
    <row r="201" spans="1:13" ht="15" customHeight="1" x14ac:dyDescent="0.2">
      <c r="B201" s="10" t="s">
        <v>898</v>
      </c>
      <c r="C201" s="10" t="s">
        <v>110</v>
      </c>
      <c r="D201" s="16">
        <f t="shared" ref="D201:M201" si="43">D197*($D$219+$D$220)</f>
        <v>13977.887419483886</v>
      </c>
      <c r="E201" s="16">
        <f t="shared" si="43"/>
        <v>37274.36645195703</v>
      </c>
      <c r="F201" s="16">
        <f t="shared" si="43"/>
        <v>27955.774838967762</v>
      </c>
      <c r="G201" s="16">
        <f t="shared" si="43"/>
        <v>13977.887419483894</v>
      </c>
      <c r="H201" s="16">
        <f t="shared" si="43"/>
        <v>0</v>
      </c>
      <c r="I201" s="16">
        <f t="shared" si="43"/>
        <v>0</v>
      </c>
      <c r="J201" s="16">
        <f t="shared" si="43"/>
        <v>0</v>
      </c>
      <c r="K201" s="16">
        <f t="shared" si="43"/>
        <v>0</v>
      </c>
      <c r="L201" s="16">
        <f t="shared" si="43"/>
        <v>0</v>
      </c>
      <c r="M201" s="16">
        <f t="shared" si="43"/>
        <v>0</v>
      </c>
    </row>
    <row r="202" spans="1:13" ht="15" customHeight="1" x14ac:dyDescent="0.2">
      <c r="B202" s="10" t="s">
        <v>899</v>
      </c>
      <c r="C202" s="10" t="s">
        <v>110</v>
      </c>
      <c r="D202" s="16">
        <f t="shared" ref="D202:M202" si="44">D198*$D$219</f>
        <v>0</v>
      </c>
      <c r="E202" s="16">
        <f t="shared" si="44"/>
        <v>0</v>
      </c>
      <c r="F202" s="16">
        <f t="shared" si="44"/>
        <v>0</v>
      </c>
      <c r="G202" s="16">
        <f t="shared" si="44"/>
        <v>2638.0048485671714</v>
      </c>
      <c r="H202" s="16">
        <f t="shared" si="44"/>
        <v>13367.802830456689</v>
      </c>
      <c r="I202" s="16">
        <f t="shared" si="44"/>
        <v>35647.47421455117</v>
      </c>
      <c r="J202" s="16">
        <f t="shared" si="44"/>
        <v>26735.605660913367</v>
      </c>
      <c r="K202" s="16">
        <f t="shared" si="44"/>
        <v>16005.807679023867</v>
      </c>
      <c r="L202" s="16">
        <f t="shared" si="44"/>
        <v>13367.802830456689</v>
      </c>
      <c r="M202" s="16">
        <f t="shared" si="44"/>
        <v>35647.47421455117</v>
      </c>
    </row>
    <row r="203" spans="1:13" ht="15" customHeight="1" x14ac:dyDescent="0.2">
      <c r="B203" s="10" t="s">
        <v>900</v>
      </c>
      <c r="C203" s="10" t="s">
        <v>199</v>
      </c>
      <c r="D203" s="28">
        <f>D197*Inputs!$D$23</f>
        <v>5.8275000000000006</v>
      </c>
      <c r="E203" s="28">
        <f>E197*Inputs!$D$23</f>
        <v>15.540000000000001</v>
      </c>
      <c r="F203" s="28">
        <f>F197*Inputs!$D$23</f>
        <v>11.654999999999996</v>
      </c>
      <c r="G203" s="28">
        <f>G197*Inputs!$D$23</f>
        <v>5.8275000000000041</v>
      </c>
      <c r="H203" s="28">
        <f>H197*Inputs!$D$23</f>
        <v>0</v>
      </c>
      <c r="I203" s="28">
        <f>I197*Inputs!$D$23</f>
        <v>0</v>
      </c>
      <c r="J203" s="28">
        <f>J197*Inputs!$D$23</f>
        <v>0</v>
      </c>
      <c r="K203" s="28">
        <f>K197*Inputs!$D$23</f>
        <v>0</v>
      </c>
      <c r="L203" s="28">
        <f>L197*Inputs!$D$23</f>
        <v>0</v>
      </c>
      <c r="M203" s="28">
        <f>M197*Inputs!$D$23</f>
        <v>0</v>
      </c>
    </row>
    <row r="204" spans="1:13" ht="15" customHeight="1" x14ac:dyDescent="0.2">
      <c r="B204" s="3" t="s">
        <v>901</v>
      </c>
      <c r="C204" s="10" t="s">
        <v>896</v>
      </c>
      <c r="D204" s="28">
        <f>(D199*$D$217*(Inputs!$D$7-Inputs!$D$19)-D203)/(Inputs!$D$7+$D$218)^D192</f>
        <v>50.541318213721269</v>
      </c>
      <c r="E204" s="28">
        <f>(E199*$D$217*(Inputs!$D$7-Inputs!$D$19)-E203)/(Inputs!$D$7+$D$218)^E192</f>
        <v>238.4864713152904</v>
      </c>
      <c r="F204" s="28">
        <f>(F199*$D$217*(Inputs!$D$7-Inputs!$D$19)-F203)/(Inputs!$D$7+$D$218)^F192</f>
        <v>418.74491871678316</v>
      </c>
      <c r="G204" s="28">
        <f>(G199*$D$217*(Inputs!$D$7-Inputs!$D$19)-G203)/(Inputs!$D$7+$D$218)^G192</f>
        <v>490.87392073514752</v>
      </c>
      <c r="H204" s="28">
        <f>(H199*$D$217*(Inputs!$D$7-Inputs!$D$19)-H203)/(Inputs!$D$7+$D$218)^H192</f>
        <v>472.10300862628105</v>
      </c>
      <c r="I204" s="28">
        <f>(I199*$D$217*(Inputs!$D$7-Inputs!$D$19)-I203)/(Inputs!$D$7+$D$218)^I192</f>
        <v>417.68543753228789</v>
      </c>
      <c r="J204" s="28">
        <f>(J199*$D$217*(Inputs!$D$7-Inputs!$D$19)-J203)/(Inputs!$D$7+$D$218)^J192</f>
        <v>369.66405292491049</v>
      </c>
      <c r="K204" s="28">
        <f>(K199*$D$217*(Inputs!$D$7-Inputs!$D$19)-K203)/(Inputs!$D$7+$D$218)^K192</f>
        <v>327.16369723641031</v>
      </c>
      <c r="L204" s="28">
        <f>(L199*$D$217*(Inputs!$D$7-Inputs!$D$19)-L203)/(Inputs!$D$7+$D$218)^L192</f>
        <v>289.54961658427663</v>
      </c>
      <c r="M204" s="28">
        <f>(M199*$D$217*(Inputs!$D$7-Inputs!$D$19)-M203)/(Inputs!$D$7+$D$218)^M192</f>
        <v>256.17430111750662</v>
      </c>
    </row>
    <row r="205" spans="1:13" ht="15" customHeight="1" x14ac:dyDescent="0.2">
      <c r="B205" s="10" t="s">
        <v>902</v>
      </c>
      <c r="C205" s="10" t="s">
        <v>110</v>
      </c>
      <c r="D205" s="16">
        <f>(D200*Inputs!$D$19-D201-D202)/(Inputs!$D$7+$D$218)^D192</f>
        <v>-12346.937146613671</v>
      </c>
      <c r="E205" s="16">
        <f>(E200*Inputs!$D$19-E201-E202)/(Inputs!$D$7+$D$218)^E192</f>
        <v>-28144.165592831177</v>
      </c>
      <c r="F205" s="16">
        <f>(F200*Inputs!$D$19-F201-F202)/(Inputs!$D$7+$D$218)^F192</f>
        <v>-16528.13772562052</v>
      </c>
      <c r="G205" s="16">
        <f>(G200*Inputs!$D$19-G201-G202)/(Inputs!$D$7+$D$218)^G192</f>
        <v>-6462.9033875784253</v>
      </c>
      <c r="H205" s="16">
        <f>(H200*Inputs!$D$19-H201-H202)/(Inputs!$D$7+$D$218)^H192</f>
        <v>-3610.0349541710043</v>
      </c>
      <c r="I205" s="16">
        <f>(I200*Inputs!$D$19-I201-I202)/(Inputs!$D$7+$D$218)^I192</f>
        <v>-14272.365134506323</v>
      </c>
      <c r="J205" s="16">
        <f>(J200*Inputs!$D$19-J201-J202)/(Inputs!$D$7+$D$218)^J192</f>
        <v>-8709.5665200501735</v>
      </c>
      <c r="K205" s="16">
        <f>(K200*Inputs!$D$19-K201-K202)/(Inputs!$D$7+$D$218)^K192</f>
        <v>-3529.1777141306115</v>
      </c>
      <c r="L205" s="16">
        <f>(L200*Inputs!$D$19-L201-L202)/(Inputs!$D$7+$D$218)^L192</f>
        <v>-2214.1020449702382</v>
      </c>
      <c r="M205" s="16">
        <f>(M200*Inputs!$D$19-M201-M202)/(Inputs!$D$7+$D$218)^M192</f>
        <v>-8753.5088252709138</v>
      </c>
    </row>
    <row r="206" spans="1:13" ht="15" customHeight="1" x14ac:dyDescent="0.2">
      <c r="B206" s="10" t="s">
        <v>903</v>
      </c>
      <c r="C206" s="10" t="s">
        <v>110</v>
      </c>
      <c r="D206" s="16">
        <f t="shared" ref="D206:M206" si="45">D199*$D$216</f>
        <v>4340.3762388334972</v>
      </c>
      <c r="E206" s="16">
        <f t="shared" si="45"/>
        <v>22042.889161976644</v>
      </c>
      <c r="F206" s="16">
        <f t="shared" si="45"/>
        <v>42366.888848701667</v>
      </c>
      <c r="G206" s="16">
        <f t="shared" si="45"/>
        <v>55432.317218739176</v>
      </c>
      <c r="H206" s="16">
        <f t="shared" si="45"/>
        <v>59787.460008751688</v>
      </c>
      <c r="I206" s="16">
        <f t="shared" si="45"/>
        <v>59787.460008751688</v>
      </c>
      <c r="J206" s="16">
        <f t="shared" si="45"/>
        <v>59787.460008751688</v>
      </c>
      <c r="K206" s="16">
        <f t="shared" si="45"/>
        <v>59787.460008751688</v>
      </c>
      <c r="L206" s="16">
        <f t="shared" si="45"/>
        <v>59787.460008751688</v>
      </c>
      <c r="M206" s="16">
        <f t="shared" si="45"/>
        <v>59787.460008751688</v>
      </c>
    </row>
    <row r="207" spans="1:13" ht="15" customHeight="1" x14ac:dyDescent="0.2">
      <c r="B207" s="10" t="s">
        <v>904</v>
      </c>
      <c r="C207" s="10" t="s">
        <v>110</v>
      </c>
      <c r="D207" s="16">
        <f t="shared" ref="D207:M207" si="46">D206*$D$217</f>
        <v>3255.2821791251226</v>
      </c>
      <c r="E207" s="16">
        <f t="shared" si="46"/>
        <v>16532.166871482485</v>
      </c>
      <c r="F207" s="16">
        <f t="shared" si="46"/>
        <v>31775.16663652625</v>
      </c>
      <c r="G207" s="16">
        <f t="shared" si="46"/>
        <v>41574.237914054378</v>
      </c>
      <c r="H207" s="16">
        <f t="shared" si="46"/>
        <v>44840.595006563766</v>
      </c>
      <c r="I207" s="16">
        <f t="shared" si="46"/>
        <v>44840.595006563766</v>
      </c>
      <c r="J207" s="16">
        <f t="shared" si="46"/>
        <v>44840.595006563766</v>
      </c>
      <c r="K207" s="16">
        <f t="shared" si="46"/>
        <v>44840.595006563766</v>
      </c>
      <c r="L207" s="16">
        <f t="shared" si="46"/>
        <v>44840.595006563766</v>
      </c>
      <c r="M207" s="16">
        <f t="shared" si="46"/>
        <v>44840.595006563766</v>
      </c>
    </row>
    <row r="208" spans="1:13" ht="15" customHeight="1" x14ac:dyDescent="0.2">
      <c r="B208" s="10" t="s">
        <v>905</v>
      </c>
      <c r="C208" s="10" t="s">
        <v>110</v>
      </c>
      <c r="D208" s="16">
        <f t="shared" ref="D208:M208" si="47">D207-D200</f>
        <v>1574.7720350095126</v>
      </c>
      <c r="E208" s="16">
        <f t="shared" si="47"/>
        <v>7997.5844288614735</v>
      </c>
      <c r="F208" s="16">
        <f t="shared" si="47"/>
        <v>15371.522674085667</v>
      </c>
      <c r="G208" s="16">
        <f t="shared" si="47"/>
        <v>20111.911546015497</v>
      </c>
      <c r="H208" s="16">
        <f t="shared" si="47"/>
        <v>21692.041169992117</v>
      </c>
      <c r="I208" s="16">
        <f t="shared" si="47"/>
        <v>21692.041169992117</v>
      </c>
      <c r="J208" s="16">
        <f t="shared" si="47"/>
        <v>21692.041169992117</v>
      </c>
      <c r="K208" s="16">
        <f t="shared" si="47"/>
        <v>21692.041169992117</v>
      </c>
      <c r="L208" s="16">
        <f t="shared" si="47"/>
        <v>21692.041169992117</v>
      </c>
      <c r="M208" s="16">
        <f t="shared" si="47"/>
        <v>21692.041169992117</v>
      </c>
    </row>
    <row r="209" spans="2:13" ht="15" customHeight="1" x14ac:dyDescent="0.2">
      <c r="B209" s="10" t="s">
        <v>906</v>
      </c>
      <c r="C209" s="10" t="s">
        <v>110</v>
      </c>
      <c r="D209" s="16">
        <f>MAX(D208,Inputs!$D$6)*Inputs!$D$19</f>
        <v>472.43161050285374</v>
      </c>
      <c r="E209" s="16">
        <f>MAX(E208,Inputs!$D$6)*Inputs!$D$19</f>
        <v>2399.275328658442</v>
      </c>
      <c r="F209" s="16">
        <f>MAX(F208,Inputs!$D$6)*Inputs!$D$19</f>
        <v>4611.4568022256999</v>
      </c>
      <c r="G209" s="16">
        <f>MAX(G208,Inputs!$D$6)*Inputs!$D$19</f>
        <v>6033.5734638046488</v>
      </c>
      <c r="H209" s="16">
        <f>MAX(H208,Inputs!$D$6)*Inputs!$D$19</f>
        <v>6507.6123509976351</v>
      </c>
      <c r="I209" s="16">
        <f>MAX(I208,Inputs!$D$6)*Inputs!$D$19</f>
        <v>6507.6123509976351</v>
      </c>
      <c r="J209" s="16">
        <f>MAX(J208,Inputs!$D$6)*Inputs!$D$19</f>
        <v>6507.6123509976351</v>
      </c>
      <c r="K209" s="16">
        <f>MAX(K208,Inputs!$D$6)*Inputs!$D$19</f>
        <v>6507.6123509976351</v>
      </c>
      <c r="L209" s="16">
        <f>MAX(L208,Inputs!$D$6)*Inputs!$D$19</f>
        <v>6507.6123509976351</v>
      </c>
      <c r="M209" s="16">
        <f>MAX(M208,Inputs!$D$6)*Inputs!$D$19</f>
        <v>6507.6123509976351</v>
      </c>
    </row>
    <row r="210" spans="2:13" ht="15" customHeight="1" x14ac:dyDescent="0.2">
      <c r="B210" s="10" t="s">
        <v>907</v>
      </c>
      <c r="C210" s="10" t="s">
        <v>110</v>
      </c>
      <c r="D210" s="16">
        <f t="shared" ref="D210:M210" si="48">D203*$D$216</f>
        <v>217.75713950062533</v>
      </c>
      <c r="E210" s="16">
        <f t="shared" si="48"/>
        <v>580.68570533500088</v>
      </c>
      <c r="F210" s="16">
        <f t="shared" si="48"/>
        <v>435.51427900125043</v>
      </c>
      <c r="G210" s="16">
        <f t="shared" si="48"/>
        <v>217.75713950062544</v>
      </c>
      <c r="H210" s="16">
        <f t="shared" si="48"/>
        <v>0</v>
      </c>
      <c r="I210" s="16">
        <f t="shared" si="48"/>
        <v>0</v>
      </c>
      <c r="J210" s="16">
        <f t="shared" si="48"/>
        <v>0</v>
      </c>
      <c r="K210" s="16">
        <f t="shared" si="48"/>
        <v>0</v>
      </c>
      <c r="L210" s="16">
        <f t="shared" si="48"/>
        <v>0</v>
      </c>
      <c r="M210" s="16">
        <f t="shared" si="48"/>
        <v>0</v>
      </c>
    </row>
    <row r="211" spans="2:13" ht="15" customHeight="1" x14ac:dyDescent="0.2">
      <c r="B211" s="10" t="s">
        <v>908</v>
      </c>
      <c r="C211" s="10" t="s">
        <v>110</v>
      </c>
      <c r="D211" s="16">
        <f t="shared" ref="D211:M211" si="49">D207-D209-D201-D202-D210</f>
        <v>-11412.793990362243</v>
      </c>
      <c r="E211" s="16">
        <f t="shared" si="49"/>
        <v>-23722.160614467986</v>
      </c>
      <c r="F211" s="16">
        <f t="shared" si="49"/>
        <v>-1227.5792836684632</v>
      </c>
      <c r="G211" s="16">
        <f t="shared" si="49"/>
        <v>18707.015042698036</v>
      </c>
      <c r="H211" s="16">
        <f t="shared" si="49"/>
        <v>24965.179825109437</v>
      </c>
      <c r="I211" s="16">
        <f t="shared" si="49"/>
        <v>2685.5084410149575</v>
      </c>
      <c r="J211" s="16">
        <f t="shared" si="49"/>
        <v>11597.376994652761</v>
      </c>
      <c r="K211" s="16">
        <f t="shared" si="49"/>
        <v>22327.174976542261</v>
      </c>
      <c r="L211" s="16">
        <f t="shared" si="49"/>
        <v>24965.179825109437</v>
      </c>
      <c r="M211" s="16">
        <f t="shared" si="49"/>
        <v>2685.5084410149575</v>
      </c>
    </row>
    <row r="212" spans="2:13" ht="15" customHeight="1" x14ac:dyDescent="0.2">
      <c r="B212" s="10" t="s">
        <v>909</v>
      </c>
      <c r="C212" s="10" t="s">
        <v>110</v>
      </c>
      <c r="D212" s="16">
        <f>D211/(Inputs!$D$7+$D$218)^D192</f>
        <v>-10458.351495680887</v>
      </c>
      <c r="E212" s="16">
        <f>E211/(Inputs!$D$7+$D$218)^E192</f>
        <v>-19232.602863836652</v>
      </c>
      <c r="F212" s="16">
        <f>F211/(Inputs!$D$7+$D$218)^F192</f>
        <v>-880.82829959073604</v>
      </c>
      <c r="G212" s="16">
        <f>G211/(Inputs!$D$7+$D$218)^G192</f>
        <v>11879.662178228933</v>
      </c>
      <c r="H212" s="16">
        <f>H211/(Inputs!$D$7+$D$218)^H192</f>
        <v>14031.114888488451</v>
      </c>
      <c r="I212" s="16">
        <f>I211/(Inputs!$D$7+$D$218)^I192</f>
        <v>1335.3544859309345</v>
      </c>
      <c r="J212" s="16">
        <f>J211/(Inputs!$D$7+$D$218)^J192</f>
        <v>5103.7302180255447</v>
      </c>
      <c r="K212" s="16">
        <f>K211/(Inputs!$D$7+$D$218)^K192</f>
        <v>8696.0013263926539</v>
      </c>
      <c r="L212" s="16">
        <f>L211/(Inputs!$D$7+$D$218)^L192</f>
        <v>8605.5455313308994</v>
      </c>
      <c r="M212" s="16">
        <f>M211/(Inputs!$D$7+$D$218)^M192</f>
        <v>818.99791431210895</v>
      </c>
    </row>
    <row r="213" spans="2:13" ht="15" customHeight="1" x14ac:dyDescent="0.2">
      <c r="B213" s="3" t="s">
        <v>910</v>
      </c>
      <c r="C213" s="10" t="s">
        <v>896</v>
      </c>
      <c r="D213" s="28">
        <f>(D199*$D$217-D203)/(Inputs!$D$7+$D$218)^D192</f>
        <v>74.490519309095831</v>
      </c>
      <c r="E213" s="28">
        <f>(E199*$D$217-E203)/(Inputs!$D$7+$D$218)^E192</f>
        <v>346.09451503846662</v>
      </c>
      <c r="F213" s="28">
        <f>(F199*$D$217-F203)/(Inputs!$D$7+$D$218)^F192</f>
        <v>601.79110266312398</v>
      </c>
      <c r="G213" s="28">
        <f>(G199*$D$217-G203)/(Inputs!$D$7+$D$218)^G192</f>
        <v>702.83446516544734</v>
      </c>
      <c r="H213" s="28">
        <f>(H199*$D$217-H203)/(Inputs!$D$7+$D$218)^H192</f>
        <v>674.43286946611579</v>
      </c>
      <c r="I213" s="28">
        <f>(I199*$D$217-I203)/(Inputs!$D$7+$D$218)^I192</f>
        <v>596.69348218898278</v>
      </c>
      <c r="J213" s="28">
        <f>(J199*$D$217-J203)/(Inputs!$D$7+$D$218)^J192</f>
        <v>528.09150417844353</v>
      </c>
      <c r="K213" s="28">
        <f>(K199*$D$217-K203)/(Inputs!$D$7+$D$218)^K192</f>
        <v>467.37671033772904</v>
      </c>
      <c r="L213" s="28">
        <f>(L199*$D$217-L203)/(Inputs!$D$7+$D$218)^L192</f>
        <v>413.64230940610946</v>
      </c>
      <c r="M213" s="28">
        <f>(M199*$D$217-M203)/(Inputs!$D$7+$D$218)^M192</f>
        <v>365.96328731072373</v>
      </c>
    </row>
    <row r="214" spans="2:13" ht="15" customHeight="1" x14ac:dyDescent="0.2">
      <c r="B214" s="10" t="s">
        <v>911</v>
      </c>
      <c r="C214" s="10" t="s">
        <v>110</v>
      </c>
      <c r="D214" s="16">
        <f>(-D201-D202)/(Inputs!$D$7+$D$218)^D192</f>
        <v>-12808.928289029636</v>
      </c>
      <c r="E214" s="16">
        <f>(-E201-E202)/(Inputs!$D$7+$D$218)^E192</f>
        <v>-30219.974420642928</v>
      </c>
      <c r="F214" s="16">
        <f>(-F201-F202)/(Inputs!$D$7+$D$218)^F192</f>
        <v>-20059.183095337907</v>
      </c>
      <c r="G214" s="16">
        <f>(-G201-G202)/(Inputs!$D$7+$D$218)^G192</f>
        <v>-10551.720115889953</v>
      </c>
      <c r="H214" s="16">
        <f>(-H201-H202)/(Inputs!$D$7+$D$218)^H192</f>
        <v>-7513.0713511684744</v>
      </c>
      <c r="I214" s="16">
        <f>(-I201-I202)/(Inputs!$D$7+$D$218)^I192</f>
        <v>-17725.512933602091</v>
      </c>
      <c r="J214" s="16">
        <f>(-J201-J202)/(Inputs!$D$7+$D$218)^J192</f>
        <v>-11765.705173827875</v>
      </c>
      <c r="K214" s="16">
        <f>(-K201-K202)/(Inputs!$D$7+$D$218)^K192</f>
        <v>-6233.95144943378</v>
      </c>
      <c r="L214" s="16">
        <f>(-L201-L202)/(Inputs!$D$7+$D$218)^L192</f>
        <v>-4607.9073620630261</v>
      </c>
      <c r="M214" s="16">
        <f>(-M201-M202)/(Inputs!$D$7+$D$218)^M192</f>
        <v>-10871.389039901173</v>
      </c>
    </row>
    <row r="215" spans="2:13" ht="15" customHeight="1" x14ac:dyDescent="0.2">
      <c r="B215" s="10" t="s">
        <v>912</v>
      </c>
      <c r="C215" s="10" t="s">
        <v>110</v>
      </c>
      <c r="D215" s="16">
        <f>Prices!K6</f>
        <v>58028.700386874909</v>
      </c>
    </row>
    <row r="216" spans="2:13" ht="15" customHeight="1" x14ac:dyDescent="0.2">
      <c r="B216" s="3" t="s">
        <v>913</v>
      </c>
      <c r="C216" s="10" t="s">
        <v>914</v>
      </c>
      <c r="D216" s="28">
        <f>IF(J223&gt;=J219,J223,(D215-J222)/J221)</f>
        <v>37.367162505469807</v>
      </c>
      <c r="G216" s="99" t="s">
        <v>915</v>
      </c>
      <c r="H216" s="91"/>
      <c r="I216" s="91"/>
      <c r="J216" s="28">
        <f>D216*Inputs!$D$15</f>
        <v>26.078542712567376</v>
      </c>
      <c r="K216" s="99" t="s">
        <v>916</v>
      </c>
      <c r="L216" s="91"/>
      <c r="M216" s="91"/>
    </row>
    <row r="217" spans="2:13" ht="15" customHeight="1" x14ac:dyDescent="0.2">
      <c r="B217" s="10" t="s">
        <v>917</v>
      </c>
      <c r="C217" s="10" t="s">
        <v>104</v>
      </c>
      <c r="D217" s="30">
        <f>Inputs!$D$94</f>
        <v>0.75</v>
      </c>
      <c r="G217" s="99" t="s">
        <v>918</v>
      </c>
      <c r="H217" s="91"/>
      <c r="I217" s="91"/>
      <c r="J217" s="28">
        <f>IF(-D228/D227&gt;=J219,-D228/D227,-J222/J221)</f>
        <v>27.411702074287536</v>
      </c>
      <c r="K217" s="99" t="s">
        <v>919</v>
      </c>
      <c r="L217" s="91"/>
      <c r="M217" s="91"/>
    </row>
    <row r="218" spans="2:13" ht="15" customHeight="1" x14ac:dyDescent="0.2">
      <c r="B218" s="10" t="s">
        <v>920</v>
      </c>
      <c r="C218" s="10" t="s">
        <v>104</v>
      </c>
      <c r="D218" s="30">
        <f>Inputs!$D$95</f>
        <v>0.13</v>
      </c>
      <c r="G218" s="99" t="s">
        <v>918</v>
      </c>
      <c r="H218" s="91"/>
      <c r="I218" s="91"/>
      <c r="J218" s="28">
        <f>J217*Inputs!$D$15</f>
        <v>19.13062687764527</v>
      </c>
      <c r="K218" s="99" t="s">
        <v>916</v>
      </c>
      <c r="L218" s="91"/>
      <c r="M218" s="91"/>
    </row>
    <row r="219" spans="2:13" ht="15" customHeight="1" x14ac:dyDescent="0.2">
      <c r="B219" s="3" t="s">
        <v>921</v>
      </c>
      <c r="C219" s="10" t="s">
        <v>848</v>
      </c>
      <c r="D219" s="28">
        <f>Capital!$D$13</f>
        <v>57.347931490590682</v>
      </c>
      <c r="G219" s="99" t="s">
        <v>922</v>
      </c>
      <c r="H219" s="91"/>
      <c r="I219" s="91"/>
      <c r="J219" s="28">
        <f>($D$219/Inputs!$D$21+$D$220/Inputs!$D$22)/$D$217</f>
        <v>19.290461530476374</v>
      </c>
      <c r="K219" s="99" t="s">
        <v>919</v>
      </c>
      <c r="L219" s="91"/>
      <c r="M219" s="91"/>
    </row>
    <row r="220" spans="2:13" ht="15" customHeight="1" x14ac:dyDescent="0.2">
      <c r="B220" s="3" t="s">
        <v>923</v>
      </c>
      <c r="C220" s="10" t="s">
        <v>848</v>
      </c>
      <c r="D220" s="28">
        <f>Capital!$D$14</f>
        <v>2.6172655041921802</v>
      </c>
    </row>
    <row r="221" spans="2:13" ht="15" customHeight="1" x14ac:dyDescent="0.2">
      <c r="B221" s="10" t="s">
        <v>924</v>
      </c>
      <c r="C221" s="10" t="s">
        <v>896</v>
      </c>
      <c r="D221" s="28">
        <f>(M194*(Inputs!$D$7+Inputs!$D$20)*$D$217*(Inputs!$D$7-Inputs!$D$19)-M194*Inputs!$D$20*Inputs!$D$23)/($D$218-Inputs!$D$20)/(Inputs!$D$7+$D$218)^M192</f>
        <v>2497.8446594223992</v>
      </c>
      <c r="G221" s="92" t="s">
        <v>910</v>
      </c>
      <c r="H221" s="91"/>
      <c r="I221" s="91"/>
      <c r="J221" s="28">
        <f>SUM(D213:M213)+(M194*(Inputs!$D$7+Inputs!$D$20)*$D$217-M194*Inputs!$D$20*Inputs!$D$23)/($D$218-Inputs!$D$20)/(Inputs!$D$7+$D$218)^M192</f>
        <v>8341.0050516109004</v>
      </c>
      <c r="K221" s="99" t="s">
        <v>896</v>
      </c>
      <c r="L221" s="91"/>
      <c r="M221" s="91"/>
    </row>
    <row r="222" spans="2:13" ht="15" customHeight="1" x14ac:dyDescent="0.2">
      <c r="B222" s="10" t="s">
        <v>925</v>
      </c>
      <c r="C222" s="10" t="s">
        <v>110</v>
      </c>
      <c r="D222" s="16">
        <f>(D225*Inputs!$D$19-D225-D226)/($D$218-Inputs!$D$20)/(Inputs!$D$7+$D$218)^M192</f>
        <v>-55207.290798783099</v>
      </c>
      <c r="G222" s="92" t="s">
        <v>926</v>
      </c>
      <c r="H222" s="91"/>
      <c r="I222" s="91"/>
      <c r="J222" s="16">
        <f>SUM(D214:M214)-(D225+D226)/($D$218-Inputs!$D$20)/(Inputs!$D$7+$D$218)^M192</f>
        <v>-208239.17898202292</v>
      </c>
      <c r="K222" s="99" t="s">
        <v>110</v>
      </c>
      <c r="L222" s="91"/>
      <c r="M222" s="91"/>
    </row>
    <row r="223" spans="2:13" ht="15" customHeight="1" x14ac:dyDescent="0.2">
      <c r="B223" s="10" t="s">
        <v>927</v>
      </c>
      <c r="C223" s="10" t="s">
        <v>928</v>
      </c>
      <c r="D223" s="16">
        <f>(M194*(Inputs!$D$7+Inputs!$D$20)*$D$216*$D$217-D225)-MAX((M194*(Inputs!$D$7+Inputs!$D$20)*$D$216*$D$217-D225),Inputs!$D$6)*Inputs!$D$19-D226-M194*Inputs!$D$20*$D$216*Inputs!$D$23</f>
        <v>13128.064497172558</v>
      </c>
      <c r="G223" s="99" t="s">
        <v>929</v>
      </c>
      <c r="H223" s="91"/>
      <c r="I223" s="91"/>
      <c r="J223" s="28">
        <f>(D215-D228)/D227</f>
        <v>37.367162505469807</v>
      </c>
      <c r="K223" s="99" t="s">
        <v>919</v>
      </c>
      <c r="L223" s="91"/>
      <c r="M223" s="91"/>
    </row>
    <row r="224" spans="2:13" ht="15" customHeight="1" x14ac:dyDescent="0.2">
      <c r="B224" s="10" t="s">
        <v>930</v>
      </c>
      <c r="C224" s="10" t="s">
        <v>110</v>
      </c>
      <c r="D224" s="16">
        <f>D223/($D$218-Inputs!$D$20)</f>
        <v>125029.18568735768</v>
      </c>
      <c r="G224" s="99" t="s">
        <v>931</v>
      </c>
      <c r="H224" s="91"/>
      <c r="I224" s="91"/>
      <c r="J224" s="16">
        <f>MIN(D208:M208,(M194*(Inputs!$D$7+Inputs!$D$20)*$D$216*$D$217-D225))</f>
        <v>1574.7720350095126</v>
      </c>
      <c r="K224" s="99" t="s">
        <v>110</v>
      </c>
      <c r="L224" s="91"/>
      <c r="M224" s="91"/>
    </row>
    <row r="225" spans="1:13" ht="15" customHeight="1" x14ac:dyDescent="0.2">
      <c r="B225" s="10" t="s">
        <v>932</v>
      </c>
      <c r="C225" s="10" t="s">
        <v>928</v>
      </c>
      <c r="D225" s="16">
        <f>M194*(Inputs!$D$7+Inputs!$D$20)*($D$219/Inputs!$D$21+$D$220/Inputs!$D$22)</f>
        <v>23727.267682485937</v>
      </c>
      <c r="G225" s="99" t="s">
        <v>933</v>
      </c>
      <c r="H225" s="91"/>
      <c r="I225" s="91"/>
      <c r="J225" s="31" t="str">
        <f>IF(J224&lt;Inputs!$D$6,"breached","satisfied")</f>
        <v>satisfied</v>
      </c>
      <c r="K225" s="99" t="s">
        <v>934</v>
      </c>
      <c r="L225" s="91"/>
      <c r="M225" s="91"/>
    </row>
    <row r="226" spans="1:13" ht="15" customHeight="1" x14ac:dyDescent="0.2">
      <c r="B226" s="10" t="s">
        <v>935</v>
      </c>
      <c r="C226" s="10" t="s">
        <v>928</v>
      </c>
      <c r="D226" s="16">
        <f>M194*Inputs!$D$20*($D$219+$D$220)</f>
        <v>2398.6078797913146</v>
      </c>
    </row>
    <row r="227" spans="1:13" ht="15" customHeight="1" x14ac:dyDescent="0.2">
      <c r="B227" s="10" t="s">
        <v>936</v>
      </c>
      <c r="C227" s="10" t="s">
        <v>896</v>
      </c>
      <c r="D227" s="28">
        <f>SUM(D204:M204)+D221</f>
        <v>5828.8314024250149</v>
      </c>
      <c r="G227" s="99" t="s">
        <v>937</v>
      </c>
      <c r="H227" s="91"/>
      <c r="I227" s="91"/>
      <c r="J227" s="16">
        <f>D229-D215</f>
        <v>-6.5483618527650833E-11</v>
      </c>
      <c r="K227" s="99" t="s">
        <v>110</v>
      </c>
      <c r="L227" s="91"/>
      <c r="M227" s="91"/>
    </row>
    <row r="228" spans="1:13" ht="15" customHeight="1" x14ac:dyDescent="0.2">
      <c r="B228" s="10" t="s">
        <v>938</v>
      </c>
      <c r="C228" s="10" t="s">
        <v>110</v>
      </c>
      <c r="D228" s="16">
        <f>SUM(D205:M205)+D222</f>
        <v>-159778.18984452612</v>
      </c>
    </row>
    <row r="229" spans="1:13" ht="15" customHeight="1" x14ac:dyDescent="0.2">
      <c r="B229" s="10" t="s">
        <v>939</v>
      </c>
      <c r="C229" s="10" t="s">
        <v>110</v>
      </c>
      <c r="D229" s="16">
        <f>SUM(D212:M212)+D224/(Inputs!$D$7+$D$218)^M192</f>
        <v>58028.700386874843</v>
      </c>
    </row>
    <row r="230" spans="1:13" ht="15" customHeight="1" x14ac:dyDescent="0.2">
      <c r="B230" s="10" t="s">
        <v>940</v>
      </c>
      <c r="C230" s="10" t="s">
        <v>104</v>
      </c>
      <c r="D230" s="30">
        <f>IF(ABS(D215)&gt;Inputs!$D$6,D229/D215-Inputs!$D$7,Inputs!$D$6)</f>
        <v>-1.1102230246251565E-15</v>
      </c>
    </row>
    <row r="231" spans="1:13" ht="15" customHeight="1" x14ac:dyDescent="0.2">
      <c r="B231" s="10" t="s">
        <v>941</v>
      </c>
      <c r="C231" s="10" t="s">
        <v>104</v>
      </c>
      <c r="D231" s="30">
        <f>IF(ABS(D229)&gt;Inputs!$D$119,D224/(Inputs!$D$7+$D$218)^M192/D229,Inputs!$D$6)</f>
        <v>0.65708996150287724</v>
      </c>
    </row>
    <row r="232" spans="1:13" ht="15" customHeight="1" x14ac:dyDescent="0.2">
      <c r="B232" s="10" t="s">
        <v>942</v>
      </c>
      <c r="C232" s="10" t="s">
        <v>943</v>
      </c>
      <c r="D232" s="26">
        <f>$D$216*Inputs!$D$8/Prices!$P$6/(Inputs!$D$26/Inputs!$D$25)/Inputs!$D$11/Inputs!$D$56</f>
        <v>6.7953320052103807</v>
      </c>
    </row>
    <row r="236" spans="1:13" ht="15" customHeight="1" x14ac:dyDescent="0.2">
      <c r="A236" s="104" t="s">
        <v>948</v>
      </c>
      <c r="B236" s="10" t="s">
        <v>886</v>
      </c>
      <c r="C236" s="10" t="s">
        <v>107</v>
      </c>
      <c r="D236" s="28">
        <f>Inputs!$D$60</f>
        <v>1</v>
      </c>
      <c r="E236" s="28">
        <f>Inputs!$D$62</f>
        <v>2</v>
      </c>
      <c r="F236" s="28">
        <f>Inputs!$D$64</f>
        <v>3</v>
      </c>
      <c r="G236" s="28">
        <f>Inputs!$D$66</f>
        <v>4</v>
      </c>
      <c r="H236" s="28">
        <f>Inputs!$D$68</f>
        <v>5</v>
      </c>
      <c r="I236" s="28">
        <f>Inputs!$D$70</f>
        <v>6</v>
      </c>
      <c r="J236" s="28">
        <f>Inputs!$D$72</f>
        <v>7</v>
      </c>
      <c r="K236" s="28">
        <f>Inputs!$D$74</f>
        <v>8</v>
      </c>
      <c r="L236" s="28">
        <f>Inputs!$D$76</f>
        <v>9</v>
      </c>
      <c r="M236" s="28">
        <f>Inputs!$D$78</f>
        <v>10</v>
      </c>
    </row>
    <row r="237" spans="1:13" ht="15" customHeight="1" x14ac:dyDescent="0.2">
      <c r="A237" s="91"/>
      <c r="B237" s="10" t="s">
        <v>887</v>
      </c>
      <c r="C237" s="10" t="s">
        <v>161</v>
      </c>
      <c r="D237" s="29">
        <f>Inputs!$D$61</f>
        <v>46568</v>
      </c>
      <c r="E237" s="29">
        <f>Inputs!$D$63</f>
        <v>46934</v>
      </c>
      <c r="F237" s="29">
        <f>Inputs!$D$65</f>
        <v>47299</v>
      </c>
      <c r="G237" s="29">
        <f>Inputs!$D$67</f>
        <v>47664</v>
      </c>
      <c r="H237" s="29">
        <f>Inputs!$D$69</f>
        <v>48029</v>
      </c>
      <c r="I237" s="29">
        <f>Inputs!$D$71</f>
        <v>48395</v>
      </c>
      <c r="J237" s="29">
        <f>Inputs!$D$73</f>
        <v>48760</v>
      </c>
      <c r="K237" s="29">
        <f>Inputs!$D$75</f>
        <v>49125</v>
      </c>
      <c r="L237" s="29">
        <f>Inputs!$D$77</f>
        <v>49490</v>
      </c>
      <c r="M237" s="29">
        <f>Inputs!$D$79</f>
        <v>49856</v>
      </c>
    </row>
    <row r="238" spans="1:13" ht="15" customHeight="1" x14ac:dyDescent="0.2">
      <c r="A238" s="91"/>
      <c r="B238" s="10" t="s">
        <v>888</v>
      </c>
      <c r="C238" s="10" t="s">
        <v>107</v>
      </c>
      <c r="D238" s="28">
        <f>(D237-Inputs!$D$13)/Inputs!$D$10</f>
        <v>0.71457905544147848</v>
      </c>
      <c r="E238" s="28">
        <f>(E237-Inputs!$D$13)/Inputs!$D$10</f>
        <v>1.7166324435318274</v>
      </c>
      <c r="F238" s="28">
        <f>(F237-Inputs!$D$13)/Inputs!$D$10</f>
        <v>2.7159479808350446</v>
      </c>
      <c r="G238" s="28">
        <f>(G237-Inputs!$D$13)/Inputs!$D$10</f>
        <v>3.7152635181382614</v>
      </c>
      <c r="H238" s="28">
        <f>(H237-Inputs!$D$13)/Inputs!$D$10</f>
        <v>4.7145790554414786</v>
      </c>
      <c r="I238" s="28">
        <f>(I237-Inputs!$D$13)/Inputs!$D$10</f>
        <v>5.7166324435318279</v>
      </c>
      <c r="J238" s="28">
        <f>(J237-Inputs!$D$13)/Inputs!$D$10</f>
        <v>6.7159479808350442</v>
      </c>
      <c r="K238" s="28">
        <f>(K237-Inputs!$D$13)/Inputs!$D$10</f>
        <v>7.7152635181382614</v>
      </c>
      <c r="L238" s="28">
        <f>(L237-Inputs!$D$13)/Inputs!$D$10</f>
        <v>8.7145790554414777</v>
      </c>
      <c r="M238" s="28">
        <f>(M237-Inputs!$D$13)/Inputs!$D$10</f>
        <v>9.716632443531827</v>
      </c>
    </row>
    <row r="239" spans="1:13" ht="15" customHeight="1" x14ac:dyDescent="0.2">
      <c r="A239" s="91"/>
      <c r="B239" s="10" t="s">
        <v>889</v>
      </c>
      <c r="C239" s="10" t="s">
        <v>107</v>
      </c>
      <c r="D239" s="28">
        <f>D238</f>
        <v>0.71457905544147848</v>
      </c>
      <c r="E239" s="28">
        <f>Inputs!$D$7</f>
        <v>1</v>
      </c>
      <c r="F239" s="28">
        <f>Inputs!$D$7</f>
        <v>1</v>
      </c>
      <c r="G239" s="28">
        <f>Inputs!$D$7</f>
        <v>1</v>
      </c>
      <c r="H239" s="28">
        <f>Inputs!$D$7</f>
        <v>1</v>
      </c>
      <c r="I239" s="28">
        <f>Inputs!$D$7</f>
        <v>1</v>
      </c>
      <c r="J239" s="28">
        <f>Inputs!$D$7</f>
        <v>1</v>
      </c>
      <c r="K239" s="28">
        <f>Inputs!$D$7</f>
        <v>1</v>
      </c>
      <c r="L239" s="28">
        <f>Inputs!$D$7</f>
        <v>1</v>
      </c>
      <c r="M239" s="28">
        <f>Inputs!$D$7</f>
        <v>1</v>
      </c>
    </row>
    <row r="240" spans="1:13" ht="15" customHeight="1" x14ac:dyDescent="0.2">
      <c r="A240" s="91"/>
      <c r="B240" s="3" t="s">
        <v>890</v>
      </c>
      <c r="C240" s="10" t="s">
        <v>199</v>
      </c>
      <c r="D240" s="28">
        <f>Inputs!$D$24+(Inputs!$D$106-Inputs!$D$24)*Inputs!$D$109</f>
        <v>170.32</v>
      </c>
      <c r="E240" s="28">
        <f>Inputs!$D$24+(Inputs!$D$106-Inputs!$D$24)*Inputs!$D$110</f>
        <v>481.12000000000006</v>
      </c>
      <c r="F240" s="28">
        <f>Inputs!$D$24+(Inputs!$D$106-Inputs!$D$24)*Inputs!$D$111</f>
        <v>823</v>
      </c>
      <c r="G240" s="28">
        <f>Inputs!$D$24+(Inputs!$D$106-Inputs!$D$24)*Inputs!$D$112</f>
        <v>1211.5</v>
      </c>
      <c r="H240" s="28">
        <f>Inputs!$D$24+(Inputs!$D$106-Inputs!$D$24)*Inputs!$D$113</f>
        <v>1600</v>
      </c>
      <c r="I240" s="28">
        <f>Inputs!$D$24+(Inputs!$D$106-Inputs!$D$24)*Inputs!$D$114</f>
        <v>1600</v>
      </c>
      <c r="J240" s="28">
        <f>Inputs!$D$24+(Inputs!$D$106-Inputs!$D$24)*Inputs!$D$115</f>
        <v>1600</v>
      </c>
      <c r="K240" s="28">
        <f>Inputs!$D$24+(Inputs!$D$106-Inputs!$D$24)*Inputs!$D$116</f>
        <v>1600</v>
      </c>
      <c r="L240" s="28">
        <f>Inputs!$D$24+(Inputs!$D$106-Inputs!$D$24)*Inputs!$D$117</f>
        <v>1600</v>
      </c>
      <c r="M240" s="28">
        <f>Inputs!$D$24+(Inputs!$D$106-Inputs!$D$24)*Inputs!$D$118</f>
        <v>1600</v>
      </c>
    </row>
    <row r="241" spans="1:13" ht="15" customHeight="1" x14ac:dyDescent="0.2">
      <c r="A241" s="91"/>
      <c r="B241" s="10" t="s">
        <v>891</v>
      </c>
      <c r="C241" s="10" t="s">
        <v>199</v>
      </c>
      <c r="D241" s="28">
        <f>Inputs!$D$24</f>
        <v>46</v>
      </c>
      <c r="E241" s="28">
        <f t="shared" ref="E241:M241" si="50">D240</f>
        <v>170.32</v>
      </c>
      <c r="F241" s="28">
        <f t="shared" si="50"/>
        <v>481.12000000000006</v>
      </c>
      <c r="G241" s="28">
        <f t="shared" si="50"/>
        <v>823</v>
      </c>
      <c r="H241" s="28">
        <f t="shared" si="50"/>
        <v>1211.5</v>
      </c>
      <c r="I241" s="28">
        <f t="shared" si="50"/>
        <v>1600</v>
      </c>
      <c r="J241" s="28">
        <f t="shared" si="50"/>
        <v>1600</v>
      </c>
      <c r="K241" s="28">
        <f t="shared" si="50"/>
        <v>1600</v>
      </c>
      <c r="L241" s="28">
        <f t="shared" si="50"/>
        <v>1600</v>
      </c>
      <c r="M241" s="28">
        <f t="shared" si="50"/>
        <v>1600</v>
      </c>
    </row>
    <row r="242" spans="1:13" ht="15" customHeight="1" x14ac:dyDescent="0.2">
      <c r="B242" s="10" t="s">
        <v>892</v>
      </c>
      <c r="C242" s="10" t="s">
        <v>199</v>
      </c>
      <c r="D242" s="28">
        <f>(D241+D240)*Inputs!$D$12</f>
        <v>108.16</v>
      </c>
      <c r="E242" s="28">
        <f>(E241+E240)*Inputs!$D$12</f>
        <v>325.72000000000003</v>
      </c>
      <c r="F242" s="28">
        <f>(F241+F240)*Inputs!$D$12</f>
        <v>652.06000000000006</v>
      </c>
      <c r="G242" s="28">
        <f>(G241+G240)*Inputs!$D$12</f>
        <v>1017.25</v>
      </c>
      <c r="H242" s="28">
        <f>(H241+H240)*Inputs!$D$12</f>
        <v>1405.75</v>
      </c>
      <c r="I242" s="28">
        <f>(I241+I240)*Inputs!$D$12</f>
        <v>1600</v>
      </c>
      <c r="J242" s="28">
        <f>(J241+J240)*Inputs!$D$12</f>
        <v>1600</v>
      </c>
      <c r="K242" s="28">
        <f>(K241+K240)*Inputs!$D$12</f>
        <v>1600</v>
      </c>
      <c r="L242" s="28">
        <f>(L241+L240)*Inputs!$D$12</f>
        <v>1600</v>
      </c>
      <c r="M242" s="28">
        <f>(M241+M240)*Inputs!$D$12</f>
        <v>1600</v>
      </c>
    </row>
    <row r="243" spans="1:13" ht="15" customHeight="1" x14ac:dyDescent="0.2">
      <c r="B243" s="10" t="s">
        <v>893</v>
      </c>
      <c r="C243" s="10" t="s">
        <v>199</v>
      </c>
      <c r="D243" s="28">
        <f t="shared" ref="D243:M243" si="51">D240-D241</f>
        <v>124.32</v>
      </c>
      <c r="E243" s="28">
        <f t="shared" si="51"/>
        <v>310.80000000000007</v>
      </c>
      <c r="F243" s="28">
        <f t="shared" si="51"/>
        <v>341.87999999999994</v>
      </c>
      <c r="G243" s="28">
        <f t="shared" si="51"/>
        <v>388.5</v>
      </c>
      <c r="H243" s="28">
        <f t="shared" si="51"/>
        <v>388.5</v>
      </c>
      <c r="I243" s="28">
        <f t="shared" si="51"/>
        <v>0</v>
      </c>
      <c r="J243" s="28">
        <f t="shared" si="51"/>
        <v>0</v>
      </c>
      <c r="K243" s="28">
        <f t="shared" si="51"/>
        <v>0</v>
      </c>
      <c r="L243" s="28">
        <f t="shared" si="51"/>
        <v>0</v>
      </c>
      <c r="M243" s="28">
        <f t="shared" si="51"/>
        <v>0</v>
      </c>
    </row>
    <row r="244" spans="1:13" ht="15" customHeight="1" x14ac:dyDescent="0.2">
      <c r="B244" s="10" t="s">
        <v>894</v>
      </c>
      <c r="C244" s="10" t="s">
        <v>199</v>
      </c>
      <c r="D244" s="28">
        <f>IF(MOD(D236,Inputs!$D$21)=Inputs!$D$6,Inputs!$D$24,Inputs!$D$6)+SUMPRODUCT(--(D236&gt;$D$236:$M$236),--(MOD(D236-$D$236:$M$236,Inputs!$D$21)=Inputs!$D$6),$D$243:$M$243)</f>
        <v>0</v>
      </c>
      <c r="E244" s="28">
        <f>IF(MOD(E236,Inputs!$D$21)=Inputs!$D$6,Inputs!$D$24,Inputs!$D$6)+SUMPRODUCT(--(E236&gt;$D$236:$M$236),--(MOD(E236-$D$236:$M$236,Inputs!$D$21)=Inputs!$D$6),$D$243:$M$243)</f>
        <v>0</v>
      </c>
      <c r="F244" s="28">
        <f>IF(MOD(F236,Inputs!$D$21)=Inputs!$D$6,Inputs!$D$24,Inputs!$D$6)+SUMPRODUCT(--(F236&gt;$D$236:$M$236),--(MOD(F236-$D$236:$M$236,Inputs!$D$21)=Inputs!$D$6),$D$243:$M$243)</f>
        <v>0</v>
      </c>
      <c r="G244" s="28">
        <f>IF(MOD(G236,Inputs!$D$21)=Inputs!$D$6,Inputs!$D$24,Inputs!$D$6)+SUMPRODUCT(--(G236&gt;$D$236:$M$236),--(MOD(G236-$D$236:$M$236,Inputs!$D$21)=Inputs!$D$6),$D$243:$M$243)</f>
        <v>46</v>
      </c>
      <c r="H244" s="28">
        <f>IF(MOD(H236,Inputs!$D$21)=Inputs!$D$6,Inputs!$D$24,Inputs!$D$6)+SUMPRODUCT(--(H236&gt;$D$236:$M$236),--(MOD(H236-$D$236:$M$236,Inputs!$D$21)=Inputs!$D$6),$D$243:$M$243)</f>
        <v>124.32</v>
      </c>
      <c r="I244" s="28">
        <f>IF(MOD(I236,Inputs!$D$21)=Inputs!$D$6,Inputs!$D$24,Inputs!$D$6)+SUMPRODUCT(--(I236&gt;$D$236:$M$236),--(MOD(I236-$D$236:$M$236,Inputs!$D$21)=Inputs!$D$6),$D$243:$M$243)</f>
        <v>310.80000000000007</v>
      </c>
      <c r="J244" s="28">
        <f>IF(MOD(J236,Inputs!$D$21)=Inputs!$D$6,Inputs!$D$24,Inputs!$D$6)+SUMPRODUCT(--(J236&gt;$D$236:$M$236),--(MOD(J236-$D$236:$M$236,Inputs!$D$21)=Inputs!$D$6),$D$243:$M$243)</f>
        <v>341.87999999999994</v>
      </c>
      <c r="K244" s="28">
        <f>IF(MOD(K236,Inputs!$D$21)=Inputs!$D$6,Inputs!$D$24,Inputs!$D$6)+SUMPRODUCT(--(K236&gt;$D$236:$M$236),--(MOD(K236-$D$236:$M$236,Inputs!$D$21)=Inputs!$D$6),$D$243:$M$243)</f>
        <v>434.5</v>
      </c>
      <c r="L244" s="28">
        <f>IF(MOD(L236,Inputs!$D$21)=Inputs!$D$6,Inputs!$D$24,Inputs!$D$6)+SUMPRODUCT(--(L236&gt;$D$236:$M$236),--(MOD(L236-$D$236:$M$236,Inputs!$D$21)=Inputs!$D$6),$D$243:$M$243)</f>
        <v>512.81999999999994</v>
      </c>
      <c r="M244" s="28">
        <f>IF(MOD(M236,Inputs!$D$21)=Inputs!$D$6,Inputs!$D$24,Inputs!$D$6)+SUMPRODUCT(--(M236&gt;$D$236:$M$236),--(MOD(M236-$D$236:$M$236,Inputs!$D$21)=Inputs!$D$6),$D$243:$M$243)</f>
        <v>310.80000000000007</v>
      </c>
    </row>
    <row r="245" spans="1:13" ht="15" customHeight="1" x14ac:dyDescent="0.2">
      <c r="B245" s="10" t="s">
        <v>895</v>
      </c>
      <c r="C245" s="10" t="s">
        <v>896</v>
      </c>
      <c r="D245" s="28">
        <f t="shared" ref="D245:M245" si="52">D242*D239</f>
        <v>77.288870636550314</v>
      </c>
      <c r="E245" s="28">
        <f t="shared" si="52"/>
        <v>325.72000000000003</v>
      </c>
      <c r="F245" s="28">
        <f t="shared" si="52"/>
        <v>652.06000000000006</v>
      </c>
      <c r="G245" s="28">
        <f t="shared" si="52"/>
        <v>1017.25</v>
      </c>
      <c r="H245" s="28">
        <f t="shared" si="52"/>
        <v>1405.75</v>
      </c>
      <c r="I245" s="28">
        <f t="shared" si="52"/>
        <v>1600</v>
      </c>
      <c r="J245" s="28">
        <f t="shared" si="52"/>
        <v>1600</v>
      </c>
      <c r="K245" s="28">
        <f t="shared" si="52"/>
        <v>1600</v>
      </c>
      <c r="L245" s="28">
        <f t="shared" si="52"/>
        <v>1600</v>
      </c>
      <c r="M245" s="28">
        <f t="shared" si="52"/>
        <v>1600</v>
      </c>
    </row>
    <row r="246" spans="1:13" ht="15" customHeight="1" x14ac:dyDescent="0.2">
      <c r="B246" s="10" t="s">
        <v>897</v>
      </c>
      <c r="C246" s="10" t="s">
        <v>110</v>
      </c>
      <c r="D246" s="16">
        <f>D245*($D$265/Inputs!$D$21+$D$266/Inputs!$D$22)</f>
        <v>1118.2034893112541</v>
      </c>
      <c r="E246" s="16">
        <f>E245*($D$265/Inputs!$D$21+$D$266/Inputs!$D$22)</f>
        <v>4712.466847280074</v>
      </c>
      <c r="F246" s="16">
        <f>F245*($D$265/Inputs!$D$21+$D$266/Inputs!$D$22)</f>
        <v>9433.9037591718188</v>
      </c>
      <c r="G246" s="16">
        <f>G245*($D$265/Inputs!$D$21+$D$266/Inputs!$D$22)</f>
        <v>14717.416493907818</v>
      </c>
      <c r="H246" s="16">
        <f>H245*($D$265/Inputs!$D$21+$D$266/Inputs!$D$22)</f>
        <v>20338.17472235037</v>
      </c>
      <c r="I246" s="16">
        <f>I245*($D$265/Inputs!$D$21+$D$266/Inputs!$D$22)</f>
        <v>23148.553836571649</v>
      </c>
      <c r="J246" s="16">
        <f>J245*($D$265/Inputs!$D$21+$D$266/Inputs!$D$22)</f>
        <v>23148.553836571649</v>
      </c>
      <c r="K246" s="16">
        <f>K245*($D$265/Inputs!$D$21+$D$266/Inputs!$D$22)</f>
        <v>23148.553836571649</v>
      </c>
      <c r="L246" s="16">
        <f>L245*($D$265/Inputs!$D$21+$D$266/Inputs!$D$22)</f>
        <v>23148.553836571649</v>
      </c>
      <c r="M246" s="16">
        <f>M245*($D$265/Inputs!$D$21+$D$266/Inputs!$D$22)</f>
        <v>23148.553836571649</v>
      </c>
    </row>
    <row r="247" spans="1:13" ht="15" customHeight="1" x14ac:dyDescent="0.2">
      <c r="B247" s="10" t="s">
        <v>898</v>
      </c>
      <c r="C247" s="10" t="s">
        <v>110</v>
      </c>
      <c r="D247" s="16">
        <f t="shared" ref="D247:M247" si="53">D243*($D$265+$D$266)</f>
        <v>7454.8732903914051</v>
      </c>
      <c r="E247" s="16">
        <f t="shared" si="53"/>
        <v>18637.183225978519</v>
      </c>
      <c r="F247" s="16">
        <f t="shared" si="53"/>
        <v>20500.901548576363</v>
      </c>
      <c r="G247" s="16">
        <f t="shared" si="53"/>
        <v>23296.479032473144</v>
      </c>
      <c r="H247" s="16">
        <f t="shared" si="53"/>
        <v>23296.479032473144</v>
      </c>
      <c r="I247" s="16">
        <f t="shared" si="53"/>
        <v>0</v>
      </c>
      <c r="J247" s="16">
        <f t="shared" si="53"/>
        <v>0</v>
      </c>
      <c r="K247" s="16">
        <f t="shared" si="53"/>
        <v>0</v>
      </c>
      <c r="L247" s="16">
        <f t="shared" si="53"/>
        <v>0</v>
      </c>
      <c r="M247" s="16">
        <f t="shared" si="53"/>
        <v>0</v>
      </c>
    </row>
    <row r="248" spans="1:13" ht="15" customHeight="1" x14ac:dyDescent="0.2">
      <c r="B248" s="10" t="s">
        <v>899</v>
      </c>
      <c r="C248" s="10" t="s">
        <v>110</v>
      </c>
      <c r="D248" s="16">
        <f t="shared" ref="D248:M248" si="54">D244*$D$265</f>
        <v>0</v>
      </c>
      <c r="E248" s="16">
        <f t="shared" si="54"/>
        <v>0</v>
      </c>
      <c r="F248" s="16">
        <f t="shared" si="54"/>
        <v>0</v>
      </c>
      <c r="G248" s="16">
        <f t="shared" si="54"/>
        <v>2638.0048485671714</v>
      </c>
      <c r="H248" s="16">
        <f t="shared" si="54"/>
        <v>7129.4948429102333</v>
      </c>
      <c r="I248" s="16">
        <f t="shared" si="54"/>
        <v>17823.737107275589</v>
      </c>
      <c r="J248" s="16">
        <f t="shared" si="54"/>
        <v>19606.110818003141</v>
      </c>
      <c r="K248" s="16">
        <f t="shared" si="54"/>
        <v>24917.676232661652</v>
      </c>
      <c r="L248" s="16">
        <f t="shared" si="54"/>
        <v>29409.166227004709</v>
      </c>
      <c r="M248" s="16">
        <f t="shared" si="54"/>
        <v>17823.737107275589</v>
      </c>
    </row>
    <row r="249" spans="1:13" ht="15" customHeight="1" x14ac:dyDescent="0.2">
      <c r="B249" s="10" t="s">
        <v>900</v>
      </c>
      <c r="C249" s="10" t="s">
        <v>199</v>
      </c>
      <c r="D249" s="28">
        <f>D243*Inputs!$D$23</f>
        <v>3.1080000000000001</v>
      </c>
      <c r="E249" s="28">
        <f>E243*Inputs!$D$23</f>
        <v>7.7700000000000022</v>
      </c>
      <c r="F249" s="28">
        <f>F243*Inputs!$D$23</f>
        <v>8.5469999999999988</v>
      </c>
      <c r="G249" s="28">
        <f>G243*Inputs!$D$23</f>
        <v>9.7125000000000004</v>
      </c>
      <c r="H249" s="28">
        <f>H243*Inputs!$D$23</f>
        <v>9.7125000000000004</v>
      </c>
      <c r="I249" s="28">
        <f>I243*Inputs!$D$23</f>
        <v>0</v>
      </c>
      <c r="J249" s="28">
        <f>J243*Inputs!$D$23</f>
        <v>0</v>
      </c>
      <c r="K249" s="28">
        <f>K243*Inputs!$D$23</f>
        <v>0</v>
      </c>
      <c r="L249" s="28">
        <f>L243*Inputs!$D$23</f>
        <v>0</v>
      </c>
      <c r="M249" s="28">
        <f>M243*Inputs!$D$23</f>
        <v>0</v>
      </c>
    </row>
    <row r="250" spans="1:13" ht="15" customHeight="1" x14ac:dyDescent="0.2">
      <c r="B250" s="3" t="s">
        <v>901</v>
      </c>
      <c r="C250" s="10" t="s">
        <v>896</v>
      </c>
      <c r="D250" s="28">
        <f>(D245*$D$263*(Inputs!$D$7-Inputs!$D$19)-D249)/(Inputs!$D$7+$D$264)^D238</f>
        <v>40.99699201112098</v>
      </c>
      <c r="E250" s="28">
        <f>(E245*$D$263*(Inputs!$D$7-Inputs!$D$19)-E249)/(Inputs!$D$7+$D$264)^E238</f>
        <v>153.02781912726542</v>
      </c>
      <c r="F250" s="28">
        <f>(F245*$D$263*(Inputs!$D$7-Inputs!$D$19)-F249)/(Inputs!$D$7+$D$264)^F238</f>
        <v>268.8019226843403</v>
      </c>
      <c r="G250" s="28">
        <f>(G245*$D$263*(Inputs!$D$7-Inputs!$D$19)-G249)/(Inputs!$D$7+$D$264)^G238</f>
        <v>363.62824610263397</v>
      </c>
      <c r="H250" s="28">
        <f>(H245*$D$263*(Inputs!$D$7-Inputs!$D$19)-H249)/(Inputs!$D$7+$D$264)^H238</f>
        <v>435.07807528321291</v>
      </c>
      <c r="I250" s="28">
        <f>(I245*$D$263*(Inputs!$D$7-Inputs!$D$19)-I249)/(Inputs!$D$7+$D$264)^I238</f>
        <v>431.49711827119876</v>
      </c>
      <c r="J250" s="28">
        <f>(J245*$D$263*(Inputs!$D$7-Inputs!$D$19)-J249)/(Inputs!$D$7+$D$264)^J238</f>
        <v>372.01806500733016</v>
      </c>
      <c r="K250" s="28">
        <f>(K245*$D$263*(Inputs!$D$7-Inputs!$D$19)-K249)/(Inputs!$D$7+$D$264)^K238</f>
        <v>320.73780989845312</v>
      </c>
      <c r="L250" s="28">
        <f>(L245*$D$263*(Inputs!$D$7-Inputs!$D$19)-L249)/(Inputs!$D$7+$D$264)^L238</f>
        <v>276.52620228651875</v>
      </c>
      <c r="M250" s="28">
        <f>(M245*$D$263*(Inputs!$D$7-Inputs!$D$19)-M249)/(Inputs!$D$7+$D$264)^M238</f>
        <v>238.31201718226143</v>
      </c>
    </row>
    <row r="251" spans="1:13" ht="15" customHeight="1" x14ac:dyDescent="0.2">
      <c r="B251" s="10" t="s">
        <v>902</v>
      </c>
      <c r="C251" s="10" t="s">
        <v>110</v>
      </c>
      <c r="D251" s="16">
        <f>(D246*Inputs!$D$19-D247-D248)/(Inputs!$D$7+$D$264)^D238</f>
        <v>-6403.0045740313244</v>
      </c>
      <c r="E251" s="16">
        <f>(E246*Inputs!$D$19-E247-E248)/(Inputs!$D$7+$D$264)^E238</f>
        <v>-13349.632212764713</v>
      </c>
      <c r="F251" s="16">
        <f>(F246*Inputs!$D$19-F247-F248)/(Inputs!$D$7+$D$264)^F238</f>
        <v>-11808.370082432088</v>
      </c>
      <c r="G251" s="16">
        <f>(G246*Inputs!$D$19-G247-G248)/(Inputs!$D$7+$D$264)^G238</f>
        <v>-12397.921878440668</v>
      </c>
      <c r="H251" s="16">
        <f>(H246*Inputs!$D$19-H247-H248)/(Inputs!$D$7+$D$264)^H238</f>
        <v>-12082.366885213038</v>
      </c>
      <c r="I251" s="16">
        <f>(I246*Inputs!$D$19-I247-I248)/(Inputs!$D$7+$D$264)^I238</f>
        <v>-4657.0743222469628</v>
      </c>
      <c r="J251" s="16">
        <f>(J246*Inputs!$D$19-J247-J248)/(Inputs!$D$7+$D$264)^J238</f>
        <v>-4672.9398284057479</v>
      </c>
      <c r="K251" s="16">
        <f>(K246*Inputs!$D$19-K247-K248)/(Inputs!$D$7+$D$264)^K238</f>
        <v>-5718.9047268503064</v>
      </c>
      <c r="L251" s="16">
        <f>(L246*Inputs!$D$19-L247-L248)/(Inputs!$D$7+$D$264)^L238</f>
        <v>-6162.7485564592316</v>
      </c>
      <c r="M251" s="16">
        <f>(M246*Inputs!$D$19-M247-M248)/(Inputs!$D$7+$D$264)^M238</f>
        <v>-2572.0606903447429</v>
      </c>
    </row>
    <row r="252" spans="1:13" ht="15" customHeight="1" x14ac:dyDescent="0.2">
      <c r="B252" s="10" t="s">
        <v>903</v>
      </c>
      <c r="C252" s="10" t="s">
        <v>110</v>
      </c>
      <c r="D252" s="16">
        <f t="shared" ref="D252:M252" si="55">D245*$D$262</f>
        <v>2809.37287476354</v>
      </c>
      <c r="E252" s="16">
        <f t="shared" si="55"/>
        <v>11839.595083114586</v>
      </c>
      <c r="F252" s="16">
        <f t="shared" si="55"/>
        <v>23701.726543950928</v>
      </c>
      <c r="G252" s="16">
        <f t="shared" si="55"/>
        <v>36976.016512029688</v>
      </c>
      <c r="H252" s="16">
        <f t="shared" si="55"/>
        <v>51097.601584453907</v>
      </c>
      <c r="I252" s="16">
        <f t="shared" si="55"/>
        <v>58158.394120666017</v>
      </c>
      <c r="J252" s="16">
        <f t="shared" si="55"/>
        <v>58158.394120666017</v>
      </c>
      <c r="K252" s="16">
        <f t="shared" si="55"/>
        <v>58158.394120666017</v>
      </c>
      <c r="L252" s="16">
        <f t="shared" si="55"/>
        <v>58158.394120666017</v>
      </c>
      <c r="M252" s="16">
        <f t="shared" si="55"/>
        <v>58158.394120666017</v>
      </c>
    </row>
    <row r="253" spans="1:13" ht="15" customHeight="1" x14ac:dyDescent="0.2">
      <c r="B253" s="10" t="s">
        <v>904</v>
      </c>
      <c r="C253" s="10" t="s">
        <v>110</v>
      </c>
      <c r="D253" s="16">
        <f t="shared" ref="D253:M253" si="56">D252*$D$263</f>
        <v>2528.4355872871861</v>
      </c>
      <c r="E253" s="16">
        <f t="shared" si="56"/>
        <v>10655.635574803127</v>
      </c>
      <c r="F253" s="16">
        <f t="shared" si="56"/>
        <v>21331.553889555835</v>
      </c>
      <c r="G253" s="16">
        <f t="shared" si="56"/>
        <v>33278.414860826721</v>
      </c>
      <c r="H253" s="16">
        <f t="shared" si="56"/>
        <v>45987.841426008519</v>
      </c>
      <c r="I253" s="16">
        <f t="shared" si="56"/>
        <v>52342.554708599419</v>
      </c>
      <c r="J253" s="16">
        <f t="shared" si="56"/>
        <v>52342.554708599419</v>
      </c>
      <c r="K253" s="16">
        <f t="shared" si="56"/>
        <v>52342.554708599419</v>
      </c>
      <c r="L253" s="16">
        <f t="shared" si="56"/>
        <v>52342.554708599419</v>
      </c>
      <c r="M253" s="16">
        <f t="shared" si="56"/>
        <v>52342.554708599419</v>
      </c>
    </row>
    <row r="254" spans="1:13" ht="15" customHeight="1" x14ac:dyDescent="0.2">
      <c r="B254" s="10" t="s">
        <v>905</v>
      </c>
      <c r="C254" s="10" t="s">
        <v>110</v>
      </c>
      <c r="D254" s="16">
        <f t="shared" ref="D254:M254" si="57">D253-D246</f>
        <v>1410.232097975932</v>
      </c>
      <c r="E254" s="16">
        <f t="shared" si="57"/>
        <v>5943.1687275230533</v>
      </c>
      <c r="F254" s="16">
        <f t="shared" si="57"/>
        <v>11897.650130384016</v>
      </c>
      <c r="G254" s="16">
        <f t="shared" si="57"/>
        <v>18560.998366918902</v>
      </c>
      <c r="H254" s="16">
        <f t="shared" si="57"/>
        <v>25649.666703658149</v>
      </c>
      <c r="I254" s="16">
        <f t="shared" si="57"/>
        <v>29194.000872027769</v>
      </c>
      <c r="J254" s="16">
        <f t="shared" si="57"/>
        <v>29194.000872027769</v>
      </c>
      <c r="K254" s="16">
        <f t="shared" si="57"/>
        <v>29194.000872027769</v>
      </c>
      <c r="L254" s="16">
        <f t="shared" si="57"/>
        <v>29194.000872027769</v>
      </c>
      <c r="M254" s="16">
        <f t="shared" si="57"/>
        <v>29194.000872027769</v>
      </c>
    </row>
    <row r="255" spans="1:13" ht="15" customHeight="1" x14ac:dyDescent="0.2">
      <c r="B255" s="10" t="s">
        <v>906</v>
      </c>
      <c r="C255" s="10" t="s">
        <v>110</v>
      </c>
      <c r="D255" s="16">
        <f>MAX(D254,Inputs!$D$6)*Inputs!$D$19</f>
        <v>423.06962939277958</v>
      </c>
      <c r="E255" s="16">
        <f>MAX(E254,Inputs!$D$6)*Inputs!$D$19</f>
        <v>1782.950618256916</v>
      </c>
      <c r="F255" s="16">
        <f>MAX(F254,Inputs!$D$6)*Inputs!$D$19</f>
        <v>3569.2950391152049</v>
      </c>
      <c r="G255" s="16">
        <f>MAX(G254,Inputs!$D$6)*Inputs!$D$19</f>
        <v>5568.2995100756707</v>
      </c>
      <c r="H255" s="16">
        <f>MAX(H254,Inputs!$D$6)*Inputs!$D$19</f>
        <v>7694.9000110974448</v>
      </c>
      <c r="I255" s="16">
        <f>MAX(I254,Inputs!$D$6)*Inputs!$D$19</f>
        <v>8758.20026160833</v>
      </c>
      <c r="J255" s="16">
        <f>MAX(J254,Inputs!$D$6)*Inputs!$D$19</f>
        <v>8758.20026160833</v>
      </c>
      <c r="K255" s="16">
        <f>MAX(K254,Inputs!$D$6)*Inputs!$D$19</f>
        <v>8758.20026160833</v>
      </c>
      <c r="L255" s="16">
        <f>MAX(L254,Inputs!$D$6)*Inputs!$D$19</f>
        <v>8758.20026160833</v>
      </c>
      <c r="M255" s="16">
        <f>MAX(M254,Inputs!$D$6)*Inputs!$D$19</f>
        <v>8758.20026160833</v>
      </c>
    </row>
    <row r="256" spans="1:13" ht="15" customHeight="1" x14ac:dyDescent="0.2">
      <c r="B256" s="10" t="s">
        <v>907</v>
      </c>
      <c r="C256" s="10" t="s">
        <v>110</v>
      </c>
      <c r="D256" s="16">
        <f t="shared" ref="D256:M256" si="58">D249*$D$262</f>
        <v>112.97268057939374</v>
      </c>
      <c r="E256" s="16">
        <f t="shared" si="58"/>
        <v>282.43170144848443</v>
      </c>
      <c r="F256" s="16">
        <f t="shared" si="58"/>
        <v>310.67487159333274</v>
      </c>
      <c r="G256" s="16">
        <f t="shared" si="58"/>
        <v>353.03962681060545</v>
      </c>
      <c r="H256" s="16">
        <f t="shared" si="58"/>
        <v>353.03962681060545</v>
      </c>
      <c r="I256" s="16">
        <f t="shared" si="58"/>
        <v>0</v>
      </c>
      <c r="J256" s="16">
        <f t="shared" si="58"/>
        <v>0</v>
      </c>
      <c r="K256" s="16">
        <f t="shared" si="58"/>
        <v>0</v>
      </c>
      <c r="L256" s="16">
        <f t="shared" si="58"/>
        <v>0</v>
      </c>
      <c r="M256" s="16">
        <f t="shared" si="58"/>
        <v>0</v>
      </c>
    </row>
    <row r="257" spans="2:13" ht="15" customHeight="1" x14ac:dyDescent="0.2">
      <c r="B257" s="10" t="s">
        <v>908</v>
      </c>
      <c r="C257" s="10" t="s">
        <v>110</v>
      </c>
      <c r="D257" s="16">
        <f t="shared" ref="D257:M257" si="59">D253-D255-D247-D248-D256</f>
        <v>-5462.4800130763915</v>
      </c>
      <c r="E257" s="16">
        <f t="shared" si="59"/>
        <v>-10046.929970880792</v>
      </c>
      <c r="F257" s="16">
        <f t="shared" si="59"/>
        <v>-3049.3175697290653</v>
      </c>
      <c r="G257" s="16">
        <f t="shared" si="59"/>
        <v>1422.591842900129</v>
      </c>
      <c r="H257" s="16">
        <f t="shared" si="59"/>
        <v>7513.9279127170921</v>
      </c>
      <c r="I257" s="16">
        <f t="shared" si="59"/>
        <v>25760.617339715496</v>
      </c>
      <c r="J257" s="16">
        <f t="shared" si="59"/>
        <v>23978.243628987944</v>
      </c>
      <c r="K257" s="16">
        <f t="shared" si="59"/>
        <v>18666.678214329433</v>
      </c>
      <c r="L257" s="16">
        <f t="shared" si="59"/>
        <v>14175.188219986376</v>
      </c>
      <c r="M257" s="16">
        <f t="shared" si="59"/>
        <v>25760.617339715496</v>
      </c>
    </row>
    <row r="258" spans="2:13" ht="15" customHeight="1" x14ac:dyDescent="0.2">
      <c r="B258" s="10" t="s">
        <v>909</v>
      </c>
      <c r="C258" s="10" t="s">
        <v>110</v>
      </c>
      <c r="D258" s="16">
        <f>D257/(Inputs!$D$7+$D$264)^D238</f>
        <v>-4912.8050620659678</v>
      </c>
      <c r="E258" s="16">
        <f>E257/(Inputs!$D$7+$D$264)^E238</f>
        <v>-7787.2245776212767</v>
      </c>
      <c r="F258" s="16">
        <f>F257/(Inputs!$D$7+$D$264)^F238</f>
        <v>-2037.6899825141745</v>
      </c>
      <c r="G258" s="16">
        <f>G257/(Inputs!$D$7+$D$264)^G238</f>
        <v>819.59990296153512</v>
      </c>
      <c r="H258" s="16">
        <f>H257/(Inputs!$D$7+$D$264)^H238</f>
        <v>3732.2844745256498</v>
      </c>
      <c r="I258" s="16">
        <f>I257/(Inputs!$D$7+$D$264)^I238</f>
        <v>11027.412844220549</v>
      </c>
      <c r="J258" s="16">
        <f>J257/(Inputs!$D$7+$D$264)^J238</f>
        <v>8849.5434495341651</v>
      </c>
      <c r="K258" s="16">
        <f>K257/(Inputs!$D$7+$D$264)^K238</f>
        <v>5939.5927465706254</v>
      </c>
      <c r="L258" s="16">
        <f>L257/(Inputs!$D$7+$D$264)^L238</f>
        <v>3888.7013543347525</v>
      </c>
      <c r="M258" s="16">
        <f>M257/(Inputs!$D$7+$D$264)^M238</f>
        <v>6090.3419465158158</v>
      </c>
    </row>
    <row r="259" spans="2:13" ht="15" customHeight="1" x14ac:dyDescent="0.2">
      <c r="B259" s="3" t="s">
        <v>910</v>
      </c>
      <c r="C259" s="10" t="s">
        <v>896</v>
      </c>
      <c r="D259" s="28">
        <f>(D245*$D$263-D249)/(Inputs!$D$7+$D$264)^D238</f>
        <v>59.765095798928819</v>
      </c>
      <c r="E259" s="28">
        <f>(E245*$D$263-E249)/(Inputs!$D$7+$D$264)^E238</f>
        <v>221.1922031857838</v>
      </c>
      <c r="F259" s="28">
        <f>(F245*$D$263-F249)/(Inputs!$D$7+$D$264)^F238</f>
        <v>386.45052664112239</v>
      </c>
      <c r="G259" s="28">
        <f>(G245*$D$263-G249)/(Inputs!$D$7+$D$264)^G238</f>
        <v>521.867070169518</v>
      </c>
      <c r="H259" s="28">
        <f>(H245*$D$263-H249)/(Inputs!$D$7+$D$264)^H238</f>
        <v>623.60768582417222</v>
      </c>
      <c r="I259" s="28">
        <f>(I245*$D$263-I249)/(Inputs!$D$7+$D$264)^I238</f>
        <v>616.42445467314121</v>
      </c>
      <c r="J259" s="28">
        <f>(J245*$D$263-J249)/(Inputs!$D$7+$D$264)^J238</f>
        <v>531.4543785819003</v>
      </c>
      <c r="K259" s="28">
        <f>(K245*$D$263-K249)/(Inputs!$D$7+$D$264)^K238</f>
        <v>458.19687128350449</v>
      </c>
      <c r="L259" s="28">
        <f>(L245*$D$263-L249)/(Inputs!$D$7+$D$264)^L238</f>
        <v>395.03743183788401</v>
      </c>
      <c r="M259" s="28">
        <f>(M245*$D$263-M249)/(Inputs!$D$7+$D$264)^M238</f>
        <v>340.44573883180209</v>
      </c>
    </row>
    <row r="260" spans="2:13" ht="15" customHeight="1" x14ac:dyDescent="0.2">
      <c r="B260" s="10" t="s">
        <v>911</v>
      </c>
      <c r="C260" s="10" t="s">
        <v>110</v>
      </c>
      <c r="D260" s="16">
        <f>(-D247-D248)/(Inputs!$D$7+$D$264)^D238</f>
        <v>-6704.7090607969039</v>
      </c>
      <c r="E260" s="16">
        <f>(-E247-E248)/(Inputs!$D$7+$D$264)^E238</f>
        <v>-14445.4009031226</v>
      </c>
      <c r="F260" s="16">
        <f>(-F247-F248)/(Inputs!$D$7+$D$264)^F238</f>
        <v>-13699.616639717549</v>
      </c>
      <c r="G260" s="16">
        <f>(-G247-G248)/(Inputs!$D$7+$D$264)^G238</f>
        <v>-14941.671835349038</v>
      </c>
      <c r="H260" s="16">
        <f>(-H247-H248)/(Inputs!$D$7+$D$264)^H238</f>
        <v>-15113.052884793095</v>
      </c>
      <c r="I260" s="16">
        <f>(-I247-I248)/(Inputs!$D$7+$D$264)^I238</f>
        <v>-7629.8523795762403</v>
      </c>
      <c r="J260" s="16">
        <f>(-J247-J248)/(Inputs!$D$7+$D$264)^J238</f>
        <v>-7235.9398897150922</v>
      </c>
      <c r="K260" s="16">
        <f>(-K247-K248)/(Inputs!$D$7+$D$264)^K238</f>
        <v>-7928.612006570077</v>
      </c>
      <c r="L260" s="16">
        <f>(-L247-L248)/(Inputs!$D$7+$D$264)^L238</f>
        <v>-8067.8621519509534</v>
      </c>
      <c r="M260" s="16">
        <f>(-M247-M248)/(Inputs!$D$7+$D$264)^M238</f>
        <v>-4213.8995473821142</v>
      </c>
    </row>
    <row r="261" spans="2:13" ht="15" customHeight="1" x14ac:dyDescent="0.2">
      <c r="B261" s="10" t="s">
        <v>912</v>
      </c>
      <c r="C261" s="10" t="s">
        <v>110</v>
      </c>
      <c r="D261" s="16">
        <f>Prices!K6</f>
        <v>58028.700386874909</v>
      </c>
    </row>
    <row r="262" spans="2:13" ht="15" customHeight="1" x14ac:dyDescent="0.2">
      <c r="B262" s="3" t="s">
        <v>913</v>
      </c>
      <c r="C262" s="10" t="s">
        <v>914</v>
      </c>
      <c r="D262" s="28">
        <f>IF(J269&gt;=J265,J269,(D261-J268)/J267)</f>
        <v>36.348996325416259</v>
      </c>
      <c r="G262" s="99" t="s">
        <v>915</v>
      </c>
      <c r="H262" s="91"/>
      <c r="I262" s="91"/>
      <c r="J262" s="28">
        <f>D262*Inputs!$D$15</f>
        <v>25.367964535508005</v>
      </c>
      <c r="K262" s="99" t="s">
        <v>916</v>
      </c>
      <c r="L262" s="91"/>
      <c r="M262" s="91"/>
    </row>
    <row r="263" spans="2:13" ht="15" customHeight="1" x14ac:dyDescent="0.2">
      <c r="B263" s="10" t="s">
        <v>917</v>
      </c>
      <c r="C263" s="10" t="s">
        <v>104</v>
      </c>
      <c r="D263" s="30">
        <f>Inputs!$D$107</f>
        <v>0.9</v>
      </c>
      <c r="G263" s="99" t="s">
        <v>918</v>
      </c>
      <c r="H263" s="91"/>
      <c r="I263" s="91"/>
      <c r="J263" s="28">
        <f>IF(-D274/D273&gt;=J265,-D274/D273,-J268/J267)</f>
        <v>24.024174528419383</v>
      </c>
      <c r="K263" s="99" t="s">
        <v>919</v>
      </c>
      <c r="L263" s="91"/>
      <c r="M263" s="91"/>
    </row>
    <row r="264" spans="2:13" ht="15" customHeight="1" x14ac:dyDescent="0.2">
      <c r="B264" s="10" t="s">
        <v>920</v>
      </c>
      <c r="C264" s="10" t="s">
        <v>104</v>
      </c>
      <c r="D264" s="30">
        <f>Inputs!$D$108</f>
        <v>0.16</v>
      </c>
      <c r="G264" s="99" t="s">
        <v>918</v>
      </c>
      <c r="H264" s="91"/>
      <c r="I264" s="91"/>
      <c r="J264" s="28">
        <f>J263*Inputs!$D$15</f>
        <v>16.766471403383886</v>
      </c>
      <c r="K264" s="99" t="s">
        <v>916</v>
      </c>
      <c r="L264" s="91"/>
      <c r="M264" s="91"/>
    </row>
    <row r="265" spans="2:13" ht="15" customHeight="1" x14ac:dyDescent="0.2">
      <c r="B265" s="3" t="s">
        <v>921</v>
      </c>
      <c r="C265" s="10" t="s">
        <v>848</v>
      </c>
      <c r="D265" s="28">
        <f>Capital!$D$13</f>
        <v>57.347931490590682</v>
      </c>
      <c r="G265" s="99" t="s">
        <v>922</v>
      </c>
      <c r="H265" s="91"/>
      <c r="I265" s="91"/>
      <c r="J265" s="28">
        <f>($D$265/Inputs!$D$21+$D$266/Inputs!$D$22)/$D$263</f>
        <v>16.07538460873031</v>
      </c>
      <c r="K265" s="99" t="s">
        <v>919</v>
      </c>
      <c r="L265" s="91"/>
      <c r="M265" s="91"/>
    </row>
    <row r="266" spans="2:13" ht="15" customHeight="1" x14ac:dyDescent="0.2">
      <c r="B266" s="3" t="s">
        <v>923</v>
      </c>
      <c r="C266" s="10" t="s">
        <v>848</v>
      </c>
      <c r="D266" s="28">
        <f>Capital!$D$14</f>
        <v>2.6172655041921802</v>
      </c>
    </row>
    <row r="267" spans="2:13" ht="15" customHeight="1" x14ac:dyDescent="0.2">
      <c r="B267" s="10" t="s">
        <v>924</v>
      </c>
      <c r="C267" s="10" t="s">
        <v>896</v>
      </c>
      <c r="D267" s="28">
        <f>(M240*(Inputs!$D$7+Inputs!$D$20)*$D$263*(Inputs!$D$7-Inputs!$D$19)-M240*Inputs!$D$20*Inputs!$D$23)/($D$264-Inputs!$D$20)/(Inputs!$D$7+$D$264)^M238</f>
        <v>1807.6547922951956</v>
      </c>
      <c r="G267" s="92" t="s">
        <v>910</v>
      </c>
      <c r="H267" s="91"/>
      <c r="I267" s="91"/>
      <c r="J267" s="28">
        <f>SUM(D259:M259)+(M240*(Inputs!$D$7+Inputs!$D$20)*$D$263-M240*Inputs!$D$20*Inputs!$D$23)/($D$264-Inputs!$D$20)/(Inputs!$D$7+$D$264)^M238</f>
        <v>6737.5559875731687</v>
      </c>
      <c r="K267" s="99" t="s">
        <v>896</v>
      </c>
      <c r="L267" s="91"/>
      <c r="M267" s="91"/>
    </row>
    <row r="268" spans="2:13" ht="15" customHeight="1" x14ac:dyDescent="0.2">
      <c r="B268" s="10" t="s">
        <v>925</v>
      </c>
      <c r="C268" s="10" t="s">
        <v>110</v>
      </c>
      <c r="D268" s="16">
        <f>(D271*Inputs!$D$19-D271-D272)/($D$264-Inputs!$D$20)/(Inputs!$D$7+$D$264)^M238</f>
        <v>-33287.494112345899</v>
      </c>
      <c r="G268" s="92" t="s">
        <v>926</v>
      </c>
      <c r="H268" s="91"/>
      <c r="I268" s="91"/>
      <c r="J268" s="16">
        <f>SUM(D260:M260)-(D271+D272)/($D$264-Inputs!$D$20)/(Inputs!$D$7+$D$264)^M238</f>
        <v>-145733.9249554922</v>
      </c>
      <c r="K268" s="99" t="s">
        <v>110</v>
      </c>
      <c r="L268" s="91"/>
      <c r="M268" s="91"/>
    </row>
    <row r="269" spans="2:13" ht="15" customHeight="1" x14ac:dyDescent="0.2">
      <c r="B269" s="10" t="s">
        <v>927</v>
      </c>
      <c r="C269" s="10" t="s">
        <v>928</v>
      </c>
      <c r="D269" s="16">
        <f>(M240*(Inputs!$D$7+Inputs!$D$20)*$D$262*$D$263-D271)-MAX((M240*(Inputs!$D$7+Inputs!$D$20)*$D$262*$D$263-D271),Inputs!$D$6)*Inputs!$D$19-D272-M240*Inputs!$D$20*$D$262*Inputs!$D$23</f>
        <v>18511.738749563188</v>
      </c>
      <c r="G269" s="99" t="s">
        <v>929</v>
      </c>
      <c r="H269" s="91"/>
      <c r="I269" s="91"/>
      <c r="J269" s="28">
        <f>(D261-D274)/D273</f>
        <v>36.348996325416259</v>
      </c>
      <c r="K269" s="99" t="s">
        <v>919</v>
      </c>
      <c r="L269" s="91"/>
      <c r="M269" s="91"/>
    </row>
    <row r="270" spans="2:13" ht="15" customHeight="1" x14ac:dyDescent="0.2">
      <c r="B270" s="10" t="s">
        <v>930</v>
      </c>
      <c r="C270" s="10" t="s">
        <v>110</v>
      </c>
      <c r="D270" s="16">
        <f>D269/($D$264-Inputs!$D$20)</f>
        <v>137123.99073750508</v>
      </c>
      <c r="G270" s="99" t="s">
        <v>931</v>
      </c>
      <c r="H270" s="91"/>
      <c r="I270" s="91"/>
      <c r="J270" s="16">
        <f>MIN(D254:M254,(M240*(Inputs!$D$7+Inputs!$D$20)*$D$262*$D$263-D271))</f>
        <v>1410.232097975932</v>
      </c>
      <c r="K270" s="99" t="s">
        <v>110</v>
      </c>
      <c r="L270" s="91"/>
      <c r="M270" s="91"/>
    </row>
    <row r="271" spans="2:13" ht="15" customHeight="1" x14ac:dyDescent="0.2">
      <c r="B271" s="10" t="s">
        <v>932</v>
      </c>
      <c r="C271" s="10" t="s">
        <v>928</v>
      </c>
      <c r="D271" s="16">
        <f>M240*(Inputs!$D$7+Inputs!$D$20)*($D$265/Inputs!$D$21+$D$266/Inputs!$D$22)</f>
        <v>23727.267682485937</v>
      </c>
      <c r="G271" s="99" t="s">
        <v>933</v>
      </c>
      <c r="H271" s="91"/>
      <c r="I271" s="91"/>
      <c r="J271" s="31" t="str">
        <f>IF(J270&lt;Inputs!$D$6,"breached","satisfied")</f>
        <v>satisfied</v>
      </c>
      <c r="K271" s="99" t="s">
        <v>934</v>
      </c>
      <c r="L271" s="91"/>
      <c r="M271" s="91"/>
    </row>
    <row r="272" spans="2:13" ht="15" customHeight="1" x14ac:dyDescent="0.2">
      <c r="B272" s="10" t="s">
        <v>935</v>
      </c>
      <c r="C272" s="10" t="s">
        <v>928</v>
      </c>
      <c r="D272" s="16">
        <f>M240*Inputs!$D$20*($D$265+$D$266)</f>
        <v>2398.6078797913146</v>
      </c>
    </row>
    <row r="273" spans="1:13" ht="15" customHeight="1" x14ac:dyDescent="0.2">
      <c r="B273" s="10" t="s">
        <v>936</v>
      </c>
      <c r="C273" s="10" t="s">
        <v>896</v>
      </c>
      <c r="D273" s="28">
        <f>SUM(D250:M250)+D267</f>
        <v>4708.2790601495317</v>
      </c>
      <c r="G273" s="99" t="s">
        <v>937</v>
      </c>
      <c r="H273" s="91"/>
      <c r="I273" s="91"/>
      <c r="J273" s="16">
        <f>D275-D261</f>
        <v>0</v>
      </c>
      <c r="K273" s="99" t="s">
        <v>110</v>
      </c>
      <c r="L273" s="91"/>
      <c r="M273" s="91"/>
    </row>
    <row r="274" spans="1:13" ht="15" customHeight="1" x14ac:dyDescent="0.2">
      <c r="B274" s="10" t="s">
        <v>938</v>
      </c>
      <c r="C274" s="10" t="s">
        <v>110</v>
      </c>
      <c r="D274" s="16">
        <f>SUM(D251:M251)+D268</f>
        <v>-113112.51786953473</v>
      </c>
    </row>
    <row r="275" spans="1:13" ht="15" customHeight="1" x14ac:dyDescent="0.2">
      <c r="B275" s="10" t="s">
        <v>939</v>
      </c>
      <c r="C275" s="10" t="s">
        <v>110</v>
      </c>
      <c r="D275" s="16">
        <f>SUM(D258:M258)+D270/(Inputs!$D$7+$D$264)^M238</f>
        <v>58028.700386874945</v>
      </c>
    </row>
    <row r="276" spans="1:13" ht="15" customHeight="1" x14ac:dyDescent="0.2">
      <c r="B276" s="10" t="s">
        <v>940</v>
      </c>
      <c r="C276" s="10" t="s">
        <v>104</v>
      </c>
      <c r="D276" s="30">
        <f>IF(ABS(D261)&gt;Inputs!$D$6,D275/D261-Inputs!$D$7,Inputs!$D$6)</f>
        <v>6.6613381477509392E-16</v>
      </c>
    </row>
    <row r="277" spans="1:13" ht="15" customHeight="1" x14ac:dyDescent="0.2">
      <c r="B277" s="10" t="s">
        <v>941</v>
      </c>
      <c r="C277" s="10" t="s">
        <v>104</v>
      </c>
      <c r="D277" s="30">
        <f>IF(ABS(D275)&gt;Inputs!$D$119,D270/(Inputs!$D$7+$D$264)^M238/D275,Inputs!$D$6)</f>
        <v>0.55867084863658001</v>
      </c>
    </row>
    <row r="278" spans="1:13" ht="15" customHeight="1" x14ac:dyDescent="0.2">
      <c r="B278" s="10" t="s">
        <v>942</v>
      </c>
      <c r="C278" s="10" t="s">
        <v>943</v>
      </c>
      <c r="D278" s="26">
        <f>$D$262*Inputs!$D$8/Prices!$P$6/(Inputs!$D$26/Inputs!$D$25)/Inputs!$D$11/Inputs!$D$56</f>
        <v>6.6101753926651297</v>
      </c>
    </row>
    <row r="282" spans="1:13" ht="15" customHeight="1" x14ac:dyDescent="0.2">
      <c r="A282" s="104" t="s">
        <v>949</v>
      </c>
      <c r="B282" s="10" t="s">
        <v>886</v>
      </c>
      <c r="C282" s="10" t="s">
        <v>107</v>
      </c>
      <c r="D282" s="28">
        <f>Inputs!$D$60</f>
        <v>1</v>
      </c>
      <c r="E282" s="28">
        <f>Inputs!$D$62</f>
        <v>2</v>
      </c>
      <c r="F282" s="28">
        <f>Inputs!$D$64</f>
        <v>3</v>
      </c>
      <c r="G282" s="28">
        <f>Inputs!$D$66</f>
        <v>4</v>
      </c>
      <c r="H282" s="28">
        <f>Inputs!$D$68</f>
        <v>5</v>
      </c>
      <c r="I282" s="28">
        <f>Inputs!$D$70</f>
        <v>6</v>
      </c>
      <c r="J282" s="28">
        <f>Inputs!$D$72</f>
        <v>7</v>
      </c>
      <c r="K282" s="28">
        <f>Inputs!$D$74</f>
        <v>8</v>
      </c>
      <c r="L282" s="28">
        <f>Inputs!$D$76</f>
        <v>9</v>
      </c>
      <c r="M282" s="28">
        <f>Inputs!$D$78</f>
        <v>10</v>
      </c>
    </row>
    <row r="283" spans="1:13" ht="15" customHeight="1" x14ac:dyDescent="0.2">
      <c r="A283" s="91"/>
      <c r="B283" s="10" t="s">
        <v>887</v>
      </c>
      <c r="C283" s="10" t="s">
        <v>161</v>
      </c>
      <c r="D283" s="29">
        <f>Inputs!$D$61</f>
        <v>46568</v>
      </c>
      <c r="E283" s="29">
        <f>Inputs!$D$63</f>
        <v>46934</v>
      </c>
      <c r="F283" s="29">
        <f>Inputs!$D$65</f>
        <v>47299</v>
      </c>
      <c r="G283" s="29">
        <f>Inputs!$D$67</f>
        <v>47664</v>
      </c>
      <c r="H283" s="29">
        <f>Inputs!$D$69</f>
        <v>48029</v>
      </c>
      <c r="I283" s="29">
        <f>Inputs!$D$71</f>
        <v>48395</v>
      </c>
      <c r="J283" s="29">
        <f>Inputs!$D$73</f>
        <v>48760</v>
      </c>
      <c r="K283" s="29">
        <f>Inputs!$D$75</f>
        <v>49125</v>
      </c>
      <c r="L283" s="29">
        <f>Inputs!$D$77</f>
        <v>49490</v>
      </c>
      <c r="M283" s="29">
        <f>Inputs!$D$79</f>
        <v>49856</v>
      </c>
    </row>
    <row r="284" spans="1:13" ht="15" customHeight="1" x14ac:dyDescent="0.2">
      <c r="A284" s="91"/>
      <c r="B284" s="10" t="s">
        <v>888</v>
      </c>
      <c r="C284" s="10" t="s">
        <v>107</v>
      </c>
      <c r="D284" s="28">
        <f>(D283-Inputs!$D$13)/Inputs!$D$10</f>
        <v>0.71457905544147848</v>
      </c>
      <c r="E284" s="28">
        <f>(E283-Inputs!$D$13)/Inputs!$D$10</f>
        <v>1.7166324435318274</v>
      </c>
      <c r="F284" s="28">
        <f>(F283-Inputs!$D$13)/Inputs!$D$10</f>
        <v>2.7159479808350446</v>
      </c>
      <c r="G284" s="28">
        <f>(G283-Inputs!$D$13)/Inputs!$D$10</f>
        <v>3.7152635181382614</v>
      </c>
      <c r="H284" s="28">
        <f>(H283-Inputs!$D$13)/Inputs!$D$10</f>
        <v>4.7145790554414786</v>
      </c>
      <c r="I284" s="28">
        <f>(I283-Inputs!$D$13)/Inputs!$D$10</f>
        <v>5.7166324435318279</v>
      </c>
      <c r="J284" s="28">
        <f>(J283-Inputs!$D$13)/Inputs!$D$10</f>
        <v>6.7159479808350442</v>
      </c>
      <c r="K284" s="28">
        <f>(K283-Inputs!$D$13)/Inputs!$D$10</f>
        <v>7.7152635181382614</v>
      </c>
      <c r="L284" s="28">
        <f>(L283-Inputs!$D$13)/Inputs!$D$10</f>
        <v>8.7145790554414777</v>
      </c>
      <c r="M284" s="28">
        <f>(M283-Inputs!$D$13)/Inputs!$D$10</f>
        <v>9.716632443531827</v>
      </c>
    </row>
    <row r="285" spans="1:13" ht="15" customHeight="1" x14ac:dyDescent="0.2">
      <c r="A285" s="91"/>
      <c r="B285" s="10" t="s">
        <v>889</v>
      </c>
      <c r="C285" s="10" t="s">
        <v>107</v>
      </c>
      <c r="D285" s="28">
        <f>D284</f>
        <v>0.71457905544147848</v>
      </c>
      <c r="E285" s="28">
        <f>Inputs!$D$7</f>
        <v>1</v>
      </c>
      <c r="F285" s="28">
        <f>Inputs!$D$7</f>
        <v>1</v>
      </c>
      <c r="G285" s="28">
        <f>Inputs!$D$7</f>
        <v>1</v>
      </c>
      <c r="H285" s="28">
        <f>Inputs!$D$7</f>
        <v>1</v>
      </c>
      <c r="I285" s="28">
        <f>Inputs!$D$7</f>
        <v>1</v>
      </c>
      <c r="J285" s="28">
        <f>Inputs!$D$7</f>
        <v>1</v>
      </c>
      <c r="K285" s="28">
        <f>Inputs!$D$7</f>
        <v>1</v>
      </c>
      <c r="L285" s="28">
        <f>Inputs!$D$7</f>
        <v>1</v>
      </c>
      <c r="M285" s="28">
        <f>Inputs!$D$7</f>
        <v>1</v>
      </c>
    </row>
    <row r="286" spans="1:13" ht="15" customHeight="1" x14ac:dyDescent="0.2">
      <c r="A286" s="91"/>
      <c r="B286" s="3" t="s">
        <v>890</v>
      </c>
      <c r="C286" s="10" t="s">
        <v>199</v>
      </c>
      <c r="D286" s="28">
        <f>Inputs!$D$24+(Inputs!$D$80-Inputs!$D$24)*Inputs!$D$83</f>
        <v>305.5</v>
      </c>
      <c r="E286" s="28">
        <f>Inputs!$D$24+(Inputs!$D$80-Inputs!$D$24)*Inputs!$D$84</f>
        <v>651.5</v>
      </c>
      <c r="F286" s="28">
        <f>Inputs!$D$24+(Inputs!$D$80-Inputs!$D$24)*Inputs!$D$85</f>
        <v>911</v>
      </c>
      <c r="G286" s="28">
        <f>Inputs!$D$24+(Inputs!$D$80-Inputs!$D$24)*Inputs!$D$86</f>
        <v>911</v>
      </c>
      <c r="H286" s="28">
        <f>Inputs!$D$24+(Inputs!$D$80-Inputs!$D$24)*Inputs!$D$87</f>
        <v>911</v>
      </c>
      <c r="I286" s="28">
        <f>Inputs!$D$24+(Inputs!$D$80-Inputs!$D$24)*Inputs!$D$88</f>
        <v>911</v>
      </c>
      <c r="J286" s="28">
        <f>Inputs!$D$24+(Inputs!$D$80-Inputs!$D$24)*Inputs!$D$89</f>
        <v>911</v>
      </c>
      <c r="K286" s="28">
        <f>Inputs!$D$24+(Inputs!$D$80-Inputs!$D$24)*Inputs!$D$90</f>
        <v>911</v>
      </c>
      <c r="L286" s="28">
        <f>Inputs!$D$24+(Inputs!$D$80-Inputs!$D$24)*Inputs!$D$91</f>
        <v>911</v>
      </c>
      <c r="M286" s="28">
        <f>Inputs!$D$24+(Inputs!$D$80-Inputs!$D$24)*Inputs!$D$92</f>
        <v>911</v>
      </c>
    </row>
    <row r="287" spans="1:13" ht="15" customHeight="1" x14ac:dyDescent="0.2">
      <c r="A287" s="91"/>
      <c r="B287" s="10" t="s">
        <v>891</v>
      </c>
      <c r="C287" s="10" t="s">
        <v>199</v>
      </c>
      <c r="D287" s="28">
        <f>Inputs!$D$24</f>
        <v>46</v>
      </c>
      <c r="E287" s="28">
        <f t="shared" ref="E287:M287" si="60">D286</f>
        <v>305.5</v>
      </c>
      <c r="F287" s="28">
        <f t="shared" si="60"/>
        <v>651.5</v>
      </c>
      <c r="G287" s="28">
        <f t="shared" si="60"/>
        <v>911</v>
      </c>
      <c r="H287" s="28">
        <f t="shared" si="60"/>
        <v>911</v>
      </c>
      <c r="I287" s="28">
        <f t="shared" si="60"/>
        <v>911</v>
      </c>
      <c r="J287" s="28">
        <f t="shared" si="60"/>
        <v>911</v>
      </c>
      <c r="K287" s="28">
        <f t="shared" si="60"/>
        <v>911</v>
      </c>
      <c r="L287" s="28">
        <f t="shared" si="60"/>
        <v>911</v>
      </c>
      <c r="M287" s="28">
        <f t="shared" si="60"/>
        <v>911</v>
      </c>
    </row>
    <row r="288" spans="1:13" ht="15" customHeight="1" x14ac:dyDescent="0.2">
      <c r="B288" s="10" t="s">
        <v>892</v>
      </c>
      <c r="C288" s="10" t="s">
        <v>199</v>
      </c>
      <c r="D288" s="28">
        <f>(D287+D286)*Inputs!$D$12</f>
        <v>175.75</v>
      </c>
      <c r="E288" s="28">
        <f>(E287+E286)*Inputs!$D$12</f>
        <v>478.5</v>
      </c>
      <c r="F288" s="28">
        <f>(F287+F286)*Inputs!$D$12</f>
        <v>781.25</v>
      </c>
      <c r="G288" s="28">
        <f>(G287+G286)*Inputs!$D$12</f>
        <v>911</v>
      </c>
      <c r="H288" s="28">
        <f>(H287+H286)*Inputs!$D$12</f>
        <v>911</v>
      </c>
      <c r="I288" s="28">
        <f>(I287+I286)*Inputs!$D$12</f>
        <v>911</v>
      </c>
      <c r="J288" s="28">
        <f>(J287+J286)*Inputs!$D$12</f>
        <v>911</v>
      </c>
      <c r="K288" s="28">
        <f>(K287+K286)*Inputs!$D$12</f>
        <v>911</v>
      </c>
      <c r="L288" s="28">
        <f>(L287+L286)*Inputs!$D$12</f>
        <v>911</v>
      </c>
      <c r="M288" s="28">
        <f>(M287+M286)*Inputs!$D$12</f>
        <v>911</v>
      </c>
    </row>
    <row r="289" spans="2:13" ht="15" customHeight="1" x14ac:dyDescent="0.2">
      <c r="B289" s="10" t="s">
        <v>893</v>
      </c>
      <c r="C289" s="10" t="s">
        <v>199</v>
      </c>
      <c r="D289" s="28">
        <f t="shared" ref="D289:M289" si="61">D286-D287</f>
        <v>259.5</v>
      </c>
      <c r="E289" s="28">
        <f t="shared" si="61"/>
        <v>346</v>
      </c>
      <c r="F289" s="28">
        <f t="shared" si="61"/>
        <v>259.5</v>
      </c>
      <c r="G289" s="28">
        <f t="shared" si="61"/>
        <v>0</v>
      </c>
      <c r="H289" s="28">
        <f t="shared" si="61"/>
        <v>0</v>
      </c>
      <c r="I289" s="28">
        <f t="shared" si="61"/>
        <v>0</v>
      </c>
      <c r="J289" s="28">
        <f t="shared" si="61"/>
        <v>0</v>
      </c>
      <c r="K289" s="28">
        <f t="shared" si="61"/>
        <v>0</v>
      </c>
      <c r="L289" s="28">
        <f t="shared" si="61"/>
        <v>0</v>
      </c>
      <c r="M289" s="28">
        <f t="shared" si="61"/>
        <v>0</v>
      </c>
    </row>
    <row r="290" spans="2:13" ht="15" customHeight="1" x14ac:dyDescent="0.2">
      <c r="B290" s="10" t="s">
        <v>894</v>
      </c>
      <c r="C290" s="10" t="s">
        <v>199</v>
      </c>
      <c r="D290" s="28">
        <f>IF(MOD(D282,Inputs!$D$21)=Inputs!$D$6,Inputs!$D$24,Inputs!$D$6)+SUMPRODUCT(--(D282&gt;$D$282:$M$282),--(MOD(D282-$D$282:$M$282,Inputs!$D$21)=Inputs!$D$6),$D$289:$M$289)</f>
        <v>0</v>
      </c>
      <c r="E290" s="28">
        <f>IF(MOD(E282,Inputs!$D$21)=Inputs!$D$6,Inputs!$D$24,Inputs!$D$6)+SUMPRODUCT(--(E282&gt;$D$282:$M$282),--(MOD(E282-$D$282:$M$282,Inputs!$D$21)=Inputs!$D$6),$D$289:$M$289)</f>
        <v>0</v>
      </c>
      <c r="F290" s="28">
        <f>IF(MOD(F282,Inputs!$D$21)=Inputs!$D$6,Inputs!$D$24,Inputs!$D$6)+SUMPRODUCT(--(F282&gt;$D$282:$M$282),--(MOD(F282-$D$282:$M$282,Inputs!$D$21)=Inputs!$D$6),$D$289:$M$289)</f>
        <v>0</v>
      </c>
      <c r="G290" s="28">
        <f>IF(MOD(G282,Inputs!$D$21)=Inputs!$D$6,Inputs!$D$24,Inputs!$D$6)+SUMPRODUCT(--(G282&gt;$D$282:$M$282),--(MOD(G282-$D$282:$M$282,Inputs!$D$21)=Inputs!$D$6),$D$289:$M$289)</f>
        <v>46</v>
      </c>
      <c r="H290" s="28">
        <f>IF(MOD(H282,Inputs!$D$21)=Inputs!$D$6,Inputs!$D$24,Inputs!$D$6)+SUMPRODUCT(--(H282&gt;$D$282:$M$282),--(MOD(H282-$D$282:$M$282,Inputs!$D$21)=Inputs!$D$6),$D$289:$M$289)</f>
        <v>259.5</v>
      </c>
      <c r="I290" s="28">
        <f>IF(MOD(I282,Inputs!$D$21)=Inputs!$D$6,Inputs!$D$24,Inputs!$D$6)+SUMPRODUCT(--(I282&gt;$D$282:$M$282),--(MOD(I282-$D$282:$M$282,Inputs!$D$21)=Inputs!$D$6),$D$289:$M$289)</f>
        <v>346</v>
      </c>
      <c r="J290" s="28">
        <f>IF(MOD(J282,Inputs!$D$21)=Inputs!$D$6,Inputs!$D$24,Inputs!$D$6)+SUMPRODUCT(--(J282&gt;$D$282:$M$282),--(MOD(J282-$D$282:$M$282,Inputs!$D$21)=Inputs!$D$6),$D$289:$M$289)</f>
        <v>259.5</v>
      </c>
      <c r="K290" s="28">
        <f>IF(MOD(K282,Inputs!$D$21)=Inputs!$D$6,Inputs!$D$24,Inputs!$D$6)+SUMPRODUCT(--(K282&gt;$D$282:$M$282),--(MOD(K282-$D$282:$M$282,Inputs!$D$21)=Inputs!$D$6),$D$289:$M$289)</f>
        <v>46</v>
      </c>
      <c r="L290" s="28">
        <f>IF(MOD(L282,Inputs!$D$21)=Inputs!$D$6,Inputs!$D$24,Inputs!$D$6)+SUMPRODUCT(--(L282&gt;$D$282:$M$282),--(MOD(L282-$D$282:$M$282,Inputs!$D$21)=Inputs!$D$6),$D$289:$M$289)</f>
        <v>259.5</v>
      </c>
      <c r="M290" s="28">
        <f>IF(MOD(M282,Inputs!$D$21)=Inputs!$D$6,Inputs!$D$24,Inputs!$D$6)+SUMPRODUCT(--(M282&gt;$D$282:$M$282),--(MOD(M282-$D$282:$M$282,Inputs!$D$21)=Inputs!$D$6),$D$289:$M$289)</f>
        <v>346</v>
      </c>
    </row>
    <row r="291" spans="2:13" ht="15" customHeight="1" x14ac:dyDescent="0.2">
      <c r="B291" s="10" t="s">
        <v>895</v>
      </c>
      <c r="C291" s="10" t="s">
        <v>896</v>
      </c>
      <c r="D291" s="28">
        <f t="shared" ref="D291:M291" si="62">D288*D285</f>
        <v>125.58726899383984</v>
      </c>
      <c r="E291" s="28">
        <f t="shared" si="62"/>
        <v>478.5</v>
      </c>
      <c r="F291" s="28">
        <f t="shared" si="62"/>
        <v>781.25</v>
      </c>
      <c r="G291" s="28">
        <f t="shared" si="62"/>
        <v>911</v>
      </c>
      <c r="H291" s="28">
        <f t="shared" si="62"/>
        <v>911</v>
      </c>
      <c r="I291" s="28">
        <f t="shared" si="62"/>
        <v>911</v>
      </c>
      <c r="J291" s="28">
        <f t="shared" si="62"/>
        <v>911</v>
      </c>
      <c r="K291" s="28">
        <f t="shared" si="62"/>
        <v>911</v>
      </c>
      <c r="L291" s="28">
        <f t="shared" si="62"/>
        <v>911</v>
      </c>
      <c r="M291" s="28">
        <f t="shared" si="62"/>
        <v>911</v>
      </c>
    </row>
    <row r="292" spans="2:13" ht="15" customHeight="1" x14ac:dyDescent="0.2">
      <c r="B292" s="10" t="s">
        <v>897</v>
      </c>
      <c r="C292" s="10" t="s">
        <v>110</v>
      </c>
      <c r="D292" s="16">
        <f>D291*($D$311/Inputs!$D$21+$D$312/Inputs!$D$22)</f>
        <v>1816.9772859324419</v>
      </c>
      <c r="E292" s="16">
        <f>E291*($D$311/Inputs!$D$21+$D$312/Inputs!$D$22)</f>
        <v>6922.8643817497086</v>
      </c>
      <c r="F292" s="16">
        <f>F291*($D$311/Inputs!$D$21+$D$312/Inputs!$D$22)</f>
        <v>11303.0048030135</v>
      </c>
      <c r="G292" s="16">
        <f>G291*($D$311/Inputs!$D$21+$D$312/Inputs!$D$22)</f>
        <v>13180.207840697982</v>
      </c>
      <c r="H292" s="16">
        <f>H291*($D$311/Inputs!$D$21+$D$312/Inputs!$D$22)</f>
        <v>13180.207840697982</v>
      </c>
      <c r="I292" s="16">
        <f>I291*($D$311/Inputs!$D$21+$D$312/Inputs!$D$22)</f>
        <v>13180.207840697982</v>
      </c>
      <c r="J292" s="16">
        <f>J291*($D$311/Inputs!$D$21+$D$312/Inputs!$D$22)</f>
        <v>13180.207840697982</v>
      </c>
      <c r="K292" s="16">
        <f>K291*($D$311/Inputs!$D$21+$D$312/Inputs!$D$22)</f>
        <v>13180.207840697982</v>
      </c>
      <c r="L292" s="16">
        <f>L291*($D$311/Inputs!$D$21+$D$312/Inputs!$D$22)</f>
        <v>13180.207840697982</v>
      </c>
      <c r="M292" s="16">
        <f>M291*($D$311/Inputs!$D$21+$D$312/Inputs!$D$22)</f>
        <v>13180.207840697982</v>
      </c>
    </row>
    <row r="293" spans="2:13" ht="15" customHeight="1" x14ac:dyDescent="0.2">
      <c r="B293" s="10" t="s">
        <v>898</v>
      </c>
      <c r="C293" s="10" t="s">
        <v>110</v>
      </c>
      <c r="D293" s="16">
        <f t="shared" ref="D293:M293" si="63">D289*($D$311+$D$312)</f>
        <v>15560.968620146154</v>
      </c>
      <c r="E293" s="16">
        <f t="shared" si="63"/>
        <v>20747.95816019487</v>
      </c>
      <c r="F293" s="16">
        <f t="shared" si="63"/>
        <v>15560.968620146154</v>
      </c>
      <c r="G293" s="16">
        <f t="shared" si="63"/>
        <v>0</v>
      </c>
      <c r="H293" s="16">
        <f t="shared" si="63"/>
        <v>0</v>
      </c>
      <c r="I293" s="16">
        <f t="shared" si="63"/>
        <v>0</v>
      </c>
      <c r="J293" s="16">
        <f t="shared" si="63"/>
        <v>0</v>
      </c>
      <c r="K293" s="16">
        <f t="shared" si="63"/>
        <v>0</v>
      </c>
      <c r="L293" s="16">
        <f t="shared" si="63"/>
        <v>0</v>
      </c>
      <c r="M293" s="16">
        <f t="shared" si="63"/>
        <v>0</v>
      </c>
    </row>
    <row r="294" spans="2:13" ht="15" customHeight="1" x14ac:dyDescent="0.2">
      <c r="B294" s="10" t="s">
        <v>899</v>
      </c>
      <c r="C294" s="10" t="s">
        <v>110</v>
      </c>
      <c r="D294" s="16">
        <f t="shared" ref="D294:M294" si="64">D290*$D$311</f>
        <v>0</v>
      </c>
      <c r="E294" s="16">
        <f t="shared" si="64"/>
        <v>0</v>
      </c>
      <c r="F294" s="16">
        <f t="shared" si="64"/>
        <v>0</v>
      </c>
      <c r="G294" s="16">
        <f t="shared" si="64"/>
        <v>2638.0048485671714</v>
      </c>
      <c r="H294" s="16">
        <f t="shared" si="64"/>
        <v>14881.788221808281</v>
      </c>
      <c r="I294" s="16">
        <f t="shared" si="64"/>
        <v>19842.384295744378</v>
      </c>
      <c r="J294" s="16">
        <f t="shared" si="64"/>
        <v>14881.788221808281</v>
      </c>
      <c r="K294" s="16">
        <f t="shared" si="64"/>
        <v>2638.0048485671714</v>
      </c>
      <c r="L294" s="16">
        <f t="shared" si="64"/>
        <v>14881.788221808281</v>
      </c>
      <c r="M294" s="16">
        <f t="shared" si="64"/>
        <v>19842.384295744378</v>
      </c>
    </row>
    <row r="295" spans="2:13" ht="15" customHeight="1" x14ac:dyDescent="0.2">
      <c r="B295" s="10" t="s">
        <v>900</v>
      </c>
      <c r="C295" s="10" t="s">
        <v>199</v>
      </c>
      <c r="D295" s="28">
        <f>D289*Inputs!$D$23</f>
        <v>6.4875000000000007</v>
      </c>
      <c r="E295" s="28">
        <f>E289*Inputs!$D$23</f>
        <v>8.65</v>
      </c>
      <c r="F295" s="28">
        <f>F289*Inputs!$D$23</f>
        <v>6.4875000000000007</v>
      </c>
      <c r="G295" s="28">
        <f>G289*Inputs!$D$23</f>
        <v>0</v>
      </c>
      <c r="H295" s="28">
        <f>H289*Inputs!$D$23</f>
        <v>0</v>
      </c>
      <c r="I295" s="28">
        <f>I289*Inputs!$D$23</f>
        <v>0</v>
      </c>
      <c r="J295" s="28">
        <f>J289*Inputs!$D$23</f>
        <v>0</v>
      </c>
      <c r="K295" s="28">
        <f>K289*Inputs!$D$23</f>
        <v>0</v>
      </c>
      <c r="L295" s="28">
        <f>L289*Inputs!$D$23</f>
        <v>0</v>
      </c>
      <c r="M295" s="28">
        <f>M289*Inputs!$D$23</f>
        <v>0</v>
      </c>
    </row>
    <row r="296" spans="2:13" ht="15" customHeight="1" x14ac:dyDescent="0.2">
      <c r="B296" s="3" t="s">
        <v>901</v>
      </c>
      <c r="C296" s="10" t="s">
        <v>896</v>
      </c>
      <c r="D296" s="28">
        <f>(D291*$D$309*(Inputs!$D$7-Inputs!$D$19)-D295)/(Inputs!$D$7+$D$310)^D284</f>
        <v>43.213488846686175</v>
      </c>
      <c r="E296" s="28">
        <f>(E291*$D$309*(Inputs!$D$7-Inputs!$D$19)-E295)/(Inputs!$D$7+$D$310)^E284</f>
        <v>163.29332190458183</v>
      </c>
      <c r="F296" s="28">
        <f>(F291*$D$309*(Inputs!$D$7-Inputs!$D$19)-F295)/(Inputs!$D$7+$D$310)^F284</f>
        <v>248.28260771010829</v>
      </c>
      <c r="G296" s="28">
        <f>(G291*$D$309*(Inputs!$D$7-Inputs!$D$19)-G295)/(Inputs!$D$7+$D$310)^G284</f>
        <v>268.5238926419492</v>
      </c>
      <c r="H296" s="28">
        <f>(H291*$D$309*(Inputs!$D$7-Inputs!$D$19)-H295)/(Inputs!$D$7+$D$310)^H284</f>
        <v>244.12855518959191</v>
      </c>
      <c r="I296" s="28">
        <f>(I291*$D$309*(Inputs!$D$7-Inputs!$D$19)-I295)/(Inputs!$D$7+$D$310)^I284</f>
        <v>221.8916197826434</v>
      </c>
      <c r="J296" s="28">
        <f>(J291*$D$309*(Inputs!$D$7-Inputs!$D$19)-J295)/(Inputs!$D$7+$D$310)^J284</f>
        <v>201.73281421346593</v>
      </c>
      <c r="K296" s="28">
        <f>(K291*$D$309*(Inputs!$D$7-Inputs!$D$19)-K295)/(Inputs!$D$7+$D$310)^K284</f>
        <v>183.40543176145695</v>
      </c>
      <c r="L296" s="28">
        <f>(L291*$D$309*(Inputs!$D$7-Inputs!$D$19)-L295)/(Inputs!$D$7+$D$310)^L284</f>
        <v>166.74308803332551</v>
      </c>
      <c r="M296" s="28">
        <f>(M291*$D$309*(Inputs!$D$7-Inputs!$D$19)-M295)/(Inputs!$D$7+$D$310)^M284</f>
        <v>151.55496194429571</v>
      </c>
    </row>
    <row r="297" spans="2:13" ht="15" customHeight="1" x14ac:dyDescent="0.2">
      <c r="B297" s="10" t="s">
        <v>902</v>
      </c>
      <c r="C297" s="10" t="s">
        <v>110</v>
      </c>
      <c r="D297" s="16">
        <f>(D292*Inputs!$D$19-D293-D294)/(Inputs!$D$7+$D$310)^D284</f>
        <v>-14027.24269342025</v>
      </c>
      <c r="E297" s="16">
        <f>(E292*Inputs!$D$19-E293-E294)/(Inputs!$D$7+$D$310)^E284</f>
        <v>-15853.087323826181</v>
      </c>
      <c r="F297" s="16">
        <f>(F292*Inputs!$D$19-F293-F294)/(Inputs!$D$7+$D$310)^F284</f>
        <v>-9394.4767487293357</v>
      </c>
      <c r="G297" s="16">
        <f>(G292*Inputs!$D$19-G293-G294)/(Inputs!$D$7+$D$310)^G284</f>
        <v>923.61320322684639</v>
      </c>
      <c r="H297" s="16">
        <f>(H292*Inputs!$D$19-H293-H294)/(Inputs!$D$7+$D$310)^H284</f>
        <v>-6972.3744918015345</v>
      </c>
      <c r="I297" s="16">
        <f>(I292*Inputs!$D$19-I293-I294)/(Inputs!$D$7+$D$310)^I284</f>
        <v>-9214.0648467907959</v>
      </c>
      <c r="J297" s="16">
        <f>(J292*Inputs!$D$19-J293-J294)/(Inputs!$D$7+$D$310)^J284</f>
        <v>-5761.5411965591911</v>
      </c>
      <c r="K297" s="16">
        <f>(K292*Inputs!$D$19-K293-K294)/(Inputs!$D$7+$D$310)^K284</f>
        <v>630.8402453567694</v>
      </c>
      <c r="L297" s="16">
        <f>(L292*Inputs!$D$19-L293-L294)/(Inputs!$D$7+$D$310)^L284</f>
        <v>-4762.2255937446444</v>
      </c>
      <c r="M297" s="16">
        <f>(M292*Inputs!$D$19-M293-M294)/(Inputs!$D$7+$D$310)^M284</f>
        <v>-6293.3302689644106</v>
      </c>
    </row>
    <row r="298" spans="2:13" ht="15" customHeight="1" x14ac:dyDescent="0.2">
      <c r="B298" s="10" t="s">
        <v>903</v>
      </c>
      <c r="C298" s="10" t="s">
        <v>110</v>
      </c>
      <c r="D298" s="16">
        <f t="shared" ref="D298:M298" si="65">D291*$D$308</f>
        <v>5188.1973539273376</v>
      </c>
      <c r="E298" s="16">
        <f t="shared" si="65"/>
        <v>19767.548524174072</v>
      </c>
      <c r="F298" s="16">
        <f t="shared" si="65"/>
        <v>32274.602475467073</v>
      </c>
      <c r="G298" s="16">
        <f t="shared" si="65"/>
        <v>37634.768454592646</v>
      </c>
      <c r="H298" s="16">
        <f t="shared" si="65"/>
        <v>37634.768454592646</v>
      </c>
      <c r="I298" s="16">
        <f t="shared" si="65"/>
        <v>37634.768454592646</v>
      </c>
      <c r="J298" s="16">
        <f t="shared" si="65"/>
        <v>37634.768454592646</v>
      </c>
      <c r="K298" s="16">
        <f t="shared" si="65"/>
        <v>37634.768454592646</v>
      </c>
      <c r="L298" s="16">
        <f t="shared" si="65"/>
        <v>37634.768454592646</v>
      </c>
      <c r="M298" s="16">
        <f t="shared" si="65"/>
        <v>37634.768454592646</v>
      </c>
    </row>
    <row r="299" spans="2:13" ht="15" customHeight="1" x14ac:dyDescent="0.2">
      <c r="B299" s="10" t="s">
        <v>904</v>
      </c>
      <c r="C299" s="10" t="s">
        <v>110</v>
      </c>
      <c r="D299" s="16">
        <f t="shared" ref="D299:M299" si="66">D298*$D$309</f>
        <v>3112.9184123564023</v>
      </c>
      <c r="E299" s="16">
        <f t="shared" si="66"/>
        <v>11860.529114504443</v>
      </c>
      <c r="F299" s="16">
        <f t="shared" si="66"/>
        <v>19364.761485280244</v>
      </c>
      <c r="G299" s="16">
        <f t="shared" si="66"/>
        <v>22580.861072755586</v>
      </c>
      <c r="H299" s="16">
        <f t="shared" si="66"/>
        <v>22580.861072755586</v>
      </c>
      <c r="I299" s="16">
        <f t="shared" si="66"/>
        <v>22580.861072755586</v>
      </c>
      <c r="J299" s="16">
        <f t="shared" si="66"/>
        <v>22580.861072755586</v>
      </c>
      <c r="K299" s="16">
        <f t="shared" si="66"/>
        <v>22580.861072755586</v>
      </c>
      <c r="L299" s="16">
        <f t="shared" si="66"/>
        <v>22580.861072755586</v>
      </c>
      <c r="M299" s="16">
        <f t="shared" si="66"/>
        <v>22580.861072755586</v>
      </c>
    </row>
    <row r="300" spans="2:13" ht="15" customHeight="1" x14ac:dyDescent="0.2">
      <c r="B300" s="10" t="s">
        <v>905</v>
      </c>
      <c r="C300" s="10" t="s">
        <v>110</v>
      </c>
      <c r="D300" s="16">
        <f t="shared" ref="D300:M300" si="67">D299-D292</f>
        <v>1295.9411264239604</v>
      </c>
      <c r="E300" s="16">
        <f t="shared" si="67"/>
        <v>4937.6647327547344</v>
      </c>
      <c r="F300" s="16">
        <f t="shared" si="67"/>
        <v>8061.7566822667432</v>
      </c>
      <c r="G300" s="16">
        <f t="shared" si="67"/>
        <v>9400.6532320576043</v>
      </c>
      <c r="H300" s="16">
        <f t="shared" si="67"/>
        <v>9400.6532320576043</v>
      </c>
      <c r="I300" s="16">
        <f t="shared" si="67"/>
        <v>9400.6532320576043</v>
      </c>
      <c r="J300" s="16">
        <f t="shared" si="67"/>
        <v>9400.6532320576043</v>
      </c>
      <c r="K300" s="16">
        <f t="shared" si="67"/>
        <v>9400.6532320576043</v>
      </c>
      <c r="L300" s="16">
        <f t="shared" si="67"/>
        <v>9400.6532320576043</v>
      </c>
      <c r="M300" s="16">
        <f t="shared" si="67"/>
        <v>9400.6532320576043</v>
      </c>
    </row>
    <row r="301" spans="2:13" ht="15" customHeight="1" x14ac:dyDescent="0.2">
      <c r="B301" s="10" t="s">
        <v>906</v>
      </c>
      <c r="C301" s="10" t="s">
        <v>110</v>
      </c>
      <c r="D301" s="16">
        <f>MAX(D300,Inputs!$D$6)*Inputs!$D$19</f>
        <v>388.78233792718811</v>
      </c>
      <c r="E301" s="16">
        <f>MAX(E300,Inputs!$D$6)*Inputs!$D$19</f>
        <v>1481.2994198264203</v>
      </c>
      <c r="F301" s="16">
        <f>MAX(F300,Inputs!$D$6)*Inputs!$D$19</f>
        <v>2418.5270046800229</v>
      </c>
      <c r="G301" s="16">
        <f>MAX(G300,Inputs!$D$6)*Inputs!$D$19</f>
        <v>2820.1959696172812</v>
      </c>
      <c r="H301" s="16">
        <f>MAX(H300,Inputs!$D$6)*Inputs!$D$19</f>
        <v>2820.1959696172812</v>
      </c>
      <c r="I301" s="16">
        <f>MAX(I300,Inputs!$D$6)*Inputs!$D$19</f>
        <v>2820.1959696172812</v>
      </c>
      <c r="J301" s="16">
        <f>MAX(J300,Inputs!$D$6)*Inputs!$D$19</f>
        <v>2820.1959696172812</v>
      </c>
      <c r="K301" s="16">
        <f>MAX(K300,Inputs!$D$6)*Inputs!$D$19</f>
        <v>2820.1959696172812</v>
      </c>
      <c r="L301" s="16">
        <f>MAX(L300,Inputs!$D$6)*Inputs!$D$19</f>
        <v>2820.1959696172812</v>
      </c>
      <c r="M301" s="16">
        <f>MAX(M300,Inputs!$D$6)*Inputs!$D$19</f>
        <v>2820.1959696172812</v>
      </c>
    </row>
    <row r="302" spans="2:13" ht="15" customHeight="1" x14ac:dyDescent="0.2">
      <c r="B302" s="10" t="s">
        <v>907</v>
      </c>
      <c r="C302" s="10" t="s">
        <v>110</v>
      </c>
      <c r="D302" s="16">
        <f t="shared" ref="D302:M302" si="68">D295*$D$308</f>
        <v>268.00829895627862</v>
      </c>
      <c r="E302" s="16">
        <f t="shared" si="68"/>
        <v>357.34439860837148</v>
      </c>
      <c r="F302" s="16">
        <f t="shared" si="68"/>
        <v>268.00829895627862</v>
      </c>
      <c r="G302" s="16">
        <f t="shared" si="68"/>
        <v>0</v>
      </c>
      <c r="H302" s="16">
        <f t="shared" si="68"/>
        <v>0</v>
      </c>
      <c r="I302" s="16">
        <f t="shared" si="68"/>
        <v>0</v>
      </c>
      <c r="J302" s="16">
        <f t="shared" si="68"/>
        <v>0</v>
      </c>
      <c r="K302" s="16">
        <f t="shared" si="68"/>
        <v>0</v>
      </c>
      <c r="L302" s="16">
        <f t="shared" si="68"/>
        <v>0</v>
      </c>
      <c r="M302" s="16">
        <f t="shared" si="68"/>
        <v>0</v>
      </c>
    </row>
    <row r="303" spans="2:13" ht="15" customHeight="1" x14ac:dyDescent="0.2">
      <c r="B303" s="10" t="s">
        <v>908</v>
      </c>
      <c r="C303" s="10" t="s">
        <v>110</v>
      </c>
      <c r="D303" s="16">
        <f t="shared" ref="D303:M303" si="69">D299-D301-D293-D294-D302</f>
        <v>-13104.840844673217</v>
      </c>
      <c r="E303" s="16">
        <f t="shared" si="69"/>
        <v>-10726.072864125219</v>
      </c>
      <c r="F303" s="16">
        <f t="shared" si="69"/>
        <v>1117.2575614977898</v>
      </c>
      <c r="G303" s="16">
        <f t="shared" si="69"/>
        <v>17122.660254571132</v>
      </c>
      <c r="H303" s="16">
        <f t="shared" si="69"/>
        <v>4878.876881330023</v>
      </c>
      <c r="I303" s="16">
        <f t="shared" si="69"/>
        <v>-81.719192606073193</v>
      </c>
      <c r="J303" s="16">
        <f t="shared" si="69"/>
        <v>4878.876881330023</v>
      </c>
      <c r="K303" s="16">
        <f t="shared" si="69"/>
        <v>17122.660254571132</v>
      </c>
      <c r="L303" s="16">
        <f t="shared" si="69"/>
        <v>4878.876881330023</v>
      </c>
      <c r="M303" s="16">
        <f t="shared" si="69"/>
        <v>-81.719192606073193</v>
      </c>
    </row>
    <row r="304" spans="2:13" ht="15" customHeight="1" x14ac:dyDescent="0.2">
      <c r="B304" s="10" t="s">
        <v>909</v>
      </c>
      <c r="C304" s="10" t="s">
        <v>110</v>
      </c>
      <c r="D304" s="16">
        <f>D303/(Inputs!$D$7+$D$310)^D284</f>
        <v>-12242.029030566073</v>
      </c>
      <c r="E304" s="16">
        <f>E303/(Inputs!$D$7+$D$310)^E284</f>
        <v>-9107.1966980740417</v>
      </c>
      <c r="F304" s="16">
        <f>F303/(Inputs!$D$7+$D$310)^F284</f>
        <v>862.44800700325038</v>
      </c>
      <c r="G304" s="16">
        <f>G303/(Inputs!$D$7+$D$310)^G284</f>
        <v>12016.735622662249</v>
      </c>
      <c r="H304" s="16">
        <f>H303/(Inputs!$D$7+$D$310)^H284</f>
        <v>3112.940159915845</v>
      </c>
      <c r="I304" s="16">
        <f>I303/(Inputs!$D$7+$D$310)^I284</f>
        <v>-47.391155754250683</v>
      </c>
      <c r="J304" s="16">
        <f>J303/(Inputs!$D$7+$D$310)^J284</f>
        <v>2572.3421762367975</v>
      </c>
      <c r="K304" s="16">
        <f>K303/(Inputs!$D$7+$D$310)^K284</f>
        <v>8207.5921198430733</v>
      </c>
      <c r="L304" s="16">
        <f>L303/(Inputs!$D$7+$D$310)^L284</f>
        <v>2126.1800149688165</v>
      </c>
      <c r="M304" s="16">
        <f>M303/(Inputs!$D$7+$D$310)^M284</f>
        <v>-32.368797045455004</v>
      </c>
    </row>
    <row r="305" spans="2:13" ht="15" customHeight="1" x14ac:dyDescent="0.2">
      <c r="B305" s="3" t="s">
        <v>910</v>
      </c>
      <c r="C305" s="10" t="s">
        <v>896</v>
      </c>
      <c r="D305" s="28">
        <f>(D291*$D$309-D295)/(Inputs!$D$7+$D$310)^D284</f>
        <v>64.330856237917445</v>
      </c>
      <c r="E305" s="28">
        <f>(E291*$D$309-E295)/(Inputs!$D$7+$D$310)^E284</f>
        <v>236.42380139523098</v>
      </c>
      <c r="F305" s="28">
        <f>(F291*$D$309-F295)/(Inputs!$D$7+$D$310)^F284</f>
        <v>356.83568908039001</v>
      </c>
      <c r="G305" s="28">
        <f>(G291*$D$309-G295)/(Inputs!$D$7+$D$310)^G284</f>
        <v>383.60556091707036</v>
      </c>
      <c r="H305" s="28">
        <f>(H291*$D$309-H295)/(Inputs!$D$7+$D$310)^H284</f>
        <v>348.75507884227414</v>
      </c>
      <c r="I305" s="28">
        <f>(I291*$D$309-I295)/(Inputs!$D$7+$D$310)^I284</f>
        <v>316.98802826091918</v>
      </c>
      <c r="J305" s="28">
        <f>(J291*$D$309-J295)/(Inputs!$D$7+$D$310)^J284</f>
        <v>288.18973459066564</v>
      </c>
      <c r="K305" s="28">
        <f>(K291*$D$309-K295)/(Inputs!$D$7+$D$310)^K284</f>
        <v>262.00775965922423</v>
      </c>
      <c r="L305" s="28">
        <f>(L291*$D$309-L295)/(Inputs!$D$7+$D$310)^L284</f>
        <v>238.2044114761793</v>
      </c>
      <c r="M305" s="28">
        <f>(M291*$D$309-M295)/(Inputs!$D$7+$D$310)^M284</f>
        <v>216.50708849185102</v>
      </c>
    </row>
    <row r="306" spans="2:13" ht="15" customHeight="1" x14ac:dyDescent="0.2">
      <c r="B306" s="10" t="s">
        <v>911</v>
      </c>
      <c r="C306" s="10" t="s">
        <v>110</v>
      </c>
      <c r="D306" s="16">
        <f>(-D293-D294)/(Inputs!$D$7+$D$310)^D284</f>
        <v>-14536.447397527105</v>
      </c>
      <c r="E306" s="16">
        <f>(-E293-E294)/(Inputs!$D$7+$D$310)^E284</f>
        <v>-17616.488200475756</v>
      </c>
      <c r="F306" s="16">
        <f>(-F293-F294)/(Inputs!$D$7+$D$310)^F284</f>
        <v>-12012.025548964448</v>
      </c>
      <c r="G306" s="16">
        <f>(-G293-G294)/(Inputs!$D$7+$D$310)^G284</f>
        <v>-1851.359915178487</v>
      </c>
      <c r="H306" s="16">
        <f>(-H293-H294)/(Inputs!$D$7+$D$310)^H284</f>
        <v>-9495.2419037884629</v>
      </c>
      <c r="I306" s="16">
        <f>(-I293-I294)/(Inputs!$D$7+$D$310)^I284</f>
        <v>-11507.131858586603</v>
      </c>
      <c r="J306" s="16">
        <f>(-J293-J294)/(Inputs!$D$7+$D$310)^J284</f>
        <v>-7846.2835672839774</v>
      </c>
      <c r="K306" s="16">
        <f>(-K293-K294)/(Inputs!$D$7+$D$310)^K284</f>
        <v>-1264.5037327904422</v>
      </c>
      <c r="L306" s="16">
        <f>(-L293-L294)/(Inputs!$D$7+$D$310)^L284</f>
        <v>-6485.3779822337692</v>
      </c>
      <c r="M306" s="16">
        <f>(-M293-M294)/(Inputs!$D$7+$D$310)^M284</f>
        <v>-7859.5258920747219</v>
      </c>
    </row>
    <row r="307" spans="2:13" ht="15" customHeight="1" x14ac:dyDescent="0.2">
      <c r="B307" s="10" t="s">
        <v>912</v>
      </c>
      <c r="C307" s="10" t="s">
        <v>110</v>
      </c>
      <c r="D307" s="16">
        <f>Prices!I7</f>
        <v>35754.545454545456</v>
      </c>
    </row>
    <row r="308" spans="2:13" ht="15" customHeight="1" x14ac:dyDescent="0.2">
      <c r="B308" s="3" t="s">
        <v>913</v>
      </c>
      <c r="C308" s="10" t="s">
        <v>914</v>
      </c>
      <c r="D308" s="28">
        <f>IF(J315&gt;=J311,J315,(D307-J314)/J313)</f>
        <v>41.311491168597854</v>
      </c>
      <c r="G308" s="99" t="s">
        <v>915</v>
      </c>
      <c r="H308" s="91"/>
      <c r="I308" s="91"/>
      <c r="J308" s="28">
        <f>D308*Inputs!$D$15</f>
        <v>28.831289686564443</v>
      </c>
      <c r="K308" s="99" t="s">
        <v>916</v>
      </c>
      <c r="L308" s="91"/>
      <c r="M308" s="91"/>
    </row>
    <row r="309" spans="2:13" ht="15" customHeight="1" x14ac:dyDescent="0.2">
      <c r="B309" s="10" t="s">
        <v>917</v>
      </c>
      <c r="C309" s="10" t="s">
        <v>104</v>
      </c>
      <c r="D309" s="30">
        <f>Inputs!$D$81</f>
        <v>0.6</v>
      </c>
      <c r="G309" s="99" t="s">
        <v>918</v>
      </c>
      <c r="H309" s="91"/>
      <c r="I309" s="91"/>
      <c r="J309" s="28">
        <f>IF(-D320/D319&gt;=J311,-D320/D319,-J314/J313)</f>
        <v>32.284876648616972</v>
      </c>
      <c r="K309" s="99" t="s">
        <v>919</v>
      </c>
      <c r="L309" s="91"/>
      <c r="M309" s="91"/>
    </row>
    <row r="310" spans="2:13" ht="15" customHeight="1" x14ac:dyDescent="0.2">
      <c r="B310" s="10" t="s">
        <v>920</v>
      </c>
      <c r="C310" s="10" t="s">
        <v>104</v>
      </c>
      <c r="D310" s="30">
        <f>Inputs!$D$82</f>
        <v>0.1</v>
      </c>
      <c r="G310" s="99" t="s">
        <v>918</v>
      </c>
      <c r="H310" s="91"/>
      <c r="I310" s="91"/>
      <c r="J310" s="28">
        <f>J309*Inputs!$D$15</f>
        <v>22.531615413069783</v>
      </c>
      <c r="K310" s="99" t="s">
        <v>916</v>
      </c>
      <c r="L310" s="91"/>
      <c r="M310" s="91"/>
    </row>
    <row r="311" spans="2:13" ht="15" customHeight="1" x14ac:dyDescent="0.2">
      <c r="B311" s="3" t="s">
        <v>921</v>
      </c>
      <c r="C311" s="10" t="s">
        <v>848</v>
      </c>
      <c r="D311" s="28">
        <f>Capital!$D$13</f>
        <v>57.347931490590682</v>
      </c>
      <c r="G311" s="99" t="s">
        <v>922</v>
      </c>
      <c r="H311" s="91"/>
      <c r="I311" s="91"/>
      <c r="J311" s="28">
        <f>($D$311/Inputs!$D$21+$D$312/Inputs!$D$22)/$D$309</f>
        <v>24.113076913095469</v>
      </c>
      <c r="K311" s="99" t="s">
        <v>919</v>
      </c>
      <c r="L311" s="91"/>
      <c r="M311" s="91"/>
    </row>
    <row r="312" spans="2:13" ht="15" customHeight="1" x14ac:dyDescent="0.2">
      <c r="B312" s="3" t="s">
        <v>923</v>
      </c>
      <c r="C312" s="10" t="s">
        <v>848</v>
      </c>
      <c r="D312" s="28">
        <f>Capital!$D$14</f>
        <v>2.6172655041921802</v>
      </c>
    </row>
    <row r="313" spans="2:13" ht="15" customHeight="1" x14ac:dyDescent="0.2">
      <c r="B313" s="10" t="s">
        <v>924</v>
      </c>
      <c r="C313" s="10" t="s">
        <v>896</v>
      </c>
      <c r="D313" s="28">
        <f>(M286*(Inputs!$D$7+Inputs!$D$20)*$D$309*(Inputs!$D$7-Inputs!$D$19)-M286*Inputs!$D$20*Inputs!$D$23)/($D$310-Inputs!$D$20)/(Inputs!$D$7+$D$310)^M284</f>
        <v>2068.2441036763203</v>
      </c>
      <c r="G313" s="92" t="s">
        <v>910</v>
      </c>
      <c r="H313" s="91"/>
      <c r="I313" s="91"/>
      <c r="J313" s="28">
        <f>SUM(D305:M305)+(M286*(Inputs!$D$7+Inputs!$D$20)*$D$309-M286*Inputs!$D$20*Inputs!$D$23)/($D$310-Inputs!$D$20)/(Inputs!$D$7+$D$310)^M284</f>
        <v>5667.7711754446318</v>
      </c>
      <c r="K313" s="99" t="s">
        <v>896</v>
      </c>
      <c r="L313" s="91"/>
      <c r="M313" s="91"/>
    </row>
    <row r="314" spans="2:13" ht="15" customHeight="1" x14ac:dyDescent="0.2">
      <c r="B314" s="10" t="s">
        <v>925</v>
      </c>
      <c r="C314" s="10" t="s">
        <v>110</v>
      </c>
      <c r="D314" s="16">
        <f>(D317*Inputs!$D$19-D317-D318)/($D$310-Inputs!$D$20)/(Inputs!$D$7+$D$310)^M284</f>
        <v>-57156.954988173631</v>
      </c>
      <c r="G314" s="92" t="s">
        <v>926</v>
      </c>
      <c r="H314" s="91"/>
      <c r="I314" s="91"/>
      <c r="J314" s="16">
        <f>SUM(D306:M306)-(D317+D318)/($D$310-Inputs!$D$20)/(Inputs!$D$7+$D$310)^M284</f>
        <v>-169036.01450291832</v>
      </c>
      <c r="K314" s="99" t="s">
        <v>110</v>
      </c>
      <c r="L314" s="91"/>
      <c r="M314" s="91"/>
    </row>
    <row r="315" spans="2:13" ht="15" customHeight="1" x14ac:dyDescent="0.2">
      <c r="B315" s="10" t="s">
        <v>927</v>
      </c>
      <c r="C315" s="10" t="s">
        <v>928</v>
      </c>
      <c r="D315" s="16">
        <f>(M286*(Inputs!$D$7+Inputs!$D$20)*$D$308*$D$309-D317)-MAX((M286*(Inputs!$D$7+Inputs!$D$20)*$D$308*$D$309-D317),Inputs!$D$6)*Inputs!$D$19-D318-M286*Inputs!$D$20*$D$308*Inputs!$D$23</f>
        <v>5355.7396021610284</v>
      </c>
      <c r="G315" s="99" t="s">
        <v>929</v>
      </c>
      <c r="H315" s="91"/>
      <c r="I315" s="91"/>
      <c r="J315" s="28">
        <f>(D307-D320)/D319</f>
        <v>41.311491168597854</v>
      </c>
      <c r="K315" s="99" t="s">
        <v>919</v>
      </c>
      <c r="L315" s="91"/>
      <c r="M315" s="91"/>
    </row>
    <row r="316" spans="2:13" ht="15" customHeight="1" x14ac:dyDescent="0.2">
      <c r="B316" s="10" t="s">
        <v>930</v>
      </c>
      <c r="C316" s="10" t="s">
        <v>110</v>
      </c>
      <c r="D316" s="16">
        <f>D315/($D$310-Inputs!$D$20)</f>
        <v>71409.861362147029</v>
      </c>
      <c r="G316" s="99" t="s">
        <v>931</v>
      </c>
      <c r="H316" s="91"/>
      <c r="I316" s="91"/>
      <c r="J316" s="16">
        <f>MIN(D300:M300,(M286*(Inputs!$D$7+Inputs!$D$20)*$D$308*$D$309-D317))</f>
        <v>1295.9411264239604</v>
      </c>
      <c r="K316" s="99" t="s">
        <v>110</v>
      </c>
      <c r="L316" s="91"/>
      <c r="M316" s="91"/>
    </row>
    <row r="317" spans="2:13" ht="15" customHeight="1" x14ac:dyDescent="0.2">
      <c r="B317" s="10" t="s">
        <v>932</v>
      </c>
      <c r="C317" s="10" t="s">
        <v>928</v>
      </c>
      <c r="D317" s="16">
        <f>M286*(Inputs!$D$7+Inputs!$D$20)*($D$311/Inputs!$D$21+$D$312/Inputs!$D$22)</f>
        <v>13509.71303671543</v>
      </c>
      <c r="G317" s="99" t="s">
        <v>933</v>
      </c>
      <c r="H317" s="91"/>
      <c r="I317" s="91"/>
      <c r="J317" s="31" t="str">
        <f>IF(J316&lt;Inputs!$D$6,"breached","satisfied")</f>
        <v>satisfied</v>
      </c>
      <c r="K317" s="99" t="s">
        <v>934</v>
      </c>
      <c r="L317" s="91"/>
      <c r="M317" s="91"/>
    </row>
    <row r="318" spans="2:13" ht="15" customHeight="1" x14ac:dyDescent="0.2">
      <c r="B318" s="10" t="s">
        <v>935</v>
      </c>
      <c r="C318" s="10" t="s">
        <v>928</v>
      </c>
      <c r="D318" s="16">
        <f>M286*Inputs!$D$20*($D$311+$D$312)</f>
        <v>1365.7073615561799</v>
      </c>
    </row>
    <row r="319" spans="2:13" ht="15" customHeight="1" x14ac:dyDescent="0.2">
      <c r="B319" s="10" t="s">
        <v>936</v>
      </c>
      <c r="C319" s="10" t="s">
        <v>896</v>
      </c>
      <c r="D319" s="28">
        <f>SUM(D296:M296)+D313</f>
        <v>3961.0138857044249</v>
      </c>
      <c r="G319" s="99" t="s">
        <v>937</v>
      </c>
      <c r="H319" s="91"/>
      <c r="I319" s="91"/>
      <c r="J319" s="16">
        <f>D321-D307</f>
        <v>0</v>
      </c>
      <c r="K319" s="99" t="s">
        <v>110</v>
      </c>
      <c r="L319" s="91"/>
      <c r="M319" s="91"/>
    </row>
    <row r="320" spans="2:13" ht="15" customHeight="1" x14ac:dyDescent="0.2">
      <c r="B320" s="10" t="s">
        <v>938</v>
      </c>
      <c r="C320" s="10" t="s">
        <v>110</v>
      </c>
      <c r="D320" s="16">
        <f>SUM(D297:M297)+D314</f>
        <v>-127880.84470342637</v>
      </c>
    </row>
    <row r="321" spans="1:13" ht="15" customHeight="1" x14ac:dyDescent="0.2">
      <c r="B321" s="10" t="s">
        <v>939</v>
      </c>
      <c r="C321" s="10" t="s">
        <v>110</v>
      </c>
      <c r="D321" s="16">
        <f>SUM(D304:M304)+D316/(Inputs!$D$7+$D$310)^M284</f>
        <v>35754.545454545463</v>
      </c>
    </row>
    <row r="322" spans="1:13" ht="15" customHeight="1" x14ac:dyDescent="0.2">
      <c r="B322" s="10" t="s">
        <v>940</v>
      </c>
      <c r="C322" s="10" t="s">
        <v>104</v>
      </c>
      <c r="D322" s="30">
        <f>IF(ABS(D307)&gt;Inputs!$D$6,D321/D307-Inputs!$D$7,Inputs!$D$6)</f>
        <v>2.2204460492503131E-16</v>
      </c>
    </row>
    <row r="323" spans="1:13" ht="15" customHeight="1" x14ac:dyDescent="0.2">
      <c r="B323" s="10" t="s">
        <v>941</v>
      </c>
      <c r="C323" s="10" t="s">
        <v>104</v>
      </c>
      <c r="D323" s="30">
        <f>IF(ABS(D321)&gt;Inputs!$D$119,D316/(Inputs!$D$7+$D$310)^M284/D321,Inputs!$D$6)</f>
        <v>0.7910964235670167</v>
      </c>
    </row>
    <row r="324" spans="1:13" ht="15" customHeight="1" x14ac:dyDescent="0.2">
      <c r="B324" s="10" t="s">
        <v>942</v>
      </c>
      <c r="C324" s="10" t="s">
        <v>943</v>
      </c>
      <c r="D324" s="26">
        <f>$D$308*Inputs!$D$8/Prices!$P$6/(Inputs!$D$26/Inputs!$D$25)/Inputs!$D$11/Inputs!$D$56</f>
        <v>7.5126201535866244</v>
      </c>
    </row>
    <row r="328" spans="1:13" ht="15" customHeight="1" x14ac:dyDescent="0.2">
      <c r="A328" s="104" t="s">
        <v>950</v>
      </c>
      <c r="B328" s="10" t="s">
        <v>886</v>
      </c>
      <c r="C328" s="10" t="s">
        <v>107</v>
      </c>
      <c r="D328" s="28">
        <f>Inputs!$D$60</f>
        <v>1</v>
      </c>
      <c r="E328" s="28">
        <f>Inputs!$D$62</f>
        <v>2</v>
      </c>
      <c r="F328" s="28">
        <f>Inputs!$D$64</f>
        <v>3</v>
      </c>
      <c r="G328" s="28">
        <f>Inputs!$D$66</f>
        <v>4</v>
      </c>
      <c r="H328" s="28">
        <f>Inputs!$D$68</f>
        <v>5</v>
      </c>
      <c r="I328" s="28">
        <f>Inputs!$D$70</f>
        <v>6</v>
      </c>
      <c r="J328" s="28">
        <f>Inputs!$D$72</f>
        <v>7</v>
      </c>
      <c r="K328" s="28">
        <f>Inputs!$D$74</f>
        <v>8</v>
      </c>
      <c r="L328" s="28">
        <f>Inputs!$D$76</f>
        <v>9</v>
      </c>
      <c r="M328" s="28">
        <f>Inputs!$D$78</f>
        <v>10</v>
      </c>
    </row>
    <row r="329" spans="1:13" ht="15" customHeight="1" x14ac:dyDescent="0.2">
      <c r="A329" s="91"/>
      <c r="B329" s="10" t="s">
        <v>887</v>
      </c>
      <c r="C329" s="10" t="s">
        <v>161</v>
      </c>
      <c r="D329" s="29">
        <f>Inputs!$D$61</f>
        <v>46568</v>
      </c>
      <c r="E329" s="29">
        <f>Inputs!$D$63</f>
        <v>46934</v>
      </c>
      <c r="F329" s="29">
        <f>Inputs!$D$65</f>
        <v>47299</v>
      </c>
      <c r="G329" s="29">
        <f>Inputs!$D$67</f>
        <v>47664</v>
      </c>
      <c r="H329" s="29">
        <f>Inputs!$D$69</f>
        <v>48029</v>
      </c>
      <c r="I329" s="29">
        <f>Inputs!$D$71</f>
        <v>48395</v>
      </c>
      <c r="J329" s="29">
        <f>Inputs!$D$73</f>
        <v>48760</v>
      </c>
      <c r="K329" s="29">
        <f>Inputs!$D$75</f>
        <v>49125</v>
      </c>
      <c r="L329" s="29">
        <f>Inputs!$D$77</f>
        <v>49490</v>
      </c>
      <c r="M329" s="29">
        <f>Inputs!$D$79</f>
        <v>49856</v>
      </c>
    </row>
    <row r="330" spans="1:13" ht="15" customHeight="1" x14ac:dyDescent="0.2">
      <c r="A330" s="91"/>
      <c r="B330" s="10" t="s">
        <v>888</v>
      </c>
      <c r="C330" s="10" t="s">
        <v>107</v>
      </c>
      <c r="D330" s="28">
        <f>(D329-Inputs!$D$13)/Inputs!$D$10</f>
        <v>0.71457905544147848</v>
      </c>
      <c r="E330" s="28">
        <f>(E329-Inputs!$D$13)/Inputs!$D$10</f>
        <v>1.7166324435318274</v>
      </c>
      <c r="F330" s="28">
        <f>(F329-Inputs!$D$13)/Inputs!$D$10</f>
        <v>2.7159479808350446</v>
      </c>
      <c r="G330" s="28">
        <f>(G329-Inputs!$D$13)/Inputs!$D$10</f>
        <v>3.7152635181382614</v>
      </c>
      <c r="H330" s="28">
        <f>(H329-Inputs!$D$13)/Inputs!$D$10</f>
        <v>4.7145790554414786</v>
      </c>
      <c r="I330" s="28">
        <f>(I329-Inputs!$D$13)/Inputs!$D$10</f>
        <v>5.7166324435318279</v>
      </c>
      <c r="J330" s="28">
        <f>(J329-Inputs!$D$13)/Inputs!$D$10</f>
        <v>6.7159479808350442</v>
      </c>
      <c r="K330" s="28">
        <f>(K329-Inputs!$D$13)/Inputs!$D$10</f>
        <v>7.7152635181382614</v>
      </c>
      <c r="L330" s="28">
        <f>(L329-Inputs!$D$13)/Inputs!$D$10</f>
        <v>8.7145790554414777</v>
      </c>
      <c r="M330" s="28">
        <f>(M329-Inputs!$D$13)/Inputs!$D$10</f>
        <v>9.716632443531827</v>
      </c>
    </row>
    <row r="331" spans="1:13" ht="15" customHeight="1" x14ac:dyDescent="0.2">
      <c r="A331" s="91"/>
      <c r="B331" s="10" t="s">
        <v>889</v>
      </c>
      <c r="C331" s="10" t="s">
        <v>107</v>
      </c>
      <c r="D331" s="28">
        <f>D330</f>
        <v>0.71457905544147848</v>
      </c>
      <c r="E331" s="28">
        <f>Inputs!$D$7</f>
        <v>1</v>
      </c>
      <c r="F331" s="28">
        <f>Inputs!$D$7</f>
        <v>1</v>
      </c>
      <c r="G331" s="28">
        <f>Inputs!$D$7</f>
        <v>1</v>
      </c>
      <c r="H331" s="28">
        <f>Inputs!$D$7</f>
        <v>1</v>
      </c>
      <c r="I331" s="28">
        <f>Inputs!$D$7</f>
        <v>1</v>
      </c>
      <c r="J331" s="28">
        <f>Inputs!$D$7</f>
        <v>1</v>
      </c>
      <c r="K331" s="28">
        <f>Inputs!$D$7</f>
        <v>1</v>
      </c>
      <c r="L331" s="28">
        <f>Inputs!$D$7</f>
        <v>1</v>
      </c>
      <c r="M331" s="28">
        <f>Inputs!$D$7</f>
        <v>1</v>
      </c>
    </row>
    <row r="332" spans="1:13" ht="15" customHeight="1" x14ac:dyDescent="0.2">
      <c r="A332" s="91"/>
      <c r="B332" s="3" t="s">
        <v>890</v>
      </c>
      <c r="C332" s="10" t="s">
        <v>199</v>
      </c>
      <c r="D332" s="28">
        <f>Inputs!$D$24+(Inputs!$D$93-Inputs!$D$24)*Inputs!$D$96</f>
        <v>279.10000000000002</v>
      </c>
      <c r="E332" s="28">
        <f>Inputs!$D$24+(Inputs!$D$93-Inputs!$D$24)*Inputs!$D$97</f>
        <v>900.7</v>
      </c>
      <c r="F332" s="28">
        <f>Inputs!$D$24+(Inputs!$D$93-Inputs!$D$24)*Inputs!$D$98</f>
        <v>1366.8999999999999</v>
      </c>
      <c r="G332" s="28">
        <f>Inputs!$D$24+(Inputs!$D$93-Inputs!$D$24)*Inputs!$D$99</f>
        <v>1600</v>
      </c>
      <c r="H332" s="28">
        <f>Inputs!$D$24+(Inputs!$D$93-Inputs!$D$24)*Inputs!$D$100</f>
        <v>1600</v>
      </c>
      <c r="I332" s="28">
        <f>Inputs!$D$24+(Inputs!$D$93-Inputs!$D$24)*Inputs!$D$101</f>
        <v>1600</v>
      </c>
      <c r="J332" s="28">
        <f>Inputs!$D$24+(Inputs!$D$93-Inputs!$D$24)*Inputs!$D$102</f>
        <v>1600</v>
      </c>
      <c r="K332" s="28">
        <f>Inputs!$D$24+(Inputs!$D$93-Inputs!$D$24)*Inputs!$D$103</f>
        <v>1600</v>
      </c>
      <c r="L332" s="28">
        <f>Inputs!$D$24+(Inputs!$D$93-Inputs!$D$24)*Inputs!$D$104</f>
        <v>1600</v>
      </c>
      <c r="M332" s="28">
        <f>Inputs!$D$24+(Inputs!$D$93-Inputs!$D$24)*Inputs!$D$105</f>
        <v>1600</v>
      </c>
    </row>
    <row r="333" spans="1:13" ht="15" customHeight="1" x14ac:dyDescent="0.2">
      <c r="A333" s="91"/>
      <c r="B333" s="10" t="s">
        <v>891</v>
      </c>
      <c r="C333" s="10" t="s">
        <v>199</v>
      </c>
      <c r="D333" s="28">
        <f>Inputs!$D$24</f>
        <v>46</v>
      </c>
      <c r="E333" s="28">
        <f t="shared" ref="E333:M333" si="70">D332</f>
        <v>279.10000000000002</v>
      </c>
      <c r="F333" s="28">
        <f t="shared" si="70"/>
        <v>900.7</v>
      </c>
      <c r="G333" s="28">
        <f t="shared" si="70"/>
        <v>1366.8999999999999</v>
      </c>
      <c r="H333" s="28">
        <f t="shared" si="70"/>
        <v>1600</v>
      </c>
      <c r="I333" s="28">
        <f t="shared" si="70"/>
        <v>1600</v>
      </c>
      <c r="J333" s="28">
        <f t="shared" si="70"/>
        <v>1600</v>
      </c>
      <c r="K333" s="28">
        <f t="shared" si="70"/>
        <v>1600</v>
      </c>
      <c r="L333" s="28">
        <f t="shared" si="70"/>
        <v>1600</v>
      </c>
      <c r="M333" s="28">
        <f t="shared" si="70"/>
        <v>1600</v>
      </c>
    </row>
    <row r="334" spans="1:13" ht="15" customHeight="1" x14ac:dyDescent="0.2">
      <c r="B334" s="10" t="s">
        <v>892</v>
      </c>
      <c r="C334" s="10" t="s">
        <v>199</v>
      </c>
      <c r="D334" s="28">
        <f>(D333+D332)*Inputs!$D$12</f>
        <v>162.55000000000001</v>
      </c>
      <c r="E334" s="28">
        <f>(E333+E332)*Inputs!$D$12</f>
        <v>589.90000000000009</v>
      </c>
      <c r="F334" s="28">
        <f>(F333+F332)*Inputs!$D$12</f>
        <v>1133.8</v>
      </c>
      <c r="G334" s="28">
        <f>(G333+G332)*Inputs!$D$12</f>
        <v>1483.4499999999998</v>
      </c>
      <c r="H334" s="28">
        <f>(H333+H332)*Inputs!$D$12</f>
        <v>1600</v>
      </c>
      <c r="I334" s="28">
        <f>(I333+I332)*Inputs!$D$12</f>
        <v>1600</v>
      </c>
      <c r="J334" s="28">
        <f>(J333+J332)*Inputs!$D$12</f>
        <v>1600</v>
      </c>
      <c r="K334" s="28">
        <f>(K333+K332)*Inputs!$D$12</f>
        <v>1600</v>
      </c>
      <c r="L334" s="28">
        <f>(L333+L332)*Inputs!$D$12</f>
        <v>1600</v>
      </c>
      <c r="M334" s="28">
        <f>(M333+M332)*Inputs!$D$12</f>
        <v>1600</v>
      </c>
    </row>
    <row r="335" spans="1:13" ht="15" customHeight="1" x14ac:dyDescent="0.2">
      <c r="B335" s="10" t="s">
        <v>893</v>
      </c>
      <c r="C335" s="10" t="s">
        <v>199</v>
      </c>
      <c r="D335" s="28">
        <f t="shared" ref="D335:M335" si="71">D332-D333</f>
        <v>233.10000000000002</v>
      </c>
      <c r="E335" s="28">
        <f t="shared" si="71"/>
        <v>621.6</v>
      </c>
      <c r="F335" s="28">
        <f t="shared" si="71"/>
        <v>466.19999999999982</v>
      </c>
      <c r="G335" s="28">
        <f t="shared" si="71"/>
        <v>233.10000000000014</v>
      </c>
      <c r="H335" s="28">
        <f t="shared" si="71"/>
        <v>0</v>
      </c>
      <c r="I335" s="28">
        <f t="shared" si="71"/>
        <v>0</v>
      </c>
      <c r="J335" s="28">
        <f t="shared" si="71"/>
        <v>0</v>
      </c>
      <c r="K335" s="28">
        <f t="shared" si="71"/>
        <v>0</v>
      </c>
      <c r="L335" s="28">
        <f t="shared" si="71"/>
        <v>0</v>
      </c>
      <c r="M335" s="28">
        <f t="shared" si="71"/>
        <v>0</v>
      </c>
    </row>
    <row r="336" spans="1:13" ht="15" customHeight="1" x14ac:dyDescent="0.2">
      <c r="B336" s="10" t="s">
        <v>894</v>
      </c>
      <c r="C336" s="10" t="s">
        <v>199</v>
      </c>
      <c r="D336" s="28">
        <f>IF(MOD(D328,Inputs!$D$21)=Inputs!$D$6,Inputs!$D$24,Inputs!$D$6)+SUMPRODUCT(--(D328&gt;$D$328:$M$328),--(MOD(D328-$D$328:$M$328,Inputs!$D$21)=Inputs!$D$6),$D$335:$M$335)</f>
        <v>0</v>
      </c>
      <c r="E336" s="28">
        <f>IF(MOD(E328,Inputs!$D$21)=Inputs!$D$6,Inputs!$D$24,Inputs!$D$6)+SUMPRODUCT(--(E328&gt;$D$328:$M$328),--(MOD(E328-$D$328:$M$328,Inputs!$D$21)=Inputs!$D$6),$D$335:$M$335)</f>
        <v>0</v>
      </c>
      <c r="F336" s="28">
        <f>IF(MOD(F328,Inputs!$D$21)=Inputs!$D$6,Inputs!$D$24,Inputs!$D$6)+SUMPRODUCT(--(F328&gt;$D$328:$M$328),--(MOD(F328-$D$328:$M$328,Inputs!$D$21)=Inputs!$D$6),$D$335:$M$335)</f>
        <v>0</v>
      </c>
      <c r="G336" s="28">
        <f>IF(MOD(G328,Inputs!$D$21)=Inputs!$D$6,Inputs!$D$24,Inputs!$D$6)+SUMPRODUCT(--(G328&gt;$D$328:$M$328),--(MOD(G328-$D$328:$M$328,Inputs!$D$21)=Inputs!$D$6),$D$335:$M$335)</f>
        <v>46</v>
      </c>
      <c r="H336" s="28">
        <f>IF(MOD(H328,Inputs!$D$21)=Inputs!$D$6,Inputs!$D$24,Inputs!$D$6)+SUMPRODUCT(--(H328&gt;$D$328:$M$328),--(MOD(H328-$D$328:$M$328,Inputs!$D$21)=Inputs!$D$6),$D$335:$M$335)</f>
        <v>233.10000000000002</v>
      </c>
      <c r="I336" s="28">
        <f>IF(MOD(I328,Inputs!$D$21)=Inputs!$D$6,Inputs!$D$24,Inputs!$D$6)+SUMPRODUCT(--(I328&gt;$D$328:$M$328),--(MOD(I328-$D$328:$M$328,Inputs!$D$21)=Inputs!$D$6),$D$335:$M$335)</f>
        <v>621.6</v>
      </c>
      <c r="J336" s="28">
        <f>IF(MOD(J328,Inputs!$D$21)=Inputs!$D$6,Inputs!$D$24,Inputs!$D$6)+SUMPRODUCT(--(J328&gt;$D$328:$M$328),--(MOD(J328-$D$328:$M$328,Inputs!$D$21)=Inputs!$D$6),$D$335:$M$335)</f>
        <v>466.19999999999982</v>
      </c>
      <c r="K336" s="28">
        <f>IF(MOD(K328,Inputs!$D$21)=Inputs!$D$6,Inputs!$D$24,Inputs!$D$6)+SUMPRODUCT(--(K328&gt;$D$328:$M$328),--(MOD(K328-$D$328:$M$328,Inputs!$D$21)=Inputs!$D$6),$D$335:$M$335)</f>
        <v>279.10000000000014</v>
      </c>
      <c r="L336" s="28">
        <f>IF(MOD(L328,Inputs!$D$21)=Inputs!$D$6,Inputs!$D$24,Inputs!$D$6)+SUMPRODUCT(--(L328&gt;$D$328:$M$328),--(MOD(L328-$D$328:$M$328,Inputs!$D$21)=Inputs!$D$6),$D$335:$M$335)</f>
        <v>233.10000000000002</v>
      </c>
      <c r="M336" s="28">
        <f>IF(MOD(M328,Inputs!$D$21)=Inputs!$D$6,Inputs!$D$24,Inputs!$D$6)+SUMPRODUCT(--(M328&gt;$D$328:$M$328),--(MOD(M328-$D$328:$M$328,Inputs!$D$21)=Inputs!$D$6),$D$335:$M$335)</f>
        <v>621.6</v>
      </c>
    </row>
    <row r="337" spans="2:13" ht="15" customHeight="1" x14ac:dyDescent="0.2">
      <c r="B337" s="10" t="s">
        <v>895</v>
      </c>
      <c r="C337" s="10" t="s">
        <v>896</v>
      </c>
      <c r="D337" s="28">
        <f t="shared" ref="D337:M337" si="72">D334*D331</f>
        <v>116.15482546201234</v>
      </c>
      <c r="E337" s="28">
        <f t="shared" si="72"/>
        <v>589.90000000000009</v>
      </c>
      <c r="F337" s="28">
        <f t="shared" si="72"/>
        <v>1133.8</v>
      </c>
      <c r="G337" s="28">
        <f t="shared" si="72"/>
        <v>1483.4499999999998</v>
      </c>
      <c r="H337" s="28">
        <f t="shared" si="72"/>
        <v>1600</v>
      </c>
      <c r="I337" s="28">
        <f t="shared" si="72"/>
        <v>1600</v>
      </c>
      <c r="J337" s="28">
        <f t="shared" si="72"/>
        <v>1600</v>
      </c>
      <c r="K337" s="28">
        <f t="shared" si="72"/>
        <v>1600</v>
      </c>
      <c r="L337" s="28">
        <f t="shared" si="72"/>
        <v>1600</v>
      </c>
      <c r="M337" s="28">
        <f t="shared" si="72"/>
        <v>1600</v>
      </c>
    </row>
    <row r="338" spans="2:13" ht="15" customHeight="1" x14ac:dyDescent="0.2">
      <c r="B338" s="10" t="s">
        <v>897</v>
      </c>
      <c r="C338" s="10" t="s">
        <v>110</v>
      </c>
      <c r="D338" s="16">
        <f>D337*($D$357/Inputs!$D$21+$D$358/Inputs!$D$22)</f>
        <v>1680.51014411561</v>
      </c>
      <c r="E338" s="16">
        <f>E337*($D$357/Inputs!$D$21+$D$358/Inputs!$D$22)</f>
        <v>8534.5824426210111</v>
      </c>
      <c r="F338" s="16">
        <f>F337*($D$357/Inputs!$D$21+$D$358/Inputs!$D$22)</f>
        <v>16403.643962440583</v>
      </c>
      <c r="G338" s="16">
        <f>G337*($D$357/Inputs!$D$21+$D$358/Inputs!$D$22)</f>
        <v>21462.326368038881</v>
      </c>
      <c r="H338" s="16">
        <f>H337*($D$357/Inputs!$D$21+$D$358/Inputs!$D$22)</f>
        <v>23148.553836571649</v>
      </c>
      <c r="I338" s="16">
        <f>I337*($D$357/Inputs!$D$21+$D$358/Inputs!$D$22)</f>
        <v>23148.553836571649</v>
      </c>
      <c r="J338" s="16">
        <f>J337*($D$357/Inputs!$D$21+$D$358/Inputs!$D$22)</f>
        <v>23148.553836571649</v>
      </c>
      <c r="K338" s="16">
        <f>K337*($D$357/Inputs!$D$21+$D$358/Inputs!$D$22)</f>
        <v>23148.553836571649</v>
      </c>
      <c r="L338" s="16">
        <f>L337*($D$357/Inputs!$D$21+$D$358/Inputs!$D$22)</f>
        <v>23148.553836571649</v>
      </c>
      <c r="M338" s="16">
        <f>M337*($D$357/Inputs!$D$21+$D$358/Inputs!$D$22)</f>
        <v>23148.553836571649</v>
      </c>
    </row>
    <row r="339" spans="2:13" ht="15" customHeight="1" x14ac:dyDescent="0.2">
      <c r="B339" s="10" t="s">
        <v>898</v>
      </c>
      <c r="C339" s="10" t="s">
        <v>110</v>
      </c>
      <c r="D339" s="16">
        <f t="shared" ref="D339:M339" si="73">D335*($D$357+$D$358)</f>
        <v>13977.887419483886</v>
      </c>
      <c r="E339" s="16">
        <f t="shared" si="73"/>
        <v>37274.36645195703</v>
      </c>
      <c r="F339" s="16">
        <f t="shared" si="73"/>
        <v>27955.774838967762</v>
      </c>
      <c r="G339" s="16">
        <f t="shared" si="73"/>
        <v>13977.887419483894</v>
      </c>
      <c r="H339" s="16">
        <f t="shared" si="73"/>
        <v>0</v>
      </c>
      <c r="I339" s="16">
        <f t="shared" si="73"/>
        <v>0</v>
      </c>
      <c r="J339" s="16">
        <f t="shared" si="73"/>
        <v>0</v>
      </c>
      <c r="K339" s="16">
        <f t="shared" si="73"/>
        <v>0</v>
      </c>
      <c r="L339" s="16">
        <f t="shared" si="73"/>
        <v>0</v>
      </c>
      <c r="M339" s="16">
        <f t="shared" si="73"/>
        <v>0</v>
      </c>
    </row>
    <row r="340" spans="2:13" ht="15" customHeight="1" x14ac:dyDescent="0.2">
      <c r="B340" s="10" t="s">
        <v>899</v>
      </c>
      <c r="C340" s="10" t="s">
        <v>110</v>
      </c>
      <c r="D340" s="16">
        <f t="shared" ref="D340:M340" si="74">D336*$D$357</f>
        <v>0</v>
      </c>
      <c r="E340" s="16">
        <f t="shared" si="74"/>
        <v>0</v>
      </c>
      <c r="F340" s="16">
        <f t="shared" si="74"/>
        <v>0</v>
      </c>
      <c r="G340" s="16">
        <f t="shared" si="74"/>
        <v>2638.0048485671714</v>
      </c>
      <c r="H340" s="16">
        <f t="shared" si="74"/>
        <v>13367.802830456689</v>
      </c>
      <c r="I340" s="16">
        <f t="shared" si="74"/>
        <v>35647.47421455117</v>
      </c>
      <c r="J340" s="16">
        <f t="shared" si="74"/>
        <v>26735.605660913367</v>
      </c>
      <c r="K340" s="16">
        <f t="shared" si="74"/>
        <v>16005.807679023867</v>
      </c>
      <c r="L340" s="16">
        <f t="shared" si="74"/>
        <v>13367.802830456689</v>
      </c>
      <c r="M340" s="16">
        <f t="shared" si="74"/>
        <v>35647.47421455117</v>
      </c>
    </row>
    <row r="341" spans="2:13" ht="15" customHeight="1" x14ac:dyDescent="0.2">
      <c r="B341" s="10" t="s">
        <v>900</v>
      </c>
      <c r="C341" s="10" t="s">
        <v>199</v>
      </c>
      <c r="D341" s="28">
        <f>D335*Inputs!$D$23</f>
        <v>5.8275000000000006</v>
      </c>
      <c r="E341" s="28">
        <f>E335*Inputs!$D$23</f>
        <v>15.540000000000001</v>
      </c>
      <c r="F341" s="28">
        <f>F335*Inputs!$D$23</f>
        <v>11.654999999999996</v>
      </c>
      <c r="G341" s="28">
        <f>G335*Inputs!$D$23</f>
        <v>5.8275000000000041</v>
      </c>
      <c r="H341" s="28">
        <f>H335*Inputs!$D$23</f>
        <v>0</v>
      </c>
      <c r="I341" s="28">
        <f>I335*Inputs!$D$23</f>
        <v>0</v>
      </c>
      <c r="J341" s="28">
        <f>J335*Inputs!$D$23</f>
        <v>0</v>
      </c>
      <c r="K341" s="28">
        <f>K335*Inputs!$D$23</f>
        <v>0</v>
      </c>
      <c r="L341" s="28">
        <f>L335*Inputs!$D$23</f>
        <v>0</v>
      </c>
      <c r="M341" s="28">
        <f>M335*Inputs!$D$23</f>
        <v>0</v>
      </c>
    </row>
    <row r="342" spans="2:13" ht="15" customHeight="1" x14ac:dyDescent="0.2">
      <c r="B342" s="3" t="s">
        <v>901</v>
      </c>
      <c r="C342" s="10" t="s">
        <v>896</v>
      </c>
      <c r="D342" s="28">
        <f>(D337*$D$355*(Inputs!$D$7-Inputs!$D$19)-D341)/(Inputs!$D$7+$D$356)^D330</f>
        <v>50.541318213721269</v>
      </c>
      <c r="E342" s="28">
        <f>(E337*$D$355*(Inputs!$D$7-Inputs!$D$19)-E341)/(Inputs!$D$7+$D$356)^E330</f>
        <v>238.4864713152904</v>
      </c>
      <c r="F342" s="28">
        <f>(F337*$D$355*(Inputs!$D$7-Inputs!$D$19)-F341)/(Inputs!$D$7+$D$356)^F330</f>
        <v>418.74491871678316</v>
      </c>
      <c r="G342" s="28">
        <f>(G337*$D$355*(Inputs!$D$7-Inputs!$D$19)-G341)/(Inputs!$D$7+$D$356)^G330</f>
        <v>490.87392073514752</v>
      </c>
      <c r="H342" s="28">
        <f>(H337*$D$355*(Inputs!$D$7-Inputs!$D$19)-H341)/(Inputs!$D$7+$D$356)^H330</f>
        <v>472.10300862628105</v>
      </c>
      <c r="I342" s="28">
        <f>(I337*$D$355*(Inputs!$D$7-Inputs!$D$19)-I341)/(Inputs!$D$7+$D$356)^I330</f>
        <v>417.68543753228789</v>
      </c>
      <c r="J342" s="28">
        <f>(J337*$D$355*(Inputs!$D$7-Inputs!$D$19)-J341)/(Inputs!$D$7+$D$356)^J330</f>
        <v>369.66405292491049</v>
      </c>
      <c r="K342" s="28">
        <f>(K337*$D$355*(Inputs!$D$7-Inputs!$D$19)-K341)/(Inputs!$D$7+$D$356)^K330</f>
        <v>327.16369723641031</v>
      </c>
      <c r="L342" s="28">
        <f>(L337*$D$355*(Inputs!$D$7-Inputs!$D$19)-L341)/(Inputs!$D$7+$D$356)^L330</f>
        <v>289.54961658427663</v>
      </c>
      <c r="M342" s="28">
        <f>(M337*$D$355*(Inputs!$D$7-Inputs!$D$19)-M341)/(Inputs!$D$7+$D$356)^M330</f>
        <v>256.17430111750662</v>
      </c>
    </row>
    <row r="343" spans="2:13" ht="15" customHeight="1" x14ac:dyDescent="0.2">
      <c r="B343" s="10" t="s">
        <v>902</v>
      </c>
      <c r="C343" s="10" t="s">
        <v>110</v>
      </c>
      <c r="D343" s="16">
        <f>(D338*Inputs!$D$19-D339-D340)/(Inputs!$D$7+$D$356)^D330</f>
        <v>-12346.937146613671</v>
      </c>
      <c r="E343" s="16">
        <f>(E338*Inputs!$D$19-E339-E340)/(Inputs!$D$7+$D$356)^E330</f>
        <v>-28144.165592831177</v>
      </c>
      <c r="F343" s="16">
        <f>(F338*Inputs!$D$19-F339-F340)/(Inputs!$D$7+$D$356)^F330</f>
        <v>-16528.13772562052</v>
      </c>
      <c r="G343" s="16">
        <f>(G338*Inputs!$D$19-G339-G340)/(Inputs!$D$7+$D$356)^G330</f>
        <v>-6462.9033875784253</v>
      </c>
      <c r="H343" s="16">
        <f>(H338*Inputs!$D$19-H339-H340)/(Inputs!$D$7+$D$356)^H330</f>
        <v>-3610.0349541710043</v>
      </c>
      <c r="I343" s="16">
        <f>(I338*Inputs!$D$19-I339-I340)/(Inputs!$D$7+$D$356)^I330</f>
        <v>-14272.365134506323</v>
      </c>
      <c r="J343" s="16">
        <f>(J338*Inputs!$D$19-J339-J340)/(Inputs!$D$7+$D$356)^J330</f>
        <v>-8709.5665200501735</v>
      </c>
      <c r="K343" s="16">
        <f>(K338*Inputs!$D$19-K339-K340)/(Inputs!$D$7+$D$356)^K330</f>
        <v>-3529.1777141306115</v>
      </c>
      <c r="L343" s="16">
        <f>(L338*Inputs!$D$19-L339-L340)/(Inputs!$D$7+$D$356)^L330</f>
        <v>-2214.1020449702382</v>
      </c>
      <c r="M343" s="16">
        <f>(M338*Inputs!$D$19-M339-M340)/(Inputs!$D$7+$D$356)^M330</f>
        <v>-8753.5088252709138</v>
      </c>
    </row>
    <row r="344" spans="2:13" ht="15" customHeight="1" x14ac:dyDescent="0.2">
      <c r="B344" s="10" t="s">
        <v>903</v>
      </c>
      <c r="C344" s="10" t="s">
        <v>110</v>
      </c>
      <c r="D344" s="16">
        <f t="shared" ref="D344:M344" si="75">D337*$D$354</f>
        <v>3896.5050063593258</v>
      </c>
      <c r="E344" s="16">
        <f t="shared" si="75"/>
        <v>19788.659611073079</v>
      </c>
      <c r="F344" s="16">
        <f t="shared" si="75"/>
        <v>38034.213031080952</v>
      </c>
      <c r="G344" s="16">
        <f t="shared" si="75"/>
        <v>49763.497372514583</v>
      </c>
      <c r="H344" s="16">
        <f t="shared" si="75"/>
        <v>53673.258819659131</v>
      </c>
      <c r="I344" s="16">
        <f t="shared" si="75"/>
        <v>53673.258819659131</v>
      </c>
      <c r="J344" s="16">
        <f t="shared" si="75"/>
        <v>53673.258819659131</v>
      </c>
      <c r="K344" s="16">
        <f t="shared" si="75"/>
        <v>53673.258819659131</v>
      </c>
      <c r="L344" s="16">
        <f t="shared" si="75"/>
        <v>53673.258819659131</v>
      </c>
      <c r="M344" s="16">
        <f t="shared" si="75"/>
        <v>53673.258819659131</v>
      </c>
    </row>
    <row r="345" spans="2:13" ht="15" customHeight="1" x14ac:dyDescent="0.2">
      <c r="B345" s="10" t="s">
        <v>904</v>
      </c>
      <c r="C345" s="10" t="s">
        <v>110</v>
      </c>
      <c r="D345" s="16">
        <f t="shared" ref="D345:M345" si="76">D344*$D$355</f>
        <v>2922.3787547694942</v>
      </c>
      <c r="E345" s="16">
        <f t="shared" si="76"/>
        <v>14841.49470830481</v>
      </c>
      <c r="F345" s="16">
        <f t="shared" si="76"/>
        <v>28525.659773310712</v>
      </c>
      <c r="G345" s="16">
        <f t="shared" si="76"/>
        <v>37322.623029385941</v>
      </c>
      <c r="H345" s="16">
        <f t="shared" si="76"/>
        <v>40254.94411474435</v>
      </c>
      <c r="I345" s="16">
        <f t="shared" si="76"/>
        <v>40254.94411474435</v>
      </c>
      <c r="J345" s="16">
        <f t="shared" si="76"/>
        <v>40254.94411474435</v>
      </c>
      <c r="K345" s="16">
        <f t="shared" si="76"/>
        <v>40254.94411474435</v>
      </c>
      <c r="L345" s="16">
        <f t="shared" si="76"/>
        <v>40254.94411474435</v>
      </c>
      <c r="M345" s="16">
        <f t="shared" si="76"/>
        <v>40254.94411474435</v>
      </c>
    </row>
    <row r="346" spans="2:13" ht="15" customHeight="1" x14ac:dyDescent="0.2">
      <c r="B346" s="10" t="s">
        <v>905</v>
      </c>
      <c r="C346" s="10" t="s">
        <v>110</v>
      </c>
      <c r="D346" s="16">
        <f t="shared" ref="D346:M346" si="77">D345-D338</f>
        <v>1241.8686106538842</v>
      </c>
      <c r="E346" s="16">
        <f t="shared" si="77"/>
        <v>6306.912265683799</v>
      </c>
      <c r="F346" s="16">
        <f t="shared" si="77"/>
        <v>12122.015810870129</v>
      </c>
      <c r="G346" s="16">
        <f t="shared" si="77"/>
        <v>15860.29666134706</v>
      </c>
      <c r="H346" s="16">
        <f t="shared" si="77"/>
        <v>17106.390278172701</v>
      </c>
      <c r="I346" s="16">
        <f t="shared" si="77"/>
        <v>17106.390278172701</v>
      </c>
      <c r="J346" s="16">
        <f t="shared" si="77"/>
        <v>17106.390278172701</v>
      </c>
      <c r="K346" s="16">
        <f t="shared" si="77"/>
        <v>17106.390278172701</v>
      </c>
      <c r="L346" s="16">
        <f t="shared" si="77"/>
        <v>17106.390278172701</v>
      </c>
      <c r="M346" s="16">
        <f t="shared" si="77"/>
        <v>17106.390278172701</v>
      </c>
    </row>
    <row r="347" spans="2:13" ht="15" customHeight="1" x14ac:dyDescent="0.2">
      <c r="B347" s="10" t="s">
        <v>906</v>
      </c>
      <c r="C347" s="10" t="s">
        <v>110</v>
      </c>
      <c r="D347" s="16">
        <f>MAX(D346,Inputs!$D$6)*Inputs!$D$19</f>
        <v>372.56058319616523</v>
      </c>
      <c r="E347" s="16">
        <f>MAX(E346,Inputs!$D$6)*Inputs!$D$19</f>
        <v>1892.0736797051395</v>
      </c>
      <c r="F347" s="16">
        <f>MAX(F346,Inputs!$D$6)*Inputs!$D$19</f>
        <v>3636.6047432610385</v>
      </c>
      <c r="G347" s="16">
        <f>MAX(G346,Inputs!$D$6)*Inputs!$D$19</f>
        <v>4758.0889984041178</v>
      </c>
      <c r="H347" s="16">
        <f>MAX(H346,Inputs!$D$6)*Inputs!$D$19</f>
        <v>5131.91708345181</v>
      </c>
      <c r="I347" s="16">
        <f>MAX(I346,Inputs!$D$6)*Inputs!$D$19</f>
        <v>5131.91708345181</v>
      </c>
      <c r="J347" s="16">
        <f>MAX(J346,Inputs!$D$6)*Inputs!$D$19</f>
        <v>5131.91708345181</v>
      </c>
      <c r="K347" s="16">
        <f>MAX(K346,Inputs!$D$6)*Inputs!$D$19</f>
        <v>5131.91708345181</v>
      </c>
      <c r="L347" s="16">
        <f>MAX(L346,Inputs!$D$6)*Inputs!$D$19</f>
        <v>5131.91708345181</v>
      </c>
      <c r="M347" s="16">
        <f>MAX(M346,Inputs!$D$6)*Inputs!$D$19</f>
        <v>5131.91708345181</v>
      </c>
    </row>
    <row r="348" spans="2:13" ht="15" customHeight="1" x14ac:dyDescent="0.2">
      <c r="B348" s="10" t="s">
        <v>907</v>
      </c>
      <c r="C348" s="10" t="s">
        <v>110</v>
      </c>
      <c r="D348" s="16">
        <f t="shared" ref="D348:M348" si="78">D341*$D$354</f>
        <v>195.48807235722728</v>
      </c>
      <c r="E348" s="16">
        <f t="shared" si="78"/>
        <v>521.30152628593942</v>
      </c>
      <c r="F348" s="16">
        <f t="shared" si="78"/>
        <v>390.97614471445434</v>
      </c>
      <c r="G348" s="16">
        <f t="shared" si="78"/>
        <v>195.4880723572274</v>
      </c>
      <c r="H348" s="16">
        <f t="shared" si="78"/>
        <v>0</v>
      </c>
      <c r="I348" s="16">
        <f t="shared" si="78"/>
        <v>0</v>
      </c>
      <c r="J348" s="16">
        <f t="shared" si="78"/>
        <v>0</v>
      </c>
      <c r="K348" s="16">
        <f t="shared" si="78"/>
        <v>0</v>
      </c>
      <c r="L348" s="16">
        <f t="shared" si="78"/>
        <v>0</v>
      </c>
      <c r="M348" s="16">
        <f t="shared" si="78"/>
        <v>0</v>
      </c>
    </row>
    <row r="349" spans="2:13" ht="15" customHeight="1" x14ac:dyDescent="0.2">
      <c r="B349" s="10" t="s">
        <v>908</v>
      </c>
      <c r="C349" s="10" t="s">
        <v>110</v>
      </c>
      <c r="D349" s="16">
        <f t="shared" ref="D349:M349" si="79">D345-D347-D339-D340-D348</f>
        <v>-11623.557320267784</v>
      </c>
      <c r="E349" s="16">
        <f t="shared" si="79"/>
        <v>-24846.2469496433</v>
      </c>
      <c r="F349" s="16">
        <f t="shared" si="79"/>
        <v>-3457.6959536325435</v>
      </c>
      <c r="G349" s="16">
        <f t="shared" si="79"/>
        <v>15753.15369057353</v>
      </c>
      <c r="H349" s="16">
        <f t="shared" si="79"/>
        <v>21755.224200835852</v>
      </c>
      <c r="I349" s="16">
        <f t="shared" si="79"/>
        <v>-524.44718325862777</v>
      </c>
      <c r="J349" s="16">
        <f t="shared" si="79"/>
        <v>8387.4213703791756</v>
      </c>
      <c r="K349" s="16">
        <f t="shared" si="79"/>
        <v>19117.219352268676</v>
      </c>
      <c r="L349" s="16">
        <f t="shared" si="79"/>
        <v>21755.224200835852</v>
      </c>
      <c r="M349" s="16">
        <f t="shared" si="79"/>
        <v>-524.44718325862777</v>
      </c>
    </row>
    <row r="350" spans="2:13" ht="15" customHeight="1" x14ac:dyDescent="0.2">
      <c r="B350" s="10" t="s">
        <v>909</v>
      </c>
      <c r="C350" s="10" t="s">
        <v>110</v>
      </c>
      <c r="D350" s="16">
        <f>D349/(Inputs!$D$7+$D$356)^D330</f>
        <v>-10651.488863131288</v>
      </c>
      <c r="E350" s="16">
        <f>E349/(Inputs!$D$7+$D$356)^E330</f>
        <v>-20143.949280398181</v>
      </c>
      <c r="F350" s="16">
        <f>F349/(Inputs!$D$7+$D$356)^F330</f>
        <v>-2481.0099745561265</v>
      </c>
      <c r="G350" s="16">
        <f>G349/(Inputs!$D$7+$D$356)^G330</f>
        <v>10003.848484570586</v>
      </c>
      <c r="H350" s="16">
        <f>H349/(Inputs!$D$7+$D$356)^H330</f>
        <v>12227.031903040341</v>
      </c>
      <c r="I350" s="16">
        <f>I349/(Inputs!$D$7+$D$356)^I330</f>
        <v>-260.77851333566178</v>
      </c>
      <c r="J350" s="16">
        <f>J349/(Inputs!$D$7+$D$356)^J330</f>
        <v>3691.1049730516343</v>
      </c>
      <c r="K350" s="16">
        <f>K349/(Inputs!$D$7+$D$356)^K330</f>
        <v>7445.7859097234204</v>
      </c>
      <c r="L350" s="16">
        <f>L349/(Inputs!$D$7+$D$356)^L330</f>
        <v>7499.0676500678528</v>
      </c>
      <c r="M350" s="16">
        <f>M349/(Inputs!$D$7+$D$356)^M330</f>
        <v>-159.94034600514749</v>
      </c>
    </row>
    <row r="351" spans="2:13" ht="15" customHeight="1" x14ac:dyDescent="0.2">
      <c r="B351" s="3" t="s">
        <v>910</v>
      </c>
      <c r="C351" s="10" t="s">
        <v>896</v>
      </c>
      <c r="D351" s="28">
        <f>(D337*$D$355-D341)/(Inputs!$D$7+$D$356)^D330</f>
        <v>74.490519309095831</v>
      </c>
      <c r="E351" s="28">
        <f>(E337*$D$355-E341)/(Inputs!$D$7+$D$356)^E330</f>
        <v>346.09451503846662</v>
      </c>
      <c r="F351" s="28">
        <f>(F337*$D$355-F341)/(Inputs!$D$7+$D$356)^F330</f>
        <v>601.79110266312398</v>
      </c>
      <c r="G351" s="28">
        <f>(G337*$D$355-G341)/(Inputs!$D$7+$D$356)^G330</f>
        <v>702.83446516544734</v>
      </c>
      <c r="H351" s="28">
        <f>(H337*$D$355-H341)/(Inputs!$D$7+$D$356)^H330</f>
        <v>674.43286946611579</v>
      </c>
      <c r="I351" s="28">
        <f>(I337*$D$355-I341)/(Inputs!$D$7+$D$356)^I330</f>
        <v>596.69348218898278</v>
      </c>
      <c r="J351" s="28">
        <f>(J337*$D$355-J341)/(Inputs!$D$7+$D$356)^J330</f>
        <v>528.09150417844353</v>
      </c>
      <c r="K351" s="28">
        <f>(K337*$D$355-K341)/(Inputs!$D$7+$D$356)^K330</f>
        <v>467.37671033772904</v>
      </c>
      <c r="L351" s="28">
        <f>(L337*$D$355-L341)/(Inputs!$D$7+$D$356)^L330</f>
        <v>413.64230940610946</v>
      </c>
      <c r="M351" s="28">
        <f>(M337*$D$355-M341)/(Inputs!$D$7+$D$356)^M330</f>
        <v>365.96328731072373</v>
      </c>
    </row>
    <row r="352" spans="2:13" ht="15" customHeight="1" x14ac:dyDescent="0.2">
      <c r="B352" s="10" t="s">
        <v>911</v>
      </c>
      <c r="C352" s="10" t="s">
        <v>110</v>
      </c>
      <c r="D352" s="16">
        <f>(-D339-D340)/(Inputs!$D$7+$D$356)^D330</f>
        <v>-12808.928289029636</v>
      </c>
      <c r="E352" s="16">
        <f>(-E339-E340)/(Inputs!$D$7+$D$356)^E330</f>
        <v>-30219.974420642928</v>
      </c>
      <c r="F352" s="16">
        <f>(-F339-F340)/(Inputs!$D$7+$D$356)^F330</f>
        <v>-20059.183095337907</v>
      </c>
      <c r="G352" s="16">
        <f>(-G339-G340)/(Inputs!$D$7+$D$356)^G330</f>
        <v>-10551.720115889953</v>
      </c>
      <c r="H352" s="16">
        <f>(-H339-H340)/(Inputs!$D$7+$D$356)^H330</f>
        <v>-7513.0713511684744</v>
      </c>
      <c r="I352" s="16">
        <f>(-I339-I340)/(Inputs!$D$7+$D$356)^I330</f>
        <v>-17725.512933602091</v>
      </c>
      <c r="J352" s="16">
        <f>(-J339-J340)/(Inputs!$D$7+$D$356)^J330</f>
        <v>-11765.705173827875</v>
      </c>
      <c r="K352" s="16">
        <f>(-K339-K340)/(Inputs!$D$7+$D$356)^K330</f>
        <v>-6233.95144943378</v>
      </c>
      <c r="L352" s="16">
        <f>(-L339-L340)/(Inputs!$D$7+$D$356)^L330</f>
        <v>-4607.9073620630261</v>
      </c>
      <c r="M352" s="16">
        <f>(-M339-M340)/(Inputs!$D$7+$D$356)^M330</f>
        <v>-10871.389039901173</v>
      </c>
    </row>
    <row r="353" spans="2:13" ht="15" customHeight="1" x14ac:dyDescent="0.2">
      <c r="B353" s="10" t="s">
        <v>912</v>
      </c>
      <c r="C353" s="10" t="s">
        <v>110</v>
      </c>
      <c r="D353" s="16">
        <f>Prices!I7</f>
        <v>35754.545454545456</v>
      </c>
    </row>
    <row r="354" spans="2:13" ht="15" customHeight="1" x14ac:dyDescent="0.2">
      <c r="B354" s="3" t="s">
        <v>913</v>
      </c>
      <c r="C354" s="10" t="s">
        <v>914</v>
      </c>
      <c r="D354" s="28">
        <f>IF(J361&gt;=J357,J361,(D353-J360)/J359)</f>
        <v>33.545786762286959</v>
      </c>
      <c r="G354" s="99" t="s">
        <v>915</v>
      </c>
      <c r="H354" s="91"/>
      <c r="I354" s="91"/>
      <c r="J354" s="28">
        <f>D354*Inputs!$D$15</f>
        <v>23.411604581400066</v>
      </c>
      <c r="K354" s="99" t="s">
        <v>916</v>
      </c>
      <c r="L354" s="91"/>
      <c r="M354" s="91"/>
    </row>
    <row r="355" spans="2:13" ht="15" customHeight="1" x14ac:dyDescent="0.2">
      <c r="B355" s="10" t="s">
        <v>917</v>
      </c>
      <c r="C355" s="10" t="s">
        <v>104</v>
      </c>
      <c r="D355" s="30">
        <f>Inputs!$D$94</f>
        <v>0.75</v>
      </c>
      <c r="G355" s="99" t="s">
        <v>918</v>
      </c>
      <c r="H355" s="91"/>
      <c r="I355" s="91"/>
      <c r="J355" s="28">
        <f>IF(-D366/D365&gt;=J357,-D366/D365,-J360/J359)</f>
        <v>27.411702074287536</v>
      </c>
      <c r="K355" s="99" t="s">
        <v>919</v>
      </c>
      <c r="L355" s="91"/>
      <c r="M355" s="91"/>
    </row>
    <row r="356" spans="2:13" ht="15" customHeight="1" x14ac:dyDescent="0.2">
      <c r="B356" s="10" t="s">
        <v>920</v>
      </c>
      <c r="C356" s="10" t="s">
        <v>104</v>
      </c>
      <c r="D356" s="30">
        <f>Inputs!$D$95</f>
        <v>0.13</v>
      </c>
      <c r="G356" s="99" t="s">
        <v>918</v>
      </c>
      <c r="H356" s="91"/>
      <c r="I356" s="91"/>
      <c r="J356" s="28">
        <f>J355*Inputs!$D$15</f>
        <v>19.13062687764527</v>
      </c>
      <c r="K356" s="99" t="s">
        <v>916</v>
      </c>
      <c r="L356" s="91"/>
      <c r="M356" s="91"/>
    </row>
    <row r="357" spans="2:13" ht="15" customHeight="1" x14ac:dyDescent="0.2">
      <c r="B357" s="3" t="s">
        <v>921</v>
      </c>
      <c r="C357" s="10" t="s">
        <v>848</v>
      </c>
      <c r="D357" s="28">
        <f>Capital!$D$13</f>
        <v>57.347931490590682</v>
      </c>
      <c r="G357" s="99" t="s">
        <v>922</v>
      </c>
      <c r="H357" s="91"/>
      <c r="I357" s="91"/>
      <c r="J357" s="28">
        <f>($D$357/Inputs!$D$21+$D$358/Inputs!$D$22)/$D$355</f>
        <v>19.290461530476374</v>
      </c>
      <c r="K357" s="99" t="s">
        <v>919</v>
      </c>
      <c r="L357" s="91"/>
      <c r="M357" s="91"/>
    </row>
    <row r="358" spans="2:13" ht="15" customHeight="1" x14ac:dyDescent="0.2">
      <c r="B358" s="3" t="s">
        <v>923</v>
      </c>
      <c r="C358" s="10" t="s">
        <v>848</v>
      </c>
      <c r="D358" s="28">
        <f>Capital!$D$14</f>
        <v>2.6172655041921802</v>
      </c>
    </row>
    <row r="359" spans="2:13" ht="15" customHeight="1" x14ac:dyDescent="0.2">
      <c r="B359" s="10" t="s">
        <v>924</v>
      </c>
      <c r="C359" s="10" t="s">
        <v>896</v>
      </c>
      <c r="D359" s="28">
        <f>(M332*(Inputs!$D$7+Inputs!$D$20)*$D$355*(Inputs!$D$7-Inputs!$D$19)-M332*Inputs!$D$20*Inputs!$D$23)/($D$356-Inputs!$D$20)/(Inputs!$D$7+$D$356)^M330</f>
        <v>2497.8446594223992</v>
      </c>
      <c r="G359" s="92" t="s">
        <v>910</v>
      </c>
      <c r="H359" s="91"/>
      <c r="I359" s="91"/>
      <c r="J359" s="28">
        <f>SUM(D351:M351)+(M332*(Inputs!$D$7+Inputs!$D$20)*$D$355-M332*Inputs!$D$20*Inputs!$D$23)/($D$356-Inputs!$D$20)/(Inputs!$D$7+$D$356)^M330</f>
        <v>8341.0050516109004</v>
      </c>
      <c r="K359" s="99" t="s">
        <v>896</v>
      </c>
      <c r="L359" s="91"/>
      <c r="M359" s="91"/>
    </row>
    <row r="360" spans="2:13" ht="15" customHeight="1" x14ac:dyDescent="0.2">
      <c r="B360" s="10" t="s">
        <v>925</v>
      </c>
      <c r="C360" s="10" t="s">
        <v>110</v>
      </c>
      <c r="D360" s="16">
        <f>(D363*Inputs!$D$19-D363-D364)/($D$356-Inputs!$D$20)/(Inputs!$D$7+$D$356)^M330</f>
        <v>-55207.290798783099</v>
      </c>
      <c r="G360" s="92" t="s">
        <v>926</v>
      </c>
      <c r="H360" s="91"/>
      <c r="I360" s="91"/>
      <c r="J360" s="16">
        <f>SUM(D352:M352)-(D363+D364)/($D$356-Inputs!$D$20)/(Inputs!$D$7+$D$356)^M330</f>
        <v>-208239.17898202292</v>
      </c>
      <c r="K360" s="99" t="s">
        <v>110</v>
      </c>
      <c r="L360" s="91"/>
      <c r="M360" s="91"/>
    </row>
    <row r="361" spans="2:13" ht="15" customHeight="1" x14ac:dyDescent="0.2">
      <c r="B361" s="10" t="s">
        <v>927</v>
      </c>
      <c r="C361" s="10" t="s">
        <v>928</v>
      </c>
      <c r="D361" s="16">
        <f>(M332*(Inputs!$D$7+Inputs!$D$20)*$D$354*$D$355-D363)-MAX((M332*(Inputs!$D$7+Inputs!$D$20)*$D$354*$D$355-D363),Inputs!$D$6)*Inputs!$D$19-D364-M332*Inputs!$D$20*$D$354*Inputs!$D$23</f>
        <v>9841.6813580353119</v>
      </c>
      <c r="G361" s="99" t="s">
        <v>929</v>
      </c>
      <c r="H361" s="91"/>
      <c r="I361" s="91"/>
      <c r="J361" s="28">
        <f>(D353-D366)/D365</f>
        <v>33.545786762286959</v>
      </c>
      <c r="K361" s="99" t="s">
        <v>919</v>
      </c>
      <c r="L361" s="91"/>
      <c r="M361" s="91"/>
    </row>
    <row r="362" spans="2:13" ht="15" customHeight="1" x14ac:dyDescent="0.2">
      <c r="B362" s="10" t="s">
        <v>930</v>
      </c>
      <c r="C362" s="10" t="s">
        <v>110</v>
      </c>
      <c r="D362" s="16">
        <f>D361/($D$356-Inputs!$D$20)</f>
        <v>93730.298647955336</v>
      </c>
      <c r="G362" s="99" t="s">
        <v>931</v>
      </c>
      <c r="H362" s="91"/>
      <c r="I362" s="91"/>
      <c r="J362" s="16">
        <f>MIN(D346:M346,(M332*(Inputs!$D$7+Inputs!$D$20)*$D$354*$D$355-D363))</f>
        <v>1241.8686106538842</v>
      </c>
      <c r="K362" s="99" t="s">
        <v>110</v>
      </c>
      <c r="L362" s="91"/>
      <c r="M362" s="91"/>
    </row>
    <row r="363" spans="2:13" ht="15" customHeight="1" x14ac:dyDescent="0.2">
      <c r="B363" s="10" t="s">
        <v>932</v>
      </c>
      <c r="C363" s="10" t="s">
        <v>928</v>
      </c>
      <c r="D363" s="16">
        <f>M332*(Inputs!$D$7+Inputs!$D$20)*($D$357/Inputs!$D$21+$D$358/Inputs!$D$22)</f>
        <v>23727.267682485937</v>
      </c>
      <c r="G363" s="99" t="s">
        <v>933</v>
      </c>
      <c r="H363" s="91"/>
      <c r="I363" s="91"/>
      <c r="J363" s="31" t="str">
        <f>IF(J362&lt;Inputs!$D$6,"breached","satisfied")</f>
        <v>satisfied</v>
      </c>
      <c r="K363" s="99" t="s">
        <v>934</v>
      </c>
      <c r="L363" s="91"/>
      <c r="M363" s="91"/>
    </row>
    <row r="364" spans="2:13" ht="15" customHeight="1" x14ac:dyDescent="0.2">
      <c r="B364" s="10" t="s">
        <v>935</v>
      </c>
      <c r="C364" s="10" t="s">
        <v>928</v>
      </c>
      <c r="D364" s="16">
        <f>M332*Inputs!$D$20*($D$357+$D$358)</f>
        <v>2398.6078797913146</v>
      </c>
    </row>
    <row r="365" spans="2:13" ht="15" customHeight="1" x14ac:dyDescent="0.2">
      <c r="B365" s="10" t="s">
        <v>936</v>
      </c>
      <c r="C365" s="10" t="s">
        <v>896</v>
      </c>
      <c r="D365" s="28">
        <f>SUM(D342:M342)+D359</f>
        <v>5828.8314024250149</v>
      </c>
      <c r="G365" s="99" t="s">
        <v>937</v>
      </c>
      <c r="H365" s="91"/>
      <c r="I365" s="91"/>
      <c r="J365" s="16">
        <f>D367-D353</f>
        <v>0</v>
      </c>
      <c r="K365" s="99" t="s">
        <v>110</v>
      </c>
      <c r="L365" s="91"/>
      <c r="M365" s="91"/>
    </row>
    <row r="366" spans="2:13" ht="15" customHeight="1" x14ac:dyDescent="0.2">
      <c r="B366" s="10" t="s">
        <v>938</v>
      </c>
      <c r="C366" s="10" t="s">
        <v>110</v>
      </c>
      <c r="D366" s="16">
        <f>SUM(D343:M343)+D360</f>
        <v>-159778.18984452612</v>
      </c>
    </row>
    <row r="367" spans="2:13" ht="15" customHeight="1" x14ac:dyDescent="0.2">
      <c r="B367" s="10" t="s">
        <v>939</v>
      </c>
      <c r="C367" s="10" t="s">
        <v>110</v>
      </c>
      <c r="D367" s="16">
        <f>SUM(D350:M350)+D362/(Inputs!$D$7+$D$356)^M330</f>
        <v>35754.545454545449</v>
      </c>
    </row>
    <row r="368" spans="2:13" ht="15" customHeight="1" x14ac:dyDescent="0.2">
      <c r="B368" s="10" t="s">
        <v>940</v>
      </c>
      <c r="C368" s="10" t="s">
        <v>104</v>
      </c>
      <c r="D368" s="30">
        <f>IF(ABS(D353)&gt;Inputs!$D$6,D367/D353-Inputs!$D$7,Inputs!$D$6)</f>
        <v>-2.2204460492503131E-16</v>
      </c>
    </row>
    <row r="369" spans="1:13" ht="15" customHeight="1" x14ac:dyDescent="0.2">
      <c r="B369" s="10" t="s">
        <v>941</v>
      </c>
      <c r="C369" s="10" t="s">
        <v>104</v>
      </c>
      <c r="D369" s="30">
        <f>IF(ABS(D367)&gt;Inputs!$D$119,D362/(Inputs!$D$7+$D$356)^M330/D367,Inputs!$D$6)</f>
        <v>0.79947523169768175</v>
      </c>
    </row>
    <row r="370" spans="1:13" ht="15" customHeight="1" x14ac:dyDescent="0.2">
      <c r="B370" s="10" t="s">
        <v>942</v>
      </c>
      <c r="C370" s="10" t="s">
        <v>943</v>
      </c>
      <c r="D370" s="26">
        <f>$D$354*Inputs!$D$8/Prices!$P$6/(Inputs!$D$26/Inputs!$D$25)/Inputs!$D$11/Inputs!$D$56</f>
        <v>6.1004032187984096</v>
      </c>
    </row>
    <row r="374" spans="1:13" ht="15" customHeight="1" x14ac:dyDescent="0.2">
      <c r="A374" s="104" t="s">
        <v>951</v>
      </c>
      <c r="B374" s="10" t="s">
        <v>886</v>
      </c>
      <c r="C374" s="10" t="s">
        <v>107</v>
      </c>
      <c r="D374" s="28">
        <f>Inputs!$D$60</f>
        <v>1</v>
      </c>
      <c r="E374" s="28">
        <f>Inputs!$D$62</f>
        <v>2</v>
      </c>
      <c r="F374" s="28">
        <f>Inputs!$D$64</f>
        <v>3</v>
      </c>
      <c r="G374" s="28">
        <f>Inputs!$D$66</f>
        <v>4</v>
      </c>
      <c r="H374" s="28">
        <f>Inputs!$D$68</f>
        <v>5</v>
      </c>
      <c r="I374" s="28">
        <f>Inputs!$D$70</f>
        <v>6</v>
      </c>
      <c r="J374" s="28">
        <f>Inputs!$D$72</f>
        <v>7</v>
      </c>
      <c r="K374" s="28">
        <f>Inputs!$D$74</f>
        <v>8</v>
      </c>
      <c r="L374" s="28">
        <f>Inputs!$D$76</f>
        <v>9</v>
      </c>
      <c r="M374" s="28">
        <f>Inputs!$D$78</f>
        <v>10</v>
      </c>
    </row>
    <row r="375" spans="1:13" ht="15" customHeight="1" x14ac:dyDescent="0.2">
      <c r="A375" s="91"/>
      <c r="B375" s="10" t="s">
        <v>887</v>
      </c>
      <c r="C375" s="10" t="s">
        <v>161</v>
      </c>
      <c r="D375" s="29">
        <f>Inputs!$D$61</f>
        <v>46568</v>
      </c>
      <c r="E375" s="29">
        <f>Inputs!$D$63</f>
        <v>46934</v>
      </c>
      <c r="F375" s="29">
        <f>Inputs!$D$65</f>
        <v>47299</v>
      </c>
      <c r="G375" s="29">
        <f>Inputs!$D$67</f>
        <v>47664</v>
      </c>
      <c r="H375" s="29">
        <f>Inputs!$D$69</f>
        <v>48029</v>
      </c>
      <c r="I375" s="29">
        <f>Inputs!$D$71</f>
        <v>48395</v>
      </c>
      <c r="J375" s="29">
        <f>Inputs!$D$73</f>
        <v>48760</v>
      </c>
      <c r="K375" s="29">
        <f>Inputs!$D$75</f>
        <v>49125</v>
      </c>
      <c r="L375" s="29">
        <f>Inputs!$D$77</f>
        <v>49490</v>
      </c>
      <c r="M375" s="29">
        <f>Inputs!$D$79</f>
        <v>49856</v>
      </c>
    </row>
    <row r="376" spans="1:13" ht="15" customHeight="1" x14ac:dyDescent="0.2">
      <c r="A376" s="91"/>
      <c r="B376" s="10" t="s">
        <v>888</v>
      </c>
      <c r="C376" s="10" t="s">
        <v>107</v>
      </c>
      <c r="D376" s="28">
        <f>(D375-Inputs!$D$13)/Inputs!$D$10</f>
        <v>0.71457905544147848</v>
      </c>
      <c r="E376" s="28">
        <f>(E375-Inputs!$D$13)/Inputs!$D$10</f>
        <v>1.7166324435318274</v>
      </c>
      <c r="F376" s="28">
        <f>(F375-Inputs!$D$13)/Inputs!$D$10</f>
        <v>2.7159479808350446</v>
      </c>
      <c r="G376" s="28">
        <f>(G375-Inputs!$D$13)/Inputs!$D$10</f>
        <v>3.7152635181382614</v>
      </c>
      <c r="H376" s="28">
        <f>(H375-Inputs!$D$13)/Inputs!$D$10</f>
        <v>4.7145790554414786</v>
      </c>
      <c r="I376" s="28">
        <f>(I375-Inputs!$D$13)/Inputs!$D$10</f>
        <v>5.7166324435318279</v>
      </c>
      <c r="J376" s="28">
        <f>(J375-Inputs!$D$13)/Inputs!$D$10</f>
        <v>6.7159479808350442</v>
      </c>
      <c r="K376" s="28">
        <f>(K375-Inputs!$D$13)/Inputs!$D$10</f>
        <v>7.7152635181382614</v>
      </c>
      <c r="L376" s="28">
        <f>(L375-Inputs!$D$13)/Inputs!$D$10</f>
        <v>8.7145790554414777</v>
      </c>
      <c r="M376" s="28">
        <f>(M375-Inputs!$D$13)/Inputs!$D$10</f>
        <v>9.716632443531827</v>
      </c>
    </row>
    <row r="377" spans="1:13" ht="15" customHeight="1" x14ac:dyDescent="0.2">
      <c r="A377" s="91"/>
      <c r="B377" s="10" t="s">
        <v>889</v>
      </c>
      <c r="C377" s="10" t="s">
        <v>107</v>
      </c>
      <c r="D377" s="28">
        <f>D376</f>
        <v>0.71457905544147848</v>
      </c>
      <c r="E377" s="28">
        <f>Inputs!$D$7</f>
        <v>1</v>
      </c>
      <c r="F377" s="28">
        <f>Inputs!$D$7</f>
        <v>1</v>
      </c>
      <c r="G377" s="28">
        <f>Inputs!$D$7</f>
        <v>1</v>
      </c>
      <c r="H377" s="28">
        <f>Inputs!$D$7</f>
        <v>1</v>
      </c>
      <c r="I377" s="28">
        <f>Inputs!$D$7</f>
        <v>1</v>
      </c>
      <c r="J377" s="28">
        <f>Inputs!$D$7</f>
        <v>1</v>
      </c>
      <c r="K377" s="28">
        <f>Inputs!$D$7</f>
        <v>1</v>
      </c>
      <c r="L377" s="28">
        <f>Inputs!$D$7</f>
        <v>1</v>
      </c>
      <c r="M377" s="28">
        <f>Inputs!$D$7</f>
        <v>1</v>
      </c>
    </row>
    <row r="378" spans="1:13" ht="15" customHeight="1" x14ac:dyDescent="0.2">
      <c r="A378" s="91"/>
      <c r="B378" s="3" t="s">
        <v>890</v>
      </c>
      <c r="C378" s="10" t="s">
        <v>199</v>
      </c>
      <c r="D378" s="28">
        <f>Inputs!$D$24+(Inputs!$D$106-Inputs!$D$24)*Inputs!$D$109</f>
        <v>170.32</v>
      </c>
      <c r="E378" s="28">
        <f>Inputs!$D$24+(Inputs!$D$106-Inputs!$D$24)*Inputs!$D$110</f>
        <v>481.12000000000006</v>
      </c>
      <c r="F378" s="28">
        <f>Inputs!$D$24+(Inputs!$D$106-Inputs!$D$24)*Inputs!$D$111</f>
        <v>823</v>
      </c>
      <c r="G378" s="28">
        <f>Inputs!$D$24+(Inputs!$D$106-Inputs!$D$24)*Inputs!$D$112</f>
        <v>1211.5</v>
      </c>
      <c r="H378" s="28">
        <f>Inputs!$D$24+(Inputs!$D$106-Inputs!$D$24)*Inputs!$D$113</f>
        <v>1600</v>
      </c>
      <c r="I378" s="28">
        <f>Inputs!$D$24+(Inputs!$D$106-Inputs!$D$24)*Inputs!$D$114</f>
        <v>1600</v>
      </c>
      <c r="J378" s="28">
        <f>Inputs!$D$24+(Inputs!$D$106-Inputs!$D$24)*Inputs!$D$115</f>
        <v>1600</v>
      </c>
      <c r="K378" s="28">
        <f>Inputs!$D$24+(Inputs!$D$106-Inputs!$D$24)*Inputs!$D$116</f>
        <v>1600</v>
      </c>
      <c r="L378" s="28">
        <f>Inputs!$D$24+(Inputs!$D$106-Inputs!$D$24)*Inputs!$D$117</f>
        <v>1600</v>
      </c>
      <c r="M378" s="28">
        <f>Inputs!$D$24+(Inputs!$D$106-Inputs!$D$24)*Inputs!$D$118</f>
        <v>1600</v>
      </c>
    </row>
    <row r="379" spans="1:13" ht="15" customHeight="1" x14ac:dyDescent="0.2">
      <c r="A379" s="91"/>
      <c r="B379" s="10" t="s">
        <v>891</v>
      </c>
      <c r="C379" s="10" t="s">
        <v>199</v>
      </c>
      <c r="D379" s="28">
        <f>Inputs!$D$24</f>
        <v>46</v>
      </c>
      <c r="E379" s="28">
        <f t="shared" ref="E379:M379" si="80">D378</f>
        <v>170.32</v>
      </c>
      <c r="F379" s="28">
        <f t="shared" si="80"/>
        <v>481.12000000000006</v>
      </c>
      <c r="G379" s="28">
        <f t="shared" si="80"/>
        <v>823</v>
      </c>
      <c r="H379" s="28">
        <f t="shared" si="80"/>
        <v>1211.5</v>
      </c>
      <c r="I379" s="28">
        <f t="shared" si="80"/>
        <v>1600</v>
      </c>
      <c r="J379" s="28">
        <f t="shared" si="80"/>
        <v>1600</v>
      </c>
      <c r="K379" s="28">
        <f t="shared" si="80"/>
        <v>1600</v>
      </c>
      <c r="L379" s="28">
        <f t="shared" si="80"/>
        <v>1600</v>
      </c>
      <c r="M379" s="28">
        <f t="shared" si="80"/>
        <v>1600</v>
      </c>
    </row>
    <row r="380" spans="1:13" ht="15" customHeight="1" x14ac:dyDescent="0.2">
      <c r="B380" s="10" t="s">
        <v>892</v>
      </c>
      <c r="C380" s="10" t="s">
        <v>199</v>
      </c>
      <c r="D380" s="28">
        <f>(D379+D378)*Inputs!$D$12</f>
        <v>108.16</v>
      </c>
      <c r="E380" s="28">
        <f>(E379+E378)*Inputs!$D$12</f>
        <v>325.72000000000003</v>
      </c>
      <c r="F380" s="28">
        <f>(F379+F378)*Inputs!$D$12</f>
        <v>652.06000000000006</v>
      </c>
      <c r="G380" s="28">
        <f>(G379+G378)*Inputs!$D$12</f>
        <v>1017.25</v>
      </c>
      <c r="H380" s="28">
        <f>(H379+H378)*Inputs!$D$12</f>
        <v>1405.75</v>
      </c>
      <c r="I380" s="28">
        <f>(I379+I378)*Inputs!$D$12</f>
        <v>1600</v>
      </c>
      <c r="J380" s="28">
        <f>(J379+J378)*Inputs!$D$12</f>
        <v>1600</v>
      </c>
      <c r="K380" s="28">
        <f>(K379+K378)*Inputs!$D$12</f>
        <v>1600</v>
      </c>
      <c r="L380" s="28">
        <f>(L379+L378)*Inputs!$D$12</f>
        <v>1600</v>
      </c>
      <c r="M380" s="28">
        <f>(M379+M378)*Inputs!$D$12</f>
        <v>1600</v>
      </c>
    </row>
    <row r="381" spans="1:13" ht="15" customHeight="1" x14ac:dyDescent="0.2">
      <c r="B381" s="10" t="s">
        <v>893</v>
      </c>
      <c r="C381" s="10" t="s">
        <v>199</v>
      </c>
      <c r="D381" s="28">
        <f t="shared" ref="D381:M381" si="81">D378-D379</f>
        <v>124.32</v>
      </c>
      <c r="E381" s="28">
        <f t="shared" si="81"/>
        <v>310.80000000000007</v>
      </c>
      <c r="F381" s="28">
        <f t="shared" si="81"/>
        <v>341.87999999999994</v>
      </c>
      <c r="G381" s="28">
        <f t="shared" si="81"/>
        <v>388.5</v>
      </c>
      <c r="H381" s="28">
        <f t="shared" si="81"/>
        <v>388.5</v>
      </c>
      <c r="I381" s="28">
        <f t="shared" si="81"/>
        <v>0</v>
      </c>
      <c r="J381" s="28">
        <f t="shared" si="81"/>
        <v>0</v>
      </c>
      <c r="K381" s="28">
        <f t="shared" si="81"/>
        <v>0</v>
      </c>
      <c r="L381" s="28">
        <f t="shared" si="81"/>
        <v>0</v>
      </c>
      <c r="M381" s="28">
        <f t="shared" si="81"/>
        <v>0</v>
      </c>
    </row>
    <row r="382" spans="1:13" ht="15" customHeight="1" x14ac:dyDescent="0.2">
      <c r="B382" s="10" t="s">
        <v>894</v>
      </c>
      <c r="C382" s="10" t="s">
        <v>199</v>
      </c>
      <c r="D382" s="28">
        <f>IF(MOD(D374,Inputs!$D$21)=Inputs!$D$6,Inputs!$D$24,Inputs!$D$6)+SUMPRODUCT(--(D374&gt;$D$374:$M$374),--(MOD(D374-$D$374:$M$374,Inputs!$D$21)=Inputs!$D$6),$D$381:$M$381)</f>
        <v>0</v>
      </c>
      <c r="E382" s="28">
        <f>IF(MOD(E374,Inputs!$D$21)=Inputs!$D$6,Inputs!$D$24,Inputs!$D$6)+SUMPRODUCT(--(E374&gt;$D$374:$M$374),--(MOD(E374-$D$374:$M$374,Inputs!$D$21)=Inputs!$D$6),$D$381:$M$381)</f>
        <v>0</v>
      </c>
      <c r="F382" s="28">
        <f>IF(MOD(F374,Inputs!$D$21)=Inputs!$D$6,Inputs!$D$24,Inputs!$D$6)+SUMPRODUCT(--(F374&gt;$D$374:$M$374),--(MOD(F374-$D$374:$M$374,Inputs!$D$21)=Inputs!$D$6),$D$381:$M$381)</f>
        <v>0</v>
      </c>
      <c r="G382" s="28">
        <f>IF(MOD(G374,Inputs!$D$21)=Inputs!$D$6,Inputs!$D$24,Inputs!$D$6)+SUMPRODUCT(--(G374&gt;$D$374:$M$374),--(MOD(G374-$D$374:$M$374,Inputs!$D$21)=Inputs!$D$6),$D$381:$M$381)</f>
        <v>46</v>
      </c>
      <c r="H382" s="28">
        <f>IF(MOD(H374,Inputs!$D$21)=Inputs!$D$6,Inputs!$D$24,Inputs!$D$6)+SUMPRODUCT(--(H374&gt;$D$374:$M$374),--(MOD(H374-$D$374:$M$374,Inputs!$D$21)=Inputs!$D$6),$D$381:$M$381)</f>
        <v>124.32</v>
      </c>
      <c r="I382" s="28">
        <f>IF(MOD(I374,Inputs!$D$21)=Inputs!$D$6,Inputs!$D$24,Inputs!$D$6)+SUMPRODUCT(--(I374&gt;$D$374:$M$374),--(MOD(I374-$D$374:$M$374,Inputs!$D$21)=Inputs!$D$6),$D$381:$M$381)</f>
        <v>310.80000000000007</v>
      </c>
      <c r="J382" s="28">
        <f>IF(MOD(J374,Inputs!$D$21)=Inputs!$D$6,Inputs!$D$24,Inputs!$D$6)+SUMPRODUCT(--(J374&gt;$D$374:$M$374),--(MOD(J374-$D$374:$M$374,Inputs!$D$21)=Inputs!$D$6),$D$381:$M$381)</f>
        <v>341.87999999999994</v>
      </c>
      <c r="K382" s="28">
        <f>IF(MOD(K374,Inputs!$D$21)=Inputs!$D$6,Inputs!$D$24,Inputs!$D$6)+SUMPRODUCT(--(K374&gt;$D$374:$M$374),--(MOD(K374-$D$374:$M$374,Inputs!$D$21)=Inputs!$D$6),$D$381:$M$381)</f>
        <v>434.5</v>
      </c>
      <c r="L382" s="28">
        <f>IF(MOD(L374,Inputs!$D$21)=Inputs!$D$6,Inputs!$D$24,Inputs!$D$6)+SUMPRODUCT(--(L374&gt;$D$374:$M$374),--(MOD(L374-$D$374:$M$374,Inputs!$D$21)=Inputs!$D$6),$D$381:$M$381)</f>
        <v>512.81999999999994</v>
      </c>
      <c r="M382" s="28">
        <f>IF(MOD(M374,Inputs!$D$21)=Inputs!$D$6,Inputs!$D$24,Inputs!$D$6)+SUMPRODUCT(--(M374&gt;$D$374:$M$374),--(MOD(M374-$D$374:$M$374,Inputs!$D$21)=Inputs!$D$6),$D$381:$M$381)</f>
        <v>310.80000000000007</v>
      </c>
    </row>
    <row r="383" spans="1:13" ht="15" customHeight="1" x14ac:dyDescent="0.2">
      <c r="B383" s="10" t="s">
        <v>895</v>
      </c>
      <c r="C383" s="10" t="s">
        <v>896</v>
      </c>
      <c r="D383" s="28">
        <f t="shared" ref="D383:M383" si="82">D380*D377</f>
        <v>77.288870636550314</v>
      </c>
      <c r="E383" s="28">
        <f t="shared" si="82"/>
        <v>325.72000000000003</v>
      </c>
      <c r="F383" s="28">
        <f t="shared" si="82"/>
        <v>652.06000000000006</v>
      </c>
      <c r="G383" s="28">
        <f t="shared" si="82"/>
        <v>1017.25</v>
      </c>
      <c r="H383" s="28">
        <f t="shared" si="82"/>
        <v>1405.75</v>
      </c>
      <c r="I383" s="28">
        <f t="shared" si="82"/>
        <v>1600</v>
      </c>
      <c r="J383" s="28">
        <f t="shared" si="82"/>
        <v>1600</v>
      </c>
      <c r="K383" s="28">
        <f t="shared" si="82"/>
        <v>1600</v>
      </c>
      <c r="L383" s="28">
        <f t="shared" si="82"/>
        <v>1600</v>
      </c>
      <c r="M383" s="28">
        <f t="shared" si="82"/>
        <v>1600</v>
      </c>
    </row>
    <row r="384" spans="1:13" ht="15" customHeight="1" x14ac:dyDescent="0.2">
      <c r="B384" s="10" t="s">
        <v>897</v>
      </c>
      <c r="C384" s="10" t="s">
        <v>110</v>
      </c>
      <c r="D384" s="16">
        <f>D383*($D$403/Inputs!$D$21+$D$404/Inputs!$D$22)</f>
        <v>1118.2034893112541</v>
      </c>
      <c r="E384" s="16">
        <f>E383*($D$403/Inputs!$D$21+$D$404/Inputs!$D$22)</f>
        <v>4712.466847280074</v>
      </c>
      <c r="F384" s="16">
        <f>F383*($D$403/Inputs!$D$21+$D$404/Inputs!$D$22)</f>
        <v>9433.9037591718188</v>
      </c>
      <c r="G384" s="16">
        <f>G383*($D$403/Inputs!$D$21+$D$404/Inputs!$D$22)</f>
        <v>14717.416493907818</v>
      </c>
      <c r="H384" s="16">
        <f>H383*($D$403/Inputs!$D$21+$D$404/Inputs!$D$22)</f>
        <v>20338.17472235037</v>
      </c>
      <c r="I384" s="16">
        <f>I383*($D$403/Inputs!$D$21+$D$404/Inputs!$D$22)</f>
        <v>23148.553836571649</v>
      </c>
      <c r="J384" s="16">
        <f>J383*($D$403/Inputs!$D$21+$D$404/Inputs!$D$22)</f>
        <v>23148.553836571649</v>
      </c>
      <c r="K384" s="16">
        <f>K383*($D$403/Inputs!$D$21+$D$404/Inputs!$D$22)</f>
        <v>23148.553836571649</v>
      </c>
      <c r="L384" s="16">
        <f>L383*($D$403/Inputs!$D$21+$D$404/Inputs!$D$22)</f>
        <v>23148.553836571649</v>
      </c>
      <c r="M384" s="16">
        <f>M383*($D$403/Inputs!$D$21+$D$404/Inputs!$D$22)</f>
        <v>23148.553836571649</v>
      </c>
    </row>
    <row r="385" spans="2:13" ht="15" customHeight="1" x14ac:dyDescent="0.2">
      <c r="B385" s="10" t="s">
        <v>898</v>
      </c>
      <c r="C385" s="10" t="s">
        <v>110</v>
      </c>
      <c r="D385" s="16">
        <f t="shared" ref="D385:M385" si="83">D381*($D$403+$D$404)</f>
        <v>7454.8732903914051</v>
      </c>
      <c r="E385" s="16">
        <f t="shared" si="83"/>
        <v>18637.183225978519</v>
      </c>
      <c r="F385" s="16">
        <f t="shared" si="83"/>
        <v>20500.901548576363</v>
      </c>
      <c r="G385" s="16">
        <f t="shared" si="83"/>
        <v>23296.479032473144</v>
      </c>
      <c r="H385" s="16">
        <f t="shared" si="83"/>
        <v>23296.479032473144</v>
      </c>
      <c r="I385" s="16">
        <f t="shared" si="83"/>
        <v>0</v>
      </c>
      <c r="J385" s="16">
        <f t="shared" si="83"/>
        <v>0</v>
      </c>
      <c r="K385" s="16">
        <f t="shared" si="83"/>
        <v>0</v>
      </c>
      <c r="L385" s="16">
        <f t="shared" si="83"/>
        <v>0</v>
      </c>
      <c r="M385" s="16">
        <f t="shared" si="83"/>
        <v>0</v>
      </c>
    </row>
    <row r="386" spans="2:13" ht="15" customHeight="1" x14ac:dyDescent="0.2">
      <c r="B386" s="10" t="s">
        <v>899</v>
      </c>
      <c r="C386" s="10" t="s">
        <v>110</v>
      </c>
      <c r="D386" s="16">
        <f t="shared" ref="D386:M386" si="84">D382*$D$403</f>
        <v>0</v>
      </c>
      <c r="E386" s="16">
        <f t="shared" si="84"/>
        <v>0</v>
      </c>
      <c r="F386" s="16">
        <f t="shared" si="84"/>
        <v>0</v>
      </c>
      <c r="G386" s="16">
        <f t="shared" si="84"/>
        <v>2638.0048485671714</v>
      </c>
      <c r="H386" s="16">
        <f t="shared" si="84"/>
        <v>7129.4948429102333</v>
      </c>
      <c r="I386" s="16">
        <f t="shared" si="84"/>
        <v>17823.737107275589</v>
      </c>
      <c r="J386" s="16">
        <f t="shared" si="84"/>
        <v>19606.110818003141</v>
      </c>
      <c r="K386" s="16">
        <f t="shared" si="84"/>
        <v>24917.676232661652</v>
      </c>
      <c r="L386" s="16">
        <f t="shared" si="84"/>
        <v>29409.166227004709</v>
      </c>
      <c r="M386" s="16">
        <f t="shared" si="84"/>
        <v>17823.737107275589</v>
      </c>
    </row>
    <row r="387" spans="2:13" ht="15" customHeight="1" x14ac:dyDescent="0.2">
      <c r="B387" s="10" t="s">
        <v>900</v>
      </c>
      <c r="C387" s="10" t="s">
        <v>199</v>
      </c>
      <c r="D387" s="28">
        <f>D381*Inputs!$D$23</f>
        <v>3.1080000000000001</v>
      </c>
      <c r="E387" s="28">
        <f>E381*Inputs!$D$23</f>
        <v>7.7700000000000022</v>
      </c>
      <c r="F387" s="28">
        <f>F381*Inputs!$D$23</f>
        <v>8.5469999999999988</v>
      </c>
      <c r="G387" s="28">
        <f>G381*Inputs!$D$23</f>
        <v>9.7125000000000004</v>
      </c>
      <c r="H387" s="28">
        <f>H381*Inputs!$D$23</f>
        <v>9.7125000000000004</v>
      </c>
      <c r="I387" s="28">
        <f>I381*Inputs!$D$23</f>
        <v>0</v>
      </c>
      <c r="J387" s="28">
        <f>J381*Inputs!$D$23</f>
        <v>0</v>
      </c>
      <c r="K387" s="28">
        <f>K381*Inputs!$D$23</f>
        <v>0</v>
      </c>
      <c r="L387" s="28">
        <f>L381*Inputs!$D$23</f>
        <v>0</v>
      </c>
      <c r="M387" s="28">
        <f>M381*Inputs!$D$23</f>
        <v>0</v>
      </c>
    </row>
    <row r="388" spans="2:13" ht="15" customHeight="1" x14ac:dyDescent="0.2">
      <c r="B388" s="3" t="s">
        <v>901</v>
      </c>
      <c r="C388" s="10" t="s">
        <v>896</v>
      </c>
      <c r="D388" s="28">
        <f>(D383*$D$401*(Inputs!$D$7-Inputs!$D$19)-D387)/(Inputs!$D$7+$D$402)^D376</f>
        <v>40.99699201112098</v>
      </c>
      <c r="E388" s="28">
        <f>(E383*$D$401*(Inputs!$D$7-Inputs!$D$19)-E387)/(Inputs!$D$7+$D$402)^E376</f>
        <v>153.02781912726542</v>
      </c>
      <c r="F388" s="28">
        <f>(F383*$D$401*(Inputs!$D$7-Inputs!$D$19)-F387)/(Inputs!$D$7+$D$402)^F376</f>
        <v>268.8019226843403</v>
      </c>
      <c r="G388" s="28">
        <f>(G383*$D$401*(Inputs!$D$7-Inputs!$D$19)-G387)/(Inputs!$D$7+$D$402)^G376</f>
        <v>363.62824610263397</v>
      </c>
      <c r="H388" s="28">
        <f>(H383*$D$401*(Inputs!$D$7-Inputs!$D$19)-H387)/(Inputs!$D$7+$D$402)^H376</f>
        <v>435.07807528321291</v>
      </c>
      <c r="I388" s="28">
        <f>(I383*$D$401*(Inputs!$D$7-Inputs!$D$19)-I387)/(Inputs!$D$7+$D$402)^I376</f>
        <v>431.49711827119876</v>
      </c>
      <c r="J388" s="28">
        <f>(J383*$D$401*(Inputs!$D$7-Inputs!$D$19)-J387)/(Inputs!$D$7+$D$402)^J376</f>
        <v>372.01806500733016</v>
      </c>
      <c r="K388" s="28">
        <f>(K383*$D$401*(Inputs!$D$7-Inputs!$D$19)-K387)/(Inputs!$D$7+$D$402)^K376</f>
        <v>320.73780989845312</v>
      </c>
      <c r="L388" s="28">
        <f>(L383*$D$401*(Inputs!$D$7-Inputs!$D$19)-L387)/(Inputs!$D$7+$D$402)^L376</f>
        <v>276.52620228651875</v>
      </c>
      <c r="M388" s="28">
        <f>(M383*$D$401*(Inputs!$D$7-Inputs!$D$19)-M387)/(Inputs!$D$7+$D$402)^M376</f>
        <v>238.31201718226143</v>
      </c>
    </row>
    <row r="389" spans="2:13" ht="15" customHeight="1" x14ac:dyDescent="0.2">
      <c r="B389" s="10" t="s">
        <v>902</v>
      </c>
      <c r="C389" s="10" t="s">
        <v>110</v>
      </c>
      <c r="D389" s="16">
        <f>(D384*Inputs!$D$19-D385-D386)/(Inputs!$D$7+$D$402)^D376</f>
        <v>-6403.0045740313244</v>
      </c>
      <c r="E389" s="16">
        <f>(E384*Inputs!$D$19-E385-E386)/(Inputs!$D$7+$D$402)^E376</f>
        <v>-13349.632212764713</v>
      </c>
      <c r="F389" s="16">
        <f>(F384*Inputs!$D$19-F385-F386)/(Inputs!$D$7+$D$402)^F376</f>
        <v>-11808.370082432088</v>
      </c>
      <c r="G389" s="16">
        <f>(G384*Inputs!$D$19-G385-G386)/(Inputs!$D$7+$D$402)^G376</f>
        <v>-12397.921878440668</v>
      </c>
      <c r="H389" s="16">
        <f>(H384*Inputs!$D$19-H385-H386)/(Inputs!$D$7+$D$402)^H376</f>
        <v>-12082.366885213038</v>
      </c>
      <c r="I389" s="16">
        <f>(I384*Inputs!$D$19-I385-I386)/(Inputs!$D$7+$D$402)^I376</f>
        <v>-4657.0743222469628</v>
      </c>
      <c r="J389" s="16">
        <f>(J384*Inputs!$D$19-J385-J386)/(Inputs!$D$7+$D$402)^J376</f>
        <v>-4672.9398284057479</v>
      </c>
      <c r="K389" s="16">
        <f>(K384*Inputs!$D$19-K385-K386)/(Inputs!$D$7+$D$402)^K376</f>
        <v>-5718.9047268503064</v>
      </c>
      <c r="L389" s="16">
        <f>(L384*Inputs!$D$19-L385-L386)/(Inputs!$D$7+$D$402)^L376</f>
        <v>-6162.7485564592316</v>
      </c>
      <c r="M389" s="16">
        <f>(M384*Inputs!$D$19-M385-M386)/(Inputs!$D$7+$D$402)^M376</f>
        <v>-2572.0606903447429</v>
      </c>
    </row>
    <row r="390" spans="2:13" ht="15" customHeight="1" x14ac:dyDescent="0.2">
      <c r="B390" s="10" t="s">
        <v>903</v>
      </c>
      <c r="C390" s="10" t="s">
        <v>110</v>
      </c>
      <c r="D390" s="16">
        <f t="shared" ref="D390:M390" si="85">D383*$D$400</f>
        <v>2443.7309369960249</v>
      </c>
      <c r="E390" s="16">
        <f t="shared" si="85"/>
        <v>10298.663109484301</v>
      </c>
      <c r="F390" s="16">
        <f t="shared" si="85"/>
        <v>20616.929470619962</v>
      </c>
      <c r="G390" s="16">
        <f t="shared" si="85"/>
        <v>32163.56087474796</v>
      </c>
      <c r="H390" s="16">
        <f t="shared" si="85"/>
        <v>44447.211304671364</v>
      </c>
      <c r="I390" s="16">
        <f t="shared" si="85"/>
        <v>50589.036519633068</v>
      </c>
      <c r="J390" s="16">
        <f t="shared" si="85"/>
        <v>50589.036519633068</v>
      </c>
      <c r="K390" s="16">
        <f t="shared" si="85"/>
        <v>50589.036519633068</v>
      </c>
      <c r="L390" s="16">
        <f t="shared" si="85"/>
        <v>50589.036519633068</v>
      </c>
      <c r="M390" s="16">
        <f t="shared" si="85"/>
        <v>50589.036519633068</v>
      </c>
    </row>
    <row r="391" spans="2:13" ht="15" customHeight="1" x14ac:dyDescent="0.2">
      <c r="B391" s="10" t="s">
        <v>904</v>
      </c>
      <c r="C391" s="10" t="s">
        <v>110</v>
      </c>
      <c r="D391" s="16">
        <f t="shared" ref="D391:M391" si="86">D390*$D$401</f>
        <v>2199.3578432964223</v>
      </c>
      <c r="E391" s="16">
        <f t="shared" si="86"/>
        <v>9268.7967985358719</v>
      </c>
      <c r="F391" s="16">
        <f t="shared" si="86"/>
        <v>18555.236523557967</v>
      </c>
      <c r="G391" s="16">
        <f t="shared" si="86"/>
        <v>28947.204787273164</v>
      </c>
      <c r="H391" s="16">
        <f t="shared" si="86"/>
        <v>40002.490174204228</v>
      </c>
      <c r="I391" s="16">
        <f t="shared" si="86"/>
        <v>45530.132867669759</v>
      </c>
      <c r="J391" s="16">
        <f t="shared" si="86"/>
        <v>45530.132867669759</v>
      </c>
      <c r="K391" s="16">
        <f t="shared" si="86"/>
        <v>45530.132867669759</v>
      </c>
      <c r="L391" s="16">
        <f t="shared" si="86"/>
        <v>45530.132867669759</v>
      </c>
      <c r="M391" s="16">
        <f t="shared" si="86"/>
        <v>45530.132867669759</v>
      </c>
    </row>
    <row r="392" spans="2:13" ht="15" customHeight="1" x14ac:dyDescent="0.2">
      <c r="B392" s="10" t="s">
        <v>905</v>
      </c>
      <c r="C392" s="10" t="s">
        <v>110</v>
      </c>
      <c r="D392" s="16">
        <f t="shared" ref="D392:M392" si="87">D391-D384</f>
        <v>1081.1543539851682</v>
      </c>
      <c r="E392" s="16">
        <f t="shared" si="87"/>
        <v>4556.3299512557978</v>
      </c>
      <c r="F392" s="16">
        <f t="shared" si="87"/>
        <v>9121.3327643861485</v>
      </c>
      <c r="G392" s="16">
        <f t="shared" si="87"/>
        <v>14229.788293365345</v>
      </c>
      <c r="H392" s="16">
        <f t="shared" si="87"/>
        <v>19664.315451853858</v>
      </c>
      <c r="I392" s="16">
        <f t="shared" si="87"/>
        <v>22381.57903109811</v>
      </c>
      <c r="J392" s="16">
        <f t="shared" si="87"/>
        <v>22381.57903109811</v>
      </c>
      <c r="K392" s="16">
        <f t="shared" si="87"/>
        <v>22381.57903109811</v>
      </c>
      <c r="L392" s="16">
        <f t="shared" si="87"/>
        <v>22381.57903109811</v>
      </c>
      <c r="M392" s="16">
        <f t="shared" si="87"/>
        <v>22381.57903109811</v>
      </c>
    </row>
    <row r="393" spans="2:13" ht="15" customHeight="1" x14ac:dyDescent="0.2">
      <c r="B393" s="10" t="s">
        <v>906</v>
      </c>
      <c r="C393" s="10" t="s">
        <v>110</v>
      </c>
      <c r="D393" s="16">
        <f>MAX(D392,Inputs!$D$6)*Inputs!$D$19</f>
        <v>324.34630619555043</v>
      </c>
      <c r="E393" s="16">
        <f>MAX(E392,Inputs!$D$6)*Inputs!$D$19</f>
        <v>1366.8989853767393</v>
      </c>
      <c r="F393" s="16">
        <f>MAX(F392,Inputs!$D$6)*Inputs!$D$19</f>
        <v>2736.3998293158443</v>
      </c>
      <c r="G393" s="16">
        <f>MAX(G392,Inputs!$D$6)*Inputs!$D$19</f>
        <v>4268.9364880096036</v>
      </c>
      <c r="H393" s="16">
        <f>MAX(H392,Inputs!$D$6)*Inputs!$D$19</f>
        <v>5899.2946355561571</v>
      </c>
      <c r="I393" s="16">
        <f>MAX(I392,Inputs!$D$6)*Inputs!$D$19</f>
        <v>6714.4737093294325</v>
      </c>
      <c r="J393" s="16">
        <f>MAX(J392,Inputs!$D$6)*Inputs!$D$19</f>
        <v>6714.4737093294325</v>
      </c>
      <c r="K393" s="16">
        <f>MAX(K392,Inputs!$D$6)*Inputs!$D$19</f>
        <v>6714.4737093294325</v>
      </c>
      <c r="L393" s="16">
        <f>MAX(L392,Inputs!$D$6)*Inputs!$D$19</f>
        <v>6714.4737093294325</v>
      </c>
      <c r="M393" s="16">
        <f>MAX(M392,Inputs!$D$6)*Inputs!$D$19</f>
        <v>6714.4737093294325</v>
      </c>
    </row>
    <row r="394" spans="2:13" ht="15" customHeight="1" x14ac:dyDescent="0.2">
      <c r="B394" s="10" t="s">
        <v>907</v>
      </c>
      <c r="C394" s="10" t="s">
        <v>110</v>
      </c>
      <c r="D394" s="16">
        <f t="shared" ref="D394:M394" si="88">D387*$D$400</f>
        <v>98.26920343938724</v>
      </c>
      <c r="E394" s="16">
        <f t="shared" si="88"/>
        <v>245.67300859846816</v>
      </c>
      <c r="F394" s="16">
        <f t="shared" si="88"/>
        <v>270.24030945831487</v>
      </c>
      <c r="G394" s="16">
        <f t="shared" si="88"/>
        <v>307.09126074808512</v>
      </c>
      <c r="H394" s="16">
        <f t="shared" si="88"/>
        <v>307.09126074808512</v>
      </c>
      <c r="I394" s="16">
        <f t="shared" si="88"/>
        <v>0</v>
      </c>
      <c r="J394" s="16">
        <f t="shared" si="88"/>
        <v>0</v>
      </c>
      <c r="K394" s="16">
        <f t="shared" si="88"/>
        <v>0</v>
      </c>
      <c r="L394" s="16">
        <f t="shared" si="88"/>
        <v>0</v>
      </c>
      <c r="M394" s="16">
        <f t="shared" si="88"/>
        <v>0</v>
      </c>
    </row>
    <row r="395" spans="2:13" ht="15" customHeight="1" x14ac:dyDescent="0.2">
      <c r="B395" s="10" t="s">
        <v>908</v>
      </c>
      <c r="C395" s="10" t="s">
        <v>110</v>
      </c>
      <c r="D395" s="16">
        <f t="shared" ref="D395:M395" si="89">D391-D393-D385-D386-D394</f>
        <v>-5678.1309567299213</v>
      </c>
      <c r="E395" s="16">
        <f t="shared" si="89"/>
        <v>-10980.958421417854</v>
      </c>
      <c r="F395" s="16">
        <f t="shared" si="89"/>
        <v>-4952.3051637925546</v>
      </c>
      <c r="G395" s="16">
        <f t="shared" si="89"/>
        <v>-1563.3068425248402</v>
      </c>
      <c r="H395" s="16">
        <f t="shared" si="89"/>
        <v>3370.1304025166073</v>
      </c>
      <c r="I395" s="16">
        <f t="shared" si="89"/>
        <v>20991.922051064739</v>
      </c>
      <c r="J395" s="16">
        <f t="shared" si="89"/>
        <v>19209.548340337187</v>
      </c>
      <c r="K395" s="16">
        <f t="shared" si="89"/>
        <v>13897.982925678676</v>
      </c>
      <c r="L395" s="16">
        <f t="shared" si="89"/>
        <v>9406.4929313356188</v>
      </c>
      <c r="M395" s="16">
        <f t="shared" si="89"/>
        <v>20991.922051064739</v>
      </c>
    </row>
    <row r="396" spans="2:13" ht="15" customHeight="1" x14ac:dyDescent="0.2">
      <c r="B396" s="10" t="s">
        <v>909</v>
      </c>
      <c r="C396" s="10" t="s">
        <v>110</v>
      </c>
      <c r="D396" s="16">
        <f>D395/(Inputs!$D$7+$D$402)^D376</f>
        <v>-5106.7556202527603</v>
      </c>
      <c r="E396" s="16">
        <f>E395/(Inputs!$D$7+$D$402)^E376</f>
        <v>-8511.1760062965659</v>
      </c>
      <c r="F396" s="16">
        <f>F395/(Inputs!$D$7+$D$402)^F376</f>
        <v>-3309.3511554160377</v>
      </c>
      <c r="G396" s="16">
        <f>G395/(Inputs!$D$7+$D$402)^G376</f>
        <v>-900.67023990549751</v>
      </c>
      <c r="H396" s="16">
        <f>H395/(Inputs!$D$7+$D$402)^H376</f>
        <v>1673.99601440829</v>
      </c>
      <c r="I396" s="16">
        <f>I395/(Inputs!$D$7+$D$402)^I376</f>
        <v>8986.0653492143538</v>
      </c>
      <c r="J396" s="16">
        <f>J395/(Inputs!$D$7+$D$402)^J376</f>
        <v>7089.5823444811631</v>
      </c>
      <c r="K396" s="16">
        <f>K395/(Inputs!$D$7+$D$402)^K376</f>
        <v>4422.2307595121774</v>
      </c>
      <c r="L396" s="16">
        <f>L395/(Inputs!$D$7+$D$402)^L376</f>
        <v>2580.4977848583558</v>
      </c>
      <c r="M396" s="16">
        <f>M395/(Inputs!$D$7+$D$402)^M376</f>
        <v>4962.9238973432875</v>
      </c>
    </row>
    <row r="397" spans="2:13" ht="15" customHeight="1" x14ac:dyDescent="0.2">
      <c r="B397" s="3" t="s">
        <v>910</v>
      </c>
      <c r="C397" s="10" t="s">
        <v>896</v>
      </c>
      <c r="D397" s="28">
        <f>(D383*$D$401-D387)/(Inputs!$D$7+$D$402)^D376</f>
        <v>59.765095798928819</v>
      </c>
      <c r="E397" s="28">
        <f>(E383*$D$401-E387)/(Inputs!$D$7+$D$402)^E376</f>
        <v>221.1922031857838</v>
      </c>
      <c r="F397" s="28">
        <f>(F383*$D$401-F387)/(Inputs!$D$7+$D$402)^F376</f>
        <v>386.45052664112239</v>
      </c>
      <c r="G397" s="28">
        <f>(G383*$D$401-G387)/(Inputs!$D$7+$D$402)^G376</f>
        <v>521.867070169518</v>
      </c>
      <c r="H397" s="28">
        <f>(H383*$D$401-H387)/(Inputs!$D$7+$D$402)^H376</f>
        <v>623.60768582417222</v>
      </c>
      <c r="I397" s="28">
        <f>(I383*$D$401-I387)/(Inputs!$D$7+$D$402)^I376</f>
        <v>616.42445467314121</v>
      </c>
      <c r="J397" s="28">
        <f>(J383*$D$401-J387)/(Inputs!$D$7+$D$402)^J376</f>
        <v>531.4543785819003</v>
      </c>
      <c r="K397" s="28">
        <f>(K383*$D$401-K387)/(Inputs!$D$7+$D$402)^K376</f>
        <v>458.19687128350449</v>
      </c>
      <c r="L397" s="28">
        <f>(L383*$D$401-L387)/(Inputs!$D$7+$D$402)^L376</f>
        <v>395.03743183788401</v>
      </c>
      <c r="M397" s="28">
        <f>(M383*$D$401-M387)/(Inputs!$D$7+$D$402)^M376</f>
        <v>340.44573883180209</v>
      </c>
    </row>
    <row r="398" spans="2:13" ht="15" customHeight="1" x14ac:dyDescent="0.2">
      <c r="B398" s="10" t="s">
        <v>911</v>
      </c>
      <c r="C398" s="10" t="s">
        <v>110</v>
      </c>
      <c r="D398" s="16">
        <f>(-D385-D386)/(Inputs!$D$7+$D$402)^D376</f>
        <v>-6704.7090607969039</v>
      </c>
      <c r="E398" s="16">
        <f>(-E385-E386)/(Inputs!$D$7+$D$402)^E376</f>
        <v>-14445.4009031226</v>
      </c>
      <c r="F398" s="16">
        <f>(-F385-F386)/(Inputs!$D$7+$D$402)^F376</f>
        <v>-13699.616639717549</v>
      </c>
      <c r="G398" s="16">
        <f>(-G385-G386)/(Inputs!$D$7+$D$402)^G376</f>
        <v>-14941.671835349038</v>
      </c>
      <c r="H398" s="16">
        <f>(-H385-H386)/(Inputs!$D$7+$D$402)^H376</f>
        <v>-15113.052884793095</v>
      </c>
      <c r="I398" s="16">
        <f>(-I385-I386)/(Inputs!$D$7+$D$402)^I376</f>
        <v>-7629.8523795762403</v>
      </c>
      <c r="J398" s="16">
        <f>(-J385-J386)/(Inputs!$D$7+$D$402)^J376</f>
        <v>-7235.9398897150922</v>
      </c>
      <c r="K398" s="16">
        <f>(-K385-K386)/(Inputs!$D$7+$D$402)^K376</f>
        <v>-7928.612006570077</v>
      </c>
      <c r="L398" s="16">
        <f>(-L385-L386)/(Inputs!$D$7+$D$402)^L376</f>
        <v>-8067.8621519509534</v>
      </c>
      <c r="M398" s="16">
        <f>(-M385-M386)/(Inputs!$D$7+$D$402)^M376</f>
        <v>-4213.8995473821142</v>
      </c>
    </row>
    <row r="399" spans="2:13" ht="15" customHeight="1" x14ac:dyDescent="0.2">
      <c r="B399" s="10" t="s">
        <v>912</v>
      </c>
      <c r="C399" s="10" t="s">
        <v>110</v>
      </c>
      <c r="D399" s="16">
        <f>Prices!I7</f>
        <v>35754.545454545456</v>
      </c>
    </row>
    <row r="400" spans="2:13" ht="15" customHeight="1" x14ac:dyDescent="0.2">
      <c r="B400" s="3" t="s">
        <v>913</v>
      </c>
      <c r="C400" s="10" t="s">
        <v>914</v>
      </c>
      <c r="D400" s="28">
        <f>IF(J407&gt;=J403,J407,(D399-J406)/J405)</f>
        <v>31.618147824770666</v>
      </c>
      <c r="G400" s="99" t="s">
        <v>915</v>
      </c>
      <c r="H400" s="91"/>
      <c r="I400" s="91"/>
      <c r="J400" s="28">
        <f>D400*Inputs!$D$15</f>
        <v>22.066305366907446</v>
      </c>
      <c r="K400" s="99" t="s">
        <v>916</v>
      </c>
      <c r="L400" s="91"/>
      <c r="M400" s="91"/>
    </row>
    <row r="401" spans="2:13" ht="15" customHeight="1" x14ac:dyDescent="0.2">
      <c r="B401" s="10" t="s">
        <v>917</v>
      </c>
      <c r="C401" s="10" t="s">
        <v>104</v>
      </c>
      <c r="D401" s="30">
        <f>Inputs!$D$107</f>
        <v>0.9</v>
      </c>
      <c r="G401" s="99" t="s">
        <v>918</v>
      </c>
      <c r="H401" s="91"/>
      <c r="I401" s="91"/>
      <c r="J401" s="28">
        <f>IF(-D412/D411&gt;=J403,-D412/D411,-J406/J405)</f>
        <v>24.024174528419383</v>
      </c>
      <c r="K401" s="99" t="s">
        <v>919</v>
      </c>
      <c r="L401" s="91"/>
      <c r="M401" s="91"/>
    </row>
    <row r="402" spans="2:13" ht="15" customHeight="1" x14ac:dyDescent="0.2">
      <c r="B402" s="10" t="s">
        <v>920</v>
      </c>
      <c r="C402" s="10" t="s">
        <v>104</v>
      </c>
      <c r="D402" s="30">
        <f>Inputs!$D$108</f>
        <v>0.16</v>
      </c>
      <c r="G402" s="99" t="s">
        <v>918</v>
      </c>
      <c r="H402" s="91"/>
      <c r="I402" s="91"/>
      <c r="J402" s="28">
        <f>J401*Inputs!$D$15</f>
        <v>16.766471403383886</v>
      </c>
      <c r="K402" s="99" t="s">
        <v>916</v>
      </c>
      <c r="L402" s="91"/>
      <c r="M402" s="91"/>
    </row>
    <row r="403" spans="2:13" ht="15" customHeight="1" x14ac:dyDescent="0.2">
      <c r="B403" s="3" t="s">
        <v>921</v>
      </c>
      <c r="C403" s="10" t="s">
        <v>848</v>
      </c>
      <c r="D403" s="28">
        <f>Capital!$D$13</f>
        <v>57.347931490590682</v>
      </c>
      <c r="G403" s="99" t="s">
        <v>922</v>
      </c>
      <c r="H403" s="91"/>
      <c r="I403" s="91"/>
      <c r="J403" s="28">
        <f>($D$403/Inputs!$D$21+$D$404/Inputs!$D$22)/$D$401</f>
        <v>16.07538460873031</v>
      </c>
      <c r="K403" s="99" t="s">
        <v>919</v>
      </c>
      <c r="L403" s="91"/>
      <c r="M403" s="91"/>
    </row>
    <row r="404" spans="2:13" ht="15" customHeight="1" x14ac:dyDescent="0.2">
      <c r="B404" s="3" t="s">
        <v>923</v>
      </c>
      <c r="C404" s="10" t="s">
        <v>848</v>
      </c>
      <c r="D404" s="28">
        <f>Capital!$D$14</f>
        <v>2.6172655041921802</v>
      </c>
    </row>
    <row r="405" spans="2:13" ht="15" customHeight="1" x14ac:dyDescent="0.2">
      <c r="B405" s="10" t="s">
        <v>924</v>
      </c>
      <c r="C405" s="10" t="s">
        <v>896</v>
      </c>
      <c r="D405" s="28">
        <f>(M378*(Inputs!$D$7+Inputs!$D$20)*$D$401*(Inputs!$D$7-Inputs!$D$19)-M378*Inputs!$D$20*Inputs!$D$23)/($D$402-Inputs!$D$20)/(Inputs!$D$7+$D$402)^M376</f>
        <v>1807.6547922951956</v>
      </c>
      <c r="G405" s="92" t="s">
        <v>910</v>
      </c>
      <c r="H405" s="91"/>
      <c r="I405" s="91"/>
      <c r="J405" s="28">
        <f>SUM(D397:M397)+(M378*(Inputs!$D$7+Inputs!$D$20)*$D$401-M378*Inputs!$D$20*Inputs!$D$23)/($D$402-Inputs!$D$20)/(Inputs!$D$7+$D$402)^M376</f>
        <v>6737.5559875731687</v>
      </c>
      <c r="K405" s="99" t="s">
        <v>896</v>
      </c>
      <c r="L405" s="91"/>
      <c r="M405" s="91"/>
    </row>
    <row r="406" spans="2:13" ht="15" customHeight="1" x14ac:dyDescent="0.2">
      <c r="B406" s="10" t="s">
        <v>925</v>
      </c>
      <c r="C406" s="10" t="s">
        <v>110</v>
      </c>
      <c r="D406" s="16">
        <f>(D409*Inputs!$D$19-D409-D410)/($D$402-Inputs!$D$20)/(Inputs!$D$7+$D$402)^M376</f>
        <v>-33287.494112345899</v>
      </c>
      <c r="G406" s="92" t="s">
        <v>926</v>
      </c>
      <c r="H406" s="91"/>
      <c r="I406" s="91"/>
      <c r="J406" s="16">
        <f>SUM(D398:M398)-(D409+D410)/($D$402-Inputs!$D$20)/(Inputs!$D$7+$D$402)^M376</f>
        <v>-145733.9249554922</v>
      </c>
      <c r="K406" s="99" t="s">
        <v>110</v>
      </c>
      <c r="L406" s="91"/>
      <c r="M406" s="91"/>
    </row>
    <row r="407" spans="2:13" ht="15" customHeight="1" x14ac:dyDescent="0.2">
      <c r="B407" s="10" t="s">
        <v>927</v>
      </c>
      <c r="C407" s="10" t="s">
        <v>928</v>
      </c>
      <c r="D407" s="16">
        <f>(M378*(Inputs!$D$7+Inputs!$D$20)*$D$400*$D$401-D409)-MAX((M378*(Inputs!$D$7+Inputs!$D$20)*$D$400*$D$401-D409),Inputs!$D$6)*Inputs!$D$19-D410-M378*Inputs!$D$20*$D$400*Inputs!$D$23</f>
        <v>13628.556927196812</v>
      </c>
      <c r="G407" s="99" t="s">
        <v>929</v>
      </c>
      <c r="H407" s="91"/>
      <c r="I407" s="91"/>
      <c r="J407" s="28">
        <f>(D399-D412)/D411</f>
        <v>31.618147824770666</v>
      </c>
      <c r="K407" s="99" t="s">
        <v>919</v>
      </c>
      <c r="L407" s="91"/>
      <c r="M407" s="91"/>
    </row>
    <row r="408" spans="2:13" ht="15" customHeight="1" x14ac:dyDescent="0.2">
      <c r="B408" s="10" t="s">
        <v>930</v>
      </c>
      <c r="C408" s="10" t="s">
        <v>110</v>
      </c>
      <c r="D408" s="16">
        <f>D407/($D$402-Inputs!$D$20)</f>
        <v>100952.27353479119</v>
      </c>
      <c r="G408" s="99" t="s">
        <v>931</v>
      </c>
      <c r="H408" s="91"/>
      <c r="I408" s="91"/>
      <c r="J408" s="16">
        <f>MIN(D392:M392,(M378*(Inputs!$D$7+Inputs!$D$20)*$D$400*$D$401-D409))</f>
        <v>1081.1543539851682</v>
      </c>
      <c r="K408" s="99" t="s">
        <v>110</v>
      </c>
      <c r="L408" s="91"/>
      <c r="M408" s="91"/>
    </row>
    <row r="409" spans="2:13" ht="15" customHeight="1" x14ac:dyDescent="0.2">
      <c r="B409" s="10" t="s">
        <v>932</v>
      </c>
      <c r="C409" s="10" t="s">
        <v>928</v>
      </c>
      <c r="D409" s="16">
        <f>M378*(Inputs!$D$7+Inputs!$D$20)*($D$403/Inputs!$D$21+$D$404/Inputs!$D$22)</f>
        <v>23727.267682485937</v>
      </c>
      <c r="G409" s="99" t="s">
        <v>933</v>
      </c>
      <c r="H409" s="91"/>
      <c r="I409" s="91"/>
      <c r="J409" s="31" t="str">
        <f>IF(J408&lt;Inputs!$D$6,"breached","satisfied")</f>
        <v>satisfied</v>
      </c>
      <c r="K409" s="99" t="s">
        <v>934</v>
      </c>
      <c r="L409" s="91"/>
      <c r="M409" s="91"/>
    </row>
    <row r="410" spans="2:13" ht="15" customHeight="1" x14ac:dyDescent="0.2">
      <c r="B410" s="10" t="s">
        <v>935</v>
      </c>
      <c r="C410" s="10" t="s">
        <v>928</v>
      </c>
      <c r="D410" s="16">
        <f>M378*Inputs!$D$20*($D$403+$D$404)</f>
        <v>2398.6078797913146</v>
      </c>
    </row>
    <row r="411" spans="2:13" ht="15" customHeight="1" x14ac:dyDescent="0.2">
      <c r="B411" s="10" t="s">
        <v>936</v>
      </c>
      <c r="C411" s="10" t="s">
        <v>896</v>
      </c>
      <c r="D411" s="28">
        <f>SUM(D388:M388)+D405</f>
        <v>4708.2790601495317</v>
      </c>
      <c r="G411" s="99" t="s">
        <v>937</v>
      </c>
      <c r="H411" s="91"/>
      <c r="I411" s="91"/>
      <c r="J411" s="16">
        <f>D413-D399</f>
        <v>0</v>
      </c>
      <c r="K411" s="99" t="s">
        <v>110</v>
      </c>
      <c r="L411" s="91"/>
      <c r="M411" s="91"/>
    </row>
    <row r="412" spans="2:13" ht="15" customHeight="1" x14ac:dyDescent="0.2">
      <c r="B412" s="10" t="s">
        <v>938</v>
      </c>
      <c r="C412" s="10" t="s">
        <v>110</v>
      </c>
      <c r="D412" s="16">
        <f>SUM(D389:M389)+D406</f>
        <v>-113112.51786953473</v>
      </c>
    </row>
    <row r="413" spans="2:13" ht="15" customHeight="1" x14ac:dyDescent="0.2">
      <c r="B413" s="10" t="s">
        <v>939</v>
      </c>
      <c r="C413" s="10" t="s">
        <v>110</v>
      </c>
      <c r="D413" s="16">
        <f>SUM(D396:M396)+D408/(Inputs!$D$7+$D$402)^M376</f>
        <v>35754.5454545455</v>
      </c>
    </row>
    <row r="414" spans="2:13" ht="15" customHeight="1" x14ac:dyDescent="0.2">
      <c r="B414" s="10" t="s">
        <v>940</v>
      </c>
      <c r="C414" s="10" t="s">
        <v>104</v>
      </c>
      <c r="D414" s="30">
        <f>IF(ABS(D399)&gt;Inputs!$D$6,D413/D399-Inputs!$D$7,Inputs!$D$6)</f>
        <v>1.1102230246251565E-15</v>
      </c>
    </row>
    <row r="415" spans="2:13" ht="15" customHeight="1" x14ac:dyDescent="0.2">
      <c r="B415" s="10" t="s">
        <v>941</v>
      </c>
      <c r="C415" s="10" t="s">
        <v>104</v>
      </c>
      <c r="D415" s="30">
        <f>IF(ABS(D413)&gt;Inputs!$D$119,D408/(Inputs!$D$7+$D$402)^M376/D413,Inputs!$D$6)</f>
        <v>0.66752917770807452</v>
      </c>
    </row>
    <row r="416" spans="2:13" ht="15" customHeight="1" x14ac:dyDescent="0.2">
      <c r="B416" s="10" t="s">
        <v>942</v>
      </c>
      <c r="C416" s="10" t="s">
        <v>943</v>
      </c>
      <c r="D416" s="26">
        <f>$D$400*Inputs!$D$8/Prices!$P$6/(Inputs!$D$26/Inputs!$D$25)/Inputs!$D$11/Inputs!$D$56</f>
        <v>5.7498562227647465</v>
      </c>
    </row>
    <row r="420" spans="1:13" ht="15" customHeight="1" x14ac:dyDescent="0.2">
      <c r="A420" s="104" t="s">
        <v>952</v>
      </c>
      <c r="B420" s="10" t="s">
        <v>886</v>
      </c>
      <c r="C420" s="10" t="s">
        <v>107</v>
      </c>
      <c r="D420" s="28">
        <f>Inputs!$D$60</f>
        <v>1</v>
      </c>
      <c r="E420" s="28">
        <f>Inputs!$D$62</f>
        <v>2</v>
      </c>
      <c r="F420" s="28">
        <f>Inputs!$D$64</f>
        <v>3</v>
      </c>
      <c r="G420" s="28">
        <f>Inputs!$D$66</f>
        <v>4</v>
      </c>
      <c r="H420" s="28">
        <f>Inputs!$D$68</f>
        <v>5</v>
      </c>
      <c r="I420" s="28">
        <f>Inputs!$D$70</f>
        <v>6</v>
      </c>
      <c r="J420" s="28">
        <f>Inputs!$D$72</f>
        <v>7</v>
      </c>
      <c r="K420" s="28">
        <f>Inputs!$D$74</f>
        <v>8</v>
      </c>
      <c r="L420" s="28">
        <f>Inputs!$D$76</f>
        <v>9</v>
      </c>
      <c r="M420" s="28">
        <f>Inputs!$D$78</f>
        <v>10</v>
      </c>
    </row>
    <row r="421" spans="1:13" ht="15" customHeight="1" x14ac:dyDescent="0.2">
      <c r="A421" s="91"/>
      <c r="B421" s="10" t="s">
        <v>887</v>
      </c>
      <c r="C421" s="10" t="s">
        <v>161</v>
      </c>
      <c r="D421" s="29">
        <f>Inputs!$D$61</f>
        <v>46568</v>
      </c>
      <c r="E421" s="29">
        <f>Inputs!$D$63</f>
        <v>46934</v>
      </c>
      <c r="F421" s="29">
        <f>Inputs!$D$65</f>
        <v>47299</v>
      </c>
      <c r="G421" s="29">
        <f>Inputs!$D$67</f>
        <v>47664</v>
      </c>
      <c r="H421" s="29">
        <f>Inputs!$D$69</f>
        <v>48029</v>
      </c>
      <c r="I421" s="29">
        <f>Inputs!$D$71</f>
        <v>48395</v>
      </c>
      <c r="J421" s="29">
        <f>Inputs!$D$73</f>
        <v>48760</v>
      </c>
      <c r="K421" s="29">
        <f>Inputs!$D$75</f>
        <v>49125</v>
      </c>
      <c r="L421" s="29">
        <f>Inputs!$D$77</f>
        <v>49490</v>
      </c>
      <c r="M421" s="29">
        <f>Inputs!$D$79</f>
        <v>49856</v>
      </c>
    </row>
    <row r="422" spans="1:13" ht="15" customHeight="1" x14ac:dyDescent="0.2">
      <c r="A422" s="91"/>
      <c r="B422" s="10" t="s">
        <v>888</v>
      </c>
      <c r="C422" s="10" t="s">
        <v>107</v>
      </c>
      <c r="D422" s="28">
        <f>(D421-Inputs!$D$13)/Inputs!$D$10</f>
        <v>0.71457905544147848</v>
      </c>
      <c r="E422" s="28">
        <f>(E421-Inputs!$D$13)/Inputs!$D$10</f>
        <v>1.7166324435318274</v>
      </c>
      <c r="F422" s="28">
        <f>(F421-Inputs!$D$13)/Inputs!$D$10</f>
        <v>2.7159479808350446</v>
      </c>
      <c r="G422" s="28">
        <f>(G421-Inputs!$D$13)/Inputs!$D$10</f>
        <v>3.7152635181382614</v>
      </c>
      <c r="H422" s="28">
        <f>(H421-Inputs!$D$13)/Inputs!$D$10</f>
        <v>4.7145790554414786</v>
      </c>
      <c r="I422" s="28">
        <f>(I421-Inputs!$D$13)/Inputs!$D$10</f>
        <v>5.7166324435318279</v>
      </c>
      <c r="J422" s="28">
        <f>(J421-Inputs!$D$13)/Inputs!$D$10</f>
        <v>6.7159479808350442</v>
      </c>
      <c r="K422" s="28">
        <f>(K421-Inputs!$D$13)/Inputs!$D$10</f>
        <v>7.7152635181382614</v>
      </c>
      <c r="L422" s="28">
        <f>(L421-Inputs!$D$13)/Inputs!$D$10</f>
        <v>8.7145790554414777</v>
      </c>
      <c r="M422" s="28">
        <f>(M421-Inputs!$D$13)/Inputs!$D$10</f>
        <v>9.716632443531827</v>
      </c>
    </row>
    <row r="423" spans="1:13" ht="15" customHeight="1" x14ac:dyDescent="0.2">
      <c r="A423" s="91"/>
      <c r="B423" s="10" t="s">
        <v>889</v>
      </c>
      <c r="C423" s="10" t="s">
        <v>107</v>
      </c>
      <c r="D423" s="28">
        <f>D422</f>
        <v>0.71457905544147848</v>
      </c>
      <c r="E423" s="28">
        <f>Inputs!$D$7</f>
        <v>1</v>
      </c>
      <c r="F423" s="28">
        <f>Inputs!$D$7</f>
        <v>1</v>
      </c>
      <c r="G423" s="28">
        <f>Inputs!$D$7</f>
        <v>1</v>
      </c>
      <c r="H423" s="28">
        <f>Inputs!$D$7</f>
        <v>1</v>
      </c>
      <c r="I423" s="28">
        <f>Inputs!$D$7</f>
        <v>1</v>
      </c>
      <c r="J423" s="28">
        <f>Inputs!$D$7</f>
        <v>1</v>
      </c>
      <c r="K423" s="28">
        <f>Inputs!$D$7</f>
        <v>1</v>
      </c>
      <c r="L423" s="28">
        <f>Inputs!$D$7</f>
        <v>1</v>
      </c>
      <c r="M423" s="28">
        <f>Inputs!$D$7</f>
        <v>1</v>
      </c>
    </row>
    <row r="424" spans="1:13" ht="15" customHeight="1" x14ac:dyDescent="0.2">
      <c r="A424" s="91"/>
      <c r="B424" s="3" t="s">
        <v>890</v>
      </c>
      <c r="C424" s="10" t="s">
        <v>199</v>
      </c>
      <c r="D424" s="28">
        <f>Inputs!$D$24+(Inputs!$D$80-Inputs!$D$24)*Inputs!$D$83</f>
        <v>305.5</v>
      </c>
      <c r="E424" s="28">
        <f>Inputs!$D$24+(Inputs!$D$80-Inputs!$D$24)*Inputs!$D$84</f>
        <v>651.5</v>
      </c>
      <c r="F424" s="28">
        <f>Inputs!$D$24+(Inputs!$D$80-Inputs!$D$24)*Inputs!$D$85</f>
        <v>911</v>
      </c>
      <c r="G424" s="28">
        <f>Inputs!$D$24+(Inputs!$D$80-Inputs!$D$24)*Inputs!$D$86</f>
        <v>911</v>
      </c>
      <c r="H424" s="28">
        <f>Inputs!$D$24+(Inputs!$D$80-Inputs!$D$24)*Inputs!$D$87</f>
        <v>911</v>
      </c>
      <c r="I424" s="28">
        <f>Inputs!$D$24+(Inputs!$D$80-Inputs!$D$24)*Inputs!$D$88</f>
        <v>911</v>
      </c>
      <c r="J424" s="28">
        <f>Inputs!$D$24+(Inputs!$D$80-Inputs!$D$24)*Inputs!$D$89</f>
        <v>911</v>
      </c>
      <c r="K424" s="28">
        <f>Inputs!$D$24+(Inputs!$D$80-Inputs!$D$24)*Inputs!$D$90</f>
        <v>911</v>
      </c>
      <c r="L424" s="28">
        <f>Inputs!$D$24+(Inputs!$D$80-Inputs!$D$24)*Inputs!$D$91</f>
        <v>911</v>
      </c>
      <c r="M424" s="28">
        <f>Inputs!$D$24+(Inputs!$D$80-Inputs!$D$24)*Inputs!$D$92</f>
        <v>911</v>
      </c>
    </row>
    <row r="425" spans="1:13" ht="15" customHeight="1" x14ac:dyDescent="0.2">
      <c r="A425" s="91"/>
      <c r="B425" s="10" t="s">
        <v>891</v>
      </c>
      <c r="C425" s="10" t="s">
        <v>199</v>
      </c>
      <c r="D425" s="28">
        <f>Inputs!$D$24</f>
        <v>46</v>
      </c>
      <c r="E425" s="28">
        <f t="shared" ref="E425:M425" si="90">D424</f>
        <v>305.5</v>
      </c>
      <c r="F425" s="28">
        <f t="shared" si="90"/>
        <v>651.5</v>
      </c>
      <c r="G425" s="28">
        <f t="shared" si="90"/>
        <v>911</v>
      </c>
      <c r="H425" s="28">
        <f t="shared" si="90"/>
        <v>911</v>
      </c>
      <c r="I425" s="28">
        <f t="shared" si="90"/>
        <v>911</v>
      </c>
      <c r="J425" s="28">
        <f t="shared" si="90"/>
        <v>911</v>
      </c>
      <c r="K425" s="28">
        <f t="shared" si="90"/>
        <v>911</v>
      </c>
      <c r="L425" s="28">
        <f t="shared" si="90"/>
        <v>911</v>
      </c>
      <c r="M425" s="28">
        <f t="shared" si="90"/>
        <v>911</v>
      </c>
    </row>
    <row r="426" spans="1:13" ht="15" customHeight="1" x14ac:dyDescent="0.2">
      <c r="B426" s="10" t="s">
        <v>892</v>
      </c>
      <c r="C426" s="10" t="s">
        <v>199</v>
      </c>
      <c r="D426" s="28">
        <f>(D425+D424)*Inputs!$D$12</f>
        <v>175.75</v>
      </c>
      <c r="E426" s="28">
        <f>(E425+E424)*Inputs!$D$12</f>
        <v>478.5</v>
      </c>
      <c r="F426" s="28">
        <f>(F425+F424)*Inputs!$D$12</f>
        <v>781.25</v>
      </c>
      <c r="G426" s="28">
        <f>(G425+G424)*Inputs!$D$12</f>
        <v>911</v>
      </c>
      <c r="H426" s="28">
        <f>(H425+H424)*Inputs!$D$12</f>
        <v>911</v>
      </c>
      <c r="I426" s="28">
        <f>(I425+I424)*Inputs!$D$12</f>
        <v>911</v>
      </c>
      <c r="J426" s="28">
        <f>(J425+J424)*Inputs!$D$12</f>
        <v>911</v>
      </c>
      <c r="K426" s="28">
        <f>(K425+K424)*Inputs!$D$12</f>
        <v>911</v>
      </c>
      <c r="L426" s="28">
        <f>(L425+L424)*Inputs!$D$12</f>
        <v>911</v>
      </c>
      <c r="M426" s="28">
        <f>(M425+M424)*Inputs!$D$12</f>
        <v>911</v>
      </c>
    </row>
    <row r="427" spans="1:13" ht="15" customHeight="1" x14ac:dyDescent="0.2">
      <c r="B427" s="10" t="s">
        <v>893</v>
      </c>
      <c r="C427" s="10" t="s">
        <v>199</v>
      </c>
      <c r="D427" s="28">
        <f t="shared" ref="D427:M427" si="91">D424-D425</f>
        <v>259.5</v>
      </c>
      <c r="E427" s="28">
        <f t="shared" si="91"/>
        <v>346</v>
      </c>
      <c r="F427" s="28">
        <f t="shared" si="91"/>
        <v>259.5</v>
      </c>
      <c r="G427" s="28">
        <f t="shared" si="91"/>
        <v>0</v>
      </c>
      <c r="H427" s="28">
        <f t="shared" si="91"/>
        <v>0</v>
      </c>
      <c r="I427" s="28">
        <f t="shared" si="91"/>
        <v>0</v>
      </c>
      <c r="J427" s="28">
        <f t="shared" si="91"/>
        <v>0</v>
      </c>
      <c r="K427" s="28">
        <f t="shared" si="91"/>
        <v>0</v>
      </c>
      <c r="L427" s="28">
        <f t="shared" si="91"/>
        <v>0</v>
      </c>
      <c r="M427" s="28">
        <f t="shared" si="91"/>
        <v>0</v>
      </c>
    </row>
    <row r="428" spans="1:13" ht="15" customHeight="1" x14ac:dyDescent="0.2">
      <c r="B428" s="10" t="s">
        <v>894</v>
      </c>
      <c r="C428" s="10" t="s">
        <v>199</v>
      </c>
      <c r="D428" s="28">
        <f>IF(MOD(D420,Inputs!$D$21)=Inputs!$D$6,Inputs!$D$24,Inputs!$D$6)+SUMPRODUCT(--(D420&gt;$D$420:$M$420),--(MOD(D420-$D$420:$M$420,Inputs!$D$21)=Inputs!$D$6),$D$427:$M$427)</f>
        <v>0</v>
      </c>
      <c r="E428" s="28">
        <f>IF(MOD(E420,Inputs!$D$21)=Inputs!$D$6,Inputs!$D$24,Inputs!$D$6)+SUMPRODUCT(--(E420&gt;$D$420:$M$420),--(MOD(E420-$D$420:$M$420,Inputs!$D$21)=Inputs!$D$6),$D$427:$M$427)</f>
        <v>0</v>
      </c>
      <c r="F428" s="28">
        <f>IF(MOD(F420,Inputs!$D$21)=Inputs!$D$6,Inputs!$D$24,Inputs!$D$6)+SUMPRODUCT(--(F420&gt;$D$420:$M$420),--(MOD(F420-$D$420:$M$420,Inputs!$D$21)=Inputs!$D$6),$D$427:$M$427)</f>
        <v>0</v>
      </c>
      <c r="G428" s="28">
        <f>IF(MOD(G420,Inputs!$D$21)=Inputs!$D$6,Inputs!$D$24,Inputs!$D$6)+SUMPRODUCT(--(G420&gt;$D$420:$M$420),--(MOD(G420-$D$420:$M$420,Inputs!$D$21)=Inputs!$D$6),$D$427:$M$427)</f>
        <v>46</v>
      </c>
      <c r="H428" s="28">
        <f>IF(MOD(H420,Inputs!$D$21)=Inputs!$D$6,Inputs!$D$24,Inputs!$D$6)+SUMPRODUCT(--(H420&gt;$D$420:$M$420),--(MOD(H420-$D$420:$M$420,Inputs!$D$21)=Inputs!$D$6),$D$427:$M$427)</f>
        <v>259.5</v>
      </c>
      <c r="I428" s="28">
        <f>IF(MOD(I420,Inputs!$D$21)=Inputs!$D$6,Inputs!$D$24,Inputs!$D$6)+SUMPRODUCT(--(I420&gt;$D$420:$M$420),--(MOD(I420-$D$420:$M$420,Inputs!$D$21)=Inputs!$D$6),$D$427:$M$427)</f>
        <v>346</v>
      </c>
      <c r="J428" s="28">
        <f>IF(MOD(J420,Inputs!$D$21)=Inputs!$D$6,Inputs!$D$24,Inputs!$D$6)+SUMPRODUCT(--(J420&gt;$D$420:$M$420),--(MOD(J420-$D$420:$M$420,Inputs!$D$21)=Inputs!$D$6),$D$427:$M$427)</f>
        <v>259.5</v>
      </c>
      <c r="K428" s="28">
        <f>IF(MOD(K420,Inputs!$D$21)=Inputs!$D$6,Inputs!$D$24,Inputs!$D$6)+SUMPRODUCT(--(K420&gt;$D$420:$M$420),--(MOD(K420-$D$420:$M$420,Inputs!$D$21)=Inputs!$D$6),$D$427:$M$427)</f>
        <v>46</v>
      </c>
      <c r="L428" s="28">
        <f>IF(MOD(L420,Inputs!$D$21)=Inputs!$D$6,Inputs!$D$24,Inputs!$D$6)+SUMPRODUCT(--(L420&gt;$D$420:$M$420),--(MOD(L420-$D$420:$M$420,Inputs!$D$21)=Inputs!$D$6),$D$427:$M$427)</f>
        <v>259.5</v>
      </c>
      <c r="M428" s="28">
        <f>IF(MOD(M420,Inputs!$D$21)=Inputs!$D$6,Inputs!$D$24,Inputs!$D$6)+SUMPRODUCT(--(M420&gt;$D$420:$M$420),--(MOD(M420-$D$420:$M$420,Inputs!$D$21)=Inputs!$D$6),$D$427:$M$427)</f>
        <v>346</v>
      </c>
    </row>
    <row r="429" spans="1:13" ht="15" customHeight="1" x14ac:dyDescent="0.2">
      <c r="B429" s="10" t="s">
        <v>895</v>
      </c>
      <c r="C429" s="10" t="s">
        <v>896</v>
      </c>
      <c r="D429" s="28">
        <f t="shared" ref="D429:M429" si="92">D426*D423</f>
        <v>125.58726899383984</v>
      </c>
      <c r="E429" s="28">
        <f t="shared" si="92"/>
        <v>478.5</v>
      </c>
      <c r="F429" s="28">
        <f t="shared" si="92"/>
        <v>781.25</v>
      </c>
      <c r="G429" s="28">
        <f t="shared" si="92"/>
        <v>911</v>
      </c>
      <c r="H429" s="28">
        <f t="shared" si="92"/>
        <v>911</v>
      </c>
      <c r="I429" s="28">
        <f t="shared" si="92"/>
        <v>911</v>
      </c>
      <c r="J429" s="28">
        <f t="shared" si="92"/>
        <v>911</v>
      </c>
      <c r="K429" s="28">
        <f t="shared" si="92"/>
        <v>911</v>
      </c>
      <c r="L429" s="28">
        <f t="shared" si="92"/>
        <v>911</v>
      </c>
      <c r="M429" s="28">
        <f t="shared" si="92"/>
        <v>911</v>
      </c>
    </row>
    <row r="430" spans="1:13" ht="15" customHeight="1" x14ac:dyDescent="0.2">
      <c r="B430" s="10" t="s">
        <v>897</v>
      </c>
      <c r="C430" s="10" t="s">
        <v>110</v>
      </c>
      <c r="D430" s="16">
        <f>D429*($D$449/Inputs!$D$21+$D$450/Inputs!$D$22)</f>
        <v>1816.9772859324419</v>
      </c>
      <c r="E430" s="16">
        <f>E429*($D$449/Inputs!$D$21+$D$450/Inputs!$D$22)</f>
        <v>6922.8643817497086</v>
      </c>
      <c r="F430" s="16">
        <f>F429*($D$449/Inputs!$D$21+$D$450/Inputs!$D$22)</f>
        <v>11303.0048030135</v>
      </c>
      <c r="G430" s="16">
        <f>G429*($D$449/Inputs!$D$21+$D$450/Inputs!$D$22)</f>
        <v>13180.207840697982</v>
      </c>
      <c r="H430" s="16">
        <f>H429*($D$449/Inputs!$D$21+$D$450/Inputs!$D$22)</f>
        <v>13180.207840697982</v>
      </c>
      <c r="I430" s="16">
        <f>I429*($D$449/Inputs!$D$21+$D$450/Inputs!$D$22)</f>
        <v>13180.207840697982</v>
      </c>
      <c r="J430" s="16">
        <f>J429*($D$449/Inputs!$D$21+$D$450/Inputs!$D$22)</f>
        <v>13180.207840697982</v>
      </c>
      <c r="K430" s="16">
        <f>K429*($D$449/Inputs!$D$21+$D$450/Inputs!$D$22)</f>
        <v>13180.207840697982</v>
      </c>
      <c r="L430" s="16">
        <f>L429*($D$449/Inputs!$D$21+$D$450/Inputs!$D$22)</f>
        <v>13180.207840697982</v>
      </c>
      <c r="M430" s="16">
        <f>M429*($D$449/Inputs!$D$21+$D$450/Inputs!$D$22)</f>
        <v>13180.207840697982</v>
      </c>
    </row>
    <row r="431" spans="1:13" ht="15" customHeight="1" x14ac:dyDescent="0.2">
      <c r="B431" s="10" t="s">
        <v>898</v>
      </c>
      <c r="C431" s="10" t="s">
        <v>110</v>
      </c>
      <c r="D431" s="16">
        <f t="shared" ref="D431:M431" si="93">D427*($D$449+$D$450)</f>
        <v>15560.968620146154</v>
      </c>
      <c r="E431" s="16">
        <f t="shared" si="93"/>
        <v>20747.95816019487</v>
      </c>
      <c r="F431" s="16">
        <f t="shared" si="93"/>
        <v>15560.968620146154</v>
      </c>
      <c r="G431" s="16">
        <f t="shared" si="93"/>
        <v>0</v>
      </c>
      <c r="H431" s="16">
        <f t="shared" si="93"/>
        <v>0</v>
      </c>
      <c r="I431" s="16">
        <f t="shared" si="93"/>
        <v>0</v>
      </c>
      <c r="J431" s="16">
        <f t="shared" si="93"/>
        <v>0</v>
      </c>
      <c r="K431" s="16">
        <f t="shared" si="93"/>
        <v>0</v>
      </c>
      <c r="L431" s="16">
        <f t="shared" si="93"/>
        <v>0</v>
      </c>
      <c r="M431" s="16">
        <f t="shared" si="93"/>
        <v>0</v>
      </c>
    </row>
    <row r="432" spans="1:13" ht="15" customHeight="1" x14ac:dyDescent="0.2">
      <c r="B432" s="10" t="s">
        <v>899</v>
      </c>
      <c r="C432" s="10" t="s">
        <v>110</v>
      </c>
      <c r="D432" s="16">
        <f t="shared" ref="D432:M432" si="94">D428*$D$449</f>
        <v>0</v>
      </c>
      <c r="E432" s="16">
        <f t="shared" si="94"/>
        <v>0</v>
      </c>
      <c r="F432" s="16">
        <f t="shared" si="94"/>
        <v>0</v>
      </c>
      <c r="G432" s="16">
        <f t="shared" si="94"/>
        <v>2638.0048485671714</v>
      </c>
      <c r="H432" s="16">
        <f t="shared" si="94"/>
        <v>14881.788221808281</v>
      </c>
      <c r="I432" s="16">
        <f t="shared" si="94"/>
        <v>19842.384295744378</v>
      </c>
      <c r="J432" s="16">
        <f t="shared" si="94"/>
        <v>14881.788221808281</v>
      </c>
      <c r="K432" s="16">
        <f t="shared" si="94"/>
        <v>2638.0048485671714</v>
      </c>
      <c r="L432" s="16">
        <f t="shared" si="94"/>
        <v>14881.788221808281</v>
      </c>
      <c r="M432" s="16">
        <f t="shared" si="94"/>
        <v>19842.384295744378</v>
      </c>
    </row>
    <row r="433" spans="2:13" ht="15" customHeight="1" x14ac:dyDescent="0.2">
      <c r="B433" s="10" t="s">
        <v>900</v>
      </c>
      <c r="C433" s="10" t="s">
        <v>199</v>
      </c>
      <c r="D433" s="28">
        <f>D427*Inputs!$D$23</f>
        <v>6.4875000000000007</v>
      </c>
      <c r="E433" s="28">
        <f>E427*Inputs!$D$23</f>
        <v>8.65</v>
      </c>
      <c r="F433" s="28">
        <f>F427*Inputs!$D$23</f>
        <v>6.4875000000000007</v>
      </c>
      <c r="G433" s="28">
        <f>G427*Inputs!$D$23</f>
        <v>0</v>
      </c>
      <c r="H433" s="28">
        <f>H427*Inputs!$D$23</f>
        <v>0</v>
      </c>
      <c r="I433" s="28">
        <f>I427*Inputs!$D$23</f>
        <v>0</v>
      </c>
      <c r="J433" s="28">
        <f>J427*Inputs!$D$23</f>
        <v>0</v>
      </c>
      <c r="K433" s="28">
        <f>K427*Inputs!$D$23</f>
        <v>0</v>
      </c>
      <c r="L433" s="28">
        <f>L427*Inputs!$D$23</f>
        <v>0</v>
      </c>
      <c r="M433" s="28">
        <f>M427*Inputs!$D$23</f>
        <v>0</v>
      </c>
    </row>
    <row r="434" spans="2:13" ht="15" customHeight="1" x14ac:dyDescent="0.2">
      <c r="B434" s="3" t="s">
        <v>901</v>
      </c>
      <c r="C434" s="10" t="s">
        <v>896</v>
      </c>
      <c r="D434" s="28">
        <f>(D429*$D$447*(Inputs!$D$7-Inputs!$D$19)-D433)/(Inputs!$D$7+$D$448)^D422</f>
        <v>43.213488846686175</v>
      </c>
      <c r="E434" s="28">
        <f>(E429*$D$447*(Inputs!$D$7-Inputs!$D$19)-E433)/(Inputs!$D$7+$D$448)^E422</f>
        <v>163.29332190458183</v>
      </c>
      <c r="F434" s="28">
        <f>(F429*$D$447*(Inputs!$D$7-Inputs!$D$19)-F433)/(Inputs!$D$7+$D$448)^F422</f>
        <v>248.28260771010829</v>
      </c>
      <c r="G434" s="28">
        <f>(G429*$D$447*(Inputs!$D$7-Inputs!$D$19)-G433)/(Inputs!$D$7+$D$448)^G422</f>
        <v>268.5238926419492</v>
      </c>
      <c r="H434" s="28">
        <f>(H429*$D$447*(Inputs!$D$7-Inputs!$D$19)-H433)/(Inputs!$D$7+$D$448)^H422</f>
        <v>244.12855518959191</v>
      </c>
      <c r="I434" s="28">
        <f>(I429*$D$447*(Inputs!$D$7-Inputs!$D$19)-I433)/(Inputs!$D$7+$D$448)^I422</f>
        <v>221.8916197826434</v>
      </c>
      <c r="J434" s="28">
        <f>(J429*$D$447*(Inputs!$D$7-Inputs!$D$19)-J433)/(Inputs!$D$7+$D$448)^J422</f>
        <v>201.73281421346593</v>
      </c>
      <c r="K434" s="28">
        <f>(K429*$D$447*(Inputs!$D$7-Inputs!$D$19)-K433)/(Inputs!$D$7+$D$448)^K422</f>
        <v>183.40543176145695</v>
      </c>
      <c r="L434" s="28">
        <f>(L429*$D$447*(Inputs!$D$7-Inputs!$D$19)-L433)/(Inputs!$D$7+$D$448)^L422</f>
        <v>166.74308803332551</v>
      </c>
      <c r="M434" s="28">
        <f>(M429*$D$447*(Inputs!$D$7-Inputs!$D$19)-M433)/(Inputs!$D$7+$D$448)^M422</f>
        <v>151.55496194429571</v>
      </c>
    </row>
    <row r="435" spans="2:13" ht="15" customHeight="1" x14ac:dyDescent="0.2">
      <c r="B435" s="10" t="s">
        <v>902</v>
      </c>
      <c r="C435" s="10" t="s">
        <v>110</v>
      </c>
      <c r="D435" s="16">
        <f>(D430*Inputs!$D$19-D431-D432)/(Inputs!$D$7+$D$448)^D422</f>
        <v>-14027.24269342025</v>
      </c>
      <c r="E435" s="16">
        <f>(E430*Inputs!$D$19-E431-E432)/(Inputs!$D$7+$D$448)^E422</f>
        <v>-15853.087323826181</v>
      </c>
      <c r="F435" s="16">
        <f>(F430*Inputs!$D$19-F431-F432)/(Inputs!$D$7+$D$448)^F422</f>
        <v>-9394.4767487293357</v>
      </c>
      <c r="G435" s="16">
        <f>(G430*Inputs!$D$19-G431-G432)/(Inputs!$D$7+$D$448)^G422</f>
        <v>923.61320322684639</v>
      </c>
      <c r="H435" s="16">
        <f>(H430*Inputs!$D$19-H431-H432)/(Inputs!$D$7+$D$448)^H422</f>
        <v>-6972.3744918015345</v>
      </c>
      <c r="I435" s="16">
        <f>(I430*Inputs!$D$19-I431-I432)/(Inputs!$D$7+$D$448)^I422</f>
        <v>-9214.0648467907959</v>
      </c>
      <c r="J435" s="16">
        <f>(J430*Inputs!$D$19-J431-J432)/(Inputs!$D$7+$D$448)^J422</f>
        <v>-5761.5411965591911</v>
      </c>
      <c r="K435" s="16">
        <f>(K430*Inputs!$D$19-K431-K432)/(Inputs!$D$7+$D$448)^K422</f>
        <v>630.8402453567694</v>
      </c>
      <c r="L435" s="16">
        <f>(L430*Inputs!$D$19-L431-L432)/(Inputs!$D$7+$D$448)^L422</f>
        <v>-4762.2255937446444</v>
      </c>
      <c r="M435" s="16">
        <f>(M430*Inputs!$D$19-M431-M432)/(Inputs!$D$7+$D$448)^M422</f>
        <v>-6293.3302689644106</v>
      </c>
    </row>
    <row r="436" spans="2:13" ht="15" customHeight="1" x14ac:dyDescent="0.2">
      <c r="B436" s="10" t="s">
        <v>903</v>
      </c>
      <c r="C436" s="10" t="s">
        <v>110</v>
      </c>
      <c r="D436" s="16">
        <f t="shared" ref="D436:M436" si="95">D429*$D$446</f>
        <v>5642.500823125748</v>
      </c>
      <c r="E436" s="16">
        <f t="shared" si="95"/>
        <v>21498.489978296326</v>
      </c>
      <c r="F436" s="16">
        <f t="shared" si="95"/>
        <v>35100.721620781616</v>
      </c>
      <c r="G436" s="16">
        <f t="shared" si="95"/>
        <v>40930.249467561029</v>
      </c>
      <c r="H436" s="16">
        <f t="shared" si="95"/>
        <v>40930.249467561029</v>
      </c>
      <c r="I436" s="16">
        <f t="shared" si="95"/>
        <v>40930.249467561029</v>
      </c>
      <c r="J436" s="16">
        <f t="shared" si="95"/>
        <v>40930.249467561029</v>
      </c>
      <c r="K436" s="16">
        <f t="shared" si="95"/>
        <v>40930.249467561029</v>
      </c>
      <c r="L436" s="16">
        <f t="shared" si="95"/>
        <v>40930.249467561029</v>
      </c>
      <c r="M436" s="16">
        <f t="shared" si="95"/>
        <v>40930.249467561029</v>
      </c>
    </row>
    <row r="437" spans="2:13" ht="15" customHeight="1" x14ac:dyDescent="0.2">
      <c r="B437" s="10" t="s">
        <v>904</v>
      </c>
      <c r="C437" s="10" t="s">
        <v>110</v>
      </c>
      <c r="D437" s="16">
        <f t="shared" ref="D437:M437" si="96">D436*$D$447</f>
        <v>3385.5004938754487</v>
      </c>
      <c r="E437" s="16">
        <f t="shared" si="96"/>
        <v>12899.093986977796</v>
      </c>
      <c r="F437" s="16">
        <f t="shared" si="96"/>
        <v>21060.432972468971</v>
      </c>
      <c r="G437" s="16">
        <f t="shared" si="96"/>
        <v>24558.149680536615</v>
      </c>
      <c r="H437" s="16">
        <f t="shared" si="96"/>
        <v>24558.149680536615</v>
      </c>
      <c r="I437" s="16">
        <f t="shared" si="96"/>
        <v>24558.149680536615</v>
      </c>
      <c r="J437" s="16">
        <f t="shared" si="96"/>
        <v>24558.149680536615</v>
      </c>
      <c r="K437" s="16">
        <f t="shared" si="96"/>
        <v>24558.149680536615</v>
      </c>
      <c r="L437" s="16">
        <f t="shared" si="96"/>
        <v>24558.149680536615</v>
      </c>
      <c r="M437" s="16">
        <f t="shared" si="96"/>
        <v>24558.149680536615</v>
      </c>
    </row>
    <row r="438" spans="2:13" ht="15" customHeight="1" x14ac:dyDescent="0.2">
      <c r="B438" s="10" t="s">
        <v>905</v>
      </c>
      <c r="C438" s="10" t="s">
        <v>110</v>
      </c>
      <c r="D438" s="16">
        <f t="shared" ref="D438:M438" si="97">D437-D430</f>
        <v>1568.5232079430068</v>
      </c>
      <c r="E438" s="16">
        <f t="shared" si="97"/>
        <v>5976.2296052280872</v>
      </c>
      <c r="F438" s="16">
        <f t="shared" si="97"/>
        <v>9757.4281694554702</v>
      </c>
      <c r="G438" s="16">
        <f t="shared" si="97"/>
        <v>11377.941839838633</v>
      </c>
      <c r="H438" s="16">
        <f t="shared" si="97"/>
        <v>11377.941839838633</v>
      </c>
      <c r="I438" s="16">
        <f t="shared" si="97"/>
        <v>11377.941839838633</v>
      </c>
      <c r="J438" s="16">
        <f t="shared" si="97"/>
        <v>11377.941839838633</v>
      </c>
      <c r="K438" s="16">
        <f t="shared" si="97"/>
        <v>11377.941839838633</v>
      </c>
      <c r="L438" s="16">
        <f t="shared" si="97"/>
        <v>11377.941839838633</v>
      </c>
      <c r="M438" s="16">
        <f t="shared" si="97"/>
        <v>11377.941839838633</v>
      </c>
    </row>
    <row r="439" spans="2:13" ht="15" customHeight="1" x14ac:dyDescent="0.2">
      <c r="B439" s="10" t="s">
        <v>906</v>
      </c>
      <c r="C439" s="10" t="s">
        <v>110</v>
      </c>
      <c r="D439" s="16">
        <f>MAX(D438,Inputs!$D$6)*Inputs!$D$19</f>
        <v>470.55696238290204</v>
      </c>
      <c r="E439" s="16">
        <f>MAX(E438,Inputs!$D$6)*Inputs!$D$19</f>
        <v>1792.8688815684261</v>
      </c>
      <c r="F439" s="16">
        <f>MAX(F438,Inputs!$D$6)*Inputs!$D$19</f>
        <v>2927.2284508366411</v>
      </c>
      <c r="G439" s="16">
        <f>MAX(G438,Inputs!$D$6)*Inputs!$D$19</f>
        <v>3413.3825519515899</v>
      </c>
      <c r="H439" s="16">
        <f>MAX(H438,Inputs!$D$6)*Inputs!$D$19</f>
        <v>3413.3825519515899</v>
      </c>
      <c r="I439" s="16">
        <f>MAX(I438,Inputs!$D$6)*Inputs!$D$19</f>
        <v>3413.3825519515899</v>
      </c>
      <c r="J439" s="16">
        <f>MAX(J438,Inputs!$D$6)*Inputs!$D$19</f>
        <v>3413.3825519515899</v>
      </c>
      <c r="K439" s="16">
        <f>MAX(K438,Inputs!$D$6)*Inputs!$D$19</f>
        <v>3413.3825519515899</v>
      </c>
      <c r="L439" s="16">
        <f>MAX(L438,Inputs!$D$6)*Inputs!$D$19</f>
        <v>3413.3825519515899</v>
      </c>
      <c r="M439" s="16">
        <f>MAX(M438,Inputs!$D$6)*Inputs!$D$19</f>
        <v>3413.3825519515899</v>
      </c>
    </row>
    <row r="440" spans="2:13" ht="15" customHeight="1" x14ac:dyDescent="0.2">
      <c r="B440" s="10" t="s">
        <v>907</v>
      </c>
      <c r="C440" s="10" t="s">
        <v>110</v>
      </c>
      <c r="D440" s="16">
        <f t="shared" ref="D440:M440" si="98">D433*$D$446</f>
        <v>291.47639233897058</v>
      </c>
      <c r="E440" s="16">
        <f t="shared" si="98"/>
        <v>388.63518978529407</v>
      </c>
      <c r="F440" s="16">
        <f t="shared" si="98"/>
        <v>291.47639233897058</v>
      </c>
      <c r="G440" s="16">
        <f t="shared" si="98"/>
        <v>0</v>
      </c>
      <c r="H440" s="16">
        <f t="shared" si="98"/>
        <v>0</v>
      </c>
      <c r="I440" s="16">
        <f t="shared" si="98"/>
        <v>0</v>
      </c>
      <c r="J440" s="16">
        <f t="shared" si="98"/>
        <v>0</v>
      </c>
      <c r="K440" s="16">
        <f t="shared" si="98"/>
        <v>0</v>
      </c>
      <c r="L440" s="16">
        <f t="shared" si="98"/>
        <v>0</v>
      </c>
      <c r="M440" s="16">
        <f t="shared" si="98"/>
        <v>0</v>
      </c>
    </row>
    <row r="441" spans="2:13" ht="15" customHeight="1" x14ac:dyDescent="0.2">
      <c r="B441" s="10" t="s">
        <v>908</v>
      </c>
      <c r="C441" s="10" t="s">
        <v>110</v>
      </c>
      <c r="D441" s="16">
        <f t="shared" ref="D441:M441" si="99">D437-D439-D431-D432-D440</f>
        <v>-12937.501480992578</v>
      </c>
      <c r="E441" s="16">
        <f t="shared" si="99"/>
        <v>-10030.368244570795</v>
      </c>
      <c r="F441" s="16">
        <f t="shared" si="99"/>
        <v>2280.7595091472072</v>
      </c>
      <c r="G441" s="16">
        <f t="shared" si="99"/>
        <v>18506.762280017854</v>
      </c>
      <c r="H441" s="16">
        <f t="shared" si="99"/>
        <v>6262.9789067767451</v>
      </c>
      <c r="I441" s="16">
        <f t="shared" si="99"/>
        <v>1302.3828328406489</v>
      </c>
      <c r="J441" s="16">
        <f t="shared" si="99"/>
        <v>6262.9789067767451</v>
      </c>
      <c r="K441" s="16">
        <f t="shared" si="99"/>
        <v>18506.762280017854</v>
      </c>
      <c r="L441" s="16">
        <f t="shared" si="99"/>
        <v>6262.9789067767451</v>
      </c>
      <c r="M441" s="16">
        <f t="shared" si="99"/>
        <v>1302.3828328406489</v>
      </c>
    </row>
    <row r="442" spans="2:13" ht="15" customHeight="1" x14ac:dyDescent="0.2">
      <c r="B442" s="10" t="s">
        <v>909</v>
      </c>
      <c r="C442" s="10" t="s">
        <v>110</v>
      </c>
      <c r="D442" s="16">
        <f>D441/(Inputs!$D$7+$D$448)^D422</f>
        <v>-12085.707151314289</v>
      </c>
      <c r="E442" s="16">
        <f>E441/(Inputs!$D$7+$D$448)^E422</f>
        <v>-8516.4941274032572</v>
      </c>
      <c r="F442" s="16">
        <f>F441/(Inputs!$D$7+$D$448)^F422</f>
        <v>1760.5935828088927</v>
      </c>
      <c r="G442" s="16">
        <f>G441/(Inputs!$D$7+$D$448)^G422</f>
        <v>12988.102680543594</v>
      </c>
      <c r="H442" s="16">
        <f>H441/(Inputs!$D$7+$D$448)^H422</f>
        <v>3996.0587311021291</v>
      </c>
      <c r="I442" s="16">
        <f>I441/(Inputs!$D$7+$D$448)^I422</f>
        <v>755.28680245705732</v>
      </c>
      <c r="J442" s="16">
        <f>J441/(Inputs!$D$7+$D$448)^J422</f>
        <v>3302.0970158999767</v>
      </c>
      <c r="K442" s="16">
        <f>K441/(Inputs!$D$7+$D$448)^K422</f>
        <v>8871.0488904744143</v>
      </c>
      <c r="L442" s="16">
        <f>L441/(Inputs!$D$7+$D$448)^L422</f>
        <v>2729.3618817718243</v>
      </c>
      <c r="M442" s="16">
        <f>M441/(Inputs!$D$7+$D$448)^M422</f>
        <v>515.87104873783017</v>
      </c>
    </row>
    <row r="443" spans="2:13" ht="15" customHeight="1" x14ac:dyDescent="0.2">
      <c r="B443" s="3" t="s">
        <v>910</v>
      </c>
      <c r="C443" s="10" t="s">
        <v>896</v>
      </c>
      <c r="D443" s="28">
        <f>(D429*$D$447-D433)/(Inputs!$D$7+$D$448)^D422</f>
        <v>64.330856237917445</v>
      </c>
      <c r="E443" s="28">
        <f>(E429*$D$447-E433)/(Inputs!$D$7+$D$448)^E422</f>
        <v>236.42380139523098</v>
      </c>
      <c r="F443" s="28">
        <f>(F429*$D$447-F433)/(Inputs!$D$7+$D$448)^F422</f>
        <v>356.83568908039001</v>
      </c>
      <c r="G443" s="28">
        <f>(G429*$D$447-G433)/(Inputs!$D$7+$D$448)^G422</f>
        <v>383.60556091707036</v>
      </c>
      <c r="H443" s="28">
        <f>(H429*$D$447-H433)/(Inputs!$D$7+$D$448)^H422</f>
        <v>348.75507884227414</v>
      </c>
      <c r="I443" s="28">
        <f>(I429*$D$447-I433)/(Inputs!$D$7+$D$448)^I422</f>
        <v>316.98802826091918</v>
      </c>
      <c r="J443" s="28">
        <f>(J429*$D$447-J433)/(Inputs!$D$7+$D$448)^J422</f>
        <v>288.18973459066564</v>
      </c>
      <c r="K443" s="28">
        <f>(K429*$D$447-K433)/(Inputs!$D$7+$D$448)^K422</f>
        <v>262.00775965922423</v>
      </c>
      <c r="L443" s="28">
        <f>(L429*$D$447-L433)/(Inputs!$D$7+$D$448)^L422</f>
        <v>238.2044114761793</v>
      </c>
      <c r="M443" s="28">
        <f>(M429*$D$447-M433)/(Inputs!$D$7+$D$448)^M422</f>
        <v>216.50708849185102</v>
      </c>
    </row>
    <row r="444" spans="2:13" ht="15" customHeight="1" x14ac:dyDescent="0.2">
      <c r="B444" s="10" t="s">
        <v>911</v>
      </c>
      <c r="C444" s="10" t="s">
        <v>110</v>
      </c>
      <c r="D444" s="16">
        <f>(-D431-D432)/(Inputs!$D$7+$D$448)^D422</f>
        <v>-14536.447397527105</v>
      </c>
      <c r="E444" s="16">
        <f>(-E431-E432)/(Inputs!$D$7+$D$448)^E422</f>
        <v>-17616.488200475756</v>
      </c>
      <c r="F444" s="16">
        <f>(-F431-F432)/(Inputs!$D$7+$D$448)^F422</f>
        <v>-12012.025548964448</v>
      </c>
      <c r="G444" s="16">
        <f>(-G431-G432)/(Inputs!$D$7+$D$448)^G422</f>
        <v>-1851.359915178487</v>
      </c>
      <c r="H444" s="16">
        <f>(-H431-H432)/(Inputs!$D$7+$D$448)^H422</f>
        <v>-9495.2419037884629</v>
      </c>
      <c r="I444" s="16">
        <f>(-I431-I432)/(Inputs!$D$7+$D$448)^I422</f>
        <v>-11507.131858586603</v>
      </c>
      <c r="J444" s="16">
        <f>(-J431-J432)/(Inputs!$D$7+$D$448)^J422</f>
        <v>-7846.2835672839774</v>
      </c>
      <c r="K444" s="16">
        <f>(-K431-K432)/(Inputs!$D$7+$D$448)^K422</f>
        <v>-1264.5037327904422</v>
      </c>
      <c r="L444" s="16">
        <f>(-L431-L432)/(Inputs!$D$7+$D$448)^L422</f>
        <v>-6485.3779822337692</v>
      </c>
      <c r="M444" s="16">
        <f>(-M431-M432)/(Inputs!$D$7+$D$448)^M422</f>
        <v>-7859.5258920747219</v>
      </c>
    </row>
    <row r="445" spans="2:13" ht="15" customHeight="1" x14ac:dyDescent="0.2">
      <c r="B445" s="10" t="s">
        <v>912</v>
      </c>
      <c r="C445" s="10" t="s">
        <v>110</v>
      </c>
      <c r="D445" s="16">
        <f>Prices!K7</f>
        <v>50083.245841420365</v>
      </c>
    </row>
    <row r="446" spans="2:13" ht="15" customHeight="1" x14ac:dyDescent="0.2">
      <c r="B446" s="3" t="s">
        <v>913</v>
      </c>
      <c r="C446" s="10" t="s">
        <v>914</v>
      </c>
      <c r="D446" s="28">
        <f>IF(J453&gt;=J449,J453,(D445-J452)/J451)</f>
        <v>44.928923674600469</v>
      </c>
      <c r="G446" s="99" t="s">
        <v>915</v>
      </c>
      <c r="H446" s="91"/>
      <c r="I446" s="91"/>
      <c r="J446" s="28">
        <f>D446*Inputs!$D$15</f>
        <v>31.355895832503666</v>
      </c>
      <c r="K446" s="99" t="s">
        <v>916</v>
      </c>
      <c r="L446" s="91"/>
      <c r="M446" s="91"/>
    </row>
    <row r="447" spans="2:13" ht="15" customHeight="1" x14ac:dyDescent="0.2">
      <c r="B447" s="10" t="s">
        <v>917</v>
      </c>
      <c r="C447" s="10" t="s">
        <v>104</v>
      </c>
      <c r="D447" s="30">
        <f>Inputs!$D$81</f>
        <v>0.6</v>
      </c>
      <c r="G447" s="99" t="s">
        <v>918</v>
      </c>
      <c r="H447" s="91"/>
      <c r="I447" s="91"/>
      <c r="J447" s="28">
        <f>IF(-D458/D457&gt;=J449,-D458/D457,-J452/J451)</f>
        <v>32.284876648616972</v>
      </c>
      <c r="K447" s="99" t="s">
        <v>919</v>
      </c>
      <c r="L447" s="91"/>
      <c r="M447" s="91"/>
    </row>
    <row r="448" spans="2:13" ht="15" customHeight="1" x14ac:dyDescent="0.2">
      <c r="B448" s="10" t="s">
        <v>920</v>
      </c>
      <c r="C448" s="10" t="s">
        <v>104</v>
      </c>
      <c r="D448" s="30">
        <f>Inputs!$D$82</f>
        <v>0.1</v>
      </c>
      <c r="G448" s="99" t="s">
        <v>918</v>
      </c>
      <c r="H448" s="91"/>
      <c r="I448" s="91"/>
      <c r="J448" s="28">
        <f>J447*Inputs!$D$15</f>
        <v>22.531615413069783</v>
      </c>
      <c r="K448" s="99" t="s">
        <v>916</v>
      </c>
      <c r="L448" s="91"/>
      <c r="M448" s="91"/>
    </row>
    <row r="449" spans="2:13" ht="15" customHeight="1" x14ac:dyDescent="0.2">
      <c r="B449" s="3" t="s">
        <v>921</v>
      </c>
      <c r="C449" s="10" t="s">
        <v>848</v>
      </c>
      <c r="D449" s="28">
        <f>Capital!$D$13</f>
        <v>57.347931490590682</v>
      </c>
      <c r="G449" s="99" t="s">
        <v>922</v>
      </c>
      <c r="H449" s="91"/>
      <c r="I449" s="91"/>
      <c r="J449" s="28">
        <f>($D$449/Inputs!$D$21+$D$450/Inputs!$D$22)/$D$447</f>
        <v>24.113076913095469</v>
      </c>
      <c r="K449" s="99" t="s">
        <v>919</v>
      </c>
      <c r="L449" s="91"/>
      <c r="M449" s="91"/>
    </row>
    <row r="450" spans="2:13" ht="15" customHeight="1" x14ac:dyDescent="0.2">
      <c r="B450" s="3" t="s">
        <v>923</v>
      </c>
      <c r="C450" s="10" t="s">
        <v>848</v>
      </c>
      <c r="D450" s="28">
        <f>Capital!$D$14</f>
        <v>2.6172655041921802</v>
      </c>
    </row>
    <row r="451" spans="2:13" ht="15" customHeight="1" x14ac:dyDescent="0.2">
      <c r="B451" s="10" t="s">
        <v>924</v>
      </c>
      <c r="C451" s="10" t="s">
        <v>896</v>
      </c>
      <c r="D451" s="28">
        <f>(M424*(Inputs!$D$7+Inputs!$D$20)*$D$447*(Inputs!$D$7-Inputs!$D$19)-M424*Inputs!$D$20*Inputs!$D$23)/($D$448-Inputs!$D$20)/(Inputs!$D$7+$D$448)^M422</f>
        <v>2068.2441036763203</v>
      </c>
      <c r="G451" s="92" t="s">
        <v>910</v>
      </c>
      <c r="H451" s="91"/>
      <c r="I451" s="91"/>
      <c r="J451" s="28">
        <f>SUM(D443:M443)+(M424*(Inputs!$D$7+Inputs!$D$20)*$D$447-M424*Inputs!$D$20*Inputs!$D$23)/($D$448-Inputs!$D$20)/(Inputs!$D$7+$D$448)^M422</f>
        <v>5667.7711754446318</v>
      </c>
      <c r="K451" s="99" t="s">
        <v>896</v>
      </c>
      <c r="L451" s="91"/>
      <c r="M451" s="91"/>
    </row>
    <row r="452" spans="2:13" ht="15" customHeight="1" x14ac:dyDescent="0.2">
      <c r="B452" s="10" t="s">
        <v>925</v>
      </c>
      <c r="C452" s="10" t="s">
        <v>110</v>
      </c>
      <c r="D452" s="16">
        <f>(D455*Inputs!$D$19-D455-D456)/($D$448-Inputs!$D$20)/(Inputs!$D$7+$D$448)^M422</f>
        <v>-57156.954988173631</v>
      </c>
      <c r="G452" s="92" t="s">
        <v>926</v>
      </c>
      <c r="H452" s="91"/>
      <c r="I452" s="91"/>
      <c r="J452" s="16">
        <f>SUM(D444:M444)-(D455+D456)/($D$448-Inputs!$D$20)/(Inputs!$D$7+$D$448)^M422</f>
        <v>-169036.01450291832</v>
      </c>
      <c r="K452" s="99" t="s">
        <v>110</v>
      </c>
      <c r="L452" s="91"/>
      <c r="M452" s="91"/>
    </row>
    <row r="453" spans="2:13" ht="15" customHeight="1" x14ac:dyDescent="0.2">
      <c r="B453" s="10" t="s">
        <v>927</v>
      </c>
      <c r="C453" s="10" t="s">
        <v>928</v>
      </c>
      <c r="D453" s="16">
        <f>(M424*(Inputs!$D$7+Inputs!$D$20)*$D$446*$D$447-D455)-MAX((M424*(Inputs!$D$7+Inputs!$D$20)*$D$446*$D$447-D455),Inputs!$D$6)*Inputs!$D$19-D456-M424*Inputs!$D$20*$D$446*Inputs!$D$23</f>
        <v>6772.3845026108147</v>
      </c>
      <c r="G453" s="99" t="s">
        <v>929</v>
      </c>
      <c r="H453" s="91"/>
      <c r="I453" s="91"/>
      <c r="J453" s="28">
        <f>(D445-D458)/D457</f>
        <v>44.928923674600469</v>
      </c>
      <c r="K453" s="99" t="s">
        <v>919</v>
      </c>
      <c r="L453" s="91"/>
      <c r="M453" s="91"/>
    </row>
    <row r="454" spans="2:13" ht="15" customHeight="1" x14ac:dyDescent="0.2">
      <c r="B454" s="10" t="s">
        <v>930</v>
      </c>
      <c r="C454" s="10" t="s">
        <v>110</v>
      </c>
      <c r="D454" s="16">
        <f>D453/($D$448-Inputs!$D$20)</f>
        <v>90298.460034810851</v>
      </c>
      <c r="G454" s="99" t="s">
        <v>931</v>
      </c>
      <c r="H454" s="91"/>
      <c r="I454" s="91"/>
      <c r="J454" s="16">
        <f>MIN(D438:M438,(M424*(Inputs!$D$7+Inputs!$D$20)*$D$446*$D$447-D455))</f>
        <v>1568.5232079430068</v>
      </c>
      <c r="K454" s="99" t="s">
        <v>110</v>
      </c>
      <c r="L454" s="91"/>
      <c r="M454" s="91"/>
    </row>
    <row r="455" spans="2:13" ht="15" customHeight="1" x14ac:dyDescent="0.2">
      <c r="B455" s="10" t="s">
        <v>932</v>
      </c>
      <c r="C455" s="10" t="s">
        <v>928</v>
      </c>
      <c r="D455" s="16">
        <f>M424*(Inputs!$D$7+Inputs!$D$20)*($D$449/Inputs!$D$21+$D$450/Inputs!$D$22)</f>
        <v>13509.71303671543</v>
      </c>
      <c r="G455" s="99" t="s">
        <v>933</v>
      </c>
      <c r="H455" s="91"/>
      <c r="I455" s="91"/>
      <c r="J455" s="31" t="str">
        <f>IF(J454&lt;Inputs!$D$6,"breached","satisfied")</f>
        <v>satisfied</v>
      </c>
      <c r="K455" s="99" t="s">
        <v>934</v>
      </c>
      <c r="L455" s="91"/>
      <c r="M455" s="91"/>
    </row>
    <row r="456" spans="2:13" ht="15" customHeight="1" x14ac:dyDescent="0.2">
      <c r="B456" s="10" t="s">
        <v>935</v>
      </c>
      <c r="C456" s="10" t="s">
        <v>928</v>
      </c>
      <c r="D456" s="16">
        <f>M424*Inputs!$D$20*($D$449+$D$450)</f>
        <v>1365.7073615561799</v>
      </c>
    </row>
    <row r="457" spans="2:13" ht="15" customHeight="1" x14ac:dyDescent="0.2">
      <c r="B457" s="10" t="s">
        <v>936</v>
      </c>
      <c r="C457" s="10" t="s">
        <v>896</v>
      </c>
      <c r="D457" s="28">
        <f>SUM(D434:M434)+D451</f>
        <v>3961.0138857044249</v>
      </c>
      <c r="G457" s="99" t="s">
        <v>937</v>
      </c>
      <c r="H457" s="91"/>
      <c r="I457" s="91"/>
      <c r="J457" s="16">
        <f>D459-D445</f>
        <v>0</v>
      </c>
      <c r="K457" s="99" t="s">
        <v>110</v>
      </c>
      <c r="L457" s="91"/>
      <c r="M457" s="91"/>
    </row>
    <row r="458" spans="2:13" ht="15" customHeight="1" x14ac:dyDescent="0.2">
      <c r="B458" s="10" t="s">
        <v>938</v>
      </c>
      <c r="C458" s="10" t="s">
        <v>110</v>
      </c>
      <c r="D458" s="16">
        <f>SUM(D435:M435)+D452</f>
        <v>-127880.84470342637</v>
      </c>
    </row>
    <row r="459" spans="2:13" ht="15" customHeight="1" x14ac:dyDescent="0.2">
      <c r="B459" s="10" t="s">
        <v>939</v>
      </c>
      <c r="C459" s="10" t="s">
        <v>110</v>
      </c>
      <c r="D459" s="16">
        <f>SUM(D442:M442)+D454/(Inputs!$D$7+$D$448)^M422</f>
        <v>50083.245841420401</v>
      </c>
    </row>
    <row r="460" spans="2:13" ht="15" customHeight="1" x14ac:dyDescent="0.2">
      <c r="B460" s="10" t="s">
        <v>940</v>
      </c>
      <c r="C460" s="10" t="s">
        <v>104</v>
      </c>
      <c r="D460" s="30">
        <f>IF(ABS(D445)&gt;Inputs!$D$6,D459/D445-Inputs!$D$7,Inputs!$D$6)</f>
        <v>6.6613381477509392E-16</v>
      </c>
    </row>
    <row r="461" spans="2:13" ht="15" customHeight="1" x14ac:dyDescent="0.2">
      <c r="B461" s="10" t="s">
        <v>941</v>
      </c>
      <c r="C461" s="10" t="s">
        <v>104</v>
      </c>
      <c r="D461" s="30">
        <f>IF(ABS(D459)&gt;Inputs!$D$119,D454/(Inputs!$D$7+$D$448)^M422/D459,Inputs!$D$6)</f>
        <v>0.71415152683178917</v>
      </c>
    </row>
    <row r="462" spans="2:13" ht="15" customHeight="1" x14ac:dyDescent="0.2">
      <c r="B462" s="10" t="s">
        <v>942</v>
      </c>
      <c r="C462" s="10" t="s">
        <v>943</v>
      </c>
      <c r="D462" s="26">
        <f>$D$446*Inputs!$D$8/Prices!$P$6/(Inputs!$D$26/Inputs!$D$25)/Inputs!$D$11/Inputs!$D$56</f>
        <v>8.1704612428352323</v>
      </c>
    </row>
    <row r="466" spans="1:13" ht="15" customHeight="1" x14ac:dyDescent="0.2">
      <c r="A466" s="104" t="s">
        <v>953</v>
      </c>
      <c r="B466" s="10" t="s">
        <v>886</v>
      </c>
      <c r="C466" s="10" t="s">
        <v>107</v>
      </c>
      <c r="D466" s="28">
        <f>Inputs!$D$60</f>
        <v>1</v>
      </c>
      <c r="E466" s="28">
        <f>Inputs!$D$62</f>
        <v>2</v>
      </c>
      <c r="F466" s="28">
        <f>Inputs!$D$64</f>
        <v>3</v>
      </c>
      <c r="G466" s="28">
        <f>Inputs!$D$66</f>
        <v>4</v>
      </c>
      <c r="H466" s="28">
        <f>Inputs!$D$68</f>
        <v>5</v>
      </c>
      <c r="I466" s="28">
        <f>Inputs!$D$70</f>
        <v>6</v>
      </c>
      <c r="J466" s="28">
        <f>Inputs!$D$72</f>
        <v>7</v>
      </c>
      <c r="K466" s="28">
        <f>Inputs!$D$74</f>
        <v>8</v>
      </c>
      <c r="L466" s="28">
        <f>Inputs!$D$76</f>
        <v>9</v>
      </c>
      <c r="M466" s="28">
        <f>Inputs!$D$78</f>
        <v>10</v>
      </c>
    </row>
    <row r="467" spans="1:13" ht="15" customHeight="1" x14ac:dyDescent="0.2">
      <c r="A467" s="91"/>
      <c r="B467" s="10" t="s">
        <v>887</v>
      </c>
      <c r="C467" s="10" t="s">
        <v>161</v>
      </c>
      <c r="D467" s="29">
        <f>Inputs!$D$61</f>
        <v>46568</v>
      </c>
      <c r="E467" s="29">
        <f>Inputs!$D$63</f>
        <v>46934</v>
      </c>
      <c r="F467" s="29">
        <f>Inputs!$D$65</f>
        <v>47299</v>
      </c>
      <c r="G467" s="29">
        <f>Inputs!$D$67</f>
        <v>47664</v>
      </c>
      <c r="H467" s="29">
        <f>Inputs!$D$69</f>
        <v>48029</v>
      </c>
      <c r="I467" s="29">
        <f>Inputs!$D$71</f>
        <v>48395</v>
      </c>
      <c r="J467" s="29">
        <f>Inputs!$D$73</f>
        <v>48760</v>
      </c>
      <c r="K467" s="29">
        <f>Inputs!$D$75</f>
        <v>49125</v>
      </c>
      <c r="L467" s="29">
        <f>Inputs!$D$77</f>
        <v>49490</v>
      </c>
      <c r="M467" s="29">
        <f>Inputs!$D$79</f>
        <v>49856</v>
      </c>
    </row>
    <row r="468" spans="1:13" ht="15" customHeight="1" x14ac:dyDescent="0.2">
      <c r="A468" s="91"/>
      <c r="B468" s="10" t="s">
        <v>888</v>
      </c>
      <c r="C468" s="10" t="s">
        <v>107</v>
      </c>
      <c r="D468" s="28">
        <f>(D467-Inputs!$D$13)/Inputs!$D$10</f>
        <v>0.71457905544147848</v>
      </c>
      <c r="E468" s="28">
        <f>(E467-Inputs!$D$13)/Inputs!$D$10</f>
        <v>1.7166324435318274</v>
      </c>
      <c r="F468" s="28">
        <f>(F467-Inputs!$D$13)/Inputs!$D$10</f>
        <v>2.7159479808350446</v>
      </c>
      <c r="G468" s="28">
        <f>(G467-Inputs!$D$13)/Inputs!$D$10</f>
        <v>3.7152635181382614</v>
      </c>
      <c r="H468" s="28">
        <f>(H467-Inputs!$D$13)/Inputs!$D$10</f>
        <v>4.7145790554414786</v>
      </c>
      <c r="I468" s="28">
        <f>(I467-Inputs!$D$13)/Inputs!$D$10</f>
        <v>5.7166324435318279</v>
      </c>
      <c r="J468" s="28">
        <f>(J467-Inputs!$D$13)/Inputs!$D$10</f>
        <v>6.7159479808350442</v>
      </c>
      <c r="K468" s="28">
        <f>(K467-Inputs!$D$13)/Inputs!$D$10</f>
        <v>7.7152635181382614</v>
      </c>
      <c r="L468" s="28">
        <f>(L467-Inputs!$D$13)/Inputs!$D$10</f>
        <v>8.7145790554414777</v>
      </c>
      <c r="M468" s="28">
        <f>(M467-Inputs!$D$13)/Inputs!$D$10</f>
        <v>9.716632443531827</v>
      </c>
    </row>
    <row r="469" spans="1:13" ht="15" customHeight="1" x14ac:dyDescent="0.2">
      <c r="A469" s="91"/>
      <c r="B469" s="10" t="s">
        <v>889</v>
      </c>
      <c r="C469" s="10" t="s">
        <v>107</v>
      </c>
      <c r="D469" s="28">
        <f>D468</f>
        <v>0.71457905544147848</v>
      </c>
      <c r="E469" s="28">
        <f>Inputs!$D$7</f>
        <v>1</v>
      </c>
      <c r="F469" s="28">
        <f>Inputs!$D$7</f>
        <v>1</v>
      </c>
      <c r="G469" s="28">
        <f>Inputs!$D$7</f>
        <v>1</v>
      </c>
      <c r="H469" s="28">
        <f>Inputs!$D$7</f>
        <v>1</v>
      </c>
      <c r="I469" s="28">
        <f>Inputs!$D$7</f>
        <v>1</v>
      </c>
      <c r="J469" s="28">
        <f>Inputs!$D$7</f>
        <v>1</v>
      </c>
      <c r="K469" s="28">
        <f>Inputs!$D$7</f>
        <v>1</v>
      </c>
      <c r="L469" s="28">
        <f>Inputs!$D$7</f>
        <v>1</v>
      </c>
      <c r="M469" s="28">
        <f>Inputs!$D$7</f>
        <v>1</v>
      </c>
    </row>
    <row r="470" spans="1:13" ht="15" customHeight="1" x14ac:dyDescent="0.2">
      <c r="A470" s="91"/>
      <c r="B470" s="3" t="s">
        <v>890</v>
      </c>
      <c r="C470" s="10" t="s">
        <v>199</v>
      </c>
      <c r="D470" s="28">
        <f>Inputs!$D$24+(Inputs!$D$93-Inputs!$D$24)*Inputs!$D$96</f>
        <v>279.10000000000002</v>
      </c>
      <c r="E470" s="28">
        <f>Inputs!$D$24+(Inputs!$D$93-Inputs!$D$24)*Inputs!$D$97</f>
        <v>900.7</v>
      </c>
      <c r="F470" s="28">
        <f>Inputs!$D$24+(Inputs!$D$93-Inputs!$D$24)*Inputs!$D$98</f>
        <v>1366.8999999999999</v>
      </c>
      <c r="G470" s="28">
        <f>Inputs!$D$24+(Inputs!$D$93-Inputs!$D$24)*Inputs!$D$99</f>
        <v>1600</v>
      </c>
      <c r="H470" s="28">
        <f>Inputs!$D$24+(Inputs!$D$93-Inputs!$D$24)*Inputs!$D$100</f>
        <v>1600</v>
      </c>
      <c r="I470" s="28">
        <f>Inputs!$D$24+(Inputs!$D$93-Inputs!$D$24)*Inputs!$D$101</f>
        <v>1600</v>
      </c>
      <c r="J470" s="28">
        <f>Inputs!$D$24+(Inputs!$D$93-Inputs!$D$24)*Inputs!$D$102</f>
        <v>1600</v>
      </c>
      <c r="K470" s="28">
        <f>Inputs!$D$24+(Inputs!$D$93-Inputs!$D$24)*Inputs!$D$103</f>
        <v>1600</v>
      </c>
      <c r="L470" s="28">
        <f>Inputs!$D$24+(Inputs!$D$93-Inputs!$D$24)*Inputs!$D$104</f>
        <v>1600</v>
      </c>
      <c r="M470" s="28">
        <f>Inputs!$D$24+(Inputs!$D$93-Inputs!$D$24)*Inputs!$D$105</f>
        <v>1600</v>
      </c>
    </row>
    <row r="471" spans="1:13" ht="15" customHeight="1" x14ac:dyDescent="0.2">
      <c r="A471" s="91"/>
      <c r="B471" s="10" t="s">
        <v>891</v>
      </c>
      <c r="C471" s="10" t="s">
        <v>199</v>
      </c>
      <c r="D471" s="28">
        <f>Inputs!$D$24</f>
        <v>46</v>
      </c>
      <c r="E471" s="28">
        <f t="shared" ref="E471:M471" si="100">D470</f>
        <v>279.10000000000002</v>
      </c>
      <c r="F471" s="28">
        <f t="shared" si="100"/>
        <v>900.7</v>
      </c>
      <c r="G471" s="28">
        <f t="shared" si="100"/>
        <v>1366.8999999999999</v>
      </c>
      <c r="H471" s="28">
        <f t="shared" si="100"/>
        <v>1600</v>
      </c>
      <c r="I471" s="28">
        <f t="shared" si="100"/>
        <v>1600</v>
      </c>
      <c r="J471" s="28">
        <f t="shared" si="100"/>
        <v>1600</v>
      </c>
      <c r="K471" s="28">
        <f t="shared" si="100"/>
        <v>1600</v>
      </c>
      <c r="L471" s="28">
        <f t="shared" si="100"/>
        <v>1600</v>
      </c>
      <c r="M471" s="28">
        <f t="shared" si="100"/>
        <v>1600</v>
      </c>
    </row>
    <row r="472" spans="1:13" ht="15" customHeight="1" x14ac:dyDescent="0.2">
      <c r="B472" s="10" t="s">
        <v>892</v>
      </c>
      <c r="C472" s="10" t="s">
        <v>199</v>
      </c>
      <c r="D472" s="28">
        <f>(D471+D470)*Inputs!$D$12</f>
        <v>162.55000000000001</v>
      </c>
      <c r="E472" s="28">
        <f>(E471+E470)*Inputs!$D$12</f>
        <v>589.90000000000009</v>
      </c>
      <c r="F472" s="28">
        <f>(F471+F470)*Inputs!$D$12</f>
        <v>1133.8</v>
      </c>
      <c r="G472" s="28">
        <f>(G471+G470)*Inputs!$D$12</f>
        <v>1483.4499999999998</v>
      </c>
      <c r="H472" s="28">
        <f>(H471+H470)*Inputs!$D$12</f>
        <v>1600</v>
      </c>
      <c r="I472" s="28">
        <f>(I471+I470)*Inputs!$D$12</f>
        <v>1600</v>
      </c>
      <c r="J472" s="28">
        <f>(J471+J470)*Inputs!$D$12</f>
        <v>1600</v>
      </c>
      <c r="K472" s="28">
        <f>(K471+K470)*Inputs!$D$12</f>
        <v>1600</v>
      </c>
      <c r="L472" s="28">
        <f>(L471+L470)*Inputs!$D$12</f>
        <v>1600</v>
      </c>
      <c r="M472" s="28">
        <f>(M471+M470)*Inputs!$D$12</f>
        <v>1600</v>
      </c>
    </row>
    <row r="473" spans="1:13" ht="15" customHeight="1" x14ac:dyDescent="0.2">
      <c r="B473" s="10" t="s">
        <v>893</v>
      </c>
      <c r="C473" s="10" t="s">
        <v>199</v>
      </c>
      <c r="D473" s="28">
        <f t="shared" ref="D473:M473" si="101">D470-D471</f>
        <v>233.10000000000002</v>
      </c>
      <c r="E473" s="28">
        <f t="shared" si="101"/>
        <v>621.6</v>
      </c>
      <c r="F473" s="28">
        <f t="shared" si="101"/>
        <v>466.19999999999982</v>
      </c>
      <c r="G473" s="28">
        <f t="shared" si="101"/>
        <v>233.10000000000014</v>
      </c>
      <c r="H473" s="28">
        <f t="shared" si="101"/>
        <v>0</v>
      </c>
      <c r="I473" s="28">
        <f t="shared" si="101"/>
        <v>0</v>
      </c>
      <c r="J473" s="28">
        <f t="shared" si="101"/>
        <v>0</v>
      </c>
      <c r="K473" s="28">
        <f t="shared" si="101"/>
        <v>0</v>
      </c>
      <c r="L473" s="28">
        <f t="shared" si="101"/>
        <v>0</v>
      </c>
      <c r="M473" s="28">
        <f t="shared" si="101"/>
        <v>0</v>
      </c>
    </row>
    <row r="474" spans="1:13" ht="15" customHeight="1" x14ac:dyDescent="0.2">
      <c r="B474" s="10" t="s">
        <v>894</v>
      </c>
      <c r="C474" s="10" t="s">
        <v>199</v>
      </c>
      <c r="D474" s="28">
        <f>IF(MOD(D466,Inputs!$D$21)=Inputs!$D$6,Inputs!$D$24,Inputs!$D$6)+SUMPRODUCT(--(D466&gt;$D$466:$M$466),--(MOD(D466-$D$466:$M$466,Inputs!$D$21)=Inputs!$D$6),$D$473:$M$473)</f>
        <v>0</v>
      </c>
      <c r="E474" s="28">
        <f>IF(MOD(E466,Inputs!$D$21)=Inputs!$D$6,Inputs!$D$24,Inputs!$D$6)+SUMPRODUCT(--(E466&gt;$D$466:$M$466),--(MOD(E466-$D$466:$M$466,Inputs!$D$21)=Inputs!$D$6),$D$473:$M$473)</f>
        <v>0</v>
      </c>
      <c r="F474" s="28">
        <f>IF(MOD(F466,Inputs!$D$21)=Inputs!$D$6,Inputs!$D$24,Inputs!$D$6)+SUMPRODUCT(--(F466&gt;$D$466:$M$466),--(MOD(F466-$D$466:$M$466,Inputs!$D$21)=Inputs!$D$6),$D$473:$M$473)</f>
        <v>0</v>
      </c>
      <c r="G474" s="28">
        <f>IF(MOD(G466,Inputs!$D$21)=Inputs!$D$6,Inputs!$D$24,Inputs!$D$6)+SUMPRODUCT(--(G466&gt;$D$466:$M$466),--(MOD(G466-$D$466:$M$466,Inputs!$D$21)=Inputs!$D$6),$D$473:$M$473)</f>
        <v>46</v>
      </c>
      <c r="H474" s="28">
        <f>IF(MOD(H466,Inputs!$D$21)=Inputs!$D$6,Inputs!$D$24,Inputs!$D$6)+SUMPRODUCT(--(H466&gt;$D$466:$M$466),--(MOD(H466-$D$466:$M$466,Inputs!$D$21)=Inputs!$D$6),$D$473:$M$473)</f>
        <v>233.10000000000002</v>
      </c>
      <c r="I474" s="28">
        <f>IF(MOD(I466,Inputs!$D$21)=Inputs!$D$6,Inputs!$D$24,Inputs!$D$6)+SUMPRODUCT(--(I466&gt;$D$466:$M$466),--(MOD(I466-$D$466:$M$466,Inputs!$D$21)=Inputs!$D$6),$D$473:$M$473)</f>
        <v>621.6</v>
      </c>
      <c r="J474" s="28">
        <f>IF(MOD(J466,Inputs!$D$21)=Inputs!$D$6,Inputs!$D$24,Inputs!$D$6)+SUMPRODUCT(--(J466&gt;$D$466:$M$466),--(MOD(J466-$D$466:$M$466,Inputs!$D$21)=Inputs!$D$6),$D$473:$M$473)</f>
        <v>466.19999999999982</v>
      </c>
      <c r="K474" s="28">
        <f>IF(MOD(K466,Inputs!$D$21)=Inputs!$D$6,Inputs!$D$24,Inputs!$D$6)+SUMPRODUCT(--(K466&gt;$D$466:$M$466),--(MOD(K466-$D$466:$M$466,Inputs!$D$21)=Inputs!$D$6),$D$473:$M$473)</f>
        <v>279.10000000000014</v>
      </c>
      <c r="L474" s="28">
        <f>IF(MOD(L466,Inputs!$D$21)=Inputs!$D$6,Inputs!$D$24,Inputs!$D$6)+SUMPRODUCT(--(L466&gt;$D$466:$M$466),--(MOD(L466-$D$466:$M$466,Inputs!$D$21)=Inputs!$D$6),$D$473:$M$473)</f>
        <v>233.10000000000002</v>
      </c>
      <c r="M474" s="28">
        <f>IF(MOD(M466,Inputs!$D$21)=Inputs!$D$6,Inputs!$D$24,Inputs!$D$6)+SUMPRODUCT(--(M466&gt;$D$466:$M$466),--(MOD(M466-$D$466:$M$466,Inputs!$D$21)=Inputs!$D$6),$D$473:$M$473)</f>
        <v>621.6</v>
      </c>
    </row>
    <row r="475" spans="1:13" ht="15" customHeight="1" x14ac:dyDescent="0.2">
      <c r="B475" s="10" t="s">
        <v>895</v>
      </c>
      <c r="C475" s="10" t="s">
        <v>896</v>
      </c>
      <c r="D475" s="28">
        <f t="shared" ref="D475:M475" si="102">D472*D469</f>
        <v>116.15482546201234</v>
      </c>
      <c r="E475" s="28">
        <f t="shared" si="102"/>
        <v>589.90000000000009</v>
      </c>
      <c r="F475" s="28">
        <f t="shared" si="102"/>
        <v>1133.8</v>
      </c>
      <c r="G475" s="28">
        <f t="shared" si="102"/>
        <v>1483.4499999999998</v>
      </c>
      <c r="H475" s="28">
        <f t="shared" si="102"/>
        <v>1600</v>
      </c>
      <c r="I475" s="28">
        <f t="shared" si="102"/>
        <v>1600</v>
      </c>
      <c r="J475" s="28">
        <f t="shared" si="102"/>
        <v>1600</v>
      </c>
      <c r="K475" s="28">
        <f t="shared" si="102"/>
        <v>1600</v>
      </c>
      <c r="L475" s="28">
        <f t="shared" si="102"/>
        <v>1600</v>
      </c>
      <c r="M475" s="28">
        <f t="shared" si="102"/>
        <v>1600</v>
      </c>
    </row>
    <row r="476" spans="1:13" ht="15" customHeight="1" x14ac:dyDescent="0.2">
      <c r="B476" s="10" t="s">
        <v>897</v>
      </c>
      <c r="C476" s="10" t="s">
        <v>110</v>
      </c>
      <c r="D476" s="16">
        <f>D475*($D$495/Inputs!$D$21+$D$496/Inputs!$D$22)</f>
        <v>1680.51014411561</v>
      </c>
      <c r="E476" s="16">
        <f>E475*($D$495/Inputs!$D$21+$D$496/Inputs!$D$22)</f>
        <v>8534.5824426210111</v>
      </c>
      <c r="F476" s="16">
        <f>F475*($D$495/Inputs!$D$21+$D$496/Inputs!$D$22)</f>
        <v>16403.643962440583</v>
      </c>
      <c r="G476" s="16">
        <f>G475*($D$495/Inputs!$D$21+$D$496/Inputs!$D$22)</f>
        <v>21462.326368038881</v>
      </c>
      <c r="H476" s="16">
        <f>H475*($D$495/Inputs!$D$21+$D$496/Inputs!$D$22)</f>
        <v>23148.553836571649</v>
      </c>
      <c r="I476" s="16">
        <f>I475*($D$495/Inputs!$D$21+$D$496/Inputs!$D$22)</f>
        <v>23148.553836571649</v>
      </c>
      <c r="J476" s="16">
        <f>J475*($D$495/Inputs!$D$21+$D$496/Inputs!$D$22)</f>
        <v>23148.553836571649</v>
      </c>
      <c r="K476" s="16">
        <f>K475*($D$495/Inputs!$D$21+$D$496/Inputs!$D$22)</f>
        <v>23148.553836571649</v>
      </c>
      <c r="L476" s="16">
        <f>L475*($D$495/Inputs!$D$21+$D$496/Inputs!$D$22)</f>
        <v>23148.553836571649</v>
      </c>
      <c r="M476" s="16">
        <f>M475*($D$495/Inputs!$D$21+$D$496/Inputs!$D$22)</f>
        <v>23148.553836571649</v>
      </c>
    </row>
    <row r="477" spans="1:13" ht="15" customHeight="1" x14ac:dyDescent="0.2">
      <c r="B477" s="10" t="s">
        <v>898</v>
      </c>
      <c r="C477" s="10" t="s">
        <v>110</v>
      </c>
      <c r="D477" s="16">
        <f t="shared" ref="D477:M477" si="103">D473*($D$495+$D$496)</f>
        <v>13977.887419483886</v>
      </c>
      <c r="E477" s="16">
        <f t="shared" si="103"/>
        <v>37274.36645195703</v>
      </c>
      <c r="F477" s="16">
        <f t="shared" si="103"/>
        <v>27955.774838967762</v>
      </c>
      <c r="G477" s="16">
        <f t="shared" si="103"/>
        <v>13977.887419483894</v>
      </c>
      <c r="H477" s="16">
        <f t="shared" si="103"/>
        <v>0</v>
      </c>
      <c r="I477" s="16">
        <f t="shared" si="103"/>
        <v>0</v>
      </c>
      <c r="J477" s="16">
        <f t="shared" si="103"/>
        <v>0</v>
      </c>
      <c r="K477" s="16">
        <f t="shared" si="103"/>
        <v>0</v>
      </c>
      <c r="L477" s="16">
        <f t="shared" si="103"/>
        <v>0</v>
      </c>
      <c r="M477" s="16">
        <f t="shared" si="103"/>
        <v>0</v>
      </c>
    </row>
    <row r="478" spans="1:13" ht="15" customHeight="1" x14ac:dyDescent="0.2">
      <c r="B478" s="10" t="s">
        <v>899</v>
      </c>
      <c r="C478" s="10" t="s">
        <v>110</v>
      </c>
      <c r="D478" s="16">
        <f t="shared" ref="D478:M478" si="104">D474*$D$495</f>
        <v>0</v>
      </c>
      <c r="E478" s="16">
        <f t="shared" si="104"/>
        <v>0</v>
      </c>
      <c r="F478" s="16">
        <f t="shared" si="104"/>
        <v>0</v>
      </c>
      <c r="G478" s="16">
        <f t="shared" si="104"/>
        <v>2638.0048485671714</v>
      </c>
      <c r="H478" s="16">
        <f t="shared" si="104"/>
        <v>13367.802830456689</v>
      </c>
      <c r="I478" s="16">
        <f t="shared" si="104"/>
        <v>35647.47421455117</v>
      </c>
      <c r="J478" s="16">
        <f t="shared" si="104"/>
        <v>26735.605660913367</v>
      </c>
      <c r="K478" s="16">
        <f t="shared" si="104"/>
        <v>16005.807679023867</v>
      </c>
      <c r="L478" s="16">
        <f t="shared" si="104"/>
        <v>13367.802830456689</v>
      </c>
      <c r="M478" s="16">
        <f t="shared" si="104"/>
        <v>35647.47421455117</v>
      </c>
    </row>
    <row r="479" spans="1:13" ht="15" customHeight="1" x14ac:dyDescent="0.2">
      <c r="B479" s="10" t="s">
        <v>900</v>
      </c>
      <c r="C479" s="10" t="s">
        <v>199</v>
      </c>
      <c r="D479" s="28">
        <f>D473*Inputs!$D$23</f>
        <v>5.8275000000000006</v>
      </c>
      <c r="E479" s="28">
        <f>E473*Inputs!$D$23</f>
        <v>15.540000000000001</v>
      </c>
      <c r="F479" s="28">
        <f>F473*Inputs!$D$23</f>
        <v>11.654999999999996</v>
      </c>
      <c r="G479" s="28">
        <f>G473*Inputs!$D$23</f>
        <v>5.8275000000000041</v>
      </c>
      <c r="H479" s="28">
        <f>H473*Inputs!$D$23</f>
        <v>0</v>
      </c>
      <c r="I479" s="28">
        <f>I473*Inputs!$D$23</f>
        <v>0</v>
      </c>
      <c r="J479" s="28">
        <f>J473*Inputs!$D$23</f>
        <v>0</v>
      </c>
      <c r="K479" s="28">
        <f>K473*Inputs!$D$23</f>
        <v>0</v>
      </c>
      <c r="L479" s="28">
        <f>L473*Inputs!$D$23</f>
        <v>0</v>
      </c>
      <c r="M479" s="28">
        <f>M473*Inputs!$D$23</f>
        <v>0</v>
      </c>
    </row>
    <row r="480" spans="1:13" ht="15" customHeight="1" x14ac:dyDescent="0.2">
      <c r="B480" s="3" t="s">
        <v>901</v>
      </c>
      <c r="C480" s="10" t="s">
        <v>896</v>
      </c>
      <c r="D480" s="28">
        <f>(D475*$D$493*(Inputs!$D$7-Inputs!$D$19)-D479)/(Inputs!$D$7+$D$494)^D468</f>
        <v>50.541318213721269</v>
      </c>
      <c r="E480" s="28">
        <f>(E475*$D$493*(Inputs!$D$7-Inputs!$D$19)-E479)/(Inputs!$D$7+$D$494)^E468</f>
        <v>238.4864713152904</v>
      </c>
      <c r="F480" s="28">
        <f>(F475*$D$493*(Inputs!$D$7-Inputs!$D$19)-F479)/(Inputs!$D$7+$D$494)^F468</f>
        <v>418.74491871678316</v>
      </c>
      <c r="G480" s="28">
        <f>(G475*$D$493*(Inputs!$D$7-Inputs!$D$19)-G479)/(Inputs!$D$7+$D$494)^G468</f>
        <v>490.87392073514752</v>
      </c>
      <c r="H480" s="28">
        <f>(H475*$D$493*(Inputs!$D$7-Inputs!$D$19)-H479)/(Inputs!$D$7+$D$494)^H468</f>
        <v>472.10300862628105</v>
      </c>
      <c r="I480" s="28">
        <f>(I475*$D$493*(Inputs!$D$7-Inputs!$D$19)-I479)/(Inputs!$D$7+$D$494)^I468</f>
        <v>417.68543753228789</v>
      </c>
      <c r="J480" s="28">
        <f>(J475*$D$493*(Inputs!$D$7-Inputs!$D$19)-J479)/(Inputs!$D$7+$D$494)^J468</f>
        <v>369.66405292491049</v>
      </c>
      <c r="K480" s="28">
        <f>(K475*$D$493*(Inputs!$D$7-Inputs!$D$19)-K479)/(Inputs!$D$7+$D$494)^K468</f>
        <v>327.16369723641031</v>
      </c>
      <c r="L480" s="28">
        <f>(L475*$D$493*(Inputs!$D$7-Inputs!$D$19)-L479)/(Inputs!$D$7+$D$494)^L468</f>
        <v>289.54961658427663</v>
      </c>
      <c r="M480" s="28">
        <f>(M475*$D$493*(Inputs!$D$7-Inputs!$D$19)-M479)/(Inputs!$D$7+$D$494)^M468</f>
        <v>256.17430111750662</v>
      </c>
    </row>
    <row r="481" spans="2:13" ht="15" customHeight="1" x14ac:dyDescent="0.2">
      <c r="B481" s="10" t="s">
        <v>902</v>
      </c>
      <c r="C481" s="10" t="s">
        <v>110</v>
      </c>
      <c r="D481" s="16">
        <f>(D476*Inputs!$D$19-D477-D478)/(Inputs!$D$7+$D$494)^D468</f>
        <v>-12346.937146613671</v>
      </c>
      <c r="E481" s="16">
        <f>(E476*Inputs!$D$19-E477-E478)/(Inputs!$D$7+$D$494)^E468</f>
        <v>-28144.165592831177</v>
      </c>
      <c r="F481" s="16">
        <f>(F476*Inputs!$D$19-F477-F478)/(Inputs!$D$7+$D$494)^F468</f>
        <v>-16528.13772562052</v>
      </c>
      <c r="G481" s="16">
        <f>(G476*Inputs!$D$19-G477-G478)/(Inputs!$D$7+$D$494)^G468</f>
        <v>-6462.9033875784253</v>
      </c>
      <c r="H481" s="16">
        <f>(H476*Inputs!$D$19-H477-H478)/(Inputs!$D$7+$D$494)^H468</f>
        <v>-3610.0349541710043</v>
      </c>
      <c r="I481" s="16">
        <f>(I476*Inputs!$D$19-I477-I478)/(Inputs!$D$7+$D$494)^I468</f>
        <v>-14272.365134506323</v>
      </c>
      <c r="J481" s="16">
        <f>(J476*Inputs!$D$19-J477-J478)/(Inputs!$D$7+$D$494)^J468</f>
        <v>-8709.5665200501735</v>
      </c>
      <c r="K481" s="16">
        <f>(K476*Inputs!$D$19-K477-K478)/(Inputs!$D$7+$D$494)^K468</f>
        <v>-3529.1777141306115</v>
      </c>
      <c r="L481" s="16">
        <f>(L476*Inputs!$D$19-L477-L478)/(Inputs!$D$7+$D$494)^L468</f>
        <v>-2214.1020449702382</v>
      </c>
      <c r="M481" s="16">
        <f>(M476*Inputs!$D$19-M477-M478)/(Inputs!$D$7+$D$494)^M468</f>
        <v>-8753.5088252709138</v>
      </c>
    </row>
    <row r="482" spans="2:13" ht="15" customHeight="1" x14ac:dyDescent="0.2">
      <c r="B482" s="10" t="s">
        <v>903</v>
      </c>
      <c r="C482" s="10" t="s">
        <v>110</v>
      </c>
      <c r="D482" s="16">
        <f t="shared" ref="D482:M482" si="105">D475*$D$492</f>
        <v>4182.0421196548814</v>
      </c>
      <c r="E482" s="16">
        <f t="shared" si="105"/>
        <v>21238.778815876456</v>
      </c>
      <c r="F482" s="16">
        <f t="shared" si="105"/>
        <v>40821.372133311954</v>
      </c>
      <c r="G482" s="16">
        <f t="shared" si="105"/>
        <v>53410.182123091916</v>
      </c>
      <c r="H482" s="16">
        <f t="shared" si="105"/>
        <v>57606.452119685244</v>
      </c>
      <c r="I482" s="16">
        <f t="shared" si="105"/>
        <v>57606.452119685244</v>
      </c>
      <c r="J482" s="16">
        <f t="shared" si="105"/>
        <v>57606.452119685244</v>
      </c>
      <c r="K482" s="16">
        <f t="shared" si="105"/>
        <v>57606.452119685244</v>
      </c>
      <c r="L482" s="16">
        <f t="shared" si="105"/>
        <v>57606.452119685244</v>
      </c>
      <c r="M482" s="16">
        <f t="shared" si="105"/>
        <v>57606.452119685244</v>
      </c>
    </row>
    <row r="483" spans="2:13" ht="15" customHeight="1" x14ac:dyDescent="0.2">
      <c r="B483" s="10" t="s">
        <v>904</v>
      </c>
      <c r="C483" s="10" t="s">
        <v>110</v>
      </c>
      <c r="D483" s="16">
        <f t="shared" ref="D483:M483" si="106">D482*$D$493</f>
        <v>3136.531589741161</v>
      </c>
      <c r="E483" s="16">
        <f t="shared" si="106"/>
        <v>15929.084111907341</v>
      </c>
      <c r="F483" s="16">
        <f t="shared" si="106"/>
        <v>30616.029099983964</v>
      </c>
      <c r="G483" s="16">
        <f t="shared" si="106"/>
        <v>40057.636592318937</v>
      </c>
      <c r="H483" s="16">
        <f t="shared" si="106"/>
        <v>43204.839089763933</v>
      </c>
      <c r="I483" s="16">
        <f t="shared" si="106"/>
        <v>43204.839089763933</v>
      </c>
      <c r="J483" s="16">
        <f t="shared" si="106"/>
        <v>43204.839089763933</v>
      </c>
      <c r="K483" s="16">
        <f t="shared" si="106"/>
        <v>43204.839089763933</v>
      </c>
      <c r="L483" s="16">
        <f t="shared" si="106"/>
        <v>43204.839089763933</v>
      </c>
      <c r="M483" s="16">
        <f t="shared" si="106"/>
        <v>43204.839089763933</v>
      </c>
    </row>
    <row r="484" spans="2:13" ht="15" customHeight="1" x14ac:dyDescent="0.2">
      <c r="B484" s="10" t="s">
        <v>905</v>
      </c>
      <c r="C484" s="10" t="s">
        <v>110</v>
      </c>
      <c r="D484" s="16">
        <f t="shared" ref="D484:M484" si="107">D483-D476</f>
        <v>1456.021445625551</v>
      </c>
      <c r="E484" s="16">
        <f t="shared" si="107"/>
        <v>7394.5016692863301</v>
      </c>
      <c r="F484" s="16">
        <f t="shared" si="107"/>
        <v>14212.385137543381</v>
      </c>
      <c r="G484" s="16">
        <f t="shared" si="107"/>
        <v>18595.310224280056</v>
      </c>
      <c r="H484" s="16">
        <f t="shared" si="107"/>
        <v>20056.285253192284</v>
      </c>
      <c r="I484" s="16">
        <f t="shared" si="107"/>
        <v>20056.285253192284</v>
      </c>
      <c r="J484" s="16">
        <f t="shared" si="107"/>
        <v>20056.285253192284</v>
      </c>
      <c r="K484" s="16">
        <f t="shared" si="107"/>
        <v>20056.285253192284</v>
      </c>
      <c r="L484" s="16">
        <f t="shared" si="107"/>
        <v>20056.285253192284</v>
      </c>
      <c r="M484" s="16">
        <f t="shared" si="107"/>
        <v>20056.285253192284</v>
      </c>
    </row>
    <row r="485" spans="2:13" ht="15" customHeight="1" x14ac:dyDescent="0.2">
      <c r="B485" s="10" t="s">
        <v>906</v>
      </c>
      <c r="C485" s="10" t="s">
        <v>110</v>
      </c>
      <c r="D485" s="16">
        <f>MAX(D484,Inputs!$D$6)*Inputs!$D$19</f>
        <v>436.80643368766528</v>
      </c>
      <c r="E485" s="16">
        <f>MAX(E484,Inputs!$D$6)*Inputs!$D$19</f>
        <v>2218.3505007858989</v>
      </c>
      <c r="F485" s="16">
        <f>MAX(F484,Inputs!$D$6)*Inputs!$D$19</f>
        <v>4263.7155412630136</v>
      </c>
      <c r="G485" s="16">
        <f>MAX(G484,Inputs!$D$6)*Inputs!$D$19</f>
        <v>5578.5930672840168</v>
      </c>
      <c r="H485" s="16">
        <f>MAX(H484,Inputs!$D$6)*Inputs!$D$19</f>
        <v>6016.8855759576845</v>
      </c>
      <c r="I485" s="16">
        <f>MAX(I484,Inputs!$D$6)*Inputs!$D$19</f>
        <v>6016.8855759576845</v>
      </c>
      <c r="J485" s="16">
        <f>MAX(J484,Inputs!$D$6)*Inputs!$D$19</f>
        <v>6016.8855759576845</v>
      </c>
      <c r="K485" s="16">
        <f>MAX(K484,Inputs!$D$6)*Inputs!$D$19</f>
        <v>6016.8855759576845</v>
      </c>
      <c r="L485" s="16">
        <f>MAX(L484,Inputs!$D$6)*Inputs!$D$19</f>
        <v>6016.8855759576845</v>
      </c>
      <c r="M485" s="16">
        <f>MAX(M484,Inputs!$D$6)*Inputs!$D$19</f>
        <v>6016.8855759576845</v>
      </c>
    </row>
    <row r="486" spans="2:13" ht="15" customHeight="1" x14ac:dyDescent="0.2">
      <c r="B486" s="10" t="s">
        <v>907</v>
      </c>
      <c r="C486" s="10" t="s">
        <v>110</v>
      </c>
      <c r="D486" s="16">
        <f t="shared" ref="D486:M486" si="108">D479*$D$492</f>
        <v>209.81349982966611</v>
      </c>
      <c r="E486" s="16">
        <f t="shared" si="108"/>
        <v>559.50266621244293</v>
      </c>
      <c r="F486" s="16">
        <f t="shared" si="108"/>
        <v>419.626999659332</v>
      </c>
      <c r="G486" s="16">
        <f t="shared" si="108"/>
        <v>209.81349982966623</v>
      </c>
      <c r="H486" s="16">
        <f t="shared" si="108"/>
        <v>0</v>
      </c>
      <c r="I486" s="16">
        <f t="shared" si="108"/>
        <v>0</v>
      </c>
      <c r="J486" s="16">
        <f t="shared" si="108"/>
        <v>0</v>
      </c>
      <c r="K486" s="16">
        <f t="shared" si="108"/>
        <v>0</v>
      </c>
      <c r="L486" s="16">
        <f t="shared" si="108"/>
        <v>0</v>
      </c>
      <c r="M486" s="16">
        <f t="shared" si="108"/>
        <v>0</v>
      </c>
    </row>
    <row r="487" spans="2:13" ht="15" customHeight="1" x14ac:dyDescent="0.2">
      <c r="B487" s="10" t="s">
        <v>908</v>
      </c>
      <c r="C487" s="10" t="s">
        <v>110</v>
      </c>
      <c r="D487" s="16">
        <f t="shared" ref="D487:M487" si="109">D483-D485-D477-D478-D486</f>
        <v>-11487.975763260056</v>
      </c>
      <c r="E487" s="16">
        <f t="shared" si="109"/>
        <v>-24123.135507048031</v>
      </c>
      <c r="F487" s="16">
        <f t="shared" si="109"/>
        <v>-2023.0882799061428</v>
      </c>
      <c r="G487" s="16">
        <f t="shared" si="109"/>
        <v>17653.337757154186</v>
      </c>
      <c r="H487" s="16">
        <f t="shared" si="109"/>
        <v>23820.150683349559</v>
      </c>
      <c r="I487" s="16">
        <f t="shared" si="109"/>
        <v>1540.4792992550792</v>
      </c>
      <c r="J487" s="16">
        <f t="shared" si="109"/>
        <v>10452.347852892883</v>
      </c>
      <c r="K487" s="16">
        <f t="shared" si="109"/>
        <v>21182.145834782383</v>
      </c>
      <c r="L487" s="16">
        <f t="shared" si="109"/>
        <v>23820.150683349559</v>
      </c>
      <c r="M487" s="16">
        <f t="shared" si="109"/>
        <v>1540.4792992550792</v>
      </c>
    </row>
    <row r="488" spans="2:13" ht="15" customHeight="1" x14ac:dyDescent="0.2">
      <c r="B488" s="10" t="s">
        <v>909</v>
      </c>
      <c r="C488" s="10" t="s">
        <v>110</v>
      </c>
      <c r="D488" s="16">
        <f>D487/(Inputs!$D$7+$D$494)^D468</f>
        <v>-10527.245879273352</v>
      </c>
      <c r="E488" s="16">
        <f>E487/(Inputs!$D$7+$D$494)^E468</f>
        <v>-19557.690910945574</v>
      </c>
      <c r="F488" s="16">
        <f>F487/(Inputs!$D$7+$D$494)^F468</f>
        <v>-1451.632031608106</v>
      </c>
      <c r="G488" s="16">
        <f>G487/(Inputs!$D$7+$D$494)^G468</f>
        <v>11210.537244691226</v>
      </c>
      <c r="H488" s="16">
        <f>H487/(Inputs!$D$7+$D$494)^H468</f>
        <v>13387.577147072252</v>
      </c>
      <c r="I488" s="16">
        <f>I487/(Inputs!$D$7+$D$494)^I468</f>
        <v>765.99496442713098</v>
      </c>
      <c r="J488" s="16">
        <f>J487/(Inputs!$D$7+$D$494)^J468</f>
        <v>4599.830083192106</v>
      </c>
      <c r="K488" s="16">
        <f>K487/(Inputs!$D$7+$D$494)^K468</f>
        <v>8250.0346984621829</v>
      </c>
      <c r="L488" s="16">
        <f>L487/(Inputs!$D$7+$D$494)^L468</f>
        <v>8210.8517825518556</v>
      </c>
      <c r="M488" s="16">
        <f>M487/(Inputs!$D$7+$D$494)^M468</f>
        <v>469.79905699125743</v>
      </c>
    </row>
    <row r="489" spans="2:13" ht="15" customHeight="1" x14ac:dyDescent="0.2">
      <c r="B489" s="3" t="s">
        <v>910</v>
      </c>
      <c r="C489" s="10" t="s">
        <v>896</v>
      </c>
      <c r="D489" s="28">
        <f>(D475*$D$493-D479)/(Inputs!$D$7+$D$494)^D468</f>
        <v>74.490519309095831</v>
      </c>
      <c r="E489" s="28">
        <f>(E475*$D$493-E479)/(Inputs!$D$7+$D$494)^E468</f>
        <v>346.09451503846662</v>
      </c>
      <c r="F489" s="28">
        <f>(F475*$D$493-F479)/(Inputs!$D$7+$D$494)^F468</f>
        <v>601.79110266312398</v>
      </c>
      <c r="G489" s="28">
        <f>(G475*$D$493-G479)/(Inputs!$D$7+$D$494)^G468</f>
        <v>702.83446516544734</v>
      </c>
      <c r="H489" s="28">
        <f>(H475*$D$493-H479)/(Inputs!$D$7+$D$494)^H468</f>
        <v>674.43286946611579</v>
      </c>
      <c r="I489" s="28">
        <f>(I475*$D$493-I479)/(Inputs!$D$7+$D$494)^I468</f>
        <v>596.69348218898278</v>
      </c>
      <c r="J489" s="28">
        <f>(J475*$D$493-J479)/(Inputs!$D$7+$D$494)^J468</f>
        <v>528.09150417844353</v>
      </c>
      <c r="K489" s="28">
        <f>(K475*$D$493-K479)/(Inputs!$D$7+$D$494)^K468</f>
        <v>467.37671033772904</v>
      </c>
      <c r="L489" s="28">
        <f>(L475*$D$493-L479)/(Inputs!$D$7+$D$494)^L468</f>
        <v>413.64230940610946</v>
      </c>
      <c r="M489" s="28">
        <f>(M475*$D$493-M479)/(Inputs!$D$7+$D$494)^M468</f>
        <v>365.96328731072373</v>
      </c>
    </row>
    <row r="490" spans="2:13" ht="15" customHeight="1" x14ac:dyDescent="0.2">
      <c r="B490" s="10" t="s">
        <v>911</v>
      </c>
      <c r="C490" s="10" t="s">
        <v>110</v>
      </c>
      <c r="D490" s="16">
        <f>(-D477-D478)/(Inputs!$D$7+$D$494)^D468</f>
        <v>-12808.928289029636</v>
      </c>
      <c r="E490" s="16">
        <f>(-E477-E478)/(Inputs!$D$7+$D$494)^E468</f>
        <v>-30219.974420642928</v>
      </c>
      <c r="F490" s="16">
        <f>(-F477-F478)/(Inputs!$D$7+$D$494)^F468</f>
        <v>-20059.183095337907</v>
      </c>
      <c r="G490" s="16">
        <f>(-G477-G478)/(Inputs!$D$7+$D$494)^G468</f>
        <v>-10551.720115889953</v>
      </c>
      <c r="H490" s="16">
        <f>(-H477-H478)/(Inputs!$D$7+$D$494)^H468</f>
        <v>-7513.0713511684744</v>
      </c>
      <c r="I490" s="16">
        <f>(-I477-I478)/(Inputs!$D$7+$D$494)^I468</f>
        <v>-17725.512933602091</v>
      </c>
      <c r="J490" s="16">
        <f>(-J477-J478)/(Inputs!$D$7+$D$494)^J468</f>
        <v>-11765.705173827875</v>
      </c>
      <c r="K490" s="16">
        <f>(-K477-K478)/(Inputs!$D$7+$D$494)^K468</f>
        <v>-6233.95144943378</v>
      </c>
      <c r="L490" s="16">
        <f>(-L477-L478)/(Inputs!$D$7+$D$494)^L468</f>
        <v>-4607.9073620630261</v>
      </c>
      <c r="M490" s="16">
        <f>(-M477-M478)/(Inputs!$D$7+$D$494)^M468</f>
        <v>-10871.389039901173</v>
      </c>
    </row>
    <row r="491" spans="2:13" ht="15" customHeight="1" x14ac:dyDescent="0.2">
      <c r="B491" s="10" t="s">
        <v>912</v>
      </c>
      <c r="C491" s="10" t="s">
        <v>110</v>
      </c>
      <c r="D491" s="16">
        <f>Prices!K7</f>
        <v>50083.245841420365</v>
      </c>
    </row>
    <row r="492" spans="2:13" ht="15" customHeight="1" x14ac:dyDescent="0.2">
      <c r="B492" s="3" t="s">
        <v>913</v>
      </c>
      <c r="C492" s="10" t="s">
        <v>914</v>
      </c>
      <c r="D492" s="28">
        <f>IF(J499&gt;=J495,J499,(D491-J498)/J497)</f>
        <v>36.004032574803276</v>
      </c>
      <c r="G492" s="99" t="s">
        <v>915</v>
      </c>
      <c r="H492" s="91"/>
      <c r="I492" s="91"/>
      <c r="J492" s="28">
        <f>D492*Inputs!$D$15</f>
        <v>25.127214333955205</v>
      </c>
      <c r="K492" s="99" t="s">
        <v>916</v>
      </c>
      <c r="L492" s="91"/>
      <c r="M492" s="91"/>
    </row>
    <row r="493" spans="2:13" ht="15" customHeight="1" x14ac:dyDescent="0.2">
      <c r="B493" s="10" t="s">
        <v>917</v>
      </c>
      <c r="C493" s="10" t="s">
        <v>104</v>
      </c>
      <c r="D493" s="30">
        <f>Inputs!$D$94</f>
        <v>0.75</v>
      </c>
      <c r="G493" s="99" t="s">
        <v>918</v>
      </c>
      <c r="H493" s="91"/>
      <c r="I493" s="91"/>
      <c r="J493" s="28">
        <f>IF(-D504/D503&gt;=J495,-D504/D503,-J498/J497)</f>
        <v>27.411702074287536</v>
      </c>
      <c r="K493" s="99" t="s">
        <v>919</v>
      </c>
      <c r="L493" s="91"/>
      <c r="M493" s="91"/>
    </row>
    <row r="494" spans="2:13" ht="15" customHeight="1" x14ac:dyDescent="0.2">
      <c r="B494" s="10" t="s">
        <v>920</v>
      </c>
      <c r="C494" s="10" t="s">
        <v>104</v>
      </c>
      <c r="D494" s="30">
        <f>Inputs!$D$95</f>
        <v>0.13</v>
      </c>
      <c r="G494" s="99" t="s">
        <v>918</v>
      </c>
      <c r="H494" s="91"/>
      <c r="I494" s="91"/>
      <c r="J494" s="28">
        <f>J493*Inputs!$D$15</f>
        <v>19.13062687764527</v>
      </c>
      <c r="K494" s="99" t="s">
        <v>916</v>
      </c>
      <c r="L494" s="91"/>
      <c r="M494" s="91"/>
    </row>
    <row r="495" spans="2:13" ht="15" customHeight="1" x14ac:dyDescent="0.2">
      <c r="B495" s="3" t="s">
        <v>921</v>
      </c>
      <c r="C495" s="10" t="s">
        <v>848</v>
      </c>
      <c r="D495" s="28">
        <f>Capital!$D$13</f>
        <v>57.347931490590682</v>
      </c>
      <c r="G495" s="99" t="s">
        <v>922</v>
      </c>
      <c r="H495" s="91"/>
      <c r="I495" s="91"/>
      <c r="J495" s="28">
        <f>($D$495/Inputs!$D$21+$D$496/Inputs!$D$22)/$D$493</f>
        <v>19.290461530476374</v>
      </c>
      <c r="K495" s="99" t="s">
        <v>919</v>
      </c>
      <c r="L495" s="91"/>
      <c r="M495" s="91"/>
    </row>
    <row r="496" spans="2:13" ht="15" customHeight="1" x14ac:dyDescent="0.2">
      <c r="B496" s="3" t="s">
        <v>923</v>
      </c>
      <c r="C496" s="10" t="s">
        <v>848</v>
      </c>
      <c r="D496" s="28">
        <f>Capital!$D$14</f>
        <v>2.6172655041921802</v>
      </c>
    </row>
    <row r="497" spans="1:13" ht="15" customHeight="1" x14ac:dyDescent="0.2">
      <c r="B497" s="10" t="s">
        <v>924</v>
      </c>
      <c r="C497" s="10" t="s">
        <v>896</v>
      </c>
      <c r="D497" s="28">
        <f>(M470*(Inputs!$D$7+Inputs!$D$20)*$D$493*(Inputs!$D$7-Inputs!$D$19)-M470*Inputs!$D$20*Inputs!$D$23)/($D$494-Inputs!$D$20)/(Inputs!$D$7+$D$494)^M468</f>
        <v>2497.8446594223992</v>
      </c>
      <c r="G497" s="92" t="s">
        <v>910</v>
      </c>
      <c r="H497" s="91"/>
      <c r="I497" s="91"/>
      <c r="J497" s="28">
        <f>SUM(D489:M489)+(M470*(Inputs!$D$7+Inputs!$D$20)*$D$493-M470*Inputs!$D$20*Inputs!$D$23)/($D$494-Inputs!$D$20)/(Inputs!$D$7+$D$494)^M468</f>
        <v>8341.0050516109004</v>
      </c>
      <c r="K497" s="99" t="s">
        <v>896</v>
      </c>
      <c r="L497" s="91"/>
      <c r="M497" s="91"/>
    </row>
    <row r="498" spans="1:13" ht="15" customHeight="1" x14ac:dyDescent="0.2">
      <c r="B498" s="10" t="s">
        <v>925</v>
      </c>
      <c r="C498" s="10" t="s">
        <v>110</v>
      </c>
      <c r="D498" s="16">
        <f>(D501*Inputs!$D$19-D501-D502)/($D$494-Inputs!$D$20)/(Inputs!$D$7+$D$494)^M468</f>
        <v>-55207.290798783099</v>
      </c>
      <c r="G498" s="92" t="s">
        <v>926</v>
      </c>
      <c r="H498" s="91"/>
      <c r="I498" s="91"/>
      <c r="J498" s="16">
        <f>SUM(D490:M490)-(D501+D502)/($D$494-Inputs!$D$20)/(Inputs!$D$7+$D$494)^M468</f>
        <v>-208239.17898202292</v>
      </c>
      <c r="K498" s="99" t="s">
        <v>110</v>
      </c>
      <c r="L498" s="91"/>
      <c r="M498" s="91"/>
    </row>
    <row r="499" spans="1:13" ht="15" customHeight="1" x14ac:dyDescent="0.2">
      <c r="B499" s="10" t="s">
        <v>927</v>
      </c>
      <c r="C499" s="10" t="s">
        <v>928</v>
      </c>
      <c r="D499" s="16">
        <f>(M470*(Inputs!$D$7+Inputs!$D$20)*$D$492*$D$493-D501)-MAX((M470*(Inputs!$D$7+Inputs!$D$20)*$D$492*$D$493-D501),Inputs!$D$6)*Inputs!$D$19-D502-M470*Inputs!$D$20*$D$492*Inputs!$D$23</f>
        <v>11955.772756799344</v>
      </c>
      <c r="G499" s="99" t="s">
        <v>929</v>
      </c>
      <c r="H499" s="91"/>
      <c r="I499" s="91"/>
      <c r="J499" s="28">
        <f>(D491-D504)/D503</f>
        <v>36.004032574803276</v>
      </c>
      <c r="K499" s="99" t="s">
        <v>919</v>
      </c>
      <c r="L499" s="91"/>
      <c r="M499" s="91"/>
    </row>
    <row r="500" spans="1:13" ht="15" customHeight="1" x14ac:dyDescent="0.2">
      <c r="B500" s="10" t="s">
        <v>930</v>
      </c>
      <c r="C500" s="10" t="s">
        <v>110</v>
      </c>
      <c r="D500" s="16">
        <f>D499/($D$494-Inputs!$D$20)</f>
        <v>113864.50244570803</v>
      </c>
      <c r="G500" s="99" t="s">
        <v>931</v>
      </c>
      <c r="H500" s="91"/>
      <c r="I500" s="91"/>
      <c r="J500" s="16">
        <f>MIN(D484:M484,(M470*(Inputs!$D$7+Inputs!$D$20)*$D$492*$D$493-D501))</f>
        <v>1456.021445625551</v>
      </c>
      <c r="K500" s="99" t="s">
        <v>110</v>
      </c>
      <c r="L500" s="91"/>
      <c r="M500" s="91"/>
    </row>
    <row r="501" spans="1:13" ht="15" customHeight="1" x14ac:dyDescent="0.2">
      <c r="B501" s="10" t="s">
        <v>932</v>
      </c>
      <c r="C501" s="10" t="s">
        <v>928</v>
      </c>
      <c r="D501" s="16">
        <f>M470*(Inputs!$D$7+Inputs!$D$20)*($D$495/Inputs!$D$21+$D$496/Inputs!$D$22)</f>
        <v>23727.267682485937</v>
      </c>
      <c r="G501" s="99" t="s">
        <v>933</v>
      </c>
      <c r="H501" s="91"/>
      <c r="I501" s="91"/>
      <c r="J501" s="31" t="str">
        <f>IF(J500&lt;Inputs!$D$6,"breached","satisfied")</f>
        <v>satisfied</v>
      </c>
      <c r="K501" s="99" t="s">
        <v>934</v>
      </c>
      <c r="L501" s="91"/>
      <c r="M501" s="91"/>
    </row>
    <row r="502" spans="1:13" ht="15" customHeight="1" x14ac:dyDescent="0.2">
      <c r="B502" s="10" t="s">
        <v>935</v>
      </c>
      <c r="C502" s="10" t="s">
        <v>928</v>
      </c>
      <c r="D502" s="16">
        <f>M470*Inputs!$D$20*($D$495+$D$496)</f>
        <v>2398.6078797913146</v>
      </c>
    </row>
    <row r="503" spans="1:13" ht="15" customHeight="1" x14ac:dyDescent="0.2">
      <c r="B503" s="10" t="s">
        <v>936</v>
      </c>
      <c r="C503" s="10" t="s">
        <v>896</v>
      </c>
      <c r="D503" s="28">
        <f>SUM(D480:M480)+D497</f>
        <v>5828.8314024250149</v>
      </c>
      <c r="G503" s="99" t="s">
        <v>937</v>
      </c>
      <c r="H503" s="91"/>
      <c r="I503" s="91"/>
      <c r="J503" s="16">
        <f>D505-D491</f>
        <v>0</v>
      </c>
      <c r="K503" s="99" t="s">
        <v>110</v>
      </c>
      <c r="L503" s="91"/>
      <c r="M503" s="91"/>
    </row>
    <row r="504" spans="1:13" ht="15" customHeight="1" x14ac:dyDescent="0.2">
      <c r="B504" s="10" t="s">
        <v>938</v>
      </c>
      <c r="C504" s="10" t="s">
        <v>110</v>
      </c>
      <c r="D504" s="16">
        <f>SUM(D481:M481)+D498</f>
        <v>-159778.18984452612</v>
      </c>
    </row>
    <row r="505" spans="1:13" ht="15" customHeight="1" x14ac:dyDescent="0.2">
      <c r="B505" s="10" t="s">
        <v>939</v>
      </c>
      <c r="C505" s="10" t="s">
        <v>110</v>
      </c>
      <c r="D505" s="16">
        <f>SUM(D488:M488)+D500/(Inputs!$D$7+$D$494)^M468</f>
        <v>50083.245841420357</v>
      </c>
    </row>
    <row r="506" spans="1:13" ht="15" customHeight="1" x14ac:dyDescent="0.2">
      <c r="B506" s="10" t="s">
        <v>940</v>
      </c>
      <c r="C506" s="10" t="s">
        <v>104</v>
      </c>
      <c r="D506" s="30">
        <f>IF(ABS(D491)&gt;Inputs!$D$6,D505/D491-Inputs!$D$7,Inputs!$D$6)</f>
        <v>-1.1102230246251565E-16</v>
      </c>
    </row>
    <row r="507" spans="1:13" ht="15" customHeight="1" x14ac:dyDescent="0.2">
      <c r="B507" s="10" t="s">
        <v>941</v>
      </c>
      <c r="C507" s="10" t="s">
        <v>104</v>
      </c>
      <c r="D507" s="30">
        <f>IF(ABS(D505)&gt;Inputs!$D$119,D500/(Inputs!$D$7+$D$494)^M468/D505,Inputs!$D$6)</f>
        <v>0.69334942459221749</v>
      </c>
    </row>
    <row r="508" spans="1:13" ht="15" customHeight="1" x14ac:dyDescent="0.2">
      <c r="B508" s="10" t="s">
        <v>942</v>
      </c>
      <c r="C508" s="10" t="s">
        <v>943</v>
      </c>
      <c r="D508" s="26">
        <f>$D$492*Inputs!$D$8/Prices!$P$6/(Inputs!$D$26/Inputs!$D$25)/Inputs!$D$11/Inputs!$D$56</f>
        <v>6.5474426867810616</v>
      </c>
    </row>
    <row r="512" spans="1:13" ht="15" customHeight="1" x14ac:dyDescent="0.2">
      <c r="A512" s="104" t="s">
        <v>954</v>
      </c>
      <c r="B512" s="10" t="s">
        <v>886</v>
      </c>
      <c r="C512" s="10" t="s">
        <v>107</v>
      </c>
      <c r="D512" s="28">
        <f>Inputs!$D$60</f>
        <v>1</v>
      </c>
      <c r="E512" s="28">
        <f>Inputs!$D$62</f>
        <v>2</v>
      </c>
      <c r="F512" s="28">
        <f>Inputs!$D$64</f>
        <v>3</v>
      </c>
      <c r="G512" s="28">
        <f>Inputs!$D$66</f>
        <v>4</v>
      </c>
      <c r="H512" s="28">
        <f>Inputs!$D$68</f>
        <v>5</v>
      </c>
      <c r="I512" s="28">
        <f>Inputs!$D$70</f>
        <v>6</v>
      </c>
      <c r="J512" s="28">
        <f>Inputs!$D$72</f>
        <v>7</v>
      </c>
      <c r="K512" s="28">
        <f>Inputs!$D$74</f>
        <v>8</v>
      </c>
      <c r="L512" s="28">
        <f>Inputs!$D$76</f>
        <v>9</v>
      </c>
      <c r="M512" s="28">
        <f>Inputs!$D$78</f>
        <v>10</v>
      </c>
    </row>
    <row r="513" spans="1:13" ht="15" customHeight="1" x14ac:dyDescent="0.2">
      <c r="A513" s="91"/>
      <c r="B513" s="10" t="s">
        <v>887</v>
      </c>
      <c r="C513" s="10" t="s">
        <v>161</v>
      </c>
      <c r="D513" s="29">
        <f>Inputs!$D$61</f>
        <v>46568</v>
      </c>
      <c r="E513" s="29">
        <f>Inputs!$D$63</f>
        <v>46934</v>
      </c>
      <c r="F513" s="29">
        <f>Inputs!$D$65</f>
        <v>47299</v>
      </c>
      <c r="G513" s="29">
        <f>Inputs!$D$67</f>
        <v>47664</v>
      </c>
      <c r="H513" s="29">
        <f>Inputs!$D$69</f>
        <v>48029</v>
      </c>
      <c r="I513" s="29">
        <f>Inputs!$D$71</f>
        <v>48395</v>
      </c>
      <c r="J513" s="29">
        <f>Inputs!$D$73</f>
        <v>48760</v>
      </c>
      <c r="K513" s="29">
        <f>Inputs!$D$75</f>
        <v>49125</v>
      </c>
      <c r="L513" s="29">
        <f>Inputs!$D$77</f>
        <v>49490</v>
      </c>
      <c r="M513" s="29">
        <f>Inputs!$D$79</f>
        <v>49856</v>
      </c>
    </row>
    <row r="514" spans="1:13" ht="15" customHeight="1" x14ac:dyDescent="0.2">
      <c r="A514" s="91"/>
      <c r="B514" s="10" t="s">
        <v>888</v>
      </c>
      <c r="C514" s="10" t="s">
        <v>107</v>
      </c>
      <c r="D514" s="28">
        <f>(D513-Inputs!$D$13)/Inputs!$D$10</f>
        <v>0.71457905544147848</v>
      </c>
      <c r="E514" s="28">
        <f>(E513-Inputs!$D$13)/Inputs!$D$10</f>
        <v>1.7166324435318274</v>
      </c>
      <c r="F514" s="28">
        <f>(F513-Inputs!$D$13)/Inputs!$D$10</f>
        <v>2.7159479808350446</v>
      </c>
      <c r="G514" s="28">
        <f>(G513-Inputs!$D$13)/Inputs!$D$10</f>
        <v>3.7152635181382614</v>
      </c>
      <c r="H514" s="28">
        <f>(H513-Inputs!$D$13)/Inputs!$D$10</f>
        <v>4.7145790554414786</v>
      </c>
      <c r="I514" s="28">
        <f>(I513-Inputs!$D$13)/Inputs!$D$10</f>
        <v>5.7166324435318279</v>
      </c>
      <c r="J514" s="28">
        <f>(J513-Inputs!$D$13)/Inputs!$D$10</f>
        <v>6.7159479808350442</v>
      </c>
      <c r="K514" s="28">
        <f>(K513-Inputs!$D$13)/Inputs!$D$10</f>
        <v>7.7152635181382614</v>
      </c>
      <c r="L514" s="28">
        <f>(L513-Inputs!$D$13)/Inputs!$D$10</f>
        <v>8.7145790554414777</v>
      </c>
      <c r="M514" s="28">
        <f>(M513-Inputs!$D$13)/Inputs!$D$10</f>
        <v>9.716632443531827</v>
      </c>
    </row>
    <row r="515" spans="1:13" ht="15" customHeight="1" x14ac:dyDescent="0.2">
      <c r="A515" s="91"/>
      <c r="B515" s="10" t="s">
        <v>889</v>
      </c>
      <c r="C515" s="10" t="s">
        <v>107</v>
      </c>
      <c r="D515" s="28">
        <f>D514</f>
        <v>0.71457905544147848</v>
      </c>
      <c r="E515" s="28">
        <f>Inputs!$D$7</f>
        <v>1</v>
      </c>
      <c r="F515" s="28">
        <f>Inputs!$D$7</f>
        <v>1</v>
      </c>
      <c r="G515" s="28">
        <f>Inputs!$D$7</f>
        <v>1</v>
      </c>
      <c r="H515" s="28">
        <f>Inputs!$D$7</f>
        <v>1</v>
      </c>
      <c r="I515" s="28">
        <f>Inputs!$D$7</f>
        <v>1</v>
      </c>
      <c r="J515" s="28">
        <f>Inputs!$D$7</f>
        <v>1</v>
      </c>
      <c r="K515" s="28">
        <f>Inputs!$D$7</f>
        <v>1</v>
      </c>
      <c r="L515" s="28">
        <f>Inputs!$D$7</f>
        <v>1</v>
      </c>
      <c r="M515" s="28">
        <f>Inputs!$D$7</f>
        <v>1</v>
      </c>
    </row>
    <row r="516" spans="1:13" ht="15" customHeight="1" x14ac:dyDescent="0.2">
      <c r="A516" s="91"/>
      <c r="B516" s="3" t="s">
        <v>890</v>
      </c>
      <c r="C516" s="10" t="s">
        <v>199</v>
      </c>
      <c r="D516" s="28">
        <f>Inputs!$D$24+(Inputs!$D$106-Inputs!$D$24)*Inputs!$D$109</f>
        <v>170.32</v>
      </c>
      <c r="E516" s="28">
        <f>Inputs!$D$24+(Inputs!$D$106-Inputs!$D$24)*Inputs!$D$110</f>
        <v>481.12000000000006</v>
      </c>
      <c r="F516" s="28">
        <f>Inputs!$D$24+(Inputs!$D$106-Inputs!$D$24)*Inputs!$D$111</f>
        <v>823</v>
      </c>
      <c r="G516" s="28">
        <f>Inputs!$D$24+(Inputs!$D$106-Inputs!$D$24)*Inputs!$D$112</f>
        <v>1211.5</v>
      </c>
      <c r="H516" s="28">
        <f>Inputs!$D$24+(Inputs!$D$106-Inputs!$D$24)*Inputs!$D$113</f>
        <v>1600</v>
      </c>
      <c r="I516" s="28">
        <f>Inputs!$D$24+(Inputs!$D$106-Inputs!$D$24)*Inputs!$D$114</f>
        <v>1600</v>
      </c>
      <c r="J516" s="28">
        <f>Inputs!$D$24+(Inputs!$D$106-Inputs!$D$24)*Inputs!$D$115</f>
        <v>1600</v>
      </c>
      <c r="K516" s="28">
        <f>Inputs!$D$24+(Inputs!$D$106-Inputs!$D$24)*Inputs!$D$116</f>
        <v>1600</v>
      </c>
      <c r="L516" s="28">
        <f>Inputs!$D$24+(Inputs!$D$106-Inputs!$D$24)*Inputs!$D$117</f>
        <v>1600</v>
      </c>
      <c r="M516" s="28">
        <f>Inputs!$D$24+(Inputs!$D$106-Inputs!$D$24)*Inputs!$D$118</f>
        <v>1600</v>
      </c>
    </row>
    <row r="517" spans="1:13" ht="15" customHeight="1" x14ac:dyDescent="0.2">
      <c r="A517" s="91"/>
      <c r="B517" s="10" t="s">
        <v>891</v>
      </c>
      <c r="C517" s="10" t="s">
        <v>199</v>
      </c>
      <c r="D517" s="28">
        <f>Inputs!$D$24</f>
        <v>46</v>
      </c>
      <c r="E517" s="28">
        <f t="shared" ref="E517:M517" si="110">D516</f>
        <v>170.32</v>
      </c>
      <c r="F517" s="28">
        <f t="shared" si="110"/>
        <v>481.12000000000006</v>
      </c>
      <c r="G517" s="28">
        <f t="shared" si="110"/>
        <v>823</v>
      </c>
      <c r="H517" s="28">
        <f t="shared" si="110"/>
        <v>1211.5</v>
      </c>
      <c r="I517" s="28">
        <f t="shared" si="110"/>
        <v>1600</v>
      </c>
      <c r="J517" s="28">
        <f t="shared" si="110"/>
        <v>1600</v>
      </c>
      <c r="K517" s="28">
        <f t="shared" si="110"/>
        <v>1600</v>
      </c>
      <c r="L517" s="28">
        <f t="shared" si="110"/>
        <v>1600</v>
      </c>
      <c r="M517" s="28">
        <f t="shared" si="110"/>
        <v>1600</v>
      </c>
    </row>
    <row r="518" spans="1:13" ht="15" customHeight="1" x14ac:dyDescent="0.2">
      <c r="B518" s="10" t="s">
        <v>892</v>
      </c>
      <c r="C518" s="10" t="s">
        <v>199</v>
      </c>
      <c r="D518" s="28">
        <f>(D517+D516)*Inputs!$D$12</f>
        <v>108.16</v>
      </c>
      <c r="E518" s="28">
        <f>(E517+E516)*Inputs!$D$12</f>
        <v>325.72000000000003</v>
      </c>
      <c r="F518" s="28">
        <f>(F517+F516)*Inputs!$D$12</f>
        <v>652.06000000000006</v>
      </c>
      <c r="G518" s="28">
        <f>(G517+G516)*Inputs!$D$12</f>
        <v>1017.25</v>
      </c>
      <c r="H518" s="28">
        <f>(H517+H516)*Inputs!$D$12</f>
        <v>1405.75</v>
      </c>
      <c r="I518" s="28">
        <f>(I517+I516)*Inputs!$D$12</f>
        <v>1600</v>
      </c>
      <c r="J518" s="28">
        <f>(J517+J516)*Inputs!$D$12</f>
        <v>1600</v>
      </c>
      <c r="K518" s="28">
        <f>(K517+K516)*Inputs!$D$12</f>
        <v>1600</v>
      </c>
      <c r="L518" s="28">
        <f>(L517+L516)*Inputs!$D$12</f>
        <v>1600</v>
      </c>
      <c r="M518" s="28">
        <f>(M517+M516)*Inputs!$D$12</f>
        <v>1600</v>
      </c>
    </row>
    <row r="519" spans="1:13" ht="15" customHeight="1" x14ac:dyDescent="0.2">
      <c r="B519" s="10" t="s">
        <v>893</v>
      </c>
      <c r="C519" s="10" t="s">
        <v>199</v>
      </c>
      <c r="D519" s="28">
        <f t="shared" ref="D519:M519" si="111">D516-D517</f>
        <v>124.32</v>
      </c>
      <c r="E519" s="28">
        <f t="shared" si="111"/>
        <v>310.80000000000007</v>
      </c>
      <c r="F519" s="28">
        <f t="shared" si="111"/>
        <v>341.87999999999994</v>
      </c>
      <c r="G519" s="28">
        <f t="shared" si="111"/>
        <v>388.5</v>
      </c>
      <c r="H519" s="28">
        <f t="shared" si="111"/>
        <v>388.5</v>
      </c>
      <c r="I519" s="28">
        <f t="shared" si="111"/>
        <v>0</v>
      </c>
      <c r="J519" s="28">
        <f t="shared" si="111"/>
        <v>0</v>
      </c>
      <c r="K519" s="28">
        <f t="shared" si="111"/>
        <v>0</v>
      </c>
      <c r="L519" s="28">
        <f t="shared" si="111"/>
        <v>0</v>
      </c>
      <c r="M519" s="28">
        <f t="shared" si="111"/>
        <v>0</v>
      </c>
    </row>
    <row r="520" spans="1:13" ht="15" customHeight="1" x14ac:dyDescent="0.2">
      <c r="B520" s="10" t="s">
        <v>894</v>
      </c>
      <c r="C520" s="10" t="s">
        <v>199</v>
      </c>
      <c r="D520" s="28">
        <f>IF(MOD(D512,Inputs!$D$21)=Inputs!$D$6,Inputs!$D$24,Inputs!$D$6)+SUMPRODUCT(--(D512&gt;$D$512:$M$512),--(MOD(D512-$D$512:$M$512,Inputs!$D$21)=Inputs!$D$6),$D$519:$M$519)</f>
        <v>0</v>
      </c>
      <c r="E520" s="28">
        <f>IF(MOD(E512,Inputs!$D$21)=Inputs!$D$6,Inputs!$D$24,Inputs!$D$6)+SUMPRODUCT(--(E512&gt;$D$512:$M$512),--(MOD(E512-$D$512:$M$512,Inputs!$D$21)=Inputs!$D$6),$D$519:$M$519)</f>
        <v>0</v>
      </c>
      <c r="F520" s="28">
        <f>IF(MOD(F512,Inputs!$D$21)=Inputs!$D$6,Inputs!$D$24,Inputs!$D$6)+SUMPRODUCT(--(F512&gt;$D$512:$M$512),--(MOD(F512-$D$512:$M$512,Inputs!$D$21)=Inputs!$D$6),$D$519:$M$519)</f>
        <v>0</v>
      </c>
      <c r="G520" s="28">
        <f>IF(MOD(G512,Inputs!$D$21)=Inputs!$D$6,Inputs!$D$24,Inputs!$D$6)+SUMPRODUCT(--(G512&gt;$D$512:$M$512),--(MOD(G512-$D$512:$M$512,Inputs!$D$21)=Inputs!$D$6),$D$519:$M$519)</f>
        <v>46</v>
      </c>
      <c r="H520" s="28">
        <f>IF(MOD(H512,Inputs!$D$21)=Inputs!$D$6,Inputs!$D$24,Inputs!$D$6)+SUMPRODUCT(--(H512&gt;$D$512:$M$512),--(MOD(H512-$D$512:$M$512,Inputs!$D$21)=Inputs!$D$6),$D$519:$M$519)</f>
        <v>124.32</v>
      </c>
      <c r="I520" s="28">
        <f>IF(MOD(I512,Inputs!$D$21)=Inputs!$D$6,Inputs!$D$24,Inputs!$D$6)+SUMPRODUCT(--(I512&gt;$D$512:$M$512),--(MOD(I512-$D$512:$M$512,Inputs!$D$21)=Inputs!$D$6),$D$519:$M$519)</f>
        <v>310.80000000000007</v>
      </c>
      <c r="J520" s="28">
        <f>IF(MOD(J512,Inputs!$D$21)=Inputs!$D$6,Inputs!$D$24,Inputs!$D$6)+SUMPRODUCT(--(J512&gt;$D$512:$M$512),--(MOD(J512-$D$512:$M$512,Inputs!$D$21)=Inputs!$D$6),$D$519:$M$519)</f>
        <v>341.87999999999994</v>
      </c>
      <c r="K520" s="28">
        <f>IF(MOD(K512,Inputs!$D$21)=Inputs!$D$6,Inputs!$D$24,Inputs!$D$6)+SUMPRODUCT(--(K512&gt;$D$512:$M$512),--(MOD(K512-$D$512:$M$512,Inputs!$D$21)=Inputs!$D$6),$D$519:$M$519)</f>
        <v>434.5</v>
      </c>
      <c r="L520" s="28">
        <f>IF(MOD(L512,Inputs!$D$21)=Inputs!$D$6,Inputs!$D$24,Inputs!$D$6)+SUMPRODUCT(--(L512&gt;$D$512:$M$512),--(MOD(L512-$D$512:$M$512,Inputs!$D$21)=Inputs!$D$6),$D$519:$M$519)</f>
        <v>512.81999999999994</v>
      </c>
      <c r="M520" s="28">
        <f>IF(MOD(M512,Inputs!$D$21)=Inputs!$D$6,Inputs!$D$24,Inputs!$D$6)+SUMPRODUCT(--(M512&gt;$D$512:$M$512),--(MOD(M512-$D$512:$M$512,Inputs!$D$21)=Inputs!$D$6),$D$519:$M$519)</f>
        <v>310.80000000000007</v>
      </c>
    </row>
    <row r="521" spans="1:13" ht="15" customHeight="1" x14ac:dyDescent="0.2">
      <c r="B521" s="10" t="s">
        <v>895</v>
      </c>
      <c r="C521" s="10" t="s">
        <v>896</v>
      </c>
      <c r="D521" s="28">
        <f t="shared" ref="D521:M521" si="112">D518*D515</f>
        <v>77.288870636550314</v>
      </c>
      <c r="E521" s="28">
        <f t="shared" si="112"/>
        <v>325.72000000000003</v>
      </c>
      <c r="F521" s="28">
        <f t="shared" si="112"/>
        <v>652.06000000000006</v>
      </c>
      <c r="G521" s="28">
        <f t="shared" si="112"/>
        <v>1017.25</v>
      </c>
      <c r="H521" s="28">
        <f t="shared" si="112"/>
        <v>1405.75</v>
      </c>
      <c r="I521" s="28">
        <f t="shared" si="112"/>
        <v>1600</v>
      </c>
      <c r="J521" s="28">
        <f t="shared" si="112"/>
        <v>1600</v>
      </c>
      <c r="K521" s="28">
        <f t="shared" si="112"/>
        <v>1600</v>
      </c>
      <c r="L521" s="28">
        <f t="shared" si="112"/>
        <v>1600</v>
      </c>
      <c r="M521" s="28">
        <f t="shared" si="112"/>
        <v>1600</v>
      </c>
    </row>
    <row r="522" spans="1:13" ht="15" customHeight="1" x14ac:dyDescent="0.2">
      <c r="B522" s="10" t="s">
        <v>897</v>
      </c>
      <c r="C522" s="10" t="s">
        <v>110</v>
      </c>
      <c r="D522" s="16">
        <f>D521*($D$541/Inputs!$D$21+$D$542/Inputs!$D$22)</f>
        <v>1118.2034893112541</v>
      </c>
      <c r="E522" s="16">
        <f>E521*($D$541/Inputs!$D$21+$D$542/Inputs!$D$22)</f>
        <v>4712.466847280074</v>
      </c>
      <c r="F522" s="16">
        <f>F521*($D$541/Inputs!$D$21+$D$542/Inputs!$D$22)</f>
        <v>9433.9037591718188</v>
      </c>
      <c r="G522" s="16">
        <f>G521*($D$541/Inputs!$D$21+$D$542/Inputs!$D$22)</f>
        <v>14717.416493907818</v>
      </c>
      <c r="H522" s="16">
        <f>H521*($D$541/Inputs!$D$21+$D$542/Inputs!$D$22)</f>
        <v>20338.17472235037</v>
      </c>
      <c r="I522" s="16">
        <f>I521*($D$541/Inputs!$D$21+$D$542/Inputs!$D$22)</f>
        <v>23148.553836571649</v>
      </c>
      <c r="J522" s="16">
        <f>J521*($D$541/Inputs!$D$21+$D$542/Inputs!$D$22)</f>
        <v>23148.553836571649</v>
      </c>
      <c r="K522" s="16">
        <f>K521*($D$541/Inputs!$D$21+$D$542/Inputs!$D$22)</f>
        <v>23148.553836571649</v>
      </c>
      <c r="L522" s="16">
        <f>L521*($D$541/Inputs!$D$21+$D$542/Inputs!$D$22)</f>
        <v>23148.553836571649</v>
      </c>
      <c r="M522" s="16">
        <f>M521*($D$541/Inputs!$D$21+$D$542/Inputs!$D$22)</f>
        <v>23148.553836571649</v>
      </c>
    </row>
    <row r="523" spans="1:13" ht="15" customHeight="1" x14ac:dyDescent="0.2">
      <c r="B523" s="10" t="s">
        <v>898</v>
      </c>
      <c r="C523" s="10" t="s">
        <v>110</v>
      </c>
      <c r="D523" s="16">
        <f t="shared" ref="D523:M523" si="113">D519*($D$541+$D$542)</f>
        <v>7454.8732903914051</v>
      </c>
      <c r="E523" s="16">
        <f t="shared" si="113"/>
        <v>18637.183225978519</v>
      </c>
      <c r="F523" s="16">
        <f t="shared" si="113"/>
        <v>20500.901548576363</v>
      </c>
      <c r="G523" s="16">
        <f t="shared" si="113"/>
        <v>23296.479032473144</v>
      </c>
      <c r="H523" s="16">
        <f t="shared" si="113"/>
        <v>23296.479032473144</v>
      </c>
      <c r="I523" s="16">
        <f t="shared" si="113"/>
        <v>0</v>
      </c>
      <c r="J523" s="16">
        <f t="shared" si="113"/>
        <v>0</v>
      </c>
      <c r="K523" s="16">
        <f t="shared" si="113"/>
        <v>0</v>
      </c>
      <c r="L523" s="16">
        <f t="shared" si="113"/>
        <v>0</v>
      </c>
      <c r="M523" s="16">
        <f t="shared" si="113"/>
        <v>0</v>
      </c>
    </row>
    <row r="524" spans="1:13" ht="15" customHeight="1" x14ac:dyDescent="0.2">
      <c r="B524" s="10" t="s">
        <v>899</v>
      </c>
      <c r="C524" s="10" t="s">
        <v>110</v>
      </c>
      <c r="D524" s="16">
        <f t="shared" ref="D524:M524" si="114">D520*$D$541</f>
        <v>0</v>
      </c>
      <c r="E524" s="16">
        <f t="shared" si="114"/>
        <v>0</v>
      </c>
      <c r="F524" s="16">
        <f t="shared" si="114"/>
        <v>0</v>
      </c>
      <c r="G524" s="16">
        <f t="shared" si="114"/>
        <v>2638.0048485671714</v>
      </c>
      <c r="H524" s="16">
        <f t="shared" si="114"/>
        <v>7129.4948429102333</v>
      </c>
      <c r="I524" s="16">
        <f t="shared" si="114"/>
        <v>17823.737107275589</v>
      </c>
      <c r="J524" s="16">
        <f t="shared" si="114"/>
        <v>19606.110818003141</v>
      </c>
      <c r="K524" s="16">
        <f t="shared" si="114"/>
        <v>24917.676232661652</v>
      </c>
      <c r="L524" s="16">
        <f t="shared" si="114"/>
        <v>29409.166227004709</v>
      </c>
      <c r="M524" s="16">
        <f t="shared" si="114"/>
        <v>17823.737107275589</v>
      </c>
    </row>
    <row r="525" spans="1:13" ht="15" customHeight="1" x14ac:dyDescent="0.2">
      <c r="B525" s="10" t="s">
        <v>900</v>
      </c>
      <c r="C525" s="10" t="s">
        <v>199</v>
      </c>
      <c r="D525" s="28">
        <f>D519*Inputs!$D$23</f>
        <v>3.1080000000000001</v>
      </c>
      <c r="E525" s="28">
        <f>E519*Inputs!$D$23</f>
        <v>7.7700000000000022</v>
      </c>
      <c r="F525" s="28">
        <f>F519*Inputs!$D$23</f>
        <v>8.5469999999999988</v>
      </c>
      <c r="G525" s="28">
        <f>G519*Inputs!$D$23</f>
        <v>9.7125000000000004</v>
      </c>
      <c r="H525" s="28">
        <f>H519*Inputs!$D$23</f>
        <v>9.7125000000000004</v>
      </c>
      <c r="I525" s="28">
        <f>I519*Inputs!$D$23</f>
        <v>0</v>
      </c>
      <c r="J525" s="28">
        <f>J519*Inputs!$D$23</f>
        <v>0</v>
      </c>
      <c r="K525" s="28">
        <f>K519*Inputs!$D$23</f>
        <v>0</v>
      </c>
      <c r="L525" s="28">
        <f>L519*Inputs!$D$23</f>
        <v>0</v>
      </c>
      <c r="M525" s="28">
        <f>M519*Inputs!$D$23</f>
        <v>0</v>
      </c>
    </row>
    <row r="526" spans="1:13" ht="15" customHeight="1" x14ac:dyDescent="0.2">
      <c r="B526" s="3" t="s">
        <v>901</v>
      </c>
      <c r="C526" s="10" t="s">
        <v>896</v>
      </c>
      <c r="D526" s="28">
        <f>(D521*$D$539*(Inputs!$D$7-Inputs!$D$19)-D525)/(Inputs!$D$7+$D$540)^D514</f>
        <v>40.99699201112098</v>
      </c>
      <c r="E526" s="28">
        <f>(E521*$D$539*(Inputs!$D$7-Inputs!$D$19)-E525)/(Inputs!$D$7+$D$540)^E514</f>
        <v>153.02781912726542</v>
      </c>
      <c r="F526" s="28">
        <f>(F521*$D$539*(Inputs!$D$7-Inputs!$D$19)-F525)/(Inputs!$D$7+$D$540)^F514</f>
        <v>268.8019226843403</v>
      </c>
      <c r="G526" s="28">
        <f>(G521*$D$539*(Inputs!$D$7-Inputs!$D$19)-G525)/(Inputs!$D$7+$D$540)^G514</f>
        <v>363.62824610263397</v>
      </c>
      <c r="H526" s="28">
        <f>(H521*$D$539*(Inputs!$D$7-Inputs!$D$19)-H525)/(Inputs!$D$7+$D$540)^H514</f>
        <v>435.07807528321291</v>
      </c>
      <c r="I526" s="28">
        <f>(I521*$D$539*(Inputs!$D$7-Inputs!$D$19)-I525)/(Inputs!$D$7+$D$540)^I514</f>
        <v>431.49711827119876</v>
      </c>
      <c r="J526" s="28">
        <f>(J521*$D$539*(Inputs!$D$7-Inputs!$D$19)-J525)/(Inputs!$D$7+$D$540)^J514</f>
        <v>372.01806500733016</v>
      </c>
      <c r="K526" s="28">
        <f>(K521*$D$539*(Inputs!$D$7-Inputs!$D$19)-K525)/(Inputs!$D$7+$D$540)^K514</f>
        <v>320.73780989845312</v>
      </c>
      <c r="L526" s="28">
        <f>(L521*$D$539*(Inputs!$D$7-Inputs!$D$19)-L525)/(Inputs!$D$7+$D$540)^L514</f>
        <v>276.52620228651875</v>
      </c>
      <c r="M526" s="28">
        <f>(M521*$D$539*(Inputs!$D$7-Inputs!$D$19)-M525)/(Inputs!$D$7+$D$540)^M514</f>
        <v>238.31201718226143</v>
      </c>
    </row>
    <row r="527" spans="1:13" ht="15" customHeight="1" x14ac:dyDescent="0.2">
      <c r="B527" s="10" t="s">
        <v>902</v>
      </c>
      <c r="C527" s="10" t="s">
        <v>110</v>
      </c>
      <c r="D527" s="16">
        <f>(D522*Inputs!$D$19-D523-D524)/(Inputs!$D$7+$D$540)^D514</f>
        <v>-6403.0045740313244</v>
      </c>
      <c r="E527" s="16">
        <f>(E522*Inputs!$D$19-E523-E524)/(Inputs!$D$7+$D$540)^E514</f>
        <v>-13349.632212764713</v>
      </c>
      <c r="F527" s="16">
        <f>(F522*Inputs!$D$19-F523-F524)/(Inputs!$D$7+$D$540)^F514</f>
        <v>-11808.370082432088</v>
      </c>
      <c r="G527" s="16">
        <f>(G522*Inputs!$D$19-G523-G524)/(Inputs!$D$7+$D$540)^G514</f>
        <v>-12397.921878440668</v>
      </c>
      <c r="H527" s="16">
        <f>(H522*Inputs!$D$19-H523-H524)/(Inputs!$D$7+$D$540)^H514</f>
        <v>-12082.366885213038</v>
      </c>
      <c r="I527" s="16">
        <f>(I522*Inputs!$D$19-I523-I524)/(Inputs!$D$7+$D$540)^I514</f>
        <v>-4657.0743222469628</v>
      </c>
      <c r="J527" s="16">
        <f>(J522*Inputs!$D$19-J523-J524)/(Inputs!$D$7+$D$540)^J514</f>
        <v>-4672.9398284057479</v>
      </c>
      <c r="K527" s="16">
        <f>(K522*Inputs!$D$19-K523-K524)/(Inputs!$D$7+$D$540)^K514</f>
        <v>-5718.9047268503064</v>
      </c>
      <c r="L527" s="16">
        <f>(L522*Inputs!$D$19-L523-L524)/(Inputs!$D$7+$D$540)^L514</f>
        <v>-6162.7485564592316</v>
      </c>
      <c r="M527" s="16">
        <f>(M522*Inputs!$D$19-M523-M524)/(Inputs!$D$7+$D$540)^M514</f>
        <v>-2572.0606903447429</v>
      </c>
    </row>
    <row r="528" spans="1:13" ht="15" customHeight="1" x14ac:dyDescent="0.2">
      <c r="B528" s="10" t="s">
        <v>903</v>
      </c>
      <c r="C528" s="10" t="s">
        <v>110</v>
      </c>
      <c r="D528" s="16">
        <f t="shared" ref="D528:M528" si="115">D521*$D$538</f>
        <v>2678.9440703815153</v>
      </c>
      <c r="E528" s="16">
        <f t="shared" si="115"/>
        <v>11289.926420428466</v>
      </c>
      <c r="F528" s="16">
        <f t="shared" si="115"/>
        <v>22601.342937813417</v>
      </c>
      <c r="G528" s="16">
        <f t="shared" si="115"/>
        <v>35259.356659648947</v>
      </c>
      <c r="H528" s="16">
        <f t="shared" si="115"/>
        <v>48725.328704154839</v>
      </c>
      <c r="I528" s="16">
        <f t="shared" si="115"/>
        <v>55458.314726407785</v>
      </c>
      <c r="J528" s="16">
        <f t="shared" si="115"/>
        <v>55458.314726407785</v>
      </c>
      <c r="K528" s="16">
        <f t="shared" si="115"/>
        <v>55458.314726407785</v>
      </c>
      <c r="L528" s="16">
        <f t="shared" si="115"/>
        <v>55458.314726407785</v>
      </c>
      <c r="M528" s="16">
        <f t="shared" si="115"/>
        <v>55458.314726407785</v>
      </c>
    </row>
    <row r="529" spans="2:13" ht="15" customHeight="1" x14ac:dyDescent="0.2">
      <c r="B529" s="10" t="s">
        <v>904</v>
      </c>
      <c r="C529" s="10" t="s">
        <v>110</v>
      </c>
      <c r="D529" s="16">
        <f t="shared" ref="D529:M529" si="116">D528*$D$539</f>
        <v>2411.049663343364</v>
      </c>
      <c r="E529" s="16">
        <f t="shared" si="116"/>
        <v>10160.933778385621</v>
      </c>
      <c r="F529" s="16">
        <f t="shared" si="116"/>
        <v>20341.208644032075</v>
      </c>
      <c r="G529" s="16">
        <f t="shared" si="116"/>
        <v>31733.420993684053</v>
      </c>
      <c r="H529" s="16">
        <f t="shared" si="116"/>
        <v>43852.795833739357</v>
      </c>
      <c r="I529" s="16">
        <f t="shared" si="116"/>
        <v>49912.483253767008</v>
      </c>
      <c r="J529" s="16">
        <f t="shared" si="116"/>
        <v>49912.483253767008</v>
      </c>
      <c r="K529" s="16">
        <f t="shared" si="116"/>
        <v>49912.483253767008</v>
      </c>
      <c r="L529" s="16">
        <f t="shared" si="116"/>
        <v>49912.483253767008</v>
      </c>
      <c r="M529" s="16">
        <f t="shared" si="116"/>
        <v>49912.483253767008</v>
      </c>
    </row>
    <row r="530" spans="2:13" ht="15" customHeight="1" x14ac:dyDescent="0.2">
      <c r="B530" s="10" t="s">
        <v>905</v>
      </c>
      <c r="C530" s="10" t="s">
        <v>110</v>
      </c>
      <c r="D530" s="16">
        <f t="shared" ref="D530:M530" si="117">D529-D522</f>
        <v>1292.84617403211</v>
      </c>
      <c r="E530" s="16">
        <f t="shared" si="117"/>
        <v>5448.4669311055468</v>
      </c>
      <c r="F530" s="16">
        <f t="shared" si="117"/>
        <v>10907.304884860256</v>
      </c>
      <c r="G530" s="16">
        <f t="shared" si="117"/>
        <v>17016.004499776234</v>
      </c>
      <c r="H530" s="16">
        <f t="shared" si="117"/>
        <v>23514.621111388988</v>
      </c>
      <c r="I530" s="16">
        <f t="shared" si="117"/>
        <v>26763.929417195359</v>
      </c>
      <c r="J530" s="16">
        <f t="shared" si="117"/>
        <v>26763.929417195359</v>
      </c>
      <c r="K530" s="16">
        <f t="shared" si="117"/>
        <v>26763.929417195359</v>
      </c>
      <c r="L530" s="16">
        <f t="shared" si="117"/>
        <v>26763.929417195359</v>
      </c>
      <c r="M530" s="16">
        <f t="shared" si="117"/>
        <v>26763.929417195359</v>
      </c>
    </row>
    <row r="531" spans="2:13" ht="15" customHeight="1" x14ac:dyDescent="0.2">
      <c r="B531" s="10" t="s">
        <v>906</v>
      </c>
      <c r="C531" s="10" t="s">
        <v>110</v>
      </c>
      <c r="D531" s="16">
        <f>MAX(D530,Inputs!$D$6)*Inputs!$D$19</f>
        <v>387.85385220963298</v>
      </c>
      <c r="E531" s="16">
        <f>MAX(E530,Inputs!$D$6)*Inputs!$D$19</f>
        <v>1634.5400793316639</v>
      </c>
      <c r="F531" s="16">
        <f>MAX(F530,Inputs!$D$6)*Inputs!$D$19</f>
        <v>3272.1914654580764</v>
      </c>
      <c r="G531" s="16">
        <f>MAX(G530,Inputs!$D$6)*Inputs!$D$19</f>
        <v>5104.8013499328699</v>
      </c>
      <c r="H531" s="16">
        <f>MAX(H530,Inputs!$D$6)*Inputs!$D$19</f>
        <v>7054.3863334166963</v>
      </c>
      <c r="I531" s="16">
        <f>MAX(I530,Inputs!$D$6)*Inputs!$D$19</f>
        <v>8029.1788251586077</v>
      </c>
      <c r="J531" s="16">
        <f>MAX(J530,Inputs!$D$6)*Inputs!$D$19</f>
        <v>8029.1788251586077</v>
      </c>
      <c r="K531" s="16">
        <f>MAX(K530,Inputs!$D$6)*Inputs!$D$19</f>
        <v>8029.1788251586077</v>
      </c>
      <c r="L531" s="16">
        <f>MAX(L530,Inputs!$D$6)*Inputs!$D$19</f>
        <v>8029.1788251586077</v>
      </c>
      <c r="M531" s="16">
        <f>MAX(M530,Inputs!$D$6)*Inputs!$D$19</f>
        <v>8029.1788251586077</v>
      </c>
    </row>
    <row r="532" spans="2:13" ht="15" customHeight="1" x14ac:dyDescent="0.2">
      <c r="B532" s="10" t="s">
        <v>907</v>
      </c>
      <c r="C532" s="10" t="s">
        <v>110</v>
      </c>
      <c r="D532" s="16">
        <f t="shared" ref="D532:M532" si="118">D525*$D$538</f>
        <v>107.72777635604713</v>
      </c>
      <c r="E532" s="16">
        <f t="shared" si="118"/>
        <v>269.3194408901179</v>
      </c>
      <c r="F532" s="16">
        <f t="shared" si="118"/>
        <v>296.25138497912957</v>
      </c>
      <c r="G532" s="16">
        <f t="shared" si="118"/>
        <v>336.64930111264727</v>
      </c>
      <c r="H532" s="16">
        <f t="shared" si="118"/>
        <v>336.64930111264727</v>
      </c>
      <c r="I532" s="16">
        <f t="shared" si="118"/>
        <v>0</v>
      </c>
      <c r="J532" s="16">
        <f t="shared" si="118"/>
        <v>0</v>
      </c>
      <c r="K532" s="16">
        <f t="shared" si="118"/>
        <v>0</v>
      </c>
      <c r="L532" s="16">
        <f t="shared" si="118"/>
        <v>0</v>
      </c>
      <c r="M532" s="16">
        <f t="shared" si="118"/>
        <v>0</v>
      </c>
    </row>
    <row r="533" spans="2:13" ht="15" customHeight="1" x14ac:dyDescent="0.2">
      <c r="B533" s="10" t="s">
        <v>908</v>
      </c>
      <c r="C533" s="10" t="s">
        <v>110</v>
      </c>
      <c r="D533" s="16">
        <f t="shared" ref="D533:M533" si="119">D529-D531-D523-D524-D532</f>
        <v>-5539.4052556137212</v>
      </c>
      <c r="E533" s="16">
        <f t="shared" si="119"/>
        <v>-10380.10896781468</v>
      </c>
      <c r="F533" s="16">
        <f t="shared" si="119"/>
        <v>-3728.1357549814938</v>
      </c>
      <c r="G533" s="16">
        <f t="shared" si="119"/>
        <v>357.48646159822005</v>
      </c>
      <c r="H533" s="16">
        <f t="shared" si="119"/>
        <v>6035.7863238266364</v>
      </c>
      <c r="I533" s="16">
        <f t="shared" si="119"/>
        <v>24059.567321332815</v>
      </c>
      <c r="J533" s="16">
        <f t="shared" si="119"/>
        <v>22277.193610605264</v>
      </c>
      <c r="K533" s="16">
        <f t="shared" si="119"/>
        <v>16965.628195946752</v>
      </c>
      <c r="L533" s="16">
        <f t="shared" si="119"/>
        <v>12474.138201603695</v>
      </c>
      <c r="M533" s="16">
        <f t="shared" si="119"/>
        <v>24059.567321332815</v>
      </c>
    </row>
    <row r="534" spans="2:13" ht="15" customHeight="1" x14ac:dyDescent="0.2">
      <c r="B534" s="10" t="s">
        <v>909</v>
      </c>
      <c r="C534" s="10" t="s">
        <v>110</v>
      </c>
      <c r="D534" s="16">
        <f>D533/(Inputs!$D$7+$D$540)^D514</f>
        <v>-4981.9895204133418</v>
      </c>
      <c r="E534" s="16">
        <f>E533/(Inputs!$D$7+$D$540)^E514</f>
        <v>-8045.4666158549035</v>
      </c>
      <c r="F534" s="16">
        <f>F533/(Inputs!$D$7+$D$540)^F514</f>
        <v>-2491.3065653747867</v>
      </c>
      <c r="G534" s="16">
        <f>G533/(Inputs!$D$7+$D$540)^G514</f>
        <v>205.95919391654564</v>
      </c>
      <c r="H534" s="16">
        <f>H533/(Inputs!$D$7+$D$540)^H514</f>
        <v>2998.0686332970654</v>
      </c>
      <c r="I534" s="16">
        <f>I533/(Inputs!$D$7+$D$540)^I514</f>
        <v>10299.240045641882</v>
      </c>
      <c r="J534" s="16">
        <f>J533/(Inputs!$D$7+$D$540)^J514</f>
        <v>8221.744504772847</v>
      </c>
      <c r="K534" s="16">
        <f>K533/(Inputs!$D$7+$D$540)^K514</f>
        <v>5398.3317769041732</v>
      </c>
      <c r="L534" s="16">
        <f>L533/(Inputs!$D$7+$D$540)^L514</f>
        <v>3422.0496663558088</v>
      </c>
      <c r="M534" s="16">
        <f>M533/(Inputs!$D$7+$D$540)^M514</f>
        <v>5688.178592142106</v>
      </c>
    </row>
    <row r="535" spans="2:13" ht="15" customHeight="1" x14ac:dyDescent="0.2">
      <c r="B535" s="3" t="s">
        <v>910</v>
      </c>
      <c r="C535" s="10" t="s">
        <v>896</v>
      </c>
      <c r="D535" s="28">
        <f>(D521*$D$539-D525)/(Inputs!$D$7+$D$540)^D514</f>
        <v>59.765095798928819</v>
      </c>
      <c r="E535" s="28">
        <f>(E521*$D$539-E525)/(Inputs!$D$7+$D$540)^E514</f>
        <v>221.1922031857838</v>
      </c>
      <c r="F535" s="28">
        <f>(F521*$D$539-F525)/(Inputs!$D$7+$D$540)^F514</f>
        <v>386.45052664112239</v>
      </c>
      <c r="G535" s="28">
        <f>(G521*$D$539-G525)/(Inputs!$D$7+$D$540)^G514</f>
        <v>521.867070169518</v>
      </c>
      <c r="H535" s="28">
        <f>(H521*$D$539-H525)/(Inputs!$D$7+$D$540)^H514</f>
        <v>623.60768582417222</v>
      </c>
      <c r="I535" s="28">
        <f>(I521*$D$539-I525)/(Inputs!$D$7+$D$540)^I514</f>
        <v>616.42445467314121</v>
      </c>
      <c r="J535" s="28">
        <f>(J521*$D$539-J525)/(Inputs!$D$7+$D$540)^J514</f>
        <v>531.4543785819003</v>
      </c>
      <c r="K535" s="28">
        <f>(K521*$D$539-K525)/(Inputs!$D$7+$D$540)^K514</f>
        <v>458.19687128350449</v>
      </c>
      <c r="L535" s="28">
        <f>(L521*$D$539-L525)/(Inputs!$D$7+$D$540)^L514</f>
        <v>395.03743183788401</v>
      </c>
      <c r="M535" s="28">
        <f>(M521*$D$539-M525)/(Inputs!$D$7+$D$540)^M514</f>
        <v>340.44573883180209</v>
      </c>
    </row>
    <row r="536" spans="2:13" ht="15" customHeight="1" x14ac:dyDescent="0.2">
      <c r="B536" s="10" t="s">
        <v>911</v>
      </c>
      <c r="C536" s="10" t="s">
        <v>110</v>
      </c>
      <c r="D536" s="16">
        <f>(-D523-D524)/(Inputs!$D$7+$D$540)^D514</f>
        <v>-6704.7090607969039</v>
      </c>
      <c r="E536" s="16">
        <f>(-E523-E524)/(Inputs!$D$7+$D$540)^E514</f>
        <v>-14445.4009031226</v>
      </c>
      <c r="F536" s="16">
        <f>(-F523-F524)/(Inputs!$D$7+$D$540)^F514</f>
        <v>-13699.616639717549</v>
      </c>
      <c r="G536" s="16">
        <f>(-G523-G524)/(Inputs!$D$7+$D$540)^G514</f>
        <v>-14941.671835349038</v>
      </c>
      <c r="H536" s="16">
        <f>(-H523-H524)/(Inputs!$D$7+$D$540)^H514</f>
        <v>-15113.052884793095</v>
      </c>
      <c r="I536" s="16">
        <f>(-I523-I524)/(Inputs!$D$7+$D$540)^I514</f>
        <v>-7629.8523795762403</v>
      </c>
      <c r="J536" s="16">
        <f>(-J523-J524)/(Inputs!$D$7+$D$540)^J514</f>
        <v>-7235.9398897150922</v>
      </c>
      <c r="K536" s="16">
        <f>(-K523-K524)/(Inputs!$D$7+$D$540)^K514</f>
        <v>-7928.612006570077</v>
      </c>
      <c r="L536" s="16">
        <f>(-L523-L524)/(Inputs!$D$7+$D$540)^L514</f>
        <v>-8067.8621519509534</v>
      </c>
      <c r="M536" s="16">
        <f>(-M523-M524)/(Inputs!$D$7+$D$540)^M514</f>
        <v>-4213.8995473821142</v>
      </c>
    </row>
    <row r="537" spans="2:13" ht="15" customHeight="1" x14ac:dyDescent="0.2">
      <c r="B537" s="10" t="s">
        <v>912</v>
      </c>
      <c r="C537" s="10" t="s">
        <v>110</v>
      </c>
      <c r="D537" s="16">
        <f>Prices!K7</f>
        <v>50083.245841420365</v>
      </c>
    </row>
    <row r="538" spans="2:13" ht="15" customHeight="1" x14ac:dyDescent="0.2">
      <c r="B538" s="3" t="s">
        <v>913</v>
      </c>
      <c r="C538" s="10" t="s">
        <v>914</v>
      </c>
      <c r="D538" s="28">
        <f>IF(J545&gt;=J541,J545,(D537-J544)/J543)</f>
        <v>34.661446704004867</v>
      </c>
      <c r="G538" s="99" t="s">
        <v>915</v>
      </c>
      <c r="H538" s="91"/>
      <c r="I538" s="91"/>
      <c r="J538" s="28">
        <f>D538*Inputs!$D$15</f>
        <v>24.190223654724996</v>
      </c>
      <c r="K538" s="99" t="s">
        <v>916</v>
      </c>
      <c r="L538" s="91"/>
      <c r="M538" s="91"/>
    </row>
    <row r="539" spans="2:13" ht="15" customHeight="1" x14ac:dyDescent="0.2">
      <c r="B539" s="10" t="s">
        <v>917</v>
      </c>
      <c r="C539" s="10" t="s">
        <v>104</v>
      </c>
      <c r="D539" s="30">
        <f>Inputs!$D$107</f>
        <v>0.9</v>
      </c>
      <c r="G539" s="99" t="s">
        <v>918</v>
      </c>
      <c r="H539" s="91"/>
      <c r="I539" s="91"/>
      <c r="J539" s="28">
        <f>IF(-D550/D549&gt;=J541,-D550/D549,-J544/J543)</f>
        <v>24.024174528419383</v>
      </c>
      <c r="K539" s="99" t="s">
        <v>919</v>
      </c>
      <c r="L539" s="91"/>
      <c r="M539" s="91"/>
    </row>
    <row r="540" spans="2:13" ht="15" customHeight="1" x14ac:dyDescent="0.2">
      <c r="B540" s="10" t="s">
        <v>920</v>
      </c>
      <c r="C540" s="10" t="s">
        <v>104</v>
      </c>
      <c r="D540" s="30">
        <f>Inputs!$D$108</f>
        <v>0.16</v>
      </c>
      <c r="G540" s="99" t="s">
        <v>918</v>
      </c>
      <c r="H540" s="91"/>
      <c r="I540" s="91"/>
      <c r="J540" s="28">
        <f>J539*Inputs!$D$15</f>
        <v>16.766471403383886</v>
      </c>
      <c r="K540" s="99" t="s">
        <v>916</v>
      </c>
      <c r="L540" s="91"/>
      <c r="M540" s="91"/>
    </row>
    <row r="541" spans="2:13" ht="15" customHeight="1" x14ac:dyDescent="0.2">
      <c r="B541" s="3" t="s">
        <v>921</v>
      </c>
      <c r="C541" s="10" t="s">
        <v>848</v>
      </c>
      <c r="D541" s="28">
        <f>Capital!$D$13</f>
        <v>57.347931490590682</v>
      </c>
      <c r="G541" s="99" t="s">
        <v>922</v>
      </c>
      <c r="H541" s="91"/>
      <c r="I541" s="91"/>
      <c r="J541" s="28">
        <f>($D$541/Inputs!$D$21+$D$542/Inputs!$D$22)/$D$539</f>
        <v>16.07538460873031</v>
      </c>
      <c r="K541" s="99" t="s">
        <v>919</v>
      </c>
      <c r="L541" s="91"/>
      <c r="M541" s="91"/>
    </row>
    <row r="542" spans="2:13" ht="15" customHeight="1" x14ac:dyDescent="0.2">
      <c r="B542" s="3" t="s">
        <v>923</v>
      </c>
      <c r="C542" s="10" t="s">
        <v>848</v>
      </c>
      <c r="D542" s="28">
        <f>Capital!$D$14</f>
        <v>2.6172655041921802</v>
      </c>
    </row>
    <row r="543" spans="2:13" ht="15" customHeight="1" x14ac:dyDescent="0.2">
      <c r="B543" s="10" t="s">
        <v>924</v>
      </c>
      <c r="C543" s="10" t="s">
        <v>896</v>
      </c>
      <c r="D543" s="28">
        <f>(M516*(Inputs!$D$7+Inputs!$D$20)*$D$539*(Inputs!$D$7-Inputs!$D$19)-M516*Inputs!$D$20*Inputs!$D$23)/($D$540-Inputs!$D$20)/(Inputs!$D$7+$D$540)^M514</f>
        <v>1807.6547922951956</v>
      </c>
      <c r="G543" s="92" t="s">
        <v>910</v>
      </c>
      <c r="H543" s="91"/>
      <c r="I543" s="91"/>
      <c r="J543" s="28">
        <f>SUM(D535:M535)+(M516*(Inputs!$D$7+Inputs!$D$20)*$D$539-M516*Inputs!$D$20*Inputs!$D$23)/($D$540-Inputs!$D$20)/(Inputs!$D$7+$D$540)^M514</f>
        <v>6737.5559875731687</v>
      </c>
      <c r="K543" s="99" t="s">
        <v>896</v>
      </c>
      <c r="L543" s="91"/>
      <c r="M543" s="91"/>
    </row>
    <row r="544" spans="2:13" ht="15" customHeight="1" x14ac:dyDescent="0.2">
      <c r="B544" s="10" t="s">
        <v>925</v>
      </c>
      <c r="C544" s="10" t="s">
        <v>110</v>
      </c>
      <c r="D544" s="16">
        <f>(D547*Inputs!$D$19-D547-D548)/($D$540-Inputs!$D$20)/(Inputs!$D$7+$D$540)^M514</f>
        <v>-33287.494112345899</v>
      </c>
      <c r="G544" s="92" t="s">
        <v>926</v>
      </c>
      <c r="H544" s="91"/>
      <c r="I544" s="91"/>
      <c r="J544" s="16">
        <f>SUM(D536:M536)-(D547+D548)/($D$540-Inputs!$D$20)/(Inputs!$D$7+$D$540)^M514</f>
        <v>-145733.9249554922</v>
      </c>
      <c r="K544" s="99" t="s">
        <v>110</v>
      </c>
      <c r="L544" s="91"/>
      <c r="M544" s="91"/>
    </row>
    <row r="545" spans="1:13" ht="15" customHeight="1" x14ac:dyDescent="0.2">
      <c r="B545" s="10" t="s">
        <v>927</v>
      </c>
      <c r="C545" s="10" t="s">
        <v>928</v>
      </c>
      <c r="D545" s="16">
        <f>(M516*(Inputs!$D$7+Inputs!$D$20)*$D$538*$D$539-D547)-MAX((M516*(Inputs!$D$7+Inputs!$D$20)*$D$538*$D$539-D547),Inputs!$D$6)*Inputs!$D$19-D548-M516*Inputs!$D$20*$D$538*Inputs!$D$23</f>
        <v>16769.850030342343</v>
      </c>
      <c r="G545" s="99" t="s">
        <v>929</v>
      </c>
      <c r="H545" s="91"/>
      <c r="I545" s="91"/>
      <c r="J545" s="28">
        <f>(D537-D550)/D549</f>
        <v>34.661446704004867</v>
      </c>
      <c r="K545" s="99" t="s">
        <v>919</v>
      </c>
      <c r="L545" s="91"/>
      <c r="M545" s="91"/>
    </row>
    <row r="546" spans="1:13" ht="15" customHeight="1" x14ac:dyDescent="0.2">
      <c r="B546" s="10" t="s">
        <v>930</v>
      </c>
      <c r="C546" s="10" t="s">
        <v>110</v>
      </c>
      <c r="D546" s="16">
        <f>D545/($D$540-Inputs!$D$20)</f>
        <v>124221.11133586919</v>
      </c>
      <c r="G546" s="99" t="s">
        <v>931</v>
      </c>
      <c r="H546" s="91"/>
      <c r="I546" s="91"/>
      <c r="J546" s="16">
        <f>MIN(D530:M530,(M516*(Inputs!$D$7+Inputs!$D$20)*$D$538*$D$539-D547))</f>
        <v>1292.84617403211</v>
      </c>
      <c r="K546" s="99" t="s">
        <v>110</v>
      </c>
      <c r="L546" s="91"/>
      <c r="M546" s="91"/>
    </row>
    <row r="547" spans="1:13" ht="15" customHeight="1" x14ac:dyDescent="0.2">
      <c r="B547" s="10" t="s">
        <v>932</v>
      </c>
      <c r="C547" s="10" t="s">
        <v>928</v>
      </c>
      <c r="D547" s="16">
        <f>M516*(Inputs!$D$7+Inputs!$D$20)*($D$541/Inputs!$D$21+$D$542/Inputs!$D$22)</f>
        <v>23727.267682485937</v>
      </c>
      <c r="G547" s="99" t="s">
        <v>933</v>
      </c>
      <c r="H547" s="91"/>
      <c r="I547" s="91"/>
      <c r="J547" s="31" t="str">
        <f>IF(J546&lt;Inputs!$D$6,"breached","satisfied")</f>
        <v>satisfied</v>
      </c>
      <c r="K547" s="99" t="s">
        <v>934</v>
      </c>
      <c r="L547" s="91"/>
      <c r="M547" s="91"/>
    </row>
    <row r="548" spans="1:13" ht="15" customHeight="1" x14ac:dyDescent="0.2">
      <c r="B548" s="10" t="s">
        <v>935</v>
      </c>
      <c r="C548" s="10" t="s">
        <v>928</v>
      </c>
      <c r="D548" s="16">
        <f>M516*Inputs!$D$20*($D$541+$D$542)</f>
        <v>2398.6078797913146</v>
      </c>
    </row>
    <row r="549" spans="1:13" ht="15" customHeight="1" x14ac:dyDescent="0.2">
      <c r="B549" s="10" t="s">
        <v>936</v>
      </c>
      <c r="C549" s="10" t="s">
        <v>896</v>
      </c>
      <c r="D549" s="28">
        <f>SUM(D526:M526)+D543</f>
        <v>4708.2790601495317</v>
      </c>
      <c r="G549" s="99" t="s">
        <v>937</v>
      </c>
      <c r="H549" s="91"/>
      <c r="I549" s="91"/>
      <c r="J549" s="16">
        <f>D551-D537</f>
        <v>0</v>
      </c>
      <c r="K549" s="99" t="s">
        <v>110</v>
      </c>
      <c r="L549" s="91"/>
      <c r="M549" s="91"/>
    </row>
    <row r="550" spans="1:13" ht="15" customHeight="1" x14ac:dyDescent="0.2">
      <c r="B550" s="10" t="s">
        <v>938</v>
      </c>
      <c r="C550" s="10" t="s">
        <v>110</v>
      </c>
      <c r="D550" s="16">
        <f>SUM(D527:M527)+D544</f>
        <v>-113112.51786953473</v>
      </c>
    </row>
    <row r="551" spans="1:13" ht="15" customHeight="1" x14ac:dyDescent="0.2">
      <c r="B551" s="10" t="s">
        <v>939</v>
      </c>
      <c r="C551" s="10" t="s">
        <v>110</v>
      </c>
      <c r="D551" s="16">
        <f>SUM(D534:M534)+D546/(Inputs!$D$7+$D$540)^M514</f>
        <v>50083.245841420401</v>
      </c>
    </row>
    <row r="552" spans="1:13" ht="15" customHeight="1" x14ac:dyDescent="0.2">
      <c r="B552" s="10" t="s">
        <v>940</v>
      </c>
      <c r="C552" s="10" t="s">
        <v>104</v>
      </c>
      <c r="D552" s="30">
        <f>IF(ABS(D537)&gt;Inputs!$D$6,D551/D537-Inputs!$D$7,Inputs!$D$6)</f>
        <v>6.6613381477509392E-16</v>
      </c>
    </row>
    <row r="553" spans="1:13" ht="15" customHeight="1" x14ac:dyDescent="0.2">
      <c r="B553" s="10" t="s">
        <v>941</v>
      </c>
      <c r="C553" s="10" t="s">
        <v>104</v>
      </c>
      <c r="D553" s="30">
        <f>IF(ABS(D551)&gt;Inputs!$D$119,D546/(Inputs!$D$7+$D$540)^M514/D551,Inputs!$D$6)</f>
        <v>0.5863924279792665</v>
      </c>
    </row>
    <row r="554" spans="1:13" ht="15" customHeight="1" x14ac:dyDescent="0.2">
      <c r="B554" s="10" t="s">
        <v>942</v>
      </c>
      <c r="C554" s="10" t="s">
        <v>943</v>
      </c>
      <c r="D554" s="26">
        <f>$D$538*Inputs!$D$8/Prices!$P$6/(Inputs!$D$26/Inputs!$D$25)/Inputs!$D$11/Inputs!$D$56</f>
        <v>6.3032893680418018</v>
      </c>
    </row>
    <row r="558" spans="1:13" ht="15" customHeight="1" x14ac:dyDescent="0.2">
      <c r="A558" s="104" t="s">
        <v>955</v>
      </c>
      <c r="B558" s="10" t="s">
        <v>886</v>
      </c>
      <c r="C558" s="10" t="s">
        <v>107</v>
      </c>
      <c r="D558" s="28">
        <f>Inputs!$D$60</f>
        <v>1</v>
      </c>
      <c r="E558" s="28">
        <f>Inputs!$D$62</f>
        <v>2</v>
      </c>
      <c r="F558" s="28">
        <f>Inputs!$D$64</f>
        <v>3</v>
      </c>
      <c r="G558" s="28">
        <f>Inputs!$D$66</f>
        <v>4</v>
      </c>
      <c r="H558" s="28">
        <f>Inputs!$D$68</f>
        <v>5</v>
      </c>
      <c r="I558" s="28">
        <f>Inputs!$D$70</f>
        <v>6</v>
      </c>
      <c r="J558" s="28">
        <f>Inputs!$D$72</f>
        <v>7</v>
      </c>
      <c r="K558" s="28">
        <f>Inputs!$D$74</f>
        <v>8</v>
      </c>
      <c r="L558" s="28">
        <f>Inputs!$D$76</f>
        <v>9</v>
      </c>
      <c r="M558" s="28">
        <f>Inputs!$D$78</f>
        <v>10</v>
      </c>
    </row>
    <row r="559" spans="1:13" ht="15" customHeight="1" x14ac:dyDescent="0.2">
      <c r="A559" s="91"/>
      <c r="B559" s="10" t="s">
        <v>887</v>
      </c>
      <c r="C559" s="10" t="s">
        <v>161</v>
      </c>
      <c r="D559" s="29">
        <f>Inputs!$D$61</f>
        <v>46568</v>
      </c>
      <c r="E559" s="29">
        <f>Inputs!$D$63</f>
        <v>46934</v>
      </c>
      <c r="F559" s="29">
        <f>Inputs!$D$65</f>
        <v>47299</v>
      </c>
      <c r="G559" s="29">
        <f>Inputs!$D$67</f>
        <v>47664</v>
      </c>
      <c r="H559" s="29">
        <f>Inputs!$D$69</f>
        <v>48029</v>
      </c>
      <c r="I559" s="29">
        <f>Inputs!$D$71</f>
        <v>48395</v>
      </c>
      <c r="J559" s="29">
        <f>Inputs!$D$73</f>
        <v>48760</v>
      </c>
      <c r="K559" s="29">
        <f>Inputs!$D$75</f>
        <v>49125</v>
      </c>
      <c r="L559" s="29">
        <f>Inputs!$D$77</f>
        <v>49490</v>
      </c>
      <c r="M559" s="29">
        <f>Inputs!$D$79</f>
        <v>49856</v>
      </c>
    </row>
    <row r="560" spans="1:13" ht="15" customHeight="1" x14ac:dyDescent="0.2">
      <c r="A560" s="91"/>
      <c r="B560" s="10" t="s">
        <v>888</v>
      </c>
      <c r="C560" s="10" t="s">
        <v>107</v>
      </c>
      <c r="D560" s="28">
        <f>(D559-Inputs!$D$13)/Inputs!$D$10</f>
        <v>0.71457905544147848</v>
      </c>
      <c r="E560" s="28">
        <f>(E559-Inputs!$D$13)/Inputs!$D$10</f>
        <v>1.7166324435318274</v>
      </c>
      <c r="F560" s="28">
        <f>(F559-Inputs!$D$13)/Inputs!$D$10</f>
        <v>2.7159479808350446</v>
      </c>
      <c r="G560" s="28">
        <f>(G559-Inputs!$D$13)/Inputs!$D$10</f>
        <v>3.7152635181382614</v>
      </c>
      <c r="H560" s="28">
        <f>(H559-Inputs!$D$13)/Inputs!$D$10</f>
        <v>4.7145790554414786</v>
      </c>
      <c r="I560" s="28">
        <f>(I559-Inputs!$D$13)/Inputs!$D$10</f>
        <v>5.7166324435318279</v>
      </c>
      <c r="J560" s="28">
        <f>(J559-Inputs!$D$13)/Inputs!$D$10</f>
        <v>6.7159479808350442</v>
      </c>
      <c r="K560" s="28">
        <f>(K559-Inputs!$D$13)/Inputs!$D$10</f>
        <v>7.7152635181382614</v>
      </c>
      <c r="L560" s="28">
        <f>(L559-Inputs!$D$13)/Inputs!$D$10</f>
        <v>8.7145790554414777</v>
      </c>
      <c r="M560" s="28">
        <f>(M559-Inputs!$D$13)/Inputs!$D$10</f>
        <v>9.716632443531827</v>
      </c>
    </row>
    <row r="561" spans="1:13" ht="15" customHeight="1" x14ac:dyDescent="0.2">
      <c r="A561" s="91"/>
      <c r="B561" s="10" t="s">
        <v>889</v>
      </c>
      <c r="C561" s="10" t="s">
        <v>107</v>
      </c>
      <c r="D561" s="28">
        <f>D560</f>
        <v>0.71457905544147848</v>
      </c>
      <c r="E561" s="28">
        <f>Inputs!$D$7</f>
        <v>1</v>
      </c>
      <c r="F561" s="28">
        <f>Inputs!$D$7</f>
        <v>1</v>
      </c>
      <c r="G561" s="28">
        <f>Inputs!$D$7</f>
        <v>1</v>
      </c>
      <c r="H561" s="28">
        <f>Inputs!$D$7</f>
        <v>1</v>
      </c>
      <c r="I561" s="28">
        <f>Inputs!$D$7</f>
        <v>1</v>
      </c>
      <c r="J561" s="28">
        <f>Inputs!$D$7</f>
        <v>1</v>
      </c>
      <c r="K561" s="28">
        <f>Inputs!$D$7</f>
        <v>1</v>
      </c>
      <c r="L561" s="28">
        <f>Inputs!$D$7</f>
        <v>1</v>
      </c>
      <c r="M561" s="28">
        <f>Inputs!$D$7</f>
        <v>1</v>
      </c>
    </row>
    <row r="562" spans="1:13" ht="15" customHeight="1" x14ac:dyDescent="0.2">
      <c r="A562" s="91"/>
      <c r="B562" s="3" t="s">
        <v>890</v>
      </c>
      <c r="C562" s="10" t="s">
        <v>199</v>
      </c>
      <c r="D562" s="28">
        <f>Inputs!$D$24+(Inputs!$D$80-Inputs!$D$24)*Inputs!$D$83</f>
        <v>305.5</v>
      </c>
      <c r="E562" s="28">
        <f>Inputs!$D$24+(Inputs!$D$80-Inputs!$D$24)*Inputs!$D$84</f>
        <v>651.5</v>
      </c>
      <c r="F562" s="28">
        <f>Inputs!$D$24+(Inputs!$D$80-Inputs!$D$24)*Inputs!$D$85</f>
        <v>911</v>
      </c>
      <c r="G562" s="28">
        <f>Inputs!$D$24+(Inputs!$D$80-Inputs!$D$24)*Inputs!$D$86</f>
        <v>911</v>
      </c>
      <c r="H562" s="28">
        <f>Inputs!$D$24+(Inputs!$D$80-Inputs!$D$24)*Inputs!$D$87</f>
        <v>911</v>
      </c>
      <c r="I562" s="28">
        <f>Inputs!$D$24+(Inputs!$D$80-Inputs!$D$24)*Inputs!$D$88</f>
        <v>911</v>
      </c>
      <c r="J562" s="28">
        <f>Inputs!$D$24+(Inputs!$D$80-Inputs!$D$24)*Inputs!$D$89</f>
        <v>911</v>
      </c>
      <c r="K562" s="28">
        <f>Inputs!$D$24+(Inputs!$D$80-Inputs!$D$24)*Inputs!$D$90</f>
        <v>911</v>
      </c>
      <c r="L562" s="28">
        <f>Inputs!$D$24+(Inputs!$D$80-Inputs!$D$24)*Inputs!$D$91</f>
        <v>911</v>
      </c>
      <c r="M562" s="28">
        <f>Inputs!$D$24+(Inputs!$D$80-Inputs!$D$24)*Inputs!$D$92</f>
        <v>911</v>
      </c>
    </row>
    <row r="563" spans="1:13" ht="15" customHeight="1" x14ac:dyDescent="0.2">
      <c r="A563" s="91"/>
      <c r="B563" s="10" t="s">
        <v>891</v>
      </c>
      <c r="C563" s="10" t="s">
        <v>199</v>
      </c>
      <c r="D563" s="28">
        <f>Inputs!$D$24</f>
        <v>46</v>
      </c>
      <c r="E563" s="28">
        <f t="shared" ref="E563:M563" si="120">D562</f>
        <v>305.5</v>
      </c>
      <c r="F563" s="28">
        <f t="shared" si="120"/>
        <v>651.5</v>
      </c>
      <c r="G563" s="28">
        <f t="shared" si="120"/>
        <v>911</v>
      </c>
      <c r="H563" s="28">
        <f t="shared" si="120"/>
        <v>911</v>
      </c>
      <c r="I563" s="28">
        <f t="shared" si="120"/>
        <v>911</v>
      </c>
      <c r="J563" s="28">
        <f t="shared" si="120"/>
        <v>911</v>
      </c>
      <c r="K563" s="28">
        <f t="shared" si="120"/>
        <v>911</v>
      </c>
      <c r="L563" s="28">
        <f t="shared" si="120"/>
        <v>911</v>
      </c>
      <c r="M563" s="28">
        <f t="shared" si="120"/>
        <v>911</v>
      </c>
    </row>
    <row r="564" spans="1:13" ht="15" customHeight="1" x14ac:dyDescent="0.2">
      <c r="B564" s="10" t="s">
        <v>892</v>
      </c>
      <c r="C564" s="10" t="s">
        <v>199</v>
      </c>
      <c r="D564" s="28">
        <f>(D563+D562)*Inputs!$D$12</f>
        <v>175.75</v>
      </c>
      <c r="E564" s="28">
        <f>(E563+E562)*Inputs!$D$12</f>
        <v>478.5</v>
      </c>
      <c r="F564" s="28">
        <f>(F563+F562)*Inputs!$D$12</f>
        <v>781.25</v>
      </c>
      <c r="G564" s="28">
        <f>(G563+G562)*Inputs!$D$12</f>
        <v>911</v>
      </c>
      <c r="H564" s="28">
        <f>(H563+H562)*Inputs!$D$12</f>
        <v>911</v>
      </c>
      <c r="I564" s="28">
        <f>(I563+I562)*Inputs!$D$12</f>
        <v>911</v>
      </c>
      <c r="J564" s="28">
        <f>(J563+J562)*Inputs!$D$12</f>
        <v>911</v>
      </c>
      <c r="K564" s="28">
        <f>(K563+K562)*Inputs!$D$12</f>
        <v>911</v>
      </c>
      <c r="L564" s="28">
        <f>(L563+L562)*Inputs!$D$12</f>
        <v>911</v>
      </c>
      <c r="M564" s="28">
        <f>(M563+M562)*Inputs!$D$12</f>
        <v>911</v>
      </c>
    </row>
    <row r="565" spans="1:13" ht="15" customHeight="1" x14ac:dyDescent="0.2">
      <c r="B565" s="10" t="s">
        <v>893</v>
      </c>
      <c r="C565" s="10" t="s">
        <v>199</v>
      </c>
      <c r="D565" s="28">
        <f t="shared" ref="D565:M565" si="121">D562-D563</f>
        <v>259.5</v>
      </c>
      <c r="E565" s="28">
        <f t="shared" si="121"/>
        <v>346</v>
      </c>
      <c r="F565" s="28">
        <f t="shared" si="121"/>
        <v>259.5</v>
      </c>
      <c r="G565" s="28">
        <f t="shared" si="121"/>
        <v>0</v>
      </c>
      <c r="H565" s="28">
        <f t="shared" si="121"/>
        <v>0</v>
      </c>
      <c r="I565" s="28">
        <f t="shared" si="121"/>
        <v>0</v>
      </c>
      <c r="J565" s="28">
        <f t="shared" si="121"/>
        <v>0</v>
      </c>
      <c r="K565" s="28">
        <f t="shared" si="121"/>
        <v>0</v>
      </c>
      <c r="L565" s="28">
        <f t="shared" si="121"/>
        <v>0</v>
      </c>
      <c r="M565" s="28">
        <f t="shared" si="121"/>
        <v>0</v>
      </c>
    </row>
    <row r="566" spans="1:13" ht="15" customHeight="1" x14ac:dyDescent="0.2">
      <c r="B566" s="10" t="s">
        <v>894</v>
      </c>
      <c r="C566" s="10" t="s">
        <v>199</v>
      </c>
      <c r="D566" s="28">
        <f>IF(MOD(D558,Inputs!$D$21)=Inputs!$D$6,Inputs!$D$24,Inputs!$D$6)+SUMPRODUCT(--(D558&gt;$D$558:$M$558),--(MOD(D558-$D$558:$M$558,Inputs!$D$21)=Inputs!$D$6),$D$565:$M$565)</f>
        <v>0</v>
      </c>
      <c r="E566" s="28">
        <f>IF(MOD(E558,Inputs!$D$21)=Inputs!$D$6,Inputs!$D$24,Inputs!$D$6)+SUMPRODUCT(--(E558&gt;$D$558:$M$558),--(MOD(E558-$D$558:$M$558,Inputs!$D$21)=Inputs!$D$6),$D$565:$M$565)</f>
        <v>0</v>
      </c>
      <c r="F566" s="28">
        <f>IF(MOD(F558,Inputs!$D$21)=Inputs!$D$6,Inputs!$D$24,Inputs!$D$6)+SUMPRODUCT(--(F558&gt;$D$558:$M$558),--(MOD(F558-$D$558:$M$558,Inputs!$D$21)=Inputs!$D$6),$D$565:$M$565)</f>
        <v>0</v>
      </c>
      <c r="G566" s="28">
        <f>IF(MOD(G558,Inputs!$D$21)=Inputs!$D$6,Inputs!$D$24,Inputs!$D$6)+SUMPRODUCT(--(G558&gt;$D$558:$M$558),--(MOD(G558-$D$558:$M$558,Inputs!$D$21)=Inputs!$D$6),$D$565:$M$565)</f>
        <v>46</v>
      </c>
      <c r="H566" s="28">
        <f>IF(MOD(H558,Inputs!$D$21)=Inputs!$D$6,Inputs!$D$24,Inputs!$D$6)+SUMPRODUCT(--(H558&gt;$D$558:$M$558),--(MOD(H558-$D$558:$M$558,Inputs!$D$21)=Inputs!$D$6),$D$565:$M$565)</f>
        <v>259.5</v>
      </c>
      <c r="I566" s="28">
        <f>IF(MOD(I558,Inputs!$D$21)=Inputs!$D$6,Inputs!$D$24,Inputs!$D$6)+SUMPRODUCT(--(I558&gt;$D$558:$M$558),--(MOD(I558-$D$558:$M$558,Inputs!$D$21)=Inputs!$D$6),$D$565:$M$565)</f>
        <v>346</v>
      </c>
      <c r="J566" s="28">
        <f>IF(MOD(J558,Inputs!$D$21)=Inputs!$D$6,Inputs!$D$24,Inputs!$D$6)+SUMPRODUCT(--(J558&gt;$D$558:$M$558),--(MOD(J558-$D$558:$M$558,Inputs!$D$21)=Inputs!$D$6),$D$565:$M$565)</f>
        <v>259.5</v>
      </c>
      <c r="K566" s="28">
        <f>IF(MOD(K558,Inputs!$D$21)=Inputs!$D$6,Inputs!$D$24,Inputs!$D$6)+SUMPRODUCT(--(K558&gt;$D$558:$M$558),--(MOD(K558-$D$558:$M$558,Inputs!$D$21)=Inputs!$D$6),$D$565:$M$565)</f>
        <v>46</v>
      </c>
      <c r="L566" s="28">
        <f>IF(MOD(L558,Inputs!$D$21)=Inputs!$D$6,Inputs!$D$24,Inputs!$D$6)+SUMPRODUCT(--(L558&gt;$D$558:$M$558),--(MOD(L558-$D$558:$M$558,Inputs!$D$21)=Inputs!$D$6),$D$565:$M$565)</f>
        <v>259.5</v>
      </c>
      <c r="M566" s="28">
        <f>IF(MOD(M558,Inputs!$D$21)=Inputs!$D$6,Inputs!$D$24,Inputs!$D$6)+SUMPRODUCT(--(M558&gt;$D$558:$M$558),--(MOD(M558-$D$558:$M$558,Inputs!$D$21)=Inputs!$D$6),$D$565:$M$565)</f>
        <v>346</v>
      </c>
    </row>
    <row r="567" spans="1:13" ht="15" customHeight="1" x14ac:dyDescent="0.2">
      <c r="B567" s="10" t="s">
        <v>895</v>
      </c>
      <c r="C567" s="10" t="s">
        <v>896</v>
      </c>
      <c r="D567" s="28">
        <f t="shared" ref="D567:M567" si="122">D564*D561</f>
        <v>125.58726899383984</v>
      </c>
      <c r="E567" s="28">
        <f t="shared" si="122"/>
        <v>478.5</v>
      </c>
      <c r="F567" s="28">
        <f t="shared" si="122"/>
        <v>781.25</v>
      </c>
      <c r="G567" s="28">
        <f t="shared" si="122"/>
        <v>911</v>
      </c>
      <c r="H567" s="28">
        <f t="shared" si="122"/>
        <v>911</v>
      </c>
      <c r="I567" s="28">
        <f t="shared" si="122"/>
        <v>911</v>
      </c>
      <c r="J567" s="28">
        <f t="shared" si="122"/>
        <v>911</v>
      </c>
      <c r="K567" s="28">
        <f t="shared" si="122"/>
        <v>911</v>
      </c>
      <c r="L567" s="28">
        <f t="shared" si="122"/>
        <v>911</v>
      </c>
      <c r="M567" s="28">
        <f t="shared" si="122"/>
        <v>911</v>
      </c>
    </row>
    <row r="568" spans="1:13" ht="15" customHeight="1" x14ac:dyDescent="0.2">
      <c r="B568" s="10" t="s">
        <v>897</v>
      </c>
      <c r="C568" s="10" t="s">
        <v>110</v>
      </c>
      <c r="D568" s="16">
        <f>D567*($D$587/Inputs!$D$21+$D$588/Inputs!$D$22)</f>
        <v>1816.9772859324419</v>
      </c>
      <c r="E568" s="16">
        <f>E567*($D$587/Inputs!$D$21+$D$588/Inputs!$D$22)</f>
        <v>6922.8643817497086</v>
      </c>
      <c r="F568" s="16">
        <f>F567*($D$587/Inputs!$D$21+$D$588/Inputs!$D$22)</f>
        <v>11303.0048030135</v>
      </c>
      <c r="G568" s="16">
        <f>G567*($D$587/Inputs!$D$21+$D$588/Inputs!$D$22)</f>
        <v>13180.207840697982</v>
      </c>
      <c r="H568" s="16">
        <f>H567*($D$587/Inputs!$D$21+$D$588/Inputs!$D$22)</f>
        <v>13180.207840697982</v>
      </c>
      <c r="I568" s="16">
        <f>I567*($D$587/Inputs!$D$21+$D$588/Inputs!$D$22)</f>
        <v>13180.207840697982</v>
      </c>
      <c r="J568" s="16">
        <f>J567*($D$587/Inputs!$D$21+$D$588/Inputs!$D$22)</f>
        <v>13180.207840697982</v>
      </c>
      <c r="K568" s="16">
        <f>K567*($D$587/Inputs!$D$21+$D$588/Inputs!$D$22)</f>
        <v>13180.207840697982</v>
      </c>
      <c r="L568" s="16">
        <f>L567*($D$587/Inputs!$D$21+$D$588/Inputs!$D$22)</f>
        <v>13180.207840697982</v>
      </c>
      <c r="M568" s="16">
        <f>M567*($D$587/Inputs!$D$21+$D$588/Inputs!$D$22)</f>
        <v>13180.207840697982</v>
      </c>
    </row>
    <row r="569" spans="1:13" ht="15" customHeight="1" x14ac:dyDescent="0.2">
      <c r="B569" s="10" t="s">
        <v>898</v>
      </c>
      <c r="C569" s="10" t="s">
        <v>110</v>
      </c>
      <c r="D569" s="16">
        <f t="shared" ref="D569:M569" si="123">D565*($D$587+$D$588)</f>
        <v>15560.968620146154</v>
      </c>
      <c r="E569" s="16">
        <f t="shared" si="123"/>
        <v>20747.95816019487</v>
      </c>
      <c r="F569" s="16">
        <f t="shared" si="123"/>
        <v>15560.968620146154</v>
      </c>
      <c r="G569" s="16">
        <f t="shared" si="123"/>
        <v>0</v>
      </c>
      <c r="H569" s="16">
        <f t="shared" si="123"/>
        <v>0</v>
      </c>
      <c r="I569" s="16">
        <f t="shared" si="123"/>
        <v>0</v>
      </c>
      <c r="J569" s="16">
        <f t="shared" si="123"/>
        <v>0</v>
      </c>
      <c r="K569" s="16">
        <f t="shared" si="123"/>
        <v>0</v>
      </c>
      <c r="L569" s="16">
        <f t="shared" si="123"/>
        <v>0</v>
      </c>
      <c r="M569" s="16">
        <f t="shared" si="123"/>
        <v>0</v>
      </c>
    </row>
    <row r="570" spans="1:13" ht="15" customHeight="1" x14ac:dyDescent="0.2">
      <c r="B570" s="10" t="s">
        <v>899</v>
      </c>
      <c r="C570" s="10" t="s">
        <v>110</v>
      </c>
      <c r="D570" s="16">
        <f t="shared" ref="D570:M570" si="124">D566*$D$587</f>
        <v>0</v>
      </c>
      <c r="E570" s="16">
        <f t="shared" si="124"/>
        <v>0</v>
      </c>
      <c r="F570" s="16">
        <f t="shared" si="124"/>
        <v>0</v>
      </c>
      <c r="G570" s="16">
        <f t="shared" si="124"/>
        <v>2638.0048485671714</v>
      </c>
      <c r="H570" s="16">
        <f t="shared" si="124"/>
        <v>14881.788221808281</v>
      </c>
      <c r="I570" s="16">
        <f t="shared" si="124"/>
        <v>19842.384295744378</v>
      </c>
      <c r="J570" s="16">
        <f t="shared" si="124"/>
        <v>14881.788221808281</v>
      </c>
      <c r="K570" s="16">
        <f t="shared" si="124"/>
        <v>2638.0048485671714</v>
      </c>
      <c r="L570" s="16">
        <f t="shared" si="124"/>
        <v>14881.788221808281</v>
      </c>
      <c r="M570" s="16">
        <f t="shared" si="124"/>
        <v>19842.384295744378</v>
      </c>
    </row>
    <row r="571" spans="1:13" ht="15" customHeight="1" x14ac:dyDescent="0.2">
      <c r="B571" s="10" t="s">
        <v>900</v>
      </c>
      <c r="C571" s="10" t="s">
        <v>199</v>
      </c>
      <c r="D571" s="28">
        <f>D565*Inputs!$D$23</f>
        <v>6.4875000000000007</v>
      </c>
      <c r="E571" s="28">
        <f>E565*Inputs!$D$23</f>
        <v>8.65</v>
      </c>
      <c r="F571" s="28">
        <f>F565*Inputs!$D$23</f>
        <v>6.4875000000000007</v>
      </c>
      <c r="G571" s="28">
        <f>G565*Inputs!$D$23</f>
        <v>0</v>
      </c>
      <c r="H571" s="28">
        <f>H565*Inputs!$D$23</f>
        <v>0</v>
      </c>
      <c r="I571" s="28">
        <f>I565*Inputs!$D$23</f>
        <v>0</v>
      </c>
      <c r="J571" s="28">
        <f>J565*Inputs!$D$23</f>
        <v>0</v>
      </c>
      <c r="K571" s="28">
        <f>K565*Inputs!$D$23</f>
        <v>0</v>
      </c>
      <c r="L571" s="28">
        <f>L565*Inputs!$D$23</f>
        <v>0</v>
      </c>
      <c r="M571" s="28">
        <f>M565*Inputs!$D$23</f>
        <v>0</v>
      </c>
    </row>
    <row r="572" spans="1:13" ht="15" customHeight="1" x14ac:dyDescent="0.2">
      <c r="B572" s="3" t="s">
        <v>901</v>
      </c>
      <c r="C572" s="10" t="s">
        <v>896</v>
      </c>
      <c r="D572" s="28">
        <f>(D567*$D$585*(Inputs!$D$7-Inputs!$D$19)-D571)/(Inputs!$D$7+$D$586)^D560</f>
        <v>43.213488846686175</v>
      </c>
      <c r="E572" s="28">
        <f>(E567*$D$585*(Inputs!$D$7-Inputs!$D$19)-E571)/(Inputs!$D$7+$D$586)^E560</f>
        <v>163.29332190458183</v>
      </c>
      <c r="F572" s="28">
        <f>(F567*$D$585*(Inputs!$D$7-Inputs!$D$19)-F571)/(Inputs!$D$7+$D$586)^F560</f>
        <v>248.28260771010829</v>
      </c>
      <c r="G572" s="28">
        <f>(G567*$D$585*(Inputs!$D$7-Inputs!$D$19)-G571)/(Inputs!$D$7+$D$586)^G560</f>
        <v>268.5238926419492</v>
      </c>
      <c r="H572" s="28">
        <f>(H567*$D$585*(Inputs!$D$7-Inputs!$D$19)-H571)/(Inputs!$D$7+$D$586)^H560</f>
        <v>244.12855518959191</v>
      </c>
      <c r="I572" s="28">
        <f>(I567*$D$585*(Inputs!$D$7-Inputs!$D$19)-I571)/(Inputs!$D$7+$D$586)^I560</f>
        <v>221.8916197826434</v>
      </c>
      <c r="J572" s="28">
        <f>(J567*$D$585*(Inputs!$D$7-Inputs!$D$19)-J571)/(Inputs!$D$7+$D$586)^J560</f>
        <v>201.73281421346593</v>
      </c>
      <c r="K572" s="28">
        <f>(K567*$D$585*(Inputs!$D$7-Inputs!$D$19)-K571)/(Inputs!$D$7+$D$586)^K560</f>
        <v>183.40543176145695</v>
      </c>
      <c r="L572" s="28">
        <f>(L567*$D$585*(Inputs!$D$7-Inputs!$D$19)-L571)/(Inputs!$D$7+$D$586)^L560</f>
        <v>166.74308803332551</v>
      </c>
      <c r="M572" s="28">
        <f>(M567*$D$585*(Inputs!$D$7-Inputs!$D$19)-M571)/(Inputs!$D$7+$D$586)^M560</f>
        <v>151.55496194429571</v>
      </c>
    </row>
    <row r="573" spans="1:13" ht="15" customHeight="1" x14ac:dyDescent="0.2">
      <c r="B573" s="10" t="s">
        <v>902</v>
      </c>
      <c r="C573" s="10" t="s">
        <v>110</v>
      </c>
      <c r="D573" s="16">
        <f>(D568*Inputs!$D$19-D569-D570)/(Inputs!$D$7+$D$586)^D560</f>
        <v>-14027.24269342025</v>
      </c>
      <c r="E573" s="16">
        <f>(E568*Inputs!$D$19-E569-E570)/(Inputs!$D$7+$D$586)^E560</f>
        <v>-15853.087323826181</v>
      </c>
      <c r="F573" s="16">
        <f>(F568*Inputs!$D$19-F569-F570)/(Inputs!$D$7+$D$586)^F560</f>
        <v>-9394.4767487293357</v>
      </c>
      <c r="G573" s="16">
        <f>(G568*Inputs!$D$19-G569-G570)/(Inputs!$D$7+$D$586)^G560</f>
        <v>923.61320322684639</v>
      </c>
      <c r="H573" s="16">
        <f>(H568*Inputs!$D$19-H569-H570)/(Inputs!$D$7+$D$586)^H560</f>
        <v>-6972.3744918015345</v>
      </c>
      <c r="I573" s="16">
        <f>(I568*Inputs!$D$19-I569-I570)/(Inputs!$D$7+$D$586)^I560</f>
        <v>-9214.0648467907959</v>
      </c>
      <c r="J573" s="16">
        <f>(J568*Inputs!$D$19-J569-J570)/(Inputs!$D$7+$D$586)^J560</f>
        <v>-5761.5411965591911</v>
      </c>
      <c r="K573" s="16">
        <f>(K568*Inputs!$D$19-K569-K570)/(Inputs!$D$7+$D$586)^K560</f>
        <v>630.8402453567694</v>
      </c>
      <c r="L573" s="16">
        <f>(L568*Inputs!$D$19-L569-L570)/(Inputs!$D$7+$D$586)^L560</f>
        <v>-4762.2255937446444</v>
      </c>
      <c r="M573" s="16">
        <f>(M568*Inputs!$D$19-M569-M570)/(Inputs!$D$7+$D$586)^M560</f>
        <v>-6293.3302689644106</v>
      </c>
    </row>
    <row r="574" spans="1:13" ht="15" customHeight="1" x14ac:dyDescent="0.2">
      <c r="B574" s="10" t="s">
        <v>903</v>
      </c>
      <c r="C574" s="10" t="s">
        <v>110</v>
      </c>
      <c r="D574" s="16">
        <f t="shared" ref="D574:M574" si="125">D567*$D$584</f>
        <v>5093.7283651086254</v>
      </c>
      <c r="E574" s="16">
        <f t="shared" si="125"/>
        <v>19407.612270189835</v>
      </c>
      <c r="F574" s="16">
        <f t="shared" si="125"/>
        <v>31686.932259322482</v>
      </c>
      <c r="G574" s="16">
        <f t="shared" si="125"/>
        <v>36949.49796895076</v>
      </c>
      <c r="H574" s="16">
        <f t="shared" si="125"/>
        <v>36949.49796895076</v>
      </c>
      <c r="I574" s="16">
        <f t="shared" si="125"/>
        <v>36949.49796895076</v>
      </c>
      <c r="J574" s="16">
        <f t="shared" si="125"/>
        <v>36949.49796895076</v>
      </c>
      <c r="K574" s="16">
        <f t="shared" si="125"/>
        <v>36949.49796895076</v>
      </c>
      <c r="L574" s="16">
        <f t="shared" si="125"/>
        <v>36949.49796895076</v>
      </c>
      <c r="M574" s="16">
        <f t="shared" si="125"/>
        <v>36949.49796895076</v>
      </c>
    </row>
    <row r="575" spans="1:13" ht="15" customHeight="1" x14ac:dyDescent="0.2">
      <c r="B575" s="10" t="s">
        <v>904</v>
      </c>
      <c r="C575" s="10" t="s">
        <v>110</v>
      </c>
      <c r="D575" s="16">
        <f t="shared" ref="D575:M575" si="126">D574*$D$585</f>
        <v>3056.237019065175</v>
      </c>
      <c r="E575" s="16">
        <f t="shared" si="126"/>
        <v>11644.567362113901</v>
      </c>
      <c r="F575" s="16">
        <f t="shared" si="126"/>
        <v>19012.159355593489</v>
      </c>
      <c r="G575" s="16">
        <f t="shared" si="126"/>
        <v>22169.698781370455</v>
      </c>
      <c r="H575" s="16">
        <f t="shared" si="126"/>
        <v>22169.698781370455</v>
      </c>
      <c r="I575" s="16">
        <f t="shared" si="126"/>
        <v>22169.698781370455</v>
      </c>
      <c r="J575" s="16">
        <f t="shared" si="126"/>
        <v>22169.698781370455</v>
      </c>
      <c r="K575" s="16">
        <f t="shared" si="126"/>
        <v>22169.698781370455</v>
      </c>
      <c r="L575" s="16">
        <f t="shared" si="126"/>
        <v>22169.698781370455</v>
      </c>
      <c r="M575" s="16">
        <f t="shared" si="126"/>
        <v>22169.698781370455</v>
      </c>
    </row>
    <row r="576" spans="1:13" ht="15" customHeight="1" x14ac:dyDescent="0.2">
      <c r="B576" s="10" t="s">
        <v>905</v>
      </c>
      <c r="C576" s="10" t="s">
        <v>110</v>
      </c>
      <c r="D576" s="16">
        <f t="shared" ref="D576:M576" si="127">D575-D568</f>
        <v>1239.2597331327331</v>
      </c>
      <c r="E576" s="16">
        <f t="shared" si="127"/>
        <v>4721.7029803641926</v>
      </c>
      <c r="F576" s="16">
        <f t="shared" si="127"/>
        <v>7709.1545525799884</v>
      </c>
      <c r="G576" s="16">
        <f t="shared" si="127"/>
        <v>8989.4909406724728</v>
      </c>
      <c r="H576" s="16">
        <f t="shared" si="127"/>
        <v>8989.4909406724728</v>
      </c>
      <c r="I576" s="16">
        <f t="shared" si="127"/>
        <v>8989.4909406724728</v>
      </c>
      <c r="J576" s="16">
        <f t="shared" si="127"/>
        <v>8989.4909406724728</v>
      </c>
      <c r="K576" s="16">
        <f t="shared" si="127"/>
        <v>8989.4909406724728</v>
      </c>
      <c r="L576" s="16">
        <f t="shared" si="127"/>
        <v>8989.4909406724728</v>
      </c>
      <c r="M576" s="16">
        <f t="shared" si="127"/>
        <v>8989.4909406724728</v>
      </c>
    </row>
    <row r="577" spans="2:13" ht="15" customHeight="1" x14ac:dyDescent="0.2">
      <c r="B577" s="10" t="s">
        <v>906</v>
      </c>
      <c r="C577" s="10" t="s">
        <v>110</v>
      </c>
      <c r="D577" s="16">
        <f>MAX(D576,Inputs!$D$6)*Inputs!$D$19</f>
        <v>371.77791993981992</v>
      </c>
      <c r="E577" s="16">
        <f>MAX(E576,Inputs!$D$6)*Inputs!$D$19</f>
        <v>1416.5108941092578</v>
      </c>
      <c r="F577" s="16">
        <f>MAX(F576,Inputs!$D$6)*Inputs!$D$19</f>
        <v>2312.7463657739963</v>
      </c>
      <c r="G577" s="16">
        <f>MAX(G576,Inputs!$D$6)*Inputs!$D$19</f>
        <v>2696.8472822017416</v>
      </c>
      <c r="H577" s="16">
        <f>MAX(H576,Inputs!$D$6)*Inputs!$D$19</f>
        <v>2696.8472822017416</v>
      </c>
      <c r="I577" s="16">
        <f>MAX(I576,Inputs!$D$6)*Inputs!$D$19</f>
        <v>2696.8472822017416</v>
      </c>
      <c r="J577" s="16">
        <f>MAX(J576,Inputs!$D$6)*Inputs!$D$19</f>
        <v>2696.8472822017416</v>
      </c>
      <c r="K577" s="16">
        <f>MAX(K576,Inputs!$D$6)*Inputs!$D$19</f>
        <v>2696.8472822017416</v>
      </c>
      <c r="L577" s="16">
        <f>MAX(L576,Inputs!$D$6)*Inputs!$D$19</f>
        <v>2696.8472822017416</v>
      </c>
      <c r="M577" s="16">
        <f>MAX(M576,Inputs!$D$6)*Inputs!$D$19</f>
        <v>2696.8472822017416</v>
      </c>
    </row>
    <row r="578" spans="2:13" ht="15" customHeight="1" x14ac:dyDescent="0.2">
      <c r="B578" s="10" t="s">
        <v>907</v>
      </c>
      <c r="C578" s="10" t="s">
        <v>110</v>
      </c>
      <c r="D578" s="16">
        <f t="shared" ref="D578:M578" si="128">D571*$D$584</f>
        <v>263.12828548141391</v>
      </c>
      <c r="E578" s="16">
        <f t="shared" si="128"/>
        <v>350.83771397521855</v>
      </c>
      <c r="F578" s="16">
        <f t="shared" si="128"/>
        <v>263.12828548141391</v>
      </c>
      <c r="G578" s="16">
        <f t="shared" si="128"/>
        <v>0</v>
      </c>
      <c r="H578" s="16">
        <f t="shared" si="128"/>
        <v>0</v>
      </c>
      <c r="I578" s="16">
        <f t="shared" si="128"/>
        <v>0</v>
      </c>
      <c r="J578" s="16">
        <f t="shared" si="128"/>
        <v>0</v>
      </c>
      <c r="K578" s="16">
        <f t="shared" si="128"/>
        <v>0</v>
      </c>
      <c r="L578" s="16">
        <f t="shared" si="128"/>
        <v>0</v>
      </c>
      <c r="M578" s="16">
        <f t="shared" si="128"/>
        <v>0</v>
      </c>
    </row>
    <row r="579" spans="2:13" ht="15" customHeight="1" x14ac:dyDescent="0.2">
      <c r="B579" s="10" t="s">
        <v>908</v>
      </c>
      <c r="C579" s="10" t="s">
        <v>110</v>
      </c>
      <c r="D579" s="16">
        <f t="shared" ref="D579:M579" si="129">D575-D577-D569-D570-D578</f>
        <v>-13139.637806502213</v>
      </c>
      <c r="E579" s="16">
        <f t="shared" si="129"/>
        <v>-10870.739406165447</v>
      </c>
      <c r="F579" s="16">
        <f t="shared" si="129"/>
        <v>875.31608419192389</v>
      </c>
      <c r="G579" s="16">
        <f t="shared" si="129"/>
        <v>16834.846650601539</v>
      </c>
      <c r="H579" s="16">
        <f t="shared" si="129"/>
        <v>4591.0632773604302</v>
      </c>
      <c r="I579" s="16">
        <f t="shared" si="129"/>
        <v>-369.532796575666</v>
      </c>
      <c r="J579" s="16">
        <f t="shared" si="129"/>
        <v>4591.0632773604302</v>
      </c>
      <c r="K579" s="16">
        <f t="shared" si="129"/>
        <v>16834.846650601539</v>
      </c>
      <c r="L579" s="16">
        <f t="shared" si="129"/>
        <v>4591.0632773604302</v>
      </c>
      <c r="M579" s="16">
        <f t="shared" si="129"/>
        <v>-369.532796575666</v>
      </c>
    </row>
    <row r="580" spans="2:13" ht="15" customHeight="1" x14ac:dyDescent="0.2">
      <c r="B580" s="10" t="s">
        <v>909</v>
      </c>
      <c r="C580" s="10" t="s">
        <v>110</v>
      </c>
      <c r="D580" s="16">
        <f>D579/(Inputs!$D$7+$D$586)^D560</f>
        <v>-12274.534989389618</v>
      </c>
      <c r="E580" s="16">
        <f>E579/(Inputs!$D$7+$D$586)^E560</f>
        <v>-9230.0288539506946</v>
      </c>
      <c r="F580" s="16">
        <f>F579/(Inputs!$D$7+$D$586)^F560</f>
        <v>675.68539101868271</v>
      </c>
      <c r="G580" s="16">
        <f>G579/(Inputs!$D$7+$D$586)^G560</f>
        <v>11814.74715030528</v>
      </c>
      <c r="H580" s="16">
        <f>H579/(Inputs!$D$7+$D$586)^H560</f>
        <v>2929.3022964978163</v>
      </c>
      <c r="I580" s="16">
        <f>I579/(Inputs!$D$7+$D$586)^I560</f>
        <v>-214.30199883692589</v>
      </c>
      <c r="J580" s="16">
        <f>J579/(Inputs!$D$7+$D$586)^J560</f>
        <v>2420.5951470754735</v>
      </c>
      <c r="K580" s="16">
        <f>K579/(Inputs!$D$7+$D$586)^K560</f>
        <v>8069.6312753946286</v>
      </c>
      <c r="L580" s="16">
        <f>L579/(Inputs!$D$7+$D$586)^L560</f>
        <v>2000.7528833398098</v>
      </c>
      <c r="M580" s="16">
        <f>M579/(Inputs!$D$7+$D$586)^M560</f>
        <v>-146.37114871725009</v>
      </c>
    </row>
    <row r="581" spans="2:13" ht="15" customHeight="1" x14ac:dyDescent="0.2">
      <c r="B581" s="3" t="s">
        <v>910</v>
      </c>
      <c r="C581" s="10" t="s">
        <v>896</v>
      </c>
      <c r="D581" s="28">
        <f>(D567*$D$585-D571)/(Inputs!$D$7+$D$586)^D560</f>
        <v>64.330856237917445</v>
      </c>
      <c r="E581" s="28">
        <f>(E567*$D$585-E571)/(Inputs!$D$7+$D$586)^E560</f>
        <v>236.42380139523098</v>
      </c>
      <c r="F581" s="28">
        <f>(F567*$D$585-F571)/(Inputs!$D$7+$D$586)^F560</f>
        <v>356.83568908039001</v>
      </c>
      <c r="G581" s="28">
        <f>(G567*$D$585-G571)/(Inputs!$D$7+$D$586)^G560</f>
        <v>383.60556091707036</v>
      </c>
      <c r="H581" s="28">
        <f>(H567*$D$585-H571)/(Inputs!$D$7+$D$586)^H560</f>
        <v>348.75507884227414</v>
      </c>
      <c r="I581" s="28">
        <f>(I567*$D$585-I571)/(Inputs!$D$7+$D$586)^I560</f>
        <v>316.98802826091918</v>
      </c>
      <c r="J581" s="28">
        <f>(J567*$D$585-J571)/(Inputs!$D$7+$D$586)^J560</f>
        <v>288.18973459066564</v>
      </c>
      <c r="K581" s="28">
        <f>(K567*$D$585-K571)/(Inputs!$D$7+$D$586)^K560</f>
        <v>262.00775965922423</v>
      </c>
      <c r="L581" s="28">
        <f>(L567*$D$585-L571)/(Inputs!$D$7+$D$586)^L560</f>
        <v>238.2044114761793</v>
      </c>
      <c r="M581" s="28">
        <f>(M567*$D$585-M571)/(Inputs!$D$7+$D$586)^M560</f>
        <v>216.50708849185102</v>
      </c>
    </row>
    <row r="582" spans="2:13" ht="15" customHeight="1" x14ac:dyDescent="0.2">
      <c r="B582" s="10" t="s">
        <v>911</v>
      </c>
      <c r="C582" s="10" t="s">
        <v>110</v>
      </c>
      <c r="D582" s="16">
        <f>(-D569-D570)/(Inputs!$D$7+$D$586)^D560</f>
        <v>-14536.447397527105</v>
      </c>
      <c r="E582" s="16">
        <f>(-E569-E570)/(Inputs!$D$7+$D$586)^E560</f>
        <v>-17616.488200475756</v>
      </c>
      <c r="F582" s="16">
        <f>(-F569-F570)/(Inputs!$D$7+$D$586)^F560</f>
        <v>-12012.025548964448</v>
      </c>
      <c r="G582" s="16">
        <f>(-G569-G570)/(Inputs!$D$7+$D$586)^G560</f>
        <v>-1851.359915178487</v>
      </c>
      <c r="H582" s="16">
        <f>(-H569-H570)/(Inputs!$D$7+$D$586)^H560</f>
        <v>-9495.2419037884629</v>
      </c>
      <c r="I582" s="16">
        <f>(-I569-I570)/(Inputs!$D$7+$D$586)^I560</f>
        <v>-11507.131858586603</v>
      </c>
      <c r="J582" s="16">
        <f>(-J569-J570)/(Inputs!$D$7+$D$586)^J560</f>
        <v>-7846.2835672839774</v>
      </c>
      <c r="K582" s="16">
        <f>(-K569-K570)/(Inputs!$D$7+$D$586)^K560</f>
        <v>-1264.5037327904422</v>
      </c>
      <c r="L582" s="16">
        <f>(-L569-L570)/(Inputs!$D$7+$D$586)^L560</f>
        <v>-6485.3779822337692</v>
      </c>
      <c r="M582" s="16">
        <f>(-M569-M570)/(Inputs!$D$7+$D$586)^M560</f>
        <v>-7859.5258920747219</v>
      </c>
    </row>
    <row r="583" spans="2:13" ht="15" customHeight="1" x14ac:dyDescent="0.2">
      <c r="B583" s="10" t="s">
        <v>912</v>
      </c>
      <c r="C583" s="10" t="s">
        <v>110</v>
      </c>
      <c r="D583" s="16">
        <f>Prices!I8</f>
        <v>32775</v>
      </c>
    </row>
    <row r="584" spans="2:13" ht="15" customHeight="1" x14ac:dyDescent="0.2">
      <c r="B584" s="3" t="s">
        <v>913</v>
      </c>
      <c r="C584" s="10" t="s">
        <v>914</v>
      </c>
      <c r="D584" s="28">
        <f>IF(J591&gt;=J587,J591,(D583-J590)/J589)</f>
        <v>40.559273291932776</v>
      </c>
      <c r="G584" s="99" t="s">
        <v>915</v>
      </c>
      <c r="H584" s="91"/>
      <c r="I584" s="91"/>
      <c r="J584" s="28">
        <f>D584*Inputs!$D$15</f>
        <v>28.306316830439883</v>
      </c>
      <c r="K584" s="99" t="s">
        <v>916</v>
      </c>
      <c r="L584" s="91"/>
      <c r="M584" s="91"/>
    </row>
    <row r="585" spans="2:13" ht="15" customHeight="1" x14ac:dyDescent="0.2">
      <c r="B585" s="10" t="s">
        <v>917</v>
      </c>
      <c r="C585" s="10" t="s">
        <v>104</v>
      </c>
      <c r="D585" s="30">
        <f>Inputs!$D$81</f>
        <v>0.6</v>
      </c>
      <c r="G585" s="99" t="s">
        <v>918</v>
      </c>
      <c r="H585" s="91"/>
      <c r="I585" s="91"/>
      <c r="J585" s="28">
        <f>IF(-D596/D595&gt;=J587,-D596/D595,-J590/J589)</f>
        <v>32.284876648616972</v>
      </c>
      <c r="K585" s="99" t="s">
        <v>919</v>
      </c>
      <c r="L585" s="91"/>
      <c r="M585" s="91"/>
    </row>
    <row r="586" spans="2:13" ht="15" customHeight="1" x14ac:dyDescent="0.2">
      <c r="B586" s="10" t="s">
        <v>920</v>
      </c>
      <c r="C586" s="10" t="s">
        <v>104</v>
      </c>
      <c r="D586" s="30">
        <f>Inputs!$D$82</f>
        <v>0.1</v>
      </c>
      <c r="G586" s="99" t="s">
        <v>918</v>
      </c>
      <c r="H586" s="91"/>
      <c r="I586" s="91"/>
      <c r="J586" s="28">
        <f>J585*Inputs!$D$15</f>
        <v>22.531615413069783</v>
      </c>
      <c r="K586" s="99" t="s">
        <v>916</v>
      </c>
      <c r="L586" s="91"/>
      <c r="M586" s="91"/>
    </row>
    <row r="587" spans="2:13" ht="15" customHeight="1" x14ac:dyDescent="0.2">
      <c r="B587" s="3" t="s">
        <v>921</v>
      </c>
      <c r="C587" s="10" t="s">
        <v>848</v>
      </c>
      <c r="D587" s="28">
        <f>Capital!$D$13</f>
        <v>57.347931490590682</v>
      </c>
      <c r="G587" s="99" t="s">
        <v>922</v>
      </c>
      <c r="H587" s="91"/>
      <c r="I587" s="91"/>
      <c r="J587" s="28">
        <f>($D$587/Inputs!$D$21+$D$588/Inputs!$D$22)/$D$585</f>
        <v>24.113076913095469</v>
      </c>
      <c r="K587" s="99" t="s">
        <v>919</v>
      </c>
      <c r="L587" s="91"/>
      <c r="M587" s="91"/>
    </row>
    <row r="588" spans="2:13" ht="15" customHeight="1" x14ac:dyDescent="0.2">
      <c r="B588" s="3" t="s">
        <v>923</v>
      </c>
      <c r="C588" s="10" t="s">
        <v>848</v>
      </c>
      <c r="D588" s="28">
        <f>Capital!$D$14</f>
        <v>2.6172655041921802</v>
      </c>
    </row>
    <row r="589" spans="2:13" ht="15" customHeight="1" x14ac:dyDescent="0.2">
      <c r="B589" s="10" t="s">
        <v>924</v>
      </c>
      <c r="C589" s="10" t="s">
        <v>896</v>
      </c>
      <c r="D589" s="28">
        <f>(M562*(Inputs!$D$7+Inputs!$D$20)*$D$585*(Inputs!$D$7-Inputs!$D$19)-M562*Inputs!$D$20*Inputs!$D$23)/($D$586-Inputs!$D$20)/(Inputs!$D$7+$D$586)^M560</f>
        <v>2068.2441036763203</v>
      </c>
      <c r="G589" s="92" t="s">
        <v>910</v>
      </c>
      <c r="H589" s="91"/>
      <c r="I589" s="91"/>
      <c r="J589" s="28">
        <f>SUM(D581:M581)+(M562*(Inputs!$D$7+Inputs!$D$20)*$D$585-M562*Inputs!$D$20*Inputs!$D$23)/($D$586-Inputs!$D$20)/(Inputs!$D$7+$D$586)^M560</f>
        <v>5667.7711754446318</v>
      </c>
      <c r="K589" s="99" t="s">
        <v>896</v>
      </c>
      <c r="L589" s="91"/>
      <c r="M589" s="91"/>
    </row>
    <row r="590" spans="2:13" ht="15" customHeight="1" x14ac:dyDescent="0.2">
      <c r="B590" s="10" t="s">
        <v>925</v>
      </c>
      <c r="C590" s="10" t="s">
        <v>110</v>
      </c>
      <c r="D590" s="16">
        <f>(D593*Inputs!$D$19-D593-D594)/($D$586-Inputs!$D$20)/(Inputs!$D$7+$D$586)^M560</f>
        <v>-57156.954988173631</v>
      </c>
      <c r="G590" s="92" t="s">
        <v>926</v>
      </c>
      <c r="H590" s="91"/>
      <c r="I590" s="91"/>
      <c r="J590" s="16">
        <f>SUM(D582:M582)-(D593+D594)/($D$586-Inputs!$D$20)/(Inputs!$D$7+$D$586)^M560</f>
        <v>-169036.01450291832</v>
      </c>
      <c r="K590" s="99" t="s">
        <v>110</v>
      </c>
      <c r="L590" s="91"/>
      <c r="M590" s="91"/>
    </row>
    <row r="591" spans="2:13" ht="15" customHeight="1" x14ac:dyDescent="0.2">
      <c r="B591" s="10" t="s">
        <v>927</v>
      </c>
      <c r="C591" s="10" t="s">
        <v>928</v>
      </c>
      <c r="D591" s="16">
        <f>(M562*(Inputs!$D$7+Inputs!$D$20)*$D$584*$D$585-D593)-MAX((M562*(Inputs!$D$7+Inputs!$D$20)*$D$584*$D$585-D593),Inputs!$D$6)*Inputs!$D$19-D594-M562*Inputs!$D$20*$D$584*Inputs!$D$23</f>
        <v>5061.1589521457245</v>
      </c>
      <c r="G591" s="99" t="s">
        <v>929</v>
      </c>
      <c r="H591" s="91"/>
      <c r="I591" s="91"/>
      <c r="J591" s="28">
        <f>(D583-D596)/D595</f>
        <v>40.559273291932776</v>
      </c>
      <c r="K591" s="99" t="s">
        <v>919</v>
      </c>
      <c r="L591" s="91"/>
      <c r="M591" s="91"/>
    </row>
    <row r="592" spans="2:13" ht="15" customHeight="1" x14ac:dyDescent="0.2">
      <c r="B592" s="10" t="s">
        <v>930</v>
      </c>
      <c r="C592" s="10" t="s">
        <v>110</v>
      </c>
      <c r="D592" s="16">
        <f>D591/($D$586-Inputs!$D$20)</f>
        <v>67482.119361942983</v>
      </c>
      <c r="G592" s="99" t="s">
        <v>931</v>
      </c>
      <c r="H592" s="91"/>
      <c r="I592" s="91"/>
      <c r="J592" s="16">
        <f>MIN(D576:M576,(M562*(Inputs!$D$7+Inputs!$D$20)*$D$584*$D$585-D593))</f>
        <v>1239.2597331327331</v>
      </c>
      <c r="K592" s="99" t="s">
        <v>110</v>
      </c>
      <c r="L592" s="91"/>
      <c r="M592" s="91"/>
    </row>
    <row r="593" spans="1:13" ht="15" customHeight="1" x14ac:dyDescent="0.2">
      <c r="B593" s="10" t="s">
        <v>932</v>
      </c>
      <c r="C593" s="10" t="s">
        <v>928</v>
      </c>
      <c r="D593" s="16">
        <f>M562*(Inputs!$D$7+Inputs!$D$20)*($D$587/Inputs!$D$21+$D$588/Inputs!$D$22)</f>
        <v>13509.71303671543</v>
      </c>
      <c r="G593" s="99" t="s">
        <v>933</v>
      </c>
      <c r="H593" s="91"/>
      <c r="I593" s="91"/>
      <c r="J593" s="31" t="str">
        <f>IF(J592&lt;Inputs!$D$6,"breached","satisfied")</f>
        <v>satisfied</v>
      </c>
      <c r="K593" s="99" t="s">
        <v>934</v>
      </c>
      <c r="L593" s="91"/>
      <c r="M593" s="91"/>
    </row>
    <row r="594" spans="1:13" ht="15" customHeight="1" x14ac:dyDescent="0.2">
      <c r="B594" s="10" t="s">
        <v>935</v>
      </c>
      <c r="C594" s="10" t="s">
        <v>928</v>
      </c>
      <c r="D594" s="16">
        <f>M562*Inputs!$D$20*($D$587+$D$588)</f>
        <v>1365.7073615561799</v>
      </c>
    </row>
    <row r="595" spans="1:13" ht="15" customHeight="1" x14ac:dyDescent="0.2">
      <c r="B595" s="10" t="s">
        <v>936</v>
      </c>
      <c r="C595" s="10" t="s">
        <v>896</v>
      </c>
      <c r="D595" s="28">
        <f>SUM(D572:M572)+D589</f>
        <v>3961.0138857044249</v>
      </c>
      <c r="G595" s="99" t="s">
        <v>937</v>
      </c>
      <c r="H595" s="91"/>
      <c r="I595" s="91"/>
      <c r="J595" s="16">
        <f>D597-D583</f>
        <v>0</v>
      </c>
      <c r="K595" s="99" t="s">
        <v>110</v>
      </c>
      <c r="L595" s="91"/>
      <c r="M595" s="91"/>
    </row>
    <row r="596" spans="1:13" ht="15" customHeight="1" x14ac:dyDescent="0.2">
      <c r="B596" s="10" t="s">
        <v>938</v>
      </c>
      <c r="C596" s="10" t="s">
        <v>110</v>
      </c>
      <c r="D596" s="16">
        <f>SUM(D573:M573)+D590</f>
        <v>-127880.84470342637</v>
      </c>
    </row>
    <row r="597" spans="1:13" ht="15" customHeight="1" x14ac:dyDescent="0.2">
      <c r="B597" s="10" t="s">
        <v>939</v>
      </c>
      <c r="C597" s="10" t="s">
        <v>110</v>
      </c>
      <c r="D597" s="16">
        <f>SUM(D580:M580)+D592/(Inputs!$D$7+$D$586)^M560</f>
        <v>32774.999999999993</v>
      </c>
    </row>
    <row r="598" spans="1:13" ht="15" customHeight="1" x14ac:dyDescent="0.2">
      <c r="B598" s="10" t="s">
        <v>940</v>
      </c>
      <c r="C598" s="10" t="s">
        <v>104</v>
      </c>
      <c r="D598" s="30">
        <f>IF(ABS(D583)&gt;Inputs!$D$6,D597/D583-Inputs!$D$7,Inputs!$D$6)</f>
        <v>-2.2204460492503131E-16</v>
      </c>
    </row>
    <row r="599" spans="1:13" ht="15" customHeight="1" x14ac:dyDescent="0.2">
      <c r="B599" s="10" t="s">
        <v>941</v>
      </c>
      <c r="C599" s="10" t="s">
        <v>104</v>
      </c>
      <c r="D599" s="30">
        <f>IF(ABS(D597)&gt;Inputs!$D$119,D592/(Inputs!$D$7+$D$586)^M560/D597,Inputs!$D$6)</f>
        <v>0.81554608229634784</v>
      </c>
    </row>
    <row r="600" spans="1:13" ht="15" customHeight="1" x14ac:dyDescent="0.2">
      <c r="B600" s="10" t="s">
        <v>942</v>
      </c>
      <c r="C600" s="10" t="s">
        <v>943</v>
      </c>
      <c r="D600" s="26">
        <f>$D$584*Inputs!$D$8/Prices!$P$6/(Inputs!$D$26/Inputs!$D$25)/Inputs!$D$11/Inputs!$D$56</f>
        <v>7.3758270478364798</v>
      </c>
    </row>
    <row r="604" spans="1:13" ht="15" customHeight="1" x14ac:dyDescent="0.2">
      <c r="A604" s="104" t="s">
        <v>956</v>
      </c>
      <c r="B604" s="10" t="s">
        <v>886</v>
      </c>
      <c r="C604" s="10" t="s">
        <v>107</v>
      </c>
      <c r="D604" s="28">
        <f>Inputs!$D$60</f>
        <v>1</v>
      </c>
      <c r="E604" s="28">
        <f>Inputs!$D$62</f>
        <v>2</v>
      </c>
      <c r="F604" s="28">
        <f>Inputs!$D$64</f>
        <v>3</v>
      </c>
      <c r="G604" s="28">
        <f>Inputs!$D$66</f>
        <v>4</v>
      </c>
      <c r="H604" s="28">
        <f>Inputs!$D$68</f>
        <v>5</v>
      </c>
      <c r="I604" s="28">
        <f>Inputs!$D$70</f>
        <v>6</v>
      </c>
      <c r="J604" s="28">
        <f>Inputs!$D$72</f>
        <v>7</v>
      </c>
      <c r="K604" s="28">
        <f>Inputs!$D$74</f>
        <v>8</v>
      </c>
      <c r="L604" s="28">
        <f>Inputs!$D$76</f>
        <v>9</v>
      </c>
      <c r="M604" s="28">
        <f>Inputs!$D$78</f>
        <v>10</v>
      </c>
    </row>
    <row r="605" spans="1:13" ht="15" customHeight="1" x14ac:dyDescent="0.2">
      <c r="A605" s="91"/>
      <c r="B605" s="10" t="s">
        <v>887</v>
      </c>
      <c r="C605" s="10" t="s">
        <v>161</v>
      </c>
      <c r="D605" s="29">
        <f>Inputs!$D$61</f>
        <v>46568</v>
      </c>
      <c r="E605" s="29">
        <f>Inputs!$D$63</f>
        <v>46934</v>
      </c>
      <c r="F605" s="29">
        <f>Inputs!$D$65</f>
        <v>47299</v>
      </c>
      <c r="G605" s="29">
        <f>Inputs!$D$67</f>
        <v>47664</v>
      </c>
      <c r="H605" s="29">
        <f>Inputs!$D$69</f>
        <v>48029</v>
      </c>
      <c r="I605" s="29">
        <f>Inputs!$D$71</f>
        <v>48395</v>
      </c>
      <c r="J605" s="29">
        <f>Inputs!$D$73</f>
        <v>48760</v>
      </c>
      <c r="K605" s="29">
        <f>Inputs!$D$75</f>
        <v>49125</v>
      </c>
      <c r="L605" s="29">
        <f>Inputs!$D$77</f>
        <v>49490</v>
      </c>
      <c r="M605" s="29">
        <f>Inputs!$D$79</f>
        <v>49856</v>
      </c>
    </row>
    <row r="606" spans="1:13" ht="15" customHeight="1" x14ac:dyDescent="0.2">
      <c r="A606" s="91"/>
      <c r="B606" s="10" t="s">
        <v>888</v>
      </c>
      <c r="C606" s="10" t="s">
        <v>107</v>
      </c>
      <c r="D606" s="28">
        <f>(D605-Inputs!$D$13)/Inputs!$D$10</f>
        <v>0.71457905544147848</v>
      </c>
      <c r="E606" s="28">
        <f>(E605-Inputs!$D$13)/Inputs!$D$10</f>
        <v>1.7166324435318274</v>
      </c>
      <c r="F606" s="28">
        <f>(F605-Inputs!$D$13)/Inputs!$D$10</f>
        <v>2.7159479808350446</v>
      </c>
      <c r="G606" s="28">
        <f>(G605-Inputs!$D$13)/Inputs!$D$10</f>
        <v>3.7152635181382614</v>
      </c>
      <c r="H606" s="28">
        <f>(H605-Inputs!$D$13)/Inputs!$D$10</f>
        <v>4.7145790554414786</v>
      </c>
      <c r="I606" s="28">
        <f>(I605-Inputs!$D$13)/Inputs!$D$10</f>
        <v>5.7166324435318279</v>
      </c>
      <c r="J606" s="28">
        <f>(J605-Inputs!$D$13)/Inputs!$D$10</f>
        <v>6.7159479808350442</v>
      </c>
      <c r="K606" s="28">
        <f>(K605-Inputs!$D$13)/Inputs!$D$10</f>
        <v>7.7152635181382614</v>
      </c>
      <c r="L606" s="28">
        <f>(L605-Inputs!$D$13)/Inputs!$D$10</f>
        <v>8.7145790554414777</v>
      </c>
      <c r="M606" s="28">
        <f>(M605-Inputs!$D$13)/Inputs!$D$10</f>
        <v>9.716632443531827</v>
      </c>
    </row>
    <row r="607" spans="1:13" ht="15" customHeight="1" x14ac:dyDescent="0.2">
      <c r="A607" s="91"/>
      <c r="B607" s="10" t="s">
        <v>889</v>
      </c>
      <c r="C607" s="10" t="s">
        <v>107</v>
      </c>
      <c r="D607" s="28">
        <f>D606</f>
        <v>0.71457905544147848</v>
      </c>
      <c r="E607" s="28">
        <f>Inputs!$D$7</f>
        <v>1</v>
      </c>
      <c r="F607" s="28">
        <f>Inputs!$D$7</f>
        <v>1</v>
      </c>
      <c r="G607" s="28">
        <f>Inputs!$D$7</f>
        <v>1</v>
      </c>
      <c r="H607" s="28">
        <f>Inputs!$D$7</f>
        <v>1</v>
      </c>
      <c r="I607" s="28">
        <f>Inputs!$D$7</f>
        <v>1</v>
      </c>
      <c r="J607" s="28">
        <f>Inputs!$D$7</f>
        <v>1</v>
      </c>
      <c r="K607" s="28">
        <f>Inputs!$D$7</f>
        <v>1</v>
      </c>
      <c r="L607" s="28">
        <f>Inputs!$D$7</f>
        <v>1</v>
      </c>
      <c r="M607" s="28">
        <f>Inputs!$D$7</f>
        <v>1</v>
      </c>
    </row>
    <row r="608" spans="1:13" ht="15" customHeight="1" x14ac:dyDescent="0.2">
      <c r="A608" s="91"/>
      <c r="B608" s="3" t="s">
        <v>890</v>
      </c>
      <c r="C608" s="10" t="s">
        <v>199</v>
      </c>
      <c r="D608" s="28">
        <f>Inputs!$D$24+(Inputs!$D$93-Inputs!$D$24)*Inputs!$D$96</f>
        <v>279.10000000000002</v>
      </c>
      <c r="E608" s="28">
        <f>Inputs!$D$24+(Inputs!$D$93-Inputs!$D$24)*Inputs!$D$97</f>
        <v>900.7</v>
      </c>
      <c r="F608" s="28">
        <f>Inputs!$D$24+(Inputs!$D$93-Inputs!$D$24)*Inputs!$D$98</f>
        <v>1366.8999999999999</v>
      </c>
      <c r="G608" s="28">
        <f>Inputs!$D$24+(Inputs!$D$93-Inputs!$D$24)*Inputs!$D$99</f>
        <v>1600</v>
      </c>
      <c r="H608" s="28">
        <f>Inputs!$D$24+(Inputs!$D$93-Inputs!$D$24)*Inputs!$D$100</f>
        <v>1600</v>
      </c>
      <c r="I608" s="28">
        <f>Inputs!$D$24+(Inputs!$D$93-Inputs!$D$24)*Inputs!$D$101</f>
        <v>1600</v>
      </c>
      <c r="J608" s="28">
        <f>Inputs!$D$24+(Inputs!$D$93-Inputs!$D$24)*Inputs!$D$102</f>
        <v>1600</v>
      </c>
      <c r="K608" s="28">
        <f>Inputs!$D$24+(Inputs!$D$93-Inputs!$D$24)*Inputs!$D$103</f>
        <v>1600</v>
      </c>
      <c r="L608" s="28">
        <f>Inputs!$D$24+(Inputs!$D$93-Inputs!$D$24)*Inputs!$D$104</f>
        <v>1600</v>
      </c>
      <c r="M608" s="28">
        <f>Inputs!$D$24+(Inputs!$D$93-Inputs!$D$24)*Inputs!$D$105</f>
        <v>1600</v>
      </c>
    </row>
    <row r="609" spans="1:13" ht="15" customHeight="1" x14ac:dyDescent="0.2">
      <c r="A609" s="91"/>
      <c r="B609" s="10" t="s">
        <v>891</v>
      </c>
      <c r="C609" s="10" t="s">
        <v>199</v>
      </c>
      <c r="D609" s="28">
        <f>Inputs!$D$24</f>
        <v>46</v>
      </c>
      <c r="E609" s="28">
        <f t="shared" ref="E609:M609" si="130">D608</f>
        <v>279.10000000000002</v>
      </c>
      <c r="F609" s="28">
        <f t="shared" si="130"/>
        <v>900.7</v>
      </c>
      <c r="G609" s="28">
        <f t="shared" si="130"/>
        <v>1366.8999999999999</v>
      </c>
      <c r="H609" s="28">
        <f t="shared" si="130"/>
        <v>1600</v>
      </c>
      <c r="I609" s="28">
        <f t="shared" si="130"/>
        <v>1600</v>
      </c>
      <c r="J609" s="28">
        <f t="shared" si="130"/>
        <v>1600</v>
      </c>
      <c r="K609" s="28">
        <f t="shared" si="130"/>
        <v>1600</v>
      </c>
      <c r="L609" s="28">
        <f t="shared" si="130"/>
        <v>1600</v>
      </c>
      <c r="M609" s="28">
        <f t="shared" si="130"/>
        <v>1600</v>
      </c>
    </row>
    <row r="610" spans="1:13" ht="15" customHeight="1" x14ac:dyDescent="0.2">
      <c r="B610" s="10" t="s">
        <v>892</v>
      </c>
      <c r="C610" s="10" t="s">
        <v>199</v>
      </c>
      <c r="D610" s="28">
        <f>(D609+D608)*Inputs!$D$12</f>
        <v>162.55000000000001</v>
      </c>
      <c r="E610" s="28">
        <f>(E609+E608)*Inputs!$D$12</f>
        <v>589.90000000000009</v>
      </c>
      <c r="F610" s="28">
        <f>(F609+F608)*Inputs!$D$12</f>
        <v>1133.8</v>
      </c>
      <c r="G610" s="28">
        <f>(G609+G608)*Inputs!$D$12</f>
        <v>1483.4499999999998</v>
      </c>
      <c r="H610" s="28">
        <f>(H609+H608)*Inputs!$D$12</f>
        <v>1600</v>
      </c>
      <c r="I610" s="28">
        <f>(I609+I608)*Inputs!$D$12</f>
        <v>1600</v>
      </c>
      <c r="J610" s="28">
        <f>(J609+J608)*Inputs!$D$12</f>
        <v>1600</v>
      </c>
      <c r="K610" s="28">
        <f>(K609+K608)*Inputs!$D$12</f>
        <v>1600</v>
      </c>
      <c r="L610" s="28">
        <f>(L609+L608)*Inputs!$D$12</f>
        <v>1600</v>
      </c>
      <c r="M610" s="28">
        <f>(M609+M608)*Inputs!$D$12</f>
        <v>1600</v>
      </c>
    </row>
    <row r="611" spans="1:13" ht="15" customHeight="1" x14ac:dyDescent="0.2">
      <c r="B611" s="10" t="s">
        <v>893</v>
      </c>
      <c r="C611" s="10" t="s">
        <v>199</v>
      </c>
      <c r="D611" s="28">
        <f t="shared" ref="D611:M611" si="131">D608-D609</f>
        <v>233.10000000000002</v>
      </c>
      <c r="E611" s="28">
        <f t="shared" si="131"/>
        <v>621.6</v>
      </c>
      <c r="F611" s="28">
        <f t="shared" si="131"/>
        <v>466.19999999999982</v>
      </c>
      <c r="G611" s="28">
        <f t="shared" si="131"/>
        <v>233.10000000000014</v>
      </c>
      <c r="H611" s="28">
        <f t="shared" si="131"/>
        <v>0</v>
      </c>
      <c r="I611" s="28">
        <f t="shared" si="131"/>
        <v>0</v>
      </c>
      <c r="J611" s="28">
        <f t="shared" si="131"/>
        <v>0</v>
      </c>
      <c r="K611" s="28">
        <f t="shared" si="131"/>
        <v>0</v>
      </c>
      <c r="L611" s="28">
        <f t="shared" si="131"/>
        <v>0</v>
      </c>
      <c r="M611" s="28">
        <f t="shared" si="131"/>
        <v>0</v>
      </c>
    </row>
    <row r="612" spans="1:13" ht="15" customHeight="1" x14ac:dyDescent="0.2">
      <c r="B612" s="10" t="s">
        <v>894</v>
      </c>
      <c r="C612" s="10" t="s">
        <v>199</v>
      </c>
      <c r="D612" s="28">
        <f>IF(MOD(D604,Inputs!$D$21)=Inputs!$D$6,Inputs!$D$24,Inputs!$D$6)+SUMPRODUCT(--(D604&gt;$D$604:$M$604),--(MOD(D604-$D$604:$M$604,Inputs!$D$21)=Inputs!$D$6),$D$611:$M$611)</f>
        <v>0</v>
      </c>
      <c r="E612" s="28">
        <f>IF(MOD(E604,Inputs!$D$21)=Inputs!$D$6,Inputs!$D$24,Inputs!$D$6)+SUMPRODUCT(--(E604&gt;$D$604:$M$604),--(MOD(E604-$D$604:$M$604,Inputs!$D$21)=Inputs!$D$6),$D$611:$M$611)</f>
        <v>0</v>
      </c>
      <c r="F612" s="28">
        <f>IF(MOD(F604,Inputs!$D$21)=Inputs!$D$6,Inputs!$D$24,Inputs!$D$6)+SUMPRODUCT(--(F604&gt;$D$604:$M$604),--(MOD(F604-$D$604:$M$604,Inputs!$D$21)=Inputs!$D$6),$D$611:$M$611)</f>
        <v>0</v>
      </c>
      <c r="G612" s="28">
        <f>IF(MOD(G604,Inputs!$D$21)=Inputs!$D$6,Inputs!$D$24,Inputs!$D$6)+SUMPRODUCT(--(G604&gt;$D$604:$M$604),--(MOD(G604-$D$604:$M$604,Inputs!$D$21)=Inputs!$D$6),$D$611:$M$611)</f>
        <v>46</v>
      </c>
      <c r="H612" s="28">
        <f>IF(MOD(H604,Inputs!$D$21)=Inputs!$D$6,Inputs!$D$24,Inputs!$D$6)+SUMPRODUCT(--(H604&gt;$D$604:$M$604),--(MOD(H604-$D$604:$M$604,Inputs!$D$21)=Inputs!$D$6),$D$611:$M$611)</f>
        <v>233.10000000000002</v>
      </c>
      <c r="I612" s="28">
        <f>IF(MOD(I604,Inputs!$D$21)=Inputs!$D$6,Inputs!$D$24,Inputs!$D$6)+SUMPRODUCT(--(I604&gt;$D$604:$M$604),--(MOD(I604-$D$604:$M$604,Inputs!$D$21)=Inputs!$D$6),$D$611:$M$611)</f>
        <v>621.6</v>
      </c>
      <c r="J612" s="28">
        <f>IF(MOD(J604,Inputs!$D$21)=Inputs!$D$6,Inputs!$D$24,Inputs!$D$6)+SUMPRODUCT(--(J604&gt;$D$604:$M$604),--(MOD(J604-$D$604:$M$604,Inputs!$D$21)=Inputs!$D$6),$D$611:$M$611)</f>
        <v>466.19999999999982</v>
      </c>
      <c r="K612" s="28">
        <f>IF(MOD(K604,Inputs!$D$21)=Inputs!$D$6,Inputs!$D$24,Inputs!$D$6)+SUMPRODUCT(--(K604&gt;$D$604:$M$604),--(MOD(K604-$D$604:$M$604,Inputs!$D$21)=Inputs!$D$6),$D$611:$M$611)</f>
        <v>279.10000000000014</v>
      </c>
      <c r="L612" s="28">
        <f>IF(MOD(L604,Inputs!$D$21)=Inputs!$D$6,Inputs!$D$24,Inputs!$D$6)+SUMPRODUCT(--(L604&gt;$D$604:$M$604),--(MOD(L604-$D$604:$M$604,Inputs!$D$21)=Inputs!$D$6),$D$611:$M$611)</f>
        <v>233.10000000000002</v>
      </c>
      <c r="M612" s="28">
        <f>IF(MOD(M604,Inputs!$D$21)=Inputs!$D$6,Inputs!$D$24,Inputs!$D$6)+SUMPRODUCT(--(M604&gt;$D$604:$M$604),--(MOD(M604-$D$604:$M$604,Inputs!$D$21)=Inputs!$D$6),$D$611:$M$611)</f>
        <v>621.6</v>
      </c>
    </row>
    <row r="613" spans="1:13" ht="15" customHeight="1" x14ac:dyDescent="0.2">
      <c r="B613" s="10" t="s">
        <v>895</v>
      </c>
      <c r="C613" s="10" t="s">
        <v>896</v>
      </c>
      <c r="D613" s="28">
        <f t="shared" ref="D613:M613" si="132">D610*D607</f>
        <v>116.15482546201234</v>
      </c>
      <c r="E613" s="28">
        <f t="shared" si="132"/>
        <v>589.90000000000009</v>
      </c>
      <c r="F613" s="28">
        <f t="shared" si="132"/>
        <v>1133.8</v>
      </c>
      <c r="G613" s="28">
        <f t="shared" si="132"/>
        <v>1483.4499999999998</v>
      </c>
      <c r="H613" s="28">
        <f t="shared" si="132"/>
        <v>1600</v>
      </c>
      <c r="I613" s="28">
        <f t="shared" si="132"/>
        <v>1600</v>
      </c>
      <c r="J613" s="28">
        <f t="shared" si="132"/>
        <v>1600</v>
      </c>
      <c r="K613" s="28">
        <f t="shared" si="132"/>
        <v>1600</v>
      </c>
      <c r="L613" s="28">
        <f t="shared" si="132"/>
        <v>1600</v>
      </c>
      <c r="M613" s="28">
        <f t="shared" si="132"/>
        <v>1600</v>
      </c>
    </row>
    <row r="614" spans="1:13" ht="15" customHeight="1" x14ac:dyDescent="0.2">
      <c r="B614" s="10" t="s">
        <v>897</v>
      </c>
      <c r="C614" s="10" t="s">
        <v>110</v>
      </c>
      <c r="D614" s="16">
        <f>D613*($D$633/Inputs!$D$21+$D$634/Inputs!$D$22)</f>
        <v>1680.51014411561</v>
      </c>
      <c r="E614" s="16">
        <f>E613*($D$633/Inputs!$D$21+$D$634/Inputs!$D$22)</f>
        <v>8534.5824426210111</v>
      </c>
      <c r="F614" s="16">
        <f>F613*($D$633/Inputs!$D$21+$D$634/Inputs!$D$22)</f>
        <v>16403.643962440583</v>
      </c>
      <c r="G614" s="16">
        <f>G613*($D$633/Inputs!$D$21+$D$634/Inputs!$D$22)</f>
        <v>21462.326368038881</v>
      </c>
      <c r="H614" s="16">
        <f>H613*($D$633/Inputs!$D$21+$D$634/Inputs!$D$22)</f>
        <v>23148.553836571649</v>
      </c>
      <c r="I614" s="16">
        <f>I613*($D$633/Inputs!$D$21+$D$634/Inputs!$D$22)</f>
        <v>23148.553836571649</v>
      </c>
      <c r="J614" s="16">
        <f>J613*($D$633/Inputs!$D$21+$D$634/Inputs!$D$22)</f>
        <v>23148.553836571649</v>
      </c>
      <c r="K614" s="16">
        <f>K613*($D$633/Inputs!$D$21+$D$634/Inputs!$D$22)</f>
        <v>23148.553836571649</v>
      </c>
      <c r="L614" s="16">
        <f>L613*($D$633/Inputs!$D$21+$D$634/Inputs!$D$22)</f>
        <v>23148.553836571649</v>
      </c>
      <c r="M614" s="16">
        <f>M613*($D$633/Inputs!$D$21+$D$634/Inputs!$D$22)</f>
        <v>23148.553836571649</v>
      </c>
    </row>
    <row r="615" spans="1:13" ht="15" customHeight="1" x14ac:dyDescent="0.2">
      <c r="B615" s="10" t="s">
        <v>898</v>
      </c>
      <c r="C615" s="10" t="s">
        <v>110</v>
      </c>
      <c r="D615" s="16">
        <f t="shared" ref="D615:M615" si="133">D611*($D$633+$D$634)</f>
        <v>13977.887419483886</v>
      </c>
      <c r="E615" s="16">
        <f t="shared" si="133"/>
        <v>37274.36645195703</v>
      </c>
      <c r="F615" s="16">
        <f t="shared" si="133"/>
        <v>27955.774838967762</v>
      </c>
      <c r="G615" s="16">
        <f t="shared" si="133"/>
        <v>13977.887419483894</v>
      </c>
      <c r="H615" s="16">
        <f t="shared" si="133"/>
        <v>0</v>
      </c>
      <c r="I615" s="16">
        <f t="shared" si="133"/>
        <v>0</v>
      </c>
      <c r="J615" s="16">
        <f t="shared" si="133"/>
        <v>0</v>
      </c>
      <c r="K615" s="16">
        <f t="shared" si="133"/>
        <v>0</v>
      </c>
      <c r="L615" s="16">
        <f t="shared" si="133"/>
        <v>0</v>
      </c>
      <c r="M615" s="16">
        <f t="shared" si="133"/>
        <v>0</v>
      </c>
    </row>
    <row r="616" spans="1:13" ht="15" customHeight="1" x14ac:dyDescent="0.2">
      <c r="B616" s="10" t="s">
        <v>899</v>
      </c>
      <c r="C616" s="10" t="s">
        <v>110</v>
      </c>
      <c r="D616" s="16">
        <f t="shared" ref="D616:M616" si="134">D612*$D$633</f>
        <v>0</v>
      </c>
      <c r="E616" s="16">
        <f t="shared" si="134"/>
        <v>0</v>
      </c>
      <c r="F616" s="16">
        <f t="shared" si="134"/>
        <v>0</v>
      </c>
      <c r="G616" s="16">
        <f t="shared" si="134"/>
        <v>2638.0048485671714</v>
      </c>
      <c r="H616" s="16">
        <f t="shared" si="134"/>
        <v>13367.802830456689</v>
      </c>
      <c r="I616" s="16">
        <f t="shared" si="134"/>
        <v>35647.47421455117</v>
      </c>
      <c r="J616" s="16">
        <f t="shared" si="134"/>
        <v>26735.605660913367</v>
      </c>
      <c r="K616" s="16">
        <f t="shared" si="134"/>
        <v>16005.807679023867</v>
      </c>
      <c r="L616" s="16">
        <f t="shared" si="134"/>
        <v>13367.802830456689</v>
      </c>
      <c r="M616" s="16">
        <f t="shared" si="134"/>
        <v>35647.47421455117</v>
      </c>
    </row>
    <row r="617" spans="1:13" ht="15" customHeight="1" x14ac:dyDescent="0.2">
      <c r="B617" s="10" t="s">
        <v>900</v>
      </c>
      <c r="C617" s="10" t="s">
        <v>199</v>
      </c>
      <c r="D617" s="28">
        <f>D611*Inputs!$D$23</f>
        <v>5.8275000000000006</v>
      </c>
      <c r="E617" s="28">
        <f>E611*Inputs!$D$23</f>
        <v>15.540000000000001</v>
      </c>
      <c r="F617" s="28">
        <f>F611*Inputs!$D$23</f>
        <v>11.654999999999996</v>
      </c>
      <c r="G617" s="28">
        <f>G611*Inputs!$D$23</f>
        <v>5.8275000000000041</v>
      </c>
      <c r="H617" s="28">
        <f>H611*Inputs!$D$23</f>
        <v>0</v>
      </c>
      <c r="I617" s="28">
        <f>I611*Inputs!$D$23</f>
        <v>0</v>
      </c>
      <c r="J617" s="28">
        <f>J611*Inputs!$D$23</f>
        <v>0</v>
      </c>
      <c r="K617" s="28">
        <f>K611*Inputs!$D$23</f>
        <v>0</v>
      </c>
      <c r="L617" s="28">
        <f>L611*Inputs!$D$23</f>
        <v>0</v>
      </c>
      <c r="M617" s="28">
        <f>M611*Inputs!$D$23</f>
        <v>0</v>
      </c>
    </row>
    <row r="618" spans="1:13" ht="15" customHeight="1" x14ac:dyDescent="0.2">
      <c r="B618" s="3" t="s">
        <v>901</v>
      </c>
      <c r="C618" s="10" t="s">
        <v>896</v>
      </c>
      <c r="D618" s="28">
        <f>(D613*$D$631*(Inputs!$D$7-Inputs!$D$19)-D617)/(Inputs!$D$7+$D$632)^D606</f>
        <v>50.541318213721269</v>
      </c>
      <c r="E618" s="28">
        <f>(E613*$D$631*(Inputs!$D$7-Inputs!$D$19)-E617)/(Inputs!$D$7+$D$632)^E606</f>
        <v>238.4864713152904</v>
      </c>
      <c r="F618" s="28">
        <f>(F613*$D$631*(Inputs!$D$7-Inputs!$D$19)-F617)/(Inputs!$D$7+$D$632)^F606</f>
        <v>418.74491871678316</v>
      </c>
      <c r="G618" s="28">
        <f>(G613*$D$631*(Inputs!$D$7-Inputs!$D$19)-G617)/(Inputs!$D$7+$D$632)^G606</f>
        <v>490.87392073514752</v>
      </c>
      <c r="H618" s="28">
        <f>(H613*$D$631*(Inputs!$D$7-Inputs!$D$19)-H617)/(Inputs!$D$7+$D$632)^H606</f>
        <v>472.10300862628105</v>
      </c>
      <c r="I618" s="28">
        <f>(I613*$D$631*(Inputs!$D$7-Inputs!$D$19)-I617)/(Inputs!$D$7+$D$632)^I606</f>
        <v>417.68543753228789</v>
      </c>
      <c r="J618" s="28">
        <f>(J613*$D$631*(Inputs!$D$7-Inputs!$D$19)-J617)/(Inputs!$D$7+$D$632)^J606</f>
        <v>369.66405292491049</v>
      </c>
      <c r="K618" s="28">
        <f>(K613*$D$631*(Inputs!$D$7-Inputs!$D$19)-K617)/(Inputs!$D$7+$D$632)^K606</f>
        <v>327.16369723641031</v>
      </c>
      <c r="L618" s="28">
        <f>(L613*$D$631*(Inputs!$D$7-Inputs!$D$19)-L617)/(Inputs!$D$7+$D$632)^L606</f>
        <v>289.54961658427663</v>
      </c>
      <c r="M618" s="28">
        <f>(M613*$D$631*(Inputs!$D$7-Inputs!$D$19)-M617)/(Inputs!$D$7+$D$632)^M606</f>
        <v>256.17430111750662</v>
      </c>
    </row>
    <row r="619" spans="1:13" ht="15" customHeight="1" x14ac:dyDescent="0.2">
      <c r="B619" s="10" t="s">
        <v>902</v>
      </c>
      <c r="C619" s="10" t="s">
        <v>110</v>
      </c>
      <c r="D619" s="16">
        <f>(D614*Inputs!$D$19-D615-D616)/(Inputs!$D$7+$D$632)^D606</f>
        <v>-12346.937146613671</v>
      </c>
      <c r="E619" s="16">
        <f>(E614*Inputs!$D$19-E615-E616)/(Inputs!$D$7+$D$632)^E606</f>
        <v>-28144.165592831177</v>
      </c>
      <c r="F619" s="16">
        <f>(F614*Inputs!$D$19-F615-F616)/(Inputs!$D$7+$D$632)^F606</f>
        <v>-16528.13772562052</v>
      </c>
      <c r="G619" s="16">
        <f>(G614*Inputs!$D$19-G615-G616)/(Inputs!$D$7+$D$632)^G606</f>
        <v>-6462.9033875784253</v>
      </c>
      <c r="H619" s="16">
        <f>(H614*Inputs!$D$19-H615-H616)/(Inputs!$D$7+$D$632)^H606</f>
        <v>-3610.0349541710043</v>
      </c>
      <c r="I619" s="16">
        <f>(I614*Inputs!$D$19-I615-I616)/(Inputs!$D$7+$D$632)^I606</f>
        <v>-14272.365134506323</v>
      </c>
      <c r="J619" s="16">
        <f>(J614*Inputs!$D$19-J615-J616)/(Inputs!$D$7+$D$632)^J606</f>
        <v>-8709.5665200501735</v>
      </c>
      <c r="K619" s="16">
        <f>(K614*Inputs!$D$19-K615-K616)/(Inputs!$D$7+$D$632)^K606</f>
        <v>-3529.1777141306115</v>
      </c>
      <c r="L619" s="16">
        <f>(L614*Inputs!$D$19-L615-L616)/(Inputs!$D$7+$D$632)^L606</f>
        <v>-2214.1020449702382</v>
      </c>
      <c r="M619" s="16">
        <f>(M614*Inputs!$D$19-M615-M616)/(Inputs!$D$7+$D$632)^M606</f>
        <v>-8753.5088252709138</v>
      </c>
    </row>
    <row r="620" spans="1:13" ht="15" customHeight="1" x14ac:dyDescent="0.2">
      <c r="B620" s="10" t="s">
        <v>903</v>
      </c>
      <c r="C620" s="10" t="s">
        <v>110</v>
      </c>
      <c r="D620" s="16">
        <f t="shared" ref="D620:M620" si="135">D613*$D$630</f>
        <v>3837.1297116673445</v>
      </c>
      <c r="E620" s="16">
        <f t="shared" si="135"/>
        <v>19487.118231285509</v>
      </c>
      <c r="F620" s="16">
        <f t="shared" si="135"/>
        <v>37454.644262809808</v>
      </c>
      <c r="G620" s="16">
        <f t="shared" si="135"/>
        <v>49005.196711646851</v>
      </c>
      <c r="H620" s="16">
        <f t="shared" si="135"/>
        <v>52855.380861259211</v>
      </c>
      <c r="I620" s="16">
        <f t="shared" si="135"/>
        <v>52855.380861259211</v>
      </c>
      <c r="J620" s="16">
        <f t="shared" si="135"/>
        <v>52855.380861259211</v>
      </c>
      <c r="K620" s="16">
        <f t="shared" si="135"/>
        <v>52855.380861259211</v>
      </c>
      <c r="L620" s="16">
        <f t="shared" si="135"/>
        <v>52855.380861259211</v>
      </c>
      <c r="M620" s="16">
        <f t="shared" si="135"/>
        <v>52855.380861259211</v>
      </c>
    </row>
    <row r="621" spans="1:13" ht="15" customHeight="1" x14ac:dyDescent="0.2">
      <c r="B621" s="10" t="s">
        <v>904</v>
      </c>
      <c r="C621" s="10" t="s">
        <v>110</v>
      </c>
      <c r="D621" s="16">
        <f t="shared" ref="D621:M621" si="136">D620*$D$631</f>
        <v>2877.8472837505083</v>
      </c>
      <c r="E621" s="16">
        <f t="shared" si="136"/>
        <v>14615.338673464132</v>
      </c>
      <c r="F621" s="16">
        <f t="shared" si="136"/>
        <v>28090.983197107358</v>
      </c>
      <c r="G621" s="16">
        <f t="shared" si="136"/>
        <v>36753.897533735137</v>
      </c>
      <c r="H621" s="16">
        <f t="shared" si="136"/>
        <v>39641.535645944408</v>
      </c>
      <c r="I621" s="16">
        <f t="shared" si="136"/>
        <v>39641.535645944408</v>
      </c>
      <c r="J621" s="16">
        <f t="shared" si="136"/>
        <v>39641.535645944408</v>
      </c>
      <c r="K621" s="16">
        <f t="shared" si="136"/>
        <v>39641.535645944408</v>
      </c>
      <c r="L621" s="16">
        <f t="shared" si="136"/>
        <v>39641.535645944408</v>
      </c>
      <c r="M621" s="16">
        <f t="shared" si="136"/>
        <v>39641.535645944408</v>
      </c>
    </row>
    <row r="622" spans="1:13" ht="15" customHeight="1" x14ac:dyDescent="0.2">
      <c r="B622" s="10" t="s">
        <v>905</v>
      </c>
      <c r="C622" s="10" t="s">
        <v>110</v>
      </c>
      <c r="D622" s="16">
        <f t="shared" ref="D622:M622" si="137">D621-D614</f>
        <v>1197.3371396348982</v>
      </c>
      <c r="E622" s="16">
        <f t="shared" si="137"/>
        <v>6080.7562308431206</v>
      </c>
      <c r="F622" s="16">
        <f t="shared" si="137"/>
        <v>11687.339234666775</v>
      </c>
      <c r="G622" s="16">
        <f t="shared" si="137"/>
        <v>15291.571165696256</v>
      </c>
      <c r="H622" s="16">
        <f t="shared" si="137"/>
        <v>16492.981809372759</v>
      </c>
      <c r="I622" s="16">
        <f t="shared" si="137"/>
        <v>16492.981809372759</v>
      </c>
      <c r="J622" s="16">
        <f t="shared" si="137"/>
        <v>16492.981809372759</v>
      </c>
      <c r="K622" s="16">
        <f t="shared" si="137"/>
        <v>16492.981809372759</v>
      </c>
      <c r="L622" s="16">
        <f t="shared" si="137"/>
        <v>16492.981809372759</v>
      </c>
      <c r="M622" s="16">
        <f t="shared" si="137"/>
        <v>16492.981809372759</v>
      </c>
    </row>
    <row r="623" spans="1:13" ht="15" customHeight="1" x14ac:dyDescent="0.2">
      <c r="B623" s="10" t="s">
        <v>906</v>
      </c>
      <c r="C623" s="10" t="s">
        <v>110</v>
      </c>
      <c r="D623" s="16">
        <f>MAX(D622,Inputs!$D$6)*Inputs!$D$19</f>
        <v>359.20114189046944</v>
      </c>
      <c r="E623" s="16">
        <f>MAX(E622,Inputs!$D$6)*Inputs!$D$19</f>
        <v>1824.2268692529362</v>
      </c>
      <c r="F623" s="16">
        <f>MAX(F622,Inputs!$D$6)*Inputs!$D$19</f>
        <v>3506.2017704000323</v>
      </c>
      <c r="G623" s="16">
        <f>MAX(G622,Inputs!$D$6)*Inputs!$D$19</f>
        <v>4587.4713497088769</v>
      </c>
      <c r="H623" s="16">
        <f>MAX(H622,Inputs!$D$6)*Inputs!$D$19</f>
        <v>4947.8945428118277</v>
      </c>
      <c r="I623" s="16">
        <f>MAX(I622,Inputs!$D$6)*Inputs!$D$19</f>
        <v>4947.8945428118277</v>
      </c>
      <c r="J623" s="16">
        <f>MAX(J622,Inputs!$D$6)*Inputs!$D$19</f>
        <v>4947.8945428118277</v>
      </c>
      <c r="K623" s="16">
        <f>MAX(K622,Inputs!$D$6)*Inputs!$D$19</f>
        <v>4947.8945428118277</v>
      </c>
      <c r="L623" s="16">
        <f>MAX(L622,Inputs!$D$6)*Inputs!$D$19</f>
        <v>4947.8945428118277</v>
      </c>
      <c r="M623" s="16">
        <f>MAX(M622,Inputs!$D$6)*Inputs!$D$19</f>
        <v>4947.8945428118277</v>
      </c>
    </row>
    <row r="624" spans="1:13" ht="15" customHeight="1" x14ac:dyDescent="0.2">
      <c r="B624" s="10" t="s">
        <v>907</v>
      </c>
      <c r="C624" s="10" t="s">
        <v>110</v>
      </c>
      <c r="D624" s="16">
        <f t="shared" ref="D624:M624" si="138">D617*$D$630</f>
        <v>192.50920748061753</v>
      </c>
      <c r="E624" s="16">
        <f t="shared" si="138"/>
        <v>513.35788661498009</v>
      </c>
      <c r="F624" s="16">
        <f t="shared" si="138"/>
        <v>385.0184149612349</v>
      </c>
      <c r="G624" s="16">
        <f t="shared" si="138"/>
        <v>192.50920748061768</v>
      </c>
      <c r="H624" s="16">
        <f t="shared" si="138"/>
        <v>0</v>
      </c>
      <c r="I624" s="16">
        <f t="shared" si="138"/>
        <v>0</v>
      </c>
      <c r="J624" s="16">
        <f t="shared" si="138"/>
        <v>0</v>
      </c>
      <c r="K624" s="16">
        <f t="shared" si="138"/>
        <v>0</v>
      </c>
      <c r="L624" s="16">
        <f t="shared" si="138"/>
        <v>0</v>
      </c>
      <c r="M624" s="16">
        <f t="shared" si="138"/>
        <v>0</v>
      </c>
    </row>
    <row r="625" spans="2:13" ht="15" customHeight="1" x14ac:dyDescent="0.2">
      <c r="B625" s="10" t="s">
        <v>908</v>
      </c>
      <c r="C625" s="10" t="s">
        <v>110</v>
      </c>
      <c r="D625" s="16">
        <f t="shared" ref="D625:M625" si="139">D621-D623-D615-D616-D624</f>
        <v>-11651.750485104465</v>
      </c>
      <c r="E625" s="16">
        <f t="shared" si="139"/>
        <v>-24996.612534360815</v>
      </c>
      <c r="F625" s="16">
        <f t="shared" si="139"/>
        <v>-3756.0118272216705</v>
      </c>
      <c r="G625" s="16">
        <f t="shared" si="139"/>
        <v>15358.024708494575</v>
      </c>
      <c r="H625" s="16">
        <f t="shared" si="139"/>
        <v>21325.838272675894</v>
      </c>
      <c r="I625" s="16">
        <f t="shared" si="139"/>
        <v>-953.83311141858576</v>
      </c>
      <c r="J625" s="16">
        <f t="shared" si="139"/>
        <v>7958.0354422192177</v>
      </c>
      <c r="K625" s="16">
        <f t="shared" si="139"/>
        <v>18687.833424108718</v>
      </c>
      <c r="L625" s="16">
        <f t="shared" si="139"/>
        <v>21325.838272675894</v>
      </c>
      <c r="M625" s="16">
        <f t="shared" si="139"/>
        <v>-953.83311141858576</v>
      </c>
    </row>
    <row r="626" spans="2:13" ht="15" customHeight="1" x14ac:dyDescent="0.2">
      <c r="B626" s="10" t="s">
        <v>909</v>
      </c>
      <c r="C626" s="10" t="s">
        <v>110</v>
      </c>
      <c r="D626" s="16">
        <f>D625/(Inputs!$D$7+$D$632)^D606</f>
        <v>-10677.324256978462</v>
      </c>
      <c r="E626" s="16">
        <f>E625/(Inputs!$D$7+$D$632)^E606</f>
        <v>-20265.857298064024</v>
      </c>
      <c r="F626" s="16">
        <f>F625/(Inputs!$D$7+$D$632)^F606</f>
        <v>-2695.0613740626382</v>
      </c>
      <c r="G626" s="16">
        <f>G625/(Inputs!$D$7+$D$632)^G606</f>
        <v>9752.9266344939388</v>
      </c>
      <c r="H626" s="16">
        <f>H625/(Inputs!$D$7+$D$632)^H606</f>
        <v>11985.705250009265</v>
      </c>
      <c r="I626" s="16">
        <f>I625/(Inputs!$D$7+$D$632)^I606</f>
        <v>-474.28833389958993</v>
      </c>
      <c r="J626" s="16">
        <f>J625/(Inputs!$D$7+$D$632)^J606</f>
        <v>3502.142422489093</v>
      </c>
      <c r="K626" s="16">
        <f>K625/(Inputs!$D$7+$D$632)^K606</f>
        <v>7278.5484242494922</v>
      </c>
      <c r="L626" s="16">
        <f>L625/(Inputs!$D$7+$D$632)^L606</f>
        <v>7351.0574942757103</v>
      </c>
      <c r="M626" s="16">
        <f>M625/(Inputs!$D$7+$D$632)^M606</f>
        <v>-290.8899175004679</v>
      </c>
    </row>
    <row r="627" spans="2:13" ht="15" customHeight="1" x14ac:dyDescent="0.2">
      <c r="B627" s="3" t="s">
        <v>910</v>
      </c>
      <c r="C627" s="10" t="s">
        <v>896</v>
      </c>
      <c r="D627" s="28">
        <f>(D613*$D$631-D617)/(Inputs!$D$7+$D$632)^D606</f>
        <v>74.490519309095831</v>
      </c>
      <c r="E627" s="28">
        <f>(E613*$D$631-E617)/(Inputs!$D$7+$D$632)^E606</f>
        <v>346.09451503846662</v>
      </c>
      <c r="F627" s="28">
        <f>(F613*$D$631-F617)/(Inputs!$D$7+$D$632)^F606</f>
        <v>601.79110266312398</v>
      </c>
      <c r="G627" s="28">
        <f>(G613*$D$631-G617)/(Inputs!$D$7+$D$632)^G606</f>
        <v>702.83446516544734</v>
      </c>
      <c r="H627" s="28">
        <f>(H613*$D$631-H617)/(Inputs!$D$7+$D$632)^H606</f>
        <v>674.43286946611579</v>
      </c>
      <c r="I627" s="28">
        <f>(I613*$D$631-I617)/(Inputs!$D$7+$D$632)^I606</f>
        <v>596.69348218898278</v>
      </c>
      <c r="J627" s="28">
        <f>(J613*$D$631-J617)/(Inputs!$D$7+$D$632)^J606</f>
        <v>528.09150417844353</v>
      </c>
      <c r="K627" s="28">
        <f>(K613*$D$631-K617)/(Inputs!$D$7+$D$632)^K606</f>
        <v>467.37671033772904</v>
      </c>
      <c r="L627" s="28">
        <f>(L613*$D$631-L617)/(Inputs!$D$7+$D$632)^L606</f>
        <v>413.64230940610946</v>
      </c>
      <c r="M627" s="28">
        <f>(M613*$D$631-M617)/(Inputs!$D$7+$D$632)^M606</f>
        <v>365.96328731072373</v>
      </c>
    </row>
    <row r="628" spans="2:13" ht="15" customHeight="1" x14ac:dyDescent="0.2">
      <c r="B628" s="10" t="s">
        <v>911</v>
      </c>
      <c r="C628" s="10" t="s">
        <v>110</v>
      </c>
      <c r="D628" s="16">
        <f>(-D615-D616)/(Inputs!$D$7+$D$632)^D606</f>
        <v>-12808.928289029636</v>
      </c>
      <c r="E628" s="16">
        <f>(-E615-E616)/(Inputs!$D$7+$D$632)^E606</f>
        <v>-30219.974420642928</v>
      </c>
      <c r="F628" s="16">
        <f>(-F615-F616)/(Inputs!$D$7+$D$632)^F606</f>
        <v>-20059.183095337907</v>
      </c>
      <c r="G628" s="16">
        <f>(-G615-G616)/(Inputs!$D$7+$D$632)^G606</f>
        <v>-10551.720115889953</v>
      </c>
      <c r="H628" s="16">
        <f>(-H615-H616)/(Inputs!$D$7+$D$632)^H606</f>
        <v>-7513.0713511684744</v>
      </c>
      <c r="I628" s="16">
        <f>(-I615-I616)/(Inputs!$D$7+$D$632)^I606</f>
        <v>-17725.512933602091</v>
      </c>
      <c r="J628" s="16">
        <f>(-J615-J616)/(Inputs!$D$7+$D$632)^J606</f>
        <v>-11765.705173827875</v>
      </c>
      <c r="K628" s="16">
        <f>(-K615-K616)/(Inputs!$D$7+$D$632)^K606</f>
        <v>-6233.95144943378</v>
      </c>
      <c r="L628" s="16">
        <f>(-L615-L616)/(Inputs!$D$7+$D$632)^L606</f>
        <v>-4607.9073620630261</v>
      </c>
      <c r="M628" s="16">
        <f>(-M615-M616)/(Inputs!$D$7+$D$632)^M606</f>
        <v>-10871.389039901173</v>
      </c>
    </row>
    <row r="629" spans="2:13" ht="15" customHeight="1" x14ac:dyDescent="0.2">
      <c r="B629" s="10" t="s">
        <v>912</v>
      </c>
      <c r="C629" s="10" t="s">
        <v>110</v>
      </c>
      <c r="D629" s="16">
        <f>Prices!I8</f>
        <v>32775</v>
      </c>
    </row>
    <row r="630" spans="2:13" ht="15" customHeight="1" x14ac:dyDescent="0.2">
      <c r="B630" s="3" t="s">
        <v>913</v>
      </c>
      <c r="C630" s="10" t="s">
        <v>914</v>
      </c>
      <c r="D630" s="28">
        <f>IF(J637&gt;=J633,J637,(D629-J636)/J635)</f>
        <v>33.034613038287006</v>
      </c>
      <c r="G630" s="99" t="s">
        <v>915</v>
      </c>
      <c r="H630" s="91"/>
      <c r="I630" s="91"/>
      <c r="J630" s="28">
        <f>D630*Inputs!$D$15</f>
        <v>23.054856439420501</v>
      </c>
      <c r="K630" s="99" t="s">
        <v>916</v>
      </c>
      <c r="L630" s="91"/>
      <c r="M630" s="91"/>
    </row>
    <row r="631" spans="2:13" ht="15" customHeight="1" x14ac:dyDescent="0.2">
      <c r="B631" s="10" t="s">
        <v>917</v>
      </c>
      <c r="C631" s="10" t="s">
        <v>104</v>
      </c>
      <c r="D631" s="30">
        <f>Inputs!$D$94</f>
        <v>0.75</v>
      </c>
      <c r="G631" s="99" t="s">
        <v>918</v>
      </c>
      <c r="H631" s="91"/>
      <c r="I631" s="91"/>
      <c r="J631" s="28">
        <f>IF(-D642/D641&gt;=J633,-D642/D641,-J636/J635)</f>
        <v>27.411702074287536</v>
      </c>
      <c r="K631" s="99" t="s">
        <v>919</v>
      </c>
      <c r="L631" s="91"/>
      <c r="M631" s="91"/>
    </row>
    <row r="632" spans="2:13" ht="15" customHeight="1" x14ac:dyDescent="0.2">
      <c r="B632" s="10" t="s">
        <v>920</v>
      </c>
      <c r="C632" s="10" t="s">
        <v>104</v>
      </c>
      <c r="D632" s="30">
        <f>Inputs!$D$95</f>
        <v>0.13</v>
      </c>
      <c r="G632" s="99" t="s">
        <v>918</v>
      </c>
      <c r="H632" s="91"/>
      <c r="I632" s="91"/>
      <c r="J632" s="28">
        <f>J631*Inputs!$D$15</f>
        <v>19.13062687764527</v>
      </c>
      <c r="K632" s="99" t="s">
        <v>916</v>
      </c>
      <c r="L632" s="91"/>
      <c r="M632" s="91"/>
    </row>
    <row r="633" spans="2:13" ht="15" customHeight="1" x14ac:dyDescent="0.2">
      <c r="B633" s="3" t="s">
        <v>921</v>
      </c>
      <c r="C633" s="10" t="s">
        <v>848</v>
      </c>
      <c r="D633" s="28">
        <f>Capital!$D$13</f>
        <v>57.347931490590682</v>
      </c>
      <c r="G633" s="99" t="s">
        <v>922</v>
      </c>
      <c r="H633" s="91"/>
      <c r="I633" s="91"/>
      <c r="J633" s="28">
        <f>($D$633/Inputs!$D$21+$D$634/Inputs!$D$22)/$D$631</f>
        <v>19.290461530476374</v>
      </c>
      <c r="K633" s="99" t="s">
        <v>919</v>
      </c>
      <c r="L633" s="91"/>
      <c r="M633" s="91"/>
    </row>
    <row r="634" spans="2:13" ht="15" customHeight="1" x14ac:dyDescent="0.2">
      <c r="B634" s="3" t="s">
        <v>923</v>
      </c>
      <c r="C634" s="10" t="s">
        <v>848</v>
      </c>
      <c r="D634" s="28">
        <f>Capital!$D$14</f>
        <v>2.6172655041921802</v>
      </c>
    </row>
    <row r="635" spans="2:13" ht="15" customHeight="1" x14ac:dyDescent="0.2">
      <c r="B635" s="10" t="s">
        <v>924</v>
      </c>
      <c r="C635" s="10" t="s">
        <v>896</v>
      </c>
      <c r="D635" s="28">
        <f>(M608*(Inputs!$D$7+Inputs!$D$20)*$D$631*(Inputs!$D$7-Inputs!$D$19)-M608*Inputs!$D$20*Inputs!$D$23)/($D$632-Inputs!$D$20)/(Inputs!$D$7+$D$632)^M606</f>
        <v>2497.8446594223992</v>
      </c>
      <c r="G635" s="92" t="s">
        <v>910</v>
      </c>
      <c r="H635" s="91"/>
      <c r="I635" s="91"/>
      <c r="J635" s="28">
        <f>SUM(D627:M627)+(M608*(Inputs!$D$7+Inputs!$D$20)*$D$631-M608*Inputs!$D$20*Inputs!$D$23)/($D$632-Inputs!$D$20)/(Inputs!$D$7+$D$632)^M606</f>
        <v>8341.0050516109004</v>
      </c>
      <c r="K635" s="99" t="s">
        <v>896</v>
      </c>
      <c r="L635" s="91"/>
      <c r="M635" s="91"/>
    </row>
    <row r="636" spans="2:13" ht="15" customHeight="1" x14ac:dyDescent="0.2">
      <c r="B636" s="10" t="s">
        <v>925</v>
      </c>
      <c r="C636" s="10" t="s">
        <v>110</v>
      </c>
      <c r="D636" s="16">
        <f>(D639*Inputs!$D$19-D639-D640)/($D$632-Inputs!$D$20)/(Inputs!$D$7+$D$632)^M606</f>
        <v>-55207.290798783099</v>
      </c>
      <c r="G636" s="92" t="s">
        <v>926</v>
      </c>
      <c r="H636" s="91"/>
      <c r="I636" s="91"/>
      <c r="J636" s="16">
        <f>SUM(D628:M628)-(D639+D640)/($D$632-Inputs!$D$20)/(Inputs!$D$7+$D$632)^M606</f>
        <v>-208239.17898202292</v>
      </c>
      <c r="K636" s="99" t="s">
        <v>110</v>
      </c>
      <c r="L636" s="91"/>
      <c r="M636" s="91"/>
    </row>
    <row r="637" spans="2:13" ht="15" customHeight="1" x14ac:dyDescent="0.2">
      <c r="B637" s="10" t="s">
        <v>927</v>
      </c>
      <c r="C637" s="10" t="s">
        <v>928</v>
      </c>
      <c r="D637" s="16">
        <f>(M608*(Inputs!$D$7+Inputs!$D$20)*$D$630*$D$631-D639)-MAX((M608*(Inputs!$D$7+Inputs!$D$20)*$D$630*$D$631-D639),Inputs!$D$6)*Inputs!$D$19-D640-M608*Inputs!$D$20*$D$630*Inputs!$D$23</f>
        <v>9402.0719553953513</v>
      </c>
      <c r="G637" s="99" t="s">
        <v>929</v>
      </c>
      <c r="H637" s="91"/>
      <c r="I637" s="91"/>
      <c r="J637" s="28">
        <f>(D629-D642)/D641</f>
        <v>33.034613038287006</v>
      </c>
      <c r="K637" s="99" t="s">
        <v>919</v>
      </c>
      <c r="L637" s="91"/>
      <c r="M637" s="91"/>
    </row>
    <row r="638" spans="2:13" ht="15" customHeight="1" x14ac:dyDescent="0.2">
      <c r="B638" s="10" t="s">
        <v>930</v>
      </c>
      <c r="C638" s="10" t="s">
        <v>110</v>
      </c>
      <c r="D638" s="16">
        <f>D637/($D$632-Inputs!$D$20)</f>
        <v>89543.542432336675</v>
      </c>
      <c r="G638" s="99" t="s">
        <v>931</v>
      </c>
      <c r="H638" s="91"/>
      <c r="I638" s="91"/>
      <c r="J638" s="16">
        <f>MIN(D622:M622,(M608*(Inputs!$D$7+Inputs!$D$20)*$D$630*$D$631-D639))</f>
        <v>1197.3371396348982</v>
      </c>
      <c r="K638" s="99" t="s">
        <v>110</v>
      </c>
      <c r="L638" s="91"/>
      <c r="M638" s="91"/>
    </row>
    <row r="639" spans="2:13" ht="15" customHeight="1" x14ac:dyDescent="0.2">
      <c r="B639" s="10" t="s">
        <v>932</v>
      </c>
      <c r="C639" s="10" t="s">
        <v>928</v>
      </c>
      <c r="D639" s="16">
        <f>M608*(Inputs!$D$7+Inputs!$D$20)*($D$633/Inputs!$D$21+$D$634/Inputs!$D$22)</f>
        <v>23727.267682485937</v>
      </c>
      <c r="G639" s="99" t="s">
        <v>933</v>
      </c>
      <c r="H639" s="91"/>
      <c r="I639" s="91"/>
      <c r="J639" s="31" t="str">
        <f>IF(J638&lt;Inputs!$D$6,"breached","satisfied")</f>
        <v>satisfied</v>
      </c>
      <c r="K639" s="99" t="s">
        <v>934</v>
      </c>
      <c r="L639" s="91"/>
      <c r="M639" s="91"/>
    </row>
    <row r="640" spans="2:13" ht="15" customHeight="1" x14ac:dyDescent="0.2">
      <c r="B640" s="10" t="s">
        <v>935</v>
      </c>
      <c r="C640" s="10" t="s">
        <v>928</v>
      </c>
      <c r="D640" s="16">
        <f>M608*Inputs!$D$20*($D$633+$D$634)</f>
        <v>2398.6078797913146</v>
      </c>
    </row>
    <row r="641" spans="1:13" ht="15" customHeight="1" x14ac:dyDescent="0.2">
      <c r="B641" s="10" t="s">
        <v>936</v>
      </c>
      <c r="C641" s="10" t="s">
        <v>896</v>
      </c>
      <c r="D641" s="28">
        <f>SUM(D618:M618)+D635</f>
        <v>5828.8314024250149</v>
      </c>
      <c r="G641" s="99" t="s">
        <v>937</v>
      </c>
      <c r="H641" s="91"/>
      <c r="I641" s="91"/>
      <c r="J641" s="16">
        <f>D643-D629</f>
        <v>0</v>
      </c>
      <c r="K641" s="99" t="s">
        <v>110</v>
      </c>
      <c r="L641" s="91"/>
      <c r="M641" s="91"/>
    </row>
    <row r="642" spans="1:13" ht="15" customHeight="1" x14ac:dyDescent="0.2">
      <c r="B642" s="10" t="s">
        <v>938</v>
      </c>
      <c r="C642" s="10" t="s">
        <v>110</v>
      </c>
      <c r="D642" s="16">
        <f>SUM(D619:M619)+D636</f>
        <v>-159778.18984452612</v>
      </c>
    </row>
    <row r="643" spans="1:13" ht="15" customHeight="1" x14ac:dyDescent="0.2">
      <c r="B643" s="10" t="s">
        <v>939</v>
      </c>
      <c r="C643" s="10" t="s">
        <v>110</v>
      </c>
      <c r="D643" s="16">
        <f>SUM(D626:M626)+D638/(Inputs!$D$7+$D$632)^M606</f>
        <v>32774.999999999993</v>
      </c>
    </row>
    <row r="644" spans="1:13" ht="15" customHeight="1" x14ac:dyDescent="0.2">
      <c r="B644" s="10" t="s">
        <v>940</v>
      </c>
      <c r="C644" s="10" t="s">
        <v>104</v>
      </c>
      <c r="D644" s="30">
        <f>IF(ABS(D629)&gt;Inputs!$D$6,D643/D629-Inputs!$D$7,Inputs!$D$6)</f>
        <v>-2.2204460492503131E-16</v>
      </c>
    </row>
    <row r="645" spans="1:13" ht="15" customHeight="1" x14ac:dyDescent="0.2">
      <c r="B645" s="10" t="s">
        <v>941</v>
      </c>
      <c r="C645" s="10" t="s">
        <v>104</v>
      </c>
      <c r="D645" s="30">
        <f>IF(ABS(D643)&gt;Inputs!$D$119,D638/(Inputs!$D$7+$D$632)^M606/D643,Inputs!$D$6)</f>
        <v>0.83319728314226338</v>
      </c>
    </row>
    <row r="646" spans="1:13" ht="15" customHeight="1" x14ac:dyDescent="0.2">
      <c r="B646" s="10" t="s">
        <v>942</v>
      </c>
      <c r="C646" s="10" t="s">
        <v>943</v>
      </c>
      <c r="D646" s="26">
        <f>$D$630*Inputs!$D$8/Prices!$P$6/(Inputs!$D$26/Inputs!$D$25)/Inputs!$D$11/Inputs!$D$56</f>
        <v>6.0074447243874154</v>
      </c>
    </row>
    <row r="650" spans="1:13" ht="15" customHeight="1" x14ac:dyDescent="0.2">
      <c r="A650" s="104" t="s">
        <v>957</v>
      </c>
      <c r="B650" s="10" t="s">
        <v>886</v>
      </c>
      <c r="C650" s="10" t="s">
        <v>107</v>
      </c>
      <c r="D650" s="28">
        <f>Inputs!$D$60</f>
        <v>1</v>
      </c>
      <c r="E650" s="28">
        <f>Inputs!$D$62</f>
        <v>2</v>
      </c>
      <c r="F650" s="28">
        <f>Inputs!$D$64</f>
        <v>3</v>
      </c>
      <c r="G650" s="28">
        <f>Inputs!$D$66</f>
        <v>4</v>
      </c>
      <c r="H650" s="28">
        <f>Inputs!$D$68</f>
        <v>5</v>
      </c>
      <c r="I650" s="28">
        <f>Inputs!$D$70</f>
        <v>6</v>
      </c>
      <c r="J650" s="28">
        <f>Inputs!$D$72</f>
        <v>7</v>
      </c>
      <c r="K650" s="28">
        <f>Inputs!$D$74</f>
        <v>8</v>
      </c>
      <c r="L650" s="28">
        <f>Inputs!$D$76</f>
        <v>9</v>
      </c>
      <c r="M650" s="28">
        <f>Inputs!$D$78</f>
        <v>10</v>
      </c>
    </row>
    <row r="651" spans="1:13" ht="15" customHeight="1" x14ac:dyDescent="0.2">
      <c r="A651" s="91"/>
      <c r="B651" s="10" t="s">
        <v>887</v>
      </c>
      <c r="C651" s="10" t="s">
        <v>161</v>
      </c>
      <c r="D651" s="29">
        <f>Inputs!$D$61</f>
        <v>46568</v>
      </c>
      <c r="E651" s="29">
        <f>Inputs!$D$63</f>
        <v>46934</v>
      </c>
      <c r="F651" s="29">
        <f>Inputs!$D$65</f>
        <v>47299</v>
      </c>
      <c r="G651" s="29">
        <f>Inputs!$D$67</f>
        <v>47664</v>
      </c>
      <c r="H651" s="29">
        <f>Inputs!$D$69</f>
        <v>48029</v>
      </c>
      <c r="I651" s="29">
        <f>Inputs!$D$71</f>
        <v>48395</v>
      </c>
      <c r="J651" s="29">
        <f>Inputs!$D$73</f>
        <v>48760</v>
      </c>
      <c r="K651" s="29">
        <f>Inputs!$D$75</f>
        <v>49125</v>
      </c>
      <c r="L651" s="29">
        <f>Inputs!$D$77</f>
        <v>49490</v>
      </c>
      <c r="M651" s="29">
        <f>Inputs!$D$79</f>
        <v>49856</v>
      </c>
    </row>
    <row r="652" spans="1:13" ht="15" customHeight="1" x14ac:dyDescent="0.2">
      <c r="A652" s="91"/>
      <c r="B652" s="10" t="s">
        <v>888</v>
      </c>
      <c r="C652" s="10" t="s">
        <v>107</v>
      </c>
      <c r="D652" s="28">
        <f>(D651-Inputs!$D$13)/Inputs!$D$10</f>
        <v>0.71457905544147848</v>
      </c>
      <c r="E652" s="28">
        <f>(E651-Inputs!$D$13)/Inputs!$D$10</f>
        <v>1.7166324435318274</v>
      </c>
      <c r="F652" s="28">
        <f>(F651-Inputs!$D$13)/Inputs!$D$10</f>
        <v>2.7159479808350446</v>
      </c>
      <c r="G652" s="28">
        <f>(G651-Inputs!$D$13)/Inputs!$D$10</f>
        <v>3.7152635181382614</v>
      </c>
      <c r="H652" s="28">
        <f>(H651-Inputs!$D$13)/Inputs!$D$10</f>
        <v>4.7145790554414786</v>
      </c>
      <c r="I652" s="28">
        <f>(I651-Inputs!$D$13)/Inputs!$D$10</f>
        <v>5.7166324435318279</v>
      </c>
      <c r="J652" s="28">
        <f>(J651-Inputs!$D$13)/Inputs!$D$10</f>
        <v>6.7159479808350442</v>
      </c>
      <c r="K652" s="28">
        <f>(K651-Inputs!$D$13)/Inputs!$D$10</f>
        <v>7.7152635181382614</v>
      </c>
      <c r="L652" s="28">
        <f>(L651-Inputs!$D$13)/Inputs!$D$10</f>
        <v>8.7145790554414777</v>
      </c>
      <c r="M652" s="28">
        <f>(M651-Inputs!$D$13)/Inputs!$D$10</f>
        <v>9.716632443531827</v>
      </c>
    </row>
    <row r="653" spans="1:13" ht="15" customHeight="1" x14ac:dyDescent="0.2">
      <c r="A653" s="91"/>
      <c r="B653" s="10" t="s">
        <v>889</v>
      </c>
      <c r="C653" s="10" t="s">
        <v>107</v>
      </c>
      <c r="D653" s="28">
        <f>D652</f>
        <v>0.71457905544147848</v>
      </c>
      <c r="E653" s="28">
        <f>Inputs!$D$7</f>
        <v>1</v>
      </c>
      <c r="F653" s="28">
        <f>Inputs!$D$7</f>
        <v>1</v>
      </c>
      <c r="G653" s="28">
        <f>Inputs!$D$7</f>
        <v>1</v>
      </c>
      <c r="H653" s="28">
        <f>Inputs!$D$7</f>
        <v>1</v>
      </c>
      <c r="I653" s="28">
        <f>Inputs!$D$7</f>
        <v>1</v>
      </c>
      <c r="J653" s="28">
        <f>Inputs!$D$7</f>
        <v>1</v>
      </c>
      <c r="K653" s="28">
        <f>Inputs!$D$7</f>
        <v>1</v>
      </c>
      <c r="L653" s="28">
        <f>Inputs!$D$7</f>
        <v>1</v>
      </c>
      <c r="M653" s="28">
        <f>Inputs!$D$7</f>
        <v>1</v>
      </c>
    </row>
    <row r="654" spans="1:13" ht="15" customHeight="1" x14ac:dyDescent="0.2">
      <c r="A654" s="91"/>
      <c r="B654" s="3" t="s">
        <v>890</v>
      </c>
      <c r="C654" s="10" t="s">
        <v>199</v>
      </c>
      <c r="D654" s="28">
        <f>Inputs!$D$24+(Inputs!$D$106-Inputs!$D$24)*Inputs!$D$109</f>
        <v>170.32</v>
      </c>
      <c r="E654" s="28">
        <f>Inputs!$D$24+(Inputs!$D$106-Inputs!$D$24)*Inputs!$D$110</f>
        <v>481.12000000000006</v>
      </c>
      <c r="F654" s="28">
        <f>Inputs!$D$24+(Inputs!$D$106-Inputs!$D$24)*Inputs!$D$111</f>
        <v>823</v>
      </c>
      <c r="G654" s="28">
        <f>Inputs!$D$24+(Inputs!$D$106-Inputs!$D$24)*Inputs!$D$112</f>
        <v>1211.5</v>
      </c>
      <c r="H654" s="28">
        <f>Inputs!$D$24+(Inputs!$D$106-Inputs!$D$24)*Inputs!$D$113</f>
        <v>1600</v>
      </c>
      <c r="I654" s="28">
        <f>Inputs!$D$24+(Inputs!$D$106-Inputs!$D$24)*Inputs!$D$114</f>
        <v>1600</v>
      </c>
      <c r="J654" s="28">
        <f>Inputs!$D$24+(Inputs!$D$106-Inputs!$D$24)*Inputs!$D$115</f>
        <v>1600</v>
      </c>
      <c r="K654" s="28">
        <f>Inputs!$D$24+(Inputs!$D$106-Inputs!$D$24)*Inputs!$D$116</f>
        <v>1600</v>
      </c>
      <c r="L654" s="28">
        <f>Inputs!$D$24+(Inputs!$D$106-Inputs!$D$24)*Inputs!$D$117</f>
        <v>1600</v>
      </c>
      <c r="M654" s="28">
        <f>Inputs!$D$24+(Inputs!$D$106-Inputs!$D$24)*Inputs!$D$118</f>
        <v>1600</v>
      </c>
    </row>
    <row r="655" spans="1:13" ht="15" customHeight="1" x14ac:dyDescent="0.2">
      <c r="A655" s="91"/>
      <c r="B655" s="10" t="s">
        <v>891</v>
      </c>
      <c r="C655" s="10" t="s">
        <v>199</v>
      </c>
      <c r="D655" s="28">
        <f>Inputs!$D$24</f>
        <v>46</v>
      </c>
      <c r="E655" s="28">
        <f t="shared" ref="E655:M655" si="140">D654</f>
        <v>170.32</v>
      </c>
      <c r="F655" s="28">
        <f t="shared" si="140"/>
        <v>481.12000000000006</v>
      </c>
      <c r="G655" s="28">
        <f t="shared" si="140"/>
        <v>823</v>
      </c>
      <c r="H655" s="28">
        <f t="shared" si="140"/>
        <v>1211.5</v>
      </c>
      <c r="I655" s="28">
        <f t="shared" si="140"/>
        <v>1600</v>
      </c>
      <c r="J655" s="28">
        <f t="shared" si="140"/>
        <v>1600</v>
      </c>
      <c r="K655" s="28">
        <f t="shared" si="140"/>
        <v>1600</v>
      </c>
      <c r="L655" s="28">
        <f t="shared" si="140"/>
        <v>1600</v>
      </c>
      <c r="M655" s="28">
        <f t="shared" si="140"/>
        <v>1600</v>
      </c>
    </row>
    <row r="656" spans="1:13" ht="15" customHeight="1" x14ac:dyDescent="0.2">
      <c r="B656" s="10" t="s">
        <v>892</v>
      </c>
      <c r="C656" s="10" t="s">
        <v>199</v>
      </c>
      <c r="D656" s="28">
        <f>(D655+D654)*Inputs!$D$12</f>
        <v>108.16</v>
      </c>
      <c r="E656" s="28">
        <f>(E655+E654)*Inputs!$D$12</f>
        <v>325.72000000000003</v>
      </c>
      <c r="F656" s="28">
        <f>(F655+F654)*Inputs!$D$12</f>
        <v>652.06000000000006</v>
      </c>
      <c r="G656" s="28">
        <f>(G655+G654)*Inputs!$D$12</f>
        <v>1017.25</v>
      </c>
      <c r="H656" s="28">
        <f>(H655+H654)*Inputs!$D$12</f>
        <v>1405.75</v>
      </c>
      <c r="I656" s="28">
        <f>(I655+I654)*Inputs!$D$12</f>
        <v>1600</v>
      </c>
      <c r="J656" s="28">
        <f>(J655+J654)*Inputs!$D$12</f>
        <v>1600</v>
      </c>
      <c r="K656" s="28">
        <f>(K655+K654)*Inputs!$D$12</f>
        <v>1600</v>
      </c>
      <c r="L656" s="28">
        <f>(L655+L654)*Inputs!$D$12</f>
        <v>1600</v>
      </c>
      <c r="M656" s="28">
        <f>(M655+M654)*Inputs!$D$12</f>
        <v>1600</v>
      </c>
    </row>
    <row r="657" spans="2:13" ht="15" customHeight="1" x14ac:dyDescent="0.2">
      <c r="B657" s="10" t="s">
        <v>893</v>
      </c>
      <c r="C657" s="10" t="s">
        <v>199</v>
      </c>
      <c r="D657" s="28">
        <f t="shared" ref="D657:M657" si="141">D654-D655</f>
        <v>124.32</v>
      </c>
      <c r="E657" s="28">
        <f t="shared" si="141"/>
        <v>310.80000000000007</v>
      </c>
      <c r="F657" s="28">
        <f t="shared" si="141"/>
        <v>341.87999999999994</v>
      </c>
      <c r="G657" s="28">
        <f t="shared" si="141"/>
        <v>388.5</v>
      </c>
      <c r="H657" s="28">
        <f t="shared" si="141"/>
        <v>388.5</v>
      </c>
      <c r="I657" s="28">
        <f t="shared" si="141"/>
        <v>0</v>
      </c>
      <c r="J657" s="28">
        <f t="shared" si="141"/>
        <v>0</v>
      </c>
      <c r="K657" s="28">
        <f t="shared" si="141"/>
        <v>0</v>
      </c>
      <c r="L657" s="28">
        <f t="shared" si="141"/>
        <v>0</v>
      </c>
      <c r="M657" s="28">
        <f t="shared" si="141"/>
        <v>0</v>
      </c>
    </row>
    <row r="658" spans="2:13" ht="15" customHeight="1" x14ac:dyDescent="0.2">
      <c r="B658" s="10" t="s">
        <v>894</v>
      </c>
      <c r="C658" s="10" t="s">
        <v>199</v>
      </c>
      <c r="D658" s="28">
        <f>IF(MOD(D650,Inputs!$D$21)=Inputs!$D$6,Inputs!$D$24,Inputs!$D$6)+SUMPRODUCT(--(D650&gt;$D$650:$M$650),--(MOD(D650-$D$650:$M$650,Inputs!$D$21)=Inputs!$D$6),$D$657:$M$657)</f>
        <v>0</v>
      </c>
      <c r="E658" s="28">
        <f>IF(MOD(E650,Inputs!$D$21)=Inputs!$D$6,Inputs!$D$24,Inputs!$D$6)+SUMPRODUCT(--(E650&gt;$D$650:$M$650),--(MOD(E650-$D$650:$M$650,Inputs!$D$21)=Inputs!$D$6),$D$657:$M$657)</f>
        <v>0</v>
      </c>
      <c r="F658" s="28">
        <f>IF(MOD(F650,Inputs!$D$21)=Inputs!$D$6,Inputs!$D$24,Inputs!$D$6)+SUMPRODUCT(--(F650&gt;$D$650:$M$650),--(MOD(F650-$D$650:$M$650,Inputs!$D$21)=Inputs!$D$6),$D$657:$M$657)</f>
        <v>0</v>
      </c>
      <c r="G658" s="28">
        <f>IF(MOD(G650,Inputs!$D$21)=Inputs!$D$6,Inputs!$D$24,Inputs!$D$6)+SUMPRODUCT(--(G650&gt;$D$650:$M$650),--(MOD(G650-$D$650:$M$650,Inputs!$D$21)=Inputs!$D$6),$D$657:$M$657)</f>
        <v>46</v>
      </c>
      <c r="H658" s="28">
        <f>IF(MOD(H650,Inputs!$D$21)=Inputs!$D$6,Inputs!$D$24,Inputs!$D$6)+SUMPRODUCT(--(H650&gt;$D$650:$M$650),--(MOD(H650-$D$650:$M$650,Inputs!$D$21)=Inputs!$D$6),$D$657:$M$657)</f>
        <v>124.32</v>
      </c>
      <c r="I658" s="28">
        <f>IF(MOD(I650,Inputs!$D$21)=Inputs!$D$6,Inputs!$D$24,Inputs!$D$6)+SUMPRODUCT(--(I650&gt;$D$650:$M$650),--(MOD(I650-$D$650:$M$650,Inputs!$D$21)=Inputs!$D$6),$D$657:$M$657)</f>
        <v>310.80000000000007</v>
      </c>
      <c r="J658" s="28">
        <f>IF(MOD(J650,Inputs!$D$21)=Inputs!$D$6,Inputs!$D$24,Inputs!$D$6)+SUMPRODUCT(--(J650&gt;$D$650:$M$650),--(MOD(J650-$D$650:$M$650,Inputs!$D$21)=Inputs!$D$6),$D$657:$M$657)</f>
        <v>341.87999999999994</v>
      </c>
      <c r="K658" s="28">
        <f>IF(MOD(K650,Inputs!$D$21)=Inputs!$D$6,Inputs!$D$24,Inputs!$D$6)+SUMPRODUCT(--(K650&gt;$D$650:$M$650),--(MOD(K650-$D$650:$M$650,Inputs!$D$21)=Inputs!$D$6),$D$657:$M$657)</f>
        <v>434.5</v>
      </c>
      <c r="L658" s="28">
        <f>IF(MOD(L650,Inputs!$D$21)=Inputs!$D$6,Inputs!$D$24,Inputs!$D$6)+SUMPRODUCT(--(L650&gt;$D$650:$M$650),--(MOD(L650-$D$650:$M$650,Inputs!$D$21)=Inputs!$D$6),$D$657:$M$657)</f>
        <v>512.81999999999994</v>
      </c>
      <c r="M658" s="28">
        <f>IF(MOD(M650,Inputs!$D$21)=Inputs!$D$6,Inputs!$D$24,Inputs!$D$6)+SUMPRODUCT(--(M650&gt;$D$650:$M$650),--(MOD(M650-$D$650:$M$650,Inputs!$D$21)=Inputs!$D$6),$D$657:$M$657)</f>
        <v>310.80000000000007</v>
      </c>
    </row>
    <row r="659" spans="2:13" ht="15" customHeight="1" x14ac:dyDescent="0.2">
      <c r="B659" s="10" t="s">
        <v>895</v>
      </c>
      <c r="C659" s="10" t="s">
        <v>896</v>
      </c>
      <c r="D659" s="28">
        <f t="shared" ref="D659:M659" si="142">D656*D653</f>
        <v>77.288870636550314</v>
      </c>
      <c r="E659" s="28">
        <f t="shared" si="142"/>
        <v>325.72000000000003</v>
      </c>
      <c r="F659" s="28">
        <f t="shared" si="142"/>
        <v>652.06000000000006</v>
      </c>
      <c r="G659" s="28">
        <f t="shared" si="142"/>
        <v>1017.25</v>
      </c>
      <c r="H659" s="28">
        <f t="shared" si="142"/>
        <v>1405.75</v>
      </c>
      <c r="I659" s="28">
        <f t="shared" si="142"/>
        <v>1600</v>
      </c>
      <c r="J659" s="28">
        <f t="shared" si="142"/>
        <v>1600</v>
      </c>
      <c r="K659" s="28">
        <f t="shared" si="142"/>
        <v>1600</v>
      </c>
      <c r="L659" s="28">
        <f t="shared" si="142"/>
        <v>1600</v>
      </c>
      <c r="M659" s="28">
        <f t="shared" si="142"/>
        <v>1600</v>
      </c>
    </row>
    <row r="660" spans="2:13" ht="15" customHeight="1" x14ac:dyDescent="0.2">
      <c r="B660" s="10" t="s">
        <v>897</v>
      </c>
      <c r="C660" s="10" t="s">
        <v>110</v>
      </c>
      <c r="D660" s="16">
        <f>D659*($D$679/Inputs!$D$21+$D$680/Inputs!$D$22)</f>
        <v>1118.2034893112541</v>
      </c>
      <c r="E660" s="16">
        <f>E659*($D$679/Inputs!$D$21+$D$680/Inputs!$D$22)</f>
        <v>4712.466847280074</v>
      </c>
      <c r="F660" s="16">
        <f>F659*($D$679/Inputs!$D$21+$D$680/Inputs!$D$22)</f>
        <v>9433.9037591718188</v>
      </c>
      <c r="G660" s="16">
        <f>G659*($D$679/Inputs!$D$21+$D$680/Inputs!$D$22)</f>
        <v>14717.416493907818</v>
      </c>
      <c r="H660" s="16">
        <f>H659*($D$679/Inputs!$D$21+$D$680/Inputs!$D$22)</f>
        <v>20338.17472235037</v>
      </c>
      <c r="I660" s="16">
        <f>I659*($D$679/Inputs!$D$21+$D$680/Inputs!$D$22)</f>
        <v>23148.553836571649</v>
      </c>
      <c r="J660" s="16">
        <f>J659*($D$679/Inputs!$D$21+$D$680/Inputs!$D$22)</f>
        <v>23148.553836571649</v>
      </c>
      <c r="K660" s="16">
        <f>K659*($D$679/Inputs!$D$21+$D$680/Inputs!$D$22)</f>
        <v>23148.553836571649</v>
      </c>
      <c r="L660" s="16">
        <f>L659*($D$679/Inputs!$D$21+$D$680/Inputs!$D$22)</f>
        <v>23148.553836571649</v>
      </c>
      <c r="M660" s="16">
        <f>M659*($D$679/Inputs!$D$21+$D$680/Inputs!$D$22)</f>
        <v>23148.553836571649</v>
      </c>
    </row>
    <row r="661" spans="2:13" ht="15" customHeight="1" x14ac:dyDescent="0.2">
      <c r="B661" s="10" t="s">
        <v>898</v>
      </c>
      <c r="C661" s="10" t="s">
        <v>110</v>
      </c>
      <c r="D661" s="16">
        <f t="shared" ref="D661:M661" si="143">D657*($D$679+$D$680)</f>
        <v>7454.8732903914051</v>
      </c>
      <c r="E661" s="16">
        <f t="shared" si="143"/>
        <v>18637.183225978519</v>
      </c>
      <c r="F661" s="16">
        <f t="shared" si="143"/>
        <v>20500.901548576363</v>
      </c>
      <c r="G661" s="16">
        <f t="shared" si="143"/>
        <v>23296.479032473144</v>
      </c>
      <c r="H661" s="16">
        <f t="shared" si="143"/>
        <v>23296.479032473144</v>
      </c>
      <c r="I661" s="16">
        <f t="shared" si="143"/>
        <v>0</v>
      </c>
      <c r="J661" s="16">
        <f t="shared" si="143"/>
        <v>0</v>
      </c>
      <c r="K661" s="16">
        <f t="shared" si="143"/>
        <v>0</v>
      </c>
      <c r="L661" s="16">
        <f t="shared" si="143"/>
        <v>0</v>
      </c>
      <c r="M661" s="16">
        <f t="shared" si="143"/>
        <v>0</v>
      </c>
    </row>
    <row r="662" spans="2:13" ht="15" customHeight="1" x14ac:dyDescent="0.2">
      <c r="B662" s="10" t="s">
        <v>899</v>
      </c>
      <c r="C662" s="10" t="s">
        <v>110</v>
      </c>
      <c r="D662" s="16">
        <f t="shared" ref="D662:M662" si="144">D658*$D$679</f>
        <v>0</v>
      </c>
      <c r="E662" s="16">
        <f t="shared" si="144"/>
        <v>0</v>
      </c>
      <c r="F662" s="16">
        <f t="shared" si="144"/>
        <v>0</v>
      </c>
      <c r="G662" s="16">
        <f t="shared" si="144"/>
        <v>2638.0048485671714</v>
      </c>
      <c r="H662" s="16">
        <f t="shared" si="144"/>
        <v>7129.4948429102333</v>
      </c>
      <c r="I662" s="16">
        <f t="shared" si="144"/>
        <v>17823.737107275589</v>
      </c>
      <c r="J662" s="16">
        <f t="shared" si="144"/>
        <v>19606.110818003141</v>
      </c>
      <c r="K662" s="16">
        <f t="shared" si="144"/>
        <v>24917.676232661652</v>
      </c>
      <c r="L662" s="16">
        <f t="shared" si="144"/>
        <v>29409.166227004709</v>
      </c>
      <c r="M662" s="16">
        <f t="shared" si="144"/>
        <v>17823.737107275589</v>
      </c>
    </row>
    <row r="663" spans="2:13" ht="15" customHeight="1" x14ac:dyDescent="0.2">
      <c r="B663" s="10" t="s">
        <v>900</v>
      </c>
      <c r="C663" s="10" t="s">
        <v>199</v>
      </c>
      <c r="D663" s="28">
        <f>D657*Inputs!$D$23</f>
        <v>3.1080000000000001</v>
      </c>
      <c r="E663" s="28">
        <f>E657*Inputs!$D$23</f>
        <v>7.7700000000000022</v>
      </c>
      <c r="F663" s="28">
        <f>F657*Inputs!$D$23</f>
        <v>8.5469999999999988</v>
      </c>
      <c r="G663" s="28">
        <f>G657*Inputs!$D$23</f>
        <v>9.7125000000000004</v>
      </c>
      <c r="H663" s="28">
        <f>H657*Inputs!$D$23</f>
        <v>9.7125000000000004</v>
      </c>
      <c r="I663" s="28">
        <f>I657*Inputs!$D$23</f>
        <v>0</v>
      </c>
      <c r="J663" s="28">
        <f>J657*Inputs!$D$23</f>
        <v>0</v>
      </c>
      <c r="K663" s="28">
        <f>K657*Inputs!$D$23</f>
        <v>0</v>
      </c>
      <c r="L663" s="28">
        <f>L657*Inputs!$D$23</f>
        <v>0</v>
      </c>
      <c r="M663" s="28">
        <f>M657*Inputs!$D$23</f>
        <v>0</v>
      </c>
    </row>
    <row r="664" spans="2:13" ht="15" customHeight="1" x14ac:dyDescent="0.2">
      <c r="B664" s="3" t="s">
        <v>901</v>
      </c>
      <c r="C664" s="10" t="s">
        <v>896</v>
      </c>
      <c r="D664" s="28">
        <f>(D659*$D$677*(Inputs!$D$7-Inputs!$D$19)-D663)/(Inputs!$D$7+$D$678)^D652</f>
        <v>40.99699201112098</v>
      </c>
      <c r="E664" s="28">
        <f>(E659*$D$677*(Inputs!$D$7-Inputs!$D$19)-E663)/(Inputs!$D$7+$D$678)^E652</f>
        <v>153.02781912726542</v>
      </c>
      <c r="F664" s="28">
        <f>(F659*$D$677*(Inputs!$D$7-Inputs!$D$19)-F663)/(Inputs!$D$7+$D$678)^F652</f>
        <v>268.8019226843403</v>
      </c>
      <c r="G664" s="28">
        <f>(G659*$D$677*(Inputs!$D$7-Inputs!$D$19)-G663)/(Inputs!$D$7+$D$678)^G652</f>
        <v>363.62824610263397</v>
      </c>
      <c r="H664" s="28">
        <f>(H659*$D$677*(Inputs!$D$7-Inputs!$D$19)-H663)/(Inputs!$D$7+$D$678)^H652</f>
        <v>435.07807528321291</v>
      </c>
      <c r="I664" s="28">
        <f>(I659*$D$677*(Inputs!$D$7-Inputs!$D$19)-I663)/(Inputs!$D$7+$D$678)^I652</f>
        <v>431.49711827119876</v>
      </c>
      <c r="J664" s="28">
        <f>(J659*$D$677*(Inputs!$D$7-Inputs!$D$19)-J663)/(Inputs!$D$7+$D$678)^J652</f>
        <v>372.01806500733016</v>
      </c>
      <c r="K664" s="28">
        <f>(K659*$D$677*(Inputs!$D$7-Inputs!$D$19)-K663)/(Inputs!$D$7+$D$678)^K652</f>
        <v>320.73780989845312</v>
      </c>
      <c r="L664" s="28">
        <f>(L659*$D$677*(Inputs!$D$7-Inputs!$D$19)-L663)/(Inputs!$D$7+$D$678)^L652</f>
        <v>276.52620228651875</v>
      </c>
      <c r="M664" s="28">
        <f>(M659*$D$677*(Inputs!$D$7-Inputs!$D$19)-M663)/(Inputs!$D$7+$D$678)^M652</f>
        <v>238.31201718226143</v>
      </c>
    </row>
    <row r="665" spans="2:13" ht="15" customHeight="1" x14ac:dyDescent="0.2">
      <c r="B665" s="10" t="s">
        <v>902</v>
      </c>
      <c r="C665" s="10" t="s">
        <v>110</v>
      </c>
      <c r="D665" s="16">
        <f>(D660*Inputs!$D$19-D661-D662)/(Inputs!$D$7+$D$678)^D652</f>
        <v>-6403.0045740313244</v>
      </c>
      <c r="E665" s="16">
        <f>(E660*Inputs!$D$19-E661-E662)/(Inputs!$D$7+$D$678)^E652</f>
        <v>-13349.632212764713</v>
      </c>
      <c r="F665" s="16">
        <f>(F660*Inputs!$D$19-F661-F662)/(Inputs!$D$7+$D$678)^F652</f>
        <v>-11808.370082432088</v>
      </c>
      <c r="G665" s="16">
        <f>(G660*Inputs!$D$19-G661-G662)/(Inputs!$D$7+$D$678)^G652</f>
        <v>-12397.921878440668</v>
      </c>
      <c r="H665" s="16">
        <f>(H660*Inputs!$D$19-H661-H662)/(Inputs!$D$7+$D$678)^H652</f>
        <v>-12082.366885213038</v>
      </c>
      <c r="I665" s="16">
        <f>(I660*Inputs!$D$19-I661-I662)/(Inputs!$D$7+$D$678)^I652</f>
        <v>-4657.0743222469628</v>
      </c>
      <c r="J665" s="16">
        <f>(J660*Inputs!$D$19-J661-J662)/(Inputs!$D$7+$D$678)^J652</f>
        <v>-4672.9398284057479</v>
      </c>
      <c r="K665" s="16">
        <f>(K660*Inputs!$D$19-K661-K662)/(Inputs!$D$7+$D$678)^K652</f>
        <v>-5718.9047268503064</v>
      </c>
      <c r="L665" s="16">
        <f>(L660*Inputs!$D$19-L661-L662)/(Inputs!$D$7+$D$678)^L652</f>
        <v>-6162.7485564592316</v>
      </c>
      <c r="M665" s="16">
        <f>(M660*Inputs!$D$19-M661-M662)/(Inputs!$D$7+$D$678)^M652</f>
        <v>-2572.0606903447429</v>
      </c>
    </row>
    <row r="666" spans="2:13" ht="15" customHeight="1" x14ac:dyDescent="0.2">
      <c r="B666" s="10" t="s">
        <v>903</v>
      </c>
      <c r="C666" s="10" t="s">
        <v>110</v>
      </c>
      <c r="D666" s="16">
        <f t="shared" ref="D666:M666" si="145">D659*$D$676</f>
        <v>2394.8201353527652</v>
      </c>
      <c r="E666" s="16">
        <f t="shared" si="145"/>
        <v>10092.537360977007</v>
      </c>
      <c r="F666" s="16">
        <f t="shared" si="145"/>
        <v>20204.285618318394</v>
      </c>
      <c r="G666" s="16">
        <f t="shared" si="145"/>
        <v>31519.81343010518</v>
      </c>
      <c r="H666" s="16">
        <f t="shared" si="145"/>
        <v>43557.608974559211</v>
      </c>
      <c r="I666" s="16">
        <f t="shared" si="145"/>
        <v>49576.506746786225</v>
      </c>
      <c r="J666" s="16">
        <f t="shared" si="145"/>
        <v>49576.506746786225</v>
      </c>
      <c r="K666" s="16">
        <f t="shared" si="145"/>
        <v>49576.506746786225</v>
      </c>
      <c r="L666" s="16">
        <f t="shared" si="145"/>
        <v>49576.506746786225</v>
      </c>
      <c r="M666" s="16">
        <f t="shared" si="145"/>
        <v>49576.506746786225</v>
      </c>
    </row>
    <row r="667" spans="2:13" ht="15" customHeight="1" x14ac:dyDescent="0.2">
      <c r="B667" s="10" t="s">
        <v>904</v>
      </c>
      <c r="C667" s="10" t="s">
        <v>110</v>
      </c>
      <c r="D667" s="16">
        <f t="shared" ref="D667:M667" si="146">D666*$D$677</f>
        <v>2155.3381218174886</v>
      </c>
      <c r="E667" s="16">
        <f t="shared" si="146"/>
        <v>9083.2836248793064</v>
      </c>
      <c r="F667" s="16">
        <f t="shared" si="146"/>
        <v>18183.857056486555</v>
      </c>
      <c r="G667" s="16">
        <f t="shared" si="146"/>
        <v>28367.832087094663</v>
      </c>
      <c r="H667" s="16">
        <f t="shared" si="146"/>
        <v>39201.848077103292</v>
      </c>
      <c r="I667" s="16">
        <f t="shared" si="146"/>
        <v>44618.856072107606</v>
      </c>
      <c r="J667" s="16">
        <f t="shared" si="146"/>
        <v>44618.856072107606</v>
      </c>
      <c r="K667" s="16">
        <f t="shared" si="146"/>
        <v>44618.856072107606</v>
      </c>
      <c r="L667" s="16">
        <f t="shared" si="146"/>
        <v>44618.856072107606</v>
      </c>
      <c r="M667" s="16">
        <f t="shared" si="146"/>
        <v>44618.856072107606</v>
      </c>
    </row>
    <row r="668" spans="2:13" ht="15" customHeight="1" x14ac:dyDescent="0.2">
      <c r="B668" s="10" t="s">
        <v>905</v>
      </c>
      <c r="C668" s="10" t="s">
        <v>110</v>
      </c>
      <c r="D668" s="16">
        <f t="shared" ref="D668:M668" si="147">D667-D660</f>
        <v>1037.1346325062345</v>
      </c>
      <c r="E668" s="16">
        <f t="shared" si="147"/>
        <v>4370.8167775992324</v>
      </c>
      <c r="F668" s="16">
        <f t="shared" si="147"/>
        <v>8749.9532973147361</v>
      </c>
      <c r="G668" s="16">
        <f t="shared" si="147"/>
        <v>13650.415593186844</v>
      </c>
      <c r="H668" s="16">
        <f t="shared" si="147"/>
        <v>18863.673354752922</v>
      </c>
      <c r="I668" s="16">
        <f t="shared" si="147"/>
        <v>21470.302235535957</v>
      </c>
      <c r="J668" s="16">
        <f t="shared" si="147"/>
        <v>21470.302235535957</v>
      </c>
      <c r="K668" s="16">
        <f t="shared" si="147"/>
        <v>21470.302235535957</v>
      </c>
      <c r="L668" s="16">
        <f t="shared" si="147"/>
        <v>21470.302235535957</v>
      </c>
      <c r="M668" s="16">
        <f t="shared" si="147"/>
        <v>21470.302235535957</v>
      </c>
    </row>
    <row r="669" spans="2:13" ht="15" customHeight="1" x14ac:dyDescent="0.2">
      <c r="B669" s="10" t="s">
        <v>906</v>
      </c>
      <c r="C669" s="10" t="s">
        <v>110</v>
      </c>
      <c r="D669" s="16">
        <f>MAX(D668,Inputs!$D$6)*Inputs!$D$19</f>
        <v>311.14038975187037</v>
      </c>
      <c r="E669" s="16">
        <f>MAX(E668,Inputs!$D$6)*Inputs!$D$19</f>
        <v>1311.2450332797696</v>
      </c>
      <c r="F669" s="16">
        <f>MAX(F668,Inputs!$D$6)*Inputs!$D$19</f>
        <v>2624.9859891944207</v>
      </c>
      <c r="G669" s="16">
        <f>MAX(G668,Inputs!$D$6)*Inputs!$D$19</f>
        <v>4095.1246779560533</v>
      </c>
      <c r="H669" s="16">
        <f>MAX(H668,Inputs!$D$6)*Inputs!$D$19</f>
        <v>5659.1020064258764</v>
      </c>
      <c r="I669" s="16">
        <f>MAX(I668,Inputs!$D$6)*Inputs!$D$19</f>
        <v>6441.0906706607866</v>
      </c>
      <c r="J669" s="16">
        <f>MAX(J668,Inputs!$D$6)*Inputs!$D$19</f>
        <v>6441.0906706607866</v>
      </c>
      <c r="K669" s="16">
        <f>MAX(K668,Inputs!$D$6)*Inputs!$D$19</f>
        <v>6441.0906706607866</v>
      </c>
      <c r="L669" s="16">
        <f>MAX(L668,Inputs!$D$6)*Inputs!$D$19</f>
        <v>6441.0906706607866</v>
      </c>
      <c r="M669" s="16">
        <f>MAX(M668,Inputs!$D$6)*Inputs!$D$19</f>
        <v>6441.0906706607866</v>
      </c>
    </row>
    <row r="670" spans="2:13" ht="15" customHeight="1" x14ac:dyDescent="0.2">
      <c r="B670" s="10" t="s">
        <v>907</v>
      </c>
      <c r="C670" s="10" t="s">
        <v>110</v>
      </c>
      <c r="D670" s="16">
        <f t="shared" ref="D670:M670" si="148">D663*$D$676</f>
        <v>96.30236435563225</v>
      </c>
      <c r="E670" s="16">
        <f t="shared" si="148"/>
        <v>240.75591088908067</v>
      </c>
      <c r="F670" s="16">
        <f t="shared" si="148"/>
        <v>264.83150197798864</v>
      </c>
      <c r="G670" s="16">
        <f t="shared" si="148"/>
        <v>300.94488861135079</v>
      </c>
      <c r="H670" s="16">
        <f t="shared" si="148"/>
        <v>300.94488861135079</v>
      </c>
      <c r="I670" s="16">
        <f t="shared" si="148"/>
        <v>0</v>
      </c>
      <c r="J670" s="16">
        <f t="shared" si="148"/>
        <v>0</v>
      </c>
      <c r="K670" s="16">
        <f t="shared" si="148"/>
        <v>0</v>
      </c>
      <c r="L670" s="16">
        <f t="shared" si="148"/>
        <v>0</v>
      </c>
      <c r="M670" s="16">
        <f t="shared" si="148"/>
        <v>0</v>
      </c>
    </row>
    <row r="671" spans="2:13" ht="15" customHeight="1" x14ac:dyDescent="0.2">
      <c r="B671" s="10" t="s">
        <v>908</v>
      </c>
      <c r="C671" s="10" t="s">
        <v>110</v>
      </c>
      <c r="D671" s="16">
        <f t="shared" ref="D671:M671" si="149">D667-D669-D661-D662-D670</f>
        <v>-5706.9779226814198</v>
      </c>
      <c r="E671" s="16">
        <f t="shared" si="149"/>
        <v>-11105.900545268063</v>
      </c>
      <c r="F671" s="16">
        <f t="shared" si="149"/>
        <v>-5206.861983262218</v>
      </c>
      <c r="G671" s="16">
        <f t="shared" si="149"/>
        <v>-1962.7213605130567</v>
      </c>
      <c r="H671" s="16">
        <f t="shared" si="149"/>
        <v>2815.8273066826864</v>
      </c>
      <c r="I671" s="16">
        <f t="shared" si="149"/>
        <v>20354.028294171232</v>
      </c>
      <c r="J671" s="16">
        <f t="shared" si="149"/>
        <v>18571.65458344368</v>
      </c>
      <c r="K671" s="16">
        <f t="shared" si="149"/>
        <v>13260.089168785169</v>
      </c>
      <c r="L671" s="16">
        <f t="shared" si="149"/>
        <v>8768.5991744421117</v>
      </c>
      <c r="M671" s="16">
        <f t="shared" si="149"/>
        <v>20354.028294171232</v>
      </c>
    </row>
    <row r="672" spans="2:13" ht="15" customHeight="1" x14ac:dyDescent="0.2">
      <c r="B672" s="10" t="s">
        <v>909</v>
      </c>
      <c r="C672" s="10" t="s">
        <v>110</v>
      </c>
      <c r="D672" s="16">
        <f>D671/(Inputs!$D$7+$D$678)^D652</f>
        <v>-5132.6997921330249</v>
      </c>
      <c r="E672" s="16">
        <f>E671/(Inputs!$D$7+$D$678)^E652</f>
        <v>-8608.0167706341763</v>
      </c>
      <c r="F672" s="16">
        <f>F671/(Inputs!$D$7+$D$678)^F652</f>
        <v>-3479.4573739887692</v>
      </c>
      <c r="G672" s="16">
        <f>G671/(Inputs!$D$7+$D$678)^G652</f>
        <v>-1130.7855057973688</v>
      </c>
      <c r="H672" s="16">
        <f>H671/(Inputs!$D$7+$D$678)^H652</f>
        <v>1398.6650739475706</v>
      </c>
      <c r="I672" s="16">
        <f>I671/(Inputs!$D$7+$D$678)^I652</f>
        <v>8713.0005497473521</v>
      </c>
      <c r="J672" s="16">
        <f>J671/(Inputs!$D$7+$D$678)^J652</f>
        <v>6854.1577401956674</v>
      </c>
      <c r="K672" s="16">
        <f>K671/(Inputs!$D$7+$D$678)^K652</f>
        <v>4219.2578958872573</v>
      </c>
      <c r="L672" s="16">
        <f>L671/(Inputs!$D$7+$D$678)^L652</f>
        <v>2405.5034018662509</v>
      </c>
      <c r="M672" s="16">
        <f>M671/(Inputs!$D$7+$D$678)^M652</f>
        <v>4812.1126394531457</v>
      </c>
    </row>
    <row r="673" spans="2:13" ht="15" customHeight="1" x14ac:dyDescent="0.2">
      <c r="B673" s="3" t="s">
        <v>910</v>
      </c>
      <c r="C673" s="10" t="s">
        <v>896</v>
      </c>
      <c r="D673" s="28">
        <f>(D659*$D$677-D663)/(Inputs!$D$7+$D$678)^D652</f>
        <v>59.765095798928819</v>
      </c>
      <c r="E673" s="28">
        <f>(E659*$D$677-E663)/(Inputs!$D$7+$D$678)^E652</f>
        <v>221.1922031857838</v>
      </c>
      <c r="F673" s="28">
        <f>(F659*$D$677-F663)/(Inputs!$D$7+$D$678)^F652</f>
        <v>386.45052664112239</v>
      </c>
      <c r="G673" s="28">
        <f>(G659*$D$677-G663)/(Inputs!$D$7+$D$678)^G652</f>
        <v>521.867070169518</v>
      </c>
      <c r="H673" s="28">
        <f>(H659*$D$677-H663)/(Inputs!$D$7+$D$678)^H652</f>
        <v>623.60768582417222</v>
      </c>
      <c r="I673" s="28">
        <f>(I659*$D$677-I663)/(Inputs!$D$7+$D$678)^I652</f>
        <v>616.42445467314121</v>
      </c>
      <c r="J673" s="28">
        <f>(J659*$D$677-J663)/(Inputs!$D$7+$D$678)^J652</f>
        <v>531.4543785819003</v>
      </c>
      <c r="K673" s="28">
        <f>(K659*$D$677-K663)/(Inputs!$D$7+$D$678)^K652</f>
        <v>458.19687128350449</v>
      </c>
      <c r="L673" s="28">
        <f>(L659*$D$677-L663)/(Inputs!$D$7+$D$678)^L652</f>
        <v>395.03743183788401</v>
      </c>
      <c r="M673" s="28">
        <f>(M659*$D$677-M663)/(Inputs!$D$7+$D$678)^M652</f>
        <v>340.44573883180209</v>
      </c>
    </row>
    <row r="674" spans="2:13" ht="15" customHeight="1" x14ac:dyDescent="0.2">
      <c r="B674" s="10" t="s">
        <v>911</v>
      </c>
      <c r="C674" s="10" t="s">
        <v>110</v>
      </c>
      <c r="D674" s="16">
        <f>(-D661-D662)/(Inputs!$D$7+$D$678)^D652</f>
        <v>-6704.7090607969039</v>
      </c>
      <c r="E674" s="16">
        <f>(-E661-E662)/(Inputs!$D$7+$D$678)^E652</f>
        <v>-14445.4009031226</v>
      </c>
      <c r="F674" s="16">
        <f>(-F661-F662)/(Inputs!$D$7+$D$678)^F652</f>
        <v>-13699.616639717549</v>
      </c>
      <c r="G674" s="16">
        <f>(-G661-G662)/(Inputs!$D$7+$D$678)^G652</f>
        <v>-14941.671835349038</v>
      </c>
      <c r="H674" s="16">
        <f>(-H661-H662)/(Inputs!$D$7+$D$678)^H652</f>
        <v>-15113.052884793095</v>
      </c>
      <c r="I674" s="16">
        <f>(-I661-I662)/(Inputs!$D$7+$D$678)^I652</f>
        <v>-7629.8523795762403</v>
      </c>
      <c r="J674" s="16">
        <f>(-J661-J662)/(Inputs!$D$7+$D$678)^J652</f>
        <v>-7235.9398897150922</v>
      </c>
      <c r="K674" s="16">
        <f>(-K661-K662)/(Inputs!$D$7+$D$678)^K652</f>
        <v>-7928.612006570077</v>
      </c>
      <c r="L674" s="16">
        <f>(-L661-L662)/(Inputs!$D$7+$D$678)^L652</f>
        <v>-8067.8621519509534</v>
      </c>
      <c r="M674" s="16">
        <f>(-M661-M662)/(Inputs!$D$7+$D$678)^M652</f>
        <v>-4213.8995473821142</v>
      </c>
    </row>
    <row r="675" spans="2:13" ht="15" customHeight="1" x14ac:dyDescent="0.2">
      <c r="B675" s="10" t="s">
        <v>912</v>
      </c>
      <c r="C675" s="10" t="s">
        <v>110</v>
      </c>
      <c r="D675" s="16">
        <f>Prices!I8</f>
        <v>32775</v>
      </c>
    </row>
    <row r="676" spans="2:13" ht="15" customHeight="1" x14ac:dyDescent="0.2">
      <c r="B676" s="3" t="s">
        <v>913</v>
      </c>
      <c r="C676" s="10" t="s">
        <v>914</v>
      </c>
      <c r="D676" s="28">
        <f>IF(J683&gt;=J679,J683,(D675-J682)/J681)</f>
        <v>30.985316716741391</v>
      </c>
      <c r="G676" s="99" t="s">
        <v>915</v>
      </c>
      <c r="H676" s="91"/>
      <c r="I676" s="91"/>
      <c r="J676" s="28">
        <f>D676*Inputs!$D$15</f>
        <v>21.624652536613816</v>
      </c>
      <c r="K676" s="99" t="s">
        <v>916</v>
      </c>
      <c r="L676" s="91"/>
      <c r="M676" s="91"/>
    </row>
    <row r="677" spans="2:13" ht="15" customHeight="1" x14ac:dyDescent="0.2">
      <c r="B677" s="10" t="s">
        <v>917</v>
      </c>
      <c r="C677" s="10" t="s">
        <v>104</v>
      </c>
      <c r="D677" s="30">
        <f>Inputs!$D$107</f>
        <v>0.9</v>
      </c>
      <c r="G677" s="99" t="s">
        <v>918</v>
      </c>
      <c r="H677" s="91"/>
      <c r="I677" s="91"/>
      <c r="J677" s="28">
        <f>IF(-D688/D687&gt;=J679,-D688/D687,-J682/J681)</f>
        <v>24.024174528419383</v>
      </c>
      <c r="K677" s="99" t="s">
        <v>919</v>
      </c>
      <c r="L677" s="91"/>
      <c r="M677" s="91"/>
    </row>
    <row r="678" spans="2:13" ht="15" customHeight="1" x14ac:dyDescent="0.2">
      <c r="B678" s="10" t="s">
        <v>920</v>
      </c>
      <c r="C678" s="10" t="s">
        <v>104</v>
      </c>
      <c r="D678" s="30">
        <f>Inputs!$D$108</f>
        <v>0.16</v>
      </c>
      <c r="G678" s="99" t="s">
        <v>918</v>
      </c>
      <c r="H678" s="91"/>
      <c r="I678" s="91"/>
      <c r="J678" s="28">
        <f>J677*Inputs!$D$15</f>
        <v>16.766471403383886</v>
      </c>
      <c r="K678" s="99" t="s">
        <v>916</v>
      </c>
      <c r="L678" s="91"/>
      <c r="M678" s="91"/>
    </row>
    <row r="679" spans="2:13" ht="15" customHeight="1" x14ac:dyDescent="0.2">
      <c r="B679" s="3" t="s">
        <v>921</v>
      </c>
      <c r="C679" s="10" t="s">
        <v>848</v>
      </c>
      <c r="D679" s="28">
        <f>Capital!$D$13</f>
        <v>57.347931490590682</v>
      </c>
      <c r="G679" s="99" t="s">
        <v>922</v>
      </c>
      <c r="H679" s="91"/>
      <c r="I679" s="91"/>
      <c r="J679" s="28">
        <f>($D$679/Inputs!$D$21+$D$680/Inputs!$D$22)/$D$677</f>
        <v>16.07538460873031</v>
      </c>
      <c r="K679" s="99" t="s">
        <v>919</v>
      </c>
      <c r="L679" s="91"/>
      <c r="M679" s="91"/>
    </row>
    <row r="680" spans="2:13" ht="15" customHeight="1" x14ac:dyDescent="0.2">
      <c r="B680" s="3" t="s">
        <v>923</v>
      </c>
      <c r="C680" s="10" t="s">
        <v>848</v>
      </c>
      <c r="D680" s="28">
        <f>Capital!$D$14</f>
        <v>2.6172655041921802</v>
      </c>
    </row>
    <row r="681" spans="2:13" ht="15" customHeight="1" x14ac:dyDescent="0.2">
      <c r="B681" s="10" t="s">
        <v>924</v>
      </c>
      <c r="C681" s="10" t="s">
        <v>896</v>
      </c>
      <c r="D681" s="28">
        <f>(M654*(Inputs!$D$7+Inputs!$D$20)*$D$677*(Inputs!$D$7-Inputs!$D$19)-M654*Inputs!$D$20*Inputs!$D$23)/($D$678-Inputs!$D$20)/(Inputs!$D$7+$D$678)^M652</f>
        <v>1807.6547922951956</v>
      </c>
      <c r="G681" s="92" t="s">
        <v>910</v>
      </c>
      <c r="H681" s="91"/>
      <c r="I681" s="91"/>
      <c r="J681" s="28">
        <f>SUM(D673:M673)+(M654*(Inputs!$D$7+Inputs!$D$20)*$D$677-M654*Inputs!$D$20*Inputs!$D$23)/($D$678-Inputs!$D$20)/(Inputs!$D$7+$D$678)^M652</f>
        <v>6737.5559875731687</v>
      </c>
      <c r="K681" s="99" t="s">
        <v>896</v>
      </c>
      <c r="L681" s="91"/>
      <c r="M681" s="91"/>
    </row>
    <row r="682" spans="2:13" ht="15" customHeight="1" x14ac:dyDescent="0.2">
      <c r="B682" s="10" t="s">
        <v>925</v>
      </c>
      <c r="C682" s="10" t="s">
        <v>110</v>
      </c>
      <c r="D682" s="16">
        <f>(D685*Inputs!$D$19-D685-D686)/($D$678-Inputs!$D$20)/(Inputs!$D$7+$D$678)^M652</f>
        <v>-33287.494112345899</v>
      </c>
      <c r="G682" s="92" t="s">
        <v>926</v>
      </c>
      <c r="H682" s="91"/>
      <c r="I682" s="91"/>
      <c r="J682" s="16">
        <f>SUM(D674:M674)-(D685+D686)/($D$678-Inputs!$D$20)/(Inputs!$D$7+$D$678)^M652</f>
        <v>-145733.9249554922</v>
      </c>
      <c r="K682" s="99" t="s">
        <v>110</v>
      </c>
      <c r="L682" s="91"/>
      <c r="M682" s="91"/>
    </row>
    <row r="683" spans="2:13" ht="15" customHeight="1" x14ac:dyDescent="0.2">
      <c r="B683" s="10" t="s">
        <v>927</v>
      </c>
      <c r="C683" s="10" t="s">
        <v>928</v>
      </c>
      <c r="D683" s="16">
        <f>(M654*(Inputs!$D$7+Inputs!$D$20)*$D$676*$D$677-D685)-MAX((M654*(Inputs!$D$7+Inputs!$D$20)*$D$676*$D$677-D685),Inputs!$D$6)*Inputs!$D$19-D686-M654*Inputs!$D$20*$D$676*Inputs!$D$23</f>
        <v>12975.348657488987</v>
      </c>
      <c r="G683" s="99" t="s">
        <v>929</v>
      </c>
      <c r="H683" s="91"/>
      <c r="I683" s="91"/>
      <c r="J683" s="28">
        <f>(D675-D688)/D687</f>
        <v>30.985316716741391</v>
      </c>
      <c r="K683" s="99" t="s">
        <v>919</v>
      </c>
      <c r="L683" s="91"/>
      <c r="M683" s="91"/>
    </row>
    <row r="684" spans="2:13" ht="15" customHeight="1" x14ac:dyDescent="0.2">
      <c r="B684" s="10" t="s">
        <v>930</v>
      </c>
      <c r="C684" s="10" t="s">
        <v>110</v>
      </c>
      <c r="D684" s="16">
        <f>D683/($D$678-Inputs!$D$20)</f>
        <v>96113.693759177666</v>
      </c>
      <c r="G684" s="99" t="s">
        <v>931</v>
      </c>
      <c r="H684" s="91"/>
      <c r="I684" s="91"/>
      <c r="J684" s="16">
        <f>MIN(D668:M668,(M654*(Inputs!$D$7+Inputs!$D$20)*$D$676*$D$677-D685))</f>
        <v>1037.1346325062345</v>
      </c>
      <c r="K684" s="99" t="s">
        <v>110</v>
      </c>
      <c r="L684" s="91"/>
      <c r="M684" s="91"/>
    </row>
    <row r="685" spans="2:13" ht="15" customHeight="1" x14ac:dyDescent="0.2">
      <c r="B685" s="10" t="s">
        <v>932</v>
      </c>
      <c r="C685" s="10" t="s">
        <v>928</v>
      </c>
      <c r="D685" s="16">
        <f>M654*(Inputs!$D$7+Inputs!$D$20)*($D$679/Inputs!$D$21+$D$680/Inputs!$D$22)</f>
        <v>23727.267682485937</v>
      </c>
      <c r="G685" s="99" t="s">
        <v>933</v>
      </c>
      <c r="H685" s="91"/>
      <c r="I685" s="91"/>
      <c r="J685" s="31" t="str">
        <f>IF(J684&lt;Inputs!$D$6,"breached","satisfied")</f>
        <v>satisfied</v>
      </c>
      <c r="K685" s="99" t="s">
        <v>934</v>
      </c>
      <c r="L685" s="91"/>
      <c r="M685" s="91"/>
    </row>
    <row r="686" spans="2:13" ht="15" customHeight="1" x14ac:dyDescent="0.2">
      <c r="B686" s="10" t="s">
        <v>935</v>
      </c>
      <c r="C686" s="10" t="s">
        <v>928</v>
      </c>
      <c r="D686" s="16">
        <f>M654*Inputs!$D$20*($D$679+$D$680)</f>
        <v>2398.6078797913146</v>
      </c>
    </row>
    <row r="687" spans="2:13" ht="15" customHeight="1" x14ac:dyDescent="0.2">
      <c r="B687" s="10" t="s">
        <v>936</v>
      </c>
      <c r="C687" s="10" t="s">
        <v>896</v>
      </c>
      <c r="D687" s="28">
        <f>SUM(D664:M664)+D681</f>
        <v>4708.2790601495317</v>
      </c>
      <c r="G687" s="99" t="s">
        <v>937</v>
      </c>
      <c r="H687" s="91"/>
      <c r="I687" s="91"/>
      <c r="J687" s="16">
        <f>D689-D675</f>
        <v>0</v>
      </c>
      <c r="K687" s="99" t="s">
        <v>110</v>
      </c>
      <c r="L687" s="91"/>
      <c r="M687" s="91"/>
    </row>
    <row r="688" spans="2:13" ht="15" customHeight="1" x14ac:dyDescent="0.2">
      <c r="B688" s="10" t="s">
        <v>938</v>
      </c>
      <c r="C688" s="10" t="s">
        <v>110</v>
      </c>
      <c r="D688" s="16">
        <f>SUM(D665:M665)+D682</f>
        <v>-113112.51786953473</v>
      </c>
    </row>
    <row r="689" spans="1:13" ht="15" customHeight="1" x14ac:dyDescent="0.2">
      <c r="B689" s="10" t="s">
        <v>939</v>
      </c>
      <c r="C689" s="10" t="s">
        <v>110</v>
      </c>
      <c r="D689" s="16">
        <f>SUM(D672:M672)+D684/(Inputs!$D$7+$D$678)^M652</f>
        <v>32775.000000000015</v>
      </c>
    </row>
    <row r="690" spans="1:13" ht="15" customHeight="1" x14ac:dyDescent="0.2">
      <c r="B690" s="10" t="s">
        <v>940</v>
      </c>
      <c r="C690" s="10" t="s">
        <v>104</v>
      </c>
      <c r="D690" s="30">
        <f>IF(ABS(D675)&gt;Inputs!$D$6,D689/D675-Inputs!$D$7,Inputs!$D$6)</f>
        <v>4.4408920985006262E-16</v>
      </c>
    </row>
    <row r="691" spans="1:13" ht="15" customHeight="1" x14ac:dyDescent="0.2">
      <c r="B691" s="10" t="s">
        <v>941</v>
      </c>
      <c r="C691" s="10" t="s">
        <v>104</v>
      </c>
      <c r="D691" s="30">
        <f>IF(ABS(D689)&gt;Inputs!$D$119,D684/(Inputs!$D$7+$D$678)^M652/D689,Inputs!$D$6)</f>
        <v>0.69331082048683768</v>
      </c>
    </row>
    <row r="692" spans="1:13" ht="15" customHeight="1" x14ac:dyDescent="0.2">
      <c r="B692" s="10" t="s">
        <v>942</v>
      </c>
      <c r="C692" s="10" t="s">
        <v>943</v>
      </c>
      <c r="D692" s="26">
        <f>$D$676*Inputs!$D$8/Prices!$P$6/(Inputs!$D$26/Inputs!$D$25)/Inputs!$D$11/Inputs!$D$56</f>
        <v>5.6347739635309972</v>
      </c>
    </row>
    <row r="696" spans="1:13" ht="15" customHeight="1" x14ac:dyDescent="0.2">
      <c r="A696" s="104" t="s">
        <v>958</v>
      </c>
      <c r="B696" s="10" t="s">
        <v>886</v>
      </c>
      <c r="C696" s="10" t="s">
        <v>107</v>
      </c>
      <c r="D696" s="28">
        <f>Inputs!$D$60</f>
        <v>1</v>
      </c>
      <c r="E696" s="28">
        <f>Inputs!$D$62</f>
        <v>2</v>
      </c>
      <c r="F696" s="28">
        <f>Inputs!$D$64</f>
        <v>3</v>
      </c>
      <c r="G696" s="28">
        <f>Inputs!$D$66</f>
        <v>4</v>
      </c>
      <c r="H696" s="28">
        <f>Inputs!$D$68</f>
        <v>5</v>
      </c>
      <c r="I696" s="28">
        <f>Inputs!$D$70</f>
        <v>6</v>
      </c>
      <c r="J696" s="28">
        <f>Inputs!$D$72</f>
        <v>7</v>
      </c>
      <c r="K696" s="28">
        <f>Inputs!$D$74</f>
        <v>8</v>
      </c>
      <c r="L696" s="28">
        <f>Inputs!$D$76</f>
        <v>9</v>
      </c>
      <c r="M696" s="28">
        <f>Inputs!$D$78</f>
        <v>10</v>
      </c>
    </row>
    <row r="697" spans="1:13" ht="15" customHeight="1" x14ac:dyDescent="0.2">
      <c r="A697" s="91"/>
      <c r="B697" s="10" t="s">
        <v>887</v>
      </c>
      <c r="C697" s="10" t="s">
        <v>161</v>
      </c>
      <c r="D697" s="29">
        <f>Inputs!$D$61</f>
        <v>46568</v>
      </c>
      <c r="E697" s="29">
        <f>Inputs!$D$63</f>
        <v>46934</v>
      </c>
      <c r="F697" s="29">
        <f>Inputs!$D$65</f>
        <v>47299</v>
      </c>
      <c r="G697" s="29">
        <f>Inputs!$D$67</f>
        <v>47664</v>
      </c>
      <c r="H697" s="29">
        <f>Inputs!$D$69</f>
        <v>48029</v>
      </c>
      <c r="I697" s="29">
        <f>Inputs!$D$71</f>
        <v>48395</v>
      </c>
      <c r="J697" s="29">
        <f>Inputs!$D$73</f>
        <v>48760</v>
      </c>
      <c r="K697" s="29">
        <f>Inputs!$D$75</f>
        <v>49125</v>
      </c>
      <c r="L697" s="29">
        <f>Inputs!$D$77</f>
        <v>49490</v>
      </c>
      <c r="M697" s="29">
        <f>Inputs!$D$79</f>
        <v>49856</v>
      </c>
    </row>
    <row r="698" spans="1:13" ht="15" customHeight="1" x14ac:dyDescent="0.2">
      <c r="A698" s="91"/>
      <c r="B698" s="10" t="s">
        <v>888</v>
      </c>
      <c r="C698" s="10" t="s">
        <v>107</v>
      </c>
      <c r="D698" s="28">
        <f>(D697-Inputs!$D$13)/Inputs!$D$10</f>
        <v>0.71457905544147848</v>
      </c>
      <c r="E698" s="28">
        <f>(E697-Inputs!$D$13)/Inputs!$D$10</f>
        <v>1.7166324435318274</v>
      </c>
      <c r="F698" s="28">
        <f>(F697-Inputs!$D$13)/Inputs!$D$10</f>
        <v>2.7159479808350446</v>
      </c>
      <c r="G698" s="28">
        <f>(G697-Inputs!$D$13)/Inputs!$D$10</f>
        <v>3.7152635181382614</v>
      </c>
      <c r="H698" s="28">
        <f>(H697-Inputs!$D$13)/Inputs!$D$10</f>
        <v>4.7145790554414786</v>
      </c>
      <c r="I698" s="28">
        <f>(I697-Inputs!$D$13)/Inputs!$D$10</f>
        <v>5.7166324435318279</v>
      </c>
      <c r="J698" s="28">
        <f>(J697-Inputs!$D$13)/Inputs!$D$10</f>
        <v>6.7159479808350442</v>
      </c>
      <c r="K698" s="28">
        <f>(K697-Inputs!$D$13)/Inputs!$D$10</f>
        <v>7.7152635181382614</v>
      </c>
      <c r="L698" s="28">
        <f>(L697-Inputs!$D$13)/Inputs!$D$10</f>
        <v>8.7145790554414777</v>
      </c>
      <c r="M698" s="28">
        <f>(M697-Inputs!$D$13)/Inputs!$D$10</f>
        <v>9.716632443531827</v>
      </c>
    </row>
    <row r="699" spans="1:13" ht="15" customHeight="1" x14ac:dyDescent="0.2">
      <c r="A699" s="91"/>
      <c r="B699" s="10" t="s">
        <v>889</v>
      </c>
      <c r="C699" s="10" t="s">
        <v>107</v>
      </c>
      <c r="D699" s="28">
        <f>D698</f>
        <v>0.71457905544147848</v>
      </c>
      <c r="E699" s="28">
        <f>Inputs!$D$7</f>
        <v>1</v>
      </c>
      <c r="F699" s="28">
        <f>Inputs!$D$7</f>
        <v>1</v>
      </c>
      <c r="G699" s="28">
        <f>Inputs!$D$7</f>
        <v>1</v>
      </c>
      <c r="H699" s="28">
        <f>Inputs!$D$7</f>
        <v>1</v>
      </c>
      <c r="I699" s="28">
        <f>Inputs!$D$7</f>
        <v>1</v>
      </c>
      <c r="J699" s="28">
        <f>Inputs!$D$7</f>
        <v>1</v>
      </c>
      <c r="K699" s="28">
        <f>Inputs!$D$7</f>
        <v>1</v>
      </c>
      <c r="L699" s="28">
        <f>Inputs!$D$7</f>
        <v>1</v>
      </c>
      <c r="M699" s="28">
        <f>Inputs!$D$7</f>
        <v>1</v>
      </c>
    </row>
    <row r="700" spans="1:13" ht="15" customHeight="1" x14ac:dyDescent="0.2">
      <c r="A700" s="91"/>
      <c r="B700" s="3" t="s">
        <v>890</v>
      </c>
      <c r="C700" s="10" t="s">
        <v>199</v>
      </c>
      <c r="D700" s="28">
        <f>Inputs!$D$24+(Inputs!$D$80-Inputs!$D$24)*Inputs!$D$83</f>
        <v>305.5</v>
      </c>
      <c r="E700" s="28">
        <f>Inputs!$D$24+(Inputs!$D$80-Inputs!$D$24)*Inputs!$D$84</f>
        <v>651.5</v>
      </c>
      <c r="F700" s="28">
        <f>Inputs!$D$24+(Inputs!$D$80-Inputs!$D$24)*Inputs!$D$85</f>
        <v>911</v>
      </c>
      <c r="G700" s="28">
        <f>Inputs!$D$24+(Inputs!$D$80-Inputs!$D$24)*Inputs!$D$86</f>
        <v>911</v>
      </c>
      <c r="H700" s="28">
        <f>Inputs!$D$24+(Inputs!$D$80-Inputs!$D$24)*Inputs!$D$87</f>
        <v>911</v>
      </c>
      <c r="I700" s="28">
        <f>Inputs!$D$24+(Inputs!$D$80-Inputs!$D$24)*Inputs!$D$88</f>
        <v>911</v>
      </c>
      <c r="J700" s="28">
        <f>Inputs!$D$24+(Inputs!$D$80-Inputs!$D$24)*Inputs!$D$89</f>
        <v>911</v>
      </c>
      <c r="K700" s="28">
        <f>Inputs!$D$24+(Inputs!$D$80-Inputs!$D$24)*Inputs!$D$90</f>
        <v>911</v>
      </c>
      <c r="L700" s="28">
        <f>Inputs!$D$24+(Inputs!$D$80-Inputs!$D$24)*Inputs!$D$91</f>
        <v>911</v>
      </c>
      <c r="M700" s="28">
        <f>Inputs!$D$24+(Inputs!$D$80-Inputs!$D$24)*Inputs!$D$92</f>
        <v>911</v>
      </c>
    </row>
    <row r="701" spans="1:13" ht="15" customHeight="1" x14ac:dyDescent="0.2">
      <c r="A701" s="91"/>
      <c r="B701" s="10" t="s">
        <v>891</v>
      </c>
      <c r="C701" s="10" t="s">
        <v>199</v>
      </c>
      <c r="D701" s="28">
        <f>Inputs!$D$24</f>
        <v>46</v>
      </c>
      <c r="E701" s="28">
        <f t="shared" ref="E701:M701" si="150">D700</f>
        <v>305.5</v>
      </c>
      <c r="F701" s="28">
        <f t="shared" si="150"/>
        <v>651.5</v>
      </c>
      <c r="G701" s="28">
        <f t="shared" si="150"/>
        <v>911</v>
      </c>
      <c r="H701" s="28">
        <f t="shared" si="150"/>
        <v>911</v>
      </c>
      <c r="I701" s="28">
        <f t="shared" si="150"/>
        <v>911</v>
      </c>
      <c r="J701" s="28">
        <f t="shared" si="150"/>
        <v>911</v>
      </c>
      <c r="K701" s="28">
        <f t="shared" si="150"/>
        <v>911</v>
      </c>
      <c r="L701" s="28">
        <f t="shared" si="150"/>
        <v>911</v>
      </c>
      <c r="M701" s="28">
        <f t="shared" si="150"/>
        <v>911</v>
      </c>
    </row>
    <row r="702" spans="1:13" ht="15" customHeight="1" x14ac:dyDescent="0.2">
      <c r="B702" s="10" t="s">
        <v>892</v>
      </c>
      <c r="C702" s="10" t="s">
        <v>199</v>
      </c>
      <c r="D702" s="28">
        <f>(D701+D700)*Inputs!$D$12</f>
        <v>175.75</v>
      </c>
      <c r="E702" s="28">
        <f>(E701+E700)*Inputs!$D$12</f>
        <v>478.5</v>
      </c>
      <c r="F702" s="28">
        <f>(F701+F700)*Inputs!$D$12</f>
        <v>781.25</v>
      </c>
      <c r="G702" s="28">
        <f>(G701+G700)*Inputs!$D$12</f>
        <v>911</v>
      </c>
      <c r="H702" s="28">
        <f>(H701+H700)*Inputs!$D$12</f>
        <v>911</v>
      </c>
      <c r="I702" s="28">
        <f>(I701+I700)*Inputs!$D$12</f>
        <v>911</v>
      </c>
      <c r="J702" s="28">
        <f>(J701+J700)*Inputs!$D$12</f>
        <v>911</v>
      </c>
      <c r="K702" s="28">
        <f>(K701+K700)*Inputs!$D$12</f>
        <v>911</v>
      </c>
      <c r="L702" s="28">
        <f>(L701+L700)*Inputs!$D$12</f>
        <v>911</v>
      </c>
      <c r="M702" s="28">
        <f>(M701+M700)*Inputs!$D$12</f>
        <v>911</v>
      </c>
    </row>
    <row r="703" spans="1:13" ht="15" customHeight="1" x14ac:dyDescent="0.2">
      <c r="B703" s="10" t="s">
        <v>893</v>
      </c>
      <c r="C703" s="10" t="s">
        <v>199</v>
      </c>
      <c r="D703" s="28">
        <f t="shared" ref="D703:M703" si="151">D700-D701</f>
        <v>259.5</v>
      </c>
      <c r="E703" s="28">
        <f t="shared" si="151"/>
        <v>346</v>
      </c>
      <c r="F703" s="28">
        <f t="shared" si="151"/>
        <v>259.5</v>
      </c>
      <c r="G703" s="28">
        <f t="shared" si="151"/>
        <v>0</v>
      </c>
      <c r="H703" s="28">
        <f t="shared" si="151"/>
        <v>0</v>
      </c>
      <c r="I703" s="28">
        <f t="shared" si="151"/>
        <v>0</v>
      </c>
      <c r="J703" s="28">
        <f t="shared" si="151"/>
        <v>0</v>
      </c>
      <c r="K703" s="28">
        <f t="shared" si="151"/>
        <v>0</v>
      </c>
      <c r="L703" s="28">
        <f t="shared" si="151"/>
        <v>0</v>
      </c>
      <c r="M703" s="28">
        <f t="shared" si="151"/>
        <v>0</v>
      </c>
    </row>
    <row r="704" spans="1:13" ht="15" customHeight="1" x14ac:dyDescent="0.2">
      <c r="B704" s="10" t="s">
        <v>894</v>
      </c>
      <c r="C704" s="10" t="s">
        <v>199</v>
      </c>
      <c r="D704" s="28">
        <f>IF(MOD(D696,Inputs!$D$21)=Inputs!$D$6,Inputs!$D$24,Inputs!$D$6)+SUMPRODUCT(--(D696&gt;$D$696:$M$696),--(MOD(D696-$D$696:$M$696,Inputs!$D$21)=Inputs!$D$6),$D$703:$M$703)</f>
        <v>0</v>
      </c>
      <c r="E704" s="28">
        <f>IF(MOD(E696,Inputs!$D$21)=Inputs!$D$6,Inputs!$D$24,Inputs!$D$6)+SUMPRODUCT(--(E696&gt;$D$696:$M$696),--(MOD(E696-$D$696:$M$696,Inputs!$D$21)=Inputs!$D$6),$D$703:$M$703)</f>
        <v>0</v>
      </c>
      <c r="F704" s="28">
        <f>IF(MOD(F696,Inputs!$D$21)=Inputs!$D$6,Inputs!$D$24,Inputs!$D$6)+SUMPRODUCT(--(F696&gt;$D$696:$M$696),--(MOD(F696-$D$696:$M$696,Inputs!$D$21)=Inputs!$D$6),$D$703:$M$703)</f>
        <v>0</v>
      </c>
      <c r="G704" s="28">
        <f>IF(MOD(G696,Inputs!$D$21)=Inputs!$D$6,Inputs!$D$24,Inputs!$D$6)+SUMPRODUCT(--(G696&gt;$D$696:$M$696),--(MOD(G696-$D$696:$M$696,Inputs!$D$21)=Inputs!$D$6),$D$703:$M$703)</f>
        <v>46</v>
      </c>
      <c r="H704" s="28">
        <f>IF(MOD(H696,Inputs!$D$21)=Inputs!$D$6,Inputs!$D$24,Inputs!$D$6)+SUMPRODUCT(--(H696&gt;$D$696:$M$696),--(MOD(H696-$D$696:$M$696,Inputs!$D$21)=Inputs!$D$6),$D$703:$M$703)</f>
        <v>259.5</v>
      </c>
      <c r="I704" s="28">
        <f>IF(MOD(I696,Inputs!$D$21)=Inputs!$D$6,Inputs!$D$24,Inputs!$D$6)+SUMPRODUCT(--(I696&gt;$D$696:$M$696),--(MOD(I696-$D$696:$M$696,Inputs!$D$21)=Inputs!$D$6),$D$703:$M$703)</f>
        <v>346</v>
      </c>
      <c r="J704" s="28">
        <f>IF(MOD(J696,Inputs!$D$21)=Inputs!$D$6,Inputs!$D$24,Inputs!$D$6)+SUMPRODUCT(--(J696&gt;$D$696:$M$696),--(MOD(J696-$D$696:$M$696,Inputs!$D$21)=Inputs!$D$6),$D$703:$M$703)</f>
        <v>259.5</v>
      </c>
      <c r="K704" s="28">
        <f>IF(MOD(K696,Inputs!$D$21)=Inputs!$D$6,Inputs!$D$24,Inputs!$D$6)+SUMPRODUCT(--(K696&gt;$D$696:$M$696),--(MOD(K696-$D$696:$M$696,Inputs!$D$21)=Inputs!$D$6),$D$703:$M$703)</f>
        <v>46</v>
      </c>
      <c r="L704" s="28">
        <f>IF(MOD(L696,Inputs!$D$21)=Inputs!$D$6,Inputs!$D$24,Inputs!$D$6)+SUMPRODUCT(--(L696&gt;$D$696:$M$696),--(MOD(L696-$D$696:$M$696,Inputs!$D$21)=Inputs!$D$6),$D$703:$M$703)</f>
        <v>259.5</v>
      </c>
      <c r="M704" s="28">
        <f>IF(MOD(M696,Inputs!$D$21)=Inputs!$D$6,Inputs!$D$24,Inputs!$D$6)+SUMPRODUCT(--(M696&gt;$D$696:$M$696),--(MOD(M696-$D$696:$M$696,Inputs!$D$21)=Inputs!$D$6),$D$703:$M$703)</f>
        <v>346</v>
      </c>
    </row>
    <row r="705" spans="2:13" ht="15" customHeight="1" x14ac:dyDescent="0.2">
      <c r="B705" s="10" t="s">
        <v>895</v>
      </c>
      <c r="C705" s="10" t="s">
        <v>896</v>
      </c>
      <c r="D705" s="28">
        <f t="shared" ref="D705:M705" si="152">D702*D699</f>
        <v>125.58726899383984</v>
      </c>
      <c r="E705" s="28">
        <f t="shared" si="152"/>
        <v>478.5</v>
      </c>
      <c r="F705" s="28">
        <f t="shared" si="152"/>
        <v>781.25</v>
      </c>
      <c r="G705" s="28">
        <f t="shared" si="152"/>
        <v>911</v>
      </c>
      <c r="H705" s="28">
        <f t="shared" si="152"/>
        <v>911</v>
      </c>
      <c r="I705" s="28">
        <f t="shared" si="152"/>
        <v>911</v>
      </c>
      <c r="J705" s="28">
        <f t="shared" si="152"/>
        <v>911</v>
      </c>
      <c r="K705" s="28">
        <f t="shared" si="152"/>
        <v>911</v>
      </c>
      <c r="L705" s="28">
        <f t="shared" si="152"/>
        <v>911</v>
      </c>
      <c r="M705" s="28">
        <f t="shared" si="152"/>
        <v>911</v>
      </c>
    </row>
    <row r="706" spans="2:13" ht="15" customHeight="1" x14ac:dyDescent="0.2">
      <c r="B706" s="10" t="s">
        <v>897</v>
      </c>
      <c r="C706" s="10" t="s">
        <v>110</v>
      </c>
      <c r="D706" s="16">
        <f>D705*($D$725/Inputs!$D$21+$D$726/Inputs!$D$22)</f>
        <v>1816.9772859324419</v>
      </c>
      <c r="E706" s="16">
        <f>E705*($D$725/Inputs!$D$21+$D$726/Inputs!$D$22)</f>
        <v>6922.8643817497086</v>
      </c>
      <c r="F706" s="16">
        <f>F705*($D$725/Inputs!$D$21+$D$726/Inputs!$D$22)</f>
        <v>11303.0048030135</v>
      </c>
      <c r="G706" s="16">
        <f>G705*($D$725/Inputs!$D$21+$D$726/Inputs!$D$22)</f>
        <v>13180.207840697982</v>
      </c>
      <c r="H706" s="16">
        <f>H705*($D$725/Inputs!$D$21+$D$726/Inputs!$D$22)</f>
        <v>13180.207840697982</v>
      </c>
      <c r="I706" s="16">
        <f>I705*($D$725/Inputs!$D$21+$D$726/Inputs!$D$22)</f>
        <v>13180.207840697982</v>
      </c>
      <c r="J706" s="16">
        <f>J705*($D$725/Inputs!$D$21+$D$726/Inputs!$D$22)</f>
        <v>13180.207840697982</v>
      </c>
      <c r="K706" s="16">
        <f>K705*($D$725/Inputs!$D$21+$D$726/Inputs!$D$22)</f>
        <v>13180.207840697982</v>
      </c>
      <c r="L706" s="16">
        <f>L705*($D$725/Inputs!$D$21+$D$726/Inputs!$D$22)</f>
        <v>13180.207840697982</v>
      </c>
      <c r="M706" s="16">
        <f>M705*($D$725/Inputs!$D$21+$D$726/Inputs!$D$22)</f>
        <v>13180.207840697982</v>
      </c>
    </row>
    <row r="707" spans="2:13" ht="15" customHeight="1" x14ac:dyDescent="0.2">
      <c r="B707" s="10" t="s">
        <v>898</v>
      </c>
      <c r="C707" s="10" t="s">
        <v>110</v>
      </c>
      <c r="D707" s="16">
        <f t="shared" ref="D707:M707" si="153">D703*($D$725+$D$726)</f>
        <v>15560.968620146154</v>
      </c>
      <c r="E707" s="16">
        <f t="shared" si="153"/>
        <v>20747.95816019487</v>
      </c>
      <c r="F707" s="16">
        <f t="shared" si="153"/>
        <v>15560.968620146154</v>
      </c>
      <c r="G707" s="16">
        <f t="shared" si="153"/>
        <v>0</v>
      </c>
      <c r="H707" s="16">
        <f t="shared" si="153"/>
        <v>0</v>
      </c>
      <c r="I707" s="16">
        <f t="shared" si="153"/>
        <v>0</v>
      </c>
      <c r="J707" s="16">
        <f t="shared" si="153"/>
        <v>0</v>
      </c>
      <c r="K707" s="16">
        <f t="shared" si="153"/>
        <v>0</v>
      </c>
      <c r="L707" s="16">
        <f t="shared" si="153"/>
        <v>0</v>
      </c>
      <c r="M707" s="16">
        <f t="shared" si="153"/>
        <v>0</v>
      </c>
    </row>
    <row r="708" spans="2:13" ht="15" customHeight="1" x14ac:dyDescent="0.2">
      <c r="B708" s="10" t="s">
        <v>899</v>
      </c>
      <c r="C708" s="10" t="s">
        <v>110</v>
      </c>
      <c r="D708" s="16">
        <f t="shared" ref="D708:M708" si="154">D704*$D$725</f>
        <v>0</v>
      </c>
      <c r="E708" s="16">
        <f t="shared" si="154"/>
        <v>0</v>
      </c>
      <c r="F708" s="16">
        <f t="shared" si="154"/>
        <v>0</v>
      </c>
      <c r="G708" s="16">
        <f t="shared" si="154"/>
        <v>2638.0048485671714</v>
      </c>
      <c r="H708" s="16">
        <f t="shared" si="154"/>
        <v>14881.788221808281</v>
      </c>
      <c r="I708" s="16">
        <f t="shared" si="154"/>
        <v>19842.384295744378</v>
      </c>
      <c r="J708" s="16">
        <f t="shared" si="154"/>
        <v>14881.788221808281</v>
      </c>
      <c r="K708" s="16">
        <f t="shared" si="154"/>
        <v>2638.0048485671714</v>
      </c>
      <c r="L708" s="16">
        <f t="shared" si="154"/>
        <v>14881.788221808281</v>
      </c>
      <c r="M708" s="16">
        <f t="shared" si="154"/>
        <v>19842.384295744378</v>
      </c>
    </row>
    <row r="709" spans="2:13" ht="15" customHeight="1" x14ac:dyDescent="0.2">
      <c r="B709" s="10" t="s">
        <v>900</v>
      </c>
      <c r="C709" s="10" t="s">
        <v>199</v>
      </c>
      <c r="D709" s="28">
        <f>D703*Inputs!$D$23</f>
        <v>6.4875000000000007</v>
      </c>
      <c r="E709" s="28">
        <f>E703*Inputs!$D$23</f>
        <v>8.65</v>
      </c>
      <c r="F709" s="28">
        <f>F703*Inputs!$D$23</f>
        <v>6.4875000000000007</v>
      </c>
      <c r="G709" s="28">
        <f>G703*Inputs!$D$23</f>
        <v>0</v>
      </c>
      <c r="H709" s="28">
        <f>H703*Inputs!$D$23</f>
        <v>0</v>
      </c>
      <c r="I709" s="28">
        <f>I703*Inputs!$D$23</f>
        <v>0</v>
      </c>
      <c r="J709" s="28">
        <f>J703*Inputs!$D$23</f>
        <v>0</v>
      </c>
      <c r="K709" s="28">
        <f>K703*Inputs!$D$23</f>
        <v>0</v>
      </c>
      <c r="L709" s="28">
        <f>L703*Inputs!$D$23</f>
        <v>0</v>
      </c>
      <c r="M709" s="28">
        <f>M703*Inputs!$D$23</f>
        <v>0</v>
      </c>
    </row>
    <row r="710" spans="2:13" ht="15" customHeight="1" x14ac:dyDescent="0.2">
      <c r="B710" s="3" t="s">
        <v>901</v>
      </c>
      <c r="C710" s="10" t="s">
        <v>896</v>
      </c>
      <c r="D710" s="28">
        <f>(D705*$D$723*(Inputs!$D$7-Inputs!$D$19)-D709)/(Inputs!$D$7+$D$724)^D698</f>
        <v>43.213488846686175</v>
      </c>
      <c r="E710" s="28">
        <f>(E705*$D$723*(Inputs!$D$7-Inputs!$D$19)-E709)/(Inputs!$D$7+$D$724)^E698</f>
        <v>163.29332190458183</v>
      </c>
      <c r="F710" s="28">
        <f>(F705*$D$723*(Inputs!$D$7-Inputs!$D$19)-F709)/(Inputs!$D$7+$D$724)^F698</f>
        <v>248.28260771010829</v>
      </c>
      <c r="G710" s="28">
        <f>(G705*$D$723*(Inputs!$D$7-Inputs!$D$19)-G709)/(Inputs!$D$7+$D$724)^G698</f>
        <v>268.5238926419492</v>
      </c>
      <c r="H710" s="28">
        <f>(H705*$D$723*(Inputs!$D$7-Inputs!$D$19)-H709)/(Inputs!$D$7+$D$724)^H698</f>
        <v>244.12855518959191</v>
      </c>
      <c r="I710" s="28">
        <f>(I705*$D$723*(Inputs!$D$7-Inputs!$D$19)-I709)/(Inputs!$D$7+$D$724)^I698</f>
        <v>221.8916197826434</v>
      </c>
      <c r="J710" s="28">
        <f>(J705*$D$723*(Inputs!$D$7-Inputs!$D$19)-J709)/(Inputs!$D$7+$D$724)^J698</f>
        <v>201.73281421346593</v>
      </c>
      <c r="K710" s="28">
        <f>(K705*$D$723*(Inputs!$D$7-Inputs!$D$19)-K709)/(Inputs!$D$7+$D$724)^K698</f>
        <v>183.40543176145695</v>
      </c>
      <c r="L710" s="28">
        <f>(L705*$D$723*(Inputs!$D$7-Inputs!$D$19)-L709)/(Inputs!$D$7+$D$724)^L698</f>
        <v>166.74308803332551</v>
      </c>
      <c r="M710" s="28">
        <f>(M705*$D$723*(Inputs!$D$7-Inputs!$D$19)-M709)/(Inputs!$D$7+$D$724)^M698</f>
        <v>151.55496194429571</v>
      </c>
    </row>
    <row r="711" spans="2:13" ht="15" customHeight="1" x14ac:dyDescent="0.2">
      <c r="B711" s="10" t="s">
        <v>902</v>
      </c>
      <c r="C711" s="10" t="s">
        <v>110</v>
      </c>
      <c r="D711" s="16">
        <f>(D706*Inputs!$D$19-D707-D708)/(Inputs!$D$7+$D$724)^D698</f>
        <v>-14027.24269342025</v>
      </c>
      <c r="E711" s="16">
        <f>(E706*Inputs!$D$19-E707-E708)/(Inputs!$D$7+$D$724)^E698</f>
        <v>-15853.087323826181</v>
      </c>
      <c r="F711" s="16">
        <f>(F706*Inputs!$D$19-F707-F708)/(Inputs!$D$7+$D$724)^F698</f>
        <v>-9394.4767487293357</v>
      </c>
      <c r="G711" s="16">
        <f>(G706*Inputs!$D$19-G707-G708)/(Inputs!$D$7+$D$724)^G698</f>
        <v>923.61320322684639</v>
      </c>
      <c r="H711" s="16">
        <f>(H706*Inputs!$D$19-H707-H708)/(Inputs!$D$7+$D$724)^H698</f>
        <v>-6972.3744918015345</v>
      </c>
      <c r="I711" s="16">
        <f>(I706*Inputs!$D$19-I707-I708)/(Inputs!$D$7+$D$724)^I698</f>
        <v>-9214.0648467907959</v>
      </c>
      <c r="J711" s="16">
        <f>(J706*Inputs!$D$19-J707-J708)/(Inputs!$D$7+$D$724)^J698</f>
        <v>-5761.5411965591911</v>
      </c>
      <c r="K711" s="16">
        <f>(K706*Inputs!$D$19-K707-K708)/(Inputs!$D$7+$D$724)^K698</f>
        <v>630.8402453567694</v>
      </c>
      <c r="L711" s="16">
        <f>(L706*Inputs!$D$19-L707-L708)/(Inputs!$D$7+$D$724)^L698</f>
        <v>-4762.2255937446444</v>
      </c>
      <c r="M711" s="16">
        <f>(M706*Inputs!$D$19-M707-M708)/(Inputs!$D$7+$D$724)^M698</f>
        <v>-6293.3302689644106</v>
      </c>
    </row>
    <row r="712" spans="2:13" ht="15" customHeight="1" x14ac:dyDescent="0.2">
      <c r="B712" s="10" t="s">
        <v>903</v>
      </c>
      <c r="C712" s="10" t="s">
        <v>110</v>
      </c>
      <c r="D712" s="16">
        <f t="shared" ref="D712:M712" si="155">D705*$D$722</f>
        <v>5548.0318343070367</v>
      </c>
      <c r="E712" s="16">
        <f t="shared" si="155"/>
        <v>21138.553724312089</v>
      </c>
      <c r="F712" s="16">
        <f t="shared" si="155"/>
        <v>34513.05140463703</v>
      </c>
      <c r="G712" s="16">
        <f t="shared" si="155"/>
        <v>40244.97898191915</v>
      </c>
      <c r="H712" s="16">
        <f t="shared" si="155"/>
        <v>40244.97898191915</v>
      </c>
      <c r="I712" s="16">
        <f t="shared" si="155"/>
        <v>40244.97898191915</v>
      </c>
      <c r="J712" s="16">
        <f t="shared" si="155"/>
        <v>40244.97898191915</v>
      </c>
      <c r="K712" s="16">
        <f t="shared" si="155"/>
        <v>40244.97898191915</v>
      </c>
      <c r="L712" s="16">
        <f t="shared" si="155"/>
        <v>40244.97898191915</v>
      </c>
      <c r="M712" s="16">
        <f t="shared" si="155"/>
        <v>40244.97898191915</v>
      </c>
    </row>
    <row r="713" spans="2:13" ht="15" customHeight="1" x14ac:dyDescent="0.2">
      <c r="B713" s="10" t="s">
        <v>904</v>
      </c>
      <c r="C713" s="10" t="s">
        <v>110</v>
      </c>
      <c r="D713" s="16">
        <f t="shared" ref="D713:M713" si="156">D712*$D$723</f>
        <v>3328.8191005842218</v>
      </c>
      <c r="E713" s="16">
        <f t="shared" si="156"/>
        <v>12683.132234587252</v>
      </c>
      <c r="F713" s="16">
        <f t="shared" si="156"/>
        <v>20707.830842782216</v>
      </c>
      <c r="G713" s="16">
        <f t="shared" si="156"/>
        <v>24146.987389151491</v>
      </c>
      <c r="H713" s="16">
        <f t="shared" si="156"/>
        <v>24146.987389151491</v>
      </c>
      <c r="I713" s="16">
        <f t="shared" si="156"/>
        <v>24146.987389151491</v>
      </c>
      <c r="J713" s="16">
        <f t="shared" si="156"/>
        <v>24146.987389151491</v>
      </c>
      <c r="K713" s="16">
        <f t="shared" si="156"/>
        <v>24146.987389151491</v>
      </c>
      <c r="L713" s="16">
        <f t="shared" si="156"/>
        <v>24146.987389151491</v>
      </c>
      <c r="M713" s="16">
        <f t="shared" si="156"/>
        <v>24146.987389151491</v>
      </c>
    </row>
    <row r="714" spans="2:13" ht="15" customHeight="1" x14ac:dyDescent="0.2">
      <c r="B714" s="10" t="s">
        <v>905</v>
      </c>
      <c r="C714" s="10" t="s">
        <v>110</v>
      </c>
      <c r="D714" s="16">
        <f t="shared" ref="D714:M714" si="157">D713-D706</f>
        <v>1511.8418146517799</v>
      </c>
      <c r="E714" s="16">
        <f t="shared" si="157"/>
        <v>5760.2678528375436</v>
      </c>
      <c r="F714" s="16">
        <f t="shared" si="157"/>
        <v>9404.8260397687154</v>
      </c>
      <c r="G714" s="16">
        <f t="shared" si="157"/>
        <v>10966.779548453509</v>
      </c>
      <c r="H714" s="16">
        <f t="shared" si="157"/>
        <v>10966.779548453509</v>
      </c>
      <c r="I714" s="16">
        <f t="shared" si="157"/>
        <v>10966.779548453509</v>
      </c>
      <c r="J714" s="16">
        <f t="shared" si="157"/>
        <v>10966.779548453509</v>
      </c>
      <c r="K714" s="16">
        <f t="shared" si="157"/>
        <v>10966.779548453509</v>
      </c>
      <c r="L714" s="16">
        <f t="shared" si="157"/>
        <v>10966.779548453509</v>
      </c>
      <c r="M714" s="16">
        <f t="shared" si="157"/>
        <v>10966.779548453509</v>
      </c>
    </row>
    <row r="715" spans="2:13" ht="15" customHeight="1" x14ac:dyDescent="0.2">
      <c r="B715" s="10" t="s">
        <v>906</v>
      </c>
      <c r="C715" s="10" t="s">
        <v>110</v>
      </c>
      <c r="D715" s="16">
        <f>MAX(D714,Inputs!$D$6)*Inputs!$D$19</f>
        <v>453.55254439553397</v>
      </c>
      <c r="E715" s="16">
        <f>MAX(E714,Inputs!$D$6)*Inputs!$D$19</f>
        <v>1728.080355851263</v>
      </c>
      <c r="F715" s="16">
        <f>MAX(F714,Inputs!$D$6)*Inputs!$D$19</f>
        <v>2821.4478119306145</v>
      </c>
      <c r="G715" s="16">
        <f>MAX(G714,Inputs!$D$6)*Inputs!$D$19</f>
        <v>3290.0338645360525</v>
      </c>
      <c r="H715" s="16">
        <f>MAX(H714,Inputs!$D$6)*Inputs!$D$19</f>
        <v>3290.0338645360525</v>
      </c>
      <c r="I715" s="16">
        <f>MAX(I714,Inputs!$D$6)*Inputs!$D$19</f>
        <v>3290.0338645360525</v>
      </c>
      <c r="J715" s="16">
        <f>MAX(J714,Inputs!$D$6)*Inputs!$D$19</f>
        <v>3290.0338645360525</v>
      </c>
      <c r="K715" s="16">
        <f>MAX(K714,Inputs!$D$6)*Inputs!$D$19</f>
        <v>3290.0338645360525</v>
      </c>
      <c r="L715" s="16">
        <f>MAX(L714,Inputs!$D$6)*Inputs!$D$19</f>
        <v>3290.0338645360525</v>
      </c>
      <c r="M715" s="16">
        <f>MAX(M714,Inputs!$D$6)*Inputs!$D$19</f>
        <v>3290.0338645360525</v>
      </c>
    </row>
    <row r="716" spans="2:13" ht="15" customHeight="1" x14ac:dyDescent="0.2">
      <c r="B716" s="10" t="s">
        <v>907</v>
      </c>
      <c r="C716" s="10" t="s">
        <v>110</v>
      </c>
      <c r="D716" s="16">
        <f t="shared" ref="D716:M716" si="158">D709*$D$722</f>
        <v>286.59637886410593</v>
      </c>
      <c r="E716" s="16">
        <f t="shared" si="158"/>
        <v>382.1285051521412</v>
      </c>
      <c r="F716" s="16">
        <f t="shared" si="158"/>
        <v>286.59637886410593</v>
      </c>
      <c r="G716" s="16">
        <f t="shared" si="158"/>
        <v>0</v>
      </c>
      <c r="H716" s="16">
        <f t="shared" si="158"/>
        <v>0</v>
      </c>
      <c r="I716" s="16">
        <f t="shared" si="158"/>
        <v>0</v>
      </c>
      <c r="J716" s="16">
        <f t="shared" si="158"/>
        <v>0</v>
      </c>
      <c r="K716" s="16">
        <f t="shared" si="158"/>
        <v>0</v>
      </c>
      <c r="L716" s="16">
        <f t="shared" si="158"/>
        <v>0</v>
      </c>
      <c r="M716" s="16">
        <f t="shared" si="158"/>
        <v>0</v>
      </c>
    </row>
    <row r="717" spans="2:13" ht="15" customHeight="1" x14ac:dyDescent="0.2">
      <c r="B717" s="10" t="s">
        <v>908</v>
      </c>
      <c r="C717" s="10" t="s">
        <v>110</v>
      </c>
      <c r="D717" s="16">
        <f t="shared" ref="D717:M717" si="159">D713-D715-D707-D708-D716</f>
        <v>-12972.298442821571</v>
      </c>
      <c r="E717" s="16">
        <f t="shared" si="159"/>
        <v>-10175.034786611022</v>
      </c>
      <c r="F717" s="16">
        <f t="shared" si="159"/>
        <v>2038.8180318413413</v>
      </c>
      <c r="G717" s="16">
        <f t="shared" si="159"/>
        <v>18218.948676048265</v>
      </c>
      <c r="H717" s="16">
        <f t="shared" si="159"/>
        <v>5975.165302807156</v>
      </c>
      <c r="I717" s="16">
        <f t="shared" si="159"/>
        <v>1014.5692288710597</v>
      </c>
      <c r="J717" s="16">
        <f t="shared" si="159"/>
        <v>5975.165302807156</v>
      </c>
      <c r="K717" s="16">
        <f t="shared" si="159"/>
        <v>18218.948676048265</v>
      </c>
      <c r="L717" s="16">
        <f t="shared" si="159"/>
        <v>5975.165302807156</v>
      </c>
      <c r="M717" s="16">
        <f t="shared" si="159"/>
        <v>1014.5692288710597</v>
      </c>
    </row>
    <row r="718" spans="2:13" ht="15" customHeight="1" x14ac:dyDescent="0.2">
      <c r="B718" s="10" t="s">
        <v>909</v>
      </c>
      <c r="C718" s="10" t="s">
        <v>110</v>
      </c>
      <c r="D718" s="16">
        <f>D717/(Inputs!$D$7+$D$724)^D698</f>
        <v>-12118.213110137833</v>
      </c>
      <c r="E718" s="16">
        <f>E717/(Inputs!$D$7+$D$724)^E698</f>
        <v>-8639.3262832799101</v>
      </c>
      <c r="F718" s="16">
        <f>F717/(Inputs!$D$7+$D$724)^F698</f>
        <v>1573.8309668243251</v>
      </c>
      <c r="G718" s="16">
        <f>G717/(Inputs!$D$7+$D$724)^G698</f>
        <v>12786.114208186627</v>
      </c>
      <c r="H718" s="16">
        <f>H717/(Inputs!$D$7+$D$724)^H698</f>
        <v>3812.4208676841026</v>
      </c>
      <c r="I718" s="16">
        <f>I717/(Inputs!$D$7+$D$724)^I698</f>
        <v>588.37595937438425</v>
      </c>
      <c r="J718" s="16">
        <f>J717/(Inputs!$D$7+$D$724)^J698</f>
        <v>3150.349986738654</v>
      </c>
      <c r="K718" s="16">
        <f>K717/(Inputs!$D$7+$D$724)^K698</f>
        <v>8733.0880460259705</v>
      </c>
      <c r="L718" s="16">
        <f>L717/(Inputs!$D$7+$D$724)^L698</f>
        <v>2603.9347501428197</v>
      </c>
      <c r="M718" s="16">
        <f>M717/(Inputs!$D$7+$D$724)^M698</f>
        <v>401.86869706603653</v>
      </c>
    </row>
    <row r="719" spans="2:13" ht="15" customHeight="1" x14ac:dyDescent="0.2">
      <c r="B719" s="3" t="s">
        <v>910</v>
      </c>
      <c r="C719" s="10" t="s">
        <v>896</v>
      </c>
      <c r="D719" s="28">
        <f>(D705*$D$723-D709)/(Inputs!$D$7+$D$724)^D698</f>
        <v>64.330856237917445</v>
      </c>
      <c r="E719" s="28">
        <f>(E705*$D$723-E709)/(Inputs!$D$7+$D$724)^E698</f>
        <v>236.42380139523098</v>
      </c>
      <c r="F719" s="28">
        <f>(F705*$D$723-F709)/(Inputs!$D$7+$D$724)^F698</f>
        <v>356.83568908039001</v>
      </c>
      <c r="G719" s="28">
        <f>(G705*$D$723-G709)/(Inputs!$D$7+$D$724)^G698</f>
        <v>383.60556091707036</v>
      </c>
      <c r="H719" s="28">
        <f>(H705*$D$723-H709)/(Inputs!$D$7+$D$724)^H698</f>
        <v>348.75507884227414</v>
      </c>
      <c r="I719" s="28">
        <f>(I705*$D$723-I709)/(Inputs!$D$7+$D$724)^I698</f>
        <v>316.98802826091918</v>
      </c>
      <c r="J719" s="28">
        <f>(J705*$D$723-J709)/(Inputs!$D$7+$D$724)^J698</f>
        <v>288.18973459066564</v>
      </c>
      <c r="K719" s="28">
        <f>(K705*$D$723-K709)/(Inputs!$D$7+$D$724)^K698</f>
        <v>262.00775965922423</v>
      </c>
      <c r="L719" s="28">
        <f>(L705*$D$723-L709)/(Inputs!$D$7+$D$724)^L698</f>
        <v>238.2044114761793</v>
      </c>
      <c r="M719" s="28">
        <f>(M705*$D$723-M709)/(Inputs!$D$7+$D$724)^M698</f>
        <v>216.50708849185102</v>
      </c>
    </row>
    <row r="720" spans="2:13" ht="15" customHeight="1" x14ac:dyDescent="0.2">
      <c r="B720" s="10" t="s">
        <v>911</v>
      </c>
      <c r="C720" s="10" t="s">
        <v>110</v>
      </c>
      <c r="D720" s="16">
        <f>(-D707-D708)/(Inputs!$D$7+$D$724)^D698</f>
        <v>-14536.447397527105</v>
      </c>
      <c r="E720" s="16">
        <f>(-E707-E708)/(Inputs!$D$7+$D$724)^E698</f>
        <v>-17616.488200475756</v>
      </c>
      <c r="F720" s="16">
        <f>(-F707-F708)/(Inputs!$D$7+$D$724)^F698</f>
        <v>-12012.025548964448</v>
      </c>
      <c r="G720" s="16">
        <f>(-G707-G708)/(Inputs!$D$7+$D$724)^G698</f>
        <v>-1851.359915178487</v>
      </c>
      <c r="H720" s="16">
        <f>(-H707-H708)/(Inputs!$D$7+$D$724)^H698</f>
        <v>-9495.2419037884629</v>
      </c>
      <c r="I720" s="16">
        <f>(-I707-I708)/(Inputs!$D$7+$D$724)^I698</f>
        <v>-11507.131858586603</v>
      </c>
      <c r="J720" s="16">
        <f>(-J707-J708)/(Inputs!$D$7+$D$724)^J698</f>
        <v>-7846.2835672839774</v>
      </c>
      <c r="K720" s="16">
        <f>(-K707-K708)/(Inputs!$D$7+$D$724)^K698</f>
        <v>-1264.5037327904422</v>
      </c>
      <c r="L720" s="16">
        <f>(-L707-L708)/(Inputs!$D$7+$D$724)^L698</f>
        <v>-6485.3779822337692</v>
      </c>
      <c r="M720" s="16">
        <f>(-M707-M708)/(Inputs!$D$7+$D$724)^M698</f>
        <v>-7859.5258920747219</v>
      </c>
    </row>
    <row r="721" spans="2:13" ht="15" customHeight="1" x14ac:dyDescent="0.2">
      <c r="B721" s="10" t="s">
        <v>912</v>
      </c>
      <c r="C721" s="10" t="s">
        <v>110</v>
      </c>
      <c r="D721" s="16">
        <f>Prices!K8</f>
        <v>47103.700386874909</v>
      </c>
    </row>
    <row r="722" spans="2:13" ht="15" customHeight="1" x14ac:dyDescent="0.2">
      <c r="B722" s="3" t="s">
        <v>913</v>
      </c>
      <c r="C722" s="10" t="s">
        <v>914</v>
      </c>
      <c r="D722" s="28">
        <f>IF(J729&gt;=J725,J729,(D721-J728)/J727)</f>
        <v>44.176705797935398</v>
      </c>
      <c r="G722" s="99" t="s">
        <v>915</v>
      </c>
      <c r="H722" s="91"/>
      <c r="I722" s="91"/>
      <c r="J722" s="28">
        <f>D722*Inputs!$D$15</f>
        <v>30.830922976379114</v>
      </c>
      <c r="K722" s="99" t="s">
        <v>916</v>
      </c>
      <c r="L722" s="91"/>
      <c r="M722" s="91"/>
    </row>
    <row r="723" spans="2:13" ht="15" customHeight="1" x14ac:dyDescent="0.2">
      <c r="B723" s="10" t="s">
        <v>917</v>
      </c>
      <c r="C723" s="10" t="s">
        <v>104</v>
      </c>
      <c r="D723" s="30">
        <f>Inputs!$D$81</f>
        <v>0.6</v>
      </c>
      <c r="G723" s="99" t="s">
        <v>918</v>
      </c>
      <c r="H723" s="91"/>
      <c r="I723" s="91"/>
      <c r="J723" s="28">
        <f>IF(-D734/D733&gt;=J725,-D734/D733,-J728/J727)</f>
        <v>32.284876648616972</v>
      </c>
      <c r="K723" s="99" t="s">
        <v>919</v>
      </c>
      <c r="L723" s="91"/>
      <c r="M723" s="91"/>
    </row>
    <row r="724" spans="2:13" ht="15" customHeight="1" x14ac:dyDescent="0.2">
      <c r="B724" s="10" t="s">
        <v>920</v>
      </c>
      <c r="C724" s="10" t="s">
        <v>104</v>
      </c>
      <c r="D724" s="30">
        <f>Inputs!$D$82</f>
        <v>0.1</v>
      </c>
      <c r="G724" s="99" t="s">
        <v>918</v>
      </c>
      <c r="H724" s="91"/>
      <c r="I724" s="91"/>
      <c r="J724" s="28">
        <f>J723*Inputs!$D$15</f>
        <v>22.531615413069783</v>
      </c>
      <c r="K724" s="99" t="s">
        <v>916</v>
      </c>
      <c r="L724" s="91"/>
      <c r="M724" s="91"/>
    </row>
    <row r="725" spans="2:13" ht="15" customHeight="1" x14ac:dyDescent="0.2">
      <c r="B725" s="3" t="s">
        <v>921</v>
      </c>
      <c r="C725" s="10" t="s">
        <v>848</v>
      </c>
      <c r="D725" s="28">
        <f>Capital!$D$13</f>
        <v>57.347931490590682</v>
      </c>
      <c r="G725" s="99" t="s">
        <v>922</v>
      </c>
      <c r="H725" s="91"/>
      <c r="I725" s="91"/>
      <c r="J725" s="28">
        <f>($D$725/Inputs!$D$21+$D$726/Inputs!$D$22)/$D$723</f>
        <v>24.113076913095469</v>
      </c>
      <c r="K725" s="99" t="s">
        <v>919</v>
      </c>
      <c r="L725" s="91"/>
      <c r="M725" s="91"/>
    </row>
    <row r="726" spans="2:13" ht="15" customHeight="1" x14ac:dyDescent="0.2">
      <c r="B726" s="3" t="s">
        <v>923</v>
      </c>
      <c r="C726" s="10" t="s">
        <v>848</v>
      </c>
      <c r="D726" s="28">
        <f>Capital!$D$14</f>
        <v>2.6172655041921802</v>
      </c>
    </row>
    <row r="727" spans="2:13" ht="15" customHeight="1" x14ac:dyDescent="0.2">
      <c r="B727" s="10" t="s">
        <v>924</v>
      </c>
      <c r="C727" s="10" t="s">
        <v>896</v>
      </c>
      <c r="D727" s="28">
        <f>(M700*(Inputs!$D$7+Inputs!$D$20)*$D$723*(Inputs!$D$7-Inputs!$D$19)-M700*Inputs!$D$20*Inputs!$D$23)/($D$724-Inputs!$D$20)/(Inputs!$D$7+$D$724)^M698</f>
        <v>2068.2441036763203</v>
      </c>
      <c r="G727" s="92" t="s">
        <v>910</v>
      </c>
      <c r="H727" s="91"/>
      <c r="I727" s="91"/>
      <c r="J727" s="28">
        <f>SUM(D719:M719)+(M700*(Inputs!$D$7+Inputs!$D$20)*$D$723-M700*Inputs!$D$20*Inputs!$D$23)/($D$724-Inputs!$D$20)/(Inputs!$D$7+$D$724)^M698</f>
        <v>5667.7711754446318</v>
      </c>
      <c r="K727" s="99" t="s">
        <v>896</v>
      </c>
      <c r="L727" s="91"/>
      <c r="M727" s="91"/>
    </row>
    <row r="728" spans="2:13" ht="15" customHeight="1" x14ac:dyDescent="0.2">
      <c r="B728" s="10" t="s">
        <v>925</v>
      </c>
      <c r="C728" s="10" t="s">
        <v>110</v>
      </c>
      <c r="D728" s="16">
        <f>(D731*Inputs!$D$19-D731-D732)/($D$724-Inputs!$D$20)/(Inputs!$D$7+$D$724)^M698</f>
        <v>-57156.954988173631</v>
      </c>
      <c r="G728" s="92" t="s">
        <v>926</v>
      </c>
      <c r="H728" s="91"/>
      <c r="I728" s="91"/>
      <c r="J728" s="16">
        <f>SUM(D720:M720)-(D731+D732)/($D$724-Inputs!$D$20)/(Inputs!$D$7+$D$724)^M698</f>
        <v>-169036.01450291832</v>
      </c>
      <c r="K728" s="99" t="s">
        <v>110</v>
      </c>
      <c r="L728" s="91"/>
      <c r="M728" s="91"/>
    </row>
    <row r="729" spans="2:13" ht="15" customHeight="1" x14ac:dyDescent="0.2">
      <c r="B729" s="10" t="s">
        <v>927</v>
      </c>
      <c r="C729" s="10" t="s">
        <v>928</v>
      </c>
      <c r="D729" s="16">
        <f>(M700*(Inputs!$D$7+Inputs!$D$20)*$D$722*$D$723-D731)-MAX((M700*(Inputs!$D$7+Inputs!$D$20)*$D$722*$D$723-D731),Inputs!$D$6)*Inputs!$D$19-D732-M700*Inputs!$D$20*$D$722*Inputs!$D$23</f>
        <v>6477.8038525955089</v>
      </c>
      <c r="G729" s="99" t="s">
        <v>929</v>
      </c>
      <c r="H729" s="91"/>
      <c r="I729" s="91"/>
      <c r="J729" s="28">
        <f>(D721-D734)/D733</f>
        <v>44.176705797935398</v>
      </c>
      <c r="K729" s="99" t="s">
        <v>919</v>
      </c>
      <c r="L729" s="91"/>
      <c r="M729" s="91"/>
    </row>
    <row r="730" spans="2:13" ht="15" customHeight="1" x14ac:dyDescent="0.2">
      <c r="B730" s="10" t="s">
        <v>930</v>
      </c>
      <c r="C730" s="10" t="s">
        <v>110</v>
      </c>
      <c r="D730" s="16">
        <f>D729/($D$724-Inputs!$D$20)</f>
        <v>86370.718034606776</v>
      </c>
      <c r="G730" s="99" t="s">
        <v>931</v>
      </c>
      <c r="H730" s="91"/>
      <c r="I730" s="91"/>
      <c r="J730" s="16">
        <f>MIN(D714:M714,(M700*(Inputs!$D$7+Inputs!$D$20)*$D$722*$D$723-D731))</f>
        <v>1511.8418146517799</v>
      </c>
      <c r="K730" s="99" t="s">
        <v>110</v>
      </c>
      <c r="L730" s="91"/>
      <c r="M730" s="91"/>
    </row>
    <row r="731" spans="2:13" ht="15" customHeight="1" x14ac:dyDescent="0.2">
      <c r="B731" s="10" t="s">
        <v>932</v>
      </c>
      <c r="C731" s="10" t="s">
        <v>928</v>
      </c>
      <c r="D731" s="16">
        <f>M700*(Inputs!$D$7+Inputs!$D$20)*($D$725/Inputs!$D$21+$D$726/Inputs!$D$22)</f>
        <v>13509.71303671543</v>
      </c>
      <c r="G731" s="99" t="s">
        <v>933</v>
      </c>
      <c r="H731" s="91"/>
      <c r="I731" s="91"/>
      <c r="J731" s="31" t="str">
        <f>IF(J730&lt;Inputs!$D$6,"breached","satisfied")</f>
        <v>satisfied</v>
      </c>
      <c r="K731" s="99" t="s">
        <v>934</v>
      </c>
      <c r="L731" s="91"/>
      <c r="M731" s="91"/>
    </row>
    <row r="732" spans="2:13" ht="15" customHeight="1" x14ac:dyDescent="0.2">
      <c r="B732" s="10" t="s">
        <v>935</v>
      </c>
      <c r="C732" s="10" t="s">
        <v>928</v>
      </c>
      <c r="D732" s="16">
        <f>M700*Inputs!$D$20*($D$725+$D$726)</f>
        <v>1365.7073615561799</v>
      </c>
    </row>
    <row r="733" spans="2:13" ht="15" customHeight="1" x14ac:dyDescent="0.2">
      <c r="B733" s="10" t="s">
        <v>936</v>
      </c>
      <c r="C733" s="10" t="s">
        <v>896</v>
      </c>
      <c r="D733" s="28">
        <f>SUM(D710:M710)+D727</f>
        <v>3961.0138857044249</v>
      </c>
      <c r="G733" s="99" t="s">
        <v>937</v>
      </c>
      <c r="H733" s="91"/>
      <c r="I733" s="91"/>
      <c r="J733" s="16">
        <f>D735-D721</f>
        <v>0</v>
      </c>
      <c r="K733" s="99" t="s">
        <v>110</v>
      </c>
      <c r="L733" s="91"/>
      <c r="M733" s="91"/>
    </row>
    <row r="734" spans="2:13" ht="15" customHeight="1" x14ac:dyDescent="0.2">
      <c r="B734" s="10" t="s">
        <v>938</v>
      </c>
      <c r="C734" s="10" t="s">
        <v>110</v>
      </c>
      <c r="D734" s="16">
        <f>SUM(D711:M711)+D728</f>
        <v>-127880.84470342637</v>
      </c>
    </row>
    <row r="735" spans="2:13" ht="15" customHeight="1" x14ac:dyDescent="0.2">
      <c r="B735" s="10" t="s">
        <v>939</v>
      </c>
      <c r="C735" s="10" t="s">
        <v>110</v>
      </c>
      <c r="D735" s="16">
        <f>SUM(D718:M718)+D730/(Inputs!$D$7+$D$724)^M698</f>
        <v>47103.700386874938</v>
      </c>
    </row>
    <row r="736" spans="2:13" ht="15" customHeight="1" x14ac:dyDescent="0.2">
      <c r="B736" s="10" t="s">
        <v>940</v>
      </c>
      <c r="C736" s="10" t="s">
        <v>104</v>
      </c>
      <c r="D736" s="30">
        <f>IF(ABS(D721)&gt;Inputs!$D$6,D735/D721-Inputs!$D$7,Inputs!$D$6)</f>
        <v>6.6613381477509392E-16</v>
      </c>
    </row>
    <row r="737" spans="1:13" ht="15" customHeight="1" x14ac:dyDescent="0.2">
      <c r="B737" s="10" t="s">
        <v>941</v>
      </c>
      <c r="C737" s="10" t="s">
        <v>104</v>
      </c>
      <c r="D737" s="30">
        <f>IF(ABS(D735)&gt;Inputs!$D$119,D730/(Inputs!$D$7+$D$724)^M698/D735,Inputs!$D$6)</f>
        <v>0.72629657579476392</v>
      </c>
    </row>
    <row r="738" spans="1:13" ht="15" customHeight="1" x14ac:dyDescent="0.2">
      <c r="B738" s="10" t="s">
        <v>942</v>
      </c>
      <c r="C738" s="10" t="s">
        <v>943</v>
      </c>
      <c r="D738" s="26">
        <f>$D$722*Inputs!$D$8/Prices!$P$6/(Inputs!$D$26/Inputs!$D$25)/Inputs!$D$11/Inputs!$D$56</f>
        <v>8.0336681370850869</v>
      </c>
    </row>
    <row r="742" spans="1:13" ht="15" customHeight="1" x14ac:dyDescent="0.2">
      <c r="A742" s="104" t="s">
        <v>959</v>
      </c>
      <c r="B742" s="10" t="s">
        <v>886</v>
      </c>
      <c r="C742" s="10" t="s">
        <v>107</v>
      </c>
      <c r="D742" s="28">
        <f>Inputs!$D$60</f>
        <v>1</v>
      </c>
      <c r="E742" s="28">
        <f>Inputs!$D$62</f>
        <v>2</v>
      </c>
      <c r="F742" s="28">
        <f>Inputs!$D$64</f>
        <v>3</v>
      </c>
      <c r="G742" s="28">
        <f>Inputs!$D$66</f>
        <v>4</v>
      </c>
      <c r="H742" s="28">
        <f>Inputs!$D$68</f>
        <v>5</v>
      </c>
      <c r="I742" s="28">
        <f>Inputs!$D$70</f>
        <v>6</v>
      </c>
      <c r="J742" s="28">
        <f>Inputs!$D$72</f>
        <v>7</v>
      </c>
      <c r="K742" s="28">
        <f>Inputs!$D$74</f>
        <v>8</v>
      </c>
      <c r="L742" s="28">
        <f>Inputs!$D$76</f>
        <v>9</v>
      </c>
      <c r="M742" s="28">
        <f>Inputs!$D$78</f>
        <v>10</v>
      </c>
    </row>
    <row r="743" spans="1:13" ht="15" customHeight="1" x14ac:dyDescent="0.2">
      <c r="A743" s="91"/>
      <c r="B743" s="10" t="s">
        <v>887</v>
      </c>
      <c r="C743" s="10" t="s">
        <v>161</v>
      </c>
      <c r="D743" s="29">
        <f>Inputs!$D$61</f>
        <v>46568</v>
      </c>
      <c r="E743" s="29">
        <f>Inputs!$D$63</f>
        <v>46934</v>
      </c>
      <c r="F743" s="29">
        <f>Inputs!$D$65</f>
        <v>47299</v>
      </c>
      <c r="G743" s="29">
        <f>Inputs!$D$67</f>
        <v>47664</v>
      </c>
      <c r="H743" s="29">
        <f>Inputs!$D$69</f>
        <v>48029</v>
      </c>
      <c r="I743" s="29">
        <f>Inputs!$D$71</f>
        <v>48395</v>
      </c>
      <c r="J743" s="29">
        <f>Inputs!$D$73</f>
        <v>48760</v>
      </c>
      <c r="K743" s="29">
        <f>Inputs!$D$75</f>
        <v>49125</v>
      </c>
      <c r="L743" s="29">
        <f>Inputs!$D$77</f>
        <v>49490</v>
      </c>
      <c r="M743" s="29">
        <f>Inputs!$D$79</f>
        <v>49856</v>
      </c>
    </row>
    <row r="744" spans="1:13" ht="15" customHeight="1" x14ac:dyDescent="0.2">
      <c r="A744" s="91"/>
      <c r="B744" s="10" t="s">
        <v>888</v>
      </c>
      <c r="C744" s="10" t="s">
        <v>107</v>
      </c>
      <c r="D744" s="28">
        <f>(D743-Inputs!$D$13)/Inputs!$D$10</f>
        <v>0.71457905544147848</v>
      </c>
      <c r="E744" s="28">
        <f>(E743-Inputs!$D$13)/Inputs!$D$10</f>
        <v>1.7166324435318274</v>
      </c>
      <c r="F744" s="28">
        <f>(F743-Inputs!$D$13)/Inputs!$D$10</f>
        <v>2.7159479808350446</v>
      </c>
      <c r="G744" s="28">
        <f>(G743-Inputs!$D$13)/Inputs!$D$10</f>
        <v>3.7152635181382614</v>
      </c>
      <c r="H744" s="28">
        <f>(H743-Inputs!$D$13)/Inputs!$D$10</f>
        <v>4.7145790554414786</v>
      </c>
      <c r="I744" s="28">
        <f>(I743-Inputs!$D$13)/Inputs!$D$10</f>
        <v>5.7166324435318279</v>
      </c>
      <c r="J744" s="28">
        <f>(J743-Inputs!$D$13)/Inputs!$D$10</f>
        <v>6.7159479808350442</v>
      </c>
      <c r="K744" s="28">
        <f>(K743-Inputs!$D$13)/Inputs!$D$10</f>
        <v>7.7152635181382614</v>
      </c>
      <c r="L744" s="28">
        <f>(L743-Inputs!$D$13)/Inputs!$D$10</f>
        <v>8.7145790554414777</v>
      </c>
      <c r="M744" s="28">
        <f>(M743-Inputs!$D$13)/Inputs!$D$10</f>
        <v>9.716632443531827</v>
      </c>
    </row>
    <row r="745" spans="1:13" ht="15" customHeight="1" x14ac:dyDescent="0.2">
      <c r="A745" s="91"/>
      <c r="B745" s="10" t="s">
        <v>889</v>
      </c>
      <c r="C745" s="10" t="s">
        <v>107</v>
      </c>
      <c r="D745" s="28">
        <f>D744</f>
        <v>0.71457905544147848</v>
      </c>
      <c r="E745" s="28">
        <f>Inputs!$D$7</f>
        <v>1</v>
      </c>
      <c r="F745" s="28">
        <f>Inputs!$D$7</f>
        <v>1</v>
      </c>
      <c r="G745" s="28">
        <f>Inputs!$D$7</f>
        <v>1</v>
      </c>
      <c r="H745" s="28">
        <f>Inputs!$D$7</f>
        <v>1</v>
      </c>
      <c r="I745" s="28">
        <f>Inputs!$D$7</f>
        <v>1</v>
      </c>
      <c r="J745" s="28">
        <f>Inputs!$D$7</f>
        <v>1</v>
      </c>
      <c r="K745" s="28">
        <f>Inputs!$D$7</f>
        <v>1</v>
      </c>
      <c r="L745" s="28">
        <f>Inputs!$D$7</f>
        <v>1</v>
      </c>
      <c r="M745" s="28">
        <f>Inputs!$D$7</f>
        <v>1</v>
      </c>
    </row>
    <row r="746" spans="1:13" ht="15" customHeight="1" x14ac:dyDescent="0.2">
      <c r="A746" s="91"/>
      <c r="B746" s="3" t="s">
        <v>890</v>
      </c>
      <c r="C746" s="10" t="s">
        <v>199</v>
      </c>
      <c r="D746" s="28">
        <f>Inputs!$D$24+(Inputs!$D$93-Inputs!$D$24)*Inputs!$D$96</f>
        <v>279.10000000000002</v>
      </c>
      <c r="E746" s="28">
        <f>Inputs!$D$24+(Inputs!$D$93-Inputs!$D$24)*Inputs!$D$97</f>
        <v>900.7</v>
      </c>
      <c r="F746" s="28">
        <f>Inputs!$D$24+(Inputs!$D$93-Inputs!$D$24)*Inputs!$D$98</f>
        <v>1366.8999999999999</v>
      </c>
      <c r="G746" s="28">
        <f>Inputs!$D$24+(Inputs!$D$93-Inputs!$D$24)*Inputs!$D$99</f>
        <v>1600</v>
      </c>
      <c r="H746" s="28">
        <f>Inputs!$D$24+(Inputs!$D$93-Inputs!$D$24)*Inputs!$D$100</f>
        <v>1600</v>
      </c>
      <c r="I746" s="28">
        <f>Inputs!$D$24+(Inputs!$D$93-Inputs!$D$24)*Inputs!$D$101</f>
        <v>1600</v>
      </c>
      <c r="J746" s="28">
        <f>Inputs!$D$24+(Inputs!$D$93-Inputs!$D$24)*Inputs!$D$102</f>
        <v>1600</v>
      </c>
      <c r="K746" s="28">
        <f>Inputs!$D$24+(Inputs!$D$93-Inputs!$D$24)*Inputs!$D$103</f>
        <v>1600</v>
      </c>
      <c r="L746" s="28">
        <f>Inputs!$D$24+(Inputs!$D$93-Inputs!$D$24)*Inputs!$D$104</f>
        <v>1600</v>
      </c>
      <c r="M746" s="28">
        <f>Inputs!$D$24+(Inputs!$D$93-Inputs!$D$24)*Inputs!$D$105</f>
        <v>1600</v>
      </c>
    </row>
    <row r="747" spans="1:13" ht="15" customHeight="1" x14ac:dyDescent="0.2">
      <c r="A747" s="91"/>
      <c r="B747" s="10" t="s">
        <v>891</v>
      </c>
      <c r="C747" s="10" t="s">
        <v>199</v>
      </c>
      <c r="D747" s="28">
        <f>Inputs!$D$24</f>
        <v>46</v>
      </c>
      <c r="E747" s="28">
        <f t="shared" ref="E747:M747" si="160">D746</f>
        <v>279.10000000000002</v>
      </c>
      <c r="F747" s="28">
        <f t="shared" si="160"/>
        <v>900.7</v>
      </c>
      <c r="G747" s="28">
        <f t="shared" si="160"/>
        <v>1366.8999999999999</v>
      </c>
      <c r="H747" s="28">
        <f t="shared" si="160"/>
        <v>1600</v>
      </c>
      <c r="I747" s="28">
        <f t="shared" si="160"/>
        <v>1600</v>
      </c>
      <c r="J747" s="28">
        <f t="shared" si="160"/>
        <v>1600</v>
      </c>
      <c r="K747" s="28">
        <f t="shared" si="160"/>
        <v>1600</v>
      </c>
      <c r="L747" s="28">
        <f t="shared" si="160"/>
        <v>1600</v>
      </c>
      <c r="M747" s="28">
        <f t="shared" si="160"/>
        <v>1600</v>
      </c>
    </row>
    <row r="748" spans="1:13" ht="15" customHeight="1" x14ac:dyDescent="0.2">
      <c r="B748" s="10" t="s">
        <v>892</v>
      </c>
      <c r="C748" s="10" t="s">
        <v>199</v>
      </c>
      <c r="D748" s="28">
        <f>(D747+D746)*Inputs!$D$12</f>
        <v>162.55000000000001</v>
      </c>
      <c r="E748" s="28">
        <f>(E747+E746)*Inputs!$D$12</f>
        <v>589.90000000000009</v>
      </c>
      <c r="F748" s="28">
        <f>(F747+F746)*Inputs!$D$12</f>
        <v>1133.8</v>
      </c>
      <c r="G748" s="28">
        <f>(G747+G746)*Inputs!$D$12</f>
        <v>1483.4499999999998</v>
      </c>
      <c r="H748" s="28">
        <f>(H747+H746)*Inputs!$D$12</f>
        <v>1600</v>
      </c>
      <c r="I748" s="28">
        <f>(I747+I746)*Inputs!$D$12</f>
        <v>1600</v>
      </c>
      <c r="J748" s="28">
        <f>(J747+J746)*Inputs!$D$12</f>
        <v>1600</v>
      </c>
      <c r="K748" s="28">
        <f>(K747+K746)*Inputs!$D$12</f>
        <v>1600</v>
      </c>
      <c r="L748" s="28">
        <f>(L747+L746)*Inputs!$D$12</f>
        <v>1600</v>
      </c>
      <c r="M748" s="28">
        <f>(M747+M746)*Inputs!$D$12</f>
        <v>1600</v>
      </c>
    </row>
    <row r="749" spans="1:13" ht="15" customHeight="1" x14ac:dyDescent="0.2">
      <c r="B749" s="10" t="s">
        <v>893</v>
      </c>
      <c r="C749" s="10" t="s">
        <v>199</v>
      </c>
      <c r="D749" s="28">
        <f t="shared" ref="D749:M749" si="161">D746-D747</f>
        <v>233.10000000000002</v>
      </c>
      <c r="E749" s="28">
        <f t="shared" si="161"/>
        <v>621.6</v>
      </c>
      <c r="F749" s="28">
        <f t="shared" si="161"/>
        <v>466.19999999999982</v>
      </c>
      <c r="G749" s="28">
        <f t="shared" si="161"/>
        <v>233.10000000000014</v>
      </c>
      <c r="H749" s="28">
        <f t="shared" si="161"/>
        <v>0</v>
      </c>
      <c r="I749" s="28">
        <f t="shared" si="161"/>
        <v>0</v>
      </c>
      <c r="J749" s="28">
        <f t="shared" si="161"/>
        <v>0</v>
      </c>
      <c r="K749" s="28">
        <f t="shared" si="161"/>
        <v>0</v>
      </c>
      <c r="L749" s="28">
        <f t="shared" si="161"/>
        <v>0</v>
      </c>
      <c r="M749" s="28">
        <f t="shared" si="161"/>
        <v>0</v>
      </c>
    </row>
    <row r="750" spans="1:13" ht="15" customHeight="1" x14ac:dyDescent="0.2">
      <c r="B750" s="10" t="s">
        <v>894</v>
      </c>
      <c r="C750" s="10" t="s">
        <v>199</v>
      </c>
      <c r="D750" s="28">
        <f>IF(MOD(D742,Inputs!$D$21)=Inputs!$D$6,Inputs!$D$24,Inputs!$D$6)+SUMPRODUCT(--(D742&gt;$D$742:$M$742),--(MOD(D742-$D$742:$M$742,Inputs!$D$21)=Inputs!$D$6),$D$749:$M$749)</f>
        <v>0</v>
      </c>
      <c r="E750" s="28">
        <f>IF(MOD(E742,Inputs!$D$21)=Inputs!$D$6,Inputs!$D$24,Inputs!$D$6)+SUMPRODUCT(--(E742&gt;$D$742:$M$742),--(MOD(E742-$D$742:$M$742,Inputs!$D$21)=Inputs!$D$6),$D$749:$M$749)</f>
        <v>0</v>
      </c>
      <c r="F750" s="28">
        <f>IF(MOD(F742,Inputs!$D$21)=Inputs!$D$6,Inputs!$D$24,Inputs!$D$6)+SUMPRODUCT(--(F742&gt;$D$742:$M$742),--(MOD(F742-$D$742:$M$742,Inputs!$D$21)=Inputs!$D$6),$D$749:$M$749)</f>
        <v>0</v>
      </c>
      <c r="G750" s="28">
        <f>IF(MOD(G742,Inputs!$D$21)=Inputs!$D$6,Inputs!$D$24,Inputs!$D$6)+SUMPRODUCT(--(G742&gt;$D$742:$M$742),--(MOD(G742-$D$742:$M$742,Inputs!$D$21)=Inputs!$D$6),$D$749:$M$749)</f>
        <v>46</v>
      </c>
      <c r="H750" s="28">
        <f>IF(MOD(H742,Inputs!$D$21)=Inputs!$D$6,Inputs!$D$24,Inputs!$D$6)+SUMPRODUCT(--(H742&gt;$D$742:$M$742),--(MOD(H742-$D$742:$M$742,Inputs!$D$21)=Inputs!$D$6),$D$749:$M$749)</f>
        <v>233.10000000000002</v>
      </c>
      <c r="I750" s="28">
        <f>IF(MOD(I742,Inputs!$D$21)=Inputs!$D$6,Inputs!$D$24,Inputs!$D$6)+SUMPRODUCT(--(I742&gt;$D$742:$M$742),--(MOD(I742-$D$742:$M$742,Inputs!$D$21)=Inputs!$D$6),$D$749:$M$749)</f>
        <v>621.6</v>
      </c>
      <c r="J750" s="28">
        <f>IF(MOD(J742,Inputs!$D$21)=Inputs!$D$6,Inputs!$D$24,Inputs!$D$6)+SUMPRODUCT(--(J742&gt;$D$742:$M$742),--(MOD(J742-$D$742:$M$742,Inputs!$D$21)=Inputs!$D$6),$D$749:$M$749)</f>
        <v>466.19999999999982</v>
      </c>
      <c r="K750" s="28">
        <f>IF(MOD(K742,Inputs!$D$21)=Inputs!$D$6,Inputs!$D$24,Inputs!$D$6)+SUMPRODUCT(--(K742&gt;$D$742:$M$742),--(MOD(K742-$D$742:$M$742,Inputs!$D$21)=Inputs!$D$6),$D$749:$M$749)</f>
        <v>279.10000000000014</v>
      </c>
      <c r="L750" s="28">
        <f>IF(MOD(L742,Inputs!$D$21)=Inputs!$D$6,Inputs!$D$24,Inputs!$D$6)+SUMPRODUCT(--(L742&gt;$D$742:$M$742),--(MOD(L742-$D$742:$M$742,Inputs!$D$21)=Inputs!$D$6),$D$749:$M$749)</f>
        <v>233.10000000000002</v>
      </c>
      <c r="M750" s="28">
        <f>IF(MOD(M742,Inputs!$D$21)=Inputs!$D$6,Inputs!$D$24,Inputs!$D$6)+SUMPRODUCT(--(M742&gt;$D$742:$M$742),--(MOD(M742-$D$742:$M$742,Inputs!$D$21)=Inputs!$D$6),$D$749:$M$749)</f>
        <v>621.6</v>
      </c>
    </row>
    <row r="751" spans="1:13" ht="15" customHeight="1" x14ac:dyDescent="0.2">
      <c r="B751" s="10" t="s">
        <v>895</v>
      </c>
      <c r="C751" s="10" t="s">
        <v>896</v>
      </c>
      <c r="D751" s="28">
        <f t="shared" ref="D751:M751" si="162">D748*D745</f>
        <v>116.15482546201234</v>
      </c>
      <c r="E751" s="28">
        <f t="shared" si="162"/>
        <v>589.90000000000009</v>
      </c>
      <c r="F751" s="28">
        <f t="shared" si="162"/>
        <v>1133.8</v>
      </c>
      <c r="G751" s="28">
        <f t="shared" si="162"/>
        <v>1483.4499999999998</v>
      </c>
      <c r="H751" s="28">
        <f t="shared" si="162"/>
        <v>1600</v>
      </c>
      <c r="I751" s="28">
        <f t="shared" si="162"/>
        <v>1600</v>
      </c>
      <c r="J751" s="28">
        <f t="shared" si="162"/>
        <v>1600</v>
      </c>
      <c r="K751" s="28">
        <f t="shared" si="162"/>
        <v>1600</v>
      </c>
      <c r="L751" s="28">
        <f t="shared" si="162"/>
        <v>1600</v>
      </c>
      <c r="M751" s="28">
        <f t="shared" si="162"/>
        <v>1600</v>
      </c>
    </row>
    <row r="752" spans="1:13" ht="15" customHeight="1" x14ac:dyDescent="0.2">
      <c r="B752" s="10" t="s">
        <v>897</v>
      </c>
      <c r="C752" s="10" t="s">
        <v>110</v>
      </c>
      <c r="D752" s="16">
        <f>D751*($D$771/Inputs!$D$21+$D$772/Inputs!$D$22)</f>
        <v>1680.51014411561</v>
      </c>
      <c r="E752" s="16">
        <f>E751*($D$771/Inputs!$D$21+$D$772/Inputs!$D$22)</f>
        <v>8534.5824426210111</v>
      </c>
      <c r="F752" s="16">
        <f>F751*($D$771/Inputs!$D$21+$D$772/Inputs!$D$22)</f>
        <v>16403.643962440583</v>
      </c>
      <c r="G752" s="16">
        <f>G751*($D$771/Inputs!$D$21+$D$772/Inputs!$D$22)</f>
        <v>21462.326368038881</v>
      </c>
      <c r="H752" s="16">
        <f>H751*($D$771/Inputs!$D$21+$D$772/Inputs!$D$22)</f>
        <v>23148.553836571649</v>
      </c>
      <c r="I752" s="16">
        <f>I751*($D$771/Inputs!$D$21+$D$772/Inputs!$D$22)</f>
        <v>23148.553836571649</v>
      </c>
      <c r="J752" s="16">
        <f>J751*($D$771/Inputs!$D$21+$D$772/Inputs!$D$22)</f>
        <v>23148.553836571649</v>
      </c>
      <c r="K752" s="16">
        <f>K751*($D$771/Inputs!$D$21+$D$772/Inputs!$D$22)</f>
        <v>23148.553836571649</v>
      </c>
      <c r="L752" s="16">
        <f>L751*($D$771/Inputs!$D$21+$D$772/Inputs!$D$22)</f>
        <v>23148.553836571649</v>
      </c>
      <c r="M752" s="16">
        <f>M751*($D$771/Inputs!$D$21+$D$772/Inputs!$D$22)</f>
        <v>23148.553836571649</v>
      </c>
    </row>
    <row r="753" spans="2:13" ht="15" customHeight="1" x14ac:dyDescent="0.2">
      <c r="B753" s="10" t="s">
        <v>898</v>
      </c>
      <c r="C753" s="10" t="s">
        <v>110</v>
      </c>
      <c r="D753" s="16">
        <f t="shared" ref="D753:M753" si="163">D749*($D$771+$D$772)</f>
        <v>13977.887419483886</v>
      </c>
      <c r="E753" s="16">
        <f t="shared" si="163"/>
        <v>37274.36645195703</v>
      </c>
      <c r="F753" s="16">
        <f t="shared" si="163"/>
        <v>27955.774838967762</v>
      </c>
      <c r="G753" s="16">
        <f t="shared" si="163"/>
        <v>13977.887419483894</v>
      </c>
      <c r="H753" s="16">
        <f t="shared" si="163"/>
        <v>0</v>
      </c>
      <c r="I753" s="16">
        <f t="shared" si="163"/>
        <v>0</v>
      </c>
      <c r="J753" s="16">
        <f t="shared" si="163"/>
        <v>0</v>
      </c>
      <c r="K753" s="16">
        <f t="shared" si="163"/>
        <v>0</v>
      </c>
      <c r="L753" s="16">
        <f t="shared" si="163"/>
        <v>0</v>
      </c>
      <c r="M753" s="16">
        <f t="shared" si="163"/>
        <v>0</v>
      </c>
    </row>
    <row r="754" spans="2:13" ht="15" customHeight="1" x14ac:dyDescent="0.2">
      <c r="B754" s="10" t="s">
        <v>899</v>
      </c>
      <c r="C754" s="10" t="s">
        <v>110</v>
      </c>
      <c r="D754" s="16">
        <f t="shared" ref="D754:M754" si="164">D750*$D$771</f>
        <v>0</v>
      </c>
      <c r="E754" s="16">
        <f t="shared" si="164"/>
        <v>0</v>
      </c>
      <c r="F754" s="16">
        <f t="shared" si="164"/>
        <v>0</v>
      </c>
      <c r="G754" s="16">
        <f t="shared" si="164"/>
        <v>2638.0048485671714</v>
      </c>
      <c r="H754" s="16">
        <f t="shared" si="164"/>
        <v>13367.802830456689</v>
      </c>
      <c r="I754" s="16">
        <f t="shared" si="164"/>
        <v>35647.47421455117</v>
      </c>
      <c r="J754" s="16">
        <f t="shared" si="164"/>
        <v>26735.605660913367</v>
      </c>
      <c r="K754" s="16">
        <f t="shared" si="164"/>
        <v>16005.807679023867</v>
      </c>
      <c r="L754" s="16">
        <f t="shared" si="164"/>
        <v>13367.802830456689</v>
      </c>
      <c r="M754" s="16">
        <f t="shared" si="164"/>
        <v>35647.47421455117</v>
      </c>
    </row>
    <row r="755" spans="2:13" ht="15" customHeight="1" x14ac:dyDescent="0.2">
      <c r="B755" s="10" t="s">
        <v>900</v>
      </c>
      <c r="C755" s="10" t="s">
        <v>199</v>
      </c>
      <c r="D755" s="28">
        <f>D749*Inputs!$D$23</f>
        <v>5.8275000000000006</v>
      </c>
      <c r="E755" s="28">
        <f>E749*Inputs!$D$23</f>
        <v>15.540000000000001</v>
      </c>
      <c r="F755" s="28">
        <f>F749*Inputs!$D$23</f>
        <v>11.654999999999996</v>
      </c>
      <c r="G755" s="28">
        <f>G749*Inputs!$D$23</f>
        <v>5.8275000000000041</v>
      </c>
      <c r="H755" s="28">
        <f>H749*Inputs!$D$23</f>
        <v>0</v>
      </c>
      <c r="I755" s="28">
        <f>I749*Inputs!$D$23</f>
        <v>0</v>
      </c>
      <c r="J755" s="28">
        <f>J749*Inputs!$D$23</f>
        <v>0</v>
      </c>
      <c r="K755" s="28">
        <f>K749*Inputs!$D$23</f>
        <v>0</v>
      </c>
      <c r="L755" s="28">
        <f>L749*Inputs!$D$23</f>
        <v>0</v>
      </c>
      <c r="M755" s="28">
        <f>M749*Inputs!$D$23</f>
        <v>0</v>
      </c>
    </row>
    <row r="756" spans="2:13" ht="15" customHeight="1" x14ac:dyDescent="0.2">
      <c r="B756" s="3" t="s">
        <v>901</v>
      </c>
      <c r="C756" s="10" t="s">
        <v>896</v>
      </c>
      <c r="D756" s="28">
        <f>(D751*$D$769*(Inputs!$D$7-Inputs!$D$19)-D755)/(Inputs!$D$7+$D$770)^D744</f>
        <v>50.541318213721269</v>
      </c>
      <c r="E756" s="28">
        <f>(E751*$D$769*(Inputs!$D$7-Inputs!$D$19)-E755)/(Inputs!$D$7+$D$770)^E744</f>
        <v>238.4864713152904</v>
      </c>
      <c r="F756" s="28">
        <f>(F751*$D$769*(Inputs!$D$7-Inputs!$D$19)-F755)/(Inputs!$D$7+$D$770)^F744</f>
        <v>418.74491871678316</v>
      </c>
      <c r="G756" s="28">
        <f>(G751*$D$769*(Inputs!$D$7-Inputs!$D$19)-G755)/(Inputs!$D$7+$D$770)^G744</f>
        <v>490.87392073514752</v>
      </c>
      <c r="H756" s="28">
        <f>(H751*$D$769*(Inputs!$D$7-Inputs!$D$19)-H755)/(Inputs!$D$7+$D$770)^H744</f>
        <v>472.10300862628105</v>
      </c>
      <c r="I756" s="28">
        <f>(I751*$D$769*(Inputs!$D$7-Inputs!$D$19)-I755)/(Inputs!$D$7+$D$770)^I744</f>
        <v>417.68543753228789</v>
      </c>
      <c r="J756" s="28">
        <f>(J751*$D$769*(Inputs!$D$7-Inputs!$D$19)-J755)/(Inputs!$D$7+$D$770)^J744</f>
        <v>369.66405292491049</v>
      </c>
      <c r="K756" s="28">
        <f>(K751*$D$769*(Inputs!$D$7-Inputs!$D$19)-K755)/(Inputs!$D$7+$D$770)^K744</f>
        <v>327.16369723641031</v>
      </c>
      <c r="L756" s="28">
        <f>(L751*$D$769*(Inputs!$D$7-Inputs!$D$19)-L755)/(Inputs!$D$7+$D$770)^L744</f>
        <v>289.54961658427663</v>
      </c>
      <c r="M756" s="28">
        <f>(M751*$D$769*(Inputs!$D$7-Inputs!$D$19)-M755)/(Inputs!$D$7+$D$770)^M744</f>
        <v>256.17430111750662</v>
      </c>
    </row>
    <row r="757" spans="2:13" ht="15" customHeight="1" x14ac:dyDescent="0.2">
      <c r="B757" s="10" t="s">
        <v>902</v>
      </c>
      <c r="C757" s="10" t="s">
        <v>110</v>
      </c>
      <c r="D757" s="16">
        <f>(D752*Inputs!$D$19-D753-D754)/(Inputs!$D$7+$D$770)^D744</f>
        <v>-12346.937146613671</v>
      </c>
      <c r="E757" s="16">
        <f>(E752*Inputs!$D$19-E753-E754)/(Inputs!$D$7+$D$770)^E744</f>
        <v>-28144.165592831177</v>
      </c>
      <c r="F757" s="16">
        <f>(F752*Inputs!$D$19-F753-F754)/(Inputs!$D$7+$D$770)^F744</f>
        <v>-16528.13772562052</v>
      </c>
      <c r="G757" s="16">
        <f>(G752*Inputs!$D$19-G753-G754)/(Inputs!$D$7+$D$770)^G744</f>
        <v>-6462.9033875784253</v>
      </c>
      <c r="H757" s="16">
        <f>(H752*Inputs!$D$19-H753-H754)/(Inputs!$D$7+$D$770)^H744</f>
        <v>-3610.0349541710043</v>
      </c>
      <c r="I757" s="16">
        <f>(I752*Inputs!$D$19-I753-I754)/(Inputs!$D$7+$D$770)^I744</f>
        <v>-14272.365134506323</v>
      </c>
      <c r="J757" s="16">
        <f>(J752*Inputs!$D$19-J753-J754)/(Inputs!$D$7+$D$770)^J744</f>
        <v>-8709.5665200501735</v>
      </c>
      <c r="K757" s="16">
        <f>(K752*Inputs!$D$19-K753-K754)/(Inputs!$D$7+$D$770)^K744</f>
        <v>-3529.1777141306115</v>
      </c>
      <c r="L757" s="16">
        <f>(L752*Inputs!$D$19-L753-L754)/(Inputs!$D$7+$D$770)^L744</f>
        <v>-2214.1020449702382</v>
      </c>
      <c r="M757" s="16">
        <f>(M752*Inputs!$D$19-M753-M754)/(Inputs!$D$7+$D$770)^M744</f>
        <v>-8753.5088252709138</v>
      </c>
    </row>
    <row r="758" spans="2:13" ht="15" customHeight="1" x14ac:dyDescent="0.2">
      <c r="B758" s="10" t="s">
        <v>903</v>
      </c>
      <c r="C758" s="10" t="s">
        <v>110</v>
      </c>
      <c r="D758" s="16">
        <f t="shared" ref="D758:M758" si="165">D751*$D$768</f>
        <v>4122.6668249629001</v>
      </c>
      <c r="E758" s="16">
        <f t="shared" si="165"/>
        <v>20937.237436088883</v>
      </c>
      <c r="F758" s="16">
        <f t="shared" si="165"/>
        <v>40241.803365040803</v>
      </c>
      <c r="G758" s="16">
        <f t="shared" si="165"/>
        <v>52651.881462224184</v>
      </c>
      <c r="H758" s="16">
        <f t="shared" si="165"/>
        <v>56788.574161285316</v>
      </c>
      <c r="I758" s="16">
        <f t="shared" si="165"/>
        <v>56788.574161285316</v>
      </c>
      <c r="J758" s="16">
        <f t="shared" si="165"/>
        <v>56788.574161285316</v>
      </c>
      <c r="K758" s="16">
        <f t="shared" si="165"/>
        <v>56788.574161285316</v>
      </c>
      <c r="L758" s="16">
        <f t="shared" si="165"/>
        <v>56788.574161285316</v>
      </c>
      <c r="M758" s="16">
        <f t="shared" si="165"/>
        <v>56788.574161285316</v>
      </c>
    </row>
    <row r="759" spans="2:13" ht="15" customHeight="1" x14ac:dyDescent="0.2">
      <c r="B759" s="10" t="s">
        <v>904</v>
      </c>
      <c r="C759" s="10" t="s">
        <v>110</v>
      </c>
      <c r="D759" s="16">
        <f t="shared" ref="D759:M759" si="166">D758*$D$769</f>
        <v>3092.0001187221751</v>
      </c>
      <c r="E759" s="16">
        <f t="shared" si="166"/>
        <v>15702.928077066663</v>
      </c>
      <c r="F759" s="16">
        <f t="shared" si="166"/>
        <v>30181.352523780602</v>
      </c>
      <c r="G759" s="16">
        <f t="shared" si="166"/>
        <v>39488.91109666814</v>
      </c>
      <c r="H759" s="16">
        <f t="shared" si="166"/>
        <v>42591.430620963991</v>
      </c>
      <c r="I759" s="16">
        <f t="shared" si="166"/>
        <v>42591.430620963991</v>
      </c>
      <c r="J759" s="16">
        <f t="shared" si="166"/>
        <v>42591.430620963991</v>
      </c>
      <c r="K759" s="16">
        <f t="shared" si="166"/>
        <v>42591.430620963991</v>
      </c>
      <c r="L759" s="16">
        <f t="shared" si="166"/>
        <v>42591.430620963991</v>
      </c>
      <c r="M759" s="16">
        <f t="shared" si="166"/>
        <v>42591.430620963991</v>
      </c>
    </row>
    <row r="760" spans="2:13" ht="15" customHeight="1" x14ac:dyDescent="0.2">
      <c r="B760" s="10" t="s">
        <v>905</v>
      </c>
      <c r="C760" s="10" t="s">
        <v>110</v>
      </c>
      <c r="D760" s="16">
        <f t="shared" ref="D760:M760" si="167">D759-D752</f>
        <v>1411.4899746065651</v>
      </c>
      <c r="E760" s="16">
        <f t="shared" si="167"/>
        <v>7168.3456344456517</v>
      </c>
      <c r="F760" s="16">
        <f t="shared" si="167"/>
        <v>13777.70856134002</v>
      </c>
      <c r="G760" s="16">
        <f t="shared" si="167"/>
        <v>18026.584728629259</v>
      </c>
      <c r="H760" s="16">
        <f t="shared" si="167"/>
        <v>19442.876784392342</v>
      </c>
      <c r="I760" s="16">
        <f t="shared" si="167"/>
        <v>19442.876784392342</v>
      </c>
      <c r="J760" s="16">
        <f t="shared" si="167"/>
        <v>19442.876784392342</v>
      </c>
      <c r="K760" s="16">
        <f t="shared" si="167"/>
        <v>19442.876784392342</v>
      </c>
      <c r="L760" s="16">
        <f t="shared" si="167"/>
        <v>19442.876784392342</v>
      </c>
      <c r="M760" s="16">
        <f t="shared" si="167"/>
        <v>19442.876784392342</v>
      </c>
    </row>
    <row r="761" spans="2:13" ht="15" customHeight="1" x14ac:dyDescent="0.2">
      <c r="B761" s="10" t="s">
        <v>906</v>
      </c>
      <c r="C761" s="10" t="s">
        <v>110</v>
      </c>
      <c r="D761" s="16">
        <f>MAX(D760,Inputs!$D$6)*Inputs!$D$19</f>
        <v>423.44699238196949</v>
      </c>
      <c r="E761" s="16">
        <f>MAX(E760,Inputs!$D$6)*Inputs!$D$19</f>
        <v>2150.5036903336954</v>
      </c>
      <c r="F761" s="16">
        <f>MAX(F760,Inputs!$D$6)*Inputs!$D$19</f>
        <v>4133.312568402006</v>
      </c>
      <c r="G761" s="16">
        <f>MAX(G760,Inputs!$D$6)*Inputs!$D$19</f>
        <v>5407.9754185887778</v>
      </c>
      <c r="H761" s="16">
        <f>MAX(H760,Inputs!$D$6)*Inputs!$D$19</f>
        <v>5832.8630353177023</v>
      </c>
      <c r="I761" s="16">
        <f>MAX(I760,Inputs!$D$6)*Inputs!$D$19</f>
        <v>5832.8630353177023</v>
      </c>
      <c r="J761" s="16">
        <f>MAX(J760,Inputs!$D$6)*Inputs!$D$19</f>
        <v>5832.8630353177023</v>
      </c>
      <c r="K761" s="16">
        <f>MAX(K760,Inputs!$D$6)*Inputs!$D$19</f>
        <v>5832.8630353177023</v>
      </c>
      <c r="L761" s="16">
        <f>MAX(L760,Inputs!$D$6)*Inputs!$D$19</f>
        <v>5832.8630353177023</v>
      </c>
      <c r="M761" s="16">
        <f>MAX(M760,Inputs!$D$6)*Inputs!$D$19</f>
        <v>5832.8630353177023</v>
      </c>
    </row>
    <row r="762" spans="2:13" ht="15" customHeight="1" x14ac:dyDescent="0.2">
      <c r="B762" s="10" t="s">
        <v>907</v>
      </c>
      <c r="C762" s="10" t="s">
        <v>110</v>
      </c>
      <c r="D762" s="16">
        <f t="shared" ref="D762:M762" si="168">D755*$D$768</f>
        <v>206.83463495305639</v>
      </c>
      <c r="E762" s="16">
        <f t="shared" si="168"/>
        <v>551.55902654148372</v>
      </c>
      <c r="F762" s="16">
        <f t="shared" si="168"/>
        <v>413.66926990611256</v>
      </c>
      <c r="G762" s="16">
        <f t="shared" si="168"/>
        <v>206.83463495305651</v>
      </c>
      <c r="H762" s="16">
        <f t="shared" si="168"/>
        <v>0</v>
      </c>
      <c r="I762" s="16">
        <f t="shared" si="168"/>
        <v>0</v>
      </c>
      <c r="J762" s="16">
        <f t="shared" si="168"/>
        <v>0</v>
      </c>
      <c r="K762" s="16">
        <f t="shared" si="168"/>
        <v>0</v>
      </c>
      <c r="L762" s="16">
        <f t="shared" si="168"/>
        <v>0</v>
      </c>
      <c r="M762" s="16">
        <f t="shared" si="168"/>
        <v>0</v>
      </c>
    </row>
    <row r="763" spans="2:13" ht="15" customHeight="1" x14ac:dyDescent="0.2">
      <c r="B763" s="10" t="s">
        <v>908</v>
      </c>
      <c r="C763" s="10" t="s">
        <v>110</v>
      </c>
      <c r="D763" s="16">
        <f t="shared" ref="D763:M763" si="169">D759-D761-D753-D754-D762</f>
        <v>-11516.168928096738</v>
      </c>
      <c r="E763" s="16">
        <f t="shared" si="169"/>
        <v>-24273.501091765545</v>
      </c>
      <c r="F763" s="16">
        <f t="shared" si="169"/>
        <v>-2321.4041534952771</v>
      </c>
      <c r="G763" s="16">
        <f t="shared" si="169"/>
        <v>17258.20877507524</v>
      </c>
      <c r="H763" s="16">
        <f t="shared" si="169"/>
        <v>23390.764755189601</v>
      </c>
      <c r="I763" s="16">
        <f t="shared" si="169"/>
        <v>1111.0933710951213</v>
      </c>
      <c r="J763" s="16">
        <f t="shared" si="169"/>
        <v>10022.961924732925</v>
      </c>
      <c r="K763" s="16">
        <f t="shared" si="169"/>
        <v>20752.759906622425</v>
      </c>
      <c r="L763" s="16">
        <f t="shared" si="169"/>
        <v>23390.764755189601</v>
      </c>
      <c r="M763" s="16">
        <f t="shared" si="169"/>
        <v>1111.0933710951213</v>
      </c>
    </row>
    <row r="764" spans="2:13" ht="15" customHeight="1" x14ac:dyDescent="0.2">
      <c r="B764" s="10" t="s">
        <v>909</v>
      </c>
      <c r="C764" s="10" t="s">
        <v>110</v>
      </c>
      <c r="D764" s="16">
        <f>D763/(Inputs!$D$7+$D$770)^D744</f>
        <v>-10553.081273120528</v>
      </c>
      <c r="E764" s="16">
        <f>E763/(Inputs!$D$7+$D$770)^E744</f>
        <v>-19679.598928611416</v>
      </c>
      <c r="F764" s="16">
        <f>F763/(Inputs!$D$7+$D$770)^F744</f>
        <v>-1665.6834311146231</v>
      </c>
      <c r="G764" s="16">
        <f>G763/(Inputs!$D$7+$D$770)^G744</f>
        <v>10959.615394614584</v>
      </c>
      <c r="H764" s="16">
        <f>H763/(Inputs!$D$7+$D$770)^H744</f>
        <v>13146.250494041175</v>
      </c>
      <c r="I764" s="16">
        <f>I763/(Inputs!$D$7+$D$770)^I744</f>
        <v>552.48514386320289</v>
      </c>
      <c r="J764" s="16">
        <f>J763/(Inputs!$D$7+$D$770)^J744</f>
        <v>4410.8675326295652</v>
      </c>
      <c r="K764" s="16">
        <f>K763/(Inputs!$D$7+$D$770)^K744</f>
        <v>8082.7972129882546</v>
      </c>
      <c r="L764" s="16">
        <f>L763/(Inputs!$D$7+$D$770)^L744</f>
        <v>8062.841626759714</v>
      </c>
      <c r="M764" s="16">
        <f>M763/(Inputs!$D$7+$D$770)^M744</f>
        <v>338.84948549593702</v>
      </c>
    </row>
    <row r="765" spans="2:13" ht="15" customHeight="1" x14ac:dyDescent="0.2">
      <c r="B765" s="3" t="s">
        <v>910</v>
      </c>
      <c r="C765" s="10" t="s">
        <v>896</v>
      </c>
      <c r="D765" s="28">
        <f>(D751*$D$769-D755)/(Inputs!$D$7+$D$770)^D744</f>
        <v>74.490519309095831</v>
      </c>
      <c r="E765" s="28">
        <f>(E751*$D$769-E755)/(Inputs!$D$7+$D$770)^E744</f>
        <v>346.09451503846662</v>
      </c>
      <c r="F765" s="28">
        <f>(F751*$D$769-F755)/(Inputs!$D$7+$D$770)^F744</f>
        <v>601.79110266312398</v>
      </c>
      <c r="G765" s="28">
        <f>(G751*$D$769-G755)/(Inputs!$D$7+$D$770)^G744</f>
        <v>702.83446516544734</v>
      </c>
      <c r="H765" s="28">
        <f>(H751*$D$769-H755)/(Inputs!$D$7+$D$770)^H744</f>
        <v>674.43286946611579</v>
      </c>
      <c r="I765" s="28">
        <f>(I751*$D$769-I755)/(Inputs!$D$7+$D$770)^I744</f>
        <v>596.69348218898278</v>
      </c>
      <c r="J765" s="28">
        <f>(J751*$D$769-J755)/(Inputs!$D$7+$D$770)^J744</f>
        <v>528.09150417844353</v>
      </c>
      <c r="K765" s="28">
        <f>(K751*$D$769-K755)/(Inputs!$D$7+$D$770)^K744</f>
        <v>467.37671033772904</v>
      </c>
      <c r="L765" s="28">
        <f>(L751*$D$769-L755)/(Inputs!$D$7+$D$770)^L744</f>
        <v>413.64230940610946</v>
      </c>
      <c r="M765" s="28">
        <f>(M751*$D$769-M755)/(Inputs!$D$7+$D$770)^M744</f>
        <v>365.96328731072373</v>
      </c>
    </row>
    <row r="766" spans="2:13" ht="15" customHeight="1" x14ac:dyDescent="0.2">
      <c r="B766" s="10" t="s">
        <v>911</v>
      </c>
      <c r="C766" s="10" t="s">
        <v>110</v>
      </c>
      <c r="D766" s="16">
        <f>(-D753-D754)/(Inputs!$D$7+$D$770)^D744</f>
        <v>-12808.928289029636</v>
      </c>
      <c r="E766" s="16">
        <f>(-E753-E754)/(Inputs!$D$7+$D$770)^E744</f>
        <v>-30219.974420642928</v>
      </c>
      <c r="F766" s="16">
        <f>(-F753-F754)/(Inputs!$D$7+$D$770)^F744</f>
        <v>-20059.183095337907</v>
      </c>
      <c r="G766" s="16">
        <f>(-G753-G754)/(Inputs!$D$7+$D$770)^G744</f>
        <v>-10551.720115889953</v>
      </c>
      <c r="H766" s="16">
        <f>(-H753-H754)/(Inputs!$D$7+$D$770)^H744</f>
        <v>-7513.0713511684744</v>
      </c>
      <c r="I766" s="16">
        <f>(-I753-I754)/(Inputs!$D$7+$D$770)^I744</f>
        <v>-17725.512933602091</v>
      </c>
      <c r="J766" s="16">
        <f>(-J753-J754)/(Inputs!$D$7+$D$770)^J744</f>
        <v>-11765.705173827875</v>
      </c>
      <c r="K766" s="16">
        <f>(-K753-K754)/(Inputs!$D$7+$D$770)^K744</f>
        <v>-6233.95144943378</v>
      </c>
      <c r="L766" s="16">
        <f>(-L753-L754)/(Inputs!$D$7+$D$770)^L744</f>
        <v>-4607.9073620630261</v>
      </c>
      <c r="M766" s="16">
        <f>(-M753-M754)/(Inputs!$D$7+$D$770)^M744</f>
        <v>-10871.389039901173</v>
      </c>
    </row>
    <row r="767" spans="2:13" ht="15" customHeight="1" x14ac:dyDescent="0.2">
      <c r="B767" s="10" t="s">
        <v>912</v>
      </c>
      <c r="C767" s="10" t="s">
        <v>110</v>
      </c>
      <c r="D767" s="16">
        <f>Prices!K8</f>
        <v>47103.700386874909</v>
      </c>
    </row>
    <row r="768" spans="2:13" ht="15" customHeight="1" x14ac:dyDescent="0.2">
      <c r="B768" s="3" t="s">
        <v>913</v>
      </c>
      <c r="C768" s="10" t="s">
        <v>914</v>
      </c>
      <c r="D768" s="28">
        <f>IF(J775&gt;=J771,J775,(D767-J774)/J773)</f>
        <v>35.492858850803323</v>
      </c>
      <c r="G768" s="99" t="s">
        <v>915</v>
      </c>
      <c r="H768" s="91"/>
      <c r="I768" s="91"/>
      <c r="J768" s="28">
        <f>D768*Inputs!$D$15</f>
        <v>24.770466191975636</v>
      </c>
      <c r="K768" s="99" t="s">
        <v>916</v>
      </c>
      <c r="L768" s="91"/>
      <c r="M768" s="91"/>
    </row>
    <row r="769" spans="2:13" ht="15" customHeight="1" x14ac:dyDescent="0.2">
      <c r="B769" s="10" t="s">
        <v>917</v>
      </c>
      <c r="C769" s="10" t="s">
        <v>104</v>
      </c>
      <c r="D769" s="30">
        <f>Inputs!$D$94</f>
        <v>0.75</v>
      </c>
      <c r="G769" s="99" t="s">
        <v>918</v>
      </c>
      <c r="H769" s="91"/>
      <c r="I769" s="91"/>
      <c r="J769" s="28">
        <f>IF(-D780/D779&gt;=J771,-D780/D779,-J774/J773)</f>
        <v>27.411702074287536</v>
      </c>
      <c r="K769" s="99" t="s">
        <v>919</v>
      </c>
      <c r="L769" s="91"/>
      <c r="M769" s="91"/>
    </row>
    <row r="770" spans="2:13" ht="15" customHeight="1" x14ac:dyDescent="0.2">
      <c r="B770" s="10" t="s">
        <v>920</v>
      </c>
      <c r="C770" s="10" t="s">
        <v>104</v>
      </c>
      <c r="D770" s="30">
        <f>Inputs!$D$95</f>
        <v>0.13</v>
      </c>
      <c r="G770" s="99" t="s">
        <v>918</v>
      </c>
      <c r="H770" s="91"/>
      <c r="I770" s="91"/>
      <c r="J770" s="28">
        <f>J769*Inputs!$D$15</f>
        <v>19.13062687764527</v>
      </c>
      <c r="K770" s="99" t="s">
        <v>916</v>
      </c>
      <c r="L770" s="91"/>
      <c r="M770" s="91"/>
    </row>
    <row r="771" spans="2:13" ht="15" customHeight="1" x14ac:dyDescent="0.2">
      <c r="B771" s="3" t="s">
        <v>921</v>
      </c>
      <c r="C771" s="10" t="s">
        <v>848</v>
      </c>
      <c r="D771" s="28">
        <f>Capital!$D$13</f>
        <v>57.347931490590682</v>
      </c>
      <c r="G771" s="99" t="s">
        <v>922</v>
      </c>
      <c r="H771" s="91"/>
      <c r="I771" s="91"/>
      <c r="J771" s="28">
        <f>($D$771/Inputs!$D$21+$D$772/Inputs!$D$22)/$D$769</f>
        <v>19.290461530476374</v>
      </c>
      <c r="K771" s="99" t="s">
        <v>919</v>
      </c>
      <c r="L771" s="91"/>
      <c r="M771" s="91"/>
    </row>
    <row r="772" spans="2:13" ht="15" customHeight="1" x14ac:dyDescent="0.2">
      <c r="B772" s="3" t="s">
        <v>923</v>
      </c>
      <c r="C772" s="10" t="s">
        <v>848</v>
      </c>
      <c r="D772" s="28">
        <f>Capital!$D$14</f>
        <v>2.6172655041921802</v>
      </c>
    </row>
    <row r="773" spans="2:13" ht="15" customHeight="1" x14ac:dyDescent="0.2">
      <c r="B773" s="10" t="s">
        <v>924</v>
      </c>
      <c r="C773" s="10" t="s">
        <v>896</v>
      </c>
      <c r="D773" s="28">
        <f>(M746*(Inputs!$D$7+Inputs!$D$20)*$D$769*(Inputs!$D$7-Inputs!$D$19)-M746*Inputs!$D$20*Inputs!$D$23)/($D$770-Inputs!$D$20)/(Inputs!$D$7+$D$770)^M744</f>
        <v>2497.8446594223992</v>
      </c>
      <c r="G773" s="92" t="s">
        <v>910</v>
      </c>
      <c r="H773" s="91"/>
      <c r="I773" s="91"/>
      <c r="J773" s="28">
        <f>SUM(D765:M765)+(M746*(Inputs!$D$7+Inputs!$D$20)*$D$769-M746*Inputs!$D$20*Inputs!$D$23)/($D$770-Inputs!$D$20)/(Inputs!$D$7+$D$770)^M744</f>
        <v>8341.0050516109004</v>
      </c>
      <c r="K773" s="99" t="s">
        <v>896</v>
      </c>
      <c r="L773" s="91"/>
      <c r="M773" s="91"/>
    </row>
    <row r="774" spans="2:13" ht="15" customHeight="1" x14ac:dyDescent="0.2">
      <c r="B774" s="10" t="s">
        <v>925</v>
      </c>
      <c r="C774" s="10" t="s">
        <v>110</v>
      </c>
      <c r="D774" s="16">
        <f>(D777*Inputs!$D$19-D777-D778)/($D$770-Inputs!$D$20)/(Inputs!$D$7+$D$770)^M744</f>
        <v>-55207.290798783099</v>
      </c>
      <c r="G774" s="92" t="s">
        <v>926</v>
      </c>
      <c r="H774" s="91"/>
      <c r="I774" s="91"/>
      <c r="J774" s="16">
        <f>SUM(D766:M766)-(D777+D778)/($D$770-Inputs!$D$20)/(Inputs!$D$7+$D$770)^M744</f>
        <v>-208239.17898202292</v>
      </c>
      <c r="K774" s="99" t="s">
        <v>110</v>
      </c>
      <c r="L774" s="91"/>
      <c r="M774" s="91"/>
    </row>
    <row r="775" spans="2:13" ht="15" customHeight="1" x14ac:dyDescent="0.2">
      <c r="B775" s="10" t="s">
        <v>927</v>
      </c>
      <c r="C775" s="10" t="s">
        <v>928</v>
      </c>
      <c r="D775" s="16">
        <f>(M746*(Inputs!$D$7+Inputs!$D$20)*$D$768*$D$769-D777)-MAX((M746*(Inputs!$D$7+Inputs!$D$20)*$D$768*$D$769-D777),Inputs!$D$6)*Inputs!$D$19-D778-M746*Inputs!$D$20*$D$768*Inputs!$D$23</f>
        <v>11516.163354159387</v>
      </c>
      <c r="G775" s="99" t="s">
        <v>929</v>
      </c>
      <c r="H775" s="91"/>
      <c r="I775" s="91"/>
      <c r="J775" s="28">
        <f>(D767-D780)/D779</f>
        <v>35.492858850803323</v>
      </c>
      <c r="K775" s="99" t="s">
        <v>919</v>
      </c>
      <c r="L775" s="91"/>
      <c r="M775" s="91"/>
    </row>
    <row r="776" spans="2:13" ht="15" customHeight="1" x14ac:dyDescent="0.2">
      <c r="B776" s="10" t="s">
        <v>930</v>
      </c>
      <c r="C776" s="10" t="s">
        <v>110</v>
      </c>
      <c r="D776" s="16">
        <f>D775/($D$770-Inputs!$D$20)</f>
        <v>109677.7462300894</v>
      </c>
      <c r="G776" s="99" t="s">
        <v>931</v>
      </c>
      <c r="H776" s="91"/>
      <c r="I776" s="91"/>
      <c r="J776" s="16">
        <f>MIN(D760:M760,(M746*(Inputs!$D$7+Inputs!$D$20)*$D$768*$D$769-D777))</f>
        <v>1411.4899746065651</v>
      </c>
      <c r="K776" s="99" t="s">
        <v>110</v>
      </c>
      <c r="L776" s="91"/>
      <c r="M776" s="91"/>
    </row>
    <row r="777" spans="2:13" ht="15" customHeight="1" x14ac:dyDescent="0.2">
      <c r="B777" s="10" t="s">
        <v>932</v>
      </c>
      <c r="C777" s="10" t="s">
        <v>928</v>
      </c>
      <c r="D777" s="16">
        <f>M746*(Inputs!$D$7+Inputs!$D$20)*($D$771/Inputs!$D$21+$D$772/Inputs!$D$22)</f>
        <v>23727.267682485937</v>
      </c>
      <c r="G777" s="99" t="s">
        <v>933</v>
      </c>
      <c r="H777" s="91"/>
      <c r="I777" s="91"/>
      <c r="J777" s="31" t="str">
        <f>IF(J776&lt;Inputs!$D$6,"breached","satisfied")</f>
        <v>satisfied</v>
      </c>
      <c r="K777" s="99" t="s">
        <v>934</v>
      </c>
      <c r="L777" s="91"/>
      <c r="M777" s="91"/>
    </row>
    <row r="778" spans="2:13" ht="15" customHeight="1" x14ac:dyDescent="0.2">
      <c r="B778" s="10" t="s">
        <v>935</v>
      </c>
      <c r="C778" s="10" t="s">
        <v>928</v>
      </c>
      <c r="D778" s="16">
        <f>M746*Inputs!$D$20*($D$771+$D$772)</f>
        <v>2398.6078797913146</v>
      </c>
    </row>
    <row r="779" spans="2:13" ht="15" customHeight="1" x14ac:dyDescent="0.2">
      <c r="B779" s="10" t="s">
        <v>936</v>
      </c>
      <c r="C779" s="10" t="s">
        <v>896</v>
      </c>
      <c r="D779" s="28">
        <f>SUM(D756:M756)+D773</f>
        <v>5828.8314024250149</v>
      </c>
      <c r="G779" s="99" t="s">
        <v>937</v>
      </c>
      <c r="H779" s="91"/>
      <c r="I779" s="91"/>
      <c r="J779" s="16">
        <f>D781-D767</f>
        <v>0</v>
      </c>
      <c r="K779" s="99" t="s">
        <v>110</v>
      </c>
      <c r="L779" s="91"/>
      <c r="M779" s="91"/>
    </row>
    <row r="780" spans="2:13" ht="15" customHeight="1" x14ac:dyDescent="0.2">
      <c r="B780" s="10" t="s">
        <v>938</v>
      </c>
      <c r="C780" s="10" t="s">
        <v>110</v>
      </c>
      <c r="D780" s="16">
        <f>SUM(D757:M757)+D774</f>
        <v>-159778.18984452612</v>
      </c>
    </row>
    <row r="781" spans="2:13" ht="15" customHeight="1" x14ac:dyDescent="0.2">
      <c r="B781" s="10" t="s">
        <v>939</v>
      </c>
      <c r="C781" s="10" t="s">
        <v>110</v>
      </c>
      <c r="D781" s="16">
        <f>SUM(D764:M764)+D776/(Inputs!$D$7+$D$770)^M744</f>
        <v>47103.700386874916</v>
      </c>
    </row>
    <row r="782" spans="2:13" ht="15" customHeight="1" x14ac:dyDescent="0.2">
      <c r="B782" s="10" t="s">
        <v>940</v>
      </c>
      <c r="C782" s="10" t="s">
        <v>104</v>
      </c>
      <c r="D782" s="30">
        <f>IF(ABS(D767)&gt;Inputs!$D$6,D781/D767-Inputs!$D$7,Inputs!$D$6)</f>
        <v>2.2204460492503131E-16</v>
      </c>
    </row>
    <row r="783" spans="2:13" ht="15" customHeight="1" x14ac:dyDescent="0.2">
      <c r="B783" s="10" t="s">
        <v>941</v>
      </c>
      <c r="C783" s="10" t="s">
        <v>104</v>
      </c>
      <c r="D783" s="30">
        <f>IF(ABS(D781)&gt;Inputs!$D$119,D776/(Inputs!$D$7+$D$770)^M744/D781,Inputs!$D$6)</f>
        <v>0.7101004136534711</v>
      </c>
    </row>
    <row r="784" spans="2:13" ht="15" customHeight="1" x14ac:dyDescent="0.2">
      <c r="B784" s="10" t="s">
        <v>942</v>
      </c>
      <c r="C784" s="10" t="s">
        <v>943</v>
      </c>
      <c r="D784" s="26">
        <f>$D$768*Inputs!$D$8/Prices!$P$6/(Inputs!$D$26/Inputs!$D$25)/Inputs!$D$11/Inputs!$D$56</f>
        <v>6.4544841923700673</v>
      </c>
    </row>
    <row r="788" spans="1:13" ht="15" customHeight="1" x14ac:dyDescent="0.2">
      <c r="A788" s="104" t="s">
        <v>960</v>
      </c>
      <c r="B788" s="10" t="s">
        <v>886</v>
      </c>
      <c r="C788" s="10" t="s">
        <v>107</v>
      </c>
      <c r="D788" s="28">
        <f>Inputs!$D$60</f>
        <v>1</v>
      </c>
      <c r="E788" s="28">
        <f>Inputs!$D$62</f>
        <v>2</v>
      </c>
      <c r="F788" s="28">
        <f>Inputs!$D$64</f>
        <v>3</v>
      </c>
      <c r="G788" s="28">
        <f>Inputs!$D$66</f>
        <v>4</v>
      </c>
      <c r="H788" s="28">
        <f>Inputs!$D$68</f>
        <v>5</v>
      </c>
      <c r="I788" s="28">
        <f>Inputs!$D$70</f>
        <v>6</v>
      </c>
      <c r="J788" s="28">
        <f>Inputs!$D$72</f>
        <v>7</v>
      </c>
      <c r="K788" s="28">
        <f>Inputs!$D$74</f>
        <v>8</v>
      </c>
      <c r="L788" s="28">
        <f>Inputs!$D$76</f>
        <v>9</v>
      </c>
      <c r="M788" s="28">
        <f>Inputs!$D$78</f>
        <v>10</v>
      </c>
    </row>
    <row r="789" spans="1:13" ht="15" customHeight="1" x14ac:dyDescent="0.2">
      <c r="A789" s="91"/>
      <c r="B789" s="10" t="s">
        <v>887</v>
      </c>
      <c r="C789" s="10" t="s">
        <v>161</v>
      </c>
      <c r="D789" s="29">
        <f>Inputs!$D$61</f>
        <v>46568</v>
      </c>
      <c r="E789" s="29">
        <f>Inputs!$D$63</f>
        <v>46934</v>
      </c>
      <c r="F789" s="29">
        <f>Inputs!$D$65</f>
        <v>47299</v>
      </c>
      <c r="G789" s="29">
        <f>Inputs!$D$67</f>
        <v>47664</v>
      </c>
      <c r="H789" s="29">
        <f>Inputs!$D$69</f>
        <v>48029</v>
      </c>
      <c r="I789" s="29">
        <f>Inputs!$D$71</f>
        <v>48395</v>
      </c>
      <c r="J789" s="29">
        <f>Inputs!$D$73</f>
        <v>48760</v>
      </c>
      <c r="K789" s="29">
        <f>Inputs!$D$75</f>
        <v>49125</v>
      </c>
      <c r="L789" s="29">
        <f>Inputs!$D$77</f>
        <v>49490</v>
      </c>
      <c r="M789" s="29">
        <f>Inputs!$D$79</f>
        <v>49856</v>
      </c>
    </row>
    <row r="790" spans="1:13" ht="15" customHeight="1" x14ac:dyDescent="0.2">
      <c r="A790" s="91"/>
      <c r="B790" s="10" t="s">
        <v>888</v>
      </c>
      <c r="C790" s="10" t="s">
        <v>107</v>
      </c>
      <c r="D790" s="28">
        <f>(D789-Inputs!$D$13)/Inputs!$D$10</f>
        <v>0.71457905544147848</v>
      </c>
      <c r="E790" s="28">
        <f>(E789-Inputs!$D$13)/Inputs!$D$10</f>
        <v>1.7166324435318274</v>
      </c>
      <c r="F790" s="28">
        <f>(F789-Inputs!$D$13)/Inputs!$D$10</f>
        <v>2.7159479808350446</v>
      </c>
      <c r="G790" s="28">
        <f>(G789-Inputs!$D$13)/Inputs!$D$10</f>
        <v>3.7152635181382614</v>
      </c>
      <c r="H790" s="28">
        <f>(H789-Inputs!$D$13)/Inputs!$D$10</f>
        <v>4.7145790554414786</v>
      </c>
      <c r="I790" s="28">
        <f>(I789-Inputs!$D$13)/Inputs!$D$10</f>
        <v>5.7166324435318279</v>
      </c>
      <c r="J790" s="28">
        <f>(J789-Inputs!$D$13)/Inputs!$D$10</f>
        <v>6.7159479808350442</v>
      </c>
      <c r="K790" s="28">
        <f>(K789-Inputs!$D$13)/Inputs!$D$10</f>
        <v>7.7152635181382614</v>
      </c>
      <c r="L790" s="28">
        <f>(L789-Inputs!$D$13)/Inputs!$D$10</f>
        <v>8.7145790554414777</v>
      </c>
      <c r="M790" s="28">
        <f>(M789-Inputs!$D$13)/Inputs!$D$10</f>
        <v>9.716632443531827</v>
      </c>
    </row>
    <row r="791" spans="1:13" ht="15" customHeight="1" x14ac:dyDescent="0.2">
      <c r="A791" s="91"/>
      <c r="B791" s="10" t="s">
        <v>889</v>
      </c>
      <c r="C791" s="10" t="s">
        <v>107</v>
      </c>
      <c r="D791" s="28">
        <f>D790</f>
        <v>0.71457905544147848</v>
      </c>
      <c r="E791" s="28">
        <f>Inputs!$D$7</f>
        <v>1</v>
      </c>
      <c r="F791" s="28">
        <f>Inputs!$D$7</f>
        <v>1</v>
      </c>
      <c r="G791" s="28">
        <f>Inputs!$D$7</f>
        <v>1</v>
      </c>
      <c r="H791" s="28">
        <f>Inputs!$D$7</f>
        <v>1</v>
      </c>
      <c r="I791" s="28">
        <f>Inputs!$D$7</f>
        <v>1</v>
      </c>
      <c r="J791" s="28">
        <f>Inputs!$D$7</f>
        <v>1</v>
      </c>
      <c r="K791" s="28">
        <f>Inputs!$D$7</f>
        <v>1</v>
      </c>
      <c r="L791" s="28">
        <f>Inputs!$D$7</f>
        <v>1</v>
      </c>
      <c r="M791" s="28">
        <f>Inputs!$D$7</f>
        <v>1</v>
      </c>
    </row>
    <row r="792" spans="1:13" ht="15" customHeight="1" x14ac:dyDescent="0.2">
      <c r="A792" s="91"/>
      <c r="B792" s="3" t="s">
        <v>890</v>
      </c>
      <c r="C792" s="10" t="s">
        <v>199</v>
      </c>
      <c r="D792" s="28">
        <f>Inputs!$D$24+(Inputs!$D$106-Inputs!$D$24)*Inputs!$D$109</f>
        <v>170.32</v>
      </c>
      <c r="E792" s="28">
        <f>Inputs!$D$24+(Inputs!$D$106-Inputs!$D$24)*Inputs!$D$110</f>
        <v>481.12000000000006</v>
      </c>
      <c r="F792" s="28">
        <f>Inputs!$D$24+(Inputs!$D$106-Inputs!$D$24)*Inputs!$D$111</f>
        <v>823</v>
      </c>
      <c r="G792" s="28">
        <f>Inputs!$D$24+(Inputs!$D$106-Inputs!$D$24)*Inputs!$D$112</f>
        <v>1211.5</v>
      </c>
      <c r="H792" s="28">
        <f>Inputs!$D$24+(Inputs!$D$106-Inputs!$D$24)*Inputs!$D$113</f>
        <v>1600</v>
      </c>
      <c r="I792" s="28">
        <f>Inputs!$D$24+(Inputs!$D$106-Inputs!$D$24)*Inputs!$D$114</f>
        <v>1600</v>
      </c>
      <c r="J792" s="28">
        <f>Inputs!$D$24+(Inputs!$D$106-Inputs!$D$24)*Inputs!$D$115</f>
        <v>1600</v>
      </c>
      <c r="K792" s="28">
        <f>Inputs!$D$24+(Inputs!$D$106-Inputs!$D$24)*Inputs!$D$116</f>
        <v>1600</v>
      </c>
      <c r="L792" s="28">
        <f>Inputs!$D$24+(Inputs!$D$106-Inputs!$D$24)*Inputs!$D$117</f>
        <v>1600</v>
      </c>
      <c r="M792" s="28">
        <f>Inputs!$D$24+(Inputs!$D$106-Inputs!$D$24)*Inputs!$D$118</f>
        <v>1600</v>
      </c>
    </row>
    <row r="793" spans="1:13" ht="15" customHeight="1" x14ac:dyDescent="0.2">
      <c r="A793" s="91"/>
      <c r="B793" s="10" t="s">
        <v>891</v>
      </c>
      <c r="C793" s="10" t="s">
        <v>199</v>
      </c>
      <c r="D793" s="28">
        <f>Inputs!$D$24</f>
        <v>46</v>
      </c>
      <c r="E793" s="28">
        <f t="shared" ref="E793:M793" si="170">D792</f>
        <v>170.32</v>
      </c>
      <c r="F793" s="28">
        <f t="shared" si="170"/>
        <v>481.12000000000006</v>
      </c>
      <c r="G793" s="28">
        <f t="shared" si="170"/>
        <v>823</v>
      </c>
      <c r="H793" s="28">
        <f t="shared" si="170"/>
        <v>1211.5</v>
      </c>
      <c r="I793" s="28">
        <f t="shared" si="170"/>
        <v>1600</v>
      </c>
      <c r="J793" s="28">
        <f t="shared" si="170"/>
        <v>1600</v>
      </c>
      <c r="K793" s="28">
        <f t="shared" si="170"/>
        <v>1600</v>
      </c>
      <c r="L793" s="28">
        <f t="shared" si="170"/>
        <v>1600</v>
      </c>
      <c r="M793" s="28">
        <f t="shared" si="170"/>
        <v>1600</v>
      </c>
    </row>
    <row r="794" spans="1:13" ht="15" customHeight="1" x14ac:dyDescent="0.2">
      <c r="B794" s="10" t="s">
        <v>892</v>
      </c>
      <c r="C794" s="10" t="s">
        <v>199</v>
      </c>
      <c r="D794" s="28">
        <f>(D793+D792)*Inputs!$D$12</f>
        <v>108.16</v>
      </c>
      <c r="E794" s="28">
        <f>(E793+E792)*Inputs!$D$12</f>
        <v>325.72000000000003</v>
      </c>
      <c r="F794" s="28">
        <f>(F793+F792)*Inputs!$D$12</f>
        <v>652.06000000000006</v>
      </c>
      <c r="G794" s="28">
        <f>(G793+G792)*Inputs!$D$12</f>
        <v>1017.25</v>
      </c>
      <c r="H794" s="28">
        <f>(H793+H792)*Inputs!$D$12</f>
        <v>1405.75</v>
      </c>
      <c r="I794" s="28">
        <f>(I793+I792)*Inputs!$D$12</f>
        <v>1600</v>
      </c>
      <c r="J794" s="28">
        <f>(J793+J792)*Inputs!$D$12</f>
        <v>1600</v>
      </c>
      <c r="K794" s="28">
        <f>(K793+K792)*Inputs!$D$12</f>
        <v>1600</v>
      </c>
      <c r="L794" s="28">
        <f>(L793+L792)*Inputs!$D$12</f>
        <v>1600</v>
      </c>
      <c r="M794" s="28">
        <f>(M793+M792)*Inputs!$D$12</f>
        <v>1600</v>
      </c>
    </row>
    <row r="795" spans="1:13" ht="15" customHeight="1" x14ac:dyDescent="0.2">
      <c r="B795" s="10" t="s">
        <v>893</v>
      </c>
      <c r="C795" s="10" t="s">
        <v>199</v>
      </c>
      <c r="D795" s="28">
        <f t="shared" ref="D795:M795" si="171">D792-D793</f>
        <v>124.32</v>
      </c>
      <c r="E795" s="28">
        <f t="shared" si="171"/>
        <v>310.80000000000007</v>
      </c>
      <c r="F795" s="28">
        <f t="shared" si="171"/>
        <v>341.87999999999994</v>
      </c>
      <c r="G795" s="28">
        <f t="shared" si="171"/>
        <v>388.5</v>
      </c>
      <c r="H795" s="28">
        <f t="shared" si="171"/>
        <v>388.5</v>
      </c>
      <c r="I795" s="28">
        <f t="shared" si="171"/>
        <v>0</v>
      </c>
      <c r="J795" s="28">
        <f t="shared" si="171"/>
        <v>0</v>
      </c>
      <c r="K795" s="28">
        <f t="shared" si="171"/>
        <v>0</v>
      </c>
      <c r="L795" s="28">
        <f t="shared" si="171"/>
        <v>0</v>
      </c>
      <c r="M795" s="28">
        <f t="shared" si="171"/>
        <v>0</v>
      </c>
    </row>
    <row r="796" spans="1:13" ht="15" customHeight="1" x14ac:dyDescent="0.2">
      <c r="B796" s="10" t="s">
        <v>894</v>
      </c>
      <c r="C796" s="10" t="s">
        <v>199</v>
      </c>
      <c r="D796" s="28">
        <f>IF(MOD(D788,Inputs!$D$21)=Inputs!$D$6,Inputs!$D$24,Inputs!$D$6)+SUMPRODUCT(--(D788&gt;$D$788:$M$788),--(MOD(D788-$D$788:$M$788,Inputs!$D$21)=Inputs!$D$6),$D$795:$M$795)</f>
        <v>0</v>
      </c>
      <c r="E796" s="28">
        <f>IF(MOD(E788,Inputs!$D$21)=Inputs!$D$6,Inputs!$D$24,Inputs!$D$6)+SUMPRODUCT(--(E788&gt;$D$788:$M$788),--(MOD(E788-$D$788:$M$788,Inputs!$D$21)=Inputs!$D$6),$D$795:$M$795)</f>
        <v>0</v>
      </c>
      <c r="F796" s="28">
        <f>IF(MOD(F788,Inputs!$D$21)=Inputs!$D$6,Inputs!$D$24,Inputs!$D$6)+SUMPRODUCT(--(F788&gt;$D$788:$M$788),--(MOD(F788-$D$788:$M$788,Inputs!$D$21)=Inputs!$D$6),$D$795:$M$795)</f>
        <v>0</v>
      </c>
      <c r="G796" s="28">
        <f>IF(MOD(G788,Inputs!$D$21)=Inputs!$D$6,Inputs!$D$24,Inputs!$D$6)+SUMPRODUCT(--(G788&gt;$D$788:$M$788),--(MOD(G788-$D$788:$M$788,Inputs!$D$21)=Inputs!$D$6),$D$795:$M$795)</f>
        <v>46</v>
      </c>
      <c r="H796" s="28">
        <f>IF(MOD(H788,Inputs!$D$21)=Inputs!$D$6,Inputs!$D$24,Inputs!$D$6)+SUMPRODUCT(--(H788&gt;$D$788:$M$788),--(MOD(H788-$D$788:$M$788,Inputs!$D$21)=Inputs!$D$6),$D$795:$M$795)</f>
        <v>124.32</v>
      </c>
      <c r="I796" s="28">
        <f>IF(MOD(I788,Inputs!$D$21)=Inputs!$D$6,Inputs!$D$24,Inputs!$D$6)+SUMPRODUCT(--(I788&gt;$D$788:$M$788),--(MOD(I788-$D$788:$M$788,Inputs!$D$21)=Inputs!$D$6),$D$795:$M$795)</f>
        <v>310.80000000000007</v>
      </c>
      <c r="J796" s="28">
        <f>IF(MOD(J788,Inputs!$D$21)=Inputs!$D$6,Inputs!$D$24,Inputs!$D$6)+SUMPRODUCT(--(J788&gt;$D$788:$M$788),--(MOD(J788-$D$788:$M$788,Inputs!$D$21)=Inputs!$D$6),$D$795:$M$795)</f>
        <v>341.87999999999994</v>
      </c>
      <c r="K796" s="28">
        <f>IF(MOD(K788,Inputs!$D$21)=Inputs!$D$6,Inputs!$D$24,Inputs!$D$6)+SUMPRODUCT(--(K788&gt;$D$788:$M$788),--(MOD(K788-$D$788:$M$788,Inputs!$D$21)=Inputs!$D$6),$D$795:$M$795)</f>
        <v>434.5</v>
      </c>
      <c r="L796" s="28">
        <f>IF(MOD(L788,Inputs!$D$21)=Inputs!$D$6,Inputs!$D$24,Inputs!$D$6)+SUMPRODUCT(--(L788&gt;$D$788:$M$788),--(MOD(L788-$D$788:$M$788,Inputs!$D$21)=Inputs!$D$6),$D$795:$M$795)</f>
        <v>512.81999999999994</v>
      </c>
      <c r="M796" s="28">
        <f>IF(MOD(M788,Inputs!$D$21)=Inputs!$D$6,Inputs!$D$24,Inputs!$D$6)+SUMPRODUCT(--(M788&gt;$D$788:$M$788),--(MOD(M788-$D$788:$M$788,Inputs!$D$21)=Inputs!$D$6),$D$795:$M$795)</f>
        <v>310.80000000000007</v>
      </c>
    </row>
    <row r="797" spans="1:13" ht="15" customHeight="1" x14ac:dyDescent="0.2">
      <c r="B797" s="10" t="s">
        <v>895</v>
      </c>
      <c r="C797" s="10" t="s">
        <v>896</v>
      </c>
      <c r="D797" s="28">
        <f t="shared" ref="D797:M797" si="172">D794*D791</f>
        <v>77.288870636550314</v>
      </c>
      <c r="E797" s="28">
        <f t="shared" si="172"/>
        <v>325.72000000000003</v>
      </c>
      <c r="F797" s="28">
        <f t="shared" si="172"/>
        <v>652.06000000000006</v>
      </c>
      <c r="G797" s="28">
        <f t="shared" si="172"/>
        <v>1017.25</v>
      </c>
      <c r="H797" s="28">
        <f t="shared" si="172"/>
        <v>1405.75</v>
      </c>
      <c r="I797" s="28">
        <f t="shared" si="172"/>
        <v>1600</v>
      </c>
      <c r="J797" s="28">
        <f t="shared" si="172"/>
        <v>1600</v>
      </c>
      <c r="K797" s="28">
        <f t="shared" si="172"/>
        <v>1600</v>
      </c>
      <c r="L797" s="28">
        <f t="shared" si="172"/>
        <v>1600</v>
      </c>
      <c r="M797" s="28">
        <f t="shared" si="172"/>
        <v>1600</v>
      </c>
    </row>
    <row r="798" spans="1:13" ht="15" customHeight="1" x14ac:dyDescent="0.2">
      <c r="B798" s="10" t="s">
        <v>897</v>
      </c>
      <c r="C798" s="10" t="s">
        <v>110</v>
      </c>
      <c r="D798" s="16">
        <f>D797*($D$817/Inputs!$D$21+$D$818/Inputs!$D$22)</f>
        <v>1118.2034893112541</v>
      </c>
      <c r="E798" s="16">
        <f>E797*($D$817/Inputs!$D$21+$D$818/Inputs!$D$22)</f>
        <v>4712.466847280074</v>
      </c>
      <c r="F798" s="16">
        <f>F797*($D$817/Inputs!$D$21+$D$818/Inputs!$D$22)</f>
        <v>9433.9037591718188</v>
      </c>
      <c r="G798" s="16">
        <f>G797*($D$817/Inputs!$D$21+$D$818/Inputs!$D$22)</f>
        <v>14717.416493907818</v>
      </c>
      <c r="H798" s="16">
        <f>H797*($D$817/Inputs!$D$21+$D$818/Inputs!$D$22)</f>
        <v>20338.17472235037</v>
      </c>
      <c r="I798" s="16">
        <f>I797*($D$817/Inputs!$D$21+$D$818/Inputs!$D$22)</f>
        <v>23148.553836571649</v>
      </c>
      <c r="J798" s="16">
        <f>J797*($D$817/Inputs!$D$21+$D$818/Inputs!$D$22)</f>
        <v>23148.553836571649</v>
      </c>
      <c r="K798" s="16">
        <f>K797*($D$817/Inputs!$D$21+$D$818/Inputs!$D$22)</f>
        <v>23148.553836571649</v>
      </c>
      <c r="L798" s="16">
        <f>L797*($D$817/Inputs!$D$21+$D$818/Inputs!$D$22)</f>
        <v>23148.553836571649</v>
      </c>
      <c r="M798" s="16">
        <f>M797*($D$817/Inputs!$D$21+$D$818/Inputs!$D$22)</f>
        <v>23148.553836571649</v>
      </c>
    </row>
    <row r="799" spans="1:13" ht="15" customHeight="1" x14ac:dyDescent="0.2">
      <c r="B799" s="10" t="s">
        <v>898</v>
      </c>
      <c r="C799" s="10" t="s">
        <v>110</v>
      </c>
      <c r="D799" s="16">
        <f t="shared" ref="D799:M799" si="173">D795*($D$817+$D$818)</f>
        <v>7454.8732903914051</v>
      </c>
      <c r="E799" s="16">
        <f t="shared" si="173"/>
        <v>18637.183225978519</v>
      </c>
      <c r="F799" s="16">
        <f t="shared" si="173"/>
        <v>20500.901548576363</v>
      </c>
      <c r="G799" s="16">
        <f t="shared" si="173"/>
        <v>23296.479032473144</v>
      </c>
      <c r="H799" s="16">
        <f t="shared" si="173"/>
        <v>23296.479032473144</v>
      </c>
      <c r="I799" s="16">
        <f t="shared" si="173"/>
        <v>0</v>
      </c>
      <c r="J799" s="16">
        <f t="shared" si="173"/>
        <v>0</v>
      </c>
      <c r="K799" s="16">
        <f t="shared" si="173"/>
        <v>0</v>
      </c>
      <c r="L799" s="16">
        <f t="shared" si="173"/>
        <v>0</v>
      </c>
      <c r="M799" s="16">
        <f t="shared" si="173"/>
        <v>0</v>
      </c>
    </row>
    <row r="800" spans="1:13" ht="15" customHeight="1" x14ac:dyDescent="0.2">
      <c r="B800" s="10" t="s">
        <v>899</v>
      </c>
      <c r="C800" s="10" t="s">
        <v>110</v>
      </c>
      <c r="D800" s="16">
        <f t="shared" ref="D800:M800" si="174">D796*$D$817</f>
        <v>0</v>
      </c>
      <c r="E800" s="16">
        <f t="shared" si="174"/>
        <v>0</v>
      </c>
      <c r="F800" s="16">
        <f t="shared" si="174"/>
        <v>0</v>
      </c>
      <c r="G800" s="16">
        <f t="shared" si="174"/>
        <v>2638.0048485671714</v>
      </c>
      <c r="H800" s="16">
        <f t="shared" si="174"/>
        <v>7129.4948429102333</v>
      </c>
      <c r="I800" s="16">
        <f t="shared" si="174"/>
        <v>17823.737107275589</v>
      </c>
      <c r="J800" s="16">
        <f t="shared" si="174"/>
        <v>19606.110818003141</v>
      </c>
      <c r="K800" s="16">
        <f t="shared" si="174"/>
        <v>24917.676232661652</v>
      </c>
      <c r="L800" s="16">
        <f t="shared" si="174"/>
        <v>29409.166227004709</v>
      </c>
      <c r="M800" s="16">
        <f t="shared" si="174"/>
        <v>17823.737107275589</v>
      </c>
    </row>
    <row r="801" spans="2:13" ht="15" customHeight="1" x14ac:dyDescent="0.2">
      <c r="B801" s="10" t="s">
        <v>900</v>
      </c>
      <c r="C801" s="10" t="s">
        <v>199</v>
      </c>
      <c r="D801" s="28">
        <f>D795*Inputs!$D$23</f>
        <v>3.1080000000000001</v>
      </c>
      <c r="E801" s="28">
        <f>E795*Inputs!$D$23</f>
        <v>7.7700000000000022</v>
      </c>
      <c r="F801" s="28">
        <f>F795*Inputs!$D$23</f>
        <v>8.5469999999999988</v>
      </c>
      <c r="G801" s="28">
        <f>G795*Inputs!$D$23</f>
        <v>9.7125000000000004</v>
      </c>
      <c r="H801" s="28">
        <f>H795*Inputs!$D$23</f>
        <v>9.7125000000000004</v>
      </c>
      <c r="I801" s="28">
        <f>I795*Inputs!$D$23</f>
        <v>0</v>
      </c>
      <c r="J801" s="28">
        <f>J795*Inputs!$D$23</f>
        <v>0</v>
      </c>
      <c r="K801" s="28">
        <f>K795*Inputs!$D$23</f>
        <v>0</v>
      </c>
      <c r="L801" s="28">
        <f>L795*Inputs!$D$23</f>
        <v>0</v>
      </c>
      <c r="M801" s="28">
        <f>M795*Inputs!$D$23</f>
        <v>0</v>
      </c>
    </row>
    <row r="802" spans="2:13" ht="15" customHeight="1" x14ac:dyDescent="0.2">
      <c r="B802" s="3" t="s">
        <v>901</v>
      </c>
      <c r="C802" s="10" t="s">
        <v>896</v>
      </c>
      <c r="D802" s="28">
        <f>(D797*$D$815*(Inputs!$D$7-Inputs!$D$19)-D801)/(Inputs!$D$7+$D$816)^D790</f>
        <v>40.99699201112098</v>
      </c>
      <c r="E802" s="28">
        <f>(E797*$D$815*(Inputs!$D$7-Inputs!$D$19)-E801)/(Inputs!$D$7+$D$816)^E790</f>
        <v>153.02781912726542</v>
      </c>
      <c r="F802" s="28">
        <f>(F797*$D$815*(Inputs!$D$7-Inputs!$D$19)-F801)/(Inputs!$D$7+$D$816)^F790</f>
        <v>268.8019226843403</v>
      </c>
      <c r="G802" s="28">
        <f>(G797*$D$815*(Inputs!$D$7-Inputs!$D$19)-G801)/(Inputs!$D$7+$D$816)^G790</f>
        <v>363.62824610263397</v>
      </c>
      <c r="H802" s="28">
        <f>(H797*$D$815*(Inputs!$D$7-Inputs!$D$19)-H801)/(Inputs!$D$7+$D$816)^H790</f>
        <v>435.07807528321291</v>
      </c>
      <c r="I802" s="28">
        <f>(I797*$D$815*(Inputs!$D$7-Inputs!$D$19)-I801)/(Inputs!$D$7+$D$816)^I790</f>
        <v>431.49711827119876</v>
      </c>
      <c r="J802" s="28">
        <f>(J797*$D$815*(Inputs!$D$7-Inputs!$D$19)-J801)/(Inputs!$D$7+$D$816)^J790</f>
        <v>372.01806500733016</v>
      </c>
      <c r="K802" s="28">
        <f>(K797*$D$815*(Inputs!$D$7-Inputs!$D$19)-K801)/(Inputs!$D$7+$D$816)^K790</f>
        <v>320.73780989845312</v>
      </c>
      <c r="L802" s="28">
        <f>(L797*$D$815*(Inputs!$D$7-Inputs!$D$19)-L801)/(Inputs!$D$7+$D$816)^L790</f>
        <v>276.52620228651875</v>
      </c>
      <c r="M802" s="28">
        <f>(M797*$D$815*(Inputs!$D$7-Inputs!$D$19)-M801)/(Inputs!$D$7+$D$816)^M790</f>
        <v>238.31201718226143</v>
      </c>
    </row>
    <row r="803" spans="2:13" ht="15" customHeight="1" x14ac:dyDescent="0.2">
      <c r="B803" s="10" t="s">
        <v>902</v>
      </c>
      <c r="C803" s="10" t="s">
        <v>110</v>
      </c>
      <c r="D803" s="16">
        <f>(D798*Inputs!$D$19-D799-D800)/(Inputs!$D$7+$D$816)^D790</f>
        <v>-6403.0045740313244</v>
      </c>
      <c r="E803" s="16">
        <f>(E798*Inputs!$D$19-E799-E800)/(Inputs!$D$7+$D$816)^E790</f>
        <v>-13349.632212764713</v>
      </c>
      <c r="F803" s="16">
        <f>(F798*Inputs!$D$19-F799-F800)/(Inputs!$D$7+$D$816)^F790</f>
        <v>-11808.370082432088</v>
      </c>
      <c r="G803" s="16">
        <f>(G798*Inputs!$D$19-G799-G800)/(Inputs!$D$7+$D$816)^G790</f>
        <v>-12397.921878440668</v>
      </c>
      <c r="H803" s="16">
        <f>(H798*Inputs!$D$19-H799-H800)/(Inputs!$D$7+$D$816)^H790</f>
        <v>-12082.366885213038</v>
      </c>
      <c r="I803" s="16">
        <f>(I798*Inputs!$D$19-I799-I800)/(Inputs!$D$7+$D$816)^I790</f>
        <v>-4657.0743222469628</v>
      </c>
      <c r="J803" s="16">
        <f>(J798*Inputs!$D$19-J799-J800)/(Inputs!$D$7+$D$816)^J790</f>
        <v>-4672.9398284057479</v>
      </c>
      <c r="K803" s="16">
        <f>(K798*Inputs!$D$19-K799-K800)/(Inputs!$D$7+$D$816)^K790</f>
        <v>-5718.9047268503064</v>
      </c>
      <c r="L803" s="16">
        <f>(L798*Inputs!$D$19-L799-L800)/(Inputs!$D$7+$D$816)^L790</f>
        <v>-6162.7485564592316</v>
      </c>
      <c r="M803" s="16">
        <f>(M798*Inputs!$D$19-M799-M800)/(Inputs!$D$7+$D$816)^M790</f>
        <v>-2572.0606903447429</v>
      </c>
    </row>
    <row r="804" spans="2:13" ht="15" customHeight="1" x14ac:dyDescent="0.2">
      <c r="B804" s="10" t="s">
        <v>903</v>
      </c>
      <c r="C804" s="10" t="s">
        <v>110</v>
      </c>
      <c r="D804" s="16">
        <f t="shared" ref="D804:M804" si="175">D797*$D$814</f>
        <v>2630.0332687382556</v>
      </c>
      <c r="E804" s="16">
        <f t="shared" si="175"/>
        <v>11083.80067192117</v>
      </c>
      <c r="F804" s="16">
        <f t="shared" si="175"/>
        <v>22188.699085511842</v>
      </c>
      <c r="G804" s="16">
        <f t="shared" si="175"/>
        <v>34615.609215006167</v>
      </c>
      <c r="H804" s="16">
        <f t="shared" si="175"/>
        <v>47835.726374042679</v>
      </c>
      <c r="I804" s="16">
        <f t="shared" si="175"/>
        <v>54445.784953560942</v>
      </c>
      <c r="J804" s="16">
        <f t="shared" si="175"/>
        <v>54445.784953560942</v>
      </c>
      <c r="K804" s="16">
        <f t="shared" si="175"/>
        <v>54445.784953560942</v>
      </c>
      <c r="L804" s="16">
        <f t="shared" si="175"/>
        <v>54445.784953560942</v>
      </c>
      <c r="M804" s="16">
        <f t="shared" si="175"/>
        <v>54445.784953560942</v>
      </c>
    </row>
    <row r="805" spans="2:13" ht="15" customHeight="1" x14ac:dyDescent="0.2">
      <c r="B805" s="10" t="s">
        <v>904</v>
      </c>
      <c r="C805" s="10" t="s">
        <v>110</v>
      </c>
      <c r="D805" s="16">
        <f t="shared" ref="D805:M805" si="176">D804*$D$815</f>
        <v>2367.0299418644299</v>
      </c>
      <c r="E805" s="16">
        <f t="shared" si="176"/>
        <v>9975.4206047290536</v>
      </c>
      <c r="F805" s="16">
        <f t="shared" si="176"/>
        <v>19969.829176960659</v>
      </c>
      <c r="G805" s="16">
        <f t="shared" si="176"/>
        <v>31154.048293505552</v>
      </c>
      <c r="H805" s="16">
        <f t="shared" si="176"/>
        <v>43052.153736638415</v>
      </c>
      <c r="I805" s="16">
        <f t="shared" si="176"/>
        <v>49001.206458204848</v>
      </c>
      <c r="J805" s="16">
        <f t="shared" si="176"/>
        <v>49001.206458204848</v>
      </c>
      <c r="K805" s="16">
        <f t="shared" si="176"/>
        <v>49001.206458204848</v>
      </c>
      <c r="L805" s="16">
        <f t="shared" si="176"/>
        <v>49001.206458204848</v>
      </c>
      <c r="M805" s="16">
        <f t="shared" si="176"/>
        <v>49001.206458204848</v>
      </c>
    </row>
    <row r="806" spans="2:13" ht="15" customHeight="1" x14ac:dyDescent="0.2">
      <c r="B806" s="10" t="s">
        <v>905</v>
      </c>
      <c r="C806" s="10" t="s">
        <v>110</v>
      </c>
      <c r="D806" s="16">
        <f t="shared" ref="D806:M806" si="177">D805-D798</f>
        <v>1248.8264525531758</v>
      </c>
      <c r="E806" s="16">
        <f t="shared" si="177"/>
        <v>5262.9537574489796</v>
      </c>
      <c r="F806" s="16">
        <f t="shared" si="177"/>
        <v>10535.92541778884</v>
      </c>
      <c r="G806" s="16">
        <f t="shared" si="177"/>
        <v>16436.631799597733</v>
      </c>
      <c r="H806" s="16">
        <f t="shared" si="177"/>
        <v>22713.979014288045</v>
      </c>
      <c r="I806" s="16">
        <f t="shared" si="177"/>
        <v>25852.652621633199</v>
      </c>
      <c r="J806" s="16">
        <f t="shared" si="177"/>
        <v>25852.652621633199</v>
      </c>
      <c r="K806" s="16">
        <f t="shared" si="177"/>
        <v>25852.652621633199</v>
      </c>
      <c r="L806" s="16">
        <f t="shared" si="177"/>
        <v>25852.652621633199</v>
      </c>
      <c r="M806" s="16">
        <f t="shared" si="177"/>
        <v>25852.652621633199</v>
      </c>
    </row>
    <row r="807" spans="2:13" ht="15" customHeight="1" x14ac:dyDescent="0.2">
      <c r="B807" s="10" t="s">
        <v>906</v>
      </c>
      <c r="C807" s="10" t="s">
        <v>110</v>
      </c>
      <c r="D807" s="16">
        <f>MAX(D806,Inputs!$D$6)*Inputs!$D$19</f>
        <v>374.64793576595275</v>
      </c>
      <c r="E807" s="16">
        <f>MAX(E806,Inputs!$D$6)*Inputs!$D$19</f>
        <v>1578.8861272346937</v>
      </c>
      <c r="F807" s="16">
        <f>MAX(F806,Inputs!$D$6)*Inputs!$D$19</f>
        <v>3160.7776253366519</v>
      </c>
      <c r="G807" s="16">
        <f>MAX(G806,Inputs!$D$6)*Inputs!$D$19</f>
        <v>4930.9895398793196</v>
      </c>
      <c r="H807" s="16">
        <f>MAX(H806,Inputs!$D$6)*Inputs!$D$19</f>
        <v>6814.1937042864129</v>
      </c>
      <c r="I807" s="16">
        <f>MAX(I806,Inputs!$D$6)*Inputs!$D$19</f>
        <v>7755.795786489959</v>
      </c>
      <c r="J807" s="16">
        <f>MAX(J806,Inputs!$D$6)*Inputs!$D$19</f>
        <v>7755.795786489959</v>
      </c>
      <c r="K807" s="16">
        <f>MAX(K806,Inputs!$D$6)*Inputs!$D$19</f>
        <v>7755.795786489959</v>
      </c>
      <c r="L807" s="16">
        <f>MAX(L806,Inputs!$D$6)*Inputs!$D$19</f>
        <v>7755.795786489959</v>
      </c>
      <c r="M807" s="16">
        <f>MAX(M806,Inputs!$D$6)*Inputs!$D$19</f>
        <v>7755.795786489959</v>
      </c>
    </row>
    <row r="808" spans="2:13" ht="15" customHeight="1" x14ac:dyDescent="0.2">
      <c r="B808" s="10" t="s">
        <v>907</v>
      </c>
      <c r="C808" s="10" t="s">
        <v>110</v>
      </c>
      <c r="D808" s="16">
        <f t="shared" ref="D808:M808" si="178">D801*$D$814</f>
        <v>105.76093727229213</v>
      </c>
      <c r="E808" s="16">
        <f t="shared" si="178"/>
        <v>264.40234318073038</v>
      </c>
      <c r="F808" s="16">
        <f t="shared" si="178"/>
        <v>290.84257749880328</v>
      </c>
      <c r="G808" s="16">
        <f t="shared" si="178"/>
        <v>330.50292897591288</v>
      </c>
      <c r="H808" s="16">
        <f t="shared" si="178"/>
        <v>330.50292897591288</v>
      </c>
      <c r="I808" s="16">
        <f t="shared" si="178"/>
        <v>0</v>
      </c>
      <c r="J808" s="16">
        <f t="shared" si="178"/>
        <v>0</v>
      </c>
      <c r="K808" s="16">
        <f t="shared" si="178"/>
        <v>0</v>
      </c>
      <c r="L808" s="16">
        <f t="shared" si="178"/>
        <v>0</v>
      </c>
      <c r="M808" s="16">
        <f t="shared" si="178"/>
        <v>0</v>
      </c>
    </row>
    <row r="809" spans="2:13" ht="15" customHeight="1" x14ac:dyDescent="0.2">
      <c r="B809" s="10" t="s">
        <v>908</v>
      </c>
      <c r="C809" s="10" t="s">
        <v>110</v>
      </c>
      <c r="D809" s="16">
        <f t="shared" ref="D809:M809" si="179">D805-D807-D799-D800-D808</f>
        <v>-5568.2522215652198</v>
      </c>
      <c r="E809" s="16">
        <f t="shared" si="179"/>
        <v>-10505.051091664889</v>
      </c>
      <c r="F809" s="16">
        <f t="shared" si="179"/>
        <v>-3982.6925744511614</v>
      </c>
      <c r="G809" s="16">
        <f t="shared" si="179"/>
        <v>-41.928056389996243</v>
      </c>
      <c r="H809" s="16">
        <f t="shared" si="179"/>
        <v>5481.4832279927086</v>
      </c>
      <c r="I809" s="16">
        <f t="shared" si="179"/>
        <v>23421.673564439301</v>
      </c>
      <c r="J809" s="16">
        <f t="shared" si="179"/>
        <v>21639.299853711749</v>
      </c>
      <c r="K809" s="16">
        <f t="shared" si="179"/>
        <v>16327.734439053238</v>
      </c>
      <c r="L809" s="16">
        <f t="shared" si="179"/>
        <v>11836.244444710181</v>
      </c>
      <c r="M809" s="16">
        <f t="shared" si="179"/>
        <v>23421.673564439301</v>
      </c>
    </row>
    <row r="810" spans="2:13" ht="15" customHeight="1" x14ac:dyDescent="0.2">
      <c r="B810" s="10" t="s">
        <v>909</v>
      </c>
      <c r="C810" s="10" t="s">
        <v>110</v>
      </c>
      <c r="D810" s="16">
        <f>D809/(Inputs!$D$7+$D$816)^D790</f>
        <v>-5007.9336922936063</v>
      </c>
      <c r="E810" s="16">
        <f>E809/(Inputs!$D$7+$D$816)^E790</f>
        <v>-8142.3073801925148</v>
      </c>
      <c r="F810" s="16">
        <f>F809/(Inputs!$D$7+$D$816)^F790</f>
        <v>-2661.4127839475209</v>
      </c>
      <c r="G810" s="16">
        <f>G809/(Inputs!$D$7+$D$816)^G790</f>
        <v>-24.156071975325663</v>
      </c>
      <c r="H810" s="16">
        <f>H809/(Inputs!$D$7+$D$816)^H790</f>
        <v>2722.7376928363424</v>
      </c>
      <c r="I810" s="16">
        <f>I809/(Inputs!$D$7+$D$816)^I790</f>
        <v>10026.175246174877</v>
      </c>
      <c r="J810" s="16">
        <f>J809/(Inputs!$D$7+$D$816)^J790</f>
        <v>7986.3199004873495</v>
      </c>
      <c r="K810" s="16">
        <f>K809/(Inputs!$D$7+$D$816)^K790</f>
        <v>5195.3589132792504</v>
      </c>
      <c r="L810" s="16">
        <f>L809/(Inputs!$D$7+$D$816)^L790</f>
        <v>3247.0552833637021</v>
      </c>
      <c r="M810" s="16">
        <f>M809/(Inputs!$D$7+$D$816)^M790</f>
        <v>5537.3673342519623</v>
      </c>
    </row>
    <row r="811" spans="2:13" ht="15" customHeight="1" x14ac:dyDescent="0.2">
      <c r="B811" s="3" t="s">
        <v>910</v>
      </c>
      <c r="C811" s="10" t="s">
        <v>896</v>
      </c>
      <c r="D811" s="28">
        <f>(D797*$D$815-D801)/(Inputs!$D$7+$D$816)^D790</f>
        <v>59.765095798928819</v>
      </c>
      <c r="E811" s="28">
        <f>(E797*$D$815-E801)/(Inputs!$D$7+$D$816)^E790</f>
        <v>221.1922031857838</v>
      </c>
      <c r="F811" s="28">
        <f>(F797*$D$815-F801)/(Inputs!$D$7+$D$816)^F790</f>
        <v>386.45052664112239</v>
      </c>
      <c r="G811" s="28">
        <f>(G797*$D$815-G801)/(Inputs!$D$7+$D$816)^G790</f>
        <v>521.867070169518</v>
      </c>
      <c r="H811" s="28">
        <f>(H797*$D$815-H801)/(Inputs!$D$7+$D$816)^H790</f>
        <v>623.60768582417222</v>
      </c>
      <c r="I811" s="28">
        <f>(I797*$D$815-I801)/(Inputs!$D$7+$D$816)^I790</f>
        <v>616.42445467314121</v>
      </c>
      <c r="J811" s="28">
        <f>(J797*$D$815-J801)/(Inputs!$D$7+$D$816)^J790</f>
        <v>531.4543785819003</v>
      </c>
      <c r="K811" s="28">
        <f>(K797*$D$815-K801)/(Inputs!$D$7+$D$816)^K790</f>
        <v>458.19687128350449</v>
      </c>
      <c r="L811" s="28">
        <f>(L797*$D$815-L801)/(Inputs!$D$7+$D$816)^L790</f>
        <v>395.03743183788401</v>
      </c>
      <c r="M811" s="28">
        <f>(M797*$D$815-M801)/(Inputs!$D$7+$D$816)^M790</f>
        <v>340.44573883180209</v>
      </c>
    </row>
    <row r="812" spans="2:13" ht="15" customHeight="1" x14ac:dyDescent="0.2">
      <c r="B812" s="10" t="s">
        <v>911</v>
      </c>
      <c r="C812" s="10" t="s">
        <v>110</v>
      </c>
      <c r="D812" s="16">
        <f>(-D799-D800)/(Inputs!$D$7+$D$816)^D790</f>
        <v>-6704.7090607969039</v>
      </c>
      <c r="E812" s="16">
        <f>(-E799-E800)/(Inputs!$D$7+$D$816)^E790</f>
        <v>-14445.4009031226</v>
      </c>
      <c r="F812" s="16">
        <f>(-F799-F800)/(Inputs!$D$7+$D$816)^F790</f>
        <v>-13699.616639717549</v>
      </c>
      <c r="G812" s="16">
        <f>(-G799-G800)/(Inputs!$D$7+$D$816)^G790</f>
        <v>-14941.671835349038</v>
      </c>
      <c r="H812" s="16">
        <f>(-H799-H800)/(Inputs!$D$7+$D$816)^H790</f>
        <v>-15113.052884793095</v>
      </c>
      <c r="I812" s="16">
        <f>(-I799-I800)/(Inputs!$D$7+$D$816)^I790</f>
        <v>-7629.8523795762403</v>
      </c>
      <c r="J812" s="16">
        <f>(-J799-J800)/(Inputs!$D$7+$D$816)^J790</f>
        <v>-7235.9398897150922</v>
      </c>
      <c r="K812" s="16">
        <f>(-K799-K800)/(Inputs!$D$7+$D$816)^K790</f>
        <v>-7928.612006570077</v>
      </c>
      <c r="L812" s="16">
        <f>(-L799-L800)/(Inputs!$D$7+$D$816)^L790</f>
        <v>-8067.8621519509534</v>
      </c>
      <c r="M812" s="16">
        <f>(-M799-M800)/(Inputs!$D$7+$D$816)^M790</f>
        <v>-4213.8995473821142</v>
      </c>
    </row>
    <row r="813" spans="2:13" ht="15" customHeight="1" x14ac:dyDescent="0.2">
      <c r="B813" s="10" t="s">
        <v>912</v>
      </c>
      <c r="C813" s="10" t="s">
        <v>110</v>
      </c>
      <c r="D813" s="16">
        <f>Prices!K8</f>
        <v>47103.700386874909</v>
      </c>
    </row>
    <row r="814" spans="2:13" ht="15" customHeight="1" x14ac:dyDescent="0.2">
      <c r="B814" s="3" t="s">
        <v>913</v>
      </c>
      <c r="C814" s="10" t="s">
        <v>914</v>
      </c>
      <c r="D814" s="28">
        <f>IF(J821&gt;=J817,J821,(D813-J820)/J819)</f>
        <v>34.028615595975587</v>
      </c>
      <c r="G814" s="99" t="s">
        <v>915</v>
      </c>
      <c r="H814" s="91"/>
      <c r="I814" s="91"/>
      <c r="J814" s="28">
        <f>D814*Inputs!$D$15</f>
        <v>23.748570824431361</v>
      </c>
      <c r="K814" s="99" t="s">
        <v>916</v>
      </c>
      <c r="L814" s="91"/>
      <c r="M814" s="91"/>
    </row>
    <row r="815" spans="2:13" ht="15" customHeight="1" x14ac:dyDescent="0.2">
      <c r="B815" s="10" t="s">
        <v>917</v>
      </c>
      <c r="C815" s="10" t="s">
        <v>104</v>
      </c>
      <c r="D815" s="30">
        <f>Inputs!$D$107</f>
        <v>0.9</v>
      </c>
      <c r="G815" s="99" t="s">
        <v>918</v>
      </c>
      <c r="H815" s="91"/>
      <c r="I815" s="91"/>
      <c r="J815" s="28">
        <f>IF(-D826/D825&gt;=J817,-D826/D825,-J820/J819)</f>
        <v>24.024174528419383</v>
      </c>
      <c r="K815" s="99" t="s">
        <v>919</v>
      </c>
      <c r="L815" s="91"/>
      <c r="M815" s="91"/>
    </row>
    <row r="816" spans="2:13" ht="15" customHeight="1" x14ac:dyDescent="0.2">
      <c r="B816" s="10" t="s">
        <v>920</v>
      </c>
      <c r="C816" s="10" t="s">
        <v>104</v>
      </c>
      <c r="D816" s="30">
        <f>Inputs!$D$108</f>
        <v>0.16</v>
      </c>
      <c r="G816" s="99" t="s">
        <v>918</v>
      </c>
      <c r="H816" s="91"/>
      <c r="I816" s="91"/>
      <c r="J816" s="28">
        <f>J815*Inputs!$D$15</f>
        <v>16.766471403383886</v>
      </c>
      <c r="K816" s="99" t="s">
        <v>916</v>
      </c>
      <c r="L816" s="91"/>
      <c r="M816" s="91"/>
    </row>
    <row r="817" spans="2:13" ht="15" customHeight="1" x14ac:dyDescent="0.2">
      <c r="B817" s="3" t="s">
        <v>921</v>
      </c>
      <c r="C817" s="10" t="s">
        <v>848</v>
      </c>
      <c r="D817" s="28">
        <f>Capital!$D$13</f>
        <v>57.347931490590682</v>
      </c>
      <c r="G817" s="99" t="s">
        <v>922</v>
      </c>
      <c r="H817" s="91"/>
      <c r="I817" s="91"/>
      <c r="J817" s="28">
        <f>($D$817/Inputs!$D$21+$D$818/Inputs!$D$22)/$D$815</f>
        <v>16.07538460873031</v>
      </c>
      <c r="K817" s="99" t="s">
        <v>919</v>
      </c>
      <c r="L817" s="91"/>
      <c r="M817" s="91"/>
    </row>
    <row r="818" spans="2:13" ht="15" customHeight="1" x14ac:dyDescent="0.2">
      <c r="B818" s="3" t="s">
        <v>923</v>
      </c>
      <c r="C818" s="10" t="s">
        <v>848</v>
      </c>
      <c r="D818" s="28">
        <f>Capital!$D$14</f>
        <v>2.6172655041921802</v>
      </c>
    </row>
    <row r="819" spans="2:13" ht="15" customHeight="1" x14ac:dyDescent="0.2">
      <c r="B819" s="10" t="s">
        <v>924</v>
      </c>
      <c r="C819" s="10" t="s">
        <v>896</v>
      </c>
      <c r="D819" s="28">
        <f>(M792*(Inputs!$D$7+Inputs!$D$20)*$D$815*(Inputs!$D$7-Inputs!$D$19)-M792*Inputs!$D$20*Inputs!$D$23)/($D$816-Inputs!$D$20)/(Inputs!$D$7+$D$816)^M790</f>
        <v>1807.6547922951956</v>
      </c>
      <c r="G819" s="92" t="s">
        <v>910</v>
      </c>
      <c r="H819" s="91"/>
      <c r="I819" s="91"/>
      <c r="J819" s="28">
        <f>SUM(D811:M811)+(M792*(Inputs!$D$7+Inputs!$D$20)*$D$815-M792*Inputs!$D$20*Inputs!$D$23)/($D$816-Inputs!$D$20)/(Inputs!$D$7+$D$816)^M790</f>
        <v>6737.5559875731687</v>
      </c>
      <c r="K819" s="99" t="s">
        <v>896</v>
      </c>
      <c r="L819" s="91"/>
      <c r="M819" s="91"/>
    </row>
    <row r="820" spans="2:13" ht="15" customHeight="1" x14ac:dyDescent="0.2">
      <c r="B820" s="10" t="s">
        <v>925</v>
      </c>
      <c r="C820" s="10" t="s">
        <v>110</v>
      </c>
      <c r="D820" s="16">
        <f>(D823*Inputs!$D$19-D823-D824)/($D$816-Inputs!$D$20)/(Inputs!$D$7+$D$816)^M790</f>
        <v>-33287.494112345899</v>
      </c>
      <c r="G820" s="92" t="s">
        <v>926</v>
      </c>
      <c r="H820" s="91"/>
      <c r="I820" s="91"/>
      <c r="J820" s="16">
        <f>SUM(D812:M812)-(D823+D824)/($D$816-Inputs!$D$20)/(Inputs!$D$7+$D$816)^M790</f>
        <v>-145733.9249554922</v>
      </c>
      <c r="K820" s="99" t="s">
        <v>110</v>
      </c>
      <c r="L820" s="91"/>
      <c r="M820" s="91"/>
    </row>
    <row r="821" spans="2:13" ht="15" customHeight="1" x14ac:dyDescent="0.2">
      <c r="B821" s="10" t="s">
        <v>927</v>
      </c>
      <c r="C821" s="10" t="s">
        <v>928</v>
      </c>
      <c r="D821" s="16">
        <f>(M792*(Inputs!$D$7+Inputs!$D$20)*$D$814*$D$815-D823)-MAX((M792*(Inputs!$D$7+Inputs!$D$20)*$D$814*$D$815-D823),Inputs!$D$6)*Inputs!$D$19-D824-M792*Inputs!$D$20*$D$814*Inputs!$D$23</f>
        <v>16116.641760634529</v>
      </c>
      <c r="G821" s="99" t="s">
        <v>929</v>
      </c>
      <c r="H821" s="91"/>
      <c r="I821" s="91"/>
      <c r="J821" s="28">
        <f>(D813-D826)/D825</f>
        <v>34.028615595975587</v>
      </c>
      <c r="K821" s="99" t="s">
        <v>919</v>
      </c>
      <c r="L821" s="91"/>
      <c r="M821" s="91"/>
    </row>
    <row r="822" spans="2:13" ht="15" customHeight="1" x14ac:dyDescent="0.2">
      <c r="B822" s="10" t="s">
        <v>930</v>
      </c>
      <c r="C822" s="10" t="s">
        <v>110</v>
      </c>
      <c r="D822" s="16">
        <f>D821/($D$816-Inputs!$D$20)</f>
        <v>119382.53156025577</v>
      </c>
      <c r="G822" s="99" t="s">
        <v>931</v>
      </c>
      <c r="H822" s="91"/>
      <c r="I822" s="91"/>
      <c r="J822" s="16">
        <f>MIN(D806:M806,(M792*(Inputs!$D$7+Inputs!$D$20)*$D$814*$D$815-D823))</f>
        <v>1248.8264525531758</v>
      </c>
      <c r="K822" s="99" t="s">
        <v>110</v>
      </c>
      <c r="L822" s="91"/>
      <c r="M822" s="91"/>
    </row>
    <row r="823" spans="2:13" ht="15" customHeight="1" x14ac:dyDescent="0.2">
      <c r="B823" s="10" t="s">
        <v>932</v>
      </c>
      <c r="C823" s="10" t="s">
        <v>928</v>
      </c>
      <c r="D823" s="16">
        <f>M792*(Inputs!$D$7+Inputs!$D$20)*($D$817/Inputs!$D$21+$D$818/Inputs!$D$22)</f>
        <v>23727.267682485937</v>
      </c>
      <c r="G823" s="99" t="s">
        <v>933</v>
      </c>
      <c r="H823" s="91"/>
      <c r="I823" s="91"/>
      <c r="J823" s="31" t="str">
        <f>IF(J822&lt;Inputs!$D$6,"breached","satisfied")</f>
        <v>satisfied</v>
      </c>
      <c r="K823" s="99" t="s">
        <v>934</v>
      </c>
      <c r="L823" s="91"/>
      <c r="M823" s="91"/>
    </row>
    <row r="824" spans="2:13" ht="15" customHeight="1" x14ac:dyDescent="0.2">
      <c r="B824" s="10" t="s">
        <v>935</v>
      </c>
      <c r="C824" s="10" t="s">
        <v>928</v>
      </c>
      <c r="D824" s="16">
        <f>M792*Inputs!$D$20*($D$817+$D$818)</f>
        <v>2398.6078797913146</v>
      </c>
    </row>
    <row r="825" spans="2:13" ht="15" customHeight="1" x14ac:dyDescent="0.2">
      <c r="B825" s="10" t="s">
        <v>936</v>
      </c>
      <c r="C825" s="10" t="s">
        <v>896</v>
      </c>
      <c r="D825" s="28">
        <f>SUM(D802:M802)+D819</f>
        <v>4708.2790601495317</v>
      </c>
      <c r="G825" s="99" t="s">
        <v>937</v>
      </c>
      <c r="H825" s="91"/>
      <c r="I825" s="91"/>
      <c r="J825" s="16">
        <f>D827-D813</f>
        <v>0</v>
      </c>
      <c r="K825" s="99" t="s">
        <v>110</v>
      </c>
      <c r="L825" s="91"/>
      <c r="M825" s="91"/>
    </row>
    <row r="826" spans="2:13" ht="15" customHeight="1" x14ac:dyDescent="0.2">
      <c r="B826" s="10" t="s">
        <v>938</v>
      </c>
      <c r="C826" s="10" t="s">
        <v>110</v>
      </c>
      <c r="D826" s="16">
        <f>SUM(D803:M803)+D820</f>
        <v>-113112.51786953473</v>
      </c>
    </row>
    <row r="827" spans="2:13" ht="15" customHeight="1" x14ac:dyDescent="0.2">
      <c r="B827" s="10" t="s">
        <v>939</v>
      </c>
      <c r="C827" s="10" t="s">
        <v>110</v>
      </c>
      <c r="D827" s="16">
        <f>SUM(D810:M810)+D822/(Inputs!$D$7+$D$816)^M790</f>
        <v>47103.700386874938</v>
      </c>
    </row>
    <row r="828" spans="2:13" ht="15" customHeight="1" x14ac:dyDescent="0.2">
      <c r="B828" s="10" t="s">
        <v>940</v>
      </c>
      <c r="C828" s="10" t="s">
        <v>104</v>
      </c>
      <c r="D828" s="30">
        <f>IF(ABS(D813)&gt;Inputs!$D$6,D827/D813-Inputs!$D$7,Inputs!$D$6)</f>
        <v>6.6613381477509392E-16</v>
      </c>
    </row>
    <row r="829" spans="2:13" ht="15" customHeight="1" x14ac:dyDescent="0.2">
      <c r="B829" s="10" t="s">
        <v>941</v>
      </c>
      <c r="C829" s="10" t="s">
        <v>104</v>
      </c>
      <c r="D829" s="30">
        <f>IF(ABS(D827)&gt;Inputs!$D$119,D822/(Inputs!$D$7+$D$816)^M790/D827,Inputs!$D$6)</f>
        <v>0.59919912263952302</v>
      </c>
    </row>
    <row r="830" spans="2:13" ht="15" customHeight="1" x14ac:dyDescent="0.2">
      <c r="B830" s="10" t="s">
        <v>942</v>
      </c>
      <c r="C830" s="10" t="s">
        <v>943</v>
      </c>
      <c r="D830" s="26">
        <f>$D$814*Inputs!$D$8/Prices!$P$6/(Inputs!$D$26/Inputs!$D$25)/Inputs!$D$11/Inputs!$D$56</f>
        <v>6.1882071088080526</v>
      </c>
    </row>
    <row r="834" spans="1:13" ht="15" customHeight="1" x14ac:dyDescent="0.2">
      <c r="A834" s="104" t="s">
        <v>961</v>
      </c>
      <c r="B834" s="10" t="s">
        <v>886</v>
      </c>
      <c r="C834" s="10" t="s">
        <v>107</v>
      </c>
      <c r="D834" s="28">
        <f>Inputs!$D$60</f>
        <v>1</v>
      </c>
      <c r="E834" s="28">
        <f>Inputs!$D$62</f>
        <v>2</v>
      </c>
      <c r="F834" s="28">
        <f>Inputs!$D$64</f>
        <v>3</v>
      </c>
      <c r="G834" s="28">
        <f>Inputs!$D$66</f>
        <v>4</v>
      </c>
      <c r="H834" s="28">
        <f>Inputs!$D$68</f>
        <v>5</v>
      </c>
      <c r="I834" s="28">
        <f>Inputs!$D$70</f>
        <v>6</v>
      </c>
      <c r="J834" s="28">
        <f>Inputs!$D$72</f>
        <v>7</v>
      </c>
      <c r="K834" s="28">
        <f>Inputs!$D$74</f>
        <v>8</v>
      </c>
      <c r="L834" s="28">
        <f>Inputs!$D$76</f>
        <v>9</v>
      </c>
      <c r="M834" s="28">
        <f>Inputs!$D$78</f>
        <v>10</v>
      </c>
    </row>
    <row r="835" spans="1:13" ht="15" customHeight="1" x14ac:dyDescent="0.2">
      <c r="A835" s="91"/>
      <c r="B835" s="10" t="s">
        <v>887</v>
      </c>
      <c r="C835" s="10" t="s">
        <v>161</v>
      </c>
      <c r="D835" s="29">
        <f>Inputs!$D$61</f>
        <v>46568</v>
      </c>
      <c r="E835" s="29">
        <f>Inputs!$D$63</f>
        <v>46934</v>
      </c>
      <c r="F835" s="29">
        <f>Inputs!$D$65</f>
        <v>47299</v>
      </c>
      <c r="G835" s="29">
        <f>Inputs!$D$67</f>
        <v>47664</v>
      </c>
      <c r="H835" s="29">
        <f>Inputs!$D$69</f>
        <v>48029</v>
      </c>
      <c r="I835" s="29">
        <f>Inputs!$D$71</f>
        <v>48395</v>
      </c>
      <c r="J835" s="29">
        <f>Inputs!$D$73</f>
        <v>48760</v>
      </c>
      <c r="K835" s="29">
        <f>Inputs!$D$75</f>
        <v>49125</v>
      </c>
      <c r="L835" s="29">
        <f>Inputs!$D$77</f>
        <v>49490</v>
      </c>
      <c r="M835" s="29">
        <f>Inputs!$D$79</f>
        <v>49856</v>
      </c>
    </row>
    <row r="836" spans="1:13" ht="15" customHeight="1" x14ac:dyDescent="0.2">
      <c r="A836" s="91"/>
      <c r="B836" s="10" t="s">
        <v>888</v>
      </c>
      <c r="C836" s="10" t="s">
        <v>107</v>
      </c>
      <c r="D836" s="28">
        <f>(D835-Inputs!$D$13)/Inputs!$D$10</f>
        <v>0.71457905544147848</v>
      </c>
      <c r="E836" s="28">
        <f>(E835-Inputs!$D$13)/Inputs!$D$10</f>
        <v>1.7166324435318274</v>
      </c>
      <c r="F836" s="28">
        <f>(F835-Inputs!$D$13)/Inputs!$D$10</f>
        <v>2.7159479808350446</v>
      </c>
      <c r="G836" s="28">
        <f>(G835-Inputs!$D$13)/Inputs!$D$10</f>
        <v>3.7152635181382614</v>
      </c>
      <c r="H836" s="28">
        <f>(H835-Inputs!$D$13)/Inputs!$D$10</f>
        <v>4.7145790554414786</v>
      </c>
      <c r="I836" s="28">
        <f>(I835-Inputs!$D$13)/Inputs!$D$10</f>
        <v>5.7166324435318279</v>
      </c>
      <c r="J836" s="28">
        <f>(J835-Inputs!$D$13)/Inputs!$D$10</f>
        <v>6.7159479808350442</v>
      </c>
      <c r="K836" s="28">
        <f>(K835-Inputs!$D$13)/Inputs!$D$10</f>
        <v>7.7152635181382614</v>
      </c>
      <c r="L836" s="28">
        <f>(L835-Inputs!$D$13)/Inputs!$D$10</f>
        <v>8.7145790554414777</v>
      </c>
      <c r="M836" s="28">
        <f>(M835-Inputs!$D$13)/Inputs!$D$10</f>
        <v>9.716632443531827</v>
      </c>
    </row>
    <row r="837" spans="1:13" ht="15" customHeight="1" x14ac:dyDescent="0.2">
      <c r="A837" s="91"/>
      <c r="B837" s="10" t="s">
        <v>889</v>
      </c>
      <c r="C837" s="10" t="s">
        <v>107</v>
      </c>
      <c r="D837" s="28">
        <f>D836</f>
        <v>0.71457905544147848</v>
      </c>
      <c r="E837" s="28">
        <f>Inputs!$D$7</f>
        <v>1</v>
      </c>
      <c r="F837" s="28">
        <f>Inputs!$D$7</f>
        <v>1</v>
      </c>
      <c r="G837" s="28">
        <f>Inputs!$D$7</f>
        <v>1</v>
      </c>
      <c r="H837" s="28">
        <f>Inputs!$D$7</f>
        <v>1</v>
      </c>
      <c r="I837" s="28">
        <f>Inputs!$D$7</f>
        <v>1</v>
      </c>
      <c r="J837" s="28">
        <f>Inputs!$D$7</f>
        <v>1</v>
      </c>
      <c r="K837" s="28">
        <f>Inputs!$D$7</f>
        <v>1</v>
      </c>
      <c r="L837" s="28">
        <f>Inputs!$D$7</f>
        <v>1</v>
      </c>
      <c r="M837" s="28">
        <f>Inputs!$D$7</f>
        <v>1</v>
      </c>
    </row>
    <row r="838" spans="1:13" ht="15" customHeight="1" x14ac:dyDescent="0.2">
      <c r="A838" s="91"/>
      <c r="B838" s="3" t="s">
        <v>890</v>
      </c>
      <c r="C838" s="10" t="s">
        <v>199</v>
      </c>
      <c r="D838" s="28">
        <f>Inputs!$D$24+(Inputs!$D$80-Inputs!$D$24)*Inputs!$D$83</f>
        <v>305.5</v>
      </c>
      <c r="E838" s="28">
        <f>Inputs!$D$24+(Inputs!$D$80-Inputs!$D$24)*Inputs!$D$84</f>
        <v>651.5</v>
      </c>
      <c r="F838" s="28">
        <f>Inputs!$D$24+(Inputs!$D$80-Inputs!$D$24)*Inputs!$D$85</f>
        <v>911</v>
      </c>
      <c r="G838" s="28">
        <f>Inputs!$D$24+(Inputs!$D$80-Inputs!$D$24)*Inputs!$D$86</f>
        <v>911</v>
      </c>
      <c r="H838" s="28">
        <f>Inputs!$D$24+(Inputs!$D$80-Inputs!$D$24)*Inputs!$D$87</f>
        <v>911</v>
      </c>
      <c r="I838" s="28">
        <f>Inputs!$D$24+(Inputs!$D$80-Inputs!$D$24)*Inputs!$D$88</f>
        <v>911</v>
      </c>
      <c r="J838" s="28">
        <f>Inputs!$D$24+(Inputs!$D$80-Inputs!$D$24)*Inputs!$D$89</f>
        <v>911</v>
      </c>
      <c r="K838" s="28">
        <f>Inputs!$D$24+(Inputs!$D$80-Inputs!$D$24)*Inputs!$D$90</f>
        <v>911</v>
      </c>
      <c r="L838" s="28">
        <f>Inputs!$D$24+(Inputs!$D$80-Inputs!$D$24)*Inputs!$D$91</f>
        <v>911</v>
      </c>
      <c r="M838" s="28">
        <f>Inputs!$D$24+(Inputs!$D$80-Inputs!$D$24)*Inputs!$D$92</f>
        <v>911</v>
      </c>
    </row>
    <row r="839" spans="1:13" ht="15" customHeight="1" x14ac:dyDescent="0.2">
      <c r="A839" s="91"/>
      <c r="B839" s="10" t="s">
        <v>891</v>
      </c>
      <c r="C839" s="10" t="s">
        <v>199</v>
      </c>
      <c r="D839" s="28">
        <f>Inputs!$D$24</f>
        <v>46</v>
      </c>
      <c r="E839" s="28">
        <f t="shared" ref="E839:M839" si="180">D838</f>
        <v>305.5</v>
      </c>
      <c r="F839" s="28">
        <f t="shared" si="180"/>
        <v>651.5</v>
      </c>
      <c r="G839" s="28">
        <f t="shared" si="180"/>
        <v>911</v>
      </c>
      <c r="H839" s="28">
        <f t="shared" si="180"/>
        <v>911</v>
      </c>
      <c r="I839" s="28">
        <f t="shared" si="180"/>
        <v>911</v>
      </c>
      <c r="J839" s="28">
        <f t="shared" si="180"/>
        <v>911</v>
      </c>
      <c r="K839" s="28">
        <f t="shared" si="180"/>
        <v>911</v>
      </c>
      <c r="L839" s="28">
        <f t="shared" si="180"/>
        <v>911</v>
      </c>
      <c r="M839" s="28">
        <f t="shared" si="180"/>
        <v>911</v>
      </c>
    </row>
    <row r="840" spans="1:13" ht="15" customHeight="1" x14ac:dyDescent="0.2">
      <c r="B840" s="10" t="s">
        <v>892</v>
      </c>
      <c r="C840" s="10" t="s">
        <v>199</v>
      </c>
      <c r="D840" s="28">
        <f>(D839+D838)*Inputs!$D$12</f>
        <v>175.75</v>
      </c>
      <c r="E840" s="28">
        <f>(E839+E838)*Inputs!$D$12</f>
        <v>478.5</v>
      </c>
      <c r="F840" s="28">
        <f>(F839+F838)*Inputs!$D$12</f>
        <v>781.25</v>
      </c>
      <c r="G840" s="28">
        <f>(G839+G838)*Inputs!$D$12</f>
        <v>911</v>
      </c>
      <c r="H840" s="28">
        <f>(H839+H838)*Inputs!$D$12</f>
        <v>911</v>
      </c>
      <c r="I840" s="28">
        <f>(I839+I838)*Inputs!$D$12</f>
        <v>911</v>
      </c>
      <c r="J840" s="28">
        <f>(J839+J838)*Inputs!$D$12</f>
        <v>911</v>
      </c>
      <c r="K840" s="28">
        <f>(K839+K838)*Inputs!$D$12</f>
        <v>911</v>
      </c>
      <c r="L840" s="28">
        <f>(L839+L838)*Inputs!$D$12</f>
        <v>911</v>
      </c>
      <c r="M840" s="28">
        <f>(M839+M838)*Inputs!$D$12</f>
        <v>911</v>
      </c>
    </row>
    <row r="841" spans="1:13" ht="15" customHeight="1" x14ac:dyDescent="0.2">
      <c r="B841" s="10" t="s">
        <v>893</v>
      </c>
      <c r="C841" s="10" t="s">
        <v>199</v>
      </c>
      <c r="D841" s="28">
        <f t="shared" ref="D841:M841" si="181">D838-D839</f>
        <v>259.5</v>
      </c>
      <c r="E841" s="28">
        <f t="shared" si="181"/>
        <v>346</v>
      </c>
      <c r="F841" s="28">
        <f t="shared" si="181"/>
        <v>259.5</v>
      </c>
      <c r="G841" s="28">
        <f t="shared" si="181"/>
        <v>0</v>
      </c>
      <c r="H841" s="28">
        <f t="shared" si="181"/>
        <v>0</v>
      </c>
      <c r="I841" s="28">
        <f t="shared" si="181"/>
        <v>0</v>
      </c>
      <c r="J841" s="28">
        <f t="shared" si="181"/>
        <v>0</v>
      </c>
      <c r="K841" s="28">
        <f t="shared" si="181"/>
        <v>0</v>
      </c>
      <c r="L841" s="28">
        <f t="shared" si="181"/>
        <v>0</v>
      </c>
      <c r="M841" s="28">
        <f t="shared" si="181"/>
        <v>0</v>
      </c>
    </row>
    <row r="842" spans="1:13" ht="15" customHeight="1" x14ac:dyDescent="0.2">
      <c r="B842" s="10" t="s">
        <v>894</v>
      </c>
      <c r="C842" s="10" t="s">
        <v>199</v>
      </c>
      <c r="D842" s="28">
        <f>IF(MOD(D834,Inputs!$D$21)=Inputs!$D$6,Inputs!$D$24,Inputs!$D$6)+SUMPRODUCT(--(D834&gt;$D$834:$M$834),--(MOD(D834-$D$834:$M$834,Inputs!$D$21)=Inputs!$D$6),$D$841:$M$841)</f>
        <v>0</v>
      </c>
      <c r="E842" s="28">
        <f>IF(MOD(E834,Inputs!$D$21)=Inputs!$D$6,Inputs!$D$24,Inputs!$D$6)+SUMPRODUCT(--(E834&gt;$D$834:$M$834),--(MOD(E834-$D$834:$M$834,Inputs!$D$21)=Inputs!$D$6),$D$841:$M$841)</f>
        <v>0</v>
      </c>
      <c r="F842" s="28">
        <f>IF(MOD(F834,Inputs!$D$21)=Inputs!$D$6,Inputs!$D$24,Inputs!$D$6)+SUMPRODUCT(--(F834&gt;$D$834:$M$834),--(MOD(F834-$D$834:$M$834,Inputs!$D$21)=Inputs!$D$6),$D$841:$M$841)</f>
        <v>0</v>
      </c>
      <c r="G842" s="28">
        <f>IF(MOD(G834,Inputs!$D$21)=Inputs!$D$6,Inputs!$D$24,Inputs!$D$6)+SUMPRODUCT(--(G834&gt;$D$834:$M$834),--(MOD(G834-$D$834:$M$834,Inputs!$D$21)=Inputs!$D$6),$D$841:$M$841)</f>
        <v>46</v>
      </c>
      <c r="H842" s="28">
        <f>IF(MOD(H834,Inputs!$D$21)=Inputs!$D$6,Inputs!$D$24,Inputs!$D$6)+SUMPRODUCT(--(H834&gt;$D$834:$M$834),--(MOD(H834-$D$834:$M$834,Inputs!$D$21)=Inputs!$D$6),$D$841:$M$841)</f>
        <v>259.5</v>
      </c>
      <c r="I842" s="28">
        <f>IF(MOD(I834,Inputs!$D$21)=Inputs!$D$6,Inputs!$D$24,Inputs!$D$6)+SUMPRODUCT(--(I834&gt;$D$834:$M$834),--(MOD(I834-$D$834:$M$834,Inputs!$D$21)=Inputs!$D$6),$D$841:$M$841)</f>
        <v>346</v>
      </c>
      <c r="J842" s="28">
        <f>IF(MOD(J834,Inputs!$D$21)=Inputs!$D$6,Inputs!$D$24,Inputs!$D$6)+SUMPRODUCT(--(J834&gt;$D$834:$M$834),--(MOD(J834-$D$834:$M$834,Inputs!$D$21)=Inputs!$D$6),$D$841:$M$841)</f>
        <v>259.5</v>
      </c>
      <c r="K842" s="28">
        <f>IF(MOD(K834,Inputs!$D$21)=Inputs!$D$6,Inputs!$D$24,Inputs!$D$6)+SUMPRODUCT(--(K834&gt;$D$834:$M$834),--(MOD(K834-$D$834:$M$834,Inputs!$D$21)=Inputs!$D$6),$D$841:$M$841)</f>
        <v>46</v>
      </c>
      <c r="L842" s="28">
        <f>IF(MOD(L834,Inputs!$D$21)=Inputs!$D$6,Inputs!$D$24,Inputs!$D$6)+SUMPRODUCT(--(L834&gt;$D$834:$M$834),--(MOD(L834-$D$834:$M$834,Inputs!$D$21)=Inputs!$D$6),$D$841:$M$841)</f>
        <v>259.5</v>
      </c>
      <c r="M842" s="28">
        <f>IF(MOD(M834,Inputs!$D$21)=Inputs!$D$6,Inputs!$D$24,Inputs!$D$6)+SUMPRODUCT(--(M834&gt;$D$834:$M$834),--(MOD(M834-$D$834:$M$834,Inputs!$D$21)=Inputs!$D$6),$D$841:$M$841)</f>
        <v>346</v>
      </c>
    </row>
    <row r="843" spans="1:13" ht="15" customHeight="1" x14ac:dyDescent="0.2">
      <c r="B843" s="10" t="s">
        <v>895</v>
      </c>
      <c r="C843" s="10" t="s">
        <v>896</v>
      </c>
      <c r="D843" s="28">
        <f t="shared" ref="D843:M843" si="182">D840*D837</f>
        <v>125.58726899383984</v>
      </c>
      <c r="E843" s="28">
        <f t="shared" si="182"/>
        <v>478.5</v>
      </c>
      <c r="F843" s="28">
        <f t="shared" si="182"/>
        <v>781.25</v>
      </c>
      <c r="G843" s="28">
        <f t="shared" si="182"/>
        <v>911</v>
      </c>
      <c r="H843" s="28">
        <f t="shared" si="182"/>
        <v>911</v>
      </c>
      <c r="I843" s="28">
        <f t="shared" si="182"/>
        <v>911</v>
      </c>
      <c r="J843" s="28">
        <f t="shared" si="182"/>
        <v>911</v>
      </c>
      <c r="K843" s="28">
        <f t="shared" si="182"/>
        <v>911</v>
      </c>
      <c r="L843" s="28">
        <f t="shared" si="182"/>
        <v>911</v>
      </c>
      <c r="M843" s="28">
        <f t="shared" si="182"/>
        <v>911</v>
      </c>
    </row>
    <row r="844" spans="1:13" ht="15" customHeight="1" x14ac:dyDescent="0.2">
      <c r="B844" s="10" t="s">
        <v>897</v>
      </c>
      <c r="C844" s="10" t="s">
        <v>110</v>
      </c>
      <c r="D844" s="16">
        <f>D843*($D$863/Inputs!$D$21+$D$864/Inputs!$D$22)</f>
        <v>1816.9772859324419</v>
      </c>
      <c r="E844" s="16">
        <f>E843*($D$863/Inputs!$D$21+$D$864/Inputs!$D$22)</f>
        <v>6922.8643817497086</v>
      </c>
      <c r="F844" s="16">
        <f>F843*($D$863/Inputs!$D$21+$D$864/Inputs!$D$22)</f>
        <v>11303.0048030135</v>
      </c>
      <c r="G844" s="16">
        <f>G843*($D$863/Inputs!$D$21+$D$864/Inputs!$D$22)</f>
        <v>13180.207840697982</v>
      </c>
      <c r="H844" s="16">
        <f>H843*($D$863/Inputs!$D$21+$D$864/Inputs!$D$22)</f>
        <v>13180.207840697982</v>
      </c>
      <c r="I844" s="16">
        <f>I843*($D$863/Inputs!$D$21+$D$864/Inputs!$D$22)</f>
        <v>13180.207840697982</v>
      </c>
      <c r="J844" s="16">
        <f>J843*($D$863/Inputs!$D$21+$D$864/Inputs!$D$22)</f>
        <v>13180.207840697982</v>
      </c>
      <c r="K844" s="16">
        <f>K843*($D$863/Inputs!$D$21+$D$864/Inputs!$D$22)</f>
        <v>13180.207840697982</v>
      </c>
      <c r="L844" s="16">
        <f>L843*($D$863/Inputs!$D$21+$D$864/Inputs!$D$22)</f>
        <v>13180.207840697982</v>
      </c>
      <c r="M844" s="16">
        <f>M843*($D$863/Inputs!$D$21+$D$864/Inputs!$D$22)</f>
        <v>13180.207840697982</v>
      </c>
    </row>
    <row r="845" spans="1:13" ht="15" customHeight="1" x14ac:dyDescent="0.2">
      <c r="B845" s="10" t="s">
        <v>898</v>
      </c>
      <c r="C845" s="10" t="s">
        <v>110</v>
      </c>
      <c r="D845" s="16">
        <f t="shared" ref="D845:M845" si="183">D841*($D$863+$D$864)</f>
        <v>15560.968620146154</v>
      </c>
      <c r="E845" s="16">
        <f t="shared" si="183"/>
        <v>20747.95816019487</v>
      </c>
      <c r="F845" s="16">
        <f t="shared" si="183"/>
        <v>15560.968620146154</v>
      </c>
      <c r="G845" s="16">
        <f t="shared" si="183"/>
        <v>0</v>
      </c>
      <c r="H845" s="16">
        <f t="shared" si="183"/>
        <v>0</v>
      </c>
      <c r="I845" s="16">
        <f t="shared" si="183"/>
        <v>0</v>
      </c>
      <c r="J845" s="16">
        <f t="shared" si="183"/>
        <v>0</v>
      </c>
      <c r="K845" s="16">
        <f t="shared" si="183"/>
        <v>0</v>
      </c>
      <c r="L845" s="16">
        <f t="shared" si="183"/>
        <v>0</v>
      </c>
      <c r="M845" s="16">
        <f t="shared" si="183"/>
        <v>0</v>
      </c>
    </row>
    <row r="846" spans="1:13" ht="15" customHeight="1" x14ac:dyDescent="0.2">
      <c r="B846" s="10" t="s">
        <v>899</v>
      </c>
      <c r="C846" s="10" t="s">
        <v>110</v>
      </c>
      <c r="D846" s="16">
        <f t="shared" ref="D846:M846" si="184">D842*$D$863</f>
        <v>0</v>
      </c>
      <c r="E846" s="16">
        <f t="shared" si="184"/>
        <v>0</v>
      </c>
      <c r="F846" s="16">
        <f t="shared" si="184"/>
        <v>0</v>
      </c>
      <c r="G846" s="16">
        <f t="shared" si="184"/>
        <v>2638.0048485671714</v>
      </c>
      <c r="H846" s="16">
        <f t="shared" si="184"/>
        <v>14881.788221808281</v>
      </c>
      <c r="I846" s="16">
        <f t="shared" si="184"/>
        <v>19842.384295744378</v>
      </c>
      <c r="J846" s="16">
        <f t="shared" si="184"/>
        <v>14881.788221808281</v>
      </c>
      <c r="K846" s="16">
        <f t="shared" si="184"/>
        <v>2638.0048485671714</v>
      </c>
      <c r="L846" s="16">
        <f t="shared" si="184"/>
        <v>14881.788221808281</v>
      </c>
      <c r="M846" s="16">
        <f t="shared" si="184"/>
        <v>19842.384295744378</v>
      </c>
    </row>
    <row r="847" spans="1:13" ht="15" customHeight="1" x14ac:dyDescent="0.2">
      <c r="B847" s="10" t="s">
        <v>900</v>
      </c>
      <c r="C847" s="10" t="s">
        <v>199</v>
      </c>
      <c r="D847" s="28">
        <f>D841*Inputs!$D$23</f>
        <v>6.4875000000000007</v>
      </c>
      <c r="E847" s="28">
        <f>E841*Inputs!$D$23</f>
        <v>8.65</v>
      </c>
      <c r="F847" s="28">
        <f>F841*Inputs!$D$23</f>
        <v>6.4875000000000007</v>
      </c>
      <c r="G847" s="28">
        <f>G841*Inputs!$D$23</f>
        <v>0</v>
      </c>
      <c r="H847" s="28">
        <f>H841*Inputs!$D$23</f>
        <v>0</v>
      </c>
      <c r="I847" s="28">
        <f>I841*Inputs!$D$23</f>
        <v>0</v>
      </c>
      <c r="J847" s="28">
        <f>J841*Inputs!$D$23</f>
        <v>0</v>
      </c>
      <c r="K847" s="28">
        <f>K841*Inputs!$D$23</f>
        <v>0</v>
      </c>
      <c r="L847" s="28">
        <f>L841*Inputs!$D$23</f>
        <v>0</v>
      </c>
      <c r="M847" s="28">
        <f>M841*Inputs!$D$23</f>
        <v>0</v>
      </c>
    </row>
    <row r="848" spans="1:13" ht="15" customHeight="1" x14ac:dyDescent="0.2">
      <c r="B848" s="3" t="s">
        <v>901</v>
      </c>
      <c r="C848" s="10" t="s">
        <v>896</v>
      </c>
      <c r="D848" s="28">
        <f>(D843*$D$861*(Inputs!$D$7-Inputs!$D$19)-D847)/(Inputs!$D$7+$D$862)^D836</f>
        <v>43.213488846686175</v>
      </c>
      <c r="E848" s="28">
        <f>(E843*$D$861*(Inputs!$D$7-Inputs!$D$19)-E847)/(Inputs!$D$7+$D$862)^E836</f>
        <v>163.29332190458183</v>
      </c>
      <c r="F848" s="28">
        <f>(F843*$D$861*(Inputs!$D$7-Inputs!$D$19)-F847)/(Inputs!$D$7+$D$862)^F836</f>
        <v>248.28260771010829</v>
      </c>
      <c r="G848" s="28">
        <f>(G843*$D$861*(Inputs!$D$7-Inputs!$D$19)-G847)/(Inputs!$D$7+$D$862)^G836</f>
        <v>268.5238926419492</v>
      </c>
      <c r="H848" s="28">
        <f>(H843*$D$861*(Inputs!$D$7-Inputs!$D$19)-H847)/(Inputs!$D$7+$D$862)^H836</f>
        <v>244.12855518959191</v>
      </c>
      <c r="I848" s="28">
        <f>(I843*$D$861*(Inputs!$D$7-Inputs!$D$19)-I847)/(Inputs!$D$7+$D$862)^I836</f>
        <v>221.8916197826434</v>
      </c>
      <c r="J848" s="28">
        <f>(J843*$D$861*(Inputs!$D$7-Inputs!$D$19)-J847)/(Inputs!$D$7+$D$862)^J836</f>
        <v>201.73281421346593</v>
      </c>
      <c r="K848" s="28">
        <f>(K843*$D$861*(Inputs!$D$7-Inputs!$D$19)-K847)/(Inputs!$D$7+$D$862)^K836</f>
        <v>183.40543176145695</v>
      </c>
      <c r="L848" s="28">
        <f>(L843*$D$861*(Inputs!$D$7-Inputs!$D$19)-L847)/(Inputs!$D$7+$D$862)^L836</f>
        <v>166.74308803332551</v>
      </c>
      <c r="M848" s="28">
        <f>(M843*$D$861*(Inputs!$D$7-Inputs!$D$19)-M847)/(Inputs!$D$7+$D$862)^M836</f>
        <v>151.55496194429571</v>
      </c>
    </row>
    <row r="849" spans="2:13" ht="15" customHeight="1" x14ac:dyDescent="0.2">
      <c r="B849" s="10" t="s">
        <v>902</v>
      </c>
      <c r="C849" s="10" t="s">
        <v>110</v>
      </c>
      <c r="D849" s="16">
        <f>(D844*Inputs!$D$19-D845-D846)/(Inputs!$D$7+$D$862)^D836</f>
        <v>-14027.24269342025</v>
      </c>
      <c r="E849" s="16">
        <f>(E844*Inputs!$D$19-E845-E846)/(Inputs!$D$7+$D$862)^E836</f>
        <v>-15853.087323826181</v>
      </c>
      <c r="F849" s="16">
        <f>(F844*Inputs!$D$19-F845-F846)/(Inputs!$D$7+$D$862)^F836</f>
        <v>-9394.4767487293357</v>
      </c>
      <c r="G849" s="16">
        <f>(G844*Inputs!$D$19-G845-G846)/(Inputs!$D$7+$D$862)^G836</f>
        <v>923.61320322684639</v>
      </c>
      <c r="H849" s="16">
        <f>(H844*Inputs!$D$19-H845-H846)/(Inputs!$D$7+$D$862)^H836</f>
        <v>-6972.3744918015345</v>
      </c>
      <c r="I849" s="16">
        <f>(I844*Inputs!$D$19-I845-I846)/(Inputs!$D$7+$D$862)^I836</f>
        <v>-9214.0648467907959</v>
      </c>
      <c r="J849" s="16">
        <f>(J844*Inputs!$D$19-J845-J846)/(Inputs!$D$7+$D$862)^J836</f>
        <v>-5761.5411965591911</v>
      </c>
      <c r="K849" s="16">
        <f>(K844*Inputs!$D$19-K845-K846)/(Inputs!$D$7+$D$862)^K836</f>
        <v>630.8402453567694</v>
      </c>
      <c r="L849" s="16">
        <f>(L844*Inputs!$D$19-L845-L846)/(Inputs!$D$7+$D$862)^L836</f>
        <v>-4762.2255937446444</v>
      </c>
      <c r="M849" s="16">
        <f>(M844*Inputs!$D$19-M845-M846)/(Inputs!$D$7+$D$862)^M836</f>
        <v>-6293.3302689644106</v>
      </c>
    </row>
    <row r="850" spans="2:13" ht="15" customHeight="1" x14ac:dyDescent="0.2">
      <c r="B850" s="10" t="s">
        <v>903</v>
      </c>
      <c r="C850" s="10" t="s">
        <v>110</v>
      </c>
      <c r="D850" s="16">
        <f t="shared" ref="D850:M850" si="185">D843*$D$860</f>
        <v>4747.3420727733492</v>
      </c>
      <c r="E850" s="16">
        <f t="shared" si="185"/>
        <v>18087.846005580963</v>
      </c>
      <c r="F850" s="16">
        <f t="shared" si="185"/>
        <v>29532.141466792324</v>
      </c>
      <c r="G850" s="16">
        <f t="shared" si="185"/>
        <v>34436.83952159719</v>
      </c>
      <c r="H850" s="16">
        <f t="shared" si="185"/>
        <v>34436.83952159719</v>
      </c>
      <c r="I850" s="16">
        <f t="shared" si="185"/>
        <v>34436.83952159719</v>
      </c>
      <c r="J850" s="16">
        <f t="shared" si="185"/>
        <v>34436.83952159719</v>
      </c>
      <c r="K850" s="16">
        <f t="shared" si="185"/>
        <v>34436.83952159719</v>
      </c>
      <c r="L850" s="16">
        <f t="shared" si="185"/>
        <v>34436.83952159719</v>
      </c>
      <c r="M850" s="16">
        <f t="shared" si="185"/>
        <v>34436.83952159719</v>
      </c>
    </row>
    <row r="851" spans="2:13" ht="15" customHeight="1" x14ac:dyDescent="0.2">
      <c r="B851" s="10" t="s">
        <v>904</v>
      </c>
      <c r="C851" s="10" t="s">
        <v>110</v>
      </c>
      <c r="D851" s="16">
        <f t="shared" ref="D851:M851" si="186">D850*$D$861</f>
        <v>2848.4052436640095</v>
      </c>
      <c r="E851" s="16">
        <f t="shared" si="186"/>
        <v>10852.707603348577</v>
      </c>
      <c r="F851" s="16">
        <f t="shared" si="186"/>
        <v>17719.284880075393</v>
      </c>
      <c r="G851" s="16">
        <f t="shared" si="186"/>
        <v>20662.103712958313</v>
      </c>
      <c r="H851" s="16">
        <f t="shared" si="186"/>
        <v>20662.103712958313</v>
      </c>
      <c r="I851" s="16">
        <f t="shared" si="186"/>
        <v>20662.103712958313</v>
      </c>
      <c r="J851" s="16">
        <f t="shared" si="186"/>
        <v>20662.103712958313</v>
      </c>
      <c r="K851" s="16">
        <f t="shared" si="186"/>
        <v>20662.103712958313</v>
      </c>
      <c r="L851" s="16">
        <f t="shared" si="186"/>
        <v>20662.103712958313</v>
      </c>
      <c r="M851" s="16">
        <f t="shared" si="186"/>
        <v>20662.103712958313</v>
      </c>
    </row>
    <row r="852" spans="2:13" ht="15" customHeight="1" x14ac:dyDescent="0.2">
      <c r="B852" s="10" t="s">
        <v>905</v>
      </c>
      <c r="C852" s="10" t="s">
        <v>110</v>
      </c>
      <c r="D852" s="16">
        <f t="shared" ref="D852:M852" si="187">D851-D844</f>
        <v>1031.4279577315676</v>
      </c>
      <c r="E852" s="16">
        <f t="shared" si="187"/>
        <v>3929.8432215988687</v>
      </c>
      <c r="F852" s="16">
        <f t="shared" si="187"/>
        <v>6416.2800770618924</v>
      </c>
      <c r="G852" s="16">
        <f t="shared" si="187"/>
        <v>7481.8958722603311</v>
      </c>
      <c r="H852" s="16">
        <f t="shared" si="187"/>
        <v>7481.8958722603311</v>
      </c>
      <c r="I852" s="16">
        <f t="shared" si="187"/>
        <v>7481.8958722603311</v>
      </c>
      <c r="J852" s="16">
        <f t="shared" si="187"/>
        <v>7481.8958722603311</v>
      </c>
      <c r="K852" s="16">
        <f t="shared" si="187"/>
        <v>7481.8958722603311</v>
      </c>
      <c r="L852" s="16">
        <f t="shared" si="187"/>
        <v>7481.8958722603311</v>
      </c>
      <c r="M852" s="16">
        <f t="shared" si="187"/>
        <v>7481.8958722603311</v>
      </c>
    </row>
    <row r="853" spans="2:13" ht="15" customHeight="1" x14ac:dyDescent="0.2">
      <c r="B853" s="10" t="s">
        <v>906</v>
      </c>
      <c r="C853" s="10" t="s">
        <v>110</v>
      </c>
      <c r="D853" s="16">
        <f>MAX(D852,Inputs!$D$6)*Inputs!$D$19</f>
        <v>309.42838731947029</v>
      </c>
      <c r="E853" s="16">
        <f>MAX(E852,Inputs!$D$6)*Inputs!$D$19</f>
        <v>1178.9529664796605</v>
      </c>
      <c r="F853" s="16">
        <f>MAX(F852,Inputs!$D$6)*Inputs!$D$19</f>
        <v>1924.8840231185677</v>
      </c>
      <c r="G853" s="16">
        <f>MAX(G852,Inputs!$D$6)*Inputs!$D$19</f>
        <v>2244.5687616780992</v>
      </c>
      <c r="H853" s="16">
        <f>MAX(H852,Inputs!$D$6)*Inputs!$D$19</f>
        <v>2244.5687616780992</v>
      </c>
      <c r="I853" s="16">
        <f>MAX(I852,Inputs!$D$6)*Inputs!$D$19</f>
        <v>2244.5687616780992</v>
      </c>
      <c r="J853" s="16">
        <f>MAX(J852,Inputs!$D$6)*Inputs!$D$19</f>
        <v>2244.5687616780992</v>
      </c>
      <c r="K853" s="16">
        <f>MAX(K852,Inputs!$D$6)*Inputs!$D$19</f>
        <v>2244.5687616780992</v>
      </c>
      <c r="L853" s="16">
        <f>MAX(L852,Inputs!$D$6)*Inputs!$D$19</f>
        <v>2244.5687616780992</v>
      </c>
      <c r="M853" s="16">
        <f>MAX(M852,Inputs!$D$6)*Inputs!$D$19</f>
        <v>2244.5687616780992</v>
      </c>
    </row>
    <row r="854" spans="2:13" ht="15" customHeight="1" x14ac:dyDescent="0.2">
      <c r="B854" s="10" t="s">
        <v>907</v>
      </c>
      <c r="C854" s="10" t="s">
        <v>110</v>
      </c>
      <c r="D854" s="16">
        <f t="shared" ref="D854:M854" si="188">D847*$D$860</f>
        <v>245.23490274024346</v>
      </c>
      <c r="E854" s="16">
        <f t="shared" si="188"/>
        <v>326.97987032032461</v>
      </c>
      <c r="F854" s="16">
        <f t="shared" si="188"/>
        <v>245.23490274024346</v>
      </c>
      <c r="G854" s="16">
        <f t="shared" si="188"/>
        <v>0</v>
      </c>
      <c r="H854" s="16">
        <f t="shared" si="188"/>
        <v>0</v>
      </c>
      <c r="I854" s="16">
        <f t="shared" si="188"/>
        <v>0</v>
      </c>
      <c r="J854" s="16">
        <f t="shared" si="188"/>
        <v>0</v>
      </c>
      <c r="K854" s="16">
        <f t="shared" si="188"/>
        <v>0</v>
      </c>
      <c r="L854" s="16">
        <f t="shared" si="188"/>
        <v>0</v>
      </c>
      <c r="M854" s="16">
        <f t="shared" si="188"/>
        <v>0</v>
      </c>
    </row>
    <row r="855" spans="2:13" ht="15" customHeight="1" x14ac:dyDescent="0.2">
      <c r="B855" s="10" t="s">
        <v>908</v>
      </c>
      <c r="C855" s="10" t="s">
        <v>110</v>
      </c>
      <c r="D855" s="16">
        <f t="shared" ref="D855:M855" si="189">D851-D853-D845-D846-D854</f>
        <v>-13267.226666541857</v>
      </c>
      <c r="E855" s="16">
        <f t="shared" si="189"/>
        <v>-11401.183393646279</v>
      </c>
      <c r="F855" s="16">
        <f t="shared" si="189"/>
        <v>-11.802665929572072</v>
      </c>
      <c r="G855" s="16">
        <f t="shared" si="189"/>
        <v>15779.530102713041</v>
      </c>
      <c r="H855" s="16">
        <f t="shared" si="189"/>
        <v>3535.7467294719318</v>
      </c>
      <c r="I855" s="16">
        <f t="shared" si="189"/>
        <v>-1424.8493444641645</v>
      </c>
      <c r="J855" s="16">
        <f t="shared" si="189"/>
        <v>3535.7467294719318</v>
      </c>
      <c r="K855" s="16">
        <f t="shared" si="189"/>
        <v>15779.530102713041</v>
      </c>
      <c r="L855" s="16">
        <f t="shared" si="189"/>
        <v>3535.7467294719318</v>
      </c>
      <c r="M855" s="16">
        <f t="shared" si="189"/>
        <v>-1424.8493444641645</v>
      </c>
    </row>
    <row r="856" spans="2:13" ht="15" customHeight="1" x14ac:dyDescent="0.2">
      <c r="B856" s="10" t="s">
        <v>909</v>
      </c>
      <c r="C856" s="10" t="s">
        <v>110</v>
      </c>
      <c r="D856" s="16">
        <f>D855/(Inputs!$D$7+$D$862)^D836</f>
        <v>-12393.723505075945</v>
      </c>
      <c r="E856" s="16">
        <f>E855/(Inputs!$D$7+$D$862)^E836</f>
        <v>-9680.4134254984147</v>
      </c>
      <c r="F856" s="16">
        <f>F855/(Inputs!$D$7+$D$862)^F836</f>
        <v>-9.1108675913890753</v>
      </c>
      <c r="G856" s="16">
        <f>G855/(Inputs!$D$7+$D$862)^G836</f>
        <v>11074.122751663066</v>
      </c>
      <c r="H856" s="16">
        <f>H855/(Inputs!$D$7+$D$862)^H836</f>
        <v>2255.9634639650503</v>
      </c>
      <c r="I856" s="16">
        <f>I855/(Inputs!$D$7+$D$862)^I836</f>
        <v>-826.30842347339683</v>
      </c>
      <c r="J856" s="16">
        <f>J855/(Inputs!$D$7+$D$862)^J836</f>
        <v>1864.1893734839553</v>
      </c>
      <c r="K856" s="16">
        <f>K855/(Inputs!$D$7+$D$862)^K836</f>
        <v>7563.774845750333</v>
      </c>
      <c r="L856" s="16">
        <f>L855/(Inputs!$D$7+$D$862)^L836</f>
        <v>1540.8534007001228</v>
      </c>
      <c r="M856" s="16">
        <f>M855/(Inputs!$D$7+$D$862)^M836</f>
        <v>-564.3797715138287</v>
      </c>
    </row>
    <row r="857" spans="2:13" ht="15" customHeight="1" x14ac:dyDescent="0.2">
      <c r="B857" s="3" t="s">
        <v>910</v>
      </c>
      <c r="C857" s="10" t="s">
        <v>896</v>
      </c>
      <c r="D857" s="28">
        <f>(D843*$D$861-D847)/(Inputs!$D$7+$D$862)^D836</f>
        <v>64.330856237917445</v>
      </c>
      <c r="E857" s="28">
        <f>(E843*$D$861-E847)/(Inputs!$D$7+$D$862)^E836</f>
        <v>236.42380139523098</v>
      </c>
      <c r="F857" s="28">
        <f>(F843*$D$861-F847)/(Inputs!$D$7+$D$862)^F836</f>
        <v>356.83568908039001</v>
      </c>
      <c r="G857" s="28">
        <f>(G843*$D$861-G847)/(Inputs!$D$7+$D$862)^G836</f>
        <v>383.60556091707036</v>
      </c>
      <c r="H857" s="28">
        <f>(H843*$D$861-H847)/(Inputs!$D$7+$D$862)^H836</f>
        <v>348.75507884227414</v>
      </c>
      <c r="I857" s="28">
        <f>(I843*$D$861-I847)/(Inputs!$D$7+$D$862)^I836</f>
        <v>316.98802826091918</v>
      </c>
      <c r="J857" s="28">
        <f>(J843*$D$861-J847)/(Inputs!$D$7+$D$862)^J836</f>
        <v>288.18973459066564</v>
      </c>
      <c r="K857" s="28">
        <f>(K843*$D$861-K847)/(Inputs!$D$7+$D$862)^K836</f>
        <v>262.00775965922423</v>
      </c>
      <c r="L857" s="28">
        <f>(L843*$D$861-L847)/(Inputs!$D$7+$D$862)^L836</f>
        <v>238.2044114761793</v>
      </c>
      <c r="M857" s="28">
        <f>(M843*$D$861-M847)/(Inputs!$D$7+$D$862)^M836</f>
        <v>216.50708849185102</v>
      </c>
    </row>
    <row r="858" spans="2:13" ht="15" customHeight="1" x14ac:dyDescent="0.2">
      <c r="B858" s="10" t="s">
        <v>911</v>
      </c>
      <c r="C858" s="10" t="s">
        <v>110</v>
      </c>
      <c r="D858" s="16">
        <f>(-D845-D846)/(Inputs!$D$7+$D$862)^D836</f>
        <v>-14536.447397527105</v>
      </c>
      <c r="E858" s="16">
        <f>(-E845-E846)/(Inputs!$D$7+$D$862)^E836</f>
        <v>-17616.488200475756</v>
      </c>
      <c r="F858" s="16">
        <f>(-F845-F846)/(Inputs!$D$7+$D$862)^F836</f>
        <v>-12012.025548964448</v>
      </c>
      <c r="G858" s="16">
        <f>(-G845-G846)/(Inputs!$D$7+$D$862)^G836</f>
        <v>-1851.359915178487</v>
      </c>
      <c r="H858" s="16">
        <f>(-H845-H846)/(Inputs!$D$7+$D$862)^H836</f>
        <v>-9495.2419037884629</v>
      </c>
      <c r="I858" s="16">
        <f>(-I845-I846)/(Inputs!$D$7+$D$862)^I836</f>
        <v>-11507.131858586603</v>
      </c>
      <c r="J858" s="16">
        <f>(-J845-J846)/(Inputs!$D$7+$D$862)^J836</f>
        <v>-7846.2835672839774</v>
      </c>
      <c r="K858" s="16">
        <f>(-K845-K846)/(Inputs!$D$7+$D$862)^K836</f>
        <v>-1264.5037327904422</v>
      </c>
      <c r="L858" s="16">
        <f>(-L845-L846)/(Inputs!$D$7+$D$862)^L836</f>
        <v>-6485.3779822337692</v>
      </c>
      <c r="M858" s="16">
        <f>(-M845-M846)/(Inputs!$D$7+$D$862)^M836</f>
        <v>-7859.5258920747219</v>
      </c>
    </row>
    <row r="859" spans="2:13" ht="15" customHeight="1" x14ac:dyDescent="0.2">
      <c r="B859" s="10" t="s">
        <v>912</v>
      </c>
      <c r="C859" s="10" t="s">
        <v>110</v>
      </c>
      <c r="D859" s="16">
        <f>Prices!I9</f>
        <v>21850</v>
      </c>
    </row>
    <row r="860" spans="2:13" ht="15" customHeight="1" x14ac:dyDescent="0.2">
      <c r="B860" s="3" t="s">
        <v>913</v>
      </c>
      <c r="C860" s="10" t="s">
        <v>914</v>
      </c>
      <c r="D860" s="28">
        <f>IF(J867&gt;=J863,J867,(D859-J866)/J865)</f>
        <v>37.801141077494172</v>
      </c>
      <c r="G860" s="99" t="s">
        <v>915</v>
      </c>
      <c r="H860" s="91"/>
      <c r="I860" s="91"/>
      <c r="J860" s="28">
        <f>D860*Inputs!$D$15</f>
        <v>26.381416357983181</v>
      </c>
      <c r="K860" s="99" t="s">
        <v>916</v>
      </c>
      <c r="L860" s="91"/>
      <c r="M860" s="91"/>
    </row>
    <row r="861" spans="2:13" ht="15" customHeight="1" x14ac:dyDescent="0.2">
      <c r="B861" s="10" t="s">
        <v>917</v>
      </c>
      <c r="C861" s="10" t="s">
        <v>104</v>
      </c>
      <c r="D861" s="30">
        <f>Inputs!$D$81</f>
        <v>0.6</v>
      </c>
      <c r="G861" s="99" t="s">
        <v>918</v>
      </c>
      <c r="H861" s="91"/>
      <c r="I861" s="91"/>
      <c r="J861" s="28">
        <f>IF(-D872/D871&gt;=J863,-D872/D871,-J866/J865)</f>
        <v>32.284876648616972</v>
      </c>
      <c r="K861" s="99" t="s">
        <v>919</v>
      </c>
      <c r="L861" s="91"/>
      <c r="M861" s="91"/>
    </row>
    <row r="862" spans="2:13" ht="15" customHeight="1" x14ac:dyDescent="0.2">
      <c r="B862" s="10" t="s">
        <v>920</v>
      </c>
      <c r="C862" s="10" t="s">
        <v>104</v>
      </c>
      <c r="D862" s="30">
        <f>Inputs!$D$82</f>
        <v>0.1</v>
      </c>
      <c r="G862" s="99" t="s">
        <v>918</v>
      </c>
      <c r="H862" s="91"/>
      <c r="I862" s="91"/>
      <c r="J862" s="28">
        <f>J861*Inputs!$D$15</f>
        <v>22.531615413069783</v>
      </c>
      <c r="K862" s="99" t="s">
        <v>916</v>
      </c>
      <c r="L862" s="91"/>
      <c r="M862" s="91"/>
    </row>
    <row r="863" spans="2:13" ht="15" customHeight="1" x14ac:dyDescent="0.2">
      <c r="B863" s="3" t="s">
        <v>921</v>
      </c>
      <c r="C863" s="10" t="s">
        <v>848</v>
      </c>
      <c r="D863" s="28">
        <f>Capital!$D$13</f>
        <v>57.347931490590682</v>
      </c>
      <c r="G863" s="99" t="s">
        <v>922</v>
      </c>
      <c r="H863" s="91"/>
      <c r="I863" s="91"/>
      <c r="J863" s="28">
        <f>($D$863/Inputs!$D$21+$D$864/Inputs!$D$22)/$D$861</f>
        <v>24.113076913095469</v>
      </c>
      <c r="K863" s="99" t="s">
        <v>919</v>
      </c>
      <c r="L863" s="91"/>
      <c r="M863" s="91"/>
    </row>
    <row r="864" spans="2:13" ht="15" customHeight="1" x14ac:dyDescent="0.2">
      <c r="B864" s="3" t="s">
        <v>923</v>
      </c>
      <c r="C864" s="10" t="s">
        <v>848</v>
      </c>
      <c r="D864" s="28">
        <f>Capital!$D$14</f>
        <v>2.6172655041921802</v>
      </c>
    </row>
    <row r="865" spans="1:13" ht="15" customHeight="1" x14ac:dyDescent="0.2">
      <c r="B865" s="10" t="s">
        <v>924</v>
      </c>
      <c r="C865" s="10" t="s">
        <v>896</v>
      </c>
      <c r="D865" s="28">
        <f>(M838*(Inputs!$D$7+Inputs!$D$20)*$D$861*(Inputs!$D$7-Inputs!$D$19)-M838*Inputs!$D$20*Inputs!$D$23)/($D$862-Inputs!$D$20)/(Inputs!$D$7+$D$862)^M836</f>
        <v>2068.2441036763203</v>
      </c>
      <c r="G865" s="92" t="s">
        <v>910</v>
      </c>
      <c r="H865" s="91"/>
      <c r="I865" s="91"/>
      <c r="J865" s="28">
        <f>SUM(D857:M857)+(M838*(Inputs!$D$7+Inputs!$D$20)*$D$861-M838*Inputs!$D$20*Inputs!$D$23)/($D$862-Inputs!$D$20)/(Inputs!$D$7+$D$862)^M836</f>
        <v>5667.7711754446318</v>
      </c>
      <c r="K865" s="99" t="s">
        <v>896</v>
      </c>
      <c r="L865" s="91"/>
      <c r="M865" s="91"/>
    </row>
    <row r="866" spans="1:13" ht="15" customHeight="1" x14ac:dyDescent="0.2">
      <c r="B866" s="10" t="s">
        <v>925</v>
      </c>
      <c r="C866" s="10" t="s">
        <v>110</v>
      </c>
      <c r="D866" s="16">
        <f>(D869*Inputs!$D$19-D869-D870)/($D$862-Inputs!$D$20)/(Inputs!$D$7+$D$862)^M836</f>
        <v>-57156.954988173631</v>
      </c>
      <c r="G866" s="92" t="s">
        <v>926</v>
      </c>
      <c r="H866" s="91"/>
      <c r="I866" s="91"/>
      <c r="J866" s="16">
        <f>SUM(D858:M858)-(D869+D870)/($D$862-Inputs!$D$20)/(Inputs!$D$7+$D$862)^M836</f>
        <v>-169036.01450291832</v>
      </c>
      <c r="K866" s="99" t="s">
        <v>110</v>
      </c>
      <c r="L866" s="91"/>
      <c r="M866" s="91"/>
    </row>
    <row r="867" spans="1:13" ht="15" customHeight="1" x14ac:dyDescent="0.2">
      <c r="B867" s="10" t="s">
        <v>927</v>
      </c>
      <c r="C867" s="10" t="s">
        <v>928</v>
      </c>
      <c r="D867" s="16">
        <f>(M838*(Inputs!$D$7+Inputs!$D$20)*$D$860*$D$861-D869)-MAX((M838*(Inputs!$D$7+Inputs!$D$20)*$D$860*$D$861-D869),Inputs!$D$6)*Inputs!$D$19-D870-M838*Inputs!$D$20*$D$860*Inputs!$D$23</f>
        <v>3981.0299020896118</v>
      </c>
      <c r="G867" s="99" t="s">
        <v>929</v>
      </c>
      <c r="H867" s="91"/>
      <c r="I867" s="91"/>
      <c r="J867" s="28">
        <f>(D859-D872)/D871</f>
        <v>37.801141077494172</v>
      </c>
      <c r="K867" s="99" t="s">
        <v>919</v>
      </c>
      <c r="L867" s="91"/>
      <c r="M867" s="91"/>
    </row>
    <row r="868" spans="1:13" ht="15" customHeight="1" x14ac:dyDescent="0.2">
      <c r="B868" s="10" t="s">
        <v>930</v>
      </c>
      <c r="C868" s="10" t="s">
        <v>110</v>
      </c>
      <c r="D868" s="16">
        <f>D867/($D$862-Inputs!$D$20)</f>
        <v>53080.39869452815</v>
      </c>
      <c r="G868" s="99" t="s">
        <v>931</v>
      </c>
      <c r="H868" s="91"/>
      <c r="I868" s="91"/>
      <c r="J868" s="16">
        <f>MIN(D852:M852,(M838*(Inputs!$D$7+Inputs!$D$20)*$D$860*$D$861-D869))</f>
        <v>1031.4279577315676</v>
      </c>
      <c r="K868" s="99" t="s">
        <v>110</v>
      </c>
      <c r="L868" s="91"/>
      <c r="M868" s="91"/>
    </row>
    <row r="869" spans="1:13" ht="15" customHeight="1" x14ac:dyDescent="0.2">
      <c r="B869" s="10" t="s">
        <v>932</v>
      </c>
      <c r="C869" s="10" t="s">
        <v>928</v>
      </c>
      <c r="D869" s="16">
        <f>M838*(Inputs!$D$7+Inputs!$D$20)*($D$863/Inputs!$D$21+$D$864/Inputs!$D$22)</f>
        <v>13509.71303671543</v>
      </c>
      <c r="G869" s="99" t="s">
        <v>933</v>
      </c>
      <c r="H869" s="91"/>
      <c r="I869" s="91"/>
      <c r="J869" s="31" t="str">
        <f>IF(J868&lt;Inputs!$D$6,"breached","satisfied")</f>
        <v>satisfied</v>
      </c>
      <c r="K869" s="99" t="s">
        <v>934</v>
      </c>
      <c r="L869" s="91"/>
      <c r="M869" s="91"/>
    </row>
    <row r="870" spans="1:13" ht="15" customHeight="1" x14ac:dyDescent="0.2">
      <c r="B870" s="10" t="s">
        <v>935</v>
      </c>
      <c r="C870" s="10" t="s">
        <v>928</v>
      </c>
      <c r="D870" s="16">
        <f>M838*Inputs!$D$20*($D$863+$D$864)</f>
        <v>1365.7073615561799</v>
      </c>
    </row>
    <row r="871" spans="1:13" ht="15" customHeight="1" x14ac:dyDescent="0.2">
      <c r="B871" s="10" t="s">
        <v>936</v>
      </c>
      <c r="C871" s="10" t="s">
        <v>896</v>
      </c>
      <c r="D871" s="28">
        <f>SUM(D848:M848)+D865</f>
        <v>3961.0138857044249</v>
      </c>
      <c r="G871" s="99" t="s">
        <v>937</v>
      </c>
      <c r="H871" s="91"/>
      <c r="I871" s="91"/>
      <c r="J871" s="16">
        <f>D873-D859</f>
        <v>0</v>
      </c>
      <c r="K871" s="99" t="s">
        <v>110</v>
      </c>
      <c r="L871" s="91"/>
      <c r="M871" s="91"/>
    </row>
    <row r="872" spans="1:13" ht="15" customHeight="1" x14ac:dyDescent="0.2">
      <c r="B872" s="10" t="s">
        <v>938</v>
      </c>
      <c r="C872" s="10" t="s">
        <v>110</v>
      </c>
      <c r="D872" s="16">
        <f>SUM(D849:M849)+D866</f>
        <v>-127880.84470342637</v>
      </c>
    </row>
    <row r="873" spans="1:13" ht="15" customHeight="1" x14ac:dyDescent="0.2">
      <c r="B873" s="10" t="s">
        <v>939</v>
      </c>
      <c r="C873" s="10" t="s">
        <v>110</v>
      </c>
      <c r="D873" s="16">
        <f>SUM(D856:M856)+D868/(Inputs!$D$7+$D$862)^M836</f>
        <v>21850.000000000004</v>
      </c>
    </row>
    <row r="874" spans="1:13" ht="15" customHeight="1" x14ac:dyDescent="0.2">
      <c r="B874" s="10" t="s">
        <v>940</v>
      </c>
      <c r="C874" s="10" t="s">
        <v>104</v>
      </c>
      <c r="D874" s="30">
        <f>IF(ABS(D859)&gt;Inputs!$D$6,D873/D859-Inputs!$D$7,Inputs!$D$6)</f>
        <v>2.2204460492503131E-16</v>
      </c>
    </row>
    <row r="875" spans="1:13" ht="15" customHeight="1" x14ac:dyDescent="0.2">
      <c r="B875" s="10" t="s">
        <v>941</v>
      </c>
      <c r="C875" s="10" t="s">
        <v>104</v>
      </c>
      <c r="D875" s="30">
        <f>IF(ABS(D873)&gt;Inputs!$D$119,D868/(Inputs!$D$7+$D$862)^M836/D873,Inputs!$D$6)</f>
        <v>0.96224403467233155</v>
      </c>
    </row>
    <row r="876" spans="1:13" ht="15" customHeight="1" x14ac:dyDescent="0.2">
      <c r="B876" s="10" t="s">
        <v>942</v>
      </c>
      <c r="C876" s="10" t="s">
        <v>943</v>
      </c>
      <c r="D876" s="26">
        <f>$D$860*Inputs!$D$8/Prices!$P$6/(Inputs!$D$26/Inputs!$D$25)/Inputs!$D$11/Inputs!$D$56</f>
        <v>6.8742523267526172</v>
      </c>
    </row>
    <row r="880" spans="1:13" ht="15" customHeight="1" x14ac:dyDescent="0.2">
      <c r="A880" s="104" t="s">
        <v>962</v>
      </c>
      <c r="B880" s="10" t="s">
        <v>886</v>
      </c>
      <c r="C880" s="10" t="s">
        <v>107</v>
      </c>
      <c r="D880" s="28">
        <f>Inputs!$D$60</f>
        <v>1</v>
      </c>
      <c r="E880" s="28">
        <f>Inputs!$D$62</f>
        <v>2</v>
      </c>
      <c r="F880" s="28">
        <f>Inputs!$D$64</f>
        <v>3</v>
      </c>
      <c r="G880" s="28">
        <f>Inputs!$D$66</f>
        <v>4</v>
      </c>
      <c r="H880" s="28">
        <f>Inputs!$D$68</f>
        <v>5</v>
      </c>
      <c r="I880" s="28">
        <f>Inputs!$D$70</f>
        <v>6</v>
      </c>
      <c r="J880" s="28">
        <f>Inputs!$D$72</f>
        <v>7</v>
      </c>
      <c r="K880" s="28">
        <f>Inputs!$D$74</f>
        <v>8</v>
      </c>
      <c r="L880" s="28">
        <f>Inputs!$D$76</f>
        <v>9</v>
      </c>
      <c r="M880" s="28">
        <f>Inputs!$D$78</f>
        <v>10</v>
      </c>
    </row>
    <row r="881" spans="1:13" ht="15" customHeight="1" x14ac:dyDescent="0.2">
      <c r="A881" s="91"/>
      <c r="B881" s="10" t="s">
        <v>887</v>
      </c>
      <c r="C881" s="10" t="s">
        <v>161</v>
      </c>
      <c r="D881" s="29">
        <f>Inputs!$D$61</f>
        <v>46568</v>
      </c>
      <c r="E881" s="29">
        <f>Inputs!$D$63</f>
        <v>46934</v>
      </c>
      <c r="F881" s="29">
        <f>Inputs!$D$65</f>
        <v>47299</v>
      </c>
      <c r="G881" s="29">
        <f>Inputs!$D$67</f>
        <v>47664</v>
      </c>
      <c r="H881" s="29">
        <f>Inputs!$D$69</f>
        <v>48029</v>
      </c>
      <c r="I881" s="29">
        <f>Inputs!$D$71</f>
        <v>48395</v>
      </c>
      <c r="J881" s="29">
        <f>Inputs!$D$73</f>
        <v>48760</v>
      </c>
      <c r="K881" s="29">
        <f>Inputs!$D$75</f>
        <v>49125</v>
      </c>
      <c r="L881" s="29">
        <f>Inputs!$D$77</f>
        <v>49490</v>
      </c>
      <c r="M881" s="29">
        <f>Inputs!$D$79</f>
        <v>49856</v>
      </c>
    </row>
    <row r="882" spans="1:13" ht="15" customHeight="1" x14ac:dyDescent="0.2">
      <c r="A882" s="91"/>
      <c r="B882" s="10" t="s">
        <v>888</v>
      </c>
      <c r="C882" s="10" t="s">
        <v>107</v>
      </c>
      <c r="D882" s="28">
        <f>(D881-Inputs!$D$13)/Inputs!$D$10</f>
        <v>0.71457905544147848</v>
      </c>
      <c r="E882" s="28">
        <f>(E881-Inputs!$D$13)/Inputs!$D$10</f>
        <v>1.7166324435318274</v>
      </c>
      <c r="F882" s="28">
        <f>(F881-Inputs!$D$13)/Inputs!$D$10</f>
        <v>2.7159479808350446</v>
      </c>
      <c r="G882" s="28">
        <f>(G881-Inputs!$D$13)/Inputs!$D$10</f>
        <v>3.7152635181382614</v>
      </c>
      <c r="H882" s="28">
        <f>(H881-Inputs!$D$13)/Inputs!$D$10</f>
        <v>4.7145790554414786</v>
      </c>
      <c r="I882" s="28">
        <f>(I881-Inputs!$D$13)/Inputs!$D$10</f>
        <v>5.7166324435318279</v>
      </c>
      <c r="J882" s="28">
        <f>(J881-Inputs!$D$13)/Inputs!$D$10</f>
        <v>6.7159479808350442</v>
      </c>
      <c r="K882" s="28">
        <f>(K881-Inputs!$D$13)/Inputs!$D$10</f>
        <v>7.7152635181382614</v>
      </c>
      <c r="L882" s="28">
        <f>(L881-Inputs!$D$13)/Inputs!$D$10</f>
        <v>8.7145790554414777</v>
      </c>
      <c r="M882" s="28">
        <f>(M881-Inputs!$D$13)/Inputs!$D$10</f>
        <v>9.716632443531827</v>
      </c>
    </row>
    <row r="883" spans="1:13" ht="15" customHeight="1" x14ac:dyDescent="0.2">
      <c r="A883" s="91"/>
      <c r="B883" s="10" t="s">
        <v>889</v>
      </c>
      <c r="C883" s="10" t="s">
        <v>107</v>
      </c>
      <c r="D883" s="28">
        <f>D882</f>
        <v>0.71457905544147848</v>
      </c>
      <c r="E883" s="28">
        <f>Inputs!$D$7</f>
        <v>1</v>
      </c>
      <c r="F883" s="28">
        <f>Inputs!$D$7</f>
        <v>1</v>
      </c>
      <c r="G883" s="28">
        <f>Inputs!$D$7</f>
        <v>1</v>
      </c>
      <c r="H883" s="28">
        <f>Inputs!$D$7</f>
        <v>1</v>
      </c>
      <c r="I883" s="28">
        <f>Inputs!$D$7</f>
        <v>1</v>
      </c>
      <c r="J883" s="28">
        <f>Inputs!$D$7</f>
        <v>1</v>
      </c>
      <c r="K883" s="28">
        <f>Inputs!$D$7</f>
        <v>1</v>
      </c>
      <c r="L883" s="28">
        <f>Inputs!$D$7</f>
        <v>1</v>
      </c>
      <c r="M883" s="28">
        <f>Inputs!$D$7</f>
        <v>1</v>
      </c>
    </row>
    <row r="884" spans="1:13" ht="15" customHeight="1" x14ac:dyDescent="0.2">
      <c r="A884" s="91"/>
      <c r="B884" s="3" t="s">
        <v>890</v>
      </c>
      <c r="C884" s="10" t="s">
        <v>199</v>
      </c>
      <c r="D884" s="28">
        <f>Inputs!$D$24+(Inputs!$D$93-Inputs!$D$24)*Inputs!$D$96</f>
        <v>279.10000000000002</v>
      </c>
      <c r="E884" s="28">
        <f>Inputs!$D$24+(Inputs!$D$93-Inputs!$D$24)*Inputs!$D$97</f>
        <v>900.7</v>
      </c>
      <c r="F884" s="28">
        <f>Inputs!$D$24+(Inputs!$D$93-Inputs!$D$24)*Inputs!$D$98</f>
        <v>1366.8999999999999</v>
      </c>
      <c r="G884" s="28">
        <f>Inputs!$D$24+(Inputs!$D$93-Inputs!$D$24)*Inputs!$D$99</f>
        <v>1600</v>
      </c>
      <c r="H884" s="28">
        <f>Inputs!$D$24+(Inputs!$D$93-Inputs!$D$24)*Inputs!$D$100</f>
        <v>1600</v>
      </c>
      <c r="I884" s="28">
        <f>Inputs!$D$24+(Inputs!$D$93-Inputs!$D$24)*Inputs!$D$101</f>
        <v>1600</v>
      </c>
      <c r="J884" s="28">
        <f>Inputs!$D$24+(Inputs!$D$93-Inputs!$D$24)*Inputs!$D$102</f>
        <v>1600</v>
      </c>
      <c r="K884" s="28">
        <f>Inputs!$D$24+(Inputs!$D$93-Inputs!$D$24)*Inputs!$D$103</f>
        <v>1600</v>
      </c>
      <c r="L884" s="28">
        <f>Inputs!$D$24+(Inputs!$D$93-Inputs!$D$24)*Inputs!$D$104</f>
        <v>1600</v>
      </c>
      <c r="M884" s="28">
        <f>Inputs!$D$24+(Inputs!$D$93-Inputs!$D$24)*Inputs!$D$105</f>
        <v>1600</v>
      </c>
    </row>
    <row r="885" spans="1:13" ht="15" customHeight="1" x14ac:dyDescent="0.2">
      <c r="A885" s="91"/>
      <c r="B885" s="10" t="s">
        <v>891</v>
      </c>
      <c r="C885" s="10" t="s">
        <v>199</v>
      </c>
      <c r="D885" s="28">
        <f>Inputs!$D$24</f>
        <v>46</v>
      </c>
      <c r="E885" s="28">
        <f t="shared" ref="E885:M885" si="190">D884</f>
        <v>279.10000000000002</v>
      </c>
      <c r="F885" s="28">
        <f t="shared" si="190"/>
        <v>900.7</v>
      </c>
      <c r="G885" s="28">
        <f t="shared" si="190"/>
        <v>1366.8999999999999</v>
      </c>
      <c r="H885" s="28">
        <f t="shared" si="190"/>
        <v>1600</v>
      </c>
      <c r="I885" s="28">
        <f t="shared" si="190"/>
        <v>1600</v>
      </c>
      <c r="J885" s="28">
        <f t="shared" si="190"/>
        <v>1600</v>
      </c>
      <c r="K885" s="28">
        <f t="shared" si="190"/>
        <v>1600</v>
      </c>
      <c r="L885" s="28">
        <f t="shared" si="190"/>
        <v>1600</v>
      </c>
      <c r="M885" s="28">
        <f t="shared" si="190"/>
        <v>1600</v>
      </c>
    </row>
    <row r="886" spans="1:13" ht="15" customHeight="1" x14ac:dyDescent="0.2">
      <c r="B886" s="10" t="s">
        <v>892</v>
      </c>
      <c r="C886" s="10" t="s">
        <v>199</v>
      </c>
      <c r="D886" s="28">
        <f>(D885+D884)*Inputs!$D$12</f>
        <v>162.55000000000001</v>
      </c>
      <c r="E886" s="28">
        <f>(E885+E884)*Inputs!$D$12</f>
        <v>589.90000000000009</v>
      </c>
      <c r="F886" s="28">
        <f>(F885+F884)*Inputs!$D$12</f>
        <v>1133.8</v>
      </c>
      <c r="G886" s="28">
        <f>(G885+G884)*Inputs!$D$12</f>
        <v>1483.4499999999998</v>
      </c>
      <c r="H886" s="28">
        <f>(H885+H884)*Inputs!$D$12</f>
        <v>1600</v>
      </c>
      <c r="I886" s="28">
        <f>(I885+I884)*Inputs!$D$12</f>
        <v>1600</v>
      </c>
      <c r="J886" s="28">
        <f>(J885+J884)*Inputs!$D$12</f>
        <v>1600</v>
      </c>
      <c r="K886" s="28">
        <f>(K885+K884)*Inputs!$D$12</f>
        <v>1600</v>
      </c>
      <c r="L886" s="28">
        <f>(L885+L884)*Inputs!$D$12</f>
        <v>1600</v>
      </c>
      <c r="M886" s="28">
        <f>(M885+M884)*Inputs!$D$12</f>
        <v>1600</v>
      </c>
    </row>
    <row r="887" spans="1:13" ht="15" customHeight="1" x14ac:dyDescent="0.2">
      <c r="B887" s="10" t="s">
        <v>893</v>
      </c>
      <c r="C887" s="10" t="s">
        <v>199</v>
      </c>
      <c r="D887" s="28">
        <f t="shared" ref="D887:M887" si="191">D884-D885</f>
        <v>233.10000000000002</v>
      </c>
      <c r="E887" s="28">
        <f t="shared" si="191"/>
        <v>621.6</v>
      </c>
      <c r="F887" s="28">
        <f t="shared" si="191"/>
        <v>466.19999999999982</v>
      </c>
      <c r="G887" s="28">
        <f t="shared" si="191"/>
        <v>233.10000000000014</v>
      </c>
      <c r="H887" s="28">
        <f t="shared" si="191"/>
        <v>0</v>
      </c>
      <c r="I887" s="28">
        <f t="shared" si="191"/>
        <v>0</v>
      </c>
      <c r="J887" s="28">
        <f t="shared" si="191"/>
        <v>0</v>
      </c>
      <c r="K887" s="28">
        <f t="shared" si="191"/>
        <v>0</v>
      </c>
      <c r="L887" s="28">
        <f t="shared" si="191"/>
        <v>0</v>
      </c>
      <c r="M887" s="28">
        <f t="shared" si="191"/>
        <v>0</v>
      </c>
    </row>
    <row r="888" spans="1:13" ht="15" customHeight="1" x14ac:dyDescent="0.2">
      <c r="B888" s="10" t="s">
        <v>894</v>
      </c>
      <c r="C888" s="10" t="s">
        <v>199</v>
      </c>
      <c r="D888" s="28">
        <f>IF(MOD(D880,Inputs!$D$21)=Inputs!$D$6,Inputs!$D$24,Inputs!$D$6)+SUMPRODUCT(--(D880&gt;$D$880:$M$880),--(MOD(D880-$D$880:$M$880,Inputs!$D$21)=Inputs!$D$6),$D$887:$M$887)</f>
        <v>0</v>
      </c>
      <c r="E888" s="28">
        <f>IF(MOD(E880,Inputs!$D$21)=Inputs!$D$6,Inputs!$D$24,Inputs!$D$6)+SUMPRODUCT(--(E880&gt;$D$880:$M$880),--(MOD(E880-$D$880:$M$880,Inputs!$D$21)=Inputs!$D$6),$D$887:$M$887)</f>
        <v>0</v>
      </c>
      <c r="F888" s="28">
        <f>IF(MOD(F880,Inputs!$D$21)=Inputs!$D$6,Inputs!$D$24,Inputs!$D$6)+SUMPRODUCT(--(F880&gt;$D$880:$M$880),--(MOD(F880-$D$880:$M$880,Inputs!$D$21)=Inputs!$D$6),$D$887:$M$887)</f>
        <v>0</v>
      </c>
      <c r="G888" s="28">
        <f>IF(MOD(G880,Inputs!$D$21)=Inputs!$D$6,Inputs!$D$24,Inputs!$D$6)+SUMPRODUCT(--(G880&gt;$D$880:$M$880),--(MOD(G880-$D$880:$M$880,Inputs!$D$21)=Inputs!$D$6),$D$887:$M$887)</f>
        <v>46</v>
      </c>
      <c r="H888" s="28">
        <f>IF(MOD(H880,Inputs!$D$21)=Inputs!$D$6,Inputs!$D$24,Inputs!$D$6)+SUMPRODUCT(--(H880&gt;$D$880:$M$880),--(MOD(H880-$D$880:$M$880,Inputs!$D$21)=Inputs!$D$6),$D$887:$M$887)</f>
        <v>233.10000000000002</v>
      </c>
      <c r="I888" s="28">
        <f>IF(MOD(I880,Inputs!$D$21)=Inputs!$D$6,Inputs!$D$24,Inputs!$D$6)+SUMPRODUCT(--(I880&gt;$D$880:$M$880),--(MOD(I880-$D$880:$M$880,Inputs!$D$21)=Inputs!$D$6),$D$887:$M$887)</f>
        <v>621.6</v>
      </c>
      <c r="J888" s="28">
        <f>IF(MOD(J880,Inputs!$D$21)=Inputs!$D$6,Inputs!$D$24,Inputs!$D$6)+SUMPRODUCT(--(J880&gt;$D$880:$M$880),--(MOD(J880-$D$880:$M$880,Inputs!$D$21)=Inputs!$D$6),$D$887:$M$887)</f>
        <v>466.19999999999982</v>
      </c>
      <c r="K888" s="28">
        <f>IF(MOD(K880,Inputs!$D$21)=Inputs!$D$6,Inputs!$D$24,Inputs!$D$6)+SUMPRODUCT(--(K880&gt;$D$880:$M$880),--(MOD(K880-$D$880:$M$880,Inputs!$D$21)=Inputs!$D$6),$D$887:$M$887)</f>
        <v>279.10000000000014</v>
      </c>
      <c r="L888" s="28">
        <f>IF(MOD(L880,Inputs!$D$21)=Inputs!$D$6,Inputs!$D$24,Inputs!$D$6)+SUMPRODUCT(--(L880&gt;$D$880:$M$880),--(MOD(L880-$D$880:$M$880,Inputs!$D$21)=Inputs!$D$6),$D$887:$M$887)</f>
        <v>233.10000000000002</v>
      </c>
      <c r="M888" s="28">
        <f>IF(MOD(M880,Inputs!$D$21)=Inputs!$D$6,Inputs!$D$24,Inputs!$D$6)+SUMPRODUCT(--(M880&gt;$D$880:$M$880),--(MOD(M880-$D$880:$M$880,Inputs!$D$21)=Inputs!$D$6),$D$887:$M$887)</f>
        <v>621.6</v>
      </c>
    </row>
    <row r="889" spans="1:13" ht="15" customHeight="1" x14ac:dyDescent="0.2">
      <c r="B889" s="10" t="s">
        <v>895</v>
      </c>
      <c r="C889" s="10" t="s">
        <v>896</v>
      </c>
      <c r="D889" s="28">
        <f t="shared" ref="D889:M889" si="192">D886*D883</f>
        <v>116.15482546201234</v>
      </c>
      <c r="E889" s="28">
        <f t="shared" si="192"/>
        <v>589.90000000000009</v>
      </c>
      <c r="F889" s="28">
        <f t="shared" si="192"/>
        <v>1133.8</v>
      </c>
      <c r="G889" s="28">
        <f t="shared" si="192"/>
        <v>1483.4499999999998</v>
      </c>
      <c r="H889" s="28">
        <f t="shared" si="192"/>
        <v>1600</v>
      </c>
      <c r="I889" s="28">
        <f t="shared" si="192"/>
        <v>1600</v>
      </c>
      <c r="J889" s="28">
        <f t="shared" si="192"/>
        <v>1600</v>
      </c>
      <c r="K889" s="28">
        <f t="shared" si="192"/>
        <v>1600</v>
      </c>
      <c r="L889" s="28">
        <f t="shared" si="192"/>
        <v>1600</v>
      </c>
      <c r="M889" s="28">
        <f t="shared" si="192"/>
        <v>1600</v>
      </c>
    </row>
    <row r="890" spans="1:13" ht="15" customHeight="1" x14ac:dyDescent="0.2">
      <c r="B890" s="10" t="s">
        <v>897</v>
      </c>
      <c r="C890" s="10" t="s">
        <v>110</v>
      </c>
      <c r="D890" s="16">
        <f>D889*($D$909/Inputs!$D$21+$D$910/Inputs!$D$22)</f>
        <v>1680.51014411561</v>
      </c>
      <c r="E890" s="16">
        <f>E889*($D$909/Inputs!$D$21+$D$910/Inputs!$D$22)</f>
        <v>8534.5824426210111</v>
      </c>
      <c r="F890" s="16">
        <f>F889*($D$909/Inputs!$D$21+$D$910/Inputs!$D$22)</f>
        <v>16403.643962440583</v>
      </c>
      <c r="G890" s="16">
        <f>G889*($D$909/Inputs!$D$21+$D$910/Inputs!$D$22)</f>
        <v>21462.326368038881</v>
      </c>
      <c r="H890" s="16">
        <f>H889*($D$909/Inputs!$D$21+$D$910/Inputs!$D$22)</f>
        <v>23148.553836571649</v>
      </c>
      <c r="I890" s="16">
        <f>I889*($D$909/Inputs!$D$21+$D$910/Inputs!$D$22)</f>
        <v>23148.553836571649</v>
      </c>
      <c r="J890" s="16">
        <f>J889*($D$909/Inputs!$D$21+$D$910/Inputs!$D$22)</f>
        <v>23148.553836571649</v>
      </c>
      <c r="K890" s="16">
        <f>K889*($D$909/Inputs!$D$21+$D$910/Inputs!$D$22)</f>
        <v>23148.553836571649</v>
      </c>
      <c r="L890" s="16">
        <f>L889*($D$909/Inputs!$D$21+$D$910/Inputs!$D$22)</f>
        <v>23148.553836571649</v>
      </c>
      <c r="M890" s="16">
        <f>M889*($D$909/Inputs!$D$21+$D$910/Inputs!$D$22)</f>
        <v>23148.553836571649</v>
      </c>
    </row>
    <row r="891" spans="1:13" ht="15" customHeight="1" x14ac:dyDescent="0.2">
      <c r="B891" s="10" t="s">
        <v>898</v>
      </c>
      <c r="C891" s="10" t="s">
        <v>110</v>
      </c>
      <c r="D891" s="16">
        <f t="shared" ref="D891:M891" si="193">D887*($D$909+$D$910)</f>
        <v>13977.887419483886</v>
      </c>
      <c r="E891" s="16">
        <f t="shared" si="193"/>
        <v>37274.36645195703</v>
      </c>
      <c r="F891" s="16">
        <f t="shared" si="193"/>
        <v>27955.774838967762</v>
      </c>
      <c r="G891" s="16">
        <f t="shared" si="193"/>
        <v>13977.887419483894</v>
      </c>
      <c r="H891" s="16">
        <f t="shared" si="193"/>
        <v>0</v>
      </c>
      <c r="I891" s="16">
        <f t="shared" si="193"/>
        <v>0</v>
      </c>
      <c r="J891" s="16">
        <f t="shared" si="193"/>
        <v>0</v>
      </c>
      <c r="K891" s="16">
        <f t="shared" si="193"/>
        <v>0</v>
      </c>
      <c r="L891" s="16">
        <f t="shared" si="193"/>
        <v>0</v>
      </c>
      <c r="M891" s="16">
        <f t="shared" si="193"/>
        <v>0</v>
      </c>
    </row>
    <row r="892" spans="1:13" ht="15" customHeight="1" x14ac:dyDescent="0.2">
      <c r="B892" s="10" t="s">
        <v>899</v>
      </c>
      <c r="C892" s="10" t="s">
        <v>110</v>
      </c>
      <c r="D892" s="16">
        <f t="shared" ref="D892:M892" si="194">D888*$D$909</f>
        <v>0</v>
      </c>
      <c r="E892" s="16">
        <f t="shared" si="194"/>
        <v>0</v>
      </c>
      <c r="F892" s="16">
        <f t="shared" si="194"/>
        <v>0</v>
      </c>
      <c r="G892" s="16">
        <f t="shared" si="194"/>
        <v>2638.0048485671714</v>
      </c>
      <c r="H892" s="16">
        <f t="shared" si="194"/>
        <v>13367.802830456689</v>
      </c>
      <c r="I892" s="16">
        <f t="shared" si="194"/>
        <v>35647.47421455117</v>
      </c>
      <c r="J892" s="16">
        <f t="shared" si="194"/>
        <v>26735.605660913367</v>
      </c>
      <c r="K892" s="16">
        <f t="shared" si="194"/>
        <v>16005.807679023867</v>
      </c>
      <c r="L892" s="16">
        <f t="shared" si="194"/>
        <v>13367.802830456689</v>
      </c>
      <c r="M892" s="16">
        <f t="shared" si="194"/>
        <v>35647.47421455117</v>
      </c>
    </row>
    <row r="893" spans="1:13" ht="15" customHeight="1" x14ac:dyDescent="0.2">
      <c r="B893" s="10" t="s">
        <v>900</v>
      </c>
      <c r="C893" s="10" t="s">
        <v>199</v>
      </c>
      <c r="D893" s="28">
        <f>D887*Inputs!$D$23</f>
        <v>5.8275000000000006</v>
      </c>
      <c r="E893" s="28">
        <f>E887*Inputs!$D$23</f>
        <v>15.540000000000001</v>
      </c>
      <c r="F893" s="28">
        <f>F887*Inputs!$D$23</f>
        <v>11.654999999999996</v>
      </c>
      <c r="G893" s="28">
        <f>G887*Inputs!$D$23</f>
        <v>5.8275000000000041</v>
      </c>
      <c r="H893" s="28">
        <f>H887*Inputs!$D$23</f>
        <v>0</v>
      </c>
      <c r="I893" s="28">
        <f>I887*Inputs!$D$23</f>
        <v>0</v>
      </c>
      <c r="J893" s="28">
        <f>J887*Inputs!$D$23</f>
        <v>0</v>
      </c>
      <c r="K893" s="28">
        <f>K887*Inputs!$D$23</f>
        <v>0</v>
      </c>
      <c r="L893" s="28">
        <f>L887*Inputs!$D$23</f>
        <v>0</v>
      </c>
      <c r="M893" s="28">
        <f>M887*Inputs!$D$23</f>
        <v>0</v>
      </c>
    </row>
    <row r="894" spans="1:13" ht="15" customHeight="1" x14ac:dyDescent="0.2">
      <c r="B894" s="3" t="s">
        <v>901</v>
      </c>
      <c r="C894" s="10" t="s">
        <v>896</v>
      </c>
      <c r="D894" s="28">
        <f>(D889*$D$907*(Inputs!$D$7-Inputs!$D$19)-D893)/(Inputs!$D$7+$D$908)^D882</f>
        <v>50.541318213721269</v>
      </c>
      <c r="E894" s="28">
        <f>(E889*$D$907*(Inputs!$D$7-Inputs!$D$19)-E893)/(Inputs!$D$7+$D$908)^E882</f>
        <v>238.4864713152904</v>
      </c>
      <c r="F894" s="28">
        <f>(F889*$D$907*(Inputs!$D$7-Inputs!$D$19)-F893)/(Inputs!$D$7+$D$908)^F882</f>
        <v>418.74491871678316</v>
      </c>
      <c r="G894" s="28">
        <f>(G889*$D$907*(Inputs!$D$7-Inputs!$D$19)-G893)/(Inputs!$D$7+$D$908)^G882</f>
        <v>490.87392073514752</v>
      </c>
      <c r="H894" s="28">
        <f>(H889*$D$907*(Inputs!$D$7-Inputs!$D$19)-H893)/(Inputs!$D$7+$D$908)^H882</f>
        <v>472.10300862628105</v>
      </c>
      <c r="I894" s="28">
        <f>(I889*$D$907*(Inputs!$D$7-Inputs!$D$19)-I893)/(Inputs!$D$7+$D$908)^I882</f>
        <v>417.68543753228789</v>
      </c>
      <c r="J894" s="28">
        <f>(J889*$D$907*(Inputs!$D$7-Inputs!$D$19)-J893)/(Inputs!$D$7+$D$908)^J882</f>
        <v>369.66405292491049</v>
      </c>
      <c r="K894" s="28">
        <f>(K889*$D$907*(Inputs!$D$7-Inputs!$D$19)-K893)/(Inputs!$D$7+$D$908)^K882</f>
        <v>327.16369723641031</v>
      </c>
      <c r="L894" s="28">
        <f>(L889*$D$907*(Inputs!$D$7-Inputs!$D$19)-L893)/(Inputs!$D$7+$D$908)^L882</f>
        <v>289.54961658427663</v>
      </c>
      <c r="M894" s="28">
        <f>(M889*$D$907*(Inputs!$D$7-Inputs!$D$19)-M893)/(Inputs!$D$7+$D$908)^M882</f>
        <v>256.17430111750662</v>
      </c>
    </row>
    <row r="895" spans="1:13" ht="15" customHeight="1" x14ac:dyDescent="0.2">
      <c r="B895" s="10" t="s">
        <v>902</v>
      </c>
      <c r="C895" s="10" t="s">
        <v>110</v>
      </c>
      <c r="D895" s="16">
        <f>(D890*Inputs!$D$19-D891-D892)/(Inputs!$D$7+$D$908)^D882</f>
        <v>-12346.937146613671</v>
      </c>
      <c r="E895" s="16">
        <f>(E890*Inputs!$D$19-E891-E892)/(Inputs!$D$7+$D$908)^E882</f>
        <v>-28144.165592831177</v>
      </c>
      <c r="F895" s="16">
        <f>(F890*Inputs!$D$19-F891-F892)/(Inputs!$D$7+$D$908)^F882</f>
        <v>-16528.13772562052</v>
      </c>
      <c r="G895" s="16">
        <f>(G890*Inputs!$D$19-G891-G892)/(Inputs!$D$7+$D$908)^G882</f>
        <v>-6462.9033875784253</v>
      </c>
      <c r="H895" s="16">
        <f>(H890*Inputs!$D$19-H891-H892)/(Inputs!$D$7+$D$908)^H882</f>
        <v>-3610.0349541710043</v>
      </c>
      <c r="I895" s="16">
        <f>(I890*Inputs!$D$19-I891-I892)/(Inputs!$D$7+$D$908)^I882</f>
        <v>-14272.365134506323</v>
      </c>
      <c r="J895" s="16">
        <f>(J890*Inputs!$D$19-J891-J892)/(Inputs!$D$7+$D$908)^J882</f>
        <v>-8709.5665200501735</v>
      </c>
      <c r="K895" s="16">
        <f>(K890*Inputs!$D$19-K891-K892)/(Inputs!$D$7+$D$908)^K882</f>
        <v>-3529.1777141306115</v>
      </c>
      <c r="L895" s="16">
        <f>(L890*Inputs!$D$19-L891-L892)/(Inputs!$D$7+$D$908)^L882</f>
        <v>-2214.1020449702382</v>
      </c>
      <c r="M895" s="16">
        <f>(M890*Inputs!$D$19-M891-M892)/(Inputs!$D$7+$D$908)^M882</f>
        <v>-8753.5088252709138</v>
      </c>
    </row>
    <row r="896" spans="1:13" ht="15" customHeight="1" x14ac:dyDescent="0.2">
      <c r="B896" s="10" t="s">
        <v>903</v>
      </c>
      <c r="C896" s="10" t="s">
        <v>110</v>
      </c>
      <c r="D896" s="16">
        <f t="shared" ref="D896:M896" si="195">D889*$D$906</f>
        <v>3619.4202977967461</v>
      </c>
      <c r="E896" s="16">
        <f t="shared" si="195"/>
        <v>18381.466505397744</v>
      </c>
      <c r="F896" s="16">
        <f t="shared" si="195"/>
        <v>35329.558779148938</v>
      </c>
      <c r="G896" s="16">
        <f t="shared" si="195"/>
        <v>46224.760955131846</v>
      </c>
      <c r="H896" s="16">
        <f t="shared" si="195"/>
        <v>49856.495013792824</v>
      </c>
      <c r="I896" s="16">
        <f t="shared" si="195"/>
        <v>49856.495013792824</v>
      </c>
      <c r="J896" s="16">
        <f t="shared" si="195"/>
        <v>49856.495013792824</v>
      </c>
      <c r="K896" s="16">
        <f t="shared" si="195"/>
        <v>49856.495013792824</v>
      </c>
      <c r="L896" s="16">
        <f t="shared" si="195"/>
        <v>49856.495013792824</v>
      </c>
      <c r="M896" s="16">
        <f t="shared" si="195"/>
        <v>49856.495013792824</v>
      </c>
    </row>
    <row r="897" spans="2:13" ht="15" customHeight="1" x14ac:dyDescent="0.2">
      <c r="B897" s="10" t="s">
        <v>904</v>
      </c>
      <c r="C897" s="10" t="s">
        <v>110</v>
      </c>
      <c r="D897" s="16">
        <f t="shared" ref="D897:M897" si="196">D896*$D$907</f>
        <v>2714.5652233475594</v>
      </c>
      <c r="E897" s="16">
        <f t="shared" si="196"/>
        <v>13786.099879048308</v>
      </c>
      <c r="F897" s="16">
        <f t="shared" si="196"/>
        <v>26497.169084361703</v>
      </c>
      <c r="G897" s="16">
        <f t="shared" si="196"/>
        <v>34668.570716348884</v>
      </c>
      <c r="H897" s="16">
        <f t="shared" si="196"/>
        <v>37392.371260344618</v>
      </c>
      <c r="I897" s="16">
        <f t="shared" si="196"/>
        <v>37392.371260344618</v>
      </c>
      <c r="J897" s="16">
        <f t="shared" si="196"/>
        <v>37392.371260344618</v>
      </c>
      <c r="K897" s="16">
        <f t="shared" si="196"/>
        <v>37392.371260344618</v>
      </c>
      <c r="L897" s="16">
        <f t="shared" si="196"/>
        <v>37392.371260344618</v>
      </c>
      <c r="M897" s="16">
        <f t="shared" si="196"/>
        <v>37392.371260344618</v>
      </c>
    </row>
    <row r="898" spans="2:13" ht="15" customHeight="1" x14ac:dyDescent="0.2">
      <c r="B898" s="10" t="s">
        <v>905</v>
      </c>
      <c r="C898" s="10" t="s">
        <v>110</v>
      </c>
      <c r="D898" s="16">
        <f t="shared" ref="D898:M898" si="197">D897-D890</f>
        <v>1034.0550792319493</v>
      </c>
      <c r="E898" s="16">
        <f t="shared" si="197"/>
        <v>5251.5174364272971</v>
      </c>
      <c r="F898" s="16">
        <f t="shared" si="197"/>
        <v>10093.52512192112</v>
      </c>
      <c r="G898" s="16">
        <f t="shared" si="197"/>
        <v>13206.244348310003</v>
      </c>
      <c r="H898" s="16">
        <f t="shared" si="197"/>
        <v>14243.817423772969</v>
      </c>
      <c r="I898" s="16">
        <f t="shared" si="197"/>
        <v>14243.817423772969</v>
      </c>
      <c r="J898" s="16">
        <f t="shared" si="197"/>
        <v>14243.817423772969</v>
      </c>
      <c r="K898" s="16">
        <f t="shared" si="197"/>
        <v>14243.817423772969</v>
      </c>
      <c r="L898" s="16">
        <f t="shared" si="197"/>
        <v>14243.817423772969</v>
      </c>
      <c r="M898" s="16">
        <f t="shared" si="197"/>
        <v>14243.817423772969</v>
      </c>
    </row>
    <row r="899" spans="2:13" ht="15" customHeight="1" x14ac:dyDescent="0.2">
      <c r="B899" s="10" t="s">
        <v>906</v>
      </c>
      <c r="C899" s="10" t="s">
        <v>110</v>
      </c>
      <c r="D899" s="16">
        <f>MAX(D898,Inputs!$D$6)*Inputs!$D$19</f>
        <v>310.2165237695848</v>
      </c>
      <c r="E899" s="16">
        <f>MAX(E898,Inputs!$D$6)*Inputs!$D$19</f>
        <v>1575.4552309281892</v>
      </c>
      <c r="F899" s="16">
        <f>MAX(F898,Inputs!$D$6)*Inputs!$D$19</f>
        <v>3028.0575365763361</v>
      </c>
      <c r="G899" s="16">
        <f>MAX(G898,Inputs!$D$6)*Inputs!$D$19</f>
        <v>3961.8733044930009</v>
      </c>
      <c r="H899" s="16">
        <f>MAX(H898,Inputs!$D$6)*Inputs!$D$19</f>
        <v>4273.1452271318904</v>
      </c>
      <c r="I899" s="16">
        <f>MAX(I898,Inputs!$D$6)*Inputs!$D$19</f>
        <v>4273.1452271318904</v>
      </c>
      <c r="J899" s="16">
        <f>MAX(J898,Inputs!$D$6)*Inputs!$D$19</f>
        <v>4273.1452271318904</v>
      </c>
      <c r="K899" s="16">
        <f>MAX(K898,Inputs!$D$6)*Inputs!$D$19</f>
        <v>4273.1452271318904</v>
      </c>
      <c r="L899" s="16">
        <f>MAX(L898,Inputs!$D$6)*Inputs!$D$19</f>
        <v>4273.1452271318904</v>
      </c>
      <c r="M899" s="16">
        <f>MAX(M898,Inputs!$D$6)*Inputs!$D$19</f>
        <v>4273.1452271318904</v>
      </c>
    </row>
    <row r="900" spans="2:13" ht="15" customHeight="1" x14ac:dyDescent="0.2">
      <c r="B900" s="10" t="s">
        <v>907</v>
      </c>
      <c r="C900" s="10" t="s">
        <v>110</v>
      </c>
      <c r="D900" s="16">
        <f t="shared" ref="D900:M900" si="198">D893*$D$906</f>
        <v>181.58670293304857</v>
      </c>
      <c r="E900" s="16">
        <f t="shared" si="198"/>
        <v>484.23120782146282</v>
      </c>
      <c r="F900" s="16">
        <f t="shared" si="198"/>
        <v>363.17340586609697</v>
      </c>
      <c r="G900" s="16">
        <f t="shared" si="198"/>
        <v>181.58670293304868</v>
      </c>
      <c r="H900" s="16">
        <f t="shared" si="198"/>
        <v>0</v>
      </c>
      <c r="I900" s="16">
        <f t="shared" si="198"/>
        <v>0</v>
      </c>
      <c r="J900" s="16">
        <f t="shared" si="198"/>
        <v>0</v>
      </c>
      <c r="K900" s="16">
        <f t="shared" si="198"/>
        <v>0</v>
      </c>
      <c r="L900" s="16">
        <f t="shared" si="198"/>
        <v>0</v>
      </c>
      <c r="M900" s="16">
        <f t="shared" si="198"/>
        <v>0</v>
      </c>
    </row>
    <row r="901" spans="2:13" ht="15" customHeight="1" x14ac:dyDescent="0.2">
      <c r="B901" s="10" t="s">
        <v>908</v>
      </c>
      <c r="C901" s="10" t="s">
        <v>110</v>
      </c>
      <c r="D901" s="16">
        <f t="shared" ref="D901:M901" si="199">D897-D899-D891-D892-D900</f>
        <v>-11755.125422838961</v>
      </c>
      <c r="E901" s="16">
        <f t="shared" si="199"/>
        <v>-25547.953011658374</v>
      </c>
      <c r="F901" s="16">
        <f t="shared" si="199"/>
        <v>-4849.8366970484913</v>
      </c>
      <c r="G901" s="16">
        <f t="shared" si="199"/>
        <v>13909.218440871768</v>
      </c>
      <c r="H901" s="16">
        <f t="shared" si="199"/>
        <v>19751.423202756036</v>
      </c>
      <c r="I901" s="16">
        <f t="shared" si="199"/>
        <v>-2528.2481813384438</v>
      </c>
      <c r="J901" s="16">
        <f t="shared" si="199"/>
        <v>6383.6203722993596</v>
      </c>
      <c r="K901" s="16">
        <f t="shared" si="199"/>
        <v>17113.41835418886</v>
      </c>
      <c r="L901" s="16">
        <f t="shared" si="199"/>
        <v>19751.423202756036</v>
      </c>
      <c r="M901" s="16">
        <f t="shared" si="199"/>
        <v>-2528.2481813384438</v>
      </c>
    </row>
    <row r="902" spans="2:13" ht="15" customHeight="1" x14ac:dyDescent="0.2">
      <c r="B902" s="10" t="s">
        <v>909</v>
      </c>
      <c r="C902" s="10" t="s">
        <v>110</v>
      </c>
      <c r="D902" s="16">
        <f>D901/(Inputs!$D$7+$D$908)^D882</f>
        <v>-10772.054034418103</v>
      </c>
      <c r="E902" s="16">
        <f>E901/(Inputs!$D$7+$D$908)^E882</f>
        <v>-20712.853362838789</v>
      </c>
      <c r="F902" s="16">
        <f>F901/(Inputs!$D$7+$D$908)^F882</f>
        <v>-3479.9165055865301</v>
      </c>
      <c r="G902" s="16">
        <f>G901/(Inputs!$D$7+$D$908)^G882</f>
        <v>8832.8798508795826</v>
      </c>
      <c r="H902" s="16">
        <f>H901/(Inputs!$D$7+$D$908)^H882</f>
        <v>11100.840855561977</v>
      </c>
      <c r="I902" s="16">
        <f>I901/(Inputs!$D$7+$D$908)^I882</f>
        <v>-1257.1576759673324</v>
      </c>
      <c r="J902" s="16">
        <f>J901/(Inputs!$D$7+$D$908)^J882</f>
        <v>2809.2797370931039</v>
      </c>
      <c r="K902" s="16">
        <f>K901/(Inputs!$D$7+$D$908)^K882</f>
        <v>6665.3443108450847</v>
      </c>
      <c r="L902" s="16">
        <f>L901/(Inputs!$D$7+$D$908)^L882</f>
        <v>6808.3535897045176</v>
      </c>
      <c r="M902" s="16">
        <f>M901/(Inputs!$D$7+$D$908)^M882</f>
        <v>-771.03834631664643</v>
      </c>
    </row>
    <row r="903" spans="2:13" ht="15" customHeight="1" x14ac:dyDescent="0.2">
      <c r="B903" s="3" t="s">
        <v>910</v>
      </c>
      <c r="C903" s="10" t="s">
        <v>896</v>
      </c>
      <c r="D903" s="28">
        <f>(D889*$D$907-D893)/(Inputs!$D$7+$D$908)^D882</f>
        <v>74.490519309095831</v>
      </c>
      <c r="E903" s="28">
        <f>(E889*$D$907-E893)/(Inputs!$D$7+$D$908)^E882</f>
        <v>346.09451503846662</v>
      </c>
      <c r="F903" s="28">
        <f>(F889*$D$907-F893)/(Inputs!$D$7+$D$908)^F882</f>
        <v>601.79110266312398</v>
      </c>
      <c r="G903" s="28">
        <f>(G889*$D$907-G893)/(Inputs!$D$7+$D$908)^G882</f>
        <v>702.83446516544734</v>
      </c>
      <c r="H903" s="28">
        <f>(H889*$D$907-H893)/(Inputs!$D$7+$D$908)^H882</f>
        <v>674.43286946611579</v>
      </c>
      <c r="I903" s="28">
        <f>(I889*$D$907-I893)/(Inputs!$D$7+$D$908)^I882</f>
        <v>596.69348218898278</v>
      </c>
      <c r="J903" s="28">
        <f>(J889*$D$907-J893)/(Inputs!$D$7+$D$908)^J882</f>
        <v>528.09150417844353</v>
      </c>
      <c r="K903" s="28">
        <f>(K889*$D$907-K893)/(Inputs!$D$7+$D$908)^K882</f>
        <v>467.37671033772904</v>
      </c>
      <c r="L903" s="28">
        <f>(L889*$D$907-L893)/(Inputs!$D$7+$D$908)^L882</f>
        <v>413.64230940610946</v>
      </c>
      <c r="M903" s="28">
        <f>(M889*$D$907-M893)/(Inputs!$D$7+$D$908)^M882</f>
        <v>365.96328731072373</v>
      </c>
    </row>
    <row r="904" spans="2:13" ht="15" customHeight="1" x14ac:dyDescent="0.2">
      <c r="B904" s="10" t="s">
        <v>911</v>
      </c>
      <c r="C904" s="10" t="s">
        <v>110</v>
      </c>
      <c r="D904" s="16">
        <f>(-D891-D892)/(Inputs!$D$7+$D$908)^D882</f>
        <v>-12808.928289029636</v>
      </c>
      <c r="E904" s="16">
        <f>(-E891-E892)/(Inputs!$D$7+$D$908)^E882</f>
        <v>-30219.974420642928</v>
      </c>
      <c r="F904" s="16">
        <f>(-F891-F892)/(Inputs!$D$7+$D$908)^F882</f>
        <v>-20059.183095337907</v>
      </c>
      <c r="G904" s="16">
        <f>(-G891-G892)/(Inputs!$D$7+$D$908)^G882</f>
        <v>-10551.720115889953</v>
      </c>
      <c r="H904" s="16">
        <f>(-H891-H892)/(Inputs!$D$7+$D$908)^H882</f>
        <v>-7513.0713511684744</v>
      </c>
      <c r="I904" s="16">
        <f>(-I891-I892)/(Inputs!$D$7+$D$908)^I882</f>
        <v>-17725.512933602091</v>
      </c>
      <c r="J904" s="16">
        <f>(-J891-J892)/(Inputs!$D$7+$D$908)^J882</f>
        <v>-11765.705173827875</v>
      </c>
      <c r="K904" s="16">
        <f>(-K891-K892)/(Inputs!$D$7+$D$908)^K882</f>
        <v>-6233.95144943378</v>
      </c>
      <c r="L904" s="16">
        <f>(-L891-L892)/(Inputs!$D$7+$D$908)^L882</f>
        <v>-4607.9073620630261</v>
      </c>
      <c r="M904" s="16">
        <f>(-M891-M892)/(Inputs!$D$7+$D$908)^M882</f>
        <v>-10871.389039901173</v>
      </c>
    </row>
    <row r="905" spans="2:13" ht="15" customHeight="1" x14ac:dyDescent="0.2">
      <c r="B905" s="10" t="s">
        <v>912</v>
      </c>
      <c r="C905" s="10" t="s">
        <v>110</v>
      </c>
      <c r="D905" s="16">
        <f>Prices!I9</f>
        <v>21850</v>
      </c>
    </row>
    <row r="906" spans="2:13" ht="15" customHeight="1" x14ac:dyDescent="0.2">
      <c r="B906" s="3" t="s">
        <v>913</v>
      </c>
      <c r="C906" s="10" t="s">
        <v>914</v>
      </c>
      <c r="D906" s="28">
        <f>IF(J913&gt;=J909,J913,(D905-J912)/J911)</f>
        <v>31.160309383620515</v>
      </c>
      <c r="G906" s="99" t="s">
        <v>915</v>
      </c>
      <c r="H906" s="91"/>
      <c r="I906" s="91"/>
      <c r="J906" s="28">
        <f>D906*Inputs!$D$15</f>
        <v>21.746779918828757</v>
      </c>
      <c r="K906" s="99" t="s">
        <v>916</v>
      </c>
      <c r="L906" s="91"/>
      <c r="M906" s="91"/>
    </row>
    <row r="907" spans="2:13" ht="15" customHeight="1" x14ac:dyDescent="0.2">
      <c r="B907" s="10" t="s">
        <v>917</v>
      </c>
      <c r="C907" s="10" t="s">
        <v>104</v>
      </c>
      <c r="D907" s="30">
        <f>Inputs!$D$94</f>
        <v>0.75</v>
      </c>
      <c r="G907" s="99" t="s">
        <v>918</v>
      </c>
      <c r="H907" s="91"/>
      <c r="I907" s="91"/>
      <c r="J907" s="28">
        <f>IF(-D918/D917&gt;=J909,-D918/D917,-J912/J911)</f>
        <v>27.411702074287536</v>
      </c>
      <c r="K907" s="99" t="s">
        <v>919</v>
      </c>
      <c r="L907" s="91"/>
      <c r="M907" s="91"/>
    </row>
    <row r="908" spans="2:13" ht="15" customHeight="1" x14ac:dyDescent="0.2">
      <c r="B908" s="10" t="s">
        <v>920</v>
      </c>
      <c r="C908" s="10" t="s">
        <v>104</v>
      </c>
      <c r="D908" s="30">
        <f>Inputs!$D$95</f>
        <v>0.13</v>
      </c>
      <c r="G908" s="99" t="s">
        <v>918</v>
      </c>
      <c r="H908" s="91"/>
      <c r="I908" s="91"/>
      <c r="J908" s="28">
        <f>J907*Inputs!$D$15</f>
        <v>19.13062687764527</v>
      </c>
      <c r="K908" s="99" t="s">
        <v>916</v>
      </c>
      <c r="L908" s="91"/>
      <c r="M908" s="91"/>
    </row>
    <row r="909" spans="2:13" ht="15" customHeight="1" x14ac:dyDescent="0.2">
      <c r="B909" s="3" t="s">
        <v>921</v>
      </c>
      <c r="C909" s="10" t="s">
        <v>848</v>
      </c>
      <c r="D909" s="28">
        <f>Capital!$D$13</f>
        <v>57.347931490590682</v>
      </c>
      <c r="G909" s="99" t="s">
        <v>922</v>
      </c>
      <c r="H909" s="91"/>
      <c r="I909" s="91"/>
      <c r="J909" s="28">
        <f>($D$909/Inputs!$D$21+$D$910/Inputs!$D$22)/$D$907</f>
        <v>19.290461530476374</v>
      </c>
      <c r="K909" s="99" t="s">
        <v>919</v>
      </c>
      <c r="L909" s="91"/>
      <c r="M909" s="91"/>
    </row>
    <row r="910" spans="2:13" ht="15" customHeight="1" x14ac:dyDescent="0.2">
      <c r="B910" s="3" t="s">
        <v>923</v>
      </c>
      <c r="C910" s="10" t="s">
        <v>848</v>
      </c>
      <c r="D910" s="28">
        <f>Capital!$D$14</f>
        <v>2.6172655041921802</v>
      </c>
    </row>
    <row r="911" spans="2:13" ht="15" customHeight="1" x14ac:dyDescent="0.2">
      <c r="B911" s="10" t="s">
        <v>924</v>
      </c>
      <c r="C911" s="10" t="s">
        <v>896</v>
      </c>
      <c r="D911" s="28">
        <f>(M884*(Inputs!$D$7+Inputs!$D$20)*$D$907*(Inputs!$D$7-Inputs!$D$19)-M884*Inputs!$D$20*Inputs!$D$23)/($D$908-Inputs!$D$20)/(Inputs!$D$7+$D$908)^M882</f>
        <v>2497.8446594223992</v>
      </c>
      <c r="G911" s="92" t="s">
        <v>910</v>
      </c>
      <c r="H911" s="91"/>
      <c r="I911" s="91"/>
      <c r="J911" s="28">
        <f>SUM(D903:M903)+(M884*(Inputs!$D$7+Inputs!$D$20)*$D$907-M884*Inputs!$D$20*Inputs!$D$23)/($D$908-Inputs!$D$20)/(Inputs!$D$7+$D$908)^M882</f>
        <v>8341.0050516109004</v>
      </c>
      <c r="K911" s="99" t="s">
        <v>896</v>
      </c>
      <c r="L911" s="91"/>
      <c r="M911" s="91"/>
    </row>
    <row r="912" spans="2:13" ht="15" customHeight="1" x14ac:dyDescent="0.2">
      <c r="B912" s="10" t="s">
        <v>925</v>
      </c>
      <c r="C912" s="10" t="s">
        <v>110</v>
      </c>
      <c r="D912" s="16">
        <f>(D915*Inputs!$D$19-D915-D916)/($D$908-Inputs!$D$20)/(Inputs!$D$7+$D$908)^M882</f>
        <v>-55207.290798783099</v>
      </c>
      <c r="G912" s="92" t="s">
        <v>926</v>
      </c>
      <c r="H912" s="91"/>
      <c r="I912" s="91"/>
      <c r="J912" s="16">
        <f>SUM(D904:M904)-(D915+D916)/($D$908-Inputs!$D$20)/(Inputs!$D$7+$D$908)^M882</f>
        <v>-208239.17898202292</v>
      </c>
      <c r="K912" s="99" t="s">
        <v>110</v>
      </c>
      <c r="L912" s="91"/>
      <c r="M912" s="91"/>
    </row>
    <row r="913" spans="1:13" ht="15" customHeight="1" x14ac:dyDescent="0.2">
      <c r="B913" s="10" t="s">
        <v>927</v>
      </c>
      <c r="C913" s="10" t="s">
        <v>928</v>
      </c>
      <c r="D913" s="16">
        <f>(M884*(Inputs!$D$7+Inputs!$D$20)*$D$906*$D$907-D915)-MAX((M884*(Inputs!$D$7+Inputs!$D$20)*$D$906*$D$907-D915),Inputs!$D$6)*Inputs!$D$19-D916-M884*Inputs!$D$20*$D$906*Inputs!$D$23</f>
        <v>7790.1708123821718</v>
      </c>
      <c r="G913" s="99" t="s">
        <v>929</v>
      </c>
      <c r="H913" s="91"/>
      <c r="I913" s="91"/>
      <c r="J913" s="28">
        <f>(D905-D918)/D917</f>
        <v>31.160309383620515</v>
      </c>
      <c r="K913" s="99" t="s">
        <v>919</v>
      </c>
      <c r="L913" s="91"/>
      <c r="M913" s="91"/>
    </row>
    <row r="914" spans="1:13" ht="15" customHeight="1" x14ac:dyDescent="0.2">
      <c r="B914" s="10" t="s">
        <v>930</v>
      </c>
      <c r="C914" s="10" t="s">
        <v>110</v>
      </c>
      <c r="D914" s="16">
        <f>D913/($D$908-Inputs!$D$20)</f>
        <v>74192.102975068294</v>
      </c>
      <c r="G914" s="99" t="s">
        <v>931</v>
      </c>
      <c r="H914" s="91"/>
      <c r="I914" s="91"/>
      <c r="J914" s="16">
        <f>MIN(D898:M898,(M884*(Inputs!$D$7+Inputs!$D$20)*$D$906*$D$907-D915))</f>
        <v>1034.0550792319493</v>
      </c>
      <c r="K914" s="99" t="s">
        <v>110</v>
      </c>
      <c r="L914" s="91"/>
      <c r="M914" s="91"/>
    </row>
    <row r="915" spans="1:13" ht="15" customHeight="1" x14ac:dyDescent="0.2">
      <c r="B915" s="10" t="s">
        <v>932</v>
      </c>
      <c r="C915" s="10" t="s">
        <v>928</v>
      </c>
      <c r="D915" s="16">
        <f>M884*(Inputs!$D$7+Inputs!$D$20)*($D$909/Inputs!$D$21+$D$910/Inputs!$D$22)</f>
        <v>23727.267682485937</v>
      </c>
      <c r="G915" s="99" t="s">
        <v>933</v>
      </c>
      <c r="H915" s="91"/>
      <c r="I915" s="91"/>
      <c r="J915" s="31" t="str">
        <f>IF(J914&lt;Inputs!$D$6,"breached","satisfied")</f>
        <v>satisfied</v>
      </c>
      <c r="K915" s="99" t="s">
        <v>934</v>
      </c>
      <c r="L915" s="91"/>
      <c r="M915" s="91"/>
    </row>
    <row r="916" spans="1:13" ht="15" customHeight="1" x14ac:dyDescent="0.2">
      <c r="B916" s="10" t="s">
        <v>935</v>
      </c>
      <c r="C916" s="10" t="s">
        <v>928</v>
      </c>
      <c r="D916" s="16">
        <f>M884*Inputs!$D$20*($D$909+$D$910)</f>
        <v>2398.6078797913146</v>
      </c>
    </row>
    <row r="917" spans="1:13" ht="15" customHeight="1" x14ac:dyDescent="0.2">
      <c r="B917" s="10" t="s">
        <v>936</v>
      </c>
      <c r="C917" s="10" t="s">
        <v>896</v>
      </c>
      <c r="D917" s="28">
        <f>SUM(D894:M894)+D911</f>
        <v>5828.8314024250149</v>
      </c>
      <c r="G917" s="99" t="s">
        <v>937</v>
      </c>
      <c r="H917" s="91"/>
      <c r="I917" s="91"/>
      <c r="J917" s="16">
        <f>D919-D905</f>
        <v>-3.2741809263825417E-11</v>
      </c>
      <c r="K917" s="99" t="s">
        <v>110</v>
      </c>
      <c r="L917" s="91"/>
      <c r="M917" s="91"/>
    </row>
    <row r="918" spans="1:13" ht="15" customHeight="1" x14ac:dyDescent="0.2">
      <c r="B918" s="10" t="s">
        <v>938</v>
      </c>
      <c r="C918" s="10" t="s">
        <v>110</v>
      </c>
      <c r="D918" s="16">
        <f>SUM(D895:M895)+D912</f>
        <v>-159778.18984452612</v>
      </c>
    </row>
    <row r="919" spans="1:13" ht="15" customHeight="1" x14ac:dyDescent="0.2">
      <c r="B919" s="10" t="s">
        <v>939</v>
      </c>
      <c r="C919" s="10" t="s">
        <v>110</v>
      </c>
      <c r="D919" s="16">
        <f>SUM(D902:M902)+D914/(Inputs!$D$7+$D$908)^M882</f>
        <v>21849.999999999967</v>
      </c>
    </row>
    <row r="920" spans="1:13" ht="15" customHeight="1" x14ac:dyDescent="0.2">
      <c r="B920" s="10" t="s">
        <v>940</v>
      </c>
      <c r="C920" s="10" t="s">
        <v>104</v>
      </c>
      <c r="D920" s="30">
        <f>IF(ABS(D905)&gt;Inputs!$D$6,D919/D905-Inputs!$D$7,Inputs!$D$6)</f>
        <v>-1.4432899320127035E-15</v>
      </c>
    </row>
    <row r="921" spans="1:13" ht="15" customHeight="1" x14ac:dyDescent="0.2">
      <c r="B921" s="10" t="s">
        <v>941</v>
      </c>
      <c r="C921" s="10" t="s">
        <v>104</v>
      </c>
      <c r="D921" s="30">
        <f>IF(ABS(D919)&gt;Inputs!$D$119,D914/(Inputs!$D$7+$D$908)^M882/D919,Inputs!$D$6)</f>
        <v>1.0355295918097545</v>
      </c>
    </row>
    <row r="922" spans="1:13" ht="15" customHeight="1" x14ac:dyDescent="0.2">
      <c r="B922" s="10" t="s">
        <v>942</v>
      </c>
      <c r="C922" s="10" t="s">
        <v>943</v>
      </c>
      <c r="D922" s="26">
        <f>$D$906*Inputs!$D$8/Prices!$P$6/(Inputs!$D$26/Inputs!$D$25)/Inputs!$D$11/Inputs!$D$56</f>
        <v>5.6665969115471002</v>
      </c>
    </row>
    <row r="926" spans="1:13" ht="15" customHeight="1" x14ac:dyDescent="0.2">
      <c r="A926" s="104" t="s">
        <v>963</v>
      </c>
      <c r="B926" s="10" t="s">
        <v>886</v>
      </c>
      <c r="C926" s="10" t="s">
        <v>107</v>
      </c>
      <c r="D926" s="28">
        <f>Inputs!$D$60</f>
        <v>1</v>
      </c>
      <c r="E926" s="28">
        <f>Inputs!$D$62</f>
        <v>2</v>
      </c>
      <c r="F926" s="28">
        <f>Inputs!$D$64</f>
        <v>3</v>
      </c>
      <c r="G926" s="28">
        <f>Inputs!$D$66</f>
        <v>4</v>
      </c>
      <c r="H926" s="28">
        <f>Inputs!$D$68</f>
        <v>5</v>
      </c>
      <c r="I926" s="28">
        <f>Inputs!$D$70</f>
        <v>6</v>
      </c>
      <c r="J926" s="28">
        <f>Inputs!$D$72</f>
        <v>7</v>
      </c>
      <c r="K926" s="28">
        <f>Inputs!$D$74</f>
        <v>8</v>
      </c>
      <c r="L926" s="28">
        <f>Inputs!$D$76</f>
        <v>9</v>
      </c>
      <c r="M926" s="28">
        <f>Inputs!$D$78</f>
        <v>10</v>
      </c>
    </row>
    <row r="927" spans="1:13" ht="15" customHeight="1" x14ac:dyDescent="0.2">
      <c r="A927" s="91"/>
      <c r="B927" s="10" t="s">
        <v>887</v>
      </c>
      <c r="C927" s="10" t="s">
        <v>161</v>
      </c>
      <c r="D927" s="29">
        <f>Inputs!$D$61</f>
        <v>46568</v>
      </c>
      <c r="E927" s="29">
        <f>Inputs!$D$63</f>
        <v>46934</v>
      </c>
      <c r="F927" s="29">
        <f>Inputs!$D$65</f>
        <v>47299</v>
      </c>
      <c r="G927" s="29">
        <f>Inputs!$D$67</f>
        <v>47664</v>
      </c>
      <c r="H927" s="29">
        <f>Inputs!$D$69</f>
        <v>48029</v>
      </c>
      <c r="I927" s="29">
        <f>Inputs!$D$71</f>
        <v>48395</v>
      </c>
      <c r="J927" s="29">
        <f>Inputs!$D$73</f>
        <v>48760</v>
      </c>
      <c r="K927" s="29">
        <f>Inputs!$D$75</f>
        <v>49125</v>
      </c>
      <c r="L927" s="29">
        <f>Inputs!$D$77</f>
        <v>49490</v>
      </c>
      <c r="M927" s="29">
        <f>Inputs!$D$79</f>
        <v>49856</v>
      </c>
    </row>
    <row r="928" spans="1:13" ht="15" customHeight="1" x14ac:dyDescent="0.2">
      <c r="A928" s="91"/>
      <c r="B928" s="10" t="s">
        <v>888</v>
      </c>
      <c r="C928" s="10" t="s">
        <v>107</v>
      </c>
      <c r="D928" s="28">
        <f>(D927-Inputs!$D$13)/Inputs!$D$10</f>
        <v>0.71457905544147848</v>
      </c>
      <c r="E928" s="28">
        <f>(E927-Inputs!$D$13)/Inputs!$D$10</f>
        <v>1.7166324435318274</v>
      </c>
      <c r="F928" s="28">
        <f>(F927-Inputs!$D$13)/Inputs!$D$10</f>
        <v>2.7159479808350446</v>
      </c>
      <c r="G928" s="28">
        <f>(G927-Inputs!$D$13)/Inputs!$D$10</f>
        <v>3.7152635181382614</v>
      </c>
      <c r="H928" s="28">
        <f>(H927-Inputs!$D$13)/Inputs!$D$10</f>
        <v>4.7145790554414786</v>
      </c>
      <c r="I928" s="28">
        <f>(I927-Inputs!$D$13)/Inputs!$D$10</f>
        <v>5.7166324435318279</v>
      </c>
      <c r="J928" s="28">
        <f>(J927-Inputs!$D$13)/Inputs!$D$10</f>
        <v>6.7159479808350442</v>
      </c>
      <c r="K928" s="28">
        <f>(K927-Inputs!$D$13)/Inputs!$D$10</f>
        <v>7.7152635181382614</v>
      </c>
      <c r="L928" s="28">
        <f>(L927-Inputs!$D$13)/Inputs!$D$10</f>
        <v>8.7145790554414777</v>
      </c>
      <c r="M928" s="28">
        <f>(M927-Inputs!$D$13)/Inputs!$D$10</f>
        <v>9.716632443531827</v>
      </c>
    </row>
    <row r="929" spans="1:13" ht="15" customHeight="1" x14ac:dyDescent="0.2">
      <c r="A929" s="91"/>
      <c r="B929" s="10" t="s">
        <v>889</v>
      </c>
      <c r="C929" s="10" t="s">
        <v>107</v>
      </c>
      <c r="D929" s="28">
        <f>D928</f>
        <v>0.71457905544147848</v>
      </c>
      <c r="E929" s="28">
        <f>Inputs!$D$7</f>
        <v>1</v>
      </c>
      <c r="F929" s="28">
        <f>Inputs!$D$7</f>
        <v>1</v>
      </c>
      <c r="G929" s="28">
        <f>Inputs!$D$7</f>
        <v>1</v>
      </c>
      <c r="H929" s="28">
        <f>Inputs!$D$7</f>
        <v>1</v>
      </c>
      <c r="I929" s="28">
        <f>Inputs!$D$7</f>
        <v>1</v>
      </c>
      <c r="J929" s="28">
        <f>Inputs!$D$7</f>
        <v>1</v>
      </c>
      <c r="K929" s="28">
        <f>Inputs!$D$7</f>
        <v>1</v>
      </c>
      <c r="L929" s="28">
        <f>Inputs!$D$7</f>
        <v>1</v>
      </c>
      <c r="M929" s="28">
        <f>Inputs!$D$7</f>
        <v>1</v>
      </c>
    </row>
    <row r="930" spans="1:13" ht="15" customHeight="1" x14ac:dyDescent="0.2">
      <c r="A930" s="91"/>
      <c r="B930" s="3" t="s">
        <v>890</v>
      </c>
      <c r="C930" s="10" t="s">
        <v>199</v>
      </c>
      <c r="D930" s="28">
        <f>Inputs!$D$24+(Inputs!$D$106-Inputs!$D$24)*Inputs!$D$109</f>
        <v>170.32</v>
      </c>
      <c r="E930" s="28">
        <f>Inputs!$D$24+(Inputs!$D$106-Inputs!$D$24)*Inputs!$D$110</f>
        <v>481.12000000000006</v>
      </c>
      <c r="F930" s="28">
        <f>Inputs!$D$24+(Inputs!$D$106-Inputs!$D$24)*Inputs!$D$111</f>
        <v>823</v>
      </c>
      <c r="G930" s="28">
        <f>Inputs!$D$24+(Inputs!$D$106-Inputs!$D$24)*Inputs!$D$112</f>
        <v>1211.5</v>
      </c>
      <c r="H930" s="28">
        <f>Inputs!$D$24+(Inputs!$D$106-Inputs!$D$24)*Inputs!$D$113</f>
        <v>1600</v>
      </c>
      <c r="I930" s="28">
        <f>Inputs!$D$24+(Inputs!$D$106-Inputs!$D$24)*Inputs!$D$114</f>
        <v>1600</v>
      </c>
      <c r="J930" s="28">
        <f>Inputs!$D$24+(Inputs!$D$106-Inputs!$D$24)*Inputs!$D$115</f>
        <v>1600</v>
      </c>
      <c r="K930" s="28">
        <f>Inputs!$D$24+(Inputs!$D$106-Inputs!$D$24)*Inputs!$D$116</f>
        <v>1600</v>
      </c>
      <c r="L930" s="28">
        <f>Inputs!$D$24+(Inputs!$D$106-Inputs!$D$24)*Inputs!$D$117</f>
        <v>1600</v>
      </c>
      <c r="M930" s="28">
        <f>Inputs!$D$24+(Inputs!$D$106-Inputs!$D$24)*Inputs!$D$118</f>
        <v>1600</v>
      </c>
    </row>
    <row r="931" spans="1:13" ht="15" customHeight="1" x14ac:dyDescent="0.2">
      <c r="A931" s="91"/>
      <c r="B931" s="10" t="s">
        <v>891</v>
      </c>
      <c r="C931" s="10" t="s">
        <v>199</v>
      </c>
      <c r="D931" s="28">
        <f>Inputs!$D$24</f>
        <v>46</v>
      </c>
      <c r="E931" s="28">
        <f t="shared" ref="E931:M931" si="200">D930</f>
        <v>170.32</v>
      </c>
      <c r="F931" s="28">
        <f t="shared" si="200"/>
        <v>481.12000000000006</v>
      </c>
      <c r="G931" s="28">
        <f t="shared" si="200"/>
        <v>823</v>
      </c>
      <c r="H931" s="28">
        <f t="shared" si="200"/>
        <v>1211.5</v>
      </c>
      <c r="I931" s="28">
        <f t="shared" si="200"/>
        <v>1600</v>
      </c>
      <c r="J931" s="28">
        <f t="shared" si="200"/>
        <v>1600</v>
      </c>
      <c r="K931" s="28">
        <f t="shared" si="200"/>
        <v>1600</v>
      </c>
      <c r="L931" s="28">
        <f t="shared" si="200"/>
        <v>1600</v>
      </c>
      <c r="M931" s="28">
        <f t="shared" si="200"/>
        <v>1600</v>
      </c>
    </row>
    <row r="932" spans="1:13" ht="15" customHeight="1" x14ac:dyDescent="0.2">
      <c r="B932" s="10" t="s">
        <v>892</v>
      </c>
      <c r="C932" s="10" t="s">
        <v>199</v>
      </c>
      <c r="D932" s="28">
        <f>(D931+D930)*Inputs!$D$12</f>
        <v>108.16</v>
      </c>
      <c r="E932" s="28">
        <f>(E931+E930)*Inputs!$D$12</f>
        <v>325.72000000000003</v>
      </c>
      <c r="F932" s="28">
        <f>(F931+F930)*Inputs!$D$12</f>
        <v>652.06000000000006</v>
      </c>
      <c r="G932" s="28">
        <f>(G931+G930)*Inputs!$D$12</f>
        <v>1017.25</v>
      </c>
      <c r="H932" s="28">
        <f>(H931+H930)*Inputs!$D$12</f>
        <v>1405.75</v>
      </c>
      <c r="I932" s="28">
        <f>(I931+I930)*Inputs!$D$12</f>
        <v>1600</v>
      </c>
      <c r="J932" s="28">
        <f>(J931+J930)*Inputs!$D$12</f>
        <v>1600</v>
      </c>
      <c r="K932" s="28">
        <f>(K931+K930)*Inputs!$D$12</f>
        <v>1600</v>
      </c>
      <c r="L932" s="28">
        <f>(L931+L930)*Inputs!$D$12</f>
        <v>1600</v>
      </c>
      <c r="M932" s="28">
        <f>(M931+M930)*Inputs!$D$12</f>
        <v>1600</v>
      </c>
    </row>
    <row r="933" spans="1:13" ht="15" customHeight="1" x14ac:dyDescent="0.2">
      <c r="B933" s="10" t="s">
        <v>893</v>
      </c>
      <c r="C933" s="10" t="s">
        <v>199</v>
      </c>
      <c r="D933" s="28">
        <f t="shared" ref="D933:M933" si="201">D930-D931</f>
        <v>124.32</v>
      </c>
      <c r="E933" s="28">
        <f t="shared" si="201"/>
        <v>310.80000000000007</v>
      </c>
      <c r="F933" s="28">
        <f t="shared" si="201"/>
        <v>341.87999999999994</v>
      </c>
      <c r="G933" s="28">
        <f t="shared" si="201"/>
        <v>388.5</v>
      </c>
      <c r="H933" s="28">
        <f t="shared" si="201"/>
        <v>388.5</v>
      </c>
      <c r="I933" s="28">
        <f t="shared" si="201"/>
        <v>0</v>
      </c>
      <c r="J933" s="28">
        <f t="shared" si="201"/>
        <v>0</v>
      </c>
      <c r="K933" s="28">
        <f t="shared" si="201"/>
        <v>0</v>
      </c>
      <c r="L933" s="28">
        <f t="shared" si="201"/>
        <v>0</v>
      </c>
      <c r="M933" s="28">
        <f t="shared" si="201"/>
        <v>0</v>
      </c>
    </row>
    <row r="934" spans="1:13" ht="15" customHeight="1" x14ac:dyDescent="0.2">
      <c r="B934" s="10" t="s">
        <v>894</v>
      </c>
      <c r="C934" s="10" t="s">
        <v>199</v>
      </c>
      <c r="D934" s="28">
        <f>IF(MOD(D926,Inputs!$D$21)=Inputs!$D$6,Inputs!$D$24,Inputs!$D$6)+SUMPRODUCT(--(D926&gt;$D$926:$M$926),--(MOD(D926-$D$926:$M$926,Inputs!$D$21)=Inputs!$D$6),$D$933:$M$933)</f>
        <v>0</v>
      </c>
      <c r="E934" s="28">
        <f>IF(MOD(E926,Inputs!$D$21)=Inputs!$D$6,Inputs!$D$24,Inputs!$D$6)+SUMPRODUCT(--(E926&gt;$D$926:$M$926),--(MOD(E926-$D$926:$M$926,Inputs!$D$21)=Inputs!$D$6),$D$933:$M$933)</f>
        <v>0</v>
      </c>
      <c r="F934" s="28">
        <f>IF(MOD(F926,Inputs!$D$21)=Inputs!$D$6,Inputs!$D$24,Inputs!$D$6)+SUMPRODUCT(--(F926&gt;$D$926:$M$926),--(MOD(F926-$D$926:$M$926,Inputs!$D$21)=Inputs!$D$6),$D$933:$M$933)</f>
        <v>0</v>
      </c>
      <c r="G934" s="28">
        <f>IF(MOD(G926,Inputs!$D$21)=Inputs!$D$6,Inputs!$D$24,Inputs!$D$6)+SUMPRODUCT(--(G926&gt;$D$926:$M$926),--(MOD(G926-$D$926:$M$926,Inputs!$D$21)=Inputs!$D$6),$D$933:$M$933)</f>
        <v>46</v>
      </c>
      <c r="H934" s="28">
        <f>IF(MOD(H926,Inputs!$D$21)=Inputs!$D$6,Inputs!$D$24,Inputs!$D$6)+SUMPRODUCT(--(H926&gt;$D$926:$M$926),--(MOD(H926-$D$926:$M$926,Inputs!$D$21)=Inputs!$D$6),$D$933:$M$933)</f>
        <v>124.32</v>
      </c>
      <c r="I934" s="28">
        <f>IF(MOD(I926,Inputs!$D$21)=Inputs!$D$6,Inputs!$D$24,Inputs!$D$6)+SUMPRODUCT(--(I926&gt;$D$926:$M$926),--(MOD(I926-$D$926:$M$926,Inputs!$D$21)=Inputs!$D$6),$D$933:$M$933)</f>
        <v>310.80000000000007</v>
      </c>
      <c r="J934" s="28">
        <f>IF(MOD(J926,Inputs!$D$21)=Inputs!$D$6,Inputs!$D$24,Inputs!$D$6)+SUMPRODUCT(--(J926&gt;$D$926:$M$926),--(MOD(J926-$D$926:$M$926,Inputs!$D$21)=Inputs!$D$6),$D$933:$M$933)</f>
        <v>341.87999999999994</v>
      </c>
      <c r="K934" s="28">
        <f>IF(MOD(K926,Inputs!$D$21)=Inputs!$D$6,Inputs!$D$24,Inputs!$D$6)+SUMPRODUCT(--(K926&gt;$D$926:$M$926),--(MOD(K926-$D$926:$M$926,Inputs!$D$21)=Inputs!$D$6),$D$933:$M$933)</f>
        <v>434.5</v>
      </c>
      <c r="L934" s="28">
        <f>IF(MOD(L926,Inputs!$D$21)=Inputs!$D$6,Inputs!$D$24,Inputs!$D$6)+SUMPRODUCT(--(L926&gt;$D$926:$M$926),--(MOD(L926-$D$926:$M$926,Inputs!$D$21)=Inputs!$D$6),$D$933:$M$933)</f>
        <v>512.81999999999994</v>
      </c>
      <c r="M934" s="28">
        <f>IF(MOD(M926,Inputs!$D$21)=Inputs!$D$6,Inputs!$D$24,Inputs!$D$6)+SUMPRODUCT(--(M926&gt;$D$926:$M$926),--(MOD(M926-$D$926:$M$926,Inputs!$D$21)=Inputs!$D$6),$D$933:$M$933)</f>
        <v>310.80000000000007</v>
      </c>
    </row>
    <row r="935" spans="1:13" ht="15" customHeight="1" x14ac:dyDescent="0.2">
      <c r="B935" s="10" t="s">
        <v>895</v>
      </c>
      <c r="C935" s="10" t="s">
        <v>896</v>
      </c>
      <c r="D935" s="28">
        <f t="shared" ref="D935:M935" si="202">D932*D929</f>
        <v>77.288870636550314</v>
      </c>
      <c r="E935" s="28">
        <f t="shared" si="202"/>
        <v>325.72000000000003</v>
      </c>
      <c r="F935" s="28">
        <f t="shared" si="202"/>
        <v>652.06000000000006</v>
      </c>
      <c r="G935" s="28">
        <f t="shared" si="202"/>
        <v>1017.25</v>
      </c>
      <c r="H935" s="28">
        <f t="shared" si="202"/>
        <v>1405.75</v>
      </c>
      <c r="I935" s="28">
        <f t="shared" si="202"/>
        <v>1600</v>
      </c>
      <c r="J935" s="28">
        <f t="shared" si="202"/>
        <v>1600</v>
      </c>
      <c r="K935" s="28">
        <f t="shared" si="202"/>
        <v>1600</v>
      </c>
      <c r="L935" s="28">
        <f t="shared" si="202"/>
        <v>1600</v>
      </c>
      <c r="M935" s="28">
        <f t="shared" si="202"/>
        <v>1600</v>
      </c>
    </row>
    <row r="936" spans="1:13" ht="15" customHeight="1" x14ac:dyDescent="0.2">
      <c r="B936" s="10" t="s">
        <v>897</v>
      </c>
      <c r="C936" s="10" t="s">
        <v>110</v>
      </c>
      <c r="D936" s="16">
        <f>D935*($D$955/Inputs!$D$21+$D$956/Inputs!$D$22)</f>
        <v>1118.2034893112541</v>
      </c>
      <c r="E936" s="16">
        <f>E935*($D$955/Inputs!$D$21+$D$956/Inputs!$D$22)</f>
        <v>4712.466847280074</v>
      </c>
      <c r="F936" s="16">
        <f>F935*($D$955/Inputs!$D$21+$D$956/Inputs!$D$22)</f>
        <v>9433.9037591718188</v>
      </c>
      <c r="G936" s="16">
        <f>G935*($D$955/Inputs!$D$21+$D$956/Inputs!$D$22)</f>
        <v>14717.416493907818</v>
      </c>
      <c r="H936" s="16">
        <f>H935*($D$955/Inputs!$D$21+$D$956/Inputs!$D$22)</f>
        <v>20338.17472235037</v>
      </c>
      <c r="I936" s="16">
        <f>I935*($D$955/Inputs!$D$21+$D$956/Inputs!$D$22)</f>
        <v>23148.553836571649</v>
      </c>
      <c r="J936" s="16">
        <f>J935*($D$955/Inputs!$D$21+$D$956/Inputs!$D$22)</f>
        <v>23148.553836571649</v>
      </c>
      <c r="K936" s="16">
        <f>K935*($D$955/Inputs!$D$21+$D$956/Inputs!$D$22)</f>
        <v>23148.553836571649</v>
      </c>
      <c r="L936" s="16">
        <f>L935*($D$955/Inputs!$D$21+$D$956/Inputs!$D$22)</f>
        <v>23148.553836571649</v>
      </c>
      <c r="M936" s="16">
        <f>M935*($D$955/Inputs!$D$21+$D$956/Inputs!$D$22)</f>
        <v>23148.553836571649</v>
      </c>
    </row>
    <row r="937" spans="1:13" ht="15" customHeight="1" x14ac:dyDescent="0.2">
      <c r="B937" s="10" t="s">
        <v>898</v>
      </c>
      <c r="C937" s="10" t="s">
        <v>110</v>
      </c>
      <c r="D937" s="16">
        <f t="shared" ref="D937:M937" si="203">D933*($D$955+$D$956)</f>
        <v>7454.8732903914051</v>
      </c>
      <c r="E937" s="16">
        <f t="shared" si="203"/>
        <v>18637.183225978519</v>
      </c>
      <c r="F937" s="16">
        <f t="shared" si="203"/>
        <v>20500.901548576363</v>
      </c>
      <c r="G937" s="16">
        <f t="shared" si="203"/>
        <v>23296.479032473144</v>
      </c>
      <c r="H937" s="16">
        <f t="shared" si="203"/>
        <v>23296.479032473144</v>
      </c>
      <c r="I937" s="16">
        <f t="shared" si="203"/>
        <v>0</v>
      </c>
      <c r="J937" s="16">
        <f t="shared" si="203"/>
        <v>0</v>
      </c>
      <c r="K937" s="16">
        <f t="shared" si="203"/>
        <v>0</v>
      </c>
      <c r="L937" s="16">
        <f t="shared" si="203"/>
        <v>0</v>
      </c>
      <c r="M937" s="16">
        <f t="shared" si="203"/>
        <v>0</v>
      </c>
    </row>
    <row r="938" spans="1:13" ht="15" customHeight="1" x14ac:dyDescent="0.2">
      <c r="B938" s="10" t="s">
        <v>899</v>
      </c>
      <c r="C938" s="10" t="s">
        <v>110</v>
      </c>
      <c r="D938" s="16">
        <f t="shared" ref="D938:M938" si="204">D934*$D$955</f>
        <v>0</v>
      </c>
      <c r="E938" s="16">
        <f t="shared" si="204"/>
        <v>0</v>
      </c>
      <c r="F938" s="16">
        <f t="shared" si="204"/>
        <v>0</v>
      </c>
      <c r="G938" s="16">
        <f t="shared" si="204"/>
        <v>2638.0048485671714</v>
      </c>
      <c r="H938" s="16">
        <f t="shared" si="204"/>
        <v>7129.4948429102333</v>
      </c>
      <c r="I938" s="16">
        <f t="shared" si="204"/>
        <v>17823.737107275589</v>
      </c>
      <c r="J938" s="16">
        <f t="shared" si="204"/>
        <v>19606.110818003141</v>
      </c>
      <c r="K938" s="16">
        <f t="shared" si="204"/>
        <v>24917.676232661652</v>
      </c>
      <c r="L938" s="16">
        <f t="shared" si="204"/>
        <v>29409.166227004709</v>
      </c>
      <c r="M938" s="16">
        <f t="shared" si="204"/>
        <v>17823.737107275589</v>
      </c>
    </row>
    <row r="939" spans="1:13" ht="15" customHeight="1" x14ac:dyDescent="0.2">
      <c r="B939" s="10" t="s">
        <v>900</v>
      </c>
      <c r="C939" s="10" t="s">
        <v>199</v>
      </c>
      <c r="D939" s="28">
        <f>D933*Inputs!$D$23</f>
        <v>3.1080000000000001</v>
      </c>
      <c r="E939" s="28">
        <f>E933*Inputs!$D$23</f>
        <v>7.7700000000000022</v>
      </c>
      <c r="F939" s="28">
        <f>F933*Inputs!$D$23</f>
        <v>8.5469999999999988</v>
      </c>
      <c r="G939" s="28">
        <f>G933*Inputs!$D$23</f>
        <v>9.7125000000000004</v>
      </c>
      <c r="H939" s="28">
        <f>H933*Inputs!$D$23</f>
        <v>9.7125000000000004</v>
      </c>
      <c r="I939" s="28">
        <f>I933*Inputs!$D$23</f>
        <v>0</v>
      </c>
      <c r="J939" s="28">
        <f>J933*Inputs!$D$23</f>
        <v>0</v>
      </c>
      <c r="K939" s="28">
        <f>K933*Inputs!$D$23</f>
        <v>0</v>
      </c>
      <c r="L939" s="28">
        <f>L933*Inputs!$D$23</f>
        <v>0</v>
      </c>
      <c r="M939" s="28">
        <f>M933*Inputs!$D$23</f>
        <v>0</v>
      </c>
    </row>
    <row r="940" spans="1:13" ht="15" customHeight="1" x14ac:dyDescent="0.2">
      <c r="B940" s="3" t="s">
        <v>901</v>
      </c>
      <c r="C940" s="10" t="s">
        <v>896</v>
      </c>
      <c r="D940" s="28">
        <f>(D935*$D$953*(Inputs!$D$7-Inputs!$D$19)-D939)/(Inputs!$D$7+$D$954)^D928</f>
        <v>40.99699201112098</v>
      </c>
      <c r="E940" s="28">
        <f>(E935*$D$953*(Inputs!$D$7-Inputs!$D$19)-E939)/(Inputs!$D$7+$D$954)^E928</f>
        <v>153.02781912726542</v>
      </c>
      <c r="F940" s="28">
        <f>(F935*$D$953*(Inputs!$D$7-Inputs!$D$19)-F939)/(Inputs!$D$7+$D$954)^F928</f>
        <v>268.8019226843403</v>
      </c>
      <c r="G940" s="28">
        <f>(G935*$D$953*(Inputs!$D$7-Inputs!$D$19)-G939)/(Inputs!$D$7+$D$954)^G928</f>
        <v>363.62824610263397</v>
      </c>
      <c r="H940" s="28">
        <f>(H935*$D$953*(Inputs!$D$7-Inputs!$D$19)-H939)/(Inputs!$D$7+$D$954)^H928</f>
        <v>435.07807528321291</v>
      </c>
      <c r="I940" s="28">
        <f>(I935*$D$953*(Inputs!$D$7-Inputs!$D$19)-I939)/(Inputs!$D$7+$D$954)^I928</f>
        <v>431.49711827119876</v>
      </c>
      <c r="J940" s="28">
        <f>(J935*$D$953*(Inputs!$D$7-Inputs!$D$19)-J939)/(Inputs!$D$7+$D$954)^J928</f>
        <v>372.01806500733016</v>
      </c>
      <c r="K940" s="28">
        <f>(K935*$D$953*(Inputs!$D$7-Inputs!$D$19)-K939)/(Inputs!$D$7+$D$954)^K928</f>
        <v>320.73780989845312</v>
      </c>
      <c r="L940" s="28">
        <f>(L935*$D$953*(Inputs!$D$7-Inputs!$D$19)-L939)/(Inputs!$D$7+$D$954)^L928</f>
        <v>276.52620228651875</v>
      </c>
      <c r="M940" s="28">
        <f>(M935*$D$953*(Inputs!$D$7-Inputs!$D$19)-M939)/(Inputs!$D$7+$D$954)^M928</f>
        <v>238.31201718226143</v>
      </c>
    </row>
    <row r="941" spans="1:13" ht="15" customHeight="1" x14ac:dyDescent="0.2">
      <c r="B941" s="10" t="s">
        <v>902</v>
      </c>
      <c r="C941" s="10" t="s">
        <v>110</v>
      </c>
      <c r="D941" s="16">
        <f>(D936*Inputs!$D$19-D937-D938)/(Inputs!$D$7+$D$954)^D928</f>
        <v>-6403.0045740313244</v>
      </c>
      <c r="E941" s="16">
        <f>(E936*Inputs!$D$19-E937-E938)/(Inputs!$D$7+$D$954)^E928</f>
        <v>-13349.632212764713</v>
      </c>
      <c r="F941" s="16">
        <f>(F936*Inputs!$D$19-F937-F938)/(Inputs!$D$7+$D$954)^F928</f>
        <v>-11808.370082432088</v>
      </c>
      <c r="G941" s="16">
        <f>(G936*Inputs!$D$19-G937-G938)/(Inputs!$D$7+$D$954)^G928</f>
        <v>-12397.921878440668</v>
      </c>
      <c r="H941" s="16">
        <f>(H936*Inputs!$D$19-H937-H938)/(Inputs!$D$7+$D$954)^H928</f>
        <v>-12082.366885213038</v>
      </c>
      <c r="I941" s="16">
        <f>(I936*Inputs!$D$19-I937-I938)/(Inputs!$D$7+$D$954)^I928</f>
        <v>-4657.0743222469628</v>
      </c>
      <c r="J941" s="16">
        <f>(J936*Inputs!$D$19-J937-J938)/(Inputs!$D$7+$D$954)^J928</f>
        <v>-4672.9398284057479</v>
      </c>
      <c r="K941" s="16">
        <f>(K936*Inputs!$D$19-K937-K938)/(Inputs!$D$7+$D$954)^K928</f>
        <v>-5718.9047268503064</v>
      </c>
      <c r="L941" s="16">
        <f>(L936*Inputs!$D$19-L937-L938)/(Inputs!$D$7+$D$954)^L928</f>
        <v>-6162.7485564592316</v>
      </c>
      <c r="M941" s="16">
        <f>(M936*Inputs!$D$19-M937-M938)/(Inputs!$D$7+$D$954)^M928</f>
        <v>-2572.0606903447429</v>
      </c>
    </row>
    <row r="942" spans="1:13" ht="15" customHeight="1" x14ac:dyDescent="0.2">
      <c r="B942" s="10" t="s">
        <v>903</v>
      </c>
      <c r="C942" s="10" t="s">
        <v>110</v>
      </c>
      <c r="D942" s="16">
        <f t="shared" ref="D942:M942" si="205">D935*$D$952</f>
        <v>2215.4805293274812</v>
      </c>
      <c r="E942" s="16">
        <f t="shared" si="205"/>
        <v>9336.7429497835928</v>
      </c>
      <c r="F942" s="16">
        <f t="shared" si="205"/>
        <v>18691.258159879311</v>
      </c>
      <c r="G942" s="16">
        <f t="shared" si="205"/>
        <v>29159.406133081658</v>
      </c>
      <c r="H942" s="16">
        <f t="shared" si="205"/>
        <v>40295.73376414799</v>
      </c>
      <c r="I942" s="16">
        <f t="shared" si="205"/>
        <v>45863.897579681157</v>
      </c>
      <c r="J942" s="16">
        <f t="shared" si="205"/>
        <v>45863.897579681157</v>
      </c>
      <c r="K942" s="16">
        <f t="shared" si="205"/>
        <v>45863.897579681157</v>
      </c>
      <c r="L942" s="16">
        <f t="shared" si="205"/>
        <v>45863.897579681157</v>
      </c>
      <c r="M942" s="16">
        <f t="shared" si="205"/>
        <v>45863.897579681157</v>
      </c>
    </row>
    <row r="943" spans="1:13" ht="15" customHeight="1" x14ac:dyDescent="0.2">
      <c r="B943" s="10" t="s">
        <v>904</v>
      </c>
      <c r="C943" s="10" t="s">
        <v>110</v>
      </c>
      <c r="D943" s="16">
        <f t="shared" ref="D943:M943" si="206">D942*$D$953</f>
        <v>1993.9324763947332</v>
      </c>
      <c r="E943" s="16">
        <f t="shared" si="206"/>
        <v>8403.0686548052345</v>
      </c>
      <c r="F943" s="16">
        <f t="shared" si="206"/>
        <v>16822.132343891382</v>
      </c>
      <c r="G943" s="16">
        <f t="shared" si="206"/>
        <v>26243.465519773494</v>
      </c>
      <c r="H943" s="16">
        <f t="shared" si="206"/>
        <v>36266.160387733195</v>
      </c>
      <c r="I943" s="16">
        <f t="shared" si="206"/>
        <v>41277.507821713043</v>
      </c>
      <c r="J943" s="16">
        <f t="shared" si="206"/>
        <v>41277.507821713043</v>
      </c>
      <c r="K943" s="16">
        <f t="shared" si="206"/>
        <v>41277.507821713043</v>
      </c>
      <c r="L943" s="16">
        <f t="shared" si="206"/>
        <v>41277.507821713043</v>
      </c>
      <c r="M943" s="16">
        <f t="shared" si="206"/>
        <v>41277.507821713043</v>
      </c>
    </row>
    <row r="944" spans="1:13" ht="15" customHeight="1" x14ac:dyDescent="0.2">
      <c r="B944" s="10" t="s">
        <v>905</v>
      </c>
      <c r="C944" s="10" t="s">
        <v>110</v>
      </c>
      <c r="D944" s="16">
        <f t="shared" ref="D944:M944" si="207">D943-D936</f>
        <v>875.72898708347907</v>
      </c>
      <c r="E944" s="16">
        <f t="shared" si="207"/>
        <v>3690.6018075251604</v>
      </c>
      <c r="F944" s="16">
        <f t="shared" si="207"/>
        <v>7388.2285847195635</v>
      </c>
      <c r="G944" s="16">
        <f t="shared" si="207"/>
        <v>11526.049025865676</v>
      </c>
      <c r="H944" s="16">
        <f t="shared" si="207"/>
        <v>15927.985665382825</v>
      </c>
      <c r="I944" s="16">
        <f t="shared" si="207"/>
        <v>18128.953985141394</v>
      </c>
      <c r="J944" s="16">
        <f t="shared" si="207"/>
        <v>18128.953985141394</v>
      </c>
      <c r="K944" s="16">
        <f t="shared" si="207"/>
        <v>18128.953985141394</v>
      </c>
      <c r="L944" s="16">
        <f t="shared" si="207"/>
        <v>18128.953985141394</v>
      </c>
      <c r="M944" s="16">
        <f t="shared" si="207"/>
        <v>18128.953985141394</v>
      </c>
    </row>
    <row r="945" spans="2:13" ht="15" customHeight="1" x14ac:dyDescent="0.2">
      <c r="B945" s="10" t="s">
        <v>906</v>
      </c>
      <c r="C945" s="10" t="s">
        <v>110</v>
      </c>
      <c r="D945" s="16">
        <f>MAX(D944,Inputs!$D$6)*Inputs!$D$19</f>
        <v>262.71869612504372</v>
      </c>
      <c r="E945" s="16">
        <f>MAX(E944,Inputs!$D$6)*Inputs!$D$19</f>
        <v>1107.180542257548</v>
      </c>
      <c r="F945" s="16">
        <f>MAX(F944,Inputs!$D$6)*Inputs!$D$19</f>
        <v>2216.4685754158691</v>
      </c>
      <c r="G945" s="16">
        <f>MAX(G944,Inputs!$D$6)*Inputs!$D$19</f>
        <v>3457.8147077597027</v>
      </c>
      <c r="H945" s="16">
        <f>MAX(H944,Inputs!$D$6)*Inputs!$D$19</f>
        <v>4778.3956996148472</v>
      </c>
      <c r="I945" s="16">
        <f>MAX(I944,Inputs!$D$6)*Inputs!$D$19</f>
        <v>5438.6861955424183</v>
      </c>
      <c r="J945" s="16">
        <f>MAX(J944,Inputs!$D$6)*Inputs!$D$19</f>
        <v>5438.6861955424183</v>
      </c>
      <c r="K945" s="16">
        <f>MAX(K944,Inputs!$D$6)*Inputs!$D$19</f>
        <v>5438.6861955424183</v>
      </c>
      <c r="L945" s="16">
        <f>MAX(L944,Inputs!$D$6)*Inputs!$D$19</f>
        <v>5438.6861955424183</v>
      </c>
      <c r="M945" s="16">
        <f>MAX(M944,Inputs!$D$6)*Inputs!$D$19</f>
        <v>5438.6861955424183</v>
      </c>
    </row>
    <row r="946" spans="2:13" ht="15" customHeight="1" x14ac:dyDescent="0.2">
      <c r="B946" s="10" t="s">
        <v>907</v>
      </c>
      <c r="C946" s="10" t="s">
        <v>110</v>
      </c>
      <c r="D946" s="16">
        <f t="shared" ref="D946:M946" si="208">D939*$D$952</f>
        <v>89.09062104853065</v>
      </c>
      <c r="E946" s="16">
        <f t="shared" si="208"/>
        <v>222.72655262132668</v>
      </c>
      <c r="F946" s="16">
        <f t="shared" si="208"/>
        <v>244.99920788345923</v>
      </c>
      <c r="G946" s="16">
        <f t="shared" si="208"/>
        <v>278.40819077665827</v>
      </c>
      <c r="H946" s="16">
        <f t="shared" si="208"/>
        <v>278.40819077665827</v>
      </c>
      <c r="I946" s="16">
        <f t="shared" si="208"/>
        <v>0</v>
      </c>
      <c r="J946" s="16">
        <f t="shared" si="208"/>
        <v>0</v>
      </c>
      <c r="K946" s="16">
        <f t="shared" si="208"/>
        <v>0</v>
      </c>
      <c r="L946" s="16">
        <f t="shared" si="208"/>
        <v>0</v>
      </c>
      <c r="M946" s="16">
        <f t="shared" si="208"/>
        <v>0</v>
      </c>
    </row>
    <row r="947" spans="2:13" ht="15" customHeight="1" x14ac:dyDescent="0.2">
      <c r="B947" s="10" t="s">
        <v>908</v>
      </c>
      <c r="C947" s="10" t="s">
        <v>110</v>
      </c>
      <c r="D947" s="16">
        <f t="shared" ref="D947:M947" si="209">D943-D945-D937-D938-D946</f>
        <v>-5812.7501311702463</v>
      </c>
      <c r="E947" s="16">
        <f t="shared" si="209"/>
        <v>-11564.021666052158</v>
      </c>
      <c r="F947" s="16">
        <f t="shared" si="209"/>
        <v>-6140.2369879843091</v>
      </c>
      <c r="G947" s="16">
        <f t="shared" si="209"/>
        <v>-3427.2412598031819</v>
      </c>
      <c r="H947" s="16">
        <f t="shared" si="209"/>
        <v>783.38262195831089</v>
      </c>
      <c r="I947" s="16">
        <f t="shared" si="209"/>
        <v>18015.084518895037</v>
      </c>
      <c r="J947" s="16">
        <f t="shared" si="209"/>
        <v>16232.710808167485</v>
      </c>
      <c r="K947" s="16">
        <f t="shared" si="209"/>
        <v>10921.145393508974</v>
      </c>
      <c r="L947" s="16">
        <f t="shared" si="209"/>
        <v>6429.6553991659166</v>
      </c>
      <c r="M947" s="16">
        <f t="shared" si="209"/>
        <v>18015.084518895037</v>
      </c>
    </row>
    <row r="948" spans="2:13" ht="15" customHeight="1" x14ac:dyDescent="0.2">
      <c r="B948" s="10" t="s">
        <v>909</v>
      </c>
      <c r="C948" s="10" t="s">
        <v>110</v>
      </c>
      <c r="D948" s="16">
        <f>D947/(Inputs!$D$7+$D$954)^D928</f>
        <v>-5227.8284223606624</v>
      </c>
      <c r="E948" s="16">
        <f>E947/(Inputs!$D$7+$D$954)^E928</f>
        <v>-8963.0995732054143</v>
      </c>
      <c r="F948" s="16">
        <f>F947/(Inputs!$D$7+$D$954)^F928</f>
        <v>-4103.1801754221124</v>
      </c>
      <c r="G948" s="16">
        <f>G947/(Inputs!$D$7+$D$954)^G928</f>
        <v>-1974.5414807342297</v>
      </c>
      <c r="H948" s="16">
        <f>H947/(Inputs!$D$7+$D$954)^H928</f>
        <v>389.1182922582671</v>
      </c>
      <c r="I948" s="16">
        <f>I947/(Inputs!$D$7+$D$954)^I928</f>
        <v>7711.7629517016812</v>
      </c>
      <c r="J948" s="16">
        <f>J947/(Inputs!$D$7+$D$954)^J928</f>
        <v>5990.9341911488527</v>
      </c>
      <c r="K948" s="16">
        <f>K947/(Inputs!$D$7+$D$954)^K928</f>
        <v>3475.0240625958818</v>
      </c>
      <c r="L948" s="16">
        <f>L947/(Inputs!$D$7+$D$954)^L928</f>
        <v>1763.8573308952004</v>
      </c>
      <c r="M948" s="16">
        <f>M947/(Inputs!$D$7+$D$954)^M928</f>
        <v>4259.1380271892922</v>
      </c>
    </row>
    <row r="949" spans="2:13" ht="15" customHeight="1" x14ac:dyDescent="0.2">
      <c r="B949" s="3" t="s">
        <v>910</v>
      </c>
      <c r="C949" s="10" t="s">
        <v>896</v>
      </c>
      <c r="D949" s="28">
        <f>(D935*$D$953-D939)/(Inputs!$D$7+$D$954)^D928</f>
        <v>59.765095798928819</v>
      </c>
      <c r="E949" s="28">
        <f>(E935*$D$953-E939)/(Inputs!$D$7+$D$954)^E928</f>
        <v>221.1922031857838</v>
      </c>
      <c r="F949" s="28">
        <f>(F935*$D$953-F939)/(Inputs!$D$7+$D$954)^F928</f>
        <v>386.45052664112239</v>
      </c>
      <c r="G949" s="28">
        <f>(G935*$D$953-G939)/(Inputs!$D$7+$D$954)^G928</f>
        <v>521.867070169518</v>
      </c>
      <c r="H949" s="28">
        <f>(H935*$D$953-H939)/(Inputs!$D$7+$D$954)^H928</f>
        <v>623.60768582417222</v>
      </c>
      <c r="I949" s="28">
        <f>(I935*$D$953-I939)/(Inputs!$D$7+$D$954)^I928</f>
        <v>616.42445467314121</v>
      </c>
      <c r="J949" s="28">
        <f>(J935*$D$953-J939)/(Inputs!$D$7+$D$954)^J928</f>
        <v>531.4543785819003</v>
      </c>
      <c r="K949" s="28">
        <f>(K935*$D$953-K939)/(Inputs!$D$7+$D$954)^K928</f>
        <v>458.19687128350449</v>
      </c>
      <c r="L949" s="28">
        <f>(L935*$D$953-L939)/(Inputs!$D$7+$D$954)^L928</f>
        <v>395.03743183788401</v>
      </c>
      <c r="M949" s="28">
        <f>(M935*$D$953-M939)/(Inputs!$D$7+$D$954)^M928</f>
        <v>340.44573883180209</v>
      </c>
    </row>
    <row r="950" spans="2:13" ht="15" customHeight="1" x14ac:dyDescent="0.2">
      <c r="B950" s="10" t="s">
        <v>911</v>
      </c>
      <c r="C950" s="10" t="s">
        <v>110</v>
      </c>
      <c r="D950" s="16">
        <f>(-D937-D938)/(Inputs!$D$7+$D$954)^D928</f>
        <v>-6704.7090607969039</v>
      </c>
      <c r="E950" s="16">
        <f>(-E937-E938)/(Inputs!$D$7+$D$954)^E928</f>
        <v>-14445.4009031226</v>
      </c>
      <c r="F950" s="16">
        <f>(-F937-F938)/(Inputs!$D$7+$D$954)^F928</f>
        <v>-13699.616639717549</v>
      </c>
      <c r="G950" s="16">
        <f>(-G937-G938)/(Inputs!$D$7+$D$954)^G928</f>
        <v>-14941.671835349038</v>
      </c>
      <c r="H950" s="16">
        <f>(-H937-H938)/(Inputs!$D$7+$D$954)^H928</f>
        <v>-15113.052884793095</v>
      </c>
      <c r="I950" s="16">
        <f>(-I937-I938)/(Inputs!$D$7+$D$954)^I928</f>
        <v>-7629.8523795762403</v>
      </c>
      <c r="J950" s="16">
        <f>(-J937-J938)/(Inputs!$D$7+$D$954)^J928</f>
        <v>-7235.9398897150922</v>
      </c>
      <c r="K950" s="16">
        <f>(-K937-K938)/(Inputs!$D$7+$D$954)^K928</f>
        <v>-7928.612006570077</v>
      </c>
      <c r="L950" s="16">
        <f>(-L937-L938)/(Inputs!$D$7+$D$954)^L928</f>
        <v>-8067.8621519509534</v>
      </c>
      <c r="M950" s="16">
        <f>(-M937-M938)/(Inputs!$D$7+$D$954)^M928</f>
        <v>-4213.8995473821142</v>
      </c>
    </row>
    <row r="951" spans="2:13" ht="15" customHeight="1" x14ac:dyDescent="0.2">
      <c r="B951" s="10" t="s">
        <v>912</v>
      </c>
      <c r="C951" s="10" t="s">
        <v>110</v>
      </c>
      <c r="D951" s="16">
        <f>Prices!I9</f>
        <v>21850</v>
      </c>
    </row>
    <row r="952" spans="2:13" ht="15" customHeight="1" x14ac:dyDescent="0.2">
      <c r="B952" s="3" t="s">
        <v>913</v>
      </c>
      <c r="C952" s="10" t="s">
        <v>914</v>
      </c>
      <c r="D952" s="28">
        <f>IF(J959&gt;=J955,J959,(D951-J958)/J957)</f>
        <v>28.664935987300723</v>
      </c>
      <c r="G952" s="99" t="s">
        <v>915</v>
      </c>
      <c r="H952" s="91"/>
      <c r="I952" s="91"/>
      <c r="J952" s="28">
        <f>D952*Inputs!$D$15</f>
        <v>20.005258825537172</v>
      </c>
      <c r="K952" s="99" t="s">
        <v>916</v>
      </c>
      <c r="L952" s="91"/>
      <c r="M952" s="91"/>
    </row>
    <row r="953" spans="2:13" ht="15" customHeight="1" x14ac:dyDescent="0.2">
      <c r="B953" s="10" t="s">
        <v>917</v>
      </c>
      <c r="C953" s="10" t="s">
        <v>104</v>
      </c>
      <c r="D953" s="30">
        <f>Inputs!$D$107</f>
        <v>0.9</v>
      </c>
      <c r="G953" s="99" t="s">
        <v>918</v>
      </c>
      <c r="H953" s="91"/>
      <c r="I953" s="91"/>
      <c r="J953" s="28">
        <f>IF(-D964/D963&gt;=J955,-D964/D963,-J958/J957)</f>
        <v>24.024174528419383</v>
      </c>
      <c r="K953" s="99" t="s">
        <v>919</v>
      </c>
      <c r="L953" s="91"/>
      <c r="M953" s="91"/>
    </row>
    <row r="954" spans="2:13" ht="15" customHeight="1" x14ac:dyDescent="0.2">
      <c r="B954" s="10" t="s">
        <v>920</v>
      </c>
      <c r="C954" s="10" t="s">
        <v>104</v>
      </c>
      <c r="D954" s="30">
        <f>Inputs!$D$108</f>
        <v>0.16</v>
      </c>
      <c r="G954" s="99" t="s">
        <v>918</v>
      </c>
      <c r="H954" s="91"/>
      <c r="I954" s="91"/>
      <c r="J954" s="28">
        <f>J953*Inputs!$D$15</f>
        <v>16.766471403383886</v>
      </c>
      <c r="K954" s="99" t="s">
        <v>916</v>
      </c>
      <c r="L954" s="91"/>
      <c r="M954" s="91"/>
    </row>
    <row r="955" spans="2:13" ht="15" customHeight="1" x14ac:dyDescent="0.2">
      <c r="B955" s="3" t="s">
        <v>921</v>
      </c>
      <c r="C955" s="10" t="s">
        <v>848</v>
      </c>
      <c r="D955" s="28">
        <f>Capital!$D$13</f>
        <v>57.347931490590682</v>
      </c>
      <c r="G955" s="99" t="s">
        <v>922</v>
      </c>
      <c r="H955" s="91"/>
      <c r="I955" s="91"/>
      <c r="J955" s="28">
        <f>($D$955/Inputs!$D$21+$D$956/Inputs!$D$22)/$D$953</f>
        <v>16.07538460873031</v>
      </c>
      <c r="K955" s="99" t="s">
        <v>919</v>
      </c>
      <c r="L955" s="91"/>
      <c r="M955" s="91"/>
    </row>
    <row r="956" spans="2:13" ht="15" customHeight="1" x14ac:dyDescent="0.2">
      <c r="B956" s="3" t="s">
        <v>923</v>
      </c>
      <c r="C956" s="10" t="s">
        <v>848</v>
      </c>
      <c r="D956" s="28">
        <f>Capital!$D$14</f>
        <v>2.6172655041921802</v>
      </c>
    </row>
    <row r="957" spans="2:13" ht="15" customHeight="1" x14ac:dyDescent="0.2">
      <c r="B957" s="10" t="s">
        <v>924</v>
      </c>
      <c r="C957" s="10" t="s">
        <v>896</v>
      </c>
      <c r="D957" s="28">
        <f>(M930*(Inputs!$D$7+Inputs!$D$20)*$D$953*(Inputs!$D$7-Inputs!$D$19)-M930*Inputs!$D$20*Inputs!$D$23)/($D$954-Inputs!$D$20)/(Inputs!$D$7+$D$954)^M928</f>
        <v>1807.6547922951956</v>
      </c>
      <c r="G957" s="92" t="s">
        <v>910</v>
      </c>
      <c r="H957" s="91"/>
      <c r="I957" s="91"/>
      <c r="J957" s="28">
        <f>SUM(D949:M949)+(M930*(Inputs!$D$7+Inputs!$D$20)*$D$953-M930*Inputs!$D$20*Inputs!$D$23)/($D$954-Inputs!$D$20)/(Inputs!$D$7+$D$954)^M928</f>
        <v>6737.5559875731687</v>
      </c>
      <c r="K957" s="99" t="s">
        <v>896</v>
      </c>
      <c r="L957" s="91"/>
      <c r="M957" s="91"/>
    </row>
    <row r="958" spans="2:13" ht="15" customHeight="1" x14ac:dyDescent="0.2">
      <c r="B958" s="10" t="s">
        <v>925</v>
      </c>
      <c r="C958" s="10" t="s">
        <v>110</v>
      </c>
      <c r="D958" s="16">
        <f>(D961*Inputs!$D$19-D961-D962)/($D$954-Inputs!$D$20)/(Inputs!$D$7+$D$954)^M928</f>
        <v>-33287.494112345899</v>
      </c>
      <c r="G958" s="92" t="s">
        <v>926</v>
      </c>
      <c r="H958" s="91"/>
      <c r="I958" s="91"/>
      <c r="J958" s="16">
        <f>SUM(D950:M950)-(D961+D962)/($D$954-Inputs!$D$20)/(Inputs!$D$7+$D$954)^M928</f>
        <v>-145733.9249554922</v>
      </c>
      <c r="K958" s="99" t="s">
        <v>110</v>
      </c>
      <c r="L958" s="91"/>
      <c r="M958" s="91"/>
    </row>
    <row r="959" spans="2:13" ht="15" customHeight="1" x14ac:dyDescent="0.2">
      <c r="B959" s="10" t="s">
        <v>927</v>
      </c>
      <c r="C959" s="10" t="s">
        <v>928</v>
      </c>
      <c r="D959" s="16">
        <f>(M930*(Inputs!$D$7+Inputs!$D$20)*$D$952*$D$953-D961)-MAX((M930*(Inputs!$D$7+Inputs!$D$20)*$D$952*$D$953-D961),Inputs!$D$6)*Inputs!$D$19-D962-M930*Inputs!$D$20*$D$952*Inputs!$D$23</f>
        <v>10580.25166856033</v>
      </c>
      <c r="G959" s="99" t="s">
        <v>929</v>
      </c>
      <c r="H959" s="91"/>
      <c r="I959" s="91"/>
      <c r="J959" s="28">
        <f>(D951-D964)/D963</f>
        <v>28.664935987300723</v>
      </c>
      <c r="K959" s="99" t="s">
        <v>919</v>
      </c>
      <c r="L959" s="91"/>
      <c r="M959" s="91"/>
    </row>
    <row r="960" spans="2:13" ht="15" customHeight="1" x14ac:dyDescent="0.2">
      <c r="B960" s="10" t="s">
        <v>930</v>
      </c>
      <c r="C960" s="10" t="s">
        <v>110</v>
      </c>
      <c r="D960" s="16">
        <f>D959/($D$954-Inputs!$D$20)</f>
        <v>78372.234581928366</v>
      </c>
      <c r="G960" s="99" t="s">
        <v>931</v>
      </c>
      <c r="H960" s="91"/>
      <c r="I960" s="91"/>
      <c r="J960" s="16">
        <f>MIN(D944:M944,(M930*(Inputs!$D$7+Inputs!$D$20)*$D$952*$D$953-D961))</f>
        <v>875.72898708347907</v>
      </c>
      <c r="K960" s="99" t="s">
        <v>110</v>
      </c>
      <c r="L960" s="91"/>
      <c r="M960" s="91"/>
    </row>
    <row r="961" spans="1:13" ht="15" customHeight="1" x14ac:dyDescent="0.2">
      <c r="B961" s="10" t="s">
        <v>932</v>
      </c>
      <c r="C961" s="10" t="s">
        <v>928</v>
      </c>
      <c r="D961" s="16">
        <f>M930*(Inputs!$D$7+Inputs!$D$20)*($D$955/Inputs!$D$21+$D$956/Inputs!$D$22)</f>
        <v>23727.267682485937</v>
      </c>
      <c r="G961" s="99" t="s">
        <v>933</v>
      </c>
      <c r="H961" s="91"/>
      <c r="I961" s="91"/>
      <c r="J961" s="31" t="str">
        <f>IF(J960&lt;Inputs!$D$6,"breached","satisfied")</f>
        <v>satisfied</v>
      </c>
      <c r="K961" s="99" t="s">
        <v>934</v>
      </c>
      <c r="L961" s="91"/>
      <c r="M961" s="91"/>
    </row>
    <row r="962" spans="1:13" ht="15" customHeight="1" x14ac:dyDescent="0.2">
      <c r="B962" s="10" t="s">
        <v>935</v>
      </c>
      <c r="C962" s="10" t="s">
        <v>928</v>
      </c>
      <c r="D962" s="16">
        <f>M930*Inputs!$D$20*($D$955+$D$956)</f>
        <v>2398.6078797913146</v>
      </c>
    </row>
    <row r="963" spans="1:13" ht="15" customHeight="1" x14ac:dyDescent="0.2">
      <c r="B963" s="10" t="s">
        <v>936</v>
      </c>
      <c r="C963" s="10" t="s">
        <v>896</v>
      </c>
      <c r="D963" s="28">
        <f>SUM(D940:M940)+D957</f>
        <v>4708.2790601495317</v>
      </c>
      <c r="G963" s="99" t="s">
        <v>937</v>
      </c>
      <c r="H963" s="91"/>
      <c r="I963" s="91"/>
      <c r="J963" s="16">
        <f>D965-D951</f>
        <v>2.9103830456733704E-11</v>
      </c>
      <c r="K963" s="99" t="s">
        <v>110</v>
      </c>
      <c r="L963" s="91"/>
      <c r="M963" s="91"/>
    </row>
    <row r="964" spans="1:13" ht="15" customHeight="1" x14ac:dyDescent="0.2">
      <c r="B964" s="10" t="s">
        <v>938</v>
      </c>
      <c r="C964" s="10" t="s">
        <v>110</v>
      </c>
      <c r="D964" s="16">
        <f>SUM(D941:M941)+D958</f>
        <v>-113112.51786953473</v>
      </c>
    </row>
    <row r="965" spans="1:13" ht="15" customHeight="1" x14ac:dyDescent="0.2">
      <c r="B965" s="10" t="s">
        <v>939</v>
      </c>
      <c r="C965" s="10" t="s">
        <v>110</v>
      </c>
      <c r="D965" s="16">
        <f>SUM(D948:M948)+D960/(Inputs!$D$7+$D$954)^M928</f>
        <v>21850.000000000029</v>
      </c>
    </row>
    <row r="966" spans="1:13" ht="15" customHeight="1" x14ac:dyDescent="0.2">
      <c r="B966" s="10" t="s">
        <v>940</v>
      </c>
      <c r="C966" s="10" t="s">
        <v>104</v>
      </c>
      <c r="D966" s="30">
        <f>IF(ABS(D951)&gt;Inputs!$D$6,D965/D951-Inputs!$D$7,Inputs!$D$6)</f>
        <v>1.3322676295501878E-15</v>
      </c>
    </row>
    <row r="967" spans="1:13" ht="15" customHeight="1" x14ac:dyDescent="0.2">
      <c r="B967" s="10" t="s">
        <v>941</v>
      </c>
      <c r="C967" s="10" t="s">
        <v>104</v>
      </c>
      <c r="D967" s="30">
        <f>IF(ABS(D965)&gt;Inputs!$D$119,D960/(Inputs!$D$7+$D$954)^M928/D965,Inputs!$D$6)</f>
        <v>0.84800067715941652</v>
      </c>
    </row>
    <row r="968" spans="1:13" ht="15" customHeight="1" x14ac:dyDescent="0.2">
      <c r="B968" s="10" t="s">
        <v>942</v>
      </c>
      <c r="C968" s="10" t="s">
        <v>943</v>
      </c>
      <c r="D968" s="26">
        <f>$D$952*Inputs!$D$8/Prices!$P$6/(Inputs!$D$26/Inputs!$D$25)/Inputs!$D$11/Inputs!$D$56</f>
        <v>5.2128056796739219</v>
      </c>
    </row>
    <row r="972" spans="1:13" ht="15" customHeight="1" x14ac:dyDescent="0.2">
      <c r="A972" s="104" t="s">
        <v>964</v>
      </c>
      <c r="B972" s="10" t="s">
        <v>886</v>
      </c>
      <c r="C972" s="10" t="s">
        <v>107</v>
      </c>
      <c r="D972" s="28">
        <f>Inputs!$D$60</f>
        <v>1</v>
      </c>
      <c r="E972" s="28">
        <f>Inputs!$D$62</f>
        <v>2</v>
      </c>
      <c r="F972" s="28">
        <f>Inputs!$D$64</f>
        <v>3</v>
      </c>
      <c r="G972" s="28">
        <f>Inputs!$D$66</f>
        <v>4</v>
      </c>
      <c r="H972" s="28">
        <f>Inputs!$D$68</f>
        <v>5</v>
      </c>
      <c r="I972" s="28">
        <f>Inputs!$D$70</f>
        <v>6</v>
      </c>
      <c r="J972" s="28">
        <f>Inputs!$D$72</f>
        <v>7</v>
      </c>
      <c r="K972" s="28">
        <f>Inputs!$D$74</f>
        <v>8</v>
      </c>
      <c r="L972" s="28">
        <f>Inputs!$D$76</f>
        <v>9</v>
      </c>
      <c r="M972" s="28">
        <f>Inputs!$D$78</f>
        <v>10</v>
      </c>
    </row>
    <row r="973" spans="1:13" ht="15" customHeight="1" x14ac:dyDescent="0.2">
      <c r="A973" s="91"/>
      <c r="B973" s="10" t="s">
        <v>887</v>
      </c>
      <c r="C973" s="10" t="s">
        <v>161</v>
      </c>
      <c r="D973" s="29">
        <f>Inputs!$D$61</f>
        <v>46568</v>
      </c>
      <c r="E973" s="29">
        <f>Inputs!$D$63</f>
        <v>46934</v>
      </c>
      <c r="F973" s="29">
        <f>Inputs!$D$65</f>
        <v>47299</v>
      </c>
      <c r="G973" s="29">
        <f>Inputs!$D$67</f>
        <v>47664</v>
      </c>
      <c r="H973" s="29">
        <f>Inputs!$D$69</f>
        <v>48029</v>
      </c>
      <c r="I973" s="29">
        <f>Inputs!$D$71</f>
        <v>48395</v>
      </c>
      <c r="J973" s="29">
        <f>Inputs!$D$73</f>
        <v>48760</v>
      </c>
      <c r="K973" s="29">
        <f>Inputs!$D$75</f>
        <v>49125</v>
      </c>
      <c r="L973" s="29">
        <f>Inputs!$D$77</f>
        <v>49490</v>
      </c>
      <c r="M973" s="29">
        <f>Inputs!$D$79</f>
        <v>49856</v>
      </c>
    </row>
    <row r="974" spans="1:13" ht="15" customHeight="1" x14ac:dyDescent="0.2">
      <c r="A974" s="91"/>
      <c r="B974" s="10" t="s">
        <v>888</v>
      </c>
      <c r="C974" s="10" t="s">
        <v>107</v>
      </c>
      <c r="D974" s="28">
        <f>(D973-Inputs!$D$13)/Inputs!$D$10</f>
        <v>0.71457905544147848</v>
      </c>
      <c r="E974" s="28">
        <f>(E973-Inputs!$D$13)/Inputs!$D$10</f>
        <v>1.7166324435318274</v>
      </c>
      <c r="F974" s="28">
        <f>(F973-Inputs!$D$13)/Inputs!$D$10</f>
        <v>2.7159479808350446</v>
      </c>
      <c r="G974" s="28">
        <f>(G973-Inputs!$D$13)/Inputs!$D$10</f>
        <v>3.7152635181382614</v>
      </c>
      <c r="H974" s="28">
        <f>(H973-Inputs!$D$13)/Inputs!$D$10</f>
        <v>4.7145790554414786</v>
      </c>
      <c r="I974" s="28">
        <f>(I973-Inputs!$D$13)/Inputs!$D$10</f>
        <v>5.7166324435318279</v>
      </c>
      <c r="J974" s="28">
        <f>(J973-Inputs!$D$13)/Inputs!$D$10</f>
        <v>6.7159479808350442</v>
      </c>
      <c r="K974" s="28">
        <f>(K973-Inputs!$D$13)/Inputs!$D$10</f>
        <v>7.7152635181382614</v>
      </c>
      <c r="L974" s="28">
        <f>(L973-Inputs!$D$13)/Inputs!$D$10</f>
        <v>8.7145790554414777</v>
      </c>
      <c r="M974" s="28">
        <f>(M973-Inputs!$D$13)/Inputs!$D$10</f>
        <v>9.716632443531827</v>
      </c>
    </row>
    <row r="975" spans="1:13" ht="15" customHeight="1" x14ac:dyDescent="0.2">
      <c r="A975" s="91"/>
      <c r="B975" s="10" t="s">
        <v>889</v>
      </c>
      <c r="C975" s="10" t="s">
        <v>107</v>
      </c>
      <c r="D975" s="28">
        <f>D974</f>
        <v>0.71457905544147848</v>
      </c>
      <c r="E975" s="28">
        <f>Inputs!$D$7</f>
        <v>1</v>
      </c>
      <c r="F975" s="28">
        <f>Inputs!$D$7</f>
        <v>1</v>
      </c>
      <c r="G975" s="28">
        <f>Inputs!$D$7</f>
        <v>1</v>
      </c>
      <c r="H975" s="28">
        <f>Inputs!$D$7</f>
        <v>1</v>
      </c>
      <c r="I975" s="28">
        <f>Inputs!$D$7</f>
        <v>1</v>
      </c>
      <c r="J975" s="28">
        <f>Inputs!$D$7</f>
        <v>1</v>
      </c>
      <c r="K975" s="28">
        <f>Inputs!$D$7</f>
        <v>1</v>
      </c>
      <c r="L975" s="28">
        <f>Inputs!$D$7</f>
        <v>1</v>
      </c>
      <c r="M975" s="28">
        <f>Inputs!$D$7</f>
        <v>1</v>
      </c>
    </row>
    <row r="976" spans="1:13" ht="15" customHeight="1" x14ac:dyDescent="0.2">
      <c r="A976" s="91"/>
      <c r="B976" s="3" t="s">
        <v>890</v>
      </c>
      <c r="C976" s="10" t="s">
        <v>199</v>
      </c>
      <c r="D976" s="28">
        <f>Inputs!$D$24+(Inputs!$D$80-Inputs!$D$24)*Inputs!$D$83</f>
        <v>305.5</v>
      </c>
      <c r="E976" s="28">
        <f>Inputs!$D$24+(Inputs!$D$80-Inputs!$D$24)*Inputs!$D$84</f>
        <v>651.5</v>
      </c>
      <c r="F976" s="28">
        <f>Inputs!$D$24+(Inputs!$D$80-Inputs!$D$24)*Inputs!$D$85</f>
        <v>911</v>
      </c>
      <c r="G976" s="28">
        <f>Inputs!$D$24+(Inputs!$D$80-Inputs!$D$24)*Inputs!$D$86</f>
        <v>911</v>
      </c>
      <c r="H976" s="28">
        <f>Inputs!$D$24+(Inputs!$D$80-Inputs!$D$24)*Inputs!$D$87</f>
        <v>911</v>
      </c>
      <c r="I976" s="28">
        <f>Inputs!$D$24+(Inputs!$D$80-Inputs!$D$24)*Inputs!$D$88</f>
        <v>911</v>
      </c>
      <c r="J976" s="28">
        <f>Inputs!$D$24+(Inputs!$D$80-Inputs!$D$24)*Inputs!$D$89</f>
        <v>911</v>
      </c>
      <c r="K976" s="28">
        <f>Inputs!$D$24+(Inputs!$D$80-Inputs!$D$24)*Inputs!$D$90</f>
        <v>911</v>
      </c>
      <c r="L976" s="28">
        <f>Inputs!$D$24+(Inputs!$D$80-Inputs!$D$24)*Inputs!$D$91</f>
        <v>911</v>
      </c>
      <c r="M976" s="28">
        <f>Inputs!$D$24+(Inputs!$D$80-Inputs!$D$24)*Inputs!$D$92</f>
        <v>911</v>
      </c>
    </row>
    <row r="977" spans="1:13" ht="15" customHeight="1" x14ac:dyDescent="0.2">
      <c r="A977" s="91"/>
      <c r="B977" s="10" t="s">
        <v>891</v>
      </c>
      <c r="C977" s="10" t="s">
        <v>199</v>
      </c>
      <c r="D977" s="28">
        <f>Inputs!$D$24</f>
        <v>46</v>
      </c>
      <c r="E977" s="28">
        <f t="shared" ref="E977:M977" si="210">D976</f>
        <v>305.5</v>
      </c>
      <c r="F977" s="28">
        <f t="shared" si="210"/>
        <v>651.5</v>
      </c>
      <c r="G977" s="28">
        <f t="shared" si="210"/>
        <v>911</v>
      </c>
      <c r="H977" s="28">
        <f t="shared" si="210"/>
        <v>911</v>
      </c>
      <c r="I977" s="28">
        <f t="shared" si="210"/>
        <v>911</v>
      </c>
      <c r="J977" s="28">
        <f t="shared" si="210"/>
        <v>911</v>
      </c>
      <c r="K977" s="28">
        <f t="shared" si="210"/>
        <v>911</v>
      </c>
      <c r="L977" s="28">
        <f t="shared" si="210"/>
        <v>911</v>
      </c>
      <c r="M977" s="28">
        <f t="shared" si="210"/>
        <v>911</v>
      </c>
    </row>
    <row r="978" spans="1:13" ht="15" customHeight="1" x14ac:dyDescent="0.2">
      <c r="B978" s="10" t="s">
        <v>892</v>
      </c>
      <c r="C978" s="10" t="s">
        <v>199</v>
      </c>
      <c r="D978" s="28">
        <f>(D977+D976)*Inputs!$D$12</f>
        <v>175.75</v>
      </c>
      <c r="E978" s="28">
        <f>(E977+E976)*Inputs!$D$12</f>
        <v>478.5</v>
      </c>
      <c r="F978" s="28">
        <f>(F977+F976)*Inputs!$D$12</f>
        <v>781.25</v>
      </c>
      <c r="G978" s="28">
        <f>(G977+G976)*Inputs!$D$12</f>
        <v>911</v>
      </c>
      <c r="H978" s="28">
        <f>(H977+H976)*Inputs!$D$12</f>
        <v>911</v>
      </c>
      <c r="I978" s="28">
        <f>(I977+I976)*Inputs!$D$12</f>
        <v>911</v>
      </c>
      <c r="J978" s="28">
        <f>(J977+J976)*Inputs!$D$12</f>
        <v>911</v>
      </c>
      <c r="K978" s="28">
        <f>(K977+K976)*Inputs!$D$12</f>
        <v>911</v>
      </c>
      <c r="L978" s="28">
        <f>(L977+L976)*Inputs!$D$12</f>
        <v>911</v>
      </c>
      <c r="M978" s="28">
        <f>(M977+M976)*Inputs!$D$12</f>
        <v>911</v>
      </c>
    </row>
    <row r="979" spans="1:13" ht="15" customHeight="1" x14ac:dyDescent="0.2">
      <c r="B979" s="10" t="s">
        <v>893</v>
      </c>
      <c r="C979" s="10" t="s">
        <v>199</v>
      </c>
      <c r="D979" s="28">
        <f t="shared" ref="D979:M979" si="211">D976-D977</f>
        <v>259.5</v>
      </c>
      <c r="E979" s="28">
        <f t="shared" si="211"/>
        <v>346</v>
      </c>
      <c r="F979" s="28">
        <f t="shared" si="211"/>
        <v>259.5</v>
      </c>
      <c r="G979" s="28">
        <f t="shared" si="211"/>
        <v>0</v>
      </c>
      <c r="H979" s="28">
        <f t="shared" si="211"/>
        <v>0</v>
      </c>
      <c r="I979" s="28">
        <f t="shared" si="211"/>
        <v>0</v>
      </c>
      <c r="J979" s="28">
        <f t="shared" si="211"/>
        <v>0</v>
      </c>
      <c r="K979" s="28">
        <f t="shared" si="211"/>
        <v>0</v>
      </c>
      <c r="L979" s="28">
        <f t="shared" si="211"/>
        <v>0</v>
      </c>
      <c r="M979" s="28">
        <f t="shared" si="211"/>
        <v>0</v>
      </c>
    </row>
    <row r="980" spans="1:13" ht="15" customHeight="1" x14ac:dyDescent="0.2">
      <c r="B980" s="10" t="s">
        <v>894</v>
      </c>
      <c r="C980" s="10" t="s">
        <v>199</v>
      </c>
      <c r="D980" s="28">
        <f>IF(MOD(D972,Inputs!$D$21)=Inputs!$D$6,Inputs!$D$24,Inputs!$D$6)+SUMPRODUCT(--(D972&gt;$D$972:$M$972),--(MOD(D972-$D$972:$M$972,Inputs!$D$21)=Inputs!$D$6),$D$979:$M$979)</f>
        <v>0</v>
      </c>
      <c r="E980" s="28">
        <f>IF(MOD(E972,Inputs!$D$21)=Inputs!$D$6,Inputs!$D$24,Inputs!$D$6)+SUMPRODUCT(--(E972&gt;$D$972:$M$972),--(MOD(E972-$D$972:$M$972,Inputs!$D$21)=Inputs!$D$6),$D$979:$M$979)</f>
        <v>0</v>
      </c>
      <c r="F980" s="28">
        <f>IF(MOD(F972,Inputs!$D$21)=Inputs!$D$6,Inputs!$D$24,Inputs!$D$6)+SUMPRODUCT(--(F972&gt;$D$972:$M$972),--(MOD(F972-$D$972:$M$972,Inputs!$D$21)=Inputs!$D$6),$D$979:$M$979)</f>
        <v>0</v>
      </c>
      <c r="G980" s="28">
        <f>IF(MOD(G972,Inputs!$D$21)=Inputs!$D$6,Inputs!$D$24,Inputs!$D$6)+SUMPRODUCT(--(G972&gt;$D$972:$M$972),--(MOD(G972-$D$972:$M$972,Inputs!$D$21)=Inputs!$D$6),$D$979:$M$979)</f>
        <v>46</v>
      </c>
      <c r="H980" s="28">
        <f>IF(MOD(H972,Inputs!$D$21)=Inputs!$D$6,Inputs!$D$24,Inputs!$D$6)+SUMPRODUCT(--(H972&gt;$D$972:$M$972),--(MOD(H972-$D$972:$M$972,Inputs!$D$21)=Inputs!$D$6),$D$979:$M$979)</f>
        <v>259.5</v>
      </c>
      <c r="I980" s="28">
        <f>IF(MOD(I972,Inputs!$D$21)=Inputs!$D$6,Inputs!$D$24,Inputs!$D$6)+SUMPRODUCT(--(I972&gt;$D$972:$M$972),--(MOD(I972-$D$972:$M$972,Inputs!$D$21)=Inputs!$D$6),$D$979:$M$979)</f>
        <v>346</v>
      </c>
      <c r="J980" s="28">
        <f>IF(MOD(J972,Inputs!$D$21)=Inputs!$D$6,Inputs!$D$24,Inputs!$D$6)+SUMPRODUCT(--(J972&gt;$D$972:$M$972),--(MOD(J972-$D$972:$M$972,Inputs!$D$21)=Inputs!$D$6),$D$979:$M$979)</f>
        <v>259.5</v>
      </c>
      <c r="K980" s="28">
        <f>IF(MOD(K972,Inputs!$D$21)=Inputs!$D$6,Inputs!$D$24,Inputs!$D$6)+SUMPRODUCT(--(K972&gt;$D$972:$M$972),--(MOD(K972-$D$972:$M$972,Inputs!$D$21)=Inputs!$D$6),$D$979:$M$979)</f>
        <v>46</v>
      </c>
      <c r="L980" s="28">
        <f>IF(MOD(L972,Inputs!$D$21)=Inputs!$D$6,Inputs!$D$24,Inputs!$D$6)+SUMPRODUCT(--(L972&gt;$D$972:$M$972),--(MOD(L972-$D$972:$M$972,Inputs!$D$21)=Inputs!$D$6),$D$979:$M$979)</f>
        <v>259.5</v>
      </c>
      <c r="M980" s="28">
        <f>IF(MOD(M972,Inputs!$D$21)=Inputs!$D$6,Inputs!$D$24,Inputs!$D$6)+SUMPRODUCT(--(M972&gt;$D$972:$M$972),--(MOD(M972-$D$972:$M$972,Inputs!$D$21)=Inputs!$D$6),$D$979:$M$979)</f>
        <v>346</v>
      </c>
    </row>
    <row r="981" spans="1:13" ht="15" customHeight="1" x14ac:dyDescent="0.2">
      <c r="B981" s="10" t="s">
        <v>895</v>
      </c>
      <c r="C981" s="10" t="s">
        <v>896</v>
      </c>
      <c r="D981" s="28">
        <f t="shared" ref="D981:M981" si="212">D978*D975</f>
        <v>125.58726899383984</v>
      </c>
      <c r="E981" s="28">
        <f t="shared" si="212"/>
        <v>478.5</v>
      </c>
      <c r="F981" s="28">
        <f t="shared" si="212"/>
        <v>781.25</v>
      </c>
      <c r="G981" s="28">
        <f t="shared" si="212"/>
        <v>911</v>
      </c>
      <c r="H981" s="28">
        <f t="shared" si="212"/>
        <v>911</v>
      </c>
      <c r="I981" s="28">
        <f t="shared" si="212"/>
        <v>911</v>
      </c>
      <c r="J981" s="28">
        <f t="shared" si="212"/>
        <v>911</v>
      </c>
      <c r="K981" s="28">
        <f t="shared" si="212"/>
        <v>911</v>
      </c>
      <c r="L981" s="28">
        <f t="shared" si="212"/>
        <v>911</v>
      </c>
      <c r="M981" s="28">
        <f t="shared" si="212"/>
        <v>911</v>
      </c>
    </row>
    <row r="982" spans="1:13" ht="15" customHeight="1" x14ac:dyDescent="0.2">
      <c r="B982" s="10" t="s">
        <v>897</v>
      </c>
      <c r="C982" s="10" t="s">
        <v>110</v>
      </c>
      <c r="D982" s="16">
        <f>D981*($D$1001/Inputs!$D$21+$D$1002/Inputs!$D$22)</f>
        <v>1816.9772859324419</v>
      </c>
      <c r="E982" s="16">
        <f>E981*($D$1001/Inputs!$D$21+$D$1002/Inputs!$D$22)</f>
        <v>6922.8643817497086</v>
      </c>
      <c r="F982" s="16">
        <f>F981*($D$1001/Inputs!$D$21+$D$1002/Inputs!$D$22)</f>
        <v>11303.0048030135</v>
      </c>
      <c r="G982" s="16">
        <f>G981*($D$1001/Inputs!$D$21+$D$1002/Inputs!$D$22)</f>
        <v>13180.207840697982</v>
      </c>
      <c r="H982" s="16">
        <f>H981*($D$1001/Inputs!$D$21+$D$1002/Inputs!$D$22)</f>
        <v>13180.207840697982</v>
      </c>
      <c r="I982" s="16">
        <f>I981*($D$1001/Inputs!$D$21+$D$1002/Inputs!$D$22)</f>
        <v>13180.207840697982</v>
      </c>
      <c r="J982" s="16">
        <f>J981*($D$1001/Inputs!$D$21+$D$1002/Inputs!$D$22)</f>
        <v>13180.207840697982</v>
      </c>
      <c r="K982" s="16">
        <f>K981*($D$1001/Inputs!$D$21+$D$1002/Inputs!$D$22)</f>
        <v>13180.207840697982</v>
      </c>
      <c r="L982" s="16">
        <f>L981*($D$1001/Inputs!$D$21+$D$1002/Inputs!$D$22)</f>
        <v>13180.207840697982</v>
      </c>
      <c r="M982" s="16">
        <f>M981*($D$1001/Inputs!$D$21+$D$1002/Inputs!$D$22)</f>
        <v>13180.207840697982</v>
      </c>
    </row>
    <row r="983" spans="1:13" ht="15" customHeight="1" x14ac:dyDescent="0.2">
      <c r="B983" s="10" t="s">
        <v>898</v>
      </c>
      <c r="C983" s="10" t="s">
        <v>110</v>
      </c>
      <c r="D983" s="16">
        <f t="shared" ref="D983:M983" si="213">D979*($D$1001+$D$1002)</f>
        <v>15560.968620146154</v>
      </c>
      <c r="E983" s="16">
        <f t="shared" si="213"/>
        <v>20747.95816019487</v>
      </c>
      <c r="F983" s="16">
        <f t="shared" si="213"/>
        <v>15560.968620146154</v>
      </c>
      <c r="G983" s="16">
        <f t="shared" si="213"/>
        <v>0</v>
      </c>
      <c r="H983" s="16">
        <f t="shared" si="213"/>
        <v>0</v>
      </c>
      <c r="I983" s="16">
        <f t="shared" si="213"/>
        <v>0</v>
      </c>
      <c r="J983" s="16">
        <f t="shared" si="213"/>
        <v>0</v>
      </c>
      <c r="K983" s="16">
        <f t="shared" si="213"/>
        <v>0</v>
      </c>
      <c r="L983" s="16">
        <f t="shared" si="213"/>
        <v>0</v>
      </c>
      <c r="M983" s="16">
        <f t="shared" si="213"/>
        <v>0</v>
      </c>
    </row>
    <row r="984" spans="1:13" ht="15" customHeight="1" x14ac:dyDescent="0.2">
      <c r="B984" s="10" t="s">
        <v>899</v>
      </c>
      <c r="C984" s="10" t="s">
        <v>110</v>
      </c>
      <c r="D984" s="16">
        <f t="shared" ref="D984:M984" si="214">D980*$D$1001</f>
        <v>0</v>
      </c>
      <c r="E984" s="16">
        <f t="shared" si="214"/>
        <v>0</v>
      </c>
      <c r="F984" s="16">
        <f t="shared" si="214"/>
        <v>0</v>
      </c>
      <c r="G984" s="16">
        <f t="shared" si="214"/>
        <v>2638.0048485671714</v>
      </c>
      <c r="H984" s="16">
        <f t="shared" si="214"/>
        <v>14881.788221808281</v>
      </c>
      <c r="I984" s="16">
        <f t="shared" si="214"/>
        <v>19842.384295744378</v>
      </c>
      <c r="J984" s="16">
        <f t="shared" si="214"/>
        <v>14881.788221808281</v>
      </c>
      <c r="K984" s="16">
        <f t="shared" si="214"/>
        <v>2638.0048485671714</v>
      </c>
      <c r="L984" s="16">
        <f t="shared" si="214"/>
        <v>14881.788221808281</v>
      </c>
      <c r="M984" s="16">
        <f t="shared" si="214"/>
        <v>19842.384295744378</v>
      </c>
    </row>
    <row r="985" spans="1:13" ht="15" customHeight="1" x14ac:dyDescent="0.2">
      <c r="B985" s="10" t="s">
        <v>900</v>
      </c>
      <c r="C985" s="10" t="s">
        <v>199</v>
      </c>
      <c r="D985" s="28">
        <f>D979*Inputs!$D$23</f>
        <v>6.4875000000000007</v>
      </c>
      <c r="E985" s="28">
        <f>E979*Inputs!$D$23</f>
        <v>8.65</v>
      </c>
      <c r="F985" s="28">
        <f>F979*Inputs!$D$23</f>
        <v>6.4875000000000007</v>
      </c>
      <c r="G985" s="28">
        <f>G979*Inputs!$D$23</f>
        <v>0</v>
      </c>
      <c r="H985" s="28">
        <f>H979*Inputs!$D$23</f>
        <v>0</v>
      </c>
      <c r="I985" s="28">
        <f>I979*Inputs!$D$23</f>
        <v>0</v>
      </c>
      <c r="J985" s="28">
        <f>J979*Inputs!$D$23</f>
        <v>0</v>
      </c>
      <c r="K985" s="28">
        <f>K979*Inputs!$D$23</f>
        <v>0</v>
      </c>
      <c r="L985" s="28">
        <f>L979*Inputs!$D$23</f>
        <v>0</v>
      </c>
      <c r="M985" s="28">
        <f>M979*Inputs!$D$23</f>
        <v>0</v>
      </c>
    </row>
    <row r="986" spans="1:13" ht="15" customHeight="1" x14ac:dyDescent="0.2">
      <c r="B986" s="3" t="s">
        <v>901</v>
      </c>
      <c r="C986" s="10" t="s">
        <v>896</v>
      </c>
      <c r="D986" s="28">
        <f>(D981*$D$999*(Inputs!$D$7-Inputs!$D$19)-D985)/(Inputs!$D$7+$D$1000)^D974</f>
        <v>43.213488846686175</v>
      </c>
      <c r="E986" s="28">
        <f>(E981*$D$999*(Inputs!$D$7-Inputs!$D$19)-E985)/(Inputs!$D$7+$D$1000)^E974</f>
        <v>163.29332190458183</v>
      </c>
      <c r="F986" s="28">
        <f>(F981*$D$999*(Inputs!$D$7-Inputs!$D$19)-F985)/(Inputs!$D$7+$D$1000)^F974</f>
        <v>248.28260771010829</v>
      </c>
      <c r="G986" s="28">
        <f>(G981*$D$999*(Inputs!$D$7-Inputs!$D$19)-G985)/(Inputs!$D$7+$D$1000)^G974</f>
        <v>268.5238926419492</v>
      </c>
      <c r="H986" s="28">
        <f>(H981*$D$999*(Inputs!$D$7-Inputs!$D$19)-H985)/(Inputs!$D$7+$D$1000)^H974</f>
        <v>244.12855518959191</v>
      </c>
      <c r="I986" s="28">
        <f>(I981*$D$999*(Inputs!$D$7-Inputs!$D$19)-I985)/(Inputs!$D$7+$D$1000)^I974</f>
        <v>221.8916197826434</v>
      </c>
      <c r="J986" s="28">
        <f>(J981*$D$999*(Inputs!$D$7-Inputs!$D$19)-J985)/(Inputs!$D$7+$D$1000)^J974</f>
        <v>201.73281421346593</v>
      </c>
      <c r="K986" s="28">
        <f>(K981*$D$999*(Inputs!$D$7-Inputs!$D$19)-K985)/(Inputs!$D$7+$D$1000)^K974</f>
        <v>183.40543176145695</v>
      </c>
      <c r="L986" s="28">
        <f>(L981*$D$999*(Inputs!$D$7-Inputs!$D$19)-L985)/(Inputs!$D$7+$D$1000)^L974</f>
        <v>166.74308803332551</v>
      </c>
      <c r="M986" s="28">
        <f>(M981*$D$999*(Inputs!$D$7-Inputs!$D$19)-M985)/(Inputs!$D$7+$D$1000)^M974</f>
        <v>151.55496194429571</v>
      </c>
    </row>
    <row r="987" spans="1:13" ht="15" customHeight="1" x14ac:dyDescent="0.2">
      <c r="B987" s="10" t="s">
        <v>902</v>
      </c>
      <c r="C987" s="10" t="s">
        <v>110</v>
      </c>
      <c r="D987" s="16">
        <f>(D982*Inputs!$D$19-D983-D984)/(Inputs!$D$7+$D$1000)^D974</f>
        <v>-14027.24269342025</v>
      </c>
      <c r="E987" s="16">
        <f>(E982*Inputs!$D$19-E983-E984)/(Inputs!$D$7+$D$1000)^E974</f>
        <v>-15853.087323826181</v>
      </c>
      <c r="F987" s="16">
        <f>(F982*Inputs!$D$19-F983-F984)/(Inputs!$D$7+$D$1000)^F974</f>
        <v>-9394.4767487293357</v>
      </c>
      <c r="G987" s="16">
        <f>(G982*Inputs!$D$19-G983-G984)/(Inputs!$D$7+$D$1000)^G974</f>
        <v>923.61320322684639</v>
      </c>
      <c r="H987" s="16">
        <f>(H982*Inputs!$D$19-H983-H984)/(Inputs!$D$7+$D$1000)^H974</f>
        <v>-6972.3744918015345</v>
      </c>
      <c r="I987" s="16">
        <f>(I982*Inputs!$D$19-I983-I984)/(Inputs!$D$7+$D$1000)^I974</f>
        <v>-9214.0648467907959</v>
      </c>
      <c r="J987" s="16">
        <f>(J982*Inputs!$D$19-J983-J984)/(Inputs!$D$7+$D$1000)^J974</f>
        <v>-5761.5411965591911</v>
      </c>
      <c r="K987" s="16">
        <f>(K982*Inputs!$D$19-K983-K984)/(Inputs!$D$7+$D$1000)^K974</f>
        <v>630.8402453567694</v>
      </c>
      <c r="L987" s="16">
        <f>(L982*Inputs!$D$19-L983-L984)/(Inputs!$D$7+$D$1000)^L974</f>
        <v>-4762.2255937446444</v>
      </c>
      <c r="M987" s="16">
        <f>(M982*Inputs!$D$19-M983-M984)/(Inputs!$D$7+$D$1000)^M974</f>
        <v>-6293.3302689644106</v>
      </c>
    </row>
    <row r="988" spans="1:13" ht="15" customHeight="1" x14ac:dyDescent="0.2">
      <c r="B988" s="10" t="s">
        <v>903</v>
      </c>
      <c r="C988" s="10" t="s">
        <v>110</v>
      </c>
      <c r="D988" s="16">
        <f t="shared" ref="D988:M988" si="215">D981*$D$998</f>
        <v>5201.6455419717613</v>
      </c>
      <c r="E988" s="16">
        <f t="shared" si="215"/>
        <v>19818.787459703217</v>
      </c>
      <c r="F988" s="16">
        <f t="shared" si="215"/>
        <v>32358.260612106871</v>
      </c>
      <c r="G988" s="16">
        <f t="shared" si="215"/>
        <v>37732.320534565581</v>
      </c>
      <c r="H988" s="16">
        <f t="shared" si="215"/>
        <v>37732.320534565581</v>
      </c>
      <c r="I988" s="16">
        <f t="shared" si="215"/>
        <v>37732.320534565581</v>
      </c>
      <c r="J988" s="16">
        <f t="shared" si="215"/>
        <v>37732.320534565581</v>
      </c>
      <c r="K988" s="16">
        <f t="shared" si="215"/>
        <v>37732.320534565581</v>
      </c>
      <c r="L988" s="16">
        <f t="shared" si="215"/>
        <v>37732.320534565581</v>
      </c>
      <c r="M988" s="16">
        <f t="shared" si="215"/>
        <v>37732.320534565581</v>
      </c>
    </row>
    <row r="989" spans="1:13" ht="15" customHeight="1" x14ac:dyDescent="0.2">
      <c r="B989" s="10" t="s">
        <v>904</v>
      </c>
      <c r="C989" s="10" t="s">
        <v>110</v>
      </c>
      <c r="D989" s="16">
        <f t="shared" ref="D989:M989" si="216">D988*$D$999</f>
        <v>3120.9873251830568</v>
      </c>
      <c r="E989" s="16">
        <f t="shared" si="216"/>
        <v>11891.27247582193</v>
      </c>
      <c r="F989" s="16">
        <f t="shared" si="216"/>
        <v>19414.956367264123</v>
      </c>
      <c r="G989" s="16">
        <f t="shared" si="216"/>
        <v>22639.392320739349</v>
      </c>
      <c r="H989" s="16">
        <f t="shared" si="216"/>
        <v>22639.392320739349</v>
      </c>
      <c r="I989" s="16">
        <f t="shared" si="216"/>
        <v>22639.392320739349</v>
      </c>
      <c r="J989" s="16">
        <f t="shared" si="216"/>
        <v>22639.392320739349</v>
      </c>
      <c r="K989" s="16">
        <f t="shared" si="216"/>
        <v>22639.392320739349</v>
      </c>
      <c r="L989" s="16">
        <f t="shared" si="216"/>
        <v>22639.392320739349</v>
      </c>
      <c r="M989" s="16">
        <f t="shared" si="216"/>
        <v>22639.392320739349</v>
      </c>
    </row>
    <row r="990" spans="1:13" ht="15" customHeight="1" x14ac:dyDescent="0.2">
      <c r="B990" s="10" t="s">
        <v>905</v>
      </c>
      <c r="C990" s="10" t="s">
        <v>110</v>
      </c>
      <c r="D990" s="16">
        <f t="shared" ref="D990:M990" si="217">D989-D982</f>
        <v>1304.0100392506149</v>
      </c>
      <c r="E990" s="16">
        <f t="shared" si="217"/>
        <v>4968.4080940722215</v>
      </c>
      <c r="F990" s="16">
        <f t="shared" si="217"/>
        <v>8111.9515642506231</v>
      </c>
      <c r="G990" s="16">
        <f t="shared" si="217"/>
        <v>9459.1844800413674</v>
      </c>
      <c r="H990" s="16">
        <f t="shared" si="217"/>
        <v>9459.1844800413674</v>
      </c>
      <c r="I990" s="16">
        <f t="shared" si="217"/>
        <v>9459.1844800413674</v>
      </c>
      <c r="J990" s="16">
        <f t="shared" si="217"/>
        <v>9459.1844800413674</v>
      </c>
      <c r="K990" s="16">
        <f t="shared" si="217"/>
        <v>9459.1844800413674</v>
      </c>
      <c r="L990" s="16">
        <f t="shared" si="217"/>
        <v>9459.1844800413674</v>
      </c>
      <c r="M990" s="16">
        <f t="shared" si="217"/>
        <v>9459.1844800413674</v>
      </c>
    </row>
    <row r="991" spans="1:13" ht="15" customHeight="1" x14ac:dyDescent="0.2">
      <c r="B991" s="10" t="s">
        <v>906</v>
      </c>
      <c r="C991" s="10" t="s">
        <v>110</v>
      </c>
      <c r="D991" s="16">
        <f>MAX(D990,Inputs!$D$6)*Inputs!$D$19</f>
        <v>391.20301177518445</v>
      </c>
      <c r="E991" s="16">
        <f>MAX(E990,Inputs!$D$6)*Inputs!$D$19</f>
        <v>1490.5224282216664</v>
      </c>
      <c r="F991" s="16">
        <f>MAX(F990,Inputs!$D$6)*Inputs!$D$19</f>
        <v>2433.5854692751868</v>
      </c>
      <c r="G991" s="16">
        <f>MAX(G990,Inputs!$D$6)*Inputs!$D$19</f>
        <v>2837.7553440124102</v>
      </c>
      <c r="H991" s="16">
        <f>MAX(H990,Inputs!$D$6)*Inputs!$D$19</f>
        <v>2837.7553440124102</v>
      </c>
      <c r="I991" s="16">
        <f>MAX(I990,Inputs!$D$6)*Inputs!$D$19</f>
        <v>2837.7553440124102</v>
      </c>
      <c r="J991" s="16">
        <f>MAX(J990,Inputs!$D$6)*Inputs!$D$19</f>
        <v>2837.7553440124102</v>
      </c>
      <c r="K991" s="16">
        <f>MAX(K990,Inputs!$D$6)*Inputs!$D$19</f>
        <v>2837.7553440124102</v>
      </c>
      <c r="L991" s="16">
        <f>MAX(L990,Inputs!$D$6)*Inputs!$D$19</f>
        <v>2837.7553440124102</v>
      </c>
      <c r="M991" s="16">
        <f>MAX(M990,Inputs!$D$6)*Inputs!$D$19</f>
        <v>2837.7553440124102</v>
      </c>
    </row>
    <row r="992" spans="1:13" ht="15" customHeight="1" x14ac:dyDescent="0.2">
      <c r="B992" s="10" t="s">
        <v>907</v>
      </c>
      <c r="C992" s="10" t="s">
        <v>110</v>
      </c>
      <c r="D992" s="16">
        <f t="shared" ref="D992:M992" si="218">D985*$D$998</f>
        <v>268.70299612293547</v>
      </c>
      <c r="E992" s="16">
        <f t="shared" si="218"/>
        <v>358.27066149724726</v>
      </c>
      <c r="F992" s="16">
        <f t="shared" si="218"/>
        <v>268.70299612293547</v>
      </c>
      <c r="G992" s="16">
        <f t="shared" si="218"/>
        <v>0</v>
      </c>
      <c r="H992" s="16">
        <f t="shared" si="218"/>
        <v>0</v>
      </c>
      <c r="I992" s="16">
        <f t="shared" si="218"/>
        <v>0</v>
      </c>
      <c r="J992" s="16">
        <f t="shared" si="218"/>
        <v>0</v>
      </c>
      <c r="K992" s="16">
        <f t="shared" si="218"/>
        <v>0</v>
      </c>
      <c r="L992" s="16">
        <f t="shared" si="218"/>
        <v>0</v>
      </c>
      <c r="M992" s="16">
        <f t="shared" si="218"/>
        <v>0</v>
      </c>
    </row>
    <row r="993" spans="2:13" ht="15" customHeight="1" x14ac:dyDescent="0.2">
      <c r="B993" s="10" t="s">
        <v>908</v>
      </c>
      <c r="C993" s="10" t="s">
        <v>110</v>
      </c>
      <c r="D993" s="16">
        <f t="shared" ref="D993:M993" si="219">D989-D991-D983-D984-D992</f>
        <v>-13099.887302861218</v>
      </c>
      <c r="E993" s="16">
        <f t="shared" si="219"/>
        <v>-10705.478774091853</v>
      </c>
      <c r="F993" s="16">
        <f t="shared" si="219"/>
        <v>1151.6992817198488</v>
      </c>
      <c r="G993" s="16">
        <f t="shared" si="219"/>
        <v>17163.632128159767</v>
      </c>
      <c r="H993" s="16">
        <f t="shared" si="219"/>
        <v>4919.8487549186575</v>
      </c>
      <c r="I993" s="16">
        <f t="shared" si="219"/>
        <v>-40.747319017438713</v>
      </c>
      <c r="J993" s="16">
        <f t="shared" si="219"/>
        <v>4919.8487549186575</v>
      </c>
      <c r="K993" s="16">
        <f t="shared" si="219"/>
        <v>17163.632128159767</v>
      </c>
      <c r="L993" s="16">
        <f t="shared" si="219"/>
        <v>4919.8487549186575</v>
      </c>
      <c r="M993" s="16">
        <f t="shared" si="219"/>
        <v>-40.747319017438713</v>
      </c>
    </row>
    <row r="994" spans="2:13" ht="15" customHeight="1" x14ac:dyDescent="0.2">
      <c r="B994" s="10" t="s">
        <v>909</v>
      </c>
      <c r="C994" s="10" t="s">
        <v>110</v>
      </c>
      <c r="D994" s="16">
        <f>D993/(Inputs!$D$7+$D$1000)^D974</f>
        <v>-12237.401625824163</v>
      </c>
      <c r="E994" s="16">
        <f>E993/(Inputs!$D$7+$D$1000)^E974</f>
        <v>-9089.7108548276283</v>
      </c>
      <c r="F994" s="16">
        <f>F993/(Inputs!$D$7+$D$1000)^F974</f>
        <v>889.03470821425594</v>
      </c>
      <c r="G994" s="16">
        <f>G993/(Inputs!$D$7+$D$1000)^G974</f>
        <v>12045.489809544413</v>
      </c>
      <c r="H994" s="16">
        <f>H993/(Inputs!$D$7+$D$1000)^H974</f>
        <v>3139.0820351513366</v>
      </c>
      <c r="I994" s="16">
        <f>I993/(Inputs!$D$7+$D$1000)^I974</f>
        <v>-23.630465262086627</v>
      </c>
      <c r="J994" s="16">
        <f>J993/(Inputs!$D$7+$D$1000)^J974</f>
        <v>2593.944213147136</v>
      </c>
      <c r="K994" s="16">
        <f>K993/(Inputs!$D$7+$D$1000)^K974</f>
        <v>8227.231616381674</v>
      </c>
      <c r="L994" s="16">
        <f>L993/(Inputs!$D$7+$D$1000)^L974</f>
        <v>2144.0352675031327</v>
      </c>
      <c r="M994" s="16">
        <f>M993/(Inputs!$D$7+$D$1000)^M974</f>
        <v>-16.139925730542053</v>
      </c>
    </row>
    <row r="995" spans="2:13" ht="15" customHeight="1" x14ac:dyDescent="0.2">
      <c r="B995" s="3" t="s">
        <v>910</v>
      </c>
      <c r="C995" s="10" t="s">
        <v>896</v>
      </c>
      <c r="D995" s="28">
        <f>(D981*$D$999-D985)/(Inputs!$D$7+$D$1000)^D974</f>
        <v>64.330856237917445</v>
      </c>
      <c r="E995" s="28">
        <f>(E981*$D$999-E985)/(Inputs!$D$7+$D$1000)^E974</f>
        <v>236.42380139523098</v>
      </c>
      <c r="F995" s="28">
        <f>(F981*$D$999-F985)/(Inputs!$D$7+$D$1000)^F974</f>
        <v>356.83568908039001</v>
      </c>
      <c r="G995" s="28">
        <f>(G981*$D$999-G985)/(Inputs!$D$7+$D$1000)^G974</f>
        <v>383.60556091707036</v>
      </c>
      <c r="H995" s="28">
        <f>(H981*$D$999-H985)/(Inputs!$D$7+$D$1000)^H974</f>
        <v>348.75507884227414</v>
      </c>
      <c r="I995" s="28">
        <f>(I981*$D$999-I985)/(Inputs!$D$7+$D$1000)^I974</f>
        <v>316.98802826091918</v>
      </c>
      <c r="J995" s="28">
        <f>(J981*$D$999-J985)/(Inputs!$D$7+$D$1000)^J974</f>
        <v>288.18973459066564</v>
      </c>
      <c r="K995" s="28">
        <f>(K981*$D$999-K985)/(Inputs!$D$7+$D$1000)^K974</f>
        <v>262.00775965922423</v>
      </c>
      <c r="L995" s="28">
        <f>(L981*$D$999-L985)/(Inputs!$D$7+$D$1000)^L974</f>
        <v>238.2044114761793</v>
      </c>
      <c r="M995" s="28">
        <f>(M981*$D$999-M985)/(Inputs!$D$7+$D$1000)^M974</f>
        <v>216.50708849185102</v>
      </c>
    </row>
    <row r="996" spans="2:13" ht="15" customHeight="1" x14ac:dyDescent="0.2">
      <c r="B996" s="10" t="s">
        <v>911</v>
      </c>
      <c r="C996" s="10" t="s">
        <v>110</v>
      </c>
      <c r="D996" s="16">
        <f>(-D983-D984)/(Inputs!$D$7+$D$1000)^D974</f>
        <v>-14536.447397527105</v>
      </c>
      <c r="E996" s="16">
        <f>(-E983-E984)/(Inputs!$D$7+$D$1000)^E974</f>
        <v>-17616.488200475756</v>
      </c>
      <c r="F996" s="16">
        <f>(-F983-F984)/(Inputs!$D$7+$D$1000)^F974</f>
        <v>-12012.025548964448</v>
      </c>
      <c r="G996" s="16">
        <f>(-G983-G984)/(Inputs!$D$7+$D$1000)^G974</f>
        <v>-1851.359915178487</v>
      </c>
      <c r="H996" s="16">
        <f>(-H983-H984)/(Inputs!$D$7+$D$1000)^H974</f>
        <v>-9495.2419037884629</v>
      </c>
      <c r="I996" s="16">
        <f>(-I983-I984)/(Inputs!$D$7+$D$1000)^I974</f>
        <v>-11507.131858586603</v>
      </c>
      <c r="J996" s="16">
        <f>(-J983-J984)/(Inputs!$D$7+$D$1000)^J974</f>
        <v>-7846.2835672839774</v>
      </c>
      <c r="K996" s="16">
        <f>(-K983-K984)/(Inputs!$D$7+$D$1000)^K974</f>
        <v>-1264.5037327904422</v>
      </c>
      <c r="L996" s="16">
        <f>(-L983-L984)/(Inputs!$D$7+$D$1000)^L974</f>
        <v>-6485.3779822337692</v>
      </c>
      <c r="M996" s="16">
        <f>(-M983-M984)/(Inputs!$D$7+$D$1000)^M974</f>
        <v>-7859.5258920747219</v>
      </c>
    </row>
    <row r="997" spans="2:13" ht="15" customHeight="1" x14ac:dyDescent="0.2">
      <c r="B997" s="10" t="s">
        <v>912</v>
      </c>
      <c r="C997" s="10" t="s">
        <v>110</v>
      </c>
      <c r="D997" s="16">
        <f>Prices!K9</f>
        <v>36178.700386874909</v>
      </c>
    </row>
    <row r="998" spans="2:13" ht="15" customHeight="1" x14ac:dyDescent="0.2">
      <c r="B998" s="3" t="s">
        <v>913</v>
      </c>
      <c r="C998" s="10" t="s">
        <v>914</v>
      </c>
      <c r="D998" s="28">
        <f>IF(J1005&gt;=J1001,J1005,(D997-J1004)/J1003)</f>
        <v>41.418573583496794</v>
      </c>
      <c r="G998" s="99" t="s">
        <v>915</v>
      </c>
      <c r="H998" s="91"/>
      <c r="I998" s="91"/>
      <c r="J998" s="28">
        <f>D998*Inputs!$D$15</f>
        <v>28.906022503922411</v>
      </c>
      <c r="K998" s="99" t="s">
        <v>916</v>
      </c>
      <c r="L998" s="91"/>
      <c r="M998" s="91"/>
    </row>
    <row r="999" spans="2:13" ht="15" customHeight="1" x14ac:dyDescent="0.2">
      <c r="B999" s="10" t="s">
        <v>917</v>
      </c>
      <c r="C999" s="10" t="s">
        <v>104</v>
      </c>
      <c r="D999" s="30">
        <f>Inputs!$D$81</f>
        <v>0.6</v>
      </c>
      <c r="G999" s="99" t="s">
        <v>918</v>
      </c>
      <c r="H999" s="91"/>
      <c r="I999" s="91"/>
      <c r="J999" s="28">
        <f>IF(-D1010/D1009&gt;=J1001,-D1010/D1009,-J1004/J1003)</f>
        <v>32.284876648616972</v>
      </c>
      <c r="K999" s="99" t="s">
        <v>919</v>
      </c>
      <c r="L999" s="91"/>
      <c r="M999" s="91"/>
    </row>
    <row r="1000" spans="2:13" ht="15" customHeight="1" x14ac:dyDescent="0.2">
      <c r="B1000" s="10" t="s">
        <v>920</v>
      </c>
      <c r="C1000" s="10" t="s">
        <v>104</v>
      </c>
      <c r="D1000" s="30">
        <f>Inputs!$D$82</f>
        <v>0.1</v>
      </c>
      <c r="G1000" s="99" t="s">
        <v>918</v>
      </c>
      <c r="H1000" s="91"/>
      <c r="I1000" s="91"/>
      <c r="J1000" s="28">
        <f>J999*Inputs!$D$15</f>
        <v>22.531615413069783</v>
      </c>
      <c r="K1000" s="99" t="s">
        <v>916</v>
      </c>
      <c r="L1000" s="91"/>
      <c r="M1000" s="91"/>
    </row>
    <row r="1001" spans="2:13" ht="15" customHeight="1" x14ac:dyDescent="0.2">
      <c r="B1001" s="3" t="s">
        <v>921</v>
      </c>
      <c r="C1001" s="10" t="s">
        <v>848</v>
      </c>
      <c r="D1001" s="28">
        <f>Capital!$D$13</f>
        <v>57.347931490590682</v>
      </c>
      <c r="G1001" s="99" t="s">
        <v>922</v>
      </c>
      <c r="H1001" s="91"/>
      <c r="I1001" s="91"/>
      <c r="J1001" s="28">
        <f>($D$1001/Inputs!$D$21+$D$1002/Inputs!$D$22)/$D$999</f>
        <v>24.113076913095469</v>
      </c>
      <c r="K1001" s="99" t="s">
        <v>919</v>
      </c>
      <c r="L1001" s="91"/>
      <c r="M1001" s="91"/>
    </row>
    <row r="1002" spans="2:13" ht="15" customHeight="1" x14ac:dyDescent="0.2">
      <c r="B1002" s="3" t="s">
        <v>923</v>
      </c>
      <c r="C1002" s="10" t="s">
        <v>848</v>
      </c>
      <c r="D1002" s="28">
        <f>Capital!$D$14</f>
        <v>2.6172655041921802</v>
      </c>
    </row>
    <row r="1003" spans="2:13" ht="15" customHeight="1" x14ac:dyDescent="0.2">
      <c r="B1003" s="10" t="s">
        <v>924</v>
      </c>
      <c r="C1003" s="10" t="s">
        <v>896</v>
      </c>
      <c r="D1003" s="28">
        <f>(M976*(Inputs!$D$7+Inputs!$D$20)*$D$999*(Inputs!$D$7-Inputs!$D$19)-M976*Inputs!$D$20*Inputs!$D$23)/($D$1000-Inputs!$D$20)/(Inputs!$D$7+$D$1000)^M974</f>
        <v>2068.2441036763203</v>
      </c>
      <c r="G1003" s="92" t="s">
        <v>910</v>
      </c>
      <c r="H1003" s="91"/>
      <c r="I1003" s="91"/>
      <c r="J1003" s="28">
        <f>SUM(D995:M995)+(M976*(Inputs!$D$7+Inputs!$D$20)*$D$999-M976*Inputs!$D$20*Inputs!$D$23)/($D$1000-Inputs!$D$20)/(Inputs!$D$7+$D$1000)^M974</f>
        <v>5667.7711754446318</v>
      </c>
      <c r="K1003" s="99" t="s">
        <v>896</v>
      </c>
      <c r="L1003" s="91"/>
      <c r="M1003" s="91"/>
    </row>
    <row r="1004" spans="2:13" ht="15" customHeight="1" x14ac:dyDescent="0.2">
      <c r="B1004" s="10" t="s">
        <v>925</v>
      </c>
      <c r="C1004" s="10" t="s">
        <v>110</v>
      </c>
      <c r="D1004" s="16">
        <f>(D1007*Inputs!$D$19-D1007-D1008)/($D$1000-Inputs!$D$20)/(Inputs!$D$7+$D$1000)^M974</f>
        <v>-57156.954988173631</v>
      </c>
      <c r="G1004" s="92" t="s">
        <v>926</v>
      </c>
      <c r="H1004" s="91"/>
      <c r="I1004" s="91"/>
      <c r="J1004" s="16">
        <f>SUM(D996:M996)-(D1007+D1008)/($D$1000-Inputs!$D$20)/(Inputs!$D$7+$D$1000)^M974</f>
        <v>-169036.01450291832</v>
      </c>
      <c r="K1004" s="99" t="s">
        <v>110</v>
      </c>
      <c r="L1004" s="91"/>
      <c r="M1004" s="91"/>
    </row>
    <row r="1005" spans="2:13" ht="15" customHeight="1" x14ac:dyDescent="0.2">
      <c r="B1005" s="10" t="s">
        <v>927</v>
      </c>
      <c r="C1005" s="10" t="s">
        <v>928</v>
      </c>
      <c r="D1005" s="16">
        <f>(M976*(Inputs!$D$7+Inputs!$D$20)*$D$998*$D$999-D1007)-MAX((M976*(Inputs!$D$7+Inputs!$D$20)*$D$998*$D$999-D1007),Inputs!$D$6)*Inputs!$D$19-D1008-M976*Inputs!$D$20*$D$998*Inputs!$D$23</f>
        <v>5397.6748025393954</v>
      </c>
      <c r="G1005" s="99" t="s">
        <v>929</v>
      </c>
      <c r="H1005" s="91"/>
      <c r="I1005" s="91"/>
      <c r="J1005" s="28">
        <f>(D997-D1010)/D1009</f>
        <v>41.418573583496794</v>
      </c>
      <c r="K1005" s="99" t="s">
        <v>919</v>
      </c>
      <c r="L1005" s="91"/>
      <c r="M1005" s="91"/>
    </row>
    <row r="1006" spans="2:13" ht="15" customHeight="1" x14ac:dyDescent="0.2">
      <c r="B1006" s="10" t="s">
        <v>930</v>
      </c>
      <c r="C1006" s="10" t="s">
        <v>110</v>
      </c>
      <c r="D1006" s="16">
        <f>D1005/($D$1000-Inputs!$D$20)</f>
        <v>71968.997367191929</v>
      </c>
      <c r="G1006" s="99" t="s">
        <v>931</v>
      </c>
      <c r="H1006" s="91"/>
      <c r="I1006" s="91"/>
      <c r="J1006" s="16">
        <f>MIN(D990:M990,(M976*(Inputs!$D$7+Inputs!$D$20)*$D$998*$D$999-D1007))</f>
        <v>1304.0100392506149</v>
      </c>
      <c r="K1006" s="99" t="s">
        <v>110</v>
      </c>
      <c r="L1006" s="91"/>
      <c r="M1006" s="91"/>
    </row>
    <row r="1007" spans="2:13" ht="15" customHeight="1" x14ac:dyDescent="0.2">
      <c r="B1007" s="10" t="s">
        <v>932</v>
      </c>
      <c r="C1007" s="10" t="s">
        <v>928</v>
      </c>
      <c r="D1007" s="16">
        <f>M976*(Inputs!$D$7+Inputs!$D$20)*($D$1001/Inputs!$D$21+$D$1002/Inputs!$D$22)</f>
        <v>13509.71303671543</v>
      </c>
      <c r="G1007" s="99" t="s">
        <v>933</v>
      </c>
      <c r="H1007" s="91"/>
      <c r="I1007" s="91"/>
      <c r="J1007" s="31" t="str">
        <f>IF(J1006&lt;Inputs!$D$6,"breached","satisfied")</f>
        <v>satisfied</v>
      </c>
      <c r="K1007" s="99" t="s">
        <v>934</v>
      </c>
      <c r="L1007" s="91"/>
      <c r="M1007" s="91"/>
    </row>
    <row r="1008" spans="2:13" ht="15" customHeight="1" x14ac:dyDescent="0.2">
      <c r="B1008" s="10" t="s">
        <v>935</v>
      </c>
      <c r="C1008" s="10" t="s">
        <v>928</v>
      </c>
      <c r="D1008" s="16">
        <f>M976*Inputs!$D$20*($D$1001+$D$1002)</f>
        <v>1365.7073615561799</v>
      </c>
    </row>
    <row r="1009" spans="1:13" ht="15" customHeight="1" x14ac:dyDescent="0.2">
      <c r="B1009" s="10" t="s">
        <v>936</v>
      </c>
      <c r="C1009" s="10" t="s">
        <v>896</v>
      </c>
      <c r="D1009" s="28">
        <f>SUM(D986:M986)+D1003</f>
        <v>3961.0138857044249</v>
      </c>
      <c r="G1009" s="99" t="s">
        <v>937</v>
      </c>
      <c r="H1009" s="91"/>
      <c r="I1009" s="91"/>
      <c r="J1009" s="16">
        <f>D1011-D997</f>
        <v>0</v>
      </c>
      <c r="K1009" s="99" t="s">
        <v>110</v>
      </c>
      <c r="L1009" s="91"/>
      <c r="M1009" s="91"/>
    </row>
    <row r="1010" spans="1:13" ht="15" customHeight="1" x14ac:dyDescent="0.2">
      <c r="B1010" s="10" t="s">
        <v>938</v>
      </c>
      <c r="C1010" s="10" t="s">
        <v>110</v>
      </c>
      <c r="D1010" s="16">
        <f>SUM(D987:M987)+D1004</f>
        <v>-127880.84470342637</v>
      </c>
    </row>
    <row r="1011" spans="1:13" ht="15" customHeight="1" x14ac:dyDescent="0.2">
      <c r="B1011" s="10" t="s">
        <v>939</v>
      </c>
      <c r="C1011" s="10" t="s">
        <v>110</v>
      </c>
      <c r="D1011" s="16">
        <f>SUM(D994:M994)+D1006/(Inputs!$D$7+$D$1000)^M974</f>
        <v>36178.700386874945</v>
      </c>
    </row>
    <row r="1012" spans="1:13" ht="15" customHeight="1" x14ac:dyDescent="0.2">
      <c r="B1012" s="10" t="s">
        <v>940</v>
      </c>
      <c r="C1012" s="10" t="s">
        <v>104</v>
      </c>
      <c r="D1012" s="30">
        <f>IF(ABS(D997)&gt;Inputs!$D$6,D1011/D997-Inputs!$D$7,Inputs!$D$6)</f>
        <v>1.1102230246251565E-15</v>
      </c>
    </row>
    <row r="1013" spans="1:13" ht="15" customHeight="1" x14ac:dyDescent="0.2">
      <c r="B1013" s="10" t="s">
        <v>941</v>
      </c>
      <c r="C1013" s="10" t="s">
        <v>104</v>
      </c>
      <c r="D1013" s="30">
        <f>IF(ABS(D1011)&gt;Inputs!$D$119,D1006/(Inputs!$D$7+$D$1000)^M974/D1011,Inputs!$D$6)</f>
        <v>0.78794332863651506</v>
      </c>
    </row>
    <row r="1014" spans="1:13" ht="15" customHeight="1" x14ac:dyDescent="0.2">
      <c r="B1014" s="10" t="s">
        <v>942</v>
      </c>
      <c r="C1014" s="10" t="s">
        <v>943</v>
      </c>
      <c r="D1014" s="26">
        <f>$D$998*Inputs!$D$8/Prices!$P$6/(Inputs!$D$26/Inputs!$D$25)/Inputs!$D$11/Inputs!$D$56</f>
        <v>7.5320934160012243</v>
      </c>
    </row>
    <row r="1018" spans="1:13" ht="15" customHeight="1" x14ac:dyDescent="0.2">
      <c r="A1018" s="104" t="s">
        <v>965</v>
      </c>
      <c r="B1018" s="10" t="s">
        <v>886</v>
      </c>
      <c r="C1018" s="10" t="s">
        <v>107</v>
      </c>
      <c r="D1018" s="28">
        <f>Inputs!$D$60</f>
        <v>1</v>
      </c>
      <c r="E1018" s="28">
        <f>Inputs!$D$62</f>
        <v>2</v>
      </c>
      <c r="F1018" s="28">
        <f>Inputs!$D$64</f>
        <v>3</v>
      </c>
      <c r="G1018" s="28">
        <f>Inputs!$D$66</f>
        <v>4</v>
      </c>
      <c r="H1018" s="28">
        <f>Inputs!$D$68</f>
        <v>5</v>
      </c>
      <c r="I1018" s="28">
        <f>Inputs!$D$70</f>
        <v>6</v>
      </c>
      <c r="J1018" s="28">
        <f>Inputs!$D$72</f>
        <v>7</v>
      </c>
      <c r="K1018" s="28">
        <f>Inputs!$D$74</f>
        <v>8</v>
      </c>
      <c r="L1018" s="28">
        <f>Inputs!$D$76</f>
        <v>9</v>
      </c>
      <c r="M1018" s="28">
        <f>Inputs!$D$78</f>
        <v>10</v>
      </c>
    </row>
    <row r="1019" spans="1:13" ht="15" customHeight="1" x14ac:dyDescent="0.2">
      <c r="A1019" s="91"/>
      <c r="B1019" s="10" t="s">
        <v>887</v>
      </c>
      <c r="C1019" s="10" t="s">
        <v>161</v>
      </c>
      <c r="D1019" s="29">
        <f>Inputs!$D$61</f>
        <v>46568</v>
      </c>
      <c r="E1019" s="29">
        <f>Inputs!$D$63</f>
        <v>46934</v>
      </c>
      <c r="F1019" s="29">
        <f>Inputs!$D$65</f>
        <v>47299</v>
      </c>
      <c r="G1019" s="29">
        <f>Inputs!$D$67</f>
        <v>47664</v>
      </c>
      <c r="H1019" s="29">
        <f>Inputs!$D$69</f>
        <v>48029</v>
      </c>
      <c r="I1019" s="29">
        <f>Inputs!$D$71</f>
        <v>48395</v>
      </c>
      <c r="J1019" s="29">
        <f>Inputs!$D$73</f>
        <v>48760</v>
      </c>
      <c r="K1019" s="29">
        <f>Inputs!$D$75</f>
        <v>49125</v>
      </c>
      <c r="L1019" s="29">
        <f>Inputs!$D$77</f>
        <v>49490</v>
      </c>
      <c r="M1019" s="29">
        <f>Inputs!$D$79</f>
        <v>49856</v>
      </c>
    </row>
    <row r="1020" spans="1:13" ht="15" customHeight="1" x14ac:dyDescent="0.2">
      <c r="A1020" s="91"/>
      <c r="B1020" s="10" t="s">
        <v>888</v>
      </c>
      <c r="C1020" s="10" t="s">
        <v>107</v>
      </c>
      <c r="D1020" s="28">
        <f>(D1019-Inputs!$D$13)/Inputs!$D$10</f>
        <v>0.71457905544147848</v>
      </c>
      <c r="E1020" s="28">
        <f>(E1019-Inputs!$D$13)/Inputs!$D$10</f>
        <v>1.7166324435318274</v>
      </c>
      <c r="F1020" s="28">
        <f>(F1019-Inputs!$D$13)/Inputs!$D$10</f>
        <v>2.7159479808350446</v>
      </c>
      <c r="G1020" s="28">
        <f>(G1019-Inputs!$D$13)/Inputs!$D$10</f>
        <v>3.7152635181382614</v>
      </c>
      <c r="H1020" s="28">
        <f>(H1019-Inputs!$D$13)/Inputs!$D$10</f>
        <v>4.7145790554414786</v>
      </c>
      <c r="I1020" s="28">
        <f>(I1019-Inputs!$D$13)/Inputs!$D$10</f>
        <v>5.7166324435318279</v>
      </c>
      <c r="J1020" s="28">
        <f>(J1019-Inputs!$D$13)/Inputs!$D$10</f>
        <v>6.7159479808350442</v>
      </c>
      <c r="K1020" s="28">
        <f>(K1019-Inputs!$D$13)/Inputs!$D$10</f>
        <v>7.7152635181382614</v>
      </c>
      <c r="L1020" s="28">
        <f>(L1019-Inputs!$D$13)/Inputs!$D$10</f>
        <v>8.7145790554414777</v>
      </c>
      <c r="M1020" s="28">
        <f>(M1019-Inputs!$D$13)/Inputs!$D$10</f>
        <v>9.716632443531827</v>
      </c>
    </row>
    <row r="1021" spans="1:13" ht="15" customHeight="1" x14ac:dyDescent="0.2">
      <c r="A1021" s="91"/>
      <c r="B1021" s="10" t="s">
        <v>889</v>
      </c>
      <c r="C1021" s="10" t="s">
        <v>107</v>
      </c>
      <c r="D1021" s="28">
        <f>D1020</f>
        <v>0.71457905544147848</v>
      </c>
      <c r="E1021" s="28">
        <f>Inputs!$D$7</f>
        <v>1</v>
      </c>
      <c r="F1021" s="28">
        <f>Inputs!$D$7</f>
        <v>1</v>
      </c>
      <c r="G1021" s="28">
        <f>Inputs!$D$7</f>
        <v>1</v>
      </c>
      <c r="H1021" s="28">
        <f>Inputs!$D$7</f>
        <v>1</v>
      </c>
      <c r="I1021" s="28">
        <f>Inputs!$D$7</f>
        <v>1</v>
      </c>
      <c r="J1021" s="28">
        <f>Inputs!$D$7</f>
        <v>1</v>
      </c>
      <c r="K1021" s="28">
        <f>Inputs!$D$7</f>
        <v>1</v>
      </c>
      <c r="L1021" s="28">
        <f>Inputs!$D$7</f>
        <v>1</v>
      </c>
      <c r="M1021" s="28">
        <f>Inputs!$D$7</f>
        <v>1</v>
      </c>
    </row>
    <row r="1022" spans="1:13" ht="15" customHeight="1" x14ac:dyDescent="0.2">
      <c r="A1022" s="91"/>
      <c r="B1022" s="3" t="s">
        <v>890</v>
      </c>
      <c r="C1022" s="10" t="s">
        <v>199</v>
      </c>
      <c r="D1022" s="28">
        <f>Inputs!$D$24+(Inputs!$D$93-Inputs!$D$24)*Inputs!$D$96</f>
        <v>279.10000000000002</v>
      </c>
      <c r="E1022" s="28">
        <f>Inputs!$D$24+(Inputs!$D$93-Inputs!$D$24)*Inputs!$D$97</f>
        <v>900.7</v>
      </c>
      <c r="F1022" s="28">
        <f>Inputs!$D$24+(Inputs!$D$93-Inputs!$D$24)*Inputs!$D$98</f>
        <v>1366.8999999999999</v>
      </c>
      <c r="G1022" s="28">
        <f>Inputs!$D$24+(Inputs!$D$93-Inputs!$D$24)*Inputs!$D$99</f>
        <v>1600</v>
      </c>
      <c r="H1022" s="28">
        <f>Inputs!$D$24+(Inputs!$D$93-Inputs!$D$24)*Inputs!$D$100</f>
        <v>1600</v>
      </c>
      <c r="I1022" s="28">
        <f>Inputs!$D$24+(Inputs!$D$93-Inputs!$D$24)*Inputs!$D$101</f>
        <v>1600</v>
      </c>
      <c r="J1022" s="28">
        <f>Inputs!$D$24+(Inputs!$D$93-Inputs!$D$24)*Inputs!$D$102</f>
        <v>1600</v>
      </c>
      <c r="K1022" s="28">
        <f>Inputs!$D$24+(Inputs!$D$93-Inputs!$D$24)*Inputs!$D$103</f>
        <v>1600</v>
      </c>
      <c r="L1022" s="28">
        <f>Inputs!$D$24+(Inputs!$D$93-Inputs!$D$24)*Inputs!$D$104</f>
        <v>1600</v>
      </c>
      <c r="M1022" s="28">
        <f>Inputs!$D$24+(Inputs!$D$93-Inputs!$D$24)*Inputs!$D$105</f>
        <v>1600</v>
      </c>
    </row>
    <row r="1023" spans="1:13" ht="15" customHeight="1" x14ac:dyDescent="0.2">
      <c r="A1023" s="91"/>
      <c r="B1023" s="10" t="s">
        <v>891</v>
      </c>
      <c r="C1023" s="10" t="s">
        <v>199</v>
      </c>
      <c r="D1023" s="28">
        <f>Inputs!$D$24</f>
        <v>46</v>
      </c>
      <c r="E1023" s="28">
        <f t="shared" ref="E1023:M1023" si="220">D1022</f>
        <v>279.10000000000002</v>
      </c>
      <c r="F1023" s="28">
        <f t="shared" si="220"/>
        <v>900.7</v>
      </c>
      <c r="G1023" s="28">
        <f t="shared" si="220"/>
        <v>1366.8999999999999</v>
      </c>
      <c r="H1023" s="28">
        <f t="shared" si="220"/>
        <v>1600</v>
      </c>
      <c r="I1023" s="28">
        <f t="shared" si="220"/>
        <v>1600</v>
      </c>
      <c r="J1023" s="28">
        <f t="shared" si="220"/>
        <v>1600</v>
      </c>
      <c r="K1023" s="28">
        <f t="shared" si="220"/>
        <v>1600</v>
      </c>
      <c r="L1023" s="28">
        <f t="shared" si="220"/>
        <v>1600</v>
      </c>
      <c r="M1023" s="28">
        <f t="shared" si="220"/>
        <v>1600</v>
      </c>
    </row>
    <row r="1024" spans="1:13" ht="15" customHeight="1" x14ac:dyDescent="0.2">
      <c r="B1024" s="10" t="s">
        <v>892</v>
      </c>
      <c r="C1024" s="10" t="s">
        <v>199</v>
      </c>
      <c r="D1024" s="28">
        <f>(D1023+D1022)*Inputs!$D$12</f>
        <v>162.55000000000001</v>
      </c>
      <c r="E1024" s="28">
        <f>(E1023+E1022)*Inputs!$D$12</f>
        <v>589.90000000000009</v>
      </c>
      <c r="F1024" s="28">
        <f>(F1023+F1022)*Inputs!$D$12</f>
        <v>1133.8</v>
      </c>
      <c r="G1024" s="28">
        <f>(G1023+G1022)*Inputs!$D$12</f>
        <v>1483.4499999999998</v>
      </c>
      <c r="H1024" s="28">
        <f>(H1023+H1022)*Inputs!$D$12</f>
        <v>1600</v>
      </c>
      <c r="I1024" s="28">
        <f>(I1023+I1022)*Inputs!$D$12</f>
        <v>1600</v>
      </c>
      <c r="J1024" s="28">
        <f>(J1023+J1022)*Inputs!$D$12</f>
        <v>1600</v>
      </c>
      <c r="K1024" s="28">
        <f>(K1023+K1022)*Inputs!$D$12</f>
        <v>1600</v>
      </c>
      <c r="L1024" s="28">
        <f>(L1023+L1022)*Inputs!$D$12</f>
        <v>1600</v>
      </c>
      <c r="M1024" s="28">
        <f>(M1023+M1022)*Inputs!$D$12</f>
        <v>1600</v>
      </c>
    </row>
    <row r="1025" spans="2:13" ht="15" customHeight="1" x14ac:dyDescent="0.2">
      <c r="B1025" s="10" t="s">
        <v>893</v>
      </c>
      <c r="C1025" s="10" t="s">
        <v>199</v>
      </c>
      <c r="D1025" s="28">
        <f t="shared" ref="D1025:M1025" si="221">D1022-D1023</f>
        <v>233.10000000000002</v>
      </c>
      <c r="E1025" s="28">
        <f t="shared" si="221"/>
        <v>621.6</v>
      </c>
      <c r="F1025" s="28">
        <f t="shared" si="221"/>
        <v>466.19999999999982</v>
      </c>
      <c r="G1025" s="28">
        <f t="shared" si="221"/>
        <v>233.10000000000014</v>
      </c>
      <c r="H1025" s="28">
        <f t="shared" si="221"/>
        <v>0</v>
      </c>
      <c r="I1025" s="28">
        <f t="shared" si="221"/>
        <v>0</v>
      </c>
      <c r="J1025" s="28">
        <f t="shared" si="221"/>
        <v>0</v>
      </c>
      <c r="K1025" s="28">
        <f t="shared" si="221"/>
        <v>0</v>
      </c>
      <c r="L1025" s="28">
        <f t="shared" si="221"/>
        <v>0</v>
      </c>
      <c r="M1025" s="28">
        <f t="shared" si="221"/>
        <v>0</v>
      </c>
    </row>
    <row r="1026" spans="2:13" ht="15" customHeight="1" x14ac:dyDescent="0.2">
      <c r="B1026" s="10" t="s">
        <v>894</v>
      </c>
      <c r="C1026" s="10" t="s">
        <v>199</v>
      </c>
      <c r="D1026" s="28">
        <f>IF(MOD(D1018,Inputs!$D$21)=Inputs!$D$6,Inputs!$D$24,Inputs!$D$6)+SUMPRODUCT(--(D1018&gt;$D$1018:$M$1018),--(MOD(D1018-$D$1018:$M$1018,Inputs!$D$21)=Inputs!$D$6),$D$1025:$M$1025)</f>
        <v>0</v>
      </c>
      <c r="E1026" s="28">
        <f>IF(MOD(E1018,Inputs!$D$21)=Inputs!$D$6,Inputs!$D$24,Inputs!$D$6)+SUMPRODUCT(--(E1018&gt;$D$1018:$M$1018),--(MOD(E1018-$D$1018:$M$1018,Inputs!$D$21)=Inputs!$D$6),$D$1025:$M$1025)</f>
        <v>0</v>
      </c>
      <c r="F1026" s="28">
        <f>IF(MOD(F1018,Inputs!$D$21)=Inputs!$D$6,Inputs!$D$24,Inputs!$D$6)+SUMPRODUCT(--(F1018&gt;$D$1018:$M$1018),--(MOD(F1018-$D$1018:$M$1018,Inputs!$D$21)=Inputs!$D$6),$D$1025:$M$1025)</f>
        <v>0</v>
      </c>
      <c r="G1026" s="28">
        <f>IF(MOD(G1018,Inputs!$D$21)=Inputs!$D$6,Inputs!$D$24,Inputs!$D$6)+SUMPRODUCT(--(G1018&gt;$D$1018:$M$1018),--(MOD(G1018-$D$1018:$M$1018,Inputs!$D$21)=Inputs!$D$6),$D$1025:$M$1025)</f>
        <v>46</v>
      </c>
      <c r="H1026" s="28">
        <f>IF(MOD(H1018,Inputs!$D$21)=Inputs!$D$6,Inputs!$D$24,Inputs!$D$6)+SUMPRODUCT(--(H1018&gt;$D$1018:$M$1018),--(MOD(H1018-$D$1018:$M$1018,Inputs!$D$21)=Inputs!$D$6),$D$1025:$M$1025)</f>
        <v>233.10000000000002</v>
      </c>
      <c r="I1026" s="28">
        <f>IF(MOD(I1018,Inputs!$D$21)=Inputs!$D$6,Inputs!$D$24,Inputs!$D$6)+SUMPRODUCT(--(I1018&gt;$D$1018:$M$1018),--(MOD(I1018-$D$1018:$M$1018,Inputs!$D$21)=Inputs!$D$6),$D$1025:$M$1025)</f>
        <v>621.6</v>
      </c>
      <c r="J1026" s="28">
        <f>IF(MOD(J1018,Inputs!$D$21)=Inputs!$D$6,Inputs!$D$24,Inputs!$D$6)+SUMPRODUCT(--(J1018&gt;$D$1018:$M$1018),--(MOD(J1018-$D$1018:$M$1018,Inputs!$D$21)=Inputs!$D$6),$D$1025:$M$1025)</f>
        <v>466.19999999999982</v>
      </c>
      <c r="K1026" s="28">
        <f>IF(MOD(K1018,Inputs!$D$21)=Inputs!$D$6,Inputs!$D$24,Inputs!$D$6)+SUMPRODUCT(--(K1018&gt;$D$1018:$M$1018),--(MOD(K1018-$D$1018:$M$1018,Inputs!$D$21)=Inputs!$D$6),$D$1025:$M$1025)</f>
        <v>279.10000000000014</v>
      </c>
      <c r="L1026" s="28">
        <f>IF(MOD(L1018,Inputs!$D$21)=Inputs!$D$6,Inputs!$D$24,Inputs!$D$6)+SUMPRODUCT(--(L1018&gt;$D$1018:$M$1018),--(MOD(L1018-$D$1018:$M$1018,Inputs!$D$21)=Inputs!$D$6),$D$1025:$M$1025)</f>
        <v>233.10000000000002</v>
      </c>
      <c r="M1026" s="28">
        <f>IF(MOD(M1018,Inputs!$D$21)=Inputs!$D$6,Inputs!$D$24,Inputs!$D$6)+SUMPRODUCT(--(M1018&gt;$D$1018:$M$1018),--(MOD(M1018-$D$1018:$M$1018,Inputs!$D$21)=Inputs!$D$6),$D$1025:$M$1025)</f>
        <v>621.6</v>
      </c>
    </row>
    <row r="1027" spans="2:13" ht="15" customHeight="1" x14ac:dyDescent="0.2">
      <c r="B1027" s="10" t="s">
        <v>895</v>
      </c>
      <c r="C1027" s="10" t="s">
        <v>896</v>
      </c>
      <c r="D1027" s="28">
        <f t="shared" ref="D1027:M1027" si="222">D1024*D1021</f>
        <v>116.15482546201234</v>
      </c>
      <c r="E1027" s="28">
        <f t="shared" si="222"/>
        <v>589.90000000000009</v>
      </c>
      <c r="F1027" s="28">
        <f t="shared" si="222"/>
        <v>1133.8</v>
      </c>
      <c r="G1027" s="28">
        <f t="shared" si="222"/>
        <v>1483.4499999999998</v>
      </c>
      <c r="H1027" s="28">
        <f t="shared" si="222"/>
        <v>1600</v>
      </c>
      <c r="I1027" s="28">
        <f t="shared" si="222"/>
        <v>1600</v>
      </c>
      <c r="J1027" s="28">
        <f t="shared" si="222"/>
        <v>1600</v>
      </c>
      <c r="K1027" s="28">
        <f t="shared" si="222"/>
        <v>1600</v>
      </c>
      <c r="L1027" s="28">
        <f t="shared" si="222"/>
        <v>1600</v>
      </c>
      <c r="M1027" s="28">
        <f t="shared" si="222"/>
        <v>1600</v>
      </c>
    </row>
    <row r="1028" spans="2:13" ht="15" customHeight="1" x14ac:dyDescent="0.2">
      <c r="B1028" s="10" t="s">
        <v>897</v>
      </c>
      <c r="C1028" s="10" t="s">
        <v>110</v>
      </c>
      <c r="D1028" s="16">
        <f>D1027*($D$1047/Inputs!$D$21+$D$1048/Inputs!$D$22)</f>
        <v>1680.51014411561</v>
      </c>
      <c r="E1028" s="16">
        <f>E1027*($D$1047/Inputs!$D$21+$D$1048/Inputs!$D$22)</f>
        <v>8534.5824426210111</v>
      </c>
      <c r="F1028" s="16">
        <f>F1027*($D$1047/Inputs!$D$21+$D$1048/Inputs!$D$22)</f>
        <v>16403.643962440583</v>
      </c>
      <c r="G1028" s="16">
        <f>G1027*($D$1047/Inputs!$D$21+$D$1048/Inputs!$D$22)</f>
        <v>21462.326368038881</v>
      </c>
      <c r="H1028" s="16">
        <f>H1027*($D$1047/Inputs!$D$21+$D$1048/Inputs!$D$22)</f>
        <v>23148.553836571649</v>
      </c>
      <c r="I1028" s="16">
        <f>I1027*($D$1047/Inputs!$D$21+$D$1048/Inputs!$D$22)</f>
        <v>23148.553836571649</v>
      </c>
      <c r="J1028" s="16">
        <f>J1027*($D$1047/Inputs!$D$21+$D$1048/Inputs!$D$22)</f>
        <v>23148.553836571649</v>
      </c>
      <c r="K1028" s="16">
        <f>K1027*($D$1047/Inputs!$D$21+$D$1048/Inputs!$D$22)</f>
        <v>23148.553836571649</v>
      </c>
      <c r="L1028" s="16">
        <f>L1027*($D$1047/Inputs!$D$21+$D$1048/Inputs!$D$22)</f>
        <v>23148.553836571649</v>
      </c>
      <c r="M1028" s="16">
        <f>M1027*($D$1047/Inputs!$D$21+$D$1048/Inputs!$D$22)</f>
        <v>23148.553836571649</v>
      </c>
    </row>
    <row r="1029" spans="2:13" ht="15" customHeight="1" x14ac:dyDescent="0.2">
      <c r="B1029" s="10" t="s">
        <v>898</v>
      </c>
      <c r="C1029" s="10" t="s">
        <v>110</v>
      </c>
      <c r="D1029" s="16">
        <f t="shared" ref="D1029:M1029" si="223">D1025*($D$1047+$D$1048)</f>
        <v>13977.887419483886</v>
      </c>
      <c r="E1029" s="16">
        <f t="shared" si="223"/>
        <v>37274.36645195703</v>
      </c>
      <c r="F1029" s="16">
        <f t="shared" si="223"/>
        <v>27955.774838967762</v>
      </c>
      <c r="G1029" s="16">
        <f t="shared" si="223"/>
        <v>13977.887419483894</v>
      </c>
      <c r="H1029" s="16">
        <f t="shared" si="223"/>
        <v>0</v>
      </c>
      <c r="I1029" s="16">
        <f t="shared" si="223"/>
        <v>0</v>
      </c>
      <c r="J1029" s="16">
        <f t="shared" si="223"/>
        <v>0</v>
      </c>
      <c r="K1029" s="16">
        <f t="shared" si="223"/>
        <v>0</v>
      </c>
      <c r="L1029" s="16">
        <f t="shared" si="223"/>
        <v>0</v>
      </c>
      <c r="M1029" s="16">
        <f t="shared" si="223"/>
        <v>0</v>
      </c>
    </row>
    <row r="1030" spans="2:13" ht="15" customHeight="1" x14ac:dyDescent="0.2">
      <c r="B1030" s="10" t="s">
        <v>899</v>
      </c>
      <c r="C1030" s="10" t="s">
        <v>110</v>
      </c>
      <c r="D1030" s="16">
        <f t="shared" ref="D1030:M1030" si="224">D1026*$D$1047</f>
        <v>0</v>
      </c>
      <c r="E1030" s="16">
        <f t="shared" si="224"/>
        <v>0</v>
      </c>
      <c r="F1030" s="16">
        <f t="shared" si="224"/>
        <v>0</v>
      </c>
      <c r="G1030" s="16">
        <f t="shared" si="224"/>
        <v>2638.0048485671714</v>
      </c>
      <c r="H1030" s="16">
        <f t="shared" si="224"/>
        <v>13367.802830456689</v>
      </c>
      <c r="I1030" s="16">
        <f t="shared" si="224"/>
        <v>35647.47421455117</v>
      </c>
      <c r="J1030" s="16">
        <f t="shared" si="224"/>
        <v>26735.605660913367</v>
      </c>
      <c r="K1030" s="16">
        <f t="shared" si="224"/>
        <v>16005.807679023867</v>
      </c>
      <c r="L1030" s="16">
        <f t="shared" si="224"/>
        <v>13367.802830456689</v>
      </c>
      <c r="M1030" s="16">
        <f t="shared" si="224"/>
        <v>35647.47421455117</v>
      </c>
    </row>
    <row r="1031" spans="2:13" ht="15" customHeight="1" x14ac:dyDescent="0.2">
      <c r="B1031" s="10" t="s">
        <v>900</v>
      </c>
      <c r="C1031" s="10" t="s">
        <v>199</v>
      </c>
      <c r="D1031" s="28">
        <f>D1025*Inputs!$D$23</f>
        <v>5.8275000000000006</v>
      </c>
      <c r="E1031" s="28">
        <f>E1025*Inputs!$D$23</f>
        <v>15.540000000000001</v>
      </c>
      <c r="F1031" s="28">
        <f>F1025*Inputs!$D$23</f>
        <v>11.654999999999996</v>
      </c>
      <c r="G1031" s="28">
        <f>G1025*Inputs!$D$23</f>
        <v>5.8275000000000041</v>
      </c>
      <c r="H1031" s="28">
        <f>H1025*Inputs!$D$23</f>
        <v>0</v>
      </c>
      <c r="I1031" s="28">
        <f>I1025*Inputs!$D$23</f>
        <v>0</v>
      </c>
      <c r="J1031" s="28">
        <f>J1025*Inputs!$D$23</f>
        <v>0</v>
      </c>
      <c r="K1031" s="28">
        <f>K1025*Inputs!$D$23</f>
        <v>0</v>
      </c>
      <c r="L1031" s="28">
        <f>L1025*Inputs!$D$23</f>
        <v>0</v>
      </c>
      <c r="M1031" s="28">
        <f>M1025*Inputs!$D$23</f>
        <v>0</v>
      </c>
    </row>
    <row r="1032" spans="2:13" ht="15" customHeight="1" x14ac:dyDescent="0.2">
      <c r="B1032" s="3" t="s">
        <v>901</v>
      </c>
      <c r="C1032" s="10" t="s">
        <v>896</v>
      </c>
      <c r="D1032" s="28">
        <f>(D1027*$D$1045*(Inputs!$D$7-Inputs!$D$19)-D1031)/(Inputs!$D$7+$D$1046)^D1020</f>
        <v>50.541318213721269</v>
      </c>
      <c r="E1032" s="28">
        <f>(E1027*$D$1045*(Inputs!$D$7-Inputs!$D$19)-E1031)/(Inputs!$D$7+$D$1046)^E1020</f>
        <v>238.4864713152904</v>
      </c>
      <c r="F1032" s="28">
        <f>(F1027*$D$1045*(Inputs!$D$7-Inputs!$D$19)-F1031)/(Inputs!$D$7+$D$1046)^F1020</f>
        <v>418.74491871678316</v>
      </c>
      <c r="G1032" s="28">
        <f>(G1027*$D$1045*(Inputs!$D$7-Inputs!$D$19)-G1031)/(Inputs!$D$7+$D$1046)^G1020</f>
        <v>490.87392073514752</v>
      </c>
      <c r="H1032" s="28">
        <f>(H1027*$D$1045*(Inputs!$D$7-Inputs!$D$19)-H1031)/(Inputs!$D$7+$D$1046)^H1020</f>
        <v>472.10300862628105</v>
      </c>
      <c r="I1032" s="28">
        <f>(I1027*$D$1045*(Inputs!$D$7-Inputs!$D$19)-I1031)/(Inputs!$D$7+$D$1046)^I1020</f>
        <v>417.68543753228789</v>
      </c>
      <c r="J1032" s="28">
        <f>(J1027*$D$1045*(Inputs!$D$7-Inputs!$D$19)-J1031)/(Inputs!$D$7+$D$1046)^J1020</f>
        <v>369.66405292491049</v>
      </c>
      <c r="K1032" s="28">
        <f>(K1027*$D$1045*(Inputs!$D$7-Inputs!$D$19)-K1031)/(Inputs!$D$7+$D$1046)^K1020</f>
        <v>327.16369723641031</v>
      </c>
      <c r="L1032" s="28">
        <f>(L1027*$D$1045*(Inputs!$D$7-Inputs!$D$19)-L1031)/(Inputs!$D$7+$D$1046)^L1020</f>
        <v>289.54961658427663</v>
      </c>
      <c r="M1032" s="28">
        <f>(M1027*$D$1045*(Inputs!$D$7-Inputs!$D$19)-M1031)/(Inputs!$D$7+$D$1046)^M1020</f>
        <v>256.17430111750662</v>
      </c>
    </row>
    <row r="1033" spans="2:13" ht="15" customHeight="1" x14ac:dyDescent="0.2">
      <c r="B1033" s="10" t="s">
        <v>902</v>
      </c>
      <c r="C1033" s="10" t="s">
        <v>110</v>
      </c>
      <c r="D1033" s="16">
        <f>(D1028*Inputs!$D$19-D1029-D1030)/(Inputs!$D$7+$D$1046)^D1020</f>
        <v>-12346.937146613671</v>
      </c>
      <c r="E1033" s="16">
        <f>(E1028*Inputs!$D$19-E1029-E1030)/(Inputs!$D$7+$D$1046)^E1020</f>
        <v>-28144.165592831177</v>
      </c>
      <c r="F1033" s="16">
        <f>(F1028*Inputs!$D$19-F1029-F1030)/(Inputs!$D$7+$D$1046)^F1020</f>
        <v>-16528.13772562052</v>
      </c>
      <c r="G1033" s="16">
        <f>(G1028*Inputs!$D$19-G1029-G1030)/(Inputs!$D$7+$D$1046)^G1020</f>
        <v>-6462.9033875784253</v>
      </c>
      <c r="H1033" s="16">
        <f>(H1028*Inputs!$D$19-H1029-H1030)/(Inputs!$D$7+$D$1046)^H1020</f>
        <v>-3610.0349541710043</v>
      </c>
      <c r="I1033" s="16">
        <f>(I1028*Inputs!$D$19-I1029-I1030)/(Inputs!$D$7+$D$1046)^I1020</f>
        <v>-14272.365134506323</v>
      </c>
      <c r="J1033" s="16">
        <f>(J1028*Inputs!$D$19-J1029-J1030)/(Inputs!$D$7+$D$1046)^J1020</f>
        <v>-8709.5665200501735</v>
      </c>
      <c r="K1033" s="16">
        <f>(K1028*Inputs!$D$19-K1029-K1030)/(Inputs!$D$7+$D$1046)^K1020</f>
        <v>-3529.1777141306115</v>
      </c>
      <c r="L1033" s="16">
        <f>(L1028*Inputs!$D$19-L1029-L1030)/(Inputs!$D$7+$D$1046)^L1020</f>
        <v>-2214.1020449702382</v>
      </c>
      <c r="M1033" s="16">
        <f>(M1028*Inputs!$D$19-M1029-M1030)/(Inputs!$D$7+$D$1046)^M1020</f>
        <v>-8753.5088252709138</v>
      </c>
    </row>
    <row r="1034" spans="2:13" ht="15" customHeight="1" x14ac:dyDescent="0.2">
      <c r="B1034" s="10" t="s">
        <v>903</v>
      </c>
      <c r="C1034" s="10" t="s">
        <v>110</v>
      </c>
      <c r="D1034" s="16">
        <f t="shared" ref="D1034:M1034" si="225">D1027*$D$1044</f>
        <v>3904.9574110923018</v>
      </c>
      <c r="E1034" s="16">
        <f t="shared" si="225"/>
        <v>19831.585710201121</v>
      </c>
      <c r="F1034" s="16">
        <f t="shared" si="225"/>
        <v>38116.71788137994</v>
      </c>
      <c r="G1034" s="16">
        <f t="shared" si="225"/>
        <v>49871.445705709179</v>
      </c>
      <c r="H1034" s="16">
        <f t="shared" si="225"/>
        <v>53789.68831381893</v>
      </c>
      <c r="I1034" s="16">
        <f t="shared" si="225"/>
        <v>53789.68831381893</v>
      </c>
      <c r="J1034" s="16">
        <f t="shared" si="225"/>
        <v>53789.68831381893</v>
      </c>
      <c r="K1034" s="16">
        <f t="shared" si="225"/>
        <v>53789.68831381893</v>
      </c>
      <c r="L1034" s="16">
        <f t="shared" si="225"/>
        <v>53789.68831381893</v>
      </c>
      <c r="M1034" s="16">
        <f t="shared" si="225"/>
        <v>53789.68831381893</v>
      </c>
    </row>
    <row r="1035" spans="2:13" ht="15" customHeight="1" x14ac:dyDescent="0.2">
      <c r="B1035" s="10" t="s">
        <v>904</v>
      </c>
      <c r="C1035" s="10" t="s">
        <v>110</v>
      </c>
      <c r="D1035" s="16">
        <f t="shared" ref="D1035:M1035" si="226">D1034*$D$1045</f>
        <v>2928.7180583192262</v>
      </c>
      <c r="E1035" s="16">
        <f t="shared" si="226"/>
        <v>14873.689282650841</v>
      </c>
      <c r="F1035" s="16">
        <f t="shared" si="226"/>
        <v>28587.538411034955</v>
      </c>
      <c r="G1035" s="16">
        <f t="shared" si="226"/>
        <v>37403.584279281888</v>
      </c>
      <c r="H1035" s="16">
        <f t="shared" si="226"/>
        <v>40342.266235364194</v>
      </c>
      <c r="I1035" s="16">
        <f t="shared" si="226"/>
        <v>40342.266235364194</v>
      </c>
      <c r="J1035" s="16">
        <f t="shared" si="226"/>
        <v>40342.266235364194</v>
      </c>
      <c r="K1035" s="16">
        <f t="shared" si="226"/>
        <v>40342.266235364194</v>
      </c>
      <c r="L1035" s="16">
        <f t="shared" si="226"/>
        <v>40342.266235364194</v>
      </c>
      <c r="M1035" s="16">
        <f t="shared" si="226"/>
        <v>40342.266235364194</v>
      </c>
    </row>
    <row r="1036" spans="2:13" ht="15" customHeight="1" x14ac:dyDescent="0.2">
      <c r="B1036" s="10" t="s">
        <v>905</v>
      </c>
      <c r="C1036" s="10" t="s">
        <v>110</v>
      </c>
      <c r="D1036" s="16">
        <f t="shared" ref="D1036:M1036" si="227">D1035-D1028</f>
        <v>1248.2079142036162</v>
      </c>
      <c r="E1036" s="16">
        <f t="shared" si="227"/>
        <v>6339.10684002983</v>
      </c>
      <c r="F1036" s="16">
        <f t="shared" si="227"/>
        <v>12183.894448594372</v>
      </c>
      <c r="G1036" s="16">
        <f t="shared" si="227"/>
        <v>15941.257911243007</v>
      </c>
      <c r="H1036" s="16">
        <f t="shared" si="227"/>
        <v>17193.712398792544</v>
      </c>
      <c r="I1036" s="16">
        <f t="shared" si="227"/>
        <v>17193.712398792544</v>
      </c>
      <c r="J1036" s="16">
        <f t="shared" si="227"/>
        <v>17193.712398792544</v>
      </c>
      <c r="K1036" s="16">
        <f t="shared" si="227"/>
        <v>17193.712398792544</v>
      </c>
      <c r="L1036" s="16">
        <f t="shared" si="227"/>
        <v>17193.712398792544</v>
      </c>
      <c r="M1036" s="16">
        <f t="shared" si="227"/>
        <v>17193.712398792544</v>
      </c>
    </row>
    <row r="1037" spans="2:13" ht="15" customHeight="1" x14ac:dyDescent="0.2">
      <c r="B1037" s="10" t="s">
        <v>906</v>
      </c>
      <c r="C1037" s="10" t="s">
        <v>110</v>
      </c>
      <c r="D1037" s="16">
        <f>MAX(D1036,Inputs!$D$6)*Inputs!$D$19</f>
        <v>374.46237426108485</v>
      </c>
      <c r="E1037" s="16">
        <f>MAX(E1036,Inputs!$D$6)*Inputs!$D$19</f>
        <v>1901.7320520089488</v>
      </c>
      <c r="F1037" s="16">
        <f>MAX(F1036,Inputs!$D$6)*Inputs!$D$19</f>
        <v>3655.1683345783117</v>
      </c>
      <c r="G1037" s="16">
        <f>MAX(G1036,Inputs!$D$6)*Inputs!$D$19</f>
        <v>4782.3773733729022</v>
      </c>
      <c r="H1037" s="16">
        <f>MAX(H1036,Inputs!$D$6)*Inputs!$D$19</f>
        <v>5158.1137196377631</v>
      </c>
      <c r="I1037" s="16">
        <f>MAX(I1036,Inputs!$D$6)*Inputs!$D$19</f>
        <v>5158.1137196377631</v>
      </c>
      <c r="J1037" s="16">
        <f>MAX(J1036,Inputs!$D$6)*Inputs!$D$19</f>
        <v>5158.1137196377631</v>
      </c>
      <c r="K1037" s="16">
        <f>MAX(K1036,Inputs!$D$6)*Inputs!$D$19</f>
        <v>5158.1137196377631</v>
      </c>
      <c r="L1037" s="16">
        <f>MAX(L1036,Inputs!$D$6)*Inputs!$D$19</f>
        <v>5158.1137196377631</v>
      </c>
      <c r="M1037" s="16">
        <f>MAX(M1036,Inputs!$D$6)*Inputs!$D$19</f>
        <v>5158.1137196377631</v>
      </c>
    </row>
    <row r="1038" spans="2:13" ht="15" customHeight="1" x14ac:dyDescent="0.2">
      <c r="B1038" s="10" t="s">
        <v>907</v>
      </c>
      <c r="C1038" s="10" t="s">
        <v>110</v>
      </c>
      <c r="D1038" s="16">
        <f t="shared" ref="D1038:M1038" si="228">D1031*$D$1044</f>
        <v>195.9121304054874</v>
      </c>
      <c r="E1038" s="16">
        <f t="shared" si="228"/>
        <v>522.43234774796645</v>
      </c>
      <c r="F1038" s="16">
        <f t="shared" si="228"/>
        <v>391.82426081097464</v>
      </c>
      <c r="G1038" s="16">
        <f t="shared" si="228"/>
        <v>195.91213040548752</v>
      </c>
      <c r="H1038" s="16">
        <f t="shared" si="228"/>
        <v>0</v>
      </c>
      <c r="I1038" s="16">
        <f t="shared" si="228"/>
        <v>0</v>
      </c>
      <c r="J1038" s="16">
        <f t="shared" si="228"/>
        <v>0</v>
      </c>
      <c r="K1038" s="16">
        <f t="shared" si="228"/>
        <v>0</v>
      </c>
      <c r="L1038" s="16">
        <f t="shared" si="228"/>
        <v>0</v>
      </c>
      <c r="M1038" s="16">
        <f t="shared" si="228"/>
        <v>0</v>
      </c>
    </row>
    <row r="1039" spans="2:13" ht="15" customHeight="1" x14ac:dyDescent="0.2">
      <c r="B1039" s="10" t="s">
        <v>908</v>
      </c>
      <c r="C1039" s="10" t="s">
        <v>110</v>
      </c>
      <c r="D1039" s="16">
        <f t="shared" ref="D1039:M1039" si="229">D1035-D1037-D1029-D1030-D1038</f>
        <v>-11619.543865831232</v>
      </c>
      <c r="E1039" s="16">
        <f t="shared" si="229"/>
        <v>-24824.841569063105</v>
      </c>
      <c r="F1039" s="16">
        <f t="shared" si="229"/>
        <v>-3415.2290233220942</v>
      </c>
      <c r="G1039" s="16">
        <f t="shared" si="229"/>
        <v>15809.402507452431</v>
      </c>
      <c r="H1039" s="16">
        <f t="shared" si="229"/>
        <v>21816.349685269743</v>
      </c>
      <c r="I1039" s="16">
        <f t="shared" si="229"/>
        <v>-463.32169882473681</v>
      </c>
      <c r="J1039" s="16">
        <f t="shared" si="229"/>
        <v>8448.5468548130666</v>
      </c>
      <c r="K1039" s="16">
        <f t="shared" si="229"/>
        <v>19178.344836702567</v>
      </c>
      <c r="L1039" s="16">
        <f t="shared" si="229"/>
        <v>21816.349685269743</v>
      </c>
      <c r="M1039" s="16">
        <f t="shared" si="229"/>
        <v>-463.32169882473681</v>
      </c>
    </row>
    <row r="1040" spans="2:13" ht="15" customHeight="1" x14ac:dyDescent="0.2">
      <c r="B1040" s="10" t="s">
        <v>909</v>
      </c>
      <c r="C1040" s="10" t="s">
        <v>110</v>
      </c>
      <c r="D1040" s="16">
        <f>D1039/(Inputs!$D$7+$D$1046)^D1020</f>
        <v>-10647.811050560167</v>
      </c>
      <c r="E1040" s="16">
        <f>E1039/(Inputs!$D$7+$D$1046)^E1020</f>
        <v>-20126.594993386181</v>
      </c>
      <c r="F1040" s="16">
        <f>F1039/(Inputs!$D$7+$D$1046)^F1020</f>
        <v>-2450.5385626385123</v>
      </c>
      <c r="G1040" s="16">
        <f>G1039/(Inputs!$D$7+$D$1046)^G1020</f>
        <v>10039.568611000228</v>
      </c>
      <c r="H1040" s="16">
        <f>H1039/(Inputs!$D$7+$D$1046)^H1020</f>
        <v>12261.386099593887</v>
      </c>
      <c r="I1040" s="16">
        <f>I1039/(Inputs!$D$7+$D$1046)^I1020</f>
        <v>-230.38419820453944</v>
      </c>
      <c r="J1040" s="16">
        <f>J1039/(Inputs!$D$7+$D$1046)^J1020</f>
        <v>3718.0048472335757</v>
      </c>
      <c r="K1040" s="16">
        <f>K1039/(Inputs!$D$7+$D$1046)^K1020</f>
        <v>7469.5930995838471</v>
      </c>
      <c r="L1040" s="16">
        <f>L1039/(Inputs!$D$7+$D$1046)^L1020</f>
        <v>7520.1377221885214</v>
      </c>
      <c r="M1040" s="16">
        <f>M1039/(Inputs!$D$7+$D$1046)^M1020</f>
        <v>-141.29894332024148</v>
      </c>
    </row>
    <row r="1041" spans="2:13" ht="15" customHeight="1" x14ac:dyDescent="0.2">
      <c r="B1041" s="3" t="s">
        <v>910</v>
      </c>
      <c r="C1041" s="10" t="s">
        <v>896</v>
      </c>
      <c r="D1041" s="28">
        <f>(D1027*$D$1045-D1031)/(Inputs!$D$7+$D$1046)^D1020</f>
        <v>74.490519309095831</v>
      </c>
      <c r="E1041" s="28">
        <f>(E1027*$D$1045-E1031)/(Inputs!$D$7+$D$1046)^E1020</f>
        <v>346.09451503846662</v>
      </c>
      <c r="F1041" s="28">
        <f>(F1027*$D$1045-F1031)/(Inputs!$D$7+$D$1046)^F1020</f>
        <v>601.79110266312398</v>
      </c>
      <c r="G1041" s="28">
        <f>(G1027*$D$1045-G1031)/(Inputs!$D$7+$D$1046)^G1020</f>
        <v>702.83446516544734</v>
      </c>
      <c r="H1041" s="28">
        <f>(H1027*$D$1045-H1031)/(Inputs!$D$7+$D$1046)^H1020</f>
        <v>674.43286946611579</v>
      </c>
      <c r="I1041" s="28">
        <f>(I1027*$D$1045-I1031)/(Inputs!$D$7+$D$1046)^I1020</f>
        <v>596.69348218898278</v>
      </c>
      <c r="J1041" s="28">
        <f>(J1027*$D$1045-J1031)/(Inputs!$D$7+$D$1046)^J1020</f>
        <v>528.09150417844353</v>
      </c>
      <c r="K1041" s="28">
        <f>(K1027*$D$1045-K1031)/(Inputs!$D$7+$D$1046)^K1020</f>
        <v>467.37671033772904</v>
      </c>
      <c r="L1041" s="28">
        <f>(L1027*$D$1045-L1031)/(Inputs!$D$7+$D$1046)^L1020</f>
        <v>413.64230940610946</v>
      </c>
      <c r="M1041" s="28">
        <f>(M1027*$D$1045-M1031)/(Inputs!$D$7+$D$1046)^M1020</f>
        <v>365.96328731072373</v>
      </c>
    </row>
    <row r="1042" spans="2:13" ht="15" customHeight="1" x14ac:dyDescent="0.2">
      <c r="B1042" s="10" t="s">
        <v>911</v>
      </c>
      <c r="C1042" s="10" t="s">
        <v>110</v>
      </c>
      <c r="D1042" s="16">
        <f>(-D1029-D1030)/(Inputs!$D$7+$D$1046)^D1020</f>
        <v>-12808.928289029636</v>
      </c>
      <c r="E1042" s="16">
        <f>(-E1029-E1030)/(Inputs!$D$7+$D$1046)^E1020</f>
        <v>-30219.974420642928</v>
      </c>
      <c r="F1042" s="16">
        <f>(-F1029-F1030)/(Inputs!$D$7+$D$1046)^F1020</f>
        <v>-20059.183095337907</v>
      </c>
      <c r="G1042" s="16">
        <f>(-G1029-G1030)/(Inputs!$D$7+$D$1046)^G1020</f>
        <v>-10551.720115889953</v>
      </c>
      <c r="H1042" s="16">
        <f>(-H1029-H1030)/(Inputs!$D$7+$D$1046)^H1020</f>
        <v>-7513.0713511684744</v>
      </c>
      <c r="I1042" s="16">
        <f>(-I1029-I1030)/(Inputs!$D$7+$D$1046)^I1020</f>
        <v>-17725.512933602091</v>
      </c>
      <c r="J1042" s="16">
        <f>(-J1029-J1030)/(Inputs!$D$7+$D$1046)^J1020</f>
        <v>-11765.705173827875</v>
      </c>
      <c r="K1042" s="16">
        <f>(-K1029-K1030)/(Inputs!$D$7+$D$1046)^K1020</f>
        <v>-6233.95144943378</v>
      </c>
      <c r="L1042" s="16">
        <f>(-L1029-L1030)/(Inputs!$D$7+$D$1046)^L1020</f>
        <v>-4607.9073620630261</v>
      </c>
      <c r="M1042" s="16">
        <f>(-M1029-M1030)/(Inputs!$D$7+$D$1046)^M1020</f>
        <v>-10871.389039901173</v>
      </c>
    </row>
    <row r="1043" spans="2:13" ht="15" customHeight="1" x14ac:dyDescent="0.2">
      <c r="B1043" s="10" t="s">
        <v>912</v>
      </c>
      <c r="C1043" s="10" t="s">
        <v>110</v>
      </c>
      <c r="D1043" s="16">
        <f>Prices!K9</f>
        <v>36178.700386874909</v>
      </c>
    </row>
    <row r="1044" spans="2:13" ht="15" customHeight="1" x14ac:dyDescent="0.2">
      <c r="B1044" s="3" t="s">
        <v>913</v>
      </c>
      <c r="C1044" s="10" t="s">
        <v>914</v>
      </c>
      <c r="D1044" s="28">
        <f>IF(J1051&gt;=J1047,J1051,(D1043-J1050)/J1049)</f>
        <v>33.618555196136832</v>
      </c>
      <c r="G1044" s="99" t="s">
        <v>915</v>
      </c>
      <c r="H1044" s="91"/>
      <c r="I1044" s="91"/>
      <c r="J1044" s="28">
        <f>D1044*Inputs!$D$15</f>
        <v>23.462389671383892</v>
      </c>
      <c r="K1044" s="99" t="s">
        <v>916</v>
      </c>
      <c r="L1044" s="91"/>
      <c r="M1044" s="91"/>
    </row>
    <row r="1045" spans="2:13" ht="15" customHeight="1" x14ac:dyDescent="0.2">
      <c r="B1045" s="10" t="s">
        <v>917</v>
      </c>
      <c r="C1045" s="10" t="s">
        <v>104</v>
      </c>
      <c r="D1045" s="30">
        <f>Inputs!$D$94</f>
        <v>0.75</v>
      </c>
      <c r="G1045" s="99" t="s">
        <v>918</v>
      </c>
      <c r="H1045" s="91"/>
      <c r="I1045" s="91"/>
      <c r="J1045" s="28">
        <f>IF(-D1056/D1055&gt;=J1047,-D1056/D1055,-J1050/J1049)</f>
        <v>27.411702074287536</v>
      </c>
      <c r="K1045" s="99" t="s">
        <v>919</v>
      </c>
      <c r="L1045" s="91"/>
      <c r="M1045" s="91"/>
    </row>
    <row r="1046" spans="2:13" ht="15" customHeight="1" x14ac:dyDescent="0.2">
      <c r="B1046" s="10" t="s">
        <v>920</v>
      </c>
      <c r="C1046" s="10" t="s">
        <v>104</v>
      </c>
      <c r="D1046" s="30">
        <f>Inputs!$D$95</f>
        <v>0.13</v>
      </c>
      <c r="G1046" s="99" t="s">
        <v>918</v>
      </c>
      <c r="H1046" s="91"/>
      <c r="I1046" s="91"/>
      <c r="J1046" s="28">
        <f>J1045*Inputs!$D$15</f>
        <v>19.13062687764527</v>
      </c>
      <c r="K1046" s="99" t="s">
        <v>916</v>
      </c>
      <c r="L1046" s="91"/>
      <c r="M1046" s="91"/>
    </row>
    <row r="1047" spans="2:13" ht="15" customHeight="1" x14ac:dyDescent="0.2">
      <c r="B1047" s="3" t="s">
        <v>921</v>
      </c>
      <c r="C1047" s="10" t="s">
        <v>848</v>
      </c>
      <c r="D1047" s="28">
        <f>Capital!$D$13</f>
        <v>57.347931490590682</v>
      </c>
      <c r="G1047" s="99" t="s">
        <v>922</v>
      </c>
      <c r="H1047" s="91"/>
      <c r="I1047" s="91"/>
      <c r="J1047" s="28">
        <f>($D$1047/Inputs!$D$21+$D$1048/Inputs!$D$22)/$D$1045</f>
        <v>19.290461530476374</v>
      </c>
      <c r="K1047" s="99" t="s">
        <v>919</v>
      </c>
      <c r="L1047" s="91"/>
      <c r="M1047" s="91"/>
    </row>
    <row r="1048" spans="2:13" ht="15" customHeight="1" x14ac:dyDescent="0.2">
      <c r="B1048" s="3" t="s">
        <v>923</v>
      </c>
      <c r="C1048" s="10" t="s">
        <v>848</v>
      </c>
      <c r="D1048" s="28">
        <f>Capital!$D$14</f>
        <v>2.6172655041921802</v>
      </c>
    </row>
    <row r="1049" spans="2:13" ht="15" customHeight="1" x14ac:dyDescent="0.2">
      <c r="B1049" s="10" t="s">
        <v>924</v>
      </c>
      <c r="C1049" s="10" t="s">
        <v>896</v>
      </c>
      <c r="D1049" s="28">
        <f>(M1022*(Inputs!$D$7+Inputs!$D$20)*$D$1045*(Inputs!$D$7-Inputs!$D$19)-M1022*Inputs!$D$20*Inputs!$D$23)/($D$1046-Inputs!$D$20)/(Inputs!$D$7+$D$1046)^M1020</f>
        <v>2497.8446594223992</v>
      </c>
      <c r="G1049" s="92" t="s">
        <v>910</v>
      </c>
      <c r="H1049" s="91"/>
      <c r="I1049" s="91"/>
      <c r="J1049" s="28">
        <f>SUM(D1041:M1041)+(M1022*(Inputs!$D$7+Inputs!$D$20)*$D$1045-M1022*Inputs!$D$20*Inputs!$D$23)/($D$1046-Inputs!$D$20)/(Inputs!$D$7+$D$1046)^M1020</f>
        <v>8341.0050516109004</v>
      </c>
      <c r="K1049" s="99" t="s">
        <v>896</v>
      </c>
      <c r="L1049" s="91"/>
      <c r="M1049" s="91"/>
    </row>
    <row r="1050" spans="2:13" ht="15" customHeight="1" x14ac:dyDescent="0.2">
      <c r="B1050" s="10" t="s">
        <v>925</v>
      </c>
      <c r="C1050" s="10" t="s">
        <v>110</v>
      </c>
      <c r="D1050" s="16">
        <f>(D1053*Inputs!$D$19-D1053-D1054)/($D$1046-Inputs!$D$20)/(Inputs!$D$7+$D$1046)^M1020</f>
        <v>-55207.290798783099</v>
      </c>
      <c r="G1050" s="92" t="s">
        <v>926</v>
      </c>
      <c r="H1050" s="91"/>
      <c r="I1050" s="91"/>
      <c r="J1050" s="16">
        <f>SUM(D1042:M1042)-(D1053+D1054)/($D$1046-Inputs!$D$20)/(Inputs!$D$7+$D$1046)^M1020</f>
        <v>-208239.17898202292</v>
      </c>
      <c r="K1050" s="99" t="s">
        <v>110</v>
      </c>
      <c r="L1050" s="91"/>
      <c r="M1050" s="91"/>
    </row>
    <row r="1051" spans="2:13" ht="15" customHeight="1" x14ac:dyDescent="0.2">
      <c r="B1051" s="10" t="s">
        <v>927</v>
      </c>
      <c r="C1051" s="10" t="s">
        <v>928</v>
      </c>
      <c r="D1051" s="16">
        <f>(M1022*(Inputs!$D$7+Inputs!$D$20)*$D$1044*$D$1045-D1053)-MAX((M1022*(Inputs!$D$7+Inputs!$D$20)*$D$1044*$D$1045-D1053),Inputs!$D$6)*Inputs!$D$19-D1054-M1022*Inputs!$D$20*$D$1044*Inputs!$D$23</f>
        <v>9904.262211146206</v>
      </c>
      <c r="G1051" s="99" t="s">
        <v>929</v>
      </c>
      <c r="H1051" s="91"/>
      <c r="I1051" s="91"/>
      <c r="J1051" s="28">
        <f>(D1043-D1056)/D1055</f>
        <v>33.618555196136832</v>
      </c>
      <c r="K1051" s="99" t="s">
        <v>919</v>
      </c>
      <c r="L1051" s="91"/>
      <c r="M1051" s="91"/>
    </row>
    <row r="1052" spans="2:13" ht="15" customHeight="1" x14ac:dyDescent="0.2">
      <c r="B1052" s="10" t="s">
        <v>930</v>
      </c>
      <c r="C1052" s="10" t="s">
        <v>110</v>
      </c>
      <c r="D1052" s="16">
        <f>D1051/($D$1046-Inputs!$D$20)</f>
        <v>94326.306772821001</v>
      </c>
      <c r="G1052" s="99" t="s">
        <v>931</v>
      </c>
      <c r="H1052" s="91"/>
      <c r="I1052" s="91"/>
      <c r="J1052" s="16">
        <f>MIN(D1036:M1036,(M1022*(Inputs!$D$7+Inputs!$D$20)*$D$1044*$D$1045-D1053))</f>
        <v>1248.2079142036162</v>
      </c>
      <c r="K1052" s="99" t="s">
        <v>110</v>
      </c>
      <c r="L1052" s="91"/>
      <c r="M1052" s="91"/>
    </row>
    <row r="1053" spans="2:13" ht="15" customHeight="1" x14ac:dyDescent="0.2">
      <c r="B1053" s="10" t="s">
        <v>932</v>
      </c>
      <c r="C1053" s="10" t="s">
        <v>928</v>
      </c>
      <c r="D1053" s="16">
        <f>M1022*(Inputs!$D$7+Inputs!$D$20)*($D$1047/Inputs!$D$21+$D$1048/Inputs!$D$22)</f>
        <v>23727.267682485937</v>
      </c>
      <c r="G1053" s="99" t="s">
        <v>933</v>
      </c>
      <c r="H1053" s="91"/>
      <c r="I1053" s="91"/>
      <c r="J1053" s="31" t="str">
        <f>IF(J1052&lt;Inputs!$D$6,"breached","satisfied")</f>
        <v>satisfied</v>
      </c>
      <c r="K1053" s="99" t="s">
        <v>934</v>
      </c>
      <c r="L1053" s="91"/>
      <c r="M1053" s="91"/>
    </row>
    <row r="1054" spans="2:13" ht="15" customHeight="1" x14ac:dyDescent="0.2">
      <c r="B1054" s="10" t="s">
        <v>935</v>
      </c>
      <c r="C1054" s="10" t="s">
        <v>928</v>
      </c>
      <c r="D1054" s="16">
        <f>M1022*Inputs!$D$20*($D$1047+$D$1048)</f>
        <v>2398.6078797913146</v>
      </c>
    </row>
    <row r="1055" spans="2:13" ht="15" customHeight="1" x14ac:dyDescent="0.2">
      <c r="B1055" s="10" t="s">
        <v>936</v>
      </c>
      <c r="C1055" s="10" t="s">
        <v>896</v>
      </c>
      <c r="D1055" s="28">
        <f>SUM(D1032:M1032)+D1049</f>
        <v>5828.8314024250149</v>
      </c>
      <c r="G1055" s="99" t="s">
        <v>937</v>
      </c>
      <c r="H1055" s="91"/>
      <c r="I1055" s="91"/>
      <c r="J1055" s="16">
        <f>D1057-D1043</f>
        <v>0</v>
      </c>
      <c r="K1055" s="99" t="s">
        <v>110</v>
      </c>
      <c r="L1055" s="91"/>
      <c r="M1055" s="91"/>
    </row>
    <row r="1056" spans="2:13" ht="15" customHeight="1" x14ac:dyDescent="0.2">
      <c r="B1056" s="10" t="s">
        <v>938</v>
      </c>
      <c r="C1056" s="10" t="s">
        <v>110</v>
      </c>
      <c r="D1056" s="16">
        <f>SUM(D1033:M1033)+D1050</f>
        <v>-159778.18984452612</v>
      </c>
    </row>
    <row r="1057" spans="1:13" ht="15" customHeight="1" x14ac:dyDescent="0.2">
      <c r="B1057" s="10" t="s">
        <v>939</v>
      </c>
      <c r="C1057" s="10" t="s">
        <v>110</v>
      </c>
      <c r="D1057" s="16">
        <f>SUM(D1040:M1040)+D1052/(Inputs!$D$7+$D$1046)^M1020</f>
        <v>36178.70038687488</v>
      </c>
    </row>
    <row r="1058" spans="1:13" ht="15" customHeight="1" x14ac:dyDescent="0.2">
      <c r="B1058" s="10" t="s">
        <v>940</v>
      </c>
      <c r="C1058" s="10" t="s">
        <v>104</v>
      </c>
      <c r="D1058" s="30">
        <f>IF(ABS(D1043)&gt;Inputs!$D$6,D1057/D1043-Inputs!$D$7,Inputs!$D$6)</f>
        <v>-7.7715611723760958E-16</v>
      </c>
    </row>
    <row r="1059" spans="1:13" ht="15" customHeight="1" x14ac:dyDescent="0.2">
      <c r="B1059" s="10" t="s">
        <v>941</v>
      </c>
      <c r="C1059" s="10" t="s">
        <v>104</v>
      </c>
      <c r="D1059" s="30">
        <f>IF(ABS(D1057)&gt;Inputs!$D$119,D1052/(Inputs!$D$7+$D$1046)^M1020/D1057,Inputs!$D$6)</f>
        <v>0.79512634361572021</v>
      </c>
    </row>
    <row r="1060" spans="1:13" ht="15" customHeight="1" x14ac:dyDescent="0.2">
      <c r="B1060" s="10" t="s">
        <v>942</v>
      </c>
      <c r="C1060" s="10" t="s">
        <v>943</v>
      </c>
      <c r="D1060" s="26">
        <f>$D$1044*Inputs!$D$8/Prices!$P$6/(Inputs!$D$26/Inputs!$D$25)/Inputs!$D$11/Inputs!$D$56</f>
        <v>6.113636379529753</v>
      </c>
    </row>
    <row r="1064" spans="1:13" ht="15" customHeight="1" x14ac:dyDescent="0.2">
      <c r="A1064" s="104" t="s">
        <v>966</v>
      </c>
      <c r="B1064" s="10" t="s">
        <v>886</v>
      </c>
      <c r="C1064" s="10" t="s">
        <v>107</v>
      </c>
      <c r="D1064" s="28">
        <f>Inputs!$D$60</f>
        <v>1</v>
      </c>
      <c r="E1064" s="28">
        <f>Inputs!$D$62</f>
        <v>2</v>
      </c>
      <c r="F1064" s="28">
        <f>Inputs!$D$64</f>
        <v>3</v>
      </c>
      <c r="G1064" s="28">
        <f>Inputs!$D$66</f>
        <v>4</v>
      </c>
      <c r="H1064" s="28">
        <f>Inputs!$D$68</f>
        <v>5</v>
      </c>
      <c r="I1064" s="28">
        <f>Inputs!$D$70</f>
        <v>6</v>
      </c>
      <c r="J1064" s="28">
        <f>Inputs!$D$72</f>
        <v>7</v>
      </c>
      <c r="K1064" s="28">
        <f>Inputs!$D$74</f>
        <v>8</v>
      </c>
      <c r="L1064" s="28">
        <f>Inputs!$D$76</f>
        <v>9</v>
      </c>
      <c r="M1064" s="28">
        <f>Inputs!$D$78</f>
        <v>10</v>
      </c>
    </row>
    <row r="1065" spans="1:13" ht="15" customHeight="1" x14ac:dyDescent="0.2">
      <c r="A1065" s="91"/>
      <c r="B1065" s="10" t="s">
        <v>887</v>
      </c>
      <c r="C1065" s="10" t="s">
        <v>161</v>
      </c>
      <c r="D1065" s="29">
        <f>Inputs!$D$61</f>
        <v>46568</v>
      </c>
      <c r="E1065" s="29">
        <f>Inputs!$D$63</f>
        <v>46934</v>
      </c>
      <c r="F1065" s="29">
        <f>Inputs!$D$65</f>
        <v>47299</v>
      </c>
      <c r="G1065" s="29">
        <f>Inputs!$D$67</f>
        <v>47664</v>
      </c>
      <c r="H1065" s="29">
        <f>Inputs!$D$69</f>
        <v>48029</v>
      </c>
      <c r="I1065" s="29">
        <f>Inputs!$D$71</f>
        <v>48395</v>
      </c>
      <c r="J1065" s="29">
        <f>Inputs!$D$73</f>
        <v>48760</v>
      </c>
      <c r="K1065" s="29">
        <f>Inputs!$D$75</f>
        <v>49125</v>
      </c>
      <c r="L1065" s="29">
        <f>Inputs!$D$77</f>
        <v>49490</v>
      </c>
      <c r="M1065" s="29">
        <f>Inputs!$D$79</f>
        <v>49856</v>
      </c>
    </row>
    <row r="1066" spans="1:13" ht="15" customHeight="1" x14ac:dyDescent="0.2">
      <c r="A1066" s="91"/>
      <c r="B1066" s="10" t="s">
        <v>888</v>
      </c>
      <c r="C1066" s="10" t="s">
        <v>107</v>
      </c>
      <c r="D1066" s="28">
        <f>(D1065-Inputs!$D$13)/Inputs!$D$10</f>
        <v>0.71457905544147848</v>
      </c>
      <c r="E1066" s="28">
        <f>(E1065-Inputs!$D$13)/Inputs!$D$10</f>
        <v>1.7166324435318274</v>
      </c>
      <c r="F1066" s="28">
        <f>(F1065-Inputs!$D$13)/Inputs!$D$10</f>
        <v>2.7159479808350446</v>
      </c>
      <c r="G1066" s="28">
        <f>(G1065-Inputs!$D$13)/Inputs!$D$10</f>
        <v>3.7152635181382614</v>
      </c>
      <c r="H1066" s="28">
        <f>(H1065-Inputs!$D$13)/Inputs!$D$10</f>
        <v>4.7145790554414786</v>
      </c>
      <c r="I1066" s="28">
        <f>(I1065-Inputs!$D$13)/Inputs!$D$10</f>
        <v>5.7166324435318279</v>
      </c>
      <c r="J1066" s="28">
        <f>(J1065-Inputs!$D$13)/Inputs!$D$10</f>
        <v>6.7159479808350442</v>
      </c>
      <c r="K1066" s="28">
        <f>(K1065-Inputs!$D$13)/Inputs!$D$10</f>
        <v>7.7152635181382614</v>
      </c>
      <c r="L1066" s="28">
        <f>(L1065-Inputs!$D$13)/Inputs!$D$10</f>
        <v>8.7145790554414777</v>
      </c>
      <c r="M1066" s="28">
        <f>(M1065-Inputs!$D$13)/Inputs!$D$10</f>
        <v>9.716632443531827</v>
      </c>
    </row>
    <row r="1067" spans="1:13" ht="15" customHeight="1" x14ac:dyDescent="0.2">
      <c r="A1067" s="91"/>
      <c r="B1067" s="10" t="s">
        <v>889</v>
      </c>
      <c r="C1067" s="10" t="s">
        <v>107</v>
      </c>
      <c r="D1067" s="28">
        <f>D1066</f>
        <v>0.71457905544147848</v>
      </c>
      <c r="E1067" s="28">
        <f>Inputs!$D$7</f>
        <v>1</v>
      </c>
      <c r="F1067" s="28">
        <f>Inputs!$D$7</f>
        <v>1</v>
      </c>
      <c r="G1067" s="28">
        <f>Inputs!$D$7</f>
        <v>1</v>
      </c>
      <c r="H1067" s="28">
        <f>Inputs!$D$7</f>
        <v>1</v>
      </c>
      <c r="I1067" s="28">
        <f>Inputs!$D$7</f>
        <v>1</v>
      </c>
      <c r="J1067" s="28">
        <f>Inputs!$D$7</f>
        <v>1</v>
      </c>
      <c r="K1067" s="28">
        <f>Inputs!$D$7</f>
        <v>1</v>
      </c>
      <c r="L1067" s="28">
        <f>Inputs!$D$7</f>
        <v>1</v>
      </c>
      <c r="M1067" s="28">
        <f>Inputs!$D$7</f>
        <v>1</v>
      </c>
    </row>
    <row r="1068" spans="1:13" ht="15" customHeight="1" x14ac:dyDescent="0.2">
      <c r="A1068" s="91"/>
      <c r="B1068" s="3" t="s">
        <v>890</v>
      </c>
      <c r="C1068" s="10" t="s">
        <v>199</v>
      </c>
      <c r="D1068" s="28">
        <f>Inputs!$D$24+(Inputs!$D$106-Inputs!$D$24)*Inputs!$D$109</f>
        <v>170.32</v>
      </c>
      <c r="E1068" s="28">
        <f>Inputs!$D$24+(Inputs!$D$106-Inputs!$D$24)*Inputs!$D$110</f>
        <v>481.12000000000006</v>
      </c>
      <c r="F1068" s="28">
        <f>Inputs!$D$24+(Inputs!$D$106-Inputs!$D$24)*Inputs!$D$111</f>
        <v>823</v>
      </c>
      <c r="G1068" s="28">
        <f>Inputs!$D$24+(Inputs!$D$106-Inputs!$D$24)*Inputs!$D$112</f>
        <v>1211.5</v>
      </c>
      <c r="H1068" s="28">
        <f>Inputs!$D$24+(Inputs!$D$106-Inputs!$D$24)*Inputs!$D$113</f>
        <v>1600</v>
      </c>
      <c r="I1068" s="28">
        <f>Inputs!$D$24+(Inputs!$D$106-Inputs!$D$24)*Inputs!$D$114</f>
        <v>1600</v>
      </c>
      <c r="J1068" s="28">
        <f>Inputs!$D$24+(Inputs!$D$106-Inputs!$D$24)*Inputs!$D$115</f>
        <v>1600</v>
      </c>
      <c r="K1068" s="28">
        <f>Inputs!$D$24+(Inputs!$D$106-Inputs!$D$24)*Inputs!$D$116</f>
        <v>1600</v>
      </c>
      <c r="L1068" s="28">
        <f>Inputs!$D$24+(Inputs!$D$106-Inputs!$D$24)*Inputs!$D$117</f>
        <v>1600</v>
      </c>
      <c r="M1068" s="28">
        <f>Inputs!$D$24+(Inputs!$D$106-Inputs!$D$24)*Inputs!$D$118</f>
        <v>1600</v>
      </c>
    </row>
    <row r="1069" spans="1:13" ht="15" customHeight="1" x14ac:dyDescent="0.2">
      <c r="A1069" s="91"/>
      <c r="B1069" s="10" t="s">
        <v>891</v>
      </c>
      <c r="C1069" s="10" t="s">
        <v>199</v>
      </c>
      <c r="D1069" s="28">
        <f>Inputs!$D$24</f>
        <v>46</v>
      </c>
      <c r="E1069" s="28">
        <f t="shared" ref="E1069:M1069" si="230">D1068</f>
        <v>170.32</v>
      </c>
      <c r="F1069" s="28">
        <f t="shared" si="230"/>
        <v>481.12000000000006</v>
      </c>
      <c r="G1069" s="28">
        <f t="shared" si="230"/>
        <v>823</v>
      </c>
      <c r="H1069" s="28">
        <f t="shared" si="230"/>
        <v>1211.5</v>
      </c>
      <c r="I1069" s="28">
        <f t="shared" si="230"/>
        <v>1600</v>
      </c>
      <c r="J1069" s="28">
        <f t="shared" si="230"/>
        <v>1600</v>
      </c>
      <c r="K1069" s="28">
        <f t="shared" si="230"/>
        <v>1600</v>
      </c>
      <c r="L1069" s="28">
        <f t="shared" si="230"/>
        <v>1600</v>
      </c>
      <c r="M1069" s="28">
        <f t="shared" si="230"/>
        <v>1600</v>
      </c>
    </row>
    <row r="1070" spans="1:13" ht="15" customHeight="1" x14ac:dyDescent="0.2">
      <c r="B1070" s="10" t="s">
        <v>892</v>
      </c>
      <c r="C1070" s="10" t="s">
        <v>199</v>
      </c>
      <c r="D1070" s="28">
        <f>(D1069+D1068)*Inputs!$D$12</f>
        <v>108.16</v>
      </c>
      <c r="E1070" s="28">
        <f>(E1069+E1068)*Inputs!$D$12</f>
        <v>325.72000000000003</v>
      </c>
      <c r="F1070" s="28">
        <f>(F1069+F1068)*Inputs!$D$12</f>
        <v>652.06000000000006</v>
      </c>
      <c r="G1070" s="28">
        <f>(G1069+G1068)*Inputs!$D$12</f>
        <v>1017.25</v>
      </c>
      <c r="H1070" s="28">
        <f>(H1069+H1068)*Inputs!$D$12</f>
        <v>1405.75</v>
      </c>
      <c r="I1070" s="28">
        <f>(I1069+I1068)*Inputs!$D$12</f>
        <v>1600</v>
      </c>
      <c r="J1070" s="28">
        <f>(J1069+J1068)*Inputs!$D$12</f>
        <v>1600</v>
      </c>
      <c r="K1070" s="28">
        <f>(K1069+K1068)*Inputs!$D$12</f>
        <v>1600</v>
      </c>
      <c r="L1070" s="28">
        <f>(L1069+L1068)*Inputs!$D$12</f>
        <v>1600</v>
      </c>
      <c r="M1070" s="28">
        <f>(M1069+M1068)*Inputs!$D$12</f>
        <v>1600</v>
      </c>
    </row>
    <row r="1071" spans="1:13" ht="15" customHeight="1" x14ac:dyDescent="0.2">
      <c r="B1071" s="10" t="s">
        <v>893</v>
      </c>
      <c r="C1071" s="10" t="s">
        <v>199</v>
      </c>
      <c r="D1071" s="28">
        <f t="shared" ref="D1071:M1071" si="231">D1068-D1069</f>
        <v>124.32</v>
      </c>
      <c r="E1071" s="28">
        <f t="shared" si="231"/>
        <v>310.80000000000007</v>
      </c>
      <c r="F1071" s="28">
        <f t="shared" si="231"/>
        <v>341.87999999999994</v>
      </c>
      <c r="G1071" s="28">
        <f t="shared" si="231"/>
        <v>388.5</v>
      </c>
      <c r="H1071" s="28">
        <f t="shared" si="231"/>
        <v>388.5</v>
      </c>
      <c r="I1071" s="28">
        <f t="shared" si="231"/>
        <v>0</v>
      </c>
      <c r="J1071" s="28">
        <f t="shared" si="231"/>
        <v>0</v>
      </c>
      <c r="K1071" s="28">
        <f t="shared" si="231"/>
        <v>0</v>
      </c>
      <c r="L1071" s="28">
        <f t="shared" si="231"/>
        <v>0</v>
      </c>
      <c r="M1071" s="28">
        <f t="shared" si="231"/>
        <v>0</v>
      </c>
    </row>
    <row r="1072" spans="1:13" ht="15" customHeight="1" x14ac:dyDescent="0.2">
      <c r="B1072" s="10" t="s">
        <v>894</v>
      </c>
      <c r="C1072" s="10" t="s">
        <v>199</v>
      </c>
      <c r="D1072" s="28">
        <f>IF(MOD(D1064,Inputs!$D$21)=Inputs!$D$6,Inputs!$D$24,Inputs!$D$6)+SUMPRODUCT(--(D1064&gt;$D$1064:$M$1064),--(MOD(D1064-$D$1064:$M$1064,Inputs!$D$21)=Inputs!$D$6),$D$1071:$M$1071)</f>
        <v>0</v>
      </c>
      <c r="E1072" s="28">
        <f>IF(MOD(E1064,Inputs!$D$21)=Inputs!$D$6,Inputs!$D$24,Inputs!$D$6)+SUMPRODUCT(--(E1064&gt;$D$1064:$M$1064),--(MOD(E1064-$D$1064:$M$1064,Inputs!$D$21)=Inputs!$D$6),$D$1071:$M$1071)</f>
        <v>0</v>
      </c>
      <c r="F1072" s="28">
        <f>IF(MOD(F1064,Inputs!$D$21)=Inputs!$D$6,Inputs!$D$24,Inputs!$D$6)+SUMPRODUCT(--(F1064&gt;$D$1064:$M$1064),--(MOD(F1064-$D$1064:$M$1064,Inputs!$D$21)=Inputs!$D$6),$D$1071:$M$1071)</f>
        <v>0</v>
      </c>
      <c r="G1072" s="28">
        <f>IF(MOD(G1064,Inputs!$D$21)=Inputs!$D$6,Inputs!$D$24,Inputs!$D$6)+SUMPRODUCT(--(G1064&gt;$D$1064:$M$1064),--(MOD(G1064-$D$1064:$M$1064,Inputs!$D$21)=Inputs!$D$6),$D$1071:$M$1071)</f>
        <v>46</v>
      </c>
      <c r="H1072" s="28">
        <f>IF(MOD(H1064,Inputs!$D$21)=Inputs!$D$6,Inputs!$D$24,Inputs!$D$6)+SUMPRODUCT(--(H1064&gt;$D$1064:$M$1064),--(MOD(H1064-$D$1064:$M$1064,Inputs!$D$21)=Inputs!$D$6),$D$1071:$M$1071)</f>
        <v>124.32</v>
      </c>
      <c r="I1072" s="28">
        <f>IF(MOD(I1064,Inputs!$D$21)=Inputs!$D$6,Inputs!$D$24,Inputs!$D$6)+SUMPRODUCT(--(I1064&gt;$D$1064:$M$1064),--(MOD(I1064-$D$1064:$M$1064,Inputs!$D$21)=Inputs!$D$6),$D$1071:$M$1071)</f>
        <v>310.80000000000007</v>
      </c>
      <c r="J1072" s="28">
        <f>IF(MOD(J1064,Inputs!$D$21)=Inputs!$D$6,Inputs!$D$24,Inputs!$D$6)+SUMPRODUCT(--(J1064&gt;$D$1064:$M$1064),--(MOD(J1064-$D$1064:$M$1064,Inputs!$D$21)=Inputs!$D$6),$D$1071:$M$1071)</f>
        <v>341.87999999999994</v>
      </c>
      <c r="K1072" s="28">
        <f>IF(MOD(K1064,Inputs!$D$21)=Inputs!$D$6,Inputs!$D$24,Inputs!$D$6)+SUMPRODUCT(--(K1064&gt;$D$1064:$M$1064),--(MOD(K1064-$D$1064:$M$1064,Inputs!$D$21)=Inputs!$D$6),$D$1071:$M$1071)</f>
        <v>434.5</v>
      </c>
      <c r="L1072" s="28">
        <f>IF(MOD(L1064,Inputs!$D$21)=Inputs!$D$6,Inputs!$D$24,Inputs!$D$6)+SUMPRODUCT(--(L1064&gt;$D$1064:$M$1064),--(MOD(L1064-$D$1064:$M$1064,Inputs!$D$21)=Inputs!$D$6),$D$1071:$M$1071)</f>
        <v>512.81999999999994</v>
      </c>
      <c r="M1072" s="28">
        <f>IF(MOD(M1064,Inputs!$D$21)=Inputs!$D$6,Inputs!$D$24,Inputs!$D$6)+SUMPRODUCT(--(M1064&gt;$D$1064:$M$1064),--(MOD(M1064-$D$1064:$M$1064,Inputs!$D$21)=Inputs!$D$6),$D$1071:$M$1071)</f>
        <v>310.80000000000007</v>
      </c>
    </row>
    <row r="1073" spans="2:13" ht="15" customHeight="1" x14ac:dyDescent="0.2">
      <c r="B1073" s="10" t="s">
        <v>895</v>
      </c>
      <c r="C1073" s="10" t="s">
        <v>896</v>
      </c>
      <c r="D1073" s="28">
        <f t="shared" ref="D1073:M1073" si="232">D1070*D1067</f>
        <v>77.288870636550314</v>
      </c>
      <c r="E1073" s="28">
        <f t="shared" si="232"/>
        <v>325.72000000000003</v>
      </c>
      <c r="F1073" s="28">
        <f t="shared" si="232"/>
        <v>652.06000000000006</v>
      </c>
      <c r="G1073" s="28">
        <f t="shared" si="232"/>
        <v>1017.25</v>
      </c>
      <c r="H1073" s="28">
        <f t="shared" si="232"/>
        <v>1405.75</v>
      </c>
      <c r="I1073" s="28">
        <f t="shared" si="232"/>
        <v>1600</v>
      </c>
      <c r="J1073" s="28">
        <f t="shared" si="232"/>
        <v>1600</v>
      </c>
      <c r="K1073" s="28">
        <f t="shared" si="232"/>
        <v>1600</v>
      </c>
      <c r="L1073" s="28">
        <f t="shared" si="232"/>
        <v>1600</v>
      </c>
      <c r="M1073" s="28">
        <f t="shared" si="232"/>
        <v>1600</v>
      </c>
    </row>
    <row r="1074" spans="2:13" ht="15" customHeight="1" x14ac:dyDescent="0.2">
      <c r="B1074" s="10" t="s">
        <v>897</v>
      </c>
      <c r="C1074" s="10" t="s">
        <v>110</v>
      </c>
      <c r="D1074" s="16">
        <f>D1073*($D$1093/Inputs!$D$21+$D$1094/Inputs!$D$22)</f>
        <v>1118.2034893112541</v>
      </c>
      <c r="E1074" s="16">
        <f>E1073*($D$1093/Inputs!$D$21+$D$1094/Inputs!$D$22)</f>
        <v>4712.466847280074</v>
      </c>
      <c r="F1074" s="16">
        <f>F1073*($D$1093/Inputs!$D$21+$D$1094/Inputs!$D$22)</f>
        <v>9433.9037591718188</v>
      </c>
      <c r="G1074" s="16">
        <f>G1073*($D$1093/Inputs!$D$21+$D$1094/Inputs!$D$22)</f>
        <v>14717.416493907818</v>
      </c>
      <c r="H1074" s="16">
        <f>H1073*($D$1093/Inputs!$D$21+$D$1094/Inputs!$D$22)</f>
        <v>20338.17472235037</v>
      </c>
      <c r="I1074" s="16">
        <f>I1073*($D$1093/Inputs!$D$21+$D$1094/Inputs!$D$22)</f>
        <v>23148.553836571649</v>
      </c>
      <c r="J1074" s="16">
        <f>J1073*($D$1093/Inputs!$D$21+$D$1094/Inputs!$D$22)</f>
        <v>23148.553836571649</v>
      </c>
      <c r="K1074" s="16">
        <f>K1073*($D$1093/Inputs!$D$21+$D$1094/Inputs!$D$22)</f>
        <v>23148.553836571649</v>
      </c>
      <c r="L1074" s="16">
        <f>L1073*($D$1093/Inputs!$D$21+$D$1094/Inputs!$D$22)</f>
        <v>23148.553836571649</v>
      </c>
      <c r="M1074" s="16">
        <f>M1073*($D$1093/Inputs!$D$21+$D$1094/Inputs!$D$22)</f>
        <v>23148.553836571649</v>
      </c>
    </row>
    <row r="1075" spans="2:13" ht="15" customHeight="1" x14ac:dyDescent="0.2">
      <c r="B1075" s="10" t="s">
        <v>898</v>
      </c>
      <c r="C1075" s="10" t="s">
        <v>110</v>
      </c>
      <c r="D1075" s="16">
        <f t="shared" ref="D1075:M1075" si="233">D1071*($D$1093+$D$1094)</f>
        <v>7454.8732903914051</v>
      </c>
      <c r="E1075" s="16">
        <f t="shared" si="233"/>
        <v>18637.183225978519</v>
      </c>
      <c r="F1075" s="16">
        <f t="shared" si="233"/>
        <v>20500.901548576363</v>
      </c>
      <c r="G1075" s="16">
        <f t="shared" si="233"/>
        <v>23296.479032473144</v>
      </c>
      <c r="H1075" s="16">
        <f t="shared" si="233"/>
        <v>23296.479032473144</v>
      </c>
      <c r="I1075" s="16">
        <f t="shared" si="233"/>
        <v>0</v>
      </c>
      <c r="J1075" s="16">
        <f t="shared" si="233"/>
        <v>0</v>
      </c>
      <c r="K1075" s="16">
        <f t="shared" si="233"/>
        <v>0</v>
      </c>
      <c r="L1075" s="16">
        <f t="shared" si="233"/>
        <v>0</v>
      </c>
      <c r="M1075" s="16">
        <f t="shared" si="233"/>
        <v>0</v>
      </c>
    </row>
    <row r="1076" spans="2:13" ht="15" customHeight="1" x14ac:dyDescent="0.2">
      <c r="B1076" s="10" t="s">
        <v>899</v>
      </c>
      <c r="C1076" s="10" t="s">
        <v>110</v>
      </c>
      <c r="D1076" s="16">
        <f t="shared" ref="D1076:M1076" si="234">D1072*$D$1093</f>
        <v>0</v>
      </c>
      <c r="E1076" s="16">
        <f t="shared" si="234"/>
        <v>0</v>
      </c>
      <c r="F1076" s="16">
        <f t="shared" si="234"/>
        <v>0</v>
      </c>
      <c r="G1076" s="16">
        <f t="shared" si="234"/>
        <v>2638.0048485671714</v>
      </c>
      <c r="H1076" s="16">
        <f t="shared" si="234"/>
        <v>7129.4948429102333</v>
      </c>
      <c r="I1076" s="16">
        <f t="shared" si="234"/>
        <v>17823.737107275589</v>
      </c>
      <c r="J1076" s="16">
        <f t="shared" si="234"/>
        <v>19606.110818003141</v>
      </c>
      <c r="K1076" s="16">
        <f t="shared" si="234"/>
        <v>24917.676232661652</v>
      </c>
      <c r="L1076" s="16">
        <f t="shared" si="234"/>
        <v>29409.166227004709</v>
      </c>
      <c r="M1076" s="16">
        <f t="shared" si="234"/>
        <v>17823.737107275589</v>
      </c>
    </row>
    <row r="1077" spans="2:13" ht="15" customHeight="1" x14ac:dyDescent="0.2">
      <c r="B1077" s="10" t="s">
        <v>900</v>
      </c>
      <c r="C1077" s="10" t="s">
        <v>199</v>
      </c>
      <c r="D1077" s="28">
        <f>D1071*Inputs!$D$23</f>
        <v>3.1080000000000001</v>
      </c>
      <c r="E1077" s="28">
        <f>E1071*Inputs!$D$23</f>
        <v>7.7700000000000022</v>
      </c>
      <c r="F1077" s="28">
        <f>F1071*Inputs!$D$23</f>
        <v>8.5469999999999988</v>
      </c>
      <c r="G1077" s="28">
        <f>G1071*Inputs!$D$23</f>
        <v>9.7125000000000004</v>
      </c>
      <c r="H1077" s="28">
        <f>H1071*Inputs!$D$23</f>
        <v>9.7125000000000004</v>
      </c>
      <c r="I1077" s="28">
        <f>I1071*Inputs!$D$23</f>
        <v>0</v>
      </c>
      <c r="J1077" s="28">
        <f>J1071*Inputs!$D$23</f>
        <v>0</v>
      </c>
      <c r="K1077" s="28">
        <f>K1071*Inputs!$D$23</f>
        <v>0</v>
      </c>
      <c r="L1077" s="28">
        <f>L1071*Inputs!$D$23</f>
        <v>0</v>
      </c>
      <c r="M1077" s="28">
        <f>M1071*Inputs!$D$23</f>
        <v>0</v>
      </c>
    </row>
    <row r="1078" spans="2:13" ht="15" customHeight="1" x14ac:dyDescent="0.2">
      <c r="B1078" s="3" t="s">
        <v>901</v>
      </c>
      <c r="C1078" s="10" t="s">
        <v>896</v>
      </c>
      <c r="D1078" s="28">
        <f>(D1073*$D$1091*(Inputs!$D$7-Inputs!$D$19)-D1077)/(Inputs!$D$7+$D$1092)^D1066</f>
        <v>40.99699201112098</v>
      </c>
      <c r="E1078" s="28">
        <f>(E1073*$D$1091*(Inputs!$D$7-Inputs!$D$19)-E1077)/(Inputs!$D$7+$D$1092)^E1066</f>
        <v>153.02781912726542</v>
      </c>
      <c r="F1078" s="28">
        <f>(F1073*$D$1091*(Inputs!$D$7-Inputs!$D$19)-F1077)/(Inputs!$D$7+$D$1092)^F1066</f>
        <v>268.8019226843403</v>
      </c>
      <c r="G1078" s="28">
        <f>(G1073*$D$1091*(Inputs!$D$7-Inputs!$D$19)-G1077)/(Inputs!$D$7+$D$1092)^G1066</f>
        <v>363.62824610263397</v>
      </c>
      <c r="H1078" s="28">
        <f>(H1073*$D$1091*(Inputs!$D$7-Inputs!$D$19)-H1077)/(Inputs!$D$7+$D$1092)^H1066</f>
        <v>435.07807528321291</v>
      </c>
      <c r="I1078" s="28">
        <f>(I1073*$D$1091*(Inputs!$D$7-Inputs!$D$19)-I1077)/(Inputs!$D$7+$D$1092)^I1066</f>
        <v>431.49711827119876</v>
      </c>
      <c r="J1078" s="28">
        <f>(J1073*$D$1091*(Inputs!$D$7-Inputs!$D$19)-J1077)/(Inputs!$D$7+$D$1092)^J1066</f>
        <v>372.01806500733016</v>
      </c>
      <c r="K1078" s="28">
        <f>(K1073*$D$1091*(Inputs!$D$7-Inputs!$D$19)-K1077)/(Inputs!$D$7+$D$1092)^K1066</f>
        <v>320.73780989845312</v>
      </c>
      <c r="L1078" s="28">
        <f>(L1073*$D$1091*(Inputs!$D$7-Inputs!$D$19)-L1077)/(Inputs!$D$7+$D$1092)^L1066</f>
        <v>276.52620228651875</v>
      </c>
      <c r="M1078" s="28">
        <f>(M1073*$D$1091*(Inputs!$D$7-Inputs!$D$19)-M1077)/(Inputs!$D$7+$D$1092)^M1066</f>
        <v>238.31201718226143</v>
      </c>
    </row>
    <row r="1079" spans="2:13" ht="15" customHeight="1" x14ac:dyDescent="0.2">
      <c r="B1079" s="10" t="s">
        <v>902</v>
      </c>
      <c r="C1079" s="10" t="s">
        <v>110</v>
      </c>
      <c r="D1079" s="16">
        <f>(D1074*Inputs!$D$19-D1075-D1076)/(Inputs!$D$7+$D$1092)^D1066</f>
        <v>-6403.0045740313244</v>
      </c>
      <c r="E1079" s="16">
        <f>(E1074*Inputs!$D$19-E1075-E1076)/(Inputs!$D$7+$D$1092)^E1066</f>
        <v>-13349.632212764713</v>
      </c>
      <c r="F1079" s="16">
        <f>(F1074*Inputs!$D$19-F1075-F1076)/(Inputs!$D$7+$D$1092)^F1066</f>
        <v>-11808.370082432088</v>
      </c>
      <c r="G1079" s="16">
        <f>(G1074*Inputs!$D$19-G1075-G1076)/(Inputs!$D$7+$D$1092)^G1066</f>
        <v>-12397.921878440668</v>
      </c>
      <c r="H1079" s="16">
        <f>(H1074*Inputs!$D$19-H1075-H1076)/(Inputs!$D$7+$D$1092)^H1066</f>
        <v>-12082.366885213038</v>
      </c>
      <c r="I1079" s="16">
        <f>(I1074*Inputs!$D$19-I1075-I1076)/(Inputs!$D$7+$D$1092)^I1066</f>
        <v>-4657.0743222469628</v>
      </c>
      <c r="J1079" s="16">
        <f>(J1074*Inputs!$D$19-J1075-J1076)/(Inputs!$D$7+$D$1092)^J1066</f>
        <v>-4672.9398284057479</v>
      </c>
      <c r="K1079" s="16">
        <f>(K1074*Inputs!$D$19-K1075-K1076)/(Inputs!$D$7+$D$1092)^K1066</f>
        <v>-5718.9047268503064</v>
      </c>
      <c r="L1079" s="16">
        <f>(L1074*Inputs!$D$19-L1075-L1076)/(Inputs!$D$7+$D$1092)^L1066</f>
        <v>-6162.7485564592316</v>
      </c>
      <c r="M1079" s="16">
        <f>(M1074*Inputs!$D$19-M1075-M1076)/(Inputs!$D$7+$D$1092)^M1066</f>
        <v>-2572.0606903447429</v>
      </c>
    </row>
    <row r="1080" spans="2:13" ht="15" customHeight="1" x14ac:dyDescent="0.2">
      <c r="B1080" s="10" t="s">
        <v>903</v>
      </c>
      <c r="C1080" s="10" t="s">
        <v>110</v>
      </c>
      <c r="D1080" s="16">
        <f t="shared" ref="D1080:M1080" si="235">D1073*$D$1090</f>
        <v>2450.6936627129712</v>
      </c>
      <c r="E1080" s="16">
        <f t="shared" si="235"/>
        <v>10328.006260727754</v>
      </c>
      <c r="F1080" s="16">
        <f t="shared" si="235"/>
        <v>20675.671627072759</v>
      </c>
      <c r="G1080" s="16">
        <f t="shared" si="235"/>
        <v>32255.201917982642</v>
      </c>
      <c r="H1080" s="16">
        <f t="shared" si="235"/>
        <v>44573.851163631458</v>
      </c>
      <c r="I1080" s="16">
        <f t="shared" si="235"/>
        <v>50733.175786455868</v>
      </c>
      <c r="J1080" s="16">
        <f t="shared" si="235"/>
        <v>50733.175786455868</v>
      </c>
      <c r="K1080" s="16">
        <f t="shared" si="235"/>
        <v>50733.175786455868</v>
      </c>
      <c r="L1080" s="16">
        <f t="shared" si="235"/>
        <v>50733.175786455868</v>
      </c>
      <c r="M1080" s="16">
        <f t="shared" si="235"/>
        <v>50733.175786455868</v>
      </c>
    </row>
    <row r="1081" spans="2:13" ht="15" customHeight="1" x14ac:dyDescent="0.2">
      <c r="B1081" s="10" t="s">
        <v>904</v>
      </c>
      <c r="C1081" s="10" t="s">
        <v>110</v>
      </c>
      <c r="D1081" s="16">
        <f t="shared" ref="D1081:M1081" si="236">D1080*$D$1091</f>
        <v>2205.6242964416742</v>
      </c>
      <c r="E1081" s="16">
        <f t="shared" si="236"/>
        <v>9295.2056346549798</v>
      </c>
      <c r="F1081" s="16">
        <f t="shared" si="236"/>
        <v>18608.104464365482</v>
      </c>
      <c r="G1081" s="16">
        <f t="shared" si="236"/>
        <v>29029.681726184379</v>
      </c>
      <c r="H1081" s="16">
        <f t="shared" si="236"/>
        <v>40116.46604726831</v>
      </c>
      <c r="I1081" s="16">
        <f t="shared" si="236"/>
        <v>45659.858207810285</v>
      </c>
      <c r="J1081" s="16">
        <f t="shared" si="236"/>
        <v>45659.858207810285</v>
      </c>
      <c r="K1081" s="16">
        <f t="shared" si="236"/>
        <v>45659.858207810285</v>
      </c>
      <c r="L1081" s="16">
        <f t="shared" si="236"/>
        <v>45659.858207810285</v>
      </c>
      <c r="M1081" s="16">
        <f t="shared" si="236"/>
        <v>45659.858207810285</v>
      </c>
    </row>
    <row r="1082" spans="2:13" ht="15" customHeight="1" x14ac:dyDescent="0.2">
      <c r="B1082" s="10" t="s">
        <v>905</v>
      </c>
      <c r="C1082" s="10" t="s">
        <v>110</v>
      </c>
      <c r="D1082" s="16">
        <f t="shared" ref="D1082:M1082" si="237">D1081-D1074</f>
        <v>1087.4208071304201</v>
      </c>
      <c r="E1082" s="16">
        <f t="shared" si="237"/>
        <v>4582.7387873749058</v>
      </c>
      <c r="F1082" s="16">
        <f t="shared" si="237"/>
        <v>9174.2007051936635</v>
      </c>
      <c r="G1082" s="16">
        <f t="shared" si="237"/>
        <v>14312.265232276561</v>
      </c>
      <c r="H1082" s="16">
        <f t="shared" si="237"/>
        <v>19778.29132491794</v>
      </c>
      <c r="I1082" s="16">
        <f t="shared" si="237"/>
        <v>22511.304371238635</v>
      </c>
      <c r="J1082" s="16">
        <f t="shared" si="237"/>
        <v>22511.304371238635</v>
      </c>
      <c r="K1082" s="16">
        <f t="shared" si="237"/>
        <v>22511.304371238635</v>
      </c>
      <c r="L1082" s="16">
        <f t="shared" si="237"/>
        <v>22511.304371238635</v>
      </c>
      <c r="M1082" s="16">
        <f t="shared" si="237"/>
        <v>22511.304371238635</v>
      </c>
    </row>
    <row r="1083" spans="2:13" ht="15" customHeight="1" x14ac:dyDescent="0.2">
      <c r="B1083" s="10" t="s">
        <v>906</v>
      </c>
      <c r="C1083" s="10" t="s">
        <v>110</v>
      </c>
      <c r="D1083" s="16">
        <f>MAX(D1082,Inputs!$D$6)*Inputs!$D$19</f>
        <v>326.22624213912604</v>
      </c>
      <c r="E1083" s="16">
        <f>MAX(E1082,Inputs!$D$6)*Inputs!$D$19</f>
        <v>1374.8216362124717</v>
      </c>
      <c r="F1083" s="16">
        <f>MAX(F1082,Inputs!$D$6)*Inputs!$D$19</f>
        <v>2752.2602115580989</v>
      </c>
      <c r="G1083" s="16">
        <f>MAX(G1082,Inputs!$D$6)*Inputs!$D$19</f>
        <v>4293.6795696829677</v>
      </c>
      <c r="H1083" s="16">
        <f>MAX(H1082,Inputs!$D$6)*Inputs!$D$19</f>
        <v>5933.4873974753818</v>
      </c>
      <c r="I1083" s="16">
        <f>MAX(I1082,Inputs!$D$6)*Inputs!$D$19</f>
        <v>6753.3913113715907</v>
      </c>
      <c r="J1083" s="16">
        <f>MAX(J1082,Inputs!$D$6)*Inputs!$D$19</f>
        <v>6753.3913113715907</v>
      </c>
      <c r="K1083" s="16">
        <f>MAX(K1082,Inputs!$D$6)*Inputs!$D$19</f>
        <v>6753.3913113715907</v>
      </c>
      <c r="L1083" s="16">
        <f>MAX(L1082,Inputs!$D$6)*Inputs!$D$19</f>
        <v>6753.3913113715907</v>
      </c>
      <c r="M1083" s="16">
        <f>MAX(M1082,Inputs!$D$6)*Inputs!$D$19</f>
        <v>6753.3913113715907</v>
      </c>
    </row>
    <row r="1084" spans="2:13" ht="15" customHeight="1" x14ac:dyDescent="0.2">
      <c r="B1084" s="10" t="s">
        <v>907</v>
      </c>
      <c r="C1084" s="10" t="s">
        <v>110</v>
      </c>
      <c r="D1084" s="16">
        <f t="shared" ref="D1084:M1084" si="238">D1077*$D$1090</f>
        <v>98.549193965190526</v>
      </c>
      <c r="E1084" s="16">
        <f t="shared" si="238"/>
        <v>246.37298491297636</v>
      </c>
      <c r="F1084" s="16">
        <f t="shared" si="238"/>
        <v>271.01028340427388</v>
      </c>
      <c r="G1084" s="16">
        <f t="shared" si="238"/>
        <v>307.96623114122036</v>
      </c>
      <c r="H1084" s="16">
        <f t="shared" si="238"/>
        <v>307.96623114122036</v>
      </c>
      <c r="I1084" s="16">
        <f t="shared" si="238"/>
        <v>0</v>
      </c>
      <c r="J1084" s="16">
        <f t="shared" si="238"/>
        <v>0</v>
      </c>
      <c r="K1084" s="16">
        <f t="shared" si="238"/>
        <v>0</v>
      </c>
      <c r="L1084" s="16">
        <f t="shared" si="238"/>
        <v>0</v>
      </c>
      <c r="M1084" s="16">
        <f t="shared" si="238"/>
        <v>0</v>
      </c>
    </row>
    <row r="1085" spans="2:13" ht="15" customHeight="1" x14ac:dyDescent="0.2">
      <c r="B1085" s="10" t="s">
        <v>908</v>
      </c>
      <c r="C1085" s="10" t="s">
        <v>110</v>
      </c>
      <c r="D1085" s="16">
        <f t="shared" ref="D1085:M1085" si="239">D1081-D1083-D1075-D1076-D1084</f>
        <v>-5674.0244300540471</v>
      </c>
      <c r="E1085" s="16">
        <f t="shared" si="239"/>
        <v>-10963.172212448986</v>
      </c>
      <c r="F1085" s="16">
        <f t="shared" si="239"/>
        <v>-4916.0675791732538</v>
      </c>
      <c r="G1085" s="16">
        <f t="shared" si="239"/>
        <v>-1506.4479556801252</v>
      </c>
      <c r="H1085" s="16">
        <f t="shared" si="239"/>
        <v>3449.0385432683333</v>
      </c>
      <c r="I1085" s="16">
        <f t="shared" si="239"/>
        <v>21082.729789163106</v>
      </c>
      <c r="J1085" s="16">
        <f t="shared" si="239"/>
        <v>19300.356078435554</v>
      </c>
      <c r="K1085" s="16">
        <f t="shared" si="239"/>
        <v>13988.790663777043</v>
      </c>
      <c r="L1085" s="16">
        <f t="shared" si="239"/>
        <v>9497.3006694339856</v>
      </c>
      <c r="M1085" s="16">
        <f t="shared" si="239"/>
        <v>21082.729789163106</v>
      </c>
    </row>
    <row r="1086" spans="2:13" ht="15" customHeight="1" x14ac:dyDescent="0.2">
      <c r="B1086" s="10" t="s">
        <v>909</v>
      </c>
      <c r="C1086" s="10" t="s">
        <v>110</v>
      </c>
      <c r="D1086" s="16">
        <f>D1085/(Inputs!$D$7+$D$1092)^D1066</f>
        <v>-5103.0623225212448</v>
      </c>
      <c r="E1086" s="16">
        <f>E1085/(Inputs!$D$7+$D$1092)^E1066</f>
        <v>-8497.3901827637546</v>
      </c>
      <c r="F1086" s="16">
        <f>F1085/(Inputs!$D$7+$D$1092)^F1066</f>
        <v>-3285.1355853808645</v>
      </c>
      <c r="G1086" s="16">
        <f>G1085/(Inputs!$D$7+$D$1092)^G1066</f>
        <v>-867.91204691218866</v>
      </c>
      <c r="H1086" s="16">
        <f>H1085/(Inputs!$D$7+$D$1092)^H1066</f>
        <v>1713.1909111470391</v>
      </c>
      <c r="I1086" s="16">
        <f>I1085/(Inputs!$D$7+$D$1092)^I1066</f>
        <v>9024.9376481292056</v>
      </c>
      <c r="J1086" s="16">
        <f>J1085/(Inputs!$D$7+$D$1092)^J1066</f>
        <v>7123.0963514405348</v>
      </c>
      <c r="K1086" s="16">
        <f>K1085/(Inputs!$D$7+$D$1092)^K1066</f>
        <v>4451.1250799878744</v>
      </c>
      <c r="L1086" s="16">
        <f>L1085/(Inputs!$D$7+$D$1092)^L1066</f>
        <v>2605.4092123926516</v>
      </c>
      <c r="M1086" s="16">
        <f>M1085/(Inputs!$D$7+$D$1092)^M1066</f>
        <v>4984.3927219881089</v>
      </c>
    </row>
    <row r="1087" spans="2:13" ht="15" customHeight="1" x14ac:dyDescent="0.2">
      <c r="B1087" s="3" t="s">
        <v>910</v>
      </c>
      <c r="C1087" s="10" t="s">
        <v>896</v>
      </c>
      <c r="D1087" s="28">
        <f>(D1073*$D$1091-D1077)/(Inputs!$D$7+$D$1092)^D1066</f>
        <v>59.765095798928819</v>
      </c>
      <c r="E1087" s="28">
        <f>(E1073*$D$1091-E1077)/(Inputs!$D$7+$D$1092)^E1066</f>
        <v>221.1922031857838</v>
      </c>
      <c r="F1087" s="28">
        <f>(F1073*$D$1091-F1077)/(Inputs!$D$7+$D$1092)^F1066</f>
        <v>386.45052664112239</v>
      </c>
      <c r="G1087" s="28">
        <f>(G1073*$D$1091-G1077)/(Inputs!$D$7+$D$1092)^G1066</f>
        <v>521.867070169518</v>
      </c>
      <c r="H1087" s="28">
        <f>(H1073*$D$1091-H1077)/(Inputs!$D$7+$D$1092)^H1066</f>
        <v>623.60768582417222</v>
      </c>
      <c r="I1087" s="28">
        <f>(I1073*$D$1091-I1077)/(Inputs!$D$7+$D$1092)^I1066</f>
        <v>616.42445467314121</v>
      </c>
      <c r="J1087" s="28">
        <f>(J1073*$D$1091-J1077)/(Inputs!$D$7+$D$1092)^J1066</f>
        <v>531.4543785819003</v>
      </c>
      <c r="K1087" s="28">
        <f>(K1073*$D$1091-K1077)/(Inputs!$D$7+$D$1092)^K1066</f>
        <v>458.19687128350449</v>
      </c>
      <c r="L1087" s="28">
        <f>(L1073*$D$1091-L1077)/(Inputs!$D$7+$D$1092)^L1066</f>
        <v>395.03743183788401</v>
      </c>
      <c r="M1087" s="28">
        <f>(M1073*$D$1091-M1077)/(Inputs!$D$7+$D$1092)^M1066</f>
        <v>340.44573883180209</v>
      </c>
    </row>
    <row r="1088" spans="2:13" ht="15" customHeight="1" x14ac:dyDescent="0.2">
      <c r="B1088" s="10" t="s">
        <v>911</v>
      </c>
      <c r="C1088" s="10" t="s">
        <v>110</v>
      </c>
      <c r="D1088" s="16">
        <f>(-D1075-D1076)/(Inputs!$D$7+$D$1092)^D1066</f>
        <v>-6704.7090607969039</v>
      </c>
      <c r="E1088" s="16">
        <f>(-E1075-E1076)/(Inputs!$D$7+$D$1092)^E1066</f>
        <v>-14445.4009031226</v>
      </c>
      <c r="F1088" s="16">
        <f>(-F1075-F1076)/(Inputs!$D$7+$D$1092)^F1066</f>
        <v>-13699.616639717549</v>
      </c>
      <c r="G1088" s="16">
        <f>(-G1075-G1076)/(Inputs!$D$7+$D$1092)^G1066</f>
        <v>-14941.671835349038</v>
      </c>
      <c r="H1088" s="16">
        <f>(-H1075-H1076)/(Inputs!$D$7+$D$1092)^H1066</f>
        <v>-15113.052884793095</v>
      </c>
      <c r="I1088" s="16">
        <f>(-I1075-I1076)/(Inputs!$D$7+$D$1092)^I1066</f>
        <v>-7629.8523795762403</v>
      </c>
      <c r="J1088" s="16">
        <f>(-J1075-J1076)/(Inputs!$D$7+$D$1092)^J1066</f>
        <v>-7235.9398897150922</v>
      </c>
      <c r="K1088" s="16">
        <f>(-K1075-K1076)/(Inputs!$D$7+$D$1092)^K1066</f>
        <v>-7928.612006570077</v>
      </c>
      <c r="L1088" s="16">
        <f>(-L1075-L1076)/(Inputs!$D$7+$D$1092)^L1066</f>
        <v>-8067.8621519509534</v>
      </c>
      <c r="M1088" s="16">
        <f>(-M1075-M1076)/(Inputs!$D$7+$D$1092)^M1066</f>
        <v>-4213.8995473821142</v>
      </c>
    </row>
    <row r="1089" spans="2:13" ht="15" customHeight="1" x14ac:dyDescent="0.2">
      <c r="B1089" s="10" t="s">
        <v>912</v>
      </c>
      <c r="C1089" s="10" t="s">
        <v>110</v>
      </c>
      <c r="D1089" s="16">
        <f>Prices!K9</f>
        <v>36178.700386874909</v>
      </c>
    </row>
    <row r="1090" spans="2:13" ht="15" customHeight="1" x14ac:dyDescent="0.2">
      <c r="B1090" s="3" t="s">
        <v>913</v>
      </c>
      <c r="C1090" s="10" t="s">
        <v>914</v>
      </c>
      <c r="D1090" s="28">
        <f>IF(J1097&gt;=J1093,J1097,(D1089-J1096)/J1095)</f>
        <v>31.708234866534916</v>
      </c>
      <c r="G1090" s="99" t="s">
        <v>915</v>
      </c>
      <c r="H1090" s="91"/>
      <c r="I1090" s="91"/>
      <c r="J1090" s="28">
        <f>D1090*Inputs!$D$15</f>
        <v>22.129177113354718</v>
      </c>
      <c r="K1090" s="99" t="s">
        <v>916</v>
      </c>
      <c r="L1090" s="91"/>
      <c r="M1090" s="91"/>
    </row>
    <row r="1091" spans="2:13" ht="15" customHeight="1" x14ac:dyDescent="0.2">
      <c r="B1091" s="10" t="s">
        <v>917</v>
      </c>
      <c r="C1091" s="10" t="s">
        <v>104</v>
      </c>
      <c r="D1091" s="30">
        <f>Inputs!$D$107</f>
        <v>0.9</v>
      </c>
      <c r="G1091" s="99" t="s">
        <v>918</v>
      </c>
      <c r="H1091" s="91"/>
      <c r="I1091" s="91"/>
      <c r="J1091" s="28">
        <f>IF(-D1102/D1101&gt;=J1093,-D1102/D1101,-J1096/J1095)</f>
        <v>24.024174528419383</v>
      </c>
      <c r="K1091" s="99" t="s">
        <v>919</v>
      </c>
      <c r="L1091" s="91"/>
      <c r="M1091" s="91"/>
    </row>
    <row r="1092" spans="2:13" ht="15" customHeight="1" x14ac:dyDescent="0.2">
      <c r="B1092" s="10" t="s">
        <v>920</v>
      </c>
      <c r="C1092" s="10" t="s">
        <v>104</v>
      </c>
      <c r="D1092" s="30">
        <f>Inputs!$D$108</f>
        <v>0.16</v>
      </c>
      <c r="G1092" s="99" t="s">
        <v>918</v>
      </c>
      <c r="H1092" s="91"/>
      <c r="I1092" s="91"/>
      <c r="J1092" s="28">
        <f>J1091*Inputs!$D$15</f>
        <v>16.766471403383886</v>
      </c>
      <c r="K1092" s="99" t="s">
        <v>916</v>
      </c>
      <c r="L1092" s="91"/>
      <c r="M1092" s="91"/>
    </row>
    <row r="1093" spans="2:13" ht="15" customHeight="1" x14ac:dyDescent="0.2">
      <c r="B1093" s="3" t="s">
        <v>921</v>
      </c>
      <c r="C1093" s="10" t="s">
        <v>848</v>
      </c>
      <c r="D1093" s="28">
        <f>Capital!$D$13</f>
        <v>57.347931490590682</v>
      </c>
      <c r="G1093" s="99" t="s">
        <v>922</v>
      </c>
      <c r="H1093" s="91"/>
      <c r="I1093" s="91"/>
      <c r="J1093" s="28">
        <f>($D$1093/Inputs!$D$21+$D$1094/Inputs!$D$22)/$D$1091</f>
        <v>16.07538460873031</v>
      </c>
      <c r="K1093" s="99" t="s">
        <v>919</v>
      </c>
      <c r="L1093" s="91"/>
      <c r="M1093" s="91"/>
    </row>
    <row r="1094" spans="2:13" ht="15" customHeight="1" x14ac:dyDescent="0.2">
      <c r="B1094" s="3" t="s">
        <v>923</v>
      </c>
      <c r="C1094" s="10" t="s">
        <v>848</v>
      </c>
      <c r="D1094" s="28">
        <f>Capital!$D$14</f>
        <v>2.6172655041921802</v>
      </c>
    </row>
    <row r="1095" spans="2:13" ht="15" customHeight="1" x14ac:dyDescent="0.2">
      <c r="B1095" s="10" t="s">
        <v>924</v>
      </c>
      <c r="C1095" s="10" t="s">
        <v>896</v>
      </c>
      <c r="D1095" s="28">
        <f>(M1068*(Inputs!$D$7+Inputs!$D$20)*$D$1091*(Inputs!$D$7-Inputs!$D$19)-M1068*Inputs!$D$20*Inputs!$D$23)/($D$1092-Inputs!$D$20)/(Inputs!$D$7+$D$1092)^M1066</f>
        <v>1807.6547922951956</v>
      </c>
      <c r="G1095" s="92" t="s">
        <v>910</v>
      </c>
      <c r="H1095" s="91"/>
      <c r="I1095" s="91"/>
      <c r="J1095" s="28">
        <f>SUM(D1087:M1087)+(M1068*(Inputs!$D$7+Inputs!$D$20)*$D$1091-M1068*Inputs!$D$20*Inputs!$D$23)/($D$1092-Inputs!$D$20)/(Inputs!$D$7+$D$1092)^M1066</f>
        <v>6737.5559875731687</v>
      </c>
      <c r="K1095" s="99" t="s">
        <v>896</v>
      </c>
      <c r="L1095" s="91"/>
      <c r="M1095" s="91"/>
    </row>
    <row r="1096" spans="2:13" ht="15" customHeight="1" x14ac:dyDescent="0.2">
      <c r="B1096" s="10" t="s">
        <v>925</v>
      </c>
      <c r="C1096" s="10" t="s">
        <v>110</v>
      </c>
      <c r="D1096" s="16">
        <f>(D1099*Inputs!$D$19-D1099-D1100)/($D$1092-Inputs!$D$20)/(Inputs!$D$7+$D$1092)^M1066</f>
        <v>-33287.494112345899</v>
      </c>
      <c r="G1096" s="92" t="s">
        <v>926</v>
      </c>
      <c r="H1096" s="91"/>
      <c r="I1096" s="91"/>
      <c r="J1096" s="16">
        <f>SUM(D1088:M1088)-(D1099+D1100)/($D$1092-Inputs!$D$20)/(Inputs!$D$7+$D$1092)^M1066</f>
        <v>-145733.9249554922</v>
      </c>
      <c r="K1096" s="99" t="s">
        <v>110</v>
      </c>
      <c r="L1096" s="91"/>
      <c r="M1096" s="91"/>
    </row>
    <row r="1097" spans="2:13" ht="15" customHeight="1" x14ac:dyDescent="0.2">
      <c r="B1097" s="10" t="s">
        <v>927</v>
      </c>
      <c r="C1097" s="10" t="s">
        <v>928</v>
      </c>
      <c r="D1097" s="16">
        <f>(M1068*(Inputs!$D$7+Inputs!$D$20)*$D$1090*$D$1091-D1099)-MAX((M1068*(Inputs!$D$7+Inputs!$D$20)*$D$1090*$D$1091-D1099),Inputs!$D$6)*Inputs!$D$19-D1100-M1068*Inputs!$D$20*$D$1090*Inputs!$D$23</f>
        <v>13721.544771705863</v>
      </c>
      <c r="G1097" s="99" t="s">
        <v>929</v>
      </c>
      <c r="H1097" s="91"/>
      <c r="I1097" s="91"/>
      <c r="J1097" s="28">
        <f>(D1089-D1102)/D1101</f>
        <v>31.708234866534916</v>
      </c>
      <c r="K1097" s="99" t="s">
        <v>919</v>
      </c>
      <c r="L1097" s="91"/>
      <c r="M1097" s="91"/>
    </row>
    <row r="1098" spans="2:13" ht="15" customHeight="1" x14ac:dyDescent="0.2">
      <c r="B1098" s="10" t="s">
        <v>930</v>
      </c>
      <c r="C1098" s="10" t="s">
        <v>110</v>
      </c>
      <c r="D1098" s="16">
        <f>D1097/($D$1092-Inputs!$D$20)</f>
        <v>101641.07238300639</v>
      </c>
      <c r="G1098" s="99" t="s">
        <v>931</v>
      </c>
      <c r="H1098" s="91"/>
      <c r="I1098" s="91"/>
      <c r="J1098" s="16">
        <f>MIN(D1082:M1082,(M1068*(Inputs!$D$7+Inputs!$D$20)*$D$1090*$D$1091-D1099))</f>
        <v>1087.4208071304201</v>
      </c>
      <c r="K1098" s="99" t="s">
        <v>110</v>
      </c>
      <c r="L1098" s="91"/>
      <c r="M1098" s="91"/>
    </row>
    <row r="1099" spans="2:13" ht="15" customHeight="1" x14ac:dyDescent="0.2">
      <c r="B1099" s="10" t="s">
        <v>932</v>
      </c>
      <c r="C1099" s="10" t="s">
        <v>928</v>
      </c>
      <c r="D1099" s="16">
        <f>M1068*(Inputs!$D$7+Inputs!$D$20)*($D$1093/Inputs!$D$21+$D$1094/Inputs!$D$22)</f>
        <v>23727.267682485937</v>
      </c>
      <c r="G1099" s="99" t="s">
        <v>933</v>
      </c>
      <c r="H1099" s="91"/>
      <c r="I1099" s="91"/>
      <c r="J1099" s="31" t="str">
        <f>IF(J1098&lt;Inputs!$D$6,"breached","satisfied")</f>
        <v>satisfied</v>
      </c>
      <c r="K1099" s="99" t="s">
        <v>934</v>
      </c>
      <c r="L1099" s="91"/>
      <c r="M1099" s="91"/>
    </row>
    <row r="1100" spans="2:13" ht="15" customHeight="1" x14ac:dyDescent="0.2">
      <c r="B1100" s="10" t="s">
        <v>935</v>
      </c>
      <c r="C1100" s="10" t="s">
        <v>928</v>
      </c>
      <c r="D1100" s="16">
        <f>M1068*Inputs!$D$20*($D$1093+$D$1094)</f>
        <v>2398.6078797913146</v>
      </c>
    </row>
    <row r="1101" spans="2:13" ht="15" customHeight="1" x14ac:dyDescent="0.2">
      <c r="B1101" s="10" t="s">
        <v>936</v>
      </c>
      <c r="C1101" s="10" t="s">
        <v>896</v>
      </c>
      <c r="D1101" s="28">
        <f>SUM(D1078:M1078)+D1095</f>
        <v>4708.2790601495317</v>
      </c>
      <c r="G1101" s="99" t="s">
        <v>937</v>
      </c>
      <c r="H1101" s="91"/>
      <c r="I1101" s="91"/>
      <c r="J1101" s="16">
        <f>D1103-D1089</f>
        <v>0</v>
      </c>
      <c r="K1101" s="99" t="s">
        <v>110</v>
      </c>
      <c r="L1101" s="91"/>
      <c r="M1101" s="91"/>
    </row>
    <row r="1102" spans="2:13" ht="15" customHeight="1" x14ac:dyDescent="0.2">
      <c r="B1102" s="10" t="s">
        <v>938</v>
      </c>
      <c r="C1102" s="10" t="s">
        <v>110</v>
      </c>
      <c r="D1102" s="16">
        <f>SUM(D1079:M1079)+D1096</f>
        <v>-113112.51786953473</v>
      </c>
    </row>
    <row r="1103" spans="2:13" ht="15" customHeight="1" x14ac:dyDescent="0.2">
      <c r="B1103" s="10" t="s">
        <v>939</v>
      </c>
      <c r="C1103" s="10" t="s">
        <v>110</v>
      </c>
      <c r="D1103" s="16">
        <f>SUM(D1086:M1086)+D1098/(Inputs!$D$7+$D$1092)^M1066</f>
        <v>36178.700386874923</v>
      </c>
    </row>
    <row r="1104" spans="2:13" ht="15" customHeight="1" x14ac:dyDescent="0.2">
      <c r="B1104" s="10" t="s">
        <v>940</v>
      </c>
      <c r="C1104" s="10" t="s">
        <v>104</v>
      </c>
      <c r="D1104" s="30">
        <f>IF(ABS(D1089)&gt;Inputs!$D$6,D1103/D1089-Inputs!$D$7,Inputs!$D$6)</f>
        <v>4.4408920985006262E-16</v>
      </c>
    </row>
    <row r="1105" spans="1:13" ht="15" customHeight="1" x14ac:dyDescent="0.2">
      <c r="B1105" s="10" t="s">
        <v>941</v>
      </c>
      <c r="C1105" s="10" t="s">
        <v>104</v>
      </c>
      <c r="D1105" s="30">
        <f>IF(ABS(D1103)&gt;Inputs!$D$119,D1098/(Inputs!$D$7+$D$1092)^M1066/D1103,Inputs!$D$6)</f>
        <v>0.66420430646771644</v>
      </c>
    </row>
    <row r="1106" spans="1:13" ht="15" customHeight="1" x14ac:dyDescent="0.2">
      <c r="B1106" s="10" t="s">
        <v>942</v>
      </c>
      <c r="C1106" s="10" t="s">
        <v>943</v>
      </c>
      <c r="D1106" s="26">
        <f>$D$1090*Inputs!$D$8/Prices!$P$6/(Inputs!$D$26/Inputs!$D$25)/Inputs!$D$11/Inputs!$D$56</f>
        <v>5.7662388249509764</v>
      </c>
    </row>
    <row r="1110" spans="1:13" ht="15" customHeight="1" x14ac:dyDescent="0.2">
      <c r="A1110" s="104" t="s">
        <v>967</v>
      </c>
      <c r="B1110" s="10" t="s">
        <v>886</v>
      </c>
      <c r="C1110" s="10" t="s">
        <v>107</v>
      </c>
      <c r="D1110" s="28">
        <f>Inputs!$D$60</f>
        <v>1</v>
      </c>
      <c r="E1110" s="28">
        <f>Inputs!$D$62</f>
        <v>2</v>
      </c>
      <c r="F1110" s="28">
        <f>Inputs!$D$64</f>
        <v>3</v>
      </c>
      <c r="G1110" s="28">
        <f>Inputs!$D$66</f>
        <v>4</v>
      </c>
      <c r="H1110" s="28">
        <f>Inputs!$D$68</f>
        <v>5</v>
      </c>
      <c r="I1110" s="28">
        <f>Inputs!$D$70</f>
        <v>6</v>
      </c>
      <c r="J1110" s="28">
        <f>Inputs!$D$72</f>
        <v>7</v>
      </c>
      <c r="K1110" s="28">
        <f>Inputs!$D$74</f>
        <v>8</v>
      </c>
      <c r="L1110" s="28">
        <f>Inputs!$D$76</f>
        <v>9</v>
      </c>
      <c r="M1110" s="28">
        <f>Inputs!$D$78</f>
        <v>10</v>
      </c>
    </row>
    <row r="1111" spans="1:13" ht="15" customHeight="1" x14ac:dyDescent="0.2">
      <c r="A1111" s="91"/>
      <c r="B1111" s="10" t="s">
        <v>887</v>
      </c>
      <c r="C1111" s="10" t="s">
        <v>161</v>
      </c>
      <c r="D1111" s="29">
        <f>Inputs!$D$61</f>
        <v>46568</v>
      </c>
      <c r="E1111" s="29">
        <f>Inputs!$D$63</f>
        <v>46934</v>
      </c>
      <c r="F1111" s="29">
        <f>Inputs!$D$65</f>
        <v>47299</v>
      </c>
      <c r="G1111" s="29">
        <f>Inputs!$D$67</f>
        <v>47664</v>
      </c>
      <c r="H1111" s="29">
        <f>Inputs!$D$69</f>
        <v>48029</v>
      </c>
      <c r="I1111" s="29">
        <f>Inputs!$D$71</f>
        <v>48395</v>
      </c>
      <c r="J1111" s="29">
        <f>Inputs!$D$73</f>
        <v>48760</v>
      </c>
      <c r="K1111" s="29">
        <f>Inputs!$D$75</f>
        <v>49125</v>
      </c>
      <c r="L1111" s="29">
        <f>Inputs!$D$77</f>
        <v>49490</v>
      </c>
      <c r="M1111" s="29">
        <f>Inputs!$D$79</f>
        <v>49856</v>
      </c>
    </row>
    <row r="1112" spans="1:13" ht="15" customHeight="1" x14ac:dyDescent="0.2">
      <c r="A1112" s="91"/>
      <c r="B1112" s="10" t="s">
        <v>888</v>
      </c>
      <c r="C1112" s="10" t="s">
        <v>107</v>
      </c>
      <c r="D1112" s="28">
        <f>(D1111-Inputs!$D$13)/Inputs!$D$10</f>
        <v>0.71457905544147848</v>
      </c>
      <c r="E1112" s="28">
        <f>(E1111-Inputs!$D$13)/Inputs!$D$10</f>
        <v>1.7166324435318274</v>
      </c>
      <c r="F1112" s="28">
        <f>(F1111-Inputs!$D$13)/Inputs!$D$10</f>
        <v>2.7159479808350446</v>
      </c>
      <c r="G1112" s="28">
        <f>(G1111-Inputs!$D$13)/Inputs!$D$10</f>
        <v>3.7152635181382614</v>
      </c>
      <c r="H1112" s="28">
        <f>(H1111-Inputs!$D$13)/Inputs!$D$10</f>
        <v>4.7145790554414786</v>
      </c>
      <c r="I1112" s="28">
        <f>(I1111-Inputs!$D$13)/Inputs!$D$10</f>
        <v>5.7166324435318279</v>
      </c>
      <c r="J1112" s="28">
        <f>(J1111-Inputs!$D$13)/Inputs!$D$10</f>
        <v>6.7159479808350442</v>
      </c>
      <c r="K1112" s="28">
        <f>(K1111-Inputs!$D$13)/Inputs!$D$10</f>
        <v>7.7152635181382614</v>
      </c>
      <c r="L1112" s="28">
        <f>(L1111-Inputs!$D$13)/Inputs!$D$10</f>
        <v>8.7145790554414777</v>
      </c>
      <c r="M1112" s="28">
        <f>(M1111-Inputs!$D$13)/Inputs!$D$10</f>
        <v>9.716632443531827</v>
      </c>
    </row>
    <row r="1113" spans="1:13" ht="15" customHeight="1" x14ac:dyDescent="0.2">
      <c r="A1113" s="91"/>
      <c r="B1113" s="10" t="s">
        <v>889</v>
      </c>
      <c r="C1113" s="10" t="s">
        <v>107</v>
      </c>
      <c r="D1113" s="28">
        <f>D1112</f>
        <v>0.71457905544147848</v>
      </c>
      <c r="E1113" s="28">
        <f>Inputs!$D$7</f>
        <v>1</v>
      </c>
      <c r="F1113" s="28">
        <f>Inputs!$D$7</f>
        <v>1</v>
      </c>
      <c r="G1113" s="28">
        <f>Inputs!$D$7</f>
        <v>1</v>
      </c>
      <c r="H1113" s="28">
        <f>Inputs!$D$7</f>
        <v>1</v>
      </c>
      <c r="I1113" s="28">
        <f>Inputs!$D$7</f>
        <v>1</v>
      </c>
      <c r="J1113" s="28">
        <f>Inputs!$D$7</f>
        <v>1</v>
      </c>
      <c r="K1113" s="28">
        <f>Inputs!$D$7</f>
        <v>1</v>
      </c>
      <c r="L1113" s="28">
        <f>Inputs!$D$7</f>
        <v>1</v>
      </c>
      <c r="M1113" s="28">
        <f>Inputs!$D$7</f>
        <v>1</v>
      </c>
    </row>
    <row r="1114" spans="1:13" ht="15" customHeight="1" x14ac:dyDescent="0.2">
      <c r="A1114" s="91"/>
      <c r="B1114" s="3" t="s">
        <v>890</v>
      </c>
      <c r="C1114" s="10" t="s">
        <v>199</v>
      </c>
      <c r="D1114" s="28">
        <f>Inputs!$D$24+(Inputs!$D$80-Inputs!$D$24)*Inputs!$D$83</f>
        <v>305.5</v>
      </c>
      <c r="E1114" s="28">
        <f>Inputs!$D$24+(Inputs!$D$80-Inputs!$D$24)*Inputs!$D$84</f>
        <v>651.5</v>
      </c>
      <c r="F1114" s="28">
        <f>Inputs!$D$24+(Inputs!$D$80-Inputs!$D$24)*Inputs!$D$85</f>
        <v>911</v>
      </c>
      <c r="G1114" s="28">
        <f>Inputs!$D$24+(Inputs!$D$80-Inputs!$D$24)*Inputs!$D$86</f>
        <v>911</v>
      </c>
      <c r="H1114" s="28">
        <f>Inputs!$D$24+(Inputs!$D$80-Inputs!$D$24)*Inputs!$D$87</f>
        <v>911</v>
      </c>
      <c r="I1114" s="28">
        <f>Inputs!$D$24+(Inputs!$D$80-Inputs!$D$24)*Inputs!$D$88</f>
        <v>911</v>
      </c>
      <c r="J1114" s="28">
        <f>Inputs!$D$24+(Inputs!$D$80-Inputs!$D$24)*Inputs!$D$89</f>
        <v>911</v>
      </c>
      <c r="K1114" s="28">
        <f>Inputs!$D$24+(Inputs!$D$80-Inputs!$D$24)*Inputs!$D$90</f>
        <v>911</v>
      </c>
      <c r="L1114" s="28">
        <f>Inputs!$D$24+(Inputs!$D$80-Inputs!$D$24)*Inputs!$D$91</f>
        <v>911</v>
      </c>
      <c r="M1114" s="28">
        <f>Inputs!$D$24+(Inputs!$D$80-Inputs!$D$24)*Inputs!$D$92</f>
        <v>911</v>
      </c>
    </row>
    <row r="1115" spans="1:13" ht="15" customHeight="1" x14ac:dyDescent="0.2">
      <c r="A1115" s="91"/>
      <c r="B1115" s="10" t="s">
        <v>891</v>
      </c>
      <c r="C1115" s="10" t="s">
        <v>199</v>
      </c>
      <c r="D1115" s="28">
        <f>Inputs!$D$24</f>
        <v>46</v>
      </c>
      <c r="E1115" s="28">
        <f t="shared" ref="E1115:M1115" si="240">D1114</f>
        <v>305.5</v>
      </c>
      <c r="F1115" s="28">
        <f t="shared" si="240"/>
        <v>651.5</v>
      </c>
      <c r="G1115" s="28">
        <f t="shared" si="240"/>
        <v>911</v>
      </c>
      <c r="H1115" s="28">
        <f t="shared" si="240"/>
        <v>911</v>
      </c>
      <c r="I1115" s="28">
        <f t="shared" si="240"/>
        <v>911</v>
      </c>
      <c r="J1115" s="28">
        <f t="shared" si="240"/>
        <v>911</v>
      </c>
      <c r="K1115" s="28">
        <f t="shared" si="240"/>
        <v>911</v>
      </c>
      <c r="L1115" s="28">
        <f t="shared" si="240"/>
        <v>911</v>
      </c>
      <c r="M1115" s="28">
        <f t="shared" si="240"/>
        <v>911</v>
      </c>
    </row>
    <row r="1116" spans="1:13" ht="15" customHeight="1" x14ac:dyDescent="0.2">
      <c r="B1116" s="10" t="s">
        <v>892</v>
      </c>
      <c r="C1116" s="10" t="s">
        <v>199</v>
      </c>
      <c r="D1116" s="28">
        <f>(D1115+D1114)*Inputs!$D$12</f>
        <v>175.75</v>
      </c>
      <c r="E1116" s="28">
        <f>(E1115+E1114)*Inputs!$D$12</f>
        <v>478.5</v>
      </c>
      <c r="F1116" s="28">
        <f>(F1115+F1114)*Inputs!$D$12</f>
        <v>781.25</v>
      </c>
      <c r="G1116" s="28">
        <f>(G1115+G1114)*Inputs!$D$12</f>
        <v>911</v>
      </c>
      <c r="H1116" s="28">
        <f>(H1115+H1114)*Inputs!$D$12</f>
        <v>911</v>
      </c>
      <c r="I1116" s="28">
        <f>(I1115+I1114)*Inputs!$D$12</f>
        <v>911</v>
      </c>
      <c r="J1116" s="28">
        <f>(J1115+J1114)*Inputs!$D$12</f>
        <v>911</v>
      </c>
      <c r="K1116" s="28">
        <f>(K1115+K1114)*Inputs!$D$12</f>
        <v>911</v>
      </c>
      <c r="L1116" s="28">
        <f>(L1115+L1114)*Inputs!$D$12</f>
        <v>911</v>
      </c>
      <c r="M1116" s="28">
        <f>(M1115+M1114)*Inputs!$D$12</f>
        <v>911</v>
      </c>
    </row>
    <row r="1117" spans="1:13" ht="15" customHeight="1" x14ac:dyDescent="0.2">
      <c r="B1117" s="10" t="s">
        <v>893</v>
      </c>
      <c r="C1117" s="10" t="s">
        <v>199</v>
      </c>
      <c r="D1117" s="28">
        <f t="shared" ref="D1117:M1117" si="241">D1114-D1115</f>
        <v>259.5</v>
      </c>
      <c r="E1117" s="28">
        <f t="shared" si="241"/>
        <v>346</v>
      </c>
      <c r="F1117" s="28">
        <f t="shared" si="241"/>
        <v>259.5</v>
      </c>
      <c r="G1117" s="28">
        <f t="shared" si="241"/>
        <v>0</v>
      </c>
      <c r="H1117" s="28">
        <f t="shared" si="241"/>
        <v>0</v>
      </c>
      <c r="I1117" s="28">
        <f t="shared" si="241"/>
        <v>0</v>
      </c>
      <c r="J1117" s="28">
        <f t="shared" si="241"/>
        <v>0</v>
      </c>
      <c r="K1117" s="28">
        <f t="shared" si="241"/>
        <v>0</v>
      </c>
      <c r="L1117" s="28">
        <f t="shared" si="241"/>
        <v>0</v>
      </c>
      <c r="M1117" s="28">
        <f t="shared" si="241"/>
        <v>0</v>
      </c>
    </row>
    <row r="1118" spans="1:13" ht="15" customHeight="1" x14ac:dyDescent="0.2">
      <c r="B1118" s="10" t="s">
        <v>894</v>
      </c>
      <c r="C1118" s="10" t="s">
        <v>199</v>
      </c>
      <c r="D1118" s="28">
        <f>IF(MOD(D1110,Inputs!$D$21)=Inputs!$D$6,Inputs!$D$24,Inputs!$D$6)+SUMPRODUCT(--(D1110&gt;$D$1110:$M$1110),--(MOD(D1110-$D$1110:$M$1110,Inputs!$D$21)=Inputs!$D$6),$D$1117:$M$1117)</f>
        <v>0</v>
      </c>
      <c r="E1118" s="28">
        <f>IF(MOD(E1110,Inputs!$D$21)=Inputs!$D$6,Inputs!$D$24,Inputs!$D$6)+SUMPRODUCT(--(E1110&gt;$D$1110:$M$1110),--(MOD(E1110-$D$1110:$M$1110,Inputs!$D$21)=Inputs!$D$6),$D$1117:$M$1117)</f>
        <v>0</v>
      </c>
      <c r="F1118" s="28">
        <f>IF(MOD(F1110,Inputs!$D$21)=Inputs!$D$6,Inputs!$D$24,Inputs!$D$6)+SUMPRODUCT(--(F1110&gt;$D$1110:$M$1110),--(MOD(F1110-$D$1110:$M$1110,Inputs!$D$21)=Inputs!$D$6),$D$1117:$M$1117)</f>
        <v>0</v>
      </c>
      <c r="G1118" s="28">
        <f>IF(MOD(G1110,Inputs!$D$21)=Inputs!$D$6,Inputs!$D$24,Inputs!$D$6)+SUMPRODUCT(--(G1110&gt;$D$1110:$M$1110),--(MOD(G1110-$D$1110:$M$1110,Inputs!$D$21)=Inputs!$D$6),$D$1117:$M$1117)</f>
        <v>46</v>
      </c>
      <c r="H1118" s="28">
        <f>IF(MOD(H1110,Inputs!$D$21)=Inputs!$D$6,Inputs!$D$24,Inputs!$D$6)+SUMPRODUCT(--(H1110&gt;$D$1110:$M$1110),--(MOD(H1110-$D$1110:$M$1110,Inputs!$D$21)=Inputs!$D$6),$D$1117:$M$1117)</f>
        <v>259.5</v>
      </c>
      <c r="I1118" s="28">
        <f>IF(MOD(I1110,Inputs!$D$21)=Inputs!$D$6,Inputs!$D$24,Inputs!$D$6)+SUMPRODUCT(--(I1110&gt;$D$1110:$M$1110),--(MOD(I1110-$D$1110:$M$1110,Inputs!$D$21)=Inputs!$D$6),$D$1117:$M$1117)</f>
        <v>346</v>
      </c>
      <c r="J1118" s="28">
        <f>IF(MOD(J1110,Inputs!$D$21)=Inputs!$D$6,Inputs!$D$24,Inputs!$D$6)+SUMPRODUCT(--(J1110&gt;$D$1110:$M$1110),--(MOD(J1110-$D$1110:$M$1110,Inputs!$D$21)=Inputs!$D$6),$D$1117:$M$1117)</f>
        <v>259.5</v>
      </c>
      <c r="K1118" s="28">
        <f>IF(MOD(K1110,Inputs!$D$21)=Inputs!$D$6,Inputs!$D$24,Inputs!$D$6)+SUMPRODUCT(--(K1110&gt;$D$1110:$M$1110),--(MOD(K1110-$D$1110:$M$1110,Inputs!$D$21)=Inputs!$D$6),$D$1117:$M$1117)</f>
        <v>46</v>
      </c>
      <c r="L1118" s="28">
        <f>IF(MOD(L1110,Inputs!$D$21)=Inputs!$D$6,Inputs!$D$24,Inputs!$D$6)+SUMPRODUCT(--(L1110&gt;$D$1110:$M$1110),--(MOD(L1110-$D$1110:$M$1110,Inputs!$D$21)=Inputs!$D$6),$D$1117:$M$1117)</f>
        <v>259.5</v>
      </c>
      <c r="M1118" s="28">
        <f>IF(MOD(M1110,Inputs!$D$21)=Inputs!$D$6,Inputs!$D$24,Inputs!$D$6)+SUMPRODUCT(--(M1110&gt;$D$1110:$M$1110),--(MOD(M1110-$D$1110:$M$1110,Inputs!$D$21)=Inputs!$D$6),$D$1117:$M$1117)</f>
        <v>346</v>
      </c>
    </row>
    <row r="1119" spans="1:13" ht="15" customHeight="1" x14ac:dyDescent="0.2">
      <c r="B1119" s="10" t="s">
        <v>895</v>
      </c>
      <c r="C1119" s="10" t="s">
        <v>896</v>
      </c>
      <c r="D1119" s="28">
        <f t="shared" ref="D1119:M1119" si="242">D1116*D1113</f>
        <v>125.58726899383984</v>
      </c>
      <c r="E1119" s="28">
        <f t="shared" si="242"/>
        <v>478.5</v>
      </c>
      <c r="F1119" s="28">
        <f t="shared" si="242"/>
        <v>781.25</v>
      </c>
      <c r="G1119" s="28">
        <f t="shared" si="242"/>
        <v>911</v>
      </c>
      <c r="H1119" s="28">
        <f t="shared" si="242"/>
        <v>911</v>
      </c>
      <c r="I1119" s="28">
        <f t="shared" si="242"/>
        <v>911</v>
      </c>
      <c r="J1119" s="28">
        <f t="shared" si="242"/>
        <v>911</v>
      </c>
      <c r="K1119" s="28">
        <f t="shared" si="242"/>
        <v>911</v>
      </c>
      <c r="L1119" s="28">
        <f t="shared" si="242"/>
        <v>911</v>
      </c>
      <c r="M1119" s="28">
        <f t="shared" si="242"/>
        <v>911</v>
      </c>
    </row>
    <row r="1120" spans="1:13" ht="15" customHeight="1" x14ac:dyDescent="0.2">
      <c r="B1120" s="10" t="s">
        <v>897</v>
      </c>
      <c r="C1120" s="10" t="s">
        <v>110</v>
      </c>
      <c r="D1120" s="16">
        <f>D1119*($D$1139/Inputs!$D$21+$D$1140/Inputs!$D$22)</f>
        <v>1816.9772859324419</v>
      </c>
      <c r="E1120" s="16">
        <f>E1119*($D$1139/Inputs!$D$21+$D$1140/Inputs!$D$22)</f>
        <v>6922.8643817497086</v>
      </c>
      <c r="F1120" s="16">
        <f>F1119*($D$1139/Inputs!$D$21+$D$1140/Inputs!$D$22)</f>
        <v>11303.0048030135</v>
      </c>
      <c r="G1120" s="16">
        <f>G1119*($D$1139/Inputs!$D$21+$D$1140/Inputs!$D$22)</f>
        <v>13180.207840697982</v>
      </c>
      <c r="H1120" s="16">
        <f>H1119*($D$1139/Inputs!$D$21+$D$1140/Inputs!$D$22)</f>
        <v>13180.207840697982</v>
      </c>
      <c r="I1120" s="16">
        <f>I1119*($D$1139/Inputs!$D$21+$D$1140/Inputs!$D$22)</f>
        <v>13180.207840697982</v>
      </c>
      <c r="J1120" s="16">
        <f>J1119*($D$1139/Inputs!$D$21+$D$1140/Inputs!$D$22)</f>
        <v>13180.207840697982</v>
      </c>
      <c r="K1120" s="16">
        <f>K1119*($D$1139/Inputs!$D$21+$D$1140/Inputs!$D$22)</f>
        <v>13180.207840697982</v>
      </c>
      <c r="L1120" s="16">
        <f>L1119*($D$1139/Inputs!$D$21+$D$1140/Inputs!$D$22)</f>
        <v>13180.207840697982</v>
      </c>
      <c r="M1120" s="16">
        <f>M1119*($D$1139/Inputs!$D$21+$D$1140/Inputs!$D$22)</f>
        <v>13180.207840697982</v>
      </c>
    </row>
    <row r="1121" spans="2:13" ht="15" customHeight="1" x14ac:dyDescent="0.2">
      <c r="B1121" s="10" t="s">
        <v>898</v>
      </c>
      <c r="C1121" s="10" t="s">
        <v>110</v>
      </c>
      <c r="D1121" s="16">
        <f t="shared" ref="D1121:M1121" si="243">D1117*($D$1139+$D$1140)</f>
        <v>15560.968620146154</v>
      </c>
      <c r="E1121" s="16">
        <f t="shared" si="243"/>
        <v>20747.95816019487</v>
      </c>
      <c r="F1121" s="16">
        <f t="shared" si="243"/>
        <v>15560.968620146154</v>
      </c>
      <c r="G1121" s="16">
        <f t="shared" si="243"/>
        <v>0</v>
      </c>
      <c r="H1121" s="16">
        <f t="shared" si="243"/>
        <v>0</v>
      </c>
      <c r="I1121" s="16">
        <f t="shared" si="243"/>
        <v>0</v>
      </c>
      <c r="J1121" s="16">
        <f t="shared" si="243"/>
        <v>0</v>
      </c>
      <c r="K1121" s="16">
        <f t="shared" si="243"/>
        <v>0</v>
      </c>
      <c r="L1121" s="16">
        <f t="shared" si="243"/>
        <v>0</v>
      </c>
      <c r="M1121" s="16">
        <f t="shared" si="243"/>
        <v>0</v>
      </c>
    </row>
    <row r="1122" spans="2:13" ht="15" customHeight="1" x14ac:dyDescent="0.2">
      <c r="B1122" s="10" t="s">
        <v>899</v>
      </c>
      <c r="C1122" s="10" t="s">
        <v>110</v>
      </c>
      <c r="D1122" s="16">
        <f t="shared" ref="D1122:M1122" si="244">D1118*$D$1139</f>
        <v>0</v>
      </c>
      <c r="E1122" s="16">
        <f t="shared" si="244"/>
        <v>0</v>
      </c>
      <c r="F1122" s="16">
        <f t="shared" si="244"/>
        <v>0</v>
      </c>
      <c r="G1122" s="16">
        <f t="shared" si="244"/>
        <v>2638.0048485671714</v>
      </c>
      <c r="H1122" s="16">
        <f t="shared" si="244"/>
        <v>14881.788221808281</v>
      </c>
      <c r="I1122" s="16">
        <f t="shared" si="244"/>
        <v>19842.384295744378</v>
      </c>
      <c r="J1122" s="16">
        <f t="shared" si="244"/>
        <v>14881.788221808281</v>
      </c>
      <c r="K1122" s="16">
        <f t="shared" si="244"/>
        <v>2638.0048485671714</v>
      </c>
      <c r="L1122" s="16">
        <f t="shared" si="244"/>
        <v>14881.788221808281</v>
      </c>
      <c r="M1122" s="16">
        <f t="shared" si="244"/>
        <v>19842.384295744378</v>
      </c>
    </row>
    <row r="1123" spans="2:13" ht="15" customHeight="1" x14ac:dyDescent="0.2">
      <c r="B1123" s="10" t="s">
        <v>900</v>
      </c>
      <c r="C1123" s="10" t="s">
        <v>199</v>
      </c>
      <c r="D1123" s="28">
        <f>D1117*Inputs!$D$23</f>
        <v>6.4875000000000007</v>
      </c>
      <c r="E1123" s="28">
        <f>E1117*Inputs!$D$23</f>
        <v>8.65</v>
      </c>
      <c r="F1123" s="28">
        <f>F1117*Inputs!$D$23</f>
        <v>6.4875000000000007</v>
      </c>
      <c r="G1123" s="28">
        <f>G1117*Inputs!$D$23</f>
        <v>0</v>
      </c>
      <c r="H1123" s="28">
        <f>H1117*Inputs!$D$23</f>
        <v>0</v>
      </c>
      <c r="I1123" s="28">
        <f>I1117*Inputs!$D$23</f>
        <v>0</v>
      </c>
      <c r="J1123" s="28">
        <f>J1117*Inputs!$D$23</f>
        <v>0</v>
      </c>
      <c r="K1123" s="28">
        <f>K1117*Inputs!$D$23</f>
        <v>0</v>
      </c>
      <c r="L1123" s="28">
        <f>L1117*Inputs!$D$23</f>
        <v>0</v>
      </c>
      <c r="M1123" s="28">
        <f>M1117*Inputs!$D$23</f>
        <v>0</v>
      </c>
    </row>
    <row r="1124" spans="2:13" ht="15" customHeight="1" x14ac:dyDescent="0.2">
      <c r="B1124" s="3" t="s">
        <v>901</v>
      </c>
      <c r="C1124" s="10" t="s">
        <v>896</v>
      </c>
      <c r="D1124" s="28">
        <f>(D1119*$D$1137*(Inputs!$D$7-Inputs!$D$19)-D1123)/(Inputs!$D$7+$D$1138)^D1112</f>
        <v>43.213488846686175</v>
      </c>
      <c r="E1124" s="28">
        <f>(E1119*$D$1137*(Inputs!$D$7-Inputs!$D$19)-E1123)/(Inputs!$D$7+$D$1138)^E1112</f>
        <v>163.29332190458183</v>
      </c>
      <c r="F1124" s="28">
        <f>(F1119*$D$1137*(Inputs!$D$7-Inputs!$D$19)-F1123)/(Inputs!$D$7+$D$1138)^F1112</f>
        <v>248.28260771010829</v>
      </c>
      <c r="G1124" s="28">
        <f>(G1119*$D$1137*(Inputs!$D$7-Inputs!$D$19)-G1123)/(Inputs!$D$7+$D$1138)^G1112</f>
        <v>268.5238926419492</v>
      </c>
      <c r="H1124" s="28">
        <f>(H1119*$D$1137*(Inputs!$D$7-Inputs!$D$19)-H1123)/(Inputs!$D$7+$D$1138)^H1112</f>
        <v>244.12855518959191</v>
      </c>
      <c r="I1124" s="28">
        <f>(I1119*$D$1137*(Inputs!$D$7-Inputs!$D$19)-I1123)/(Inputs!$D$7+$D$1138)^I1112</f>
        <v>221.8916197826434</v>
      </c>
      <c r="J1124" s="28">
        <f>(J1119*$D$1137*(Inputs!$D$7-Inputs!$D$19)-J1123)/(Inputs!$D$7+$D$1138)^J1112</f>
        <v>201.73281421346593</v>
      </c>
      <c r="K1124" s="28">
        <f>(K1119*$D$1137*(Inputs!$D$7-Inputs!$D$19)-K1123)/(Inputs!$D$7+$D$1138)^K1112</f>
        <v>183.40543176145695</v>
      </c>
      <c r="L1124" s="28">
        <f>(L1119*$D$1137*(Inputs!$D$7-Inputs!$D$19)-L1123)/(Inputs!$D$7+$D$1138)^L1112</f>
        <v>166.74308803332551</v>
      </c>
      <c r="M1124" s="28">
        <f>(M1119*$D$1137*(Inputs!$D$7-Inputs!$D$19)-M1123)/(Inputs!$D$7+$D$1138)^M1112</f>
        <v>151.55496194429571</v>
      </c>
    </row>
    <row r="1125" spans="2:13" ht="15" customHeight="1" x14ac:dyDescent="0.2">
      <c r="B1125" s="10" t="s">
        <v>902</v>
      </c>
      <c r="C1125" s="10" t="s">
        <v>110</v>
      </c>
      <c r="D1125" s="16">
        <f>(D1120*Inputs!$D$19-D1121-D1122)/(Inputs!$D$7+$D$1138)^D1112</f>
        <v>-14027.24269342025</v>
      </c>
      <c r="E1125" s="16">
        <f>(E1120*Inputs!$D$19-E1121-E1122)/(Inputs!$D$7+$D$1138)^E1112</f>
        <v>-15853.087323826181</v>
      </c>
      <c r="F1125" s="16">
        <f>(F1120*Inputs!$D$19-F1121-F1122)/(Inputs!$D$7+$D$1138)^F1112</f>
        <v>-9394.4767487293357</v>
      </c>
      <c r="G1125" s="16">
        <f>(G1120*Inputs!$D$19-G1121-G1122)/(Inputs!$D$7+$D$1138)^G1112</f>
        <v>923.61320322684639</v>
      </c>
      <c r="H1125" s="16">
        <f>(H1120*Inputs!$D$19-H1121-H1122)/(Inputs!$D$7+$D$1138)^H1112</f>
        <v>-6972.3744918015345</v>
      </c>
      <c r="I1125" s="16">
        <f>(I1120*Inputs!$D$19-I1121-I1122)/(Inputs!$D$7+$D$1138)^I1112</f>
        <v>-9214.0648467907959</v>
      </c>
      <c r="J1125" s="16">
        <f>(J1120*Inputs!$D$19-J1121-J1122)/(Inputs!$D$7+$D$1138)^J1112</f>
        <v>-5761.5411965591911</v>
      </c>
      <c r="K1125" s="16">
        <f>(K1120*Inputs!$D$19-K1121-K1122)/(Inputs!$D$7+$D$1138)^K1112</f>
        <v>630.8402453567694</v>
      </c>
      <c r="L1125" s="16">
        <f>(L1120*Inputs!$D$19-L1121-L1122)/(Inputs!$D$7+$D$1138)^L1112</f>
        <v>-4762.2255937446444</v>
      </c>
      <c r="M1125" s="16">
        <f>(M1120*Inputs!$D$19-M1121-M1122)/(Inputs!$D$7+$D$1138)^M1112</f>
        <v>-6293.3302689644106</v>
      </c>
    </row>
    <row r="1126" spans="2:13" ht="15" customHeight="1" x14ac:dyDescent="0.2">
      <c r="B1126" s="10" t="s">
        <v>903</v>
      </c>
      <c r="C1126" s="10" t="s">
        <v>110</v>
      </c>
      <c r="D1126" s="16">
        <f t="shared" ref="D1126:M1126" si="245">D1119*$D$1136</f>
        <v>4113.2252904662091</v>
      </c>
      <c r="E1126" s="16">
        <f t="shared" si="245"/>
        <v>15671.797923917127</v>
      </c>
      <c r="F1126" s="16">
        <f t="shared" si="245"/>
        <v>25587.44436376229</v>
      </c>
      <c r="G1126" s="16">
        <f t="shared" si="245"/>
        <v>29837.00712369593</v>
      </c>
      <c r="H1126" s="16">
        <f t="shared" si="245"/>
        <v>29837.00712369593</v>
      </c>
      <c r="I1126" s="16">
        <f t="shared" si="245"/>
        <v>29837.00712369593</v>
      </c>
      <c r="J1126" s="16">
        <f t="shared" si="245"/>
        <v>29837.00712369593</v>
      </c>
      <c r="K1126" s="16">
        <f t="shared" si="245"/>
        <v>29837.00712369593</v>
      </c>
      <c r="L1126" s="16">
        <f t="shared" si="245"/>
        <v>29837.00712369593</v>
      </c>
      <c r="M1126" s="16">
        <f t="shared" si="245"/>
        <v>29837.00712369593</v>
      </c>
    </row>
    <row r="1127" spans="2:13" ht="15" customHeight="1" x14ac:dyDescent="0.2">
      <c r="B1127" s="10" t="s">
        <v>904</v>
      </c>
      <c r="C1127" s="10" t="s">
        <v>110</v>
      </c>
      <c r="D1127" s="16">
        <f t="shared" ref="D1127:M1127" si="246">D1126*$D$1137</f>
        <v>2467.9351742797253</v>
      </c>
      <c r="E1127" s="16">
        <f t="shared" si="246"/>
        <v>9403.0787543502756</v>
      </c>
      <c r="F1127" s="16">
        <f t="shared" si="246"/>
        <v>15352.466618257373</v>
      </c>
      <c r="G1127" s="16">
        <f t="shared" si="246"/>
        <v>17902.204274217558</v>
      </c>
      <c r="H1127" s="16">
        <f t="shared" si="246"/>
        <v>17902.204274217558</v>
      </c>
      <c r="I1127" s="16">
        <f t="shared" si="246"/>
        <v>17902.204274217558</v>
      </c>
      <c r="J1127" s="16">
        <f t="shared" si="246"/>
        <v>17902.204274217558</v>
      </c>
      <c r="K1127" s="16">
        <f t="shared" si="246"/>
        <v>17902.204274217558</v>
      </c>
      <c r="L1127" s="16">
        <f t="shared" si="246"/>
        <v>17902.204274217558</v>
      </c>
      <c r="M1127" s="16">
        <f t="shared" si="246"/>
        <v>17902.204274217558</v>
      </c>
    </row>
    <row r="1128" spans="2:13" ht="15" customHeight="1" x14ac:dyDescent="0.2">
      <c r="B1128" s="10" t="s">
        <v>905</v>
      </c>
      <c r="C1128" s="10" t="s">
        <v>110</v>
      </c>
      <c r="D1128" s="16">
        <f t="shared" ref="D1128:M1128" si="247">D1127-D1120</f>
        <v>650.95788834728341</v>
      </c>
      <c r="E1128" s="16">
        <f t="shared" si="247"/>
        <v>2480.214372600567</v>
      </c>
      <c r="F1128" s="16">
        <f t="shared" si="247"/>
        <v>4049.4618152438725</v>
      </c>
      <c r="G1128" s="16">
        <f t="shared" si="247"/>
        <v>4721.9964335195764</v>
      </c>
      <c r="H1128" s="16">
        <f t="shared" si="247"/>
        <v>4721.9964335195764</v>
      </c>
      <c r="I1128" s="16">
        <f t="shared" si="247"/>
        <v>4721.9964335195764</v>
      </c>
      <c r="J1128" s="16">
        <f t="shared" si="247"/>
        <v>4721.9964335195764</v>
      </c>
      <c r="K1128" s="16">
        <f t="shared" si="247"/>
        <v>4721.9964335195764</v>
      </c>
      <c r="L1128" s="16">
        <f t="shared" si="247"/>
        <v>4721.9964335195764</v>
      </c>
      <c r="M1128" s="16">
        <f t="shared" si="247"/>
        <v>4721.9964335195764</v>
      </c>
    </row>
    <row r="1129" spans="2:13" ht="15" customHeight="1" x14ac:dyDescent="0.2">
      <c r="B1129" s="10" t="s">
        <v>906</v>
      </c>
      <c r="C1129" s="10" t="s">
        <v>110</v>
      </c>
      <c r="D1129" s="16">
        <f>MAX(D1128,Inputs!$D$6)*Inputs!$D$19</f>
        <v>195.28736650418503</v>
      </c>
      <c r="E1129" s="16">
        <f>MAX(E1128,Inputs!$D$6)*Inputs!$D$19</f>
        <v>744.0643117801701</v>
      </c>
      <c r="F1129" s="16">
        <f>MAX(F1128,Inputs!$D$6)*Inputs!$D$19</f>
        <v>1214.8385445731617</v>
      </c>
      <c r="G1129" s="16">
        <f>MAX(G1128,Inputs!$D$6)*Inputs!$D$19</f>
        <v>1416.5989300558729</v>
      </c>
      <c r="H1129" s="16">
        <f>MAX(H1128,Inputs!$D$6)*Inputs!$D$19</f>
        <v>1416.5989300558729</v>
      </c>
      <c r="I1129" s="16">
        <f>MAX(I1128,Inputs!$D$6)*Inputs!$D$19</f>
        <v>1416.5989300558729</v>
      </c>
      <c r="J1129" s="16">
        <f>MAX(J1128,Inputs!$D$6)*Inputs!$D$19</f>
        <v>1416.5989300558729</v>
      </c>
      <c r="K1129" s="16">
        <f>MAX(K1128,Inputs!$D$6)*Inputs!$D$19</f>
        <v>1416.5989300558729</v>
      </c>
      <c r="L1129" s="16">
        <f>MAX(L1128,Inputs!$D$6)*Inputs!$D$19</f>
        <v>1416.5989300558729</v>
      </c>
      <c r="M1129" s="16">
        <f>MAX(M1128,Inputs!$D$6)*Inputs!$D$19</f>
        <v>1416.5989300558729</v>
      </c>
    </row>
    <row r="1130" spans="2:13" ht="15" customHeight="1" x14ac:dyDescent="0.2">
      <c r="B1130" s="10" t="s">
        <v>907</v>
      </c>
      <c r="C1130" s="10" t="s">
        <v>110</v>
      </c>
      <c r="D1130" s="16">
        <f t="shared" ref="D1130:M1130" si="248">D1123*$D$1136</f>
        <v>212.47813799668208</v>
      </c>
      <c r="E1130" s="16">
        <f t="shared" si="248"/>
        <v>283.30418399557607</v>
      </c>
      <c r="F1130" s="16">
        <f t="shared" si="248"/>
        <v>212.47813799668208</v>
      </c>
      <c r="G1130" s="16">
        <f t="shared" si="248"/>
        <v>0</v>
      </c>
      <c r="H1130" s="16">
        <f t="shared" si="248"/>
        <v>0</v>
      </c>
      <c r="I1130" s="16">
        <f t="shared" si="248"/>
        <v>0</v>
      </c>
      <c r="J1130" s="16">
        <f t="shared" si="248"/>
        <v>0</v>
      </c>
      <c r="K1130" s="16">
        <f t="shared" si="248"/>
        <v>0</v>
      </c>
      <c r="L1130" s="16">
        <f t="shared" si="248"/>
        <v>0</v>
      </c>
      <c r="M1130" s="16">
        <f t="shared" si="248"/>
        <v>0</v>
      </c>
    </row>
    <row r="1131" spans="2:13" ht="15" customHeight="1" x14ac:dyDescent="0.2">
      <c r="B1131" s="10" t="s">
        <v>908</v>
      </c>
      <c r="C1131" s="10" t="s">
        <v>110</v>
      </c>
      <c r="D1131" s="16">
        <f t="shared" ref="D1131:M1131" si="249">D1127-D1129-D1121-D1122-D1130</f>
        <v>-13500.798950367296</v>
      </c>
      <c r="E1131" s="16">
        <f t="shared" si="249"/>
        <v>-12372.247901620342</v>
      </c>
      <c r="F1131" s="16">
        <f t="shared" si="249"/>
        <v>-1635.8186844586248</v>
      </c>
      <c r="G1131" s="16">
        <f t="shared" si="249"/>
        <v>13847.600495594514</v>
      </c>
      <c r="H1131" s="16">
        <f t="shared" si="249"/>
        <v>1603.8171223534046</v>
      </c>
      <c r="I1131" s="16">
        <f t="shared" si="249"/>
        <v>-3356.7789515826917</v>
      </c>
      <c r="J1131" s="16">
        <f t="shared" si="249"/>
        <v>1603.8171223534046</v>
      </c>
      <c r="K1131" s="16">
        <f t="shared" si="249"/>
        <v>13847.600495594514</v>
      </c>
      <c r="L1131" s="16">
        <f t="shared" si="249"/>
        <v>1603.8171223534046</v>
      </c>
      <c r="M1131" s="16">
        <f t="shared" si="249"/>
        <v>-3356.7789515826917</v>
      </c>
    </row>
    <row r="1132" spans="2:13" ht="15" customHeight="1" x14ac:dyDescent="0.2">
      <c r="B1132" s="10" t="s">
        <v>909</v>
      </c>
      <c r="C1132" s="10" t="s">
        <v>110</v>
      </c>
      <c r="D1132" s="16">
        <f>D1131/(Inputs!$D$7+$D$1138)^D1112</f>
        <v>-12611.917584135586</v>
      </c>
      <c r="E1132" s="16">
        <f>E1131/(Inputs!$D$7+$D$1138)^E1112</f>
        <v>-10504.916073640692</v>
      </c>
      <c r="F1132" s="16">
        <f>F1131/(Inputs!$D$7+$D$1138)^F1112</f>
        <v>-1262.7424623009015</v>
      </c>
      <c r="G1132" s="16">
        <f>G1131/(Inputs!$D$7+$D$1138)^G1112</f>
        <v>9718.2886122722921</v>
      </c>
      <c r="H1132" s="16">
        <f>H1131/(Inputs!$D$7+$D$1138)^H1112</f>
        <v>1023.3065623032397</v>
      </c>
      <c r="I1132" s="16">
        <f>I1131/(Inputs!$D$7+$D$1138)^I1112</f>
        <v>-1946.6863175447361</v>
      </c>
      <c r="J1132" s="16">
        <f>J1131/(Inputs!$D$7+$D$1138)^J1112</f>
        <v>845.59756828209424</v>
      </c>
      <c r="K1132" s="16">
        <f>K1131/(Inputs!$D$7+$D$1138)^K1112</f>
        <v>6637.7218853031136</v>
      </c>
      <c r="L1132" s="16">
        <f>L1131/(Inputs!$D$7+$D$1138)^L1112</f>
        <v>698.93215101648764</v>
      </c>
      <c r="M1132" s="16">
        <f>M1131/(Inputs!$D$7+$D$1138)^M1112</f>
        <v>-1329.6129482581352</v>
      </c>
    </row>
    <row r="1133" spans="2:13" ht="15" customHeight="1" x14ac:dyDescent="0.2">
      <c r="B1133" s="3" t="s">
        <v>910</v>
      </c>
      <c r="C1133" s="10" t="s">
        <v>896</v>
      </c>
      <c r="D1133" s="28">
        <f>(D1119*$D$1137-D1123)/(Inputs!$D$7+$D$1138)^D1112</f>
        <v>64.330856237917445</v>
      </c>
      <c r="E1133" s="28">
        <f>(E1119*$D$1137-E1123)/(Inputs!$D$7+$D$1138)^E1112</f>
        <v>236.42380139523098</v>
      </c>
      <c r="F1133" s="28">
        <f>(F1119*$D$1137-F1123)/(Inputs!$D$7+$D$1138)^F1112</f>
        <v>356.83568908039001</v>
      </c>
      <c r="G1133" s="28">
        <f>(G1119*$D$1137-G1123)/(Inputs!$D$7+$D$1138)^G1112</f>
        <v>383.60556091707036</v>
      </c>
      <c r="H1133" s="28">
        <f>(H1119*$D$1137-H1123)/(Inputs!$D$7+$D$1138)^H1112</f>
        <v>348.75507884227414</v>
      </c>
      <c r="I1133" s="28">
        <f>(I1119*$D$1137-I1123)/(Inputs!$D$7+$D$1138)^I1112</f>
        <v>316.98802826091918</v>
      </c>
      <c r="J1133" s="28">
        <f>(J1119*$D$1137-J1123)/(Inputs!$D$7+$D$1138)^J1112</f>
        <v>288.18973459066564</v>
      </c>
      <c r="K1133" s="28">
        <f>(K1119*$D$1137-K1123)/(Inputs!$D$7+$D$1138)^K1112</f>
        <v>262.00775965922423</v>
      </c>
      <c r="L1133" s="28">
        <f>(L1119*$D$1137-L1123)/(Inputs!$D$7+$D$1138)^L1112</f>
        <v>238.2044114761793</v>
      </c>
      <c r="M1133" s="28">
        <f>(M1119*$D$1137-M1123)/(Inputs!$D$7+$D$1138)^M1112</f>
        <v>216.50708849185102</v>
      </c>
    </row>
    <row r="1134" spans="2:13" ht="15" customHeight="1" x14ac:dyDescent="0.2">
      <c r="B1134" s="10" t="s">
        <v>911</v>
      </c>
      <c r="C1134" s="10" t="s">
        <v>110</v>
      </c>
      <c r="D1134" s="16">
        <f>(-D1121-D1122)/(Inputs!$D$7+$D$1138)^D1112</f>
        <v>-14536.447397527105</v>
      </c>
      <c r="E1134" s="16">
        <f>(-E1121-E1122)/(Inputs!$D$7+$D$1138)^E1112</f>
        <v>-17616.488200475756</v>
      </c>
      <c r="F1134" s="16">
        <f>(-F1121-F1122)/(Inputs!$D$7+$D$1138)^F1112</f>
        <v>-12012.025548964448</v>
      </c>
      <c r="G1134" s="16">
        <f>(-G1121-G1122)/(Inputs!$D$7+$D$1138)^G1112</f>
        <v>-1851.359915178487</v>
      </c>
      <c r="H1134" s="16">
        <f>(-H1121-H1122)/(Inputs!$D$7+$D$1138)^H1112</f>
        <v>-9495.2419037884629</v>
      </c>
      <c r="I1134" s="16">
        <f>(-I1121-I1122)/(Inputs!$D$7+$D$1138)^I1112</f>
        <v>-11507.131858586603</v>
      </c>
      <c r="J1134" s="16">
        <f>(-J1121-J1122)/(Inputs!$D$7+$D$1138)^J1112</f>
        <v>-7846.2835672839774</v>
      </c>
      <c r="K1134" s="16">
        <f>(-K1121-K1122)/(Inputs!$D$7+$D$1138)^K1112</f>
        <v>-1264.5037327904422</v>
      </c>
      <c r="L1134" s="16">
        <f>(-L1121-L1122)/(Inputs!$D$7+$D$1138)^L1112</f>
        <v>-6485.3779822337692</v>
      </c>
      <c r="M1134" s="16">
        <f>(-M1121-M1122)/(Inputs!$D$7+$D$1138)^M1112</f>
        <v>-7859.5258920747219</v>
      </c>
    </row>
    <row r="1135" spans="2:13" ht="15" customHeight="1" x14ac:dyDescent="0.2">
      <c r="B1135" s="10" t="s">
        <v>912</v>
      </c>
      <c r="C1135" s="10" t="s">
        <v>110</v>
      </c>
      <c r="D1135" s="16">
        <f>Prices!I10</f>
        <v>1850</v>
      </c>
    </row>
    <row r="1136" spans="2:13" ht="15" customHeight="1" x14ac:dyDescent="0.2">
      <c r="B1136" s="3" t="s">
        <v>913</v>
      </c>
      <c r="C1136" s="10" t="s">
        <v>914</v>
      </c>
      <c r="D1136" s="28">
        <f>IF(J1143&gt;=J1139,J1143,(D1135-J1142)/J1141)</f>
        <v>32.751928785615732</v>
      </c>
      <c r="G1136" s="99" t="s">
        <v>915</v>
      </c>
      <c r="H1136" s="91"/>
      <c r="I1136" s="91"/>
      <c r="J1136" s="28">
        <f>D1136*Inputs!$D$15</f>
        <v>22.85757109948122</v>
      </c>
      <c r="K1136" s="99" t="s">
        <v>916</v>
      </c>
      <c r="L1136" s="91"/>
      <c r="M1136" s="91"/>
    </row>
    <row r="1137" spans="2:13" ht="15" customHeight="1" x14ac:dyDescent="0.2">
      <c r="B1137" s="10" t="s">
        <v>917</v>
      </c>
      <c r="C1137" s="10" t="s">
        <v>104</v>
      </c>
      <c r="D1137" s="30">
        <f>Inputs!$D$81</f>
        <v>0.6</v>
      </c>
      <c r="G1137" s="99" t="s">
        <v>918</v>
      </c>
      <c r="H1137" s="91"/>
      <c r="I1137" s="91"/>
      <c r="J1137" s="28">
        <f>IF(-D1148/D1147&gt;=J1139,-D1148/D1147,-J1142/J1141)</f>
        <v>32.284876648616972</v>
      </c>
      <c r="K1137" s="99" t="s">
        <v>919</v>
      </c>
      <c r="L1137" s="91"/>
      <c r="M1137" s="91"/>
    </row>
    <row r="1138" spans="2:13" ht="15" customHeight="1" x14ac:dyDescent="0.2">
      <c r="B1138" s="10" t="s">
        <v>920</v>
      </c>
      <c r="C1138" s="10" t="s">
        <v>104</v>
      </c>
      <c r="D1138" s="30">
        <f>Inputs!$D$82</f>
        <v>0.1</v>
      </c>
      <c r="G1138" s="99" t="s">
        <v>918</v>
      </c>
      <c r="H1138" s="91"/>
      <c r="I1138" s="91"/>
      <c r="J1138" s="28">
        <f>J1137*Inputs!$D$15</f>
        <v>22.531615413069783</v>
      </c>
      <c r="K1138" s="99" t="s">
        <v>916</v>
      </c>
      <c r="L1138" s="91"/>
      <c r="M1138" s="91"/>
    </row>
    <row r="1139" spans="2:13" ht="15" customHeight="1" x14ac:dyDescent="0.2">
      <c r="B1139" s="3" t="s">
        <v>921</v>
      </c>
      <c r="C1139" s="10" t="s">
        <v>848</v>
      </c>
      <c r="D1139" s="28">
        <f>Capital!$D$13</f>
        <v>57.347931490590682</v>
      </c>
      <c r="G1139" s="99" t="s">
        <v>922</v>
      </c>
      <c r="H1139" s="91"/>
      <c r="I1139" s="91"/>
      <c r="J1139" s="28">
        <f>($D$1139/Inputs!$D$21+$D$1140/Inputs!$D$22)/$D$1137</f>
        <v>24.113076913095469</v>
      </c>
      <c r="K1139" s="99" t="s">
        <v>919</v>
      </c>
      <c r="L1139" s="91"/>
      <c r="M1139" s="91"/>
    </row>
    <row r="1140" spans="2:13" ht="15" customHeight="1" x14ac:dyDescent="0.2">
      <c r="B1140" s="3" t="s">
        <v>923</v>
      </c>
      <c r="C1140" s="10" t="s">
        <v>848</v>
      </c>
      <c r="D1140" s="28">
        <f>Capital!$D$14</f>
        <v>2.6172655041921802</v>
      </c>
    </row>
    <row r="1141" spans="2:13" ht="15" customHeight="1" x14ac:dyDescent="0.2">
      <c r="B1141" s="10" t="s">
        <v>924</v>
      </c>
      <c r="C1141" s="10" t="s">
        <v>896</v>
      </c>
      <c r="D1141" s="28">
        <f>(M1114*(Inputs!$D$7+Inputs!$D$20)*$D$1137*(Inputs!$D$7-Inputs!$D$19)-M1114*Inputs!$D$20*Inputs!$D$23)/($D$1138-Inputs!$D$20)/(Inputs!$D$7+$D$1138)^M1112</f>
        <v>2068.2441036763203</v>
      </c>
      <c r="G1141" s="92" t="s">
        <v>910</v>
      </c>
      <c r="H1141" s="91"/>
      <c r="I1141" s="91"/>
      <c r="J1141" s="28">
        <f>SUM(D1133:M1133)+(M1114*(Inputs!$D$7+Inputs!$D$20)*$D$1137-M1114*Inputs!$D$20*Inputs!$D$23)/($D$1138-Inputs!$D$20)/(Inputs!$D$7+$D$1138)^M1112</f>
        <v>5667.7711754446318</v>
      </c>
      <c r="K1141" s="99" t="s">
        <v>896</v>
      </c>
      <c r="L1141" s="91"/>
      <c r="M1141" s="91"/>
    </row>
    <row r="1142" spans="2:13" ht="15" customHeight="1" x14ac:dyDescent="0.2">
      <c r="B1142" s="10" t="s">
        <v>925</v>
      </c>
      <c r="C1142" s="10" t="s">
        <v>110</v>
      </c>
      <c r="D1142" s="16">
        <f>(D1145*Inputs!$D$19-D1145-D1146)/($D$1138-Inputs!$D$20)/(Inputs!$D$7+$D$1138)^M1112</f>
        <v>-57156.954988173631</v>
      </c>
      <c r="G1142" s="92" t="s">
        <v>926</v>
      </c>
      <c r="H1142" s="91"/>
      <c r="I1142" s="91"/>
      <c r="J1142" s="16">
        <f>SUM(D1134:M1134)-(D1145+D1146)/($D$1138-Inputs!$D$20)/(Inputs!$D$7+$D$1138)^M1112</f>
        <v>-169036.01450291832</v>
      </c>
      <c r="K1142" s="99" t="s">
        <v>110</v>
      </c>
      <c r="L1142" s="91"/>
      <c r="M1142" s="91"/>
    </row>
    <row r="1143" spans="2:13" ht="15" customHeight="1" x14ac:dyDescent="0.2">
      <c r="B1143" s="10" t="s">
        <v>927</v>
      </c>
      <c r="C1143" s="10" t="s">
        <v>928</v>
      </c>
      <c r="D1143" s="16">
        <f>(M1114*(Inputs!$D$7+Inputs!$D$20)*$D$1136*$D$1137-D1145)-MAX((M1114*(Inputs!$D$7+Inputs!$D$20)*$D$1136*$D$1137-D1145),Inputs!$D$6)*Inputs!$D$19-D1146-M1114*Inputs!$D$20*$D$1136*Inputs!$D$23</f>
        <v>2003.6769500418063</v>
      </c>
      <c r="G1143" s="99" t="s">
        <v>929</v>
      </c>
      <c r="H1143" s="91"/>
      <c r="I1143" s="91"/>
      <c r="J1143" s="28">
        <f>(D1135-D1148)/D1147</f>
        <v>32.751928785615732</v>
      </c>
      <c r="K1143" s="99" t="s">
        <v>919</v>
      </c>
      <c r="L1143" s="91"/>
      <c r="M1143" s="91"/>
    </row>
    <row r="1144" spans="2:13" ht="15" customHeight="1" x14ac:dyDescent="0.2">
      <c r="B1144" s="10" t="s">
        <v>930</v>
      </c>
      <c r="C1144" s="10" t="s">
        <v>110</v>
      </c>
      <c r="D1144" s="16">
        <f>D1143/($D$1138-Inputs!$D$20)</f>
        <v>26715.692667224081</v>
      </c>
      <c r="G1144" s="99" t="s">
        <v>931</v>
      </c>
      <c r="H1144" s="91"/>
      <c r="I1144" s="91"/>
      <c r="J1144" s="16">
        <f>MIN(D1128:M1128,(M1114*(Inputs!$D$7+Inputs!$D$20)*$D$1136*$D$1137-D1145))</f>
        <v>650.95788834728341</v>
      </c>
      <c r="K1144" s="99" t="s">
        <v>110</v>
      </c>
      <c r="L1144" s="91"/>
      <c r="M1144" s="91"/>
    </row>
    <row r="1145" spans="2:13" ht="15" customHeight="1" x14ac:dyDescent="0.2">
      <c r="B1145" s="10" t="s">
        <v>932</v>
      </c>
      <c r="C1145" s="10" t="s">
        <v>928</v>
      </c>
      <c r="D1145" s="16">
        <f>M1114*(Inputs!$D$7+Inputs!$D$20)*($D$1139/Inputs!$D$21+$D$1140/Inputs!$D$22)</f>
        <v>13509.71303671543</v>
      </c>
      <c r="G1145" s="99" t="s">
        <v>933</v>
      </c>
      <c r="H1145" s="91"/>
      <c r="I1145" s="91"/>
      <c r="J1145" s="31" t="str">
        <f>IF(J1144&lt;Inputs!$D$6,"breached","satisfied")</f>
        <v>satisfied</v>
      </c>
      <c r="K1145" s="99" t="s">
        <v>934</v>
      </c>
      <c r="L1145" s="91"/>
      <c r="M1145" s="91"/>
    </row>
    <row r="1146" spans="2:13" ht="15" customHeight="1" x14ac:dyDescent="0.2">
      <c r="B1146" s="10" t="s">
        <v>935</v>
      </c>
      <c r="C1146" s="10" t="s">
        <v>928</v>
      </c>
      <c r="D1146" s="16">
        <f>M1114*Inputs!$D$20*($D$1139+$D$1140)</f>
        <v>1365.7073615561799</v>
      </c>
    </row>
    <row r="1147" spans="2:13" ht="15" customHeight="1" x14ac:dyDescent="0.2">
      <c r="B1147" s="10" t="s">
        <v>936</v>
      </c>
      <c r="C1147" s="10" t="s">
        <v>896</v>
      </c>
      <c r="D1147" s="28">
        <f>SUM(D1124:M1124)+D1141</f>
        <v>3961.0138857044249</v>
      </c>
      <c r="G1147" s="99" t="s">
        <v>937</v>
      </c>
      <c r="H1147" s="91"/>
      <c r="I1147" s="91"/>
      <c r="J1147" s="16">
        <f>D1149-D1135</f>
        <v>2.5465851649641991E-11</v>
      </c>
      <c r="K1147" s="99" t="s">
        <v>110</v>
      </c>
      <c r="L1147" s="91"/>
      <c r="M1147" s="91"/>
    </row>
    <row r="1148" spans="2:13" ht="15" customHeight="1" x14ac:dyDescent="0.2">
      <c r="B1148" s="10" t="s">
        <v>938</v>
      </c>
      <c r="C1148" s="10" t="s">
        <v>110</v>
      </c>
      <c r="D1148" s="16">
        <f>SUM(D1125:M1125)+D1142</f>
        <v>-127880.84470342637</v>
      </c>
    </row>
    <row r="1149" spans="2:13" ht="15" customHeight="1" x14ac:dyDescent="0.2">
      <c r="B1149" s="10" t="s">
        <v>939</v>
      </c>
      <c r="C1149" s="10" t="s">
        <v>110</v>
      </c>
      <c r="D1149" s="16">
        <f>SUM(D1132:M1132)+D1144/(Inputs!$D$7+$D$1138)^M1112</f>
        <v>1850.0000000000255</v>
      </c>
    </row>
    <row r="1150" spans="2:13" ht="15" customHeight="1" x14ac:dyDescent="0.2">
      <c r="B1150" s="10" t="s">
        <v>940</v>
      </c>
      <c r="C1150" s="10" t="s">
        <v>104</v>
      </c>
      <c r="D1150" s="30">
        <f>IF(ABS(D1135)&gt;Inputs!$D$6,D1149/D1135-Inputs!$D$7,Inputs!$D$6)</f>
        <v>1.3766765505351941E-14</v>
      </c>
    </row>
    <row r="1151" spans="2:13" ht="15" customHeight="1" x14ac:dyDescent="0.2">
      <c r="B1151" s="10" t="s">
        <v>941</v>
      </c>
      <c r="C1151" s="10" t="s">
        <v>104</v>
      </c>
      <c r="D1151" s="30">
        <f>IF(ABS(D1149)&gt;Inputs!$D$119,D1144/(Inputs!$D$7+$D$1138)^M1112/D1149,Inputs!$D$6)</f>
        <v>5.7200154630825439</v>
      </c>
    </row>
    <row r="1152" spans="2:13" ht="15" customHeight="1" x14ac:dyDescent="0.2">
      <c r="B1152" s="10" t="s">
        <v>942</v>
      </c>
      <c r="C1152" s="10" t="s">
        <v>943</v>
      </c>
      <c r="D1152" s="26">
        <f>$D$1136*Inputs!$D$8/Prices!$P$6/(Inputs!$D$26/Inputs!$D$25)/Inputs!$D$11/Inputs!$D$56</f>
        <v>5.9560377343794118</v>
      </c>
    </row>
    <row r="1156" spans="1:13" ht="15" customHeight="1" x14ac:dyDescent="0.2">
      <c r="A1156" s="104" t="s">
        <v>968</v>
      </c>
      <c r="B1156" s="10" t="s">
        <v>886</v>
      </c>
      <c r="C1156" s="10" t="s">
        <v>107</v>
      </c>
      <c r="D1156" s="28">
        <f>Inputs!$D$60</f>
        <v>1</v>
      </c>
      <c r="E1156" s="28">
        <f>Inputs!$D$62</f>
        <v>2</v>
      </c>
      <c r="F1156" s="28">
        <f>Inputs!$D$64</f>
        <v>3</v>
      </c>
      <c r="G1156" s="28">
        <f>Inputs!$D$66</f>
        <v>4</v>
      </c>
      <c r="H1156" s="28">
        <f>Inputs!$D$68</f>
        <v>5</v>
      </c>
      <c r="I1156" s="28">
        <f>Inputs!$D$70</f>
        <v>6</v>
      </c>
      <c r="J1156" s="28">
        <f>Inputs!$D$72</f>
        <v>7</v>
      </c>
      <c r="K1156" s="28">
        <f>Inputs!$D$74</f>
        <v>8</v>
      </c>
      <c r="L1156" s="28">
        <f>Inputs!$D$76</f>
        <v>9</v>
      </c>
      <c r="M1156" s="28">
        <f>Inputs!$D$78</f>
        <v>10</v>
      </c>
    </row>
    <row r="1157" spans="1:13" ht="15" customHeight="1" x14ac:dyDescent="0.2">
      <c r="A1157" s="91"/>
      <c r="B1157" s="10" t="s">
        <v>887</v>
      </c>
      <c r="C1157" s="10" t="s">
        <v>161</v>
      </c>
      <c r="D1157" s="29">
        <f>Inputs!$D$61</f>
        <v>46568</v>
      </c>
      <c r="E1157" s="29">
        <f>Inputs!$D$63</f>
        <v>46934</v>
      </c>
      <c r="F1157" s="29">
        <f>Inputs!$D$65</f>
        <v>47299</v>
      </c>
      <c r="G1157" s="29">
        <f>Inputs!$D$67</f>
        <v>47664</v>
      </c>
      <c r="H1157" s="29">
        <f>Inputs!$D$69</f>
        <v>48029</v>
      </c>
      <c r="I1157" s="29">
        <f>Inputs!$D$71</f>
        <v>48395</v>
      </c>
      <c r="J1157" s="29">
        <f>Inputs!$D$73</f>
        <v>48760</v>
      </c>
      <c r="K1157" s="29">
        <f>Inputs!$D$75</f>
        <v>49125</v>
      </c>
      <c r="L1157" s="29">
        <f>Inputs!$D$77</f>
        <v>49490</v>
      </c>
      <c r="M1157" s="29">
        <f>Inputs!$D$79</f>
        <v>49856</v>
      </c>
    </row>
    <row r="1158" spans="1:13" ht="15" customHeight="1" x14ac:dyDescent="0.2">
      <c r="A1158" s="91"/>
      <c r="B1158" s="10" t="s">
        <v>888</v>
      </c>
      <c r="C1158" s="10" t="s">
        <v>107</v>
      </c>
      <c r="D1158" s="28">
        <f>(D1157-Inputs!$D$13)/Inputs!$D$10</f>
        <v>0.71457905544147848</v>
      </c>
      <c r="E1158" s="28">
        <f>(E1157-Inputs!$D$13)/Inputs!$D$10</f>
        <v>1.7166324435318274</v>
      </c>
      <c r="F1158" s="28">
        <f>(F1157-Inputs!$D$13)/Inputs!$D$10</f>
        <v>2.7159479808350446</v>
      </c>
      <c r="G1158" s="28">
        <f>(G1157-Inputs!$D$13)/Inputs!$D$10</f>
        <v>3.7152635181382614</v>
      </c>
      <c r="H1158" s="28">
        <f>(H1157-Inputs!$D$13)/Inputs!$D$10</f>
        <v>4.7145790554414786</v>
      </c>
      <c r="I1158" s="28">
        <f>(I1157-Inputs!$D$13)/Inputs!$D$10</f>
        <v>5.7166324435318279</v>
      </c>
      <c r="J1158" s="28">
        <f>(J1157-Inputs!$D$13)/Inputs!$D$10</f>
        <v>6.7159479808350442</v>
      </c>
      <c r="K1158" s="28">
        <f>(K1157-Inputs!$D$13)/Inputs!$D$10</f>
        <v>7.7152635181382614</v>
      </c>
      <c r="L1158" s="28">
        <f>(L1157-Inputs!$D$13)/Inputs!$D$10</f>
        <v>8.7145790554414777</v>
      </c>
      <c r="M1158" s="28">
        <f>(M1157-Inputs!$D$13)/Inputs!$D$10</f>
        <v>9.716632443531827</v>
      </c>
    </row>
    <row r="1159" spans="1:13" ht="15" customHeight="1" x14ac:dyDescent="0.2">
      <c r="A1159" s="91"/>
      <c r="B1159" s="10" t="s">
        <v>889</v>
      </c>
      <c r="C1159" s="10" t="s">
        <v>107</v>
      </c>
      <c r="D1159" s="28">
        <f>D1158</f>
        <v>0.71457905544147848</v>
      </c>
      <c r="E1159" s="28">
        <f>Inputs!$D$7</f>
        <v>1</v>
      </c>
      <c r="F1159" s="28">
        <f>Inputs!$D$7</f>
        <v>1</v>
      </c>
      <c r="G1159" s="28">
        <f>Inputs!$D$7</f>
        <v>1</v>
      </c>
      <c r="H1159" s="28">
        <f>Inputs!$D$7</f>
        <v>1</v>
      </c>
      <c r="I1159" s="28">
        <f>Inputs!$D$7</f>
        <v>1</v>
      </c>
      <c r="J1159" s="28">
        <f>Inputs!$D$7</f>
        <v>1</v>
      </c>
      <c r="K1159" s="28">
        <f>Inputs!$D$7</f>
        <v>1</v>
      </c>
      <c r="L1159" s="28">
        <f>Inputs!$D$7</f>
        <v>1</v>
      </c>
      <c r="M1159" s="28">
        <f>Inputs!$D$7</f>
        <v>1</v>
      </c>
    </row>
    <row r="1160" spans="1:13" ht="15" customHeight="1" x14ac:dyDescent="0.2">
      <c r="A1160" s="91"/>
      <c r="B1160" s="3" t="s">
        <v>890</v>
      </c>
      <c r="C1160" s="10" t="s">
        <v>199</v>
      </c>
      <c r="D1160" s="28">
        <f>Inputs!$D$24+(Inputs!$D$93-Inputs!$D$24)*Inputs!$D$96</f>
        <v>279.10000000000002</v>
      </c>
      <c r="E1160" s="28">
        <f>Inputs!$D$24+(Inputs!$D$93-Inputs!$D$24)*Inputs!$D$97</f>
        <v>900.7</v>
      </c>
      <c r="F1160" s="28">
        <f>Inputs!$D$24+(Inputs!$D$93-Inputs!$D$24)*Inputs!$D$98</f>
        <v>1366.8999999999999</v>
      </c>
      <c r="G1160" s="28">
        <f>Inputs!$D$24+(Inputs!$D$93-Inputs!$D$24)*Inputs!$D$99</f>
        <v>1600</v>
      </c>
      <c r="H1160" s="28">
        <f>Inputs!$D$24+(Inputs!$D$93-Inputs!$D$24)*Inputs!$D$100</f>
        <v>1600</v>
      </c>
      <c r="I1160" s="28">
        <f>Inputs!$D$24+(Inputs!$D$93-Inputs!$D$24)*Inputs!$D$101</f>
        <v>1600</v>
      </c>
      <c r="J1160" s="28">
        <f>Inputs!$D$24+(Inputs!$D$93-Inputs!$D$24)*Inputs!$D$102</f>
        <v>1600</v>
      </c>
      <c r="K1160" s="28">
        <f>Inputs!$D$24+(Inputs!$D$93-Inputs!$D$24)*Inputs!$D$103</f>
        <v>1600</v>
      </c>
      <c r="L1160" s="28">
        <f>Inputs!$D$24+(Inputs!$D$93-Inputs!$D$24)*Inputs!$D$104</f>
        <v>1600</v>
      </c>
      <c r="M1160" s="28">
        <f>Inputs!$D$24+(Inputs!$D$93-Inputs!$D$24)*Inputs!$D$105</f>
        <v>1600</v>
      </c>
    </row>
    <row r="1161" spans="1:13" ht="15" customHeight="1" x14ac:dyDescent="0.2">
      <c r="A1161" s="91"/>
      <c r="B1161" s="10" t="s">
        <v>891</v>
      </c>
      <c r="C1161" s="10" t="s">
        <v>199</v>
      </c>
      <c r="D1161" s="28">
        <f>Inputs!$D$24</f>
        <v>46</v>
      </c>
      <c r="E1161" s="28">
        <f t="shared" ref="E1161:M1161" si="250">D1160</f>
        <v>279.10000000000002</v>
      </c>
      <c r="F1161" s="28">
        <f t="shared" si="250"/>
        <v>900.7</v>
      </c>
      <c r="G1161" s="28">
        <f t="shared" si="250"/>
        <v>1366.8999999999999</v>
      </c>
      <c r="H1161" s="28">
        <f t="shared" si="250"/>
        <v>1600</v>
      </c>
      <c r="I1161" s="28">
        <f t="shared" si="250"/>
        <v>1600</v>
      </c>
      <c r="J1161" s="28">
        <f t="shared" si="250"/>
        <v>1600</v>
      </c>
      <c r="K1161" s="28">
        <f t="shared" si="250"/>
        <v>1600</v>
      </c>
      <c r="L1161" s="28">
        <f t="shared" si="250"/>
        <v>1600</v>
      </c>
      <c r="M1161" s="28">
        <f t="shared" si="250"/>
        <v>1600</v>
      </c>
    </row>
    <row r="1162" spans="1:13" ht="15" customHeight="1" x14ac:dyDescent="0.2">
      <c r="B1162" s="10" t="s">
        <v>892</v>
      </c>
      <c r="C1162" s="10" t="s">
        <v>199</v>
      </c>
      <c r="D1162" s="28">
        <f>(D1161+D1160)*Inputs!$D$12</f>
        <v>162.55000000000001</v>
      </c>
      <c r="E1162" s="28">
        <f>(E1161+E1160)*Inputs!$D$12</f>
        <v>589.90000000000009</v>
      </c>
      <c r="F1162" s="28">
        <f>(F1161+F1160)*Inputs!$D$12</f>
        <v>1133.8</v>
      </c>
      <c r="G1162" s="28">
        <f>(G1161+G1160)*Inputs!$D$12</f>
        <v>1483.4499999999998</v>
      </c>
      <c r="H1162" s="28">
        <f>(H1161+H1160)*Inputs!$D$12</f>
        <v>1600</v>
      </c>
      <c r="I1162" s="28">
        <f>(I1161+I1160)*Inputs!$D$12</f>
        <v>1600</v>
      </c>
      <c r="J1162" s="28">
        <f>(J1161+J1160)*Inputs!$D$12</f>
        <v>1600</v>
      </c>
      <c r="K1162" s="28">
        <f>(K1161+K1160)*Inputs!$D$12</f>
        <v>1600</v>
      </c>
      <c r="L1162" s="28">
        <f>(L1161+L1160)*Inputs!$D$12</f>
        <v>1600</v>
      </c>
      <c r="M1162" s="28">
        <f>(M1161+M1160)*Inputs!$D$12</f>
        <v>1600</v>
      </c>
    </row>
    <row r="1163" spans="1:13" ht="15" customHeight="1" x14ac:dyDescent="0.2">
      <c r="B1163" s="10" t="s">
        <v>893</v>
      </c>
      <c r="C1163" s="10" t="s">
        <v>199</v>
      </c>
      <c r="D1163" s="28">
        <f t="shared" ref="D1163:M1163" si="251">D1160-D1161</f>
        <v>233.10000000000002</v>
      </c>
      <c r="E1163" s="28">
        <f t="shared" si="251"/>
        <v>621.6</v>
      </c>
      <c r="F1163" s="28">
        <f t="shared" si="251"/>
        <v>466.19999999999982</v>
      </c>
      <c r="G1163" s="28">
        <f t="shared" si="251"/>
        <v>233.10000000000014</v>
      </c>
      <c r="H1163" s="28">
        <f t="shared" si="251"/>
        <v>0</v>
      </c>
      <c r="I1163" s="28">
        <f t="shared" si="251"/>
        <v>0</v>
      </c>
      <c r="J1163" s="28">
        <f t="shared" si="251"/>
        <v>0</v>
      </c>
      <c r="K1163" s="28">
        <f t="shared" si="251"/>
        <v>0</v>
      </c>
      <c r="L1163" s="28">
        <f t="shared" si="251"/>
        <v>0</v>
      </c>
      <c r="M1163" s="28">
        <f t="shared" si="251"/>
        <v>0</v>
      </c>
    </row>
    <row r="1164" spans="1:13" ht="15" customHeight="1" x14ac:dyDescent="0.2">
      <c r="B1164" s="10" t="s">
        <v>894</v>
      </c>
      <c r="C1164" s="10" t="s">
        <v>199</v>
      </c>
      <c r="D1164" s="28">
        <f>IF(MOD(D1156,Inputs!$D$21)=Inputs!$D$6,Inputs!$D$24,Inputs!$D$6)+SUMPRODUCT(--(D1156&gt;$D$1156:$M$1156),--(MOD(D1156-$D$1156:$M$1156,Inputs!$D$21)=Inputs!$D$6),$D$1163:$M$1163)</f>
        <v>0</v>
      </c>
      <c r="E1164" s="28">
        <f>IF(MOD(E1156,Inputs!$D$21)=Inputs!$D$6,Inputs!$D$24,Inputs!$D$6)+SUMPRODUCT(--(E1156&gt;$D$1156:$M$1156),--(MOD(E1156-$D$1156:$M$1156,Inputs!$D$21)=Inputs!$D$6),$D$1163:$M$1163)</f>
        <v>0</v>
      </c>
      <c r="F1164" s="28">
        <f>IF(MOD(F1156,Inputs!$D$21)=Inputs!$D$6,Inputs!$D$24,Inputs!$D$6)+SUMPRODUCT(--(F1156&gt;$D$1156:$M$1156),--(MOD(F1156-$D$1156:$M$1156,Inputs!$D$21)=Inputs!$D$6),$D$1163:$M$1163)</f>
        <v>0</v>
      </c>
      <c r="G1164" s="28">
        <f>IF(MOD(G1156,Inputs!$D$21)=Inputs!$D$6,Inputs!$D$24,Inputs!$D$6)+SUMPRODUCT(--(G1156&gt;$D$1156:$M$1156),--(MOD(G1156-$D$1156:$M$1156,Inputs!$D$21)=Inputs!$D$6),$D$1163:$M$1163)</f>
        <v>46</v>
      </c>
      <c r="H1164" s="28">
        <f>IF(MOD(H1156,Inputs!$D$21)=Inputs!$D$6,Inputs!$D$24,Inputs!$D$6)+SUMPRODUCT(--(H1156&gt;$D$1156:$M$1156),--(MOD(H1156-$D$1156:$M$1156,Inputs!$D$21)=Inputs!$D$6),$D$1163:$M$1163)</f>
        <v>233.10000000000002</v>
      </c>
      <c r="I1164" s="28">
        <f>IF(MOD(I1156,Inputs!$D$21)=Inputs!$D$6,Inputs!$D$24,Inputs!$D$6)+SUMPRODUCT(--(I1156&gt;$D$1156:$M$1156),--(MOD(I1156-$D$1156:$M$1156,Inputs!$D$21)=Inputs!$D$6),$D$1163:$M$1163)</f>
        <v>621.6</v>
      </c>
      <c r="J1164" s="28">
        <f>IF(MOD(J1156,Inputs!$D$21)=Inputs!$D$6,Inputs!$D$24,Inputs!$D$6)+SUMPRODUCT(--(J1156&gt;$D$1156:$M$1156),--(MOD(J1156-$D$1156:$M$1156,Inputs!$D$21)=Inputs!$D$6),$D$1163:$M$1163)</f>
        <v>466.19999999999982</v>
      </c>
      <c r="K1164" s="28">
        <f>IF(MOD(K1156,Inputs!$D$21)=Inputs!$D$6,Inputs!$D$24,Inputs!$D$6)+SUMPRODUCT(--(K1156&gt;$D$1156:$M$1156),--(MOD(K1156-$D$1156:$M$1156,Inputs!$D$21)=Inputs!$D$6),$D$1163:$M$1163)</f>
        <v>279.10000000000014</v>
      </c>
      <c r="L1164" s="28">
        <f>IF(MOD(L1156,Inputs!$D$21)=Inputs!$D$6,Inputs!$D$24,Inputs!$D$6)+SUMPRODUCT(--(L1156&gt;$D$1156:$M$1156),--(MOD(L1156-$D$1156:$M$1156,Inputs!$D$21)=Inputs!$D$6),$D$1163:$M$1163)</f>
        <v>233.10000000000002</v>
      </c>
      <c r="M1164" s="28">
        <f>IF(MOD(M1156,Inputs!$D$21)=Inputs!$D$6,Inputs!$D$24,Inputs!$D$6)+SUMPRODUCT(--(M1156&gt;$D$1156:$M$1156),--(MOD(M1156-$D$1156:$M$1156,Inputs!$D$21)=Inputs!$D$6),$D$1163:$M$1163)</f>
        <v>621.6</v>
      </c>
    </row>
    <row r="1165" spans="1:13" ht="15" customHeight="1" x14ac:dyDescent="0.2">
      <c r="B1165" s="10" t="s">
        <v>895</v>
      </c>
      <c r="C1165" s="10" t="s">
        <v>896</v>
      </c>
      <c r="D1165" s="28">
        <f t="shared" ref="D1165:M1165" si="252">D1162*D1159</f>
        <v>116.15482546201234</v>
      </c>
      <c r="E1165" s="28">
        <f t="shared" si="252"/>
        <v>589.90000000000009</v>
      </c>
      <c r="F1165" s="28">
        <f t="shared" si="252"/>
        <v>1133.8</v>
      </c>
      <c r="G1165" s="28">
        <f t="shared" si="252"/>
        <v>1483.4499999999998</v>
      </c>
      <c r="H1165" s="28">
        <f t="shared" si="252"/>
        <v>1600</v>
      </c>
      <c r="I1165" s="28">
        <f t="shared" si="252"/>
        <v>1600</v>
      </c>
      <c r="J1165" s="28">
        <f t="shared" si="252"/>
        <v>1600</v>
      </c>
      <c r="K1165" s="28">
        <f t="shared" si="252"/>
        <v>1600</v>
      </c>
      <c r="L1165" s="28">
        <f t="shared" si="252"/>
        <v>1600</v>
      </c>
      <c r="M1165" s="28">
        <f t="shared" si="252"/>
        <v>1600</v>
      </c>
    </row>
    <row r="1166" spans="1:13" ht="15" customHeight="1" x14ac:dyDescent="0.2">
      <c r="B1166" s="10" t="s">
        <v>897</v>
      </c>
      <c r="C1166" s="10" t="s">
        <v>110</v>
      </c>
      <c r="D1166" s="16">
        <f>D1165*($D$1185/Inputs!$D$21+$D$1186/Inputs!$D$22)</f>
        <v>1680.51014411561</v>
      </c>
      <c r="E1166" s="16">
        <f>E1165*($D$1185/Inputs!$D$21+$D$1186/Inputs!$D$22)</f>
        <v>8534.5824426210111</v>
      </c>
      <c r="F1166" s="16">
        <f>F1165*($D$1185/Inputs!$D$21+$D$1186/Inputs!$D$22)</f>
        <v>16403.643962440583</v>
      </c>
      <c r="G1166" s="16">
        <f>G1165*($D$1185/Inputs!$D$21+$D$1186/Inputs!$D$22)</f>
        <v>21462.326368038881</v>
      </c>
      <c r="H1166" s="16">
        <f>H1165*($D$1185/Inputs!$D$21+$D$1186/Inputs!$D$22)</f>
        <v>23148.553836571649</v>
      </c>
      <c r="I1166" s="16">
        <f>I1165*($D$1185/Inputs!$D$21+$D$1186/Inputs!$D$22)</f>
        <v>23148.553836571649</v>
      </c>
      <c r="J1166" s="16">
        <f>J1165*($D$1185/Inputs!$D$21+$D$1186/Inputs!$D$22)</f>
        <v>23148.553836571649</v>
      </c>
      <c r="K1166" s="16">
        <f>K1165*($D$1185/Inputs!$D$21+$D$1186/Inputs!$D$22)</f>
        <v>23148.553836571649</v>
      </c>
      <c r="L1166" s="16">
        <f>L1165*($D$1185/Inputs!$D$21+$D$1186/Inputs!$D$22)</f>
        <v>23148.553836571649</v>
      </c>
      <c r="M1166" s="16">
        <f>M1165*($D$1185/Inputs!$D$21+$D$1186/Inputs!$D$22)</f>
        <v>23148.553836571649</v>
      </c>
    </row>
    <row r="1167" spans="1:13" ht="15" customHeight="1" x14ac:dyDescent="0.2">
      <c r="B1167" s="10" t="s">
        <v>898</v>
      </c>
      <c r="C1167" s="10" t="s">
        <v>110</v>
      </c>
      <c r="D1167" s="16">
        <f t="shared" ref="D1167:M1167" si="253">D1163*($D$1185+$D$1186)</f>
        <v>13977.887419483886</v>
      </c>
      <c r="E1167" s="16">
        <f t="shared" si="253"/>
        <v>37274.36645195703</v>
      </c>
      <c r="F1167" s="16">
        <f t="shared" si="253"/>
        <v>27955.774838967762</v>
      </c>
      <c r="G1167" s="16">
        <f t="shared" si="253"/>
        <v>13977.887419483894</v>
      </c>
      <c r="H1167" s="16">
        <f t="shared" si="253"/>
        <v>0</v>
      </c>
      <c r="I1167" s="16">
        <f t="shared" si="253"/>
        <v>0</v>
      </c>
      <c r="J1167" s="16">
        <f t="shared" si="253"/>
        <v>0</v>
      </c>
      <c r="K1167" s="16">
        <f t="shared" si="253"/>
        <v>0</v>
      </c>
      <c r="L1167" s="16">
        <f t="shared" si="253"/>
        <v>0</v>
      </c>
      <c r="M1167" s="16">
        <f t="shared" si="253"/>
        <v>0</v>
      </c>
    </row>
    <row r="1168" spans="1:13" ht="15" customHeight="1" x14ac:dyDescent="0.2">
      <c r="B1168" s="10" t="s">
        <v>899</v>
      </c>
      <c r="C1168" s="10" t="s">
        <v>110</v>
      </c>
      <c r="D1168" s="16">
        <f t="shared" ref="D1168:M1168" si="254">D1164*$D$1185</f>
        <v>0</v>
      </c>
      <c r="E1168" s="16">
        <f t="shared" si="254"/>
        <v>0</v>
      </c>
      <c r="F1168" s="16">
        <f t="shared" si="254"/>
        <v>0</v>
      </c>
      <c r="G1168" s="16">
        <f t="shared" si="254"/>
        <v>2638.0048485671714</v>
      </c>
      <c r="H1168" s="16">
        <f t="shared" si="254"/>
        <v>13367.802830456689</v>
      </c>
      <c r="I1168" s="16">
        <f t="shared" si="254"/>
        <v>35647.47421455117</v>
      </c>
      <c r="J1168" s="16">
        <f t="shared" si="254"/>
        <v>26735.605660913367</v>
      </c>
      <c r="K1168" s="16">
        <f t="shared" si="254"/>
        <v>16005.807679023867</v>
      </c>
      <c r="L1168" s="16">
        <f t="shared" si="254"/>
        <v>13367.802830456689</v>
      </c>
      <c r="M1168" s="16">
        <f t="shared" si="254"/>
        <v>35647.47421455117</v>
      </c>
    </row>
    <row r="1169" spans="2:13" ht="15" customHeight="1" x14ac:dyDescent="0.2">
      <c r="B1169" s="10" t="s">
        <v>900</v>
      </c>
      <c r="C1169" s="10" t="s">
        <v>199</v>
      </c>
      <c r="D1169" s="28">
        <f>D1163*Inputs!$D$23</f>
        <v>5.8275000000000006</v>
      </c>
      <c r="E1169" s="28">
        <f>E1163*Inputs!$D$23</f>
        <v>15.540000000000001</v>
      </c>
      <c r="F1169" s="28">
        <f>F1163*Inputs!$D$23</f>
        <v>11.654999999999996</v>
      </c>
      <c r="G1169" s="28">
        <f>G1163*Inputs!$D$23</f>
        <v>5.8275000000000041</v>
      </c>
      <c r="H1169" s="28">
        <f>H1163*Inputs!$D$23</f>
        <v>0</v>
      </c>
      <c r="I1169" s="28">
        <f>I1163*Inputs!$D$23</f>
        <v>0</v>
      </c>
      <c r="J1169" s="28">
        <f>J1163*Inputs!$D$23</f>
        <v>0</v>
      </c>
      <c r="K1169" s="28">
        <f>K1163*Inputs!$D$23</f>
        <v>0</v>
      </c>
      <c r="L1169" s="28">
        <f>L1163*Inputs!$D$23</f>
        <v>0</v>
      </c>
      <c r="M1169" s="28">
        <f>M1163*Inputs!$D$23</f>
        <v>0</v>
      </c>
    </row>
    <row r="1170" spans="2:13" ht="15" customHeight="1" x14ac:dyDescent="0.2">
      <c r="B1170" s="3" t="s">
        <v>901</v>
      </c>
      <c r="C1170" s="10" t="s">
        <v>896</v>
      </c>
      <c r="D1170" s="28">
        <f>(D1165*$D$1183*(Inputs!$D$7-Inputs!$D$19)-D1169)/(Inputs!$D$7+$D$1184)^D1158</f>
        <v>50.541318213721269</v>
      </c>
      <c r="E1170" s="28">
        <f>(E1165*$D$1183*(Inputs!$D$7-Inputs!$D$19)-E1169)/(Inputs!$D$7+$D$1184)^E1158</f>
        <v>238.4864713152904</v>
      </c>
      <c r="F1170" s="28">
        <f>(F1165*$D$1183*(Inputs!$D$7-Inputs!$D$19)-F1169)/(Inputs!$D$7+$D$1184)^F1158</f>
        <v>418.74491871678316</v>
      </c>
      <c r="G1170" s="28">
        <f>(G1165*$D$1183*(Inputs!$D$7-Inputs!$D$19)-G1169)/(Inputs!$D$7+$D$1184)^G1158</f>
        <v>490.87392073514752</v>
      </c>
      <c r="H1170" s="28">
        <f>(H1165*$D$1183*(Inputs!$D$7-Inputs!$D$19)-H1169)/(Inputs!$D$7+$D$1184)^H1158</f>
        <v>472.10300862628105</v>
      </c>
      <c r="I1170" s="28">
        <f>(I1165*$D$1183*(Inputs!$D$7-Inputs!$D$19)-I1169)/(Inputs!$D$7+$D$1184)^I1158</f>
        <v>417.68543753228789</v>
      </c>
      <c r="J1170" s="28">
        <f>(J1165*$D$1183*(Inputs!$D$7-Inputs!$D$19)-J1169)/(Inputs!$D$7+$D$1184)^J1158</f>
        <v>369.66405292491049</v>
      </c>
      <c r="K1170" s="28">
        <f>(K1165*$D$1183*(Inputs!$D$7-Inputs!$D$19)-K1169)/(Inputs!$D$7+$D$1184)^K1158</f>
        <v>327.16369723641031</v>
      </c>
      <c r="L1170" s="28">
        <f>(L1165*$D$1183*(Inputs!$D$7-Inputs!$D$19)-L1169)/(Inputs!$D$7+$D$1184)^L1158</f>
        <v>289.54961658427663</v>
      </c>
      <c r="M1170" s="28">
        <f>(M1165*$D$1183*(Inputs!$D$7-Inputs!$D$19)-M1169)/(Inputs!$D$7+$D$1184)^M1158</f>
        <v>256.17430111750662</v>
      </c>
    </row>
    <row r="1171" spans="2:13" ht="15" customHeight="1" x14ac:dyDescent="0.2">
      <c r="B1171" s="10" t="s">
        <v>902</v>
      </c>
      <c r="C1171" s="10" t="s">
        <v>110</v>
      </c>
      <c r="D1171" s="16">
        <f>(D1166*Inputs!$D$19-D1167-D1168)/(Inputs!$D$7+$D$1184)^D1158</f>
        <v>-12346.937146613671</v>
      </c>
      <c r="E1171" s="16">
        <f>(E1166*Inputs!$D$19-E1167-E1168)/(Inputs!$D$7+$D$1184)^E1158</f>
        <v>-28144.165592831177</v>
      </c>
      <c r="F1171" s="16">
        <f>(F1166*Inputs!$D$19-F1167-F1168)/(Inputs!$D$7+$D$1184)^F1158</f>
        <v>-16528.13772562052</v>
      </c>
      <c r="G1171" s="16">
        <f>(G1166*Inputs!$D$19-G1167-G1168)/(Inputs!$D$7+$D$1184)^G1158</f>
        <v>-6462.9033875784253</v>
      </c>
      <c r="H1171" s="16">
        <f>(H1166*Inputs!$D$19-H1167-H1168)/(Inputs!$D$7+$D$1184)^H1158</f>
        <v>-3610.0349541710043</v>
      </c>
      <c r="I1171" s="16">
        <f>(I1166*Inputs!$D$19-I1167-I1168)/(Inputs!$D$7+$D$1184)^I1158</f>
        <v>-14272.365134506323</v>
      </c>
      <c r="J1171" s="16">
        <f>(J1166*Inputs!$D$19-J1167-J1168)/(Inputs!$D$7+$D$1184)^J1158</f>
        <v>-8709.5665200501735</v>
      </c>
      <c r="K1171" s="16">
        <f>(K1166*Inputs!$D$19-K1167-K1168)/(Inputs!$D$7+$D$1184)^K1158</f>
        <v>-3529.1777141306115</v>
      </c>
      <c r="L1171" s="16">
        <f>(L1166*Inputs!$D$19-L1167-L1168)/(Inputs!$D$7+$D$1184)^L1158</f>
        <v>-2214.1020449702382</v>
      </c>
      <c r="M1171" s="16">
        <f>(M1166*Inputs!$D$19-M1167-M1168)/(Inputs!$D$7+$D$1184)^M1158</f>
        <v>-8753.5088252709138</v>
      </c>
    </row>
    <row r="1172" spans="2:13" ht="15" customHeight="1" x14ac:dyDescent="0.2">
      <c r="B1172" s="10" t="s">
        <v>903</v>
      </c>
      <c r="C1172" s="10" t="s">
        <v>110</v>
      </c>
      <c r="D1172" s="16">
        <f t="shared" ref="D1172:M1172" si="255">D1165*$D$1182</f>
        <v>3220.8675950588095</v>
      </c>
      <c r="E1172" s="16">
        <f t="shared" si="255"/>
        <v>16357.390119333191</v>
      </c>
      <c r="F1172" s="16">
        <f t="shared" si="255"/>
        <v>31439.242104254907</v>
      </c>
      <c r="G1172" s="16">
        <f t="shared" si="255"/>
        <v>41134.718380276005</v>
      </c>
      <c r="H1172" s="16">
        <f t="shared" si="255"/>
        <v>44366.543805616377</v>
      </c>
      <c r="I1172" s="16">
        <f t="shared" si="255"/>
        <v>44366.543805616377</v>
      </c>
      <c r="J1172" s="16">
        <f t="shared" si="255"/>
        <v>44366.543805616377</v>
      </c>
      <c r="K1172" s="16">
        <f t="shared" si="255"/>
        <v>44366.543805616377</v>
      </c>
      <c r="L1172" s="16">
        <f t="shared" si="255"/>
        <v>44366.543805616377</v>
      </c>
      <c r="M1172" s="16">
        <f t="shared" si="255"/>
        <v>44366.543805616377</v>
      </c>
    </row>
    <row r="1173" spans="2:13" ht="15" customHeight="1" x14ac:dyDescent="0.2">
      <c r="B1173" s="10" t="s">
        <v>904</v>
      </c>
      <c r="C1173" s="10" t="s">
        <v>110</v>
      </c>
      <c r="D1173" s="16">
        <f t="shared" ref="D1173:M1173" si="256">D1172*$D$1183</f>
        <v>2415.6506962941071</v>
      </c>
      <c r="E1173" s="16">
        <f t="shared" si="256"/>
        <v>12268.042589499893</v>
      </c>
      <c r="F1173" s="16">
        <f t="shared" si="256"/>
        <v>23579.431578191179</v>
      </c>
      <c r="G1173" s="16">
        <f t="shared" si="256"/>
        <v>30851.038785207005</v>
      </c>
      <c r="H1173" s="16">
        <f t="shared" si="256"/>
        <v>33274.907854212281</v>
      </c>
      <c r="I1173" s="16">
        <f t="shared" si="256"/>
        <v>33274.907854212281</v>
      </c>
      <c r="J1173" s="16">
        <f t="shared" si="256"/>
        <v>33274.907854212281</v>
      </c>
      <c r="K1173" s="16">
        <f t="shared" si="256"/>
        <v>33274.907854212281</v>
      </c>
      <c r="L1173" s="16">
        <f t="shared" si="256"/>
        <v>33274.907854212281</v>
      </c>
      <c r="M1173" s="16">
        <f t="shared" si="256"/>
        <v>33274.907854212281</v>
      </c>
    </row>
    <row r="1174" spans="2:13" ht="15" customHeight="1" x14ac:dyDescent="0.2">
      <c r="B1174" s="10" t="s">
        <v>905</v>
      </c>
      <c r="C1174" s="10" t="s">
        <v>110</v>
      </c>
      <c r="D1174" s="16">
        <f t="shared" ref="D1174:M1174" si="257">D1173-D1166</f>
        <v>735.14055217849705</v>
      </c>
      <c r="E1174" s="16">
        <f t="shared" si="257"/>
        <v>3733.4601468788824</v>
      </c>
      <c r="F1174" s="16">
        <f t="shared" si="257"/>
        <v>7175.7876157505962</v>
      </c>
      <c r="G1174" s="16">
        <f t="shared" si="257"/>
        <v>9388.7124171681244</v>
      </c>
      <c r="H1174" s="16">
        <f t="shared" si="257"/>
        <v>10126.354017640631</v>
      </c>
      <c r="I1174" s="16">
        <f t="shared" si="257"/>
        <v>10126.354017640631</v>
      </c>
      <c r="J1174" s="16">
        <f t="shared" si="257"/>
        <v>10126.354017640631</v>
      </c>
      <c r="K1174" s="16">
        <f t="shared" si="257"/>
        <v>10126.354017640631</v>
      </c>
      <c r="L1174" s="16">
        <f t="shared" si="257"/>
        <v>10126.354017640631</v>
      </c>
      <c r="M1174" s="16">
        <f t="shared" si="257"/>
        <v>10126.354017640631</v>
      </c>
    </row>
    <row r="1175" spans="2:13" ht="15" customHeight="1" x14ac:dyDescent="0.2">
      <c r="B1175" s="10" t="s">
        <v>906</v>
      </c>
      <c r="C1175" s="10" t="s">
        <v>110</v>
      </c>
      <c r="D1175" s="16">
        <f>MAX(D1174,Inputs!$D$6)*Inputs!$D$19</f>
        <v>220.54216565354912</v>
      </c>
      <c r="E1175" s="16">
        <f>MAX(E1174,Inputs!$D$6)*Inputs!$D$19</f>
        <v>1120.0380440636648</v>
      </c>
      <c r="F1175" s="16">
        <f>MAX(F1174,Inputs!$D$6)*Inputs!$D$19</f>
        <v>2152.7362847251788</v>
      </c>
      <c r="G1175" s="16">
        <f>MAX(G1174,Inputs!$D$6)*Inputs!$D$19</f>
        <v>2816.6137251504374</v>
      </c>
      <c r="H1175" s="16">
        <f>MAX(H1174,Inputs!$D$6)*Inputs!$D$19</f>
        <v>3037.9062052921895</v>
      </c>
      <c r="I1175" s="16">
        <f>MAX(I1174,Inputs!$D$6)*Inputs!$D$19</f>
        <v>3037.9062052921895</v>
      </c>
      <c r="J1175" s="16">
        <f>MAX(J1174,Inputs!$D$6)*Inputs!$D$19</f>
        <v>3037.9062052921895</v>
      </c>
      <c r="K1175" s="16">
        <f>MAX(K1174,Inputs!$D$6)*Inputs!$D$19</f>
        <v>3037.9062052921895</v>
      </c>
      <c r="L1175" s="16">
        <f>MAX(L1174,Inputs!$D$6)*Inputs!$D$19</f>
        <v>3037.9062052921895</v>
      </c>
      <c r="M1175" s="16">
        <f>MAX(M1174,Inputs!$D$6)*Inputs!$D$19</f>
        <v>3037.9062052921895</v>
      </c>
    </row>
    <row r="1176" spans="2:13" ht="15" customHeight="1" x14ac:dyDescent="0.2">
      <c r="B1176" s="10" t="s">
        <v>907</v>
      </c>
      <c r="C1176" s="10" t="s">
        <v>110</v>
      </c>
      <c r="D1176" s="16">
        <f t="shared" ref="D1176:M1176" si="258">D1169*$D$1182</f>
        <v>161.59127126701841</v>
      </c>
      <c r="E1176" s="16">
        <f t="shared" si="258"/>
        <v>430.91005671204908</v>
      </c>
      <c r="F1176" s="16">
        <f t="shared" si="258"/>
        <v>323.18254253403671</v>
      </c>
      <c r="G1176" s="16">
        <f t="shared" si="258"/>
        <v>161.59127126701853</v>
      </c>
      <c r="H1176" s="16">
        <f t="shared" si="258"/>
        <v>0</v>
      </c>
      <c r="I1176" s="16">
        <f t="shared" si="258"/>
        <v>0</v>
      </c>
      <c r="J1176" s="16">
        <f t="shared" si="258"/>
        <v>0</v>
      </c>
      <c r="K1176" s="16">
        <f t="shared" si="258"/>
        <v>0</v>
      </c>
      <c r="L1176" s="16">
        <f t="shared" si="258"/>
        <v>0</v>
      </c>
      <c r="M1176" s="16">
        <f t="shared" si="258"/>
        <v>0</v>
      </c>
    </row>
    <row r="1177" spans="2:13" ht="15" customHeight="1" x14ac:dyDescent="0.2">
      <c r="B1177" s="10" t="s">
        <v>908</v>
      </c>
      <c r="C1177" s="10" t="s">
        <v>110</v>
      </c>
      <c r="D1177" s="16">
        <f t="shared" ref="D1177:M1177" si="259">D1173-D1175-D1167-D1168-D1176</f>
        <v>-11944.370160110346</v>
      </c>
      <c r="E1177" s="16">
        <f t="shared" si="259"/>
        <v>-26557.271963232852</v>
      </c>
      <c r="F1177" s="16">
        <f t="shared" si="259"/>
        <v>-6852.2620880357981</v>
      </c>
      <c r="G1177" s="16">
        <f t="shared" si="259"/>
        <v>11256.941520738485</v>
      </c>
      <c r="H1177" s="16">
        <f t="shared" si="259"/>
        <v>16869.198818463403</v>
      </c>
      <c r="I1177" s="16">
        <f t="shared" si="259"/>
        <v>-5410.4725656310802</v>
      </c>
      <c r="J1177" s="16">
        <f t="shared" si="259"/>
        <v>3501.3959880067232</v>
      </c>
      <c r="K1177" s="16">
        <f t="shared" si="259"/>
        <v>14231.193969896223</v>
      </c>
      <c r="L1177" s="16">
        <f t="shared" si="259"/>
        <v>16869.198818463403</v>
      </c>
      <c r="M1177" s="16">
        <f t="shared" si="259"/>
        <v>-5410.4725656310802</v>
      </c>
    </row>
    <row r="1178" spans="2:13" ht="15" customHeight="1" x14ac:dyDescent="0.2">
      <c r="B1178" s="10" t="s">
        <v>909</v>
      </c>
      <c r="C1178" s="10" t="s">
        <v>110</v>
      </c>
      <c r="D1178" s="16">
        <f>D1177/(Inputs!$D$7+$D$1184)^D1158</f>
        <v>-10945.472391287007</v>
      </c>
      <c r="E1178" s="16">
        <f>E1177/(Inputs!$D$7+$D$1184)^E1158</f>
        <v>-21531.152794920738</v>
      </c>
      <c r="F1178" s="16">
        <f>F1177/(Inputs!$D$7+$D$1184)^F1158</f>
        <v>-4916.7222383533745</v>
      </c>
      <c r="G1178" s="16">
        <f>G1177/(Inputs!$D$7+$D$1184)^G1158</f>
        <v>7148.583679503191</v>
      </c>
      <c r="H1178" s="16">
        <f>H1177/(Inputs!$D$7+$D$1184)^H1158</f>
        <v>9480.9518039422364</v>
      </c>
      <c r="I1178" s="16">
        <f>I1177/(Inputs!$D$7+$D$1184)^I1158</f>
        <v>-2690.3280962286403</v>
      </c>
      <c r="J1178" s="16">
        <f>J1177/(Inputs!$D$7+$D$1184)^J1158</f>
        <v>1540.8812283590316</v>
      </c>
      <c r="K1178" s="16">
        <f>K1177/(Inputs!$D$7+$D$1184)^K1158</f>
        <v>5542.7738515235196</v>
      </c>
      <c r="L1178" s="16">
        <f>L1177/(Inputs!$D$7+$D$1184)^L1158</f>
        <v>5814.8452975833461</v>
      </c>
      <c r="M1178" s="16">
        <f>M1177/(Inputs!$D$7+$D$1184)^M1158</f>
        <v>-1650.0286050190298</v>
      </c>
    </row>
    <row r="1179" spans="2:13" ht="15" customHeight="1" x14ac:dyDescent="0.2">
      <c r="B1179" s="3" t="s">
        <v>910</v>
      </c>
      <c r="C1179" s="10" t="s">
        <v>896</v>
      </c>
      <c r="D1179" s="28">
        <f>(D1165*$D$1183-D1169)/(Inputs!$D$7+$D$1184)^D1158</f>
        <v>74.490519309095831</v>
      </c>
      <c r="E1179" s="28">
        <f>(E1165*$D$1183-E1169)/(Inputs!$D$7+$D$1184)^E1158</f>
        <v>346.09451503846662</v>
      </c>
      <c r="F1179" s="28">
        <f>(F1165*$D$1183-F1169)/(Inputs!$D$7+$D$1184)^F1158</f>
        <v>601.79110266312398</v>
      </c>
      <c r="G1179" s="28">
        <f>(G1165*$D$1183-G1169)/(Inputs!$D$7+$D$1184)^G1158</f>
        <v>702.83446516544734</v>
      </c>
      <c r="H1179" s="28">
        <f>(H1165*$D$1183-H1169)/(Inputs!$D$7+$D$1184)^H1158</f>
        <v>674.43286946611579</v>
      </c>
      <c r="I1179" s="28">
        <f>(I1165*$D$1183-I1169)/(Inputs!$D$7+$D$1184)^I1158</f>
        <v>596.69348218898278</v>
      </c>
      <c r="J1179" s="28">
        <f>(J1165*$D$1183-J1169)/(Inputs!$D$7+$D$1184)^J1158</f>
        <v>528.09150417844353</v>
      </c>
      <c r="K1179" s="28">
        <f>(K1165*$D$1183-K1169)/(Inputs!$D$7+$D$1184)^K1158</f>
        <v>467.37671033772904</v>
      </c>
      <c r="L1179" s="28">
        <f>(L1165*$D$1183-L1169)/(Inputs!$D$7+$D$1184)^L1158</f>
        <v>413.64230940610946</v>
      </c>
      <c r="M1179" s="28">
        <f>(M1165*$D$1183-M1169)/(Inputs!$D$7+$D$1184)^M1158</f>
        <v>365.96328731072373</v>
      </c>
    </row>
    <row r="1180" spans="2:13" ht="15" customHeight="1" x14ac:dyDescent="0.2">
      <c r="B1180" s="10" t="s">
        <v>911</v>
      </c>
      <c r="C1180" s="10" t="s">
        <v>110</v>
      </c>
      <c r="D1180" s="16">
        <f>(-D1167-D1168)/(Inputs!$D$7+$D$1184)^D1158</f>
        <v>-12808.928289029636</v>
      </c>
      <c r="E1180" s="16">
        <f>(-E1167-E1168)/(Inputs!$D$7+$D$1184)^E1158</f>
        <v>-30219.974420642928</v>
      </c>
      <c r="F1180" s="16">
        <f>(-F1167-F1168)/(Inputs!$D$7+$D$1184)^F1158</f>
        <v>-20059.183095337907</v>
      </c>
      <c r="G1180" s="16">
        <f>(-G1167-G1168)/(Inputs!$D$7+$D$1184)^G1158</f>
        <v>-10551.720115889953</v>
      </c>
      <c r="H1180" s="16">
        <f>(-H1167-H1168)/(Inputs!$D$7+$D$1184)^H1158</f>
        <v>-7513.0713511684744</v>
      </c>
      <c r="I1180" s="16">
        <f>(-I1167-I1168)/(Inputs!$D$7+$D$1184)^I1158</f>
        <v>-17725.512933602091</v>
      </c>
      <c r="J1180" s="16">
        <f>(-J1167-J1168)/(Inputs!$D$7+$D$1184)^J1158</f>
        <v>-11765.705173827875</v>
      </c>
      <c r="K1180" s="16">
        <f>(-K1167-K1168)/(Inputs!$D$7+$D$1184)^K1158</f>
        <v>-6233.95144943378</v>
      </c>
      <c r="L1180" s="16">
        <f>(-L1167-L1168)/(Inputs!$D$7+$D$1184)^L1158</f>
        <v>-4607.9073620630261</v>
      </c>
      <c r="M1180" s="16">
        <f>(-M1167-M1168)/(Inputs!$D$7+$D$1184)^M1158</f>
        <v>-10871.389039901173</v>
      </c>
    </row>
    <row r="1181" spans="2:13" ht="15" customHeight="1" x14ac:dyDescent="0.2">
      <c r="B1181" s="10" t="s">
        <v>912</v>
      </c>
      <c r="C1181" s="10" t="s">
        <v>110</v>
      </c>
      <c r="D1181" s="16">
        <f>Prices!I10</f>
        <v>1850</v>
      </c>
    </row>
    <row r="1182" spans="2:13" ht="15" customHeight="1" x14ac:dyDescent="0.2">
      <c r="B1182" s="3" t="s">
        <v>913</v>
      </c>
      <c r="C1182" s="10" t="s">
        <v>914</v>
      </c>
      <c r="D1182" s="28">
        <f>IF(J1189&gt;=J1185,J1189,(D1181-J1188)/J1187)</f>
        <v>27.729089878510237</v>
      </c>
      <c r="G1182" s="99" t="s">
        <v>915</v>
      </c>
      <c r="H1182" s="91"/>
      <c r="I1182" s="91"/>
      <c r="J1182" s="28">
        <f>D1182*Inputs!$D$15</f>
        <v>19.352131826212293</v>
      </c>
      <c r="K1182" s="99" t="s">
        <v>916</v>
      </c>
      <c r="L1182" s="91"/>
      <c r="M1182" s="91"/>
    </row>
    <row r="1183" spans="2:13" ht="15" customHeight="1" x14ac:dyDescent="0.2">
      <c r="B1183" s="10" t="s">
        <v>917</v>
      </c>
      <c r="C1183" s="10" t="s">
        <v>104</v>
      </c>
      <c r="D1183" s="30">
        <f>Inputs!$D$94</f>
        <v>0.75</v>
      </c>
      <c r="G1183" s="99" t="s">
        <v>918</v>
      </c>
      <c r="H1183" s="91"/>
      <c r="I1183" s="91"/>
      <c r="J1183" s="28">
        <f>IF(-D1194/D1193&gt;=J1185,-D1194/D1193,-J1188/J1187)</f>
        <v>27.411702074287536</v>
      </c>
      <c r="K1183" s="99" t="s">
        <v>919</v>
      </c>
      <c r="L1183" s="91"/>
      <c r="M1183" s="91"/>
    </row>
    <row r="1184" spans="2:13" ht="15" customHeight="1" x14ac:dyDescent="0.2">
      <c r="B1184" s="10" t="s">
        <v>920</v>
      </c>
      <c r="C1184" s="10" t="s">
        <v>104</v>
      </c>
      <c r="D1184" s="30">
        <f>Inputs!$D$95</f>
        <v>0.13</v>
      </c>
      <c r="G1184" s="99" t="s">
        <v>918</v>
      </c>
      <c r="H1184" s="91"/>
      <c r="I1184" s="91"/>
      <c r="J1184" s="28">
        <f>J1183*Inputs!$D$15</f>
        <v>19.13062687764527</v>
      </c>
      <c r="K1184" s="99" t="s">
        <v>916</v>
      </c>
      <c r="L1184" s="91"/>
      <c r="M1184" s="91"/>
    </row>
    <row r="1185" spans="2:13" ht="15" customHeight="1" x14ac:dyDescent="0.2">
      <c r="B1185" s="3" t="s">
        <v>921</v>
      </c>
      <c r="C1185" s="10" t="s">
        <v>848</v>
      </c>
      <c r="D1185" s="28">
        <f>Capital!$D$13</f>
        <v>57.347931490590682</v>
      </c>
      <c r="G1185" s="99" t="s">
        <v>922</v>
      </c>
      <c r="H1185" s="91"/>
      <c r="I1185" s="91"/>
      <c r="J1185" s="28">
        <f>($D$1185/Inputs!$D$21+$D$1186/Inputs!$D$22)/$D$1183</f>
        <v>19.290461530476374</v>
      </c>
      <c r="K1185" s="99" t="s">
        <v>919</v>
      </c>
      <c r="L1185" s="91"/>
      <c r="M1185" s="91"/>
    </row>
    <row r="1186" spans="2:13" ht="15" customHeight="1" x14ac:dyDescent="0.2">
      <c r="B1186" s="3" t="s">
        <v>923</v>
      </c>
      <c r="C1186" s="10" t="s">
        <v>848</v>
      </c>
      <c r="D1186" s="28">
        <f>Capital!$D$14</f>
        <v>2.6172655041921802</v>
      </c>
    </row>
    <row r="1187" spans="2:13" ht="15" customHeight="1" x14ac:dyDescent="0.2">
      <c r="B1187" s="10" t="s">
        <v>924</v>
      </c>
      <c r="C1187" s="10" t="s">
        <v>896</v>
      </c>
      <c r="D1187" s="28">
        <f>(M1160*(Inputs!$D$7+Inputs!$D$20)*$D$1183*(Inputs!$D$7-Inputs!$D$19)-M1160*Inputs!$D$20*Inputs!$D$23)/($D$1184-Inputs!$D$20)/(Inputs!$D$7+$D$1184)^M1158</f>
        <v>2497.8446594223992</v>
      </c>
      <c r="G1187" s="92" t="s">
        <v>910</v>
      </c>
      <c r="H1187" s="91"/>
      <c r="I1187" s="91"/>
      <c r="J1187" s="28">
        <f>SUM(D1179:M1179)+(M1160*(Inputs!$D$7+Inputs!$D$20)*$D$1183-M1160*Inputs!$D$20*Inputs!$D$23)/($D$1184-Inputs!$D$20)/(Inputs!$D$7+$D$1184)^M1158</f>
        <v>8341.0050516109004</v>
      </c>
      <c r="K1187" s="99" t="s">
        <v>896</v>
      </c>
      <c r="L1187" s="91"/>
      <c r="M1187" s="91"/>
    </row>
    <row r="1188" spans="2:13" ht="15" customHeight="1" x14ac:dyDescent="0.2">
      <c r="B1188" s="10" t="s">
        <v>925</v>
      </c>
      <c r="C1188" s="10" t="s">
        <v>110</v>
      </c>
      <c r="D1188" s="16">
        <f>(D1191*Inputs!$D$19-D1191-D1192)/($D$1184-Inputs!$D$20)/(Inputs!$D$7+$D$1184)^M1158</f>
        <v>-55207.290798783099</v>
      </c>
      <c r="G1188" s="92" t="s">
        <v>926</v>
      </c>
      <c r="H1188" s="91"/>
      <c r="I1188" s="91"/>
      <c r="J1188" s="16">
        <f>SUM(D1180:M1180)-(D1191+D1192)/($D$1184-Inputs!$D$20)/(Inputs!$D$7+$D$1184)^M1158</f>
        <v>-208239.17898202292</v>
      </c>
      <c r="K1188" s="99" t="s">
        <v>110</v>
      </c>
      <c r="L1188" s="91"/>
      <c r="M1188" s="91"/>
    </row>
    <row r="1189" spans="2:13" ht="15" customHeight="1" x14ac:dyDescent="0.2">
      <c r="B1189" s="10" t="s">
        <v>927</v>
      </c>
      <c r="C1189" s="10" t="s">
        <v>928</v>
      </c>
      <c r="D1189" s="16">
        <f>(M1160*(Inputs!$D$7+Inputs!$D$20)*$D$1182*$D$1183-D1191)-MAX((M1160*(Inputs!$D$7+Inputs!$D$20)*$D$1182*$D$1183-D1191),Inputs!$D$6)*Inputs!$D$19-D1192-M1160*Inputs!$D$20*$D$1182*Inputs!$D$23</f>
        <v>4839.3220379873292</v>
      </c>
      <c r="G1189" s="99" t="s">
        <v>929</v>
      </c>
      <c r="H1189" s="91"/>
      <c r="I1189" s="91"/>
      <c r="J1189" s="28">
        <f>(D1181-D1194)/D1193</f>
        <v>27.729089878510237</v>
      </c>
      <c r="K1189" s="99" t="s">
        <v>919</v>
      </c>
      <c r="L1189" s="91"/>
      <c r="M1189" s="91"/>
    </row>
    <row r="1190" spans="2:13" ht="15" customHeight="1" x14ac:dyDescent="0.2">
      <c r="B1190" s="10" t="s">
        <v>930</v>
      </c>
      <c r="C1190" s="10" t="s">
        <v>110</v>
      </c>
      <c r="D1190" s="16">
        <f>D1189/($D$1184-Inputs!$D$20)</f>
        <v>46088.781314165033</v>
      </c>
      <c r="G1190" s="99" t="s">
        <v>931</v>
      </c>
      <c r="H1190" s="91"/>
      <c r="I1190" s="91"/>
      <c r="J1190" s="16">
        <f>MIN(D1174:M1174,(M1160*(Inputs!$D$7+Inputs!$D$20)*$D$1182*$D$1183-D1191))</f>
        <v>735.14055217849705</v>
      </c>
      <c r="K1190" s="99" t="s">
        <v>110</v>
      </c>
      <c r="L1190" s="91"/>
      <c r="M1190" s="91"/>
    </row>
    <row r="1191" spans="2:13" ht="15" customHeight="1" x14ac:dyDescent="0.2">
      <c r="B1191" s="10" t="s">
        <v>932</v>
      </c>
      <c r="C1191" s="10" t="s">
        <v>928</v>
      </c>
      <c r="D1191" s="16">
        <f>M1160*(Inputs!$D$7+Inputs!$D$20)*($D$1185/Inputs!$D$21+$D$1186/Inputs!$D$22)</f>
        <v>23727.267682485937</v>
      </c>
      <c r="G1191" s="99" t="s">
        <v>933</v>
      </c>
      <c r="H1191" s="91"/>
      <c r="I1191" s="91"/>
      <c r="J1191" s="31" t="str">
        <f>IF(J1190&lt;Inputs!$D$6,"breached","satisfied")</f>
        <v>satisfied</v>
      </c>
      <c r="K1191" s="99" t="s">
        <v>934</v>
      </c>
      <c r="L1191" s="91"/>
      <c r="M1191" s="91"/>
    </row>
    <row r="1192" spans="2:13" ht="15" customHeight="1" x14ac:dyDescent="0.2">
      <c r="B1192" s="10" t="s">
        <v>935</v>
      </c>
      <c r="C1192" s="10" t="s">
        <v>928</v>
      </c>
      <c r="D1192" s="16">
        <f>M1160*Inputs!$D$20*($D$1185+$D$1186)</f>
        <v>2398.6078797913146</v>
      </c>
    </row>
    <row r="1193" spans="2:13" ht="15" customHeight="1" x14ac:dyDescent="0.2">
      <c r="B1193" s="10" t="s">
        <v>936</v>
      </c>
      <c r="C1193" s="10" t="s">
        <v>896</v>
      </c>
      <c r="D1193" s="28">
        <f>SUM(D1170:M1170)+D1187</f>
        <v>5828.8314024250149</v>
      </c>
      <c r="G1193" s="99" t="s">
        <v>937</v>
      </c>
      <c r="H1193" s="91"/>
      <c r="I1193" s="91"/>
      <c r="J1193" s="16">
        <f>D1195-D1181</f>
        <v>-5.8207660913467407E-11</v>
      </c>
      <c r="K1193" s="99" t="s">
        <v>110</v>
      </c>
      <c r="L1193" s="91"/>
      <c r="M1193" s="91"/>
    </row>
    <row r="1194" spans="2:13" ht="15" customHeight="1" x14ac:dyDescent="0.2">
      <c r="B1194" s="10" t="s">
        <v>938</v>
      </c>
      <c r="C1194" s="10" t="s">
        <v>110</v>
      </c>
      <c r="D1194" s="16">
        <f>SUM(D1171:M1171)+D1188</f>
        <v>-159778.18984452612</v>
      </c>
    </row>
    <row r="1195" spans="2:13" ht="15" customHeight="1" x14ac:dyDescent="0.2">
      <c r="B1195" s="10" t="s">
        <v>939</v>
      </c>
      <c r="C1195" s="10" t="s">
        <v>110</v>
      </c>
      <c r="D1195" s="16">
        <f>SUM(D1178:M1178)+D1190/(Inputs!$D$7+$D$1184)^M1158</f>
        <v>1849.9999999999418</v>
      </c>
    </row>
    <row r="1196" spans="2:13" ht="15" customHeight="1" x14ac:dyDescent="0.2">
      <c r="B1196" s="10" t="s">
        <v>940</v>
      </c>
      <c r="C1196" s="10" t="s">
        <v>104</v>
      </c>
      <c r="D1196" s="30">
        <f>IF(ABS(D1181)&gt;Inputs!$D$6,D1195/D1181-Inputs!$D$7,Inputs!$D$6)</f>
        <v>-3.141931159689193E-14</v>
      </c>
    </row>
    <row r="1197" spans="2:13" ht="15" customHeight="1" x14ac:dyDescent="0.2">
      <c r="B1197" s="10" t="s">
        <v>941</v>
      </c>
      <c r="C1197" s="10" t="s">
        <v>104</v>
      </c>
      <c r="D1197" s="30">
        <f>IF(ABS(D1195)&gt;Inputs!$D$119,D1190/(Inputs!$D$7+$D$1184)^M1158/D1195,Inputs!$D$6)</f>
        <v>7.597658521566407</v>
      </c>
    </row>
    <row r="1198" spans="2:13" ht="15" customHeight="1" x14ac:dyDescent="0.2">
      <c r="B1198" s="10" t="s">
        <v>942</v>
      </c>
      <c r="C1198" s="10" t="s">
        <v>943</v>
      </c>
      <c r="D1198" s="26">
        <f>$D$1182*Inputs!$D$8/Prices!$P$6/(Inputs!$D$26/Inputs!$D$25)/Inputs!$D$11/Inputs!$D$56</f>
        <v>5.0426192221369144</v>
      </c>
    </row>
    <row r="1202" spans="1:13" ht="15" customHeight="1" x14ac:dyDescent="0.2">
      <c r="A1202" s="104" t="s">
        <v>969</v>
      </c>
      <c r="B1202" s="10" t="s">
        <v>886</v>
      </c>
      <c r="C1202" s="10" t="s">
        <v>107</v>
      </c>
      <c r="D1202" s="28">
        <f>Inputs!$D$60</f>
        <v>1</v>
      </c>
      <c r="E1202" s="28">
        <f>Inputs!$D$62</f>
        <v>2</v>
      </c>
      <c r="F1202" s="28">
        <f>Inputs!$D$64</f>
        <v>3</v>
      </c>
      <c r="G1202" s="28">
        <f>Inputs!$D$66</f>
        <v>4</v>
      </c>
      <c r="H1202" s="28">
        <f>Inputs!$D$68</f>
        <v>5</v>
      </c>
      <c r="I1202" s="28">
        <f>Inputs!$D$70</f>
        <v>6</v>
      </c>
      <c r="J1202" s="28">
        <f>Inputs!$D$72</f>
        <v>7</v>
      </c>
      <c r="K1202" s="28">
        <f>Inputs!$D$74</f>
        <v>8</v>
      </c>
      <c r="L1202" s="28">
        <f>Inputs!$D$76</f>
        <v>9</v>
      </c>
      <c r="M1202" s="28">
        <f>Inputs!$D$78</f>
        <v>10</v>
      </c>
    </row>
    <row r="1203" spans="1:13" ht="15" customHeight="1" x14ac:dyDescent="0.2">
      <c r="A1203" s="91"/>
      <c r="B1203" s="10" t="s">
        <v>887</v>
      </c>
      <c r="C1203" s="10" t="s">
        <v>161</v>
      </c>
      <c r="D1203" s="29">
        <f>Inputs!$D$61</f>
        <v>46568</v>
      </c>
      <c r="E1203" s="29">
        <f>Inputs!$D$63</f>
        <v>46934</v>
      </c>
      <c r="F1203" s="29">
        <f>Inputs!$D$65</f>
        <v>47299</v>
      </c>
      <c r="G1203" s="29">
        <f>Inputs!$D$67</f>
        <v>47664</v>
      </c>
      <c r="H1203" s="29">
        <f>Inputs!$D$69</f>
        <v>48029</v>
      </c>
      <c r="I1203" s="29">
        <f>Inputs!$D$71</f>
        <v>48395</v>
      </c>
      <c r="J1203" s="29">
        <f>Inputs!$D$73</f>
        <v>48760</v>
      </c>
      <c r="K1203" s="29">
        <f>Inputs!$D$75</f>
        <v>49125</v>
      </c>
      <c r="L1203" s="29">
        <f>Inputs!$D$77</f>
        <v>49490</v>
      </c>
      <c r="M1203" s="29">
        <f>Inputs!$D$79</f>
        <v>49856</v>
      </c>
    </row>
    <row r="1204" spans="1:13" ht="15" customHeight="1" x14ac:dyDescent="0.2">
      <c r="A1204" s="91"/>
      <c r="B1204" s="10" t="s">
        <v>888</v>
      </c>
      <c r="C1204" s="10" t="s">
        <v>107</v>
      </c>
      <c r="D1204" s="28">
        <f>(D1203-Inputs!$D$13)/Inputs!$D$10</f>
        <v>0.71457905544147848</v>
      </c>
      <c r="E1204" s="28">
        <f>(E1203-Inputs!$D$13)/Inputs!$D$10</f>
        <v>1.7166324435318274</v>
      </c>
      <c r="F1204" s="28">
        <f>(F1203-Inputs!$D$13)/Inputs!$D$10</f>
        <v>2.7159479808350446</v>
      </c>
      <c r="G1204" s="28">
        <f>(G1203-Inputs!$D$13)/Inputs!$D$10</f>
        <v>3.7152635181382614</v>
      </c>
      <c r="H1204" s="28">
        <f>(H1203-Inputs!$D$13)/Inputs!$D$10</f>
        <v>4.7145790554414786</v>
      </c>
      <c r="I1204" s="28">
        <f>(I1203-Inputs!$D$13)/Inputs!$D$10</f>
        <v>5.7166324435318279</v>
      </c>
      <c r="J1204" s="28">
        <f>(J1203-Inputs!$D$13)/Inputs!$D$10</f>
        <v>6.7159479808350442</v>
      </c>
      <c r="K1204" s="28">
        <f>(K1203-Inputs!$D$13)/Inputs!$D$10</f>
        <v>7.7152635181382614</v>
      </c>
      <c r="L1204" s="28">
        <f>(L1203-Inputs!$D$13)/Inputs!$D$10</f>
        <v>8.7145790554414777</v>
      </c>
      <c r="M1204" s="28">
        <f>(M1203-Inputs!$D$13)/Inputs!$D$10</f>
        <v>9.716632443531827</v>
      </c>
    </row>
    <row r="1205" spans="1:13" ht="15" customHeight="1" x14ac:dyDescent="0.2">
      <c r="A1205" s="91"/>
      <c r="B1205" s="10" t="s">
        <v>889</v>
      </c>
      <c r="C1205" s="10" t="s">
        <v>107</v>
      </c>
      <c r="D1205" s="28">
        <f>D1204</f>
        <v>0.71457905544147848</v>
      </c>
      <c r="E1205" s="28">
        <f>Inputs!$D$7</f>
        <v>1</v>
      </c>
      <c r="F1205" s="28">
        <f>Inputs!$D$7</f>
        <v>1</v>
      </c>
      <c r="G1205" s="28">
        <f>Inputs!$D$7</f>
        <v>1</v>
      </c>
      <c r="H1205" s="28">
        <f>Inputs!$D$7</f>
        <v>1</v>
      </c>
      <c r="I1205" s="28">
        <f>Inputs!$D$7</f>
        <v>1</v>
      </c>
      <c r="J1205" s="28">
        <f>Inputs!$D$7</f>
        <v>1</v>
      </c>
      <c r="K1205" s="28">
        <f>Inputs!$D$7</f>
        <v>1</v>
      </c>
      <c r="L1205" s="28">
        <f>Inputs!$D$7</f>
        <v>1</v>
      </c>
      <c r="M1205" s="28">
        <f>Inputs!$D$7</f>
        <v>1</v>
      </c>
    </row>
    <row r="1206" spans="1:13" ht="15" customHeight="1" x14ac:dyDescent="0.2">
      <c r="A1206" s="91"/>
      <c r="B1206" s="3" t="s">
        <v>890</v>
      </c>
      <c r="C1206" s="10" t="s">
        <v>199</v>
      </c>
      <c r="D1206" s="28">
        <f>Inputs!$D$24+(Inputs!$D$106-Inputs!$D$24)*Inputs!$D$109</f>
        <v>170.32</v>
      </c>
      <c r="E1206" s="28">
        <f>Inputs!$D$24+(Inputs!$D$106-Inputs!$D$24)*Inputs!$D$110</f>
        <v>481.12000000000006</v>
      </c>
      <c r="F1206" s="28">
        <f>Inputs!$D$24+(Inputs!$D$106-Inputs!$D$24)*Inputs!$D$111</f>
        <v>823</v>
      </c>
      <c r="G1206" s="28">
        <f>Inputs!$D$24+(Inputs!$D$106-Inputs!$D$24)*Inputs!$D$112</f>
        <v>1211.5</v>
      </c>
      <c r="H1206" s="28">
        <f>Inputs!$D$24+(Inputs!$D$106-Inputs!$D$24)*Inputs!$D$113</f>
        <v>1600</v>
      </c>
      <c r="I1206" s="28">
        <f>Inputs!$D$24+(Inputs!$D$106-Inputs!$D$24)*Inputs!$D$114</f>
        <v>1600</v>
      </c>
      <c r="J1206" s="28">
        <f>Inputs!$D$24+(Inputs!$D$106-Inputs!$D$24)*Inputs!$D$115</f>
        <v>1600</v>
      </c>
      <c r="K1206" s="28">
        <f>Inputs!$D$24+(Inputs!$D$106-Inputs!$D$24)*Inputs!$D$116</f>
        <v>1600</v>
      </c>
      <c r="L1206" s="28">
        <f>Inputs!$D$24+(Inputs!$D$106-Inputs!$D$24)*Inputs!$D$117</f>
        <v>1600</v>
      </c>
      <c r="M1206" s="28">
        <f>Inputs!$D$24+(Inputs!$D$106-Inputs!$D$24)*Inputs!$D$118</f>
        <v>1600</v>
      </c>
    </row>
    <row r="1207" spans="1:13" ht="15" customHeight="1" x14ac:dyDescent="0.2">
      <c r="A1207" s="91"/>
      <c r="B1207" s="10" t="s">
        <v>891</v>
      </c>
      <c r="C1207" s="10" t="s">
        <v>199</v>
      </c>
      <c r="D1207" s="28">
        <f>Inputs!$D$24</f>
        <v>46</v>
      </c>
      <c r="E1207" s="28">
        <f t="shared" ref="E1207:M1207" si="260">D1206</f>
        <v>170.32</v>
      </c>
      <c r="F1207" s="28">
        <f t="shared" si="260"/>
        <v>481.12000000000006</v>
      </c>
      <c r="G1207" s="28">
        <f t="shared" si="260"/>
        <v>823</v>
      </c>
      <c r="H1207" s="28">
        <f t="shared" si="260"/>
        <v>1211.5</v>
      </c>
      <c r="I1207" s="28">
        <f t="shared" si="260"/>
        <v>1600</v>
      </c>
      <c r="J1207" s="28">
        <f t="shared" si="260"/>
        <v>1600</v>
      </c>
      <c r="K1207" s="28">
        <f t="shared" si="260"/>
        <v>1600</v>
      </c>
      <c r="L1207" s="28">
        <f t="shared" si="260"/>
        <v>1600</v>
      </c>
      <c r="M1207" s="28">
        <f t="shared" si="260"/>
        <v>1600</v>
      </c>
    </row>
    <row r="1208" spans="1:13" ht="15" customHeight="1" x14ac:dyDescent="0.2">
      <c r="B1208" s="10" t="s">
        <v>892</v>
      </c>
      <c r="C1208" s="10" t="s">
        <v>199</v>
      </c>
      <c r="D1208" s="28">
        <f>(D1207+D1206)*Inputs!$D$12</f>
        <v>108.16</v>
      </c>
      <c r="E1208" s="28">
        <f>(E1207+E1206)*Inputs!$D$12</f>
        <v>325.72000000000003</v>
      </c>
      <c r="F1208" s="28">
        <f>(F1207+F1206)*Inputs!$D$12</f>
        <v>652.06000000000006</v>
      </c>
      <c r="G1208" s="28">
        <f>(G1207+G1206)*Inputs!$D$12</f>
        <v>1017.25</v>
      </c>
      <c r="H1208" s="28">
        <f>(H1207+H1206)*Inputs!$D$12</f>
        <v>1405.75</v>
      </c>
      <c r="I1208" s="28">
        <f>(I1207+I1206)*Inputs!$D$12</f>
        <v>1600</v>
      </c>
      <c r="J1208" s="28">
        <f>(J1207+J1206)*Inputs!$D$12</f>
        <v>1600</v>
      </c>
      <c r="K1208" s="28">
        <f>(K1207+K1206)*Inputs!$D$12</f>
        <v>1600</v>
      </c>
      <c r="L1208" s="28">
        <f>(L1207+L1206)*Inputs!$D$12</f>
        <v>1600</v>
      </c>
      <c r="M1208" s="28">
        <f>(M1207+M1206)*Inputs!$D$12</f>
        <v>1600</v>
      </c>
    </row>
    <row r="1209" spans="1:13" ht="15" customHeight="1" x14ac:dyDescent="0.2">
      <c r="B1209" s="10" t="s">
        <v>893</v>
      </c>
      <c r="C1209" s="10" t="s">
        <v>199</v>
      </c>
      <c r="D1209" s="28">
        <f t="shared" ref="D1209:M1209" si="261">D1206-D1207</f>
        <v>124.32</v>
      </c>
      <c r="E1209" s="28">
        <f t="shared" si="261"/>
        <v>310.80000000000007</v>
      </c>
      <c r="F1209" s="28">
        <f t="shared" si="261"/>
        <v>341.87999999999994</v>
      </c>
      <c r="G1209" s="28">
        <f t="shared" si="261"/>
        <v>388.5</v>
      </c>
      <c r="H1209" s="28">
        <f t="shared" si="261"/>
        <v>388.5</v>
      </c>
      <c r="I1209" s="28">
        <f t="shared" si="261"/>
        <v>0</v>
      </c>
      <c r="J1209" s="28">
        <f t="shared" si="261"/>
        <v>0</v>
      </c>
      <c r="K1209" s="28">
        <f t="shared" si="261"/>
        <v>0</v>
      </c>
      <c r="L1209" s="28">
        <f t="shared" si="261"/>
        <v>0</v>
      </c>
      <c r="M1209" s="28">
        <f t="shared" si="261"/>
        <v>0</v>
      </c>
    </row>
    <row r="1210" spans="1:13" ht="15" customHeight="1" x14ac:dyDescent="0.2">
      <c r="B1210" s="10" t="s">
        <v>894</v>
      </c>
      <c r="C1210" s="10" t="s">
        <v>199</v>
      </c>
      <c r="D1210" s="28">
        <f>IF(MOD(D1202,Inputs!$D$21)=Inputs!$D$6,Inputs!$D$24,Inputs!$D$6)+SUMPRODUCT(--(D1202&gt;$D$1202:$M$1202),--(MOD(D1202-$D$1202:$M$1202,Inputs!$D$21)=Inputs!$D$6),$D$1209:$M$1209)</f>
        <v>0</v>
      </c>
      <c r="E1210" s="28">
        <f>IF(MOD(E1202,Inputs!$D$21)=Inputs!$D$6,Inputs!$D$24,Inputs!$D$6)+SUMPRODUCT(--(E1202&gt;$D$1202:$M$1202),--(MOD(E1202-$D$1202:$M$1202,Inputs!$D$21)=Inputs!$D$6),$D$1209:$M$1209)</f>
        <v>0</v>
      </c>
      <c r="F1210" s="28">
        <f>IF(MOD(F1202,Inputs!$D$21)=Inputs!$D$6,Inputs!$D$24,Inputs!$D$6)+SUMPRODUCT(--(F1202&gt;$D$1202:$M$1202),--(MOD(F1202-$D$1202:$M$1202,Inputs!$D$21)=Inputs!$D$6),$D$1209:$M$1209)</f>
        <v>0</v>
      </c>
      <c r="G1210" s="28">
        <f>IF(MOD(G1202,Inputs!$D$21)=Inputs!$D$6,Inputs!$D$24,Inputs!$D$6)+SUMPRODUCT(--(G1202&gt;$D$1202:$M$1202),--(MOD(G1202-$D$1202:$M$1202,Inputs!$D$21)=Inputs!$D$6),$D$1209:$M$1209)</f>
        <v>46</v>
      </c>
      <c r="H1210" s="28">
        <f>IF(MOD(H1202,Inputs!$D$21)=Inputs!$D$6,Inputs!$D$24,Inputs!$D$6)+SUMPRODUCT(--(H1202&gt;$D$1202:$M$1202),--(MOD(H1202-$D$1202:$M$1202,Inputs!$D$21)=Inputs!$D$6),$D$1209:$M$1209)</f>
        <v>124.32</v>
      </c>
      <c r="I1210" s="28">
        <f>IF(MOD(I1202,Inputs!$D$21)=Inputs!$D$6,Inputs!$D$24,Inputs!$D$6)+SUMPRODUCT(--(I1202&gt;$D$1202:$M$1202),--(MOD(I1202-$D$1202:$M$1202,Inputs!$D$21)=Inputs!$D$6),$D$1209:$M$1209)</f>
        <v>310.80000000000007</v>
      </c>
      <c r="J1210" s="28">
        <f>IF(MOD(J1202,Inputs!$D$21)=Inputs!$D$6,Inputs!$D$24,Inputs!$D$6)+SUMPRODUCT(--(J1202&gt;$D$1202:$M$1202),--(MOD(J1202-$D$1202:$M$1202,Inputs!$D$21)=Inputs!$D$6),$D$1209:$M$1209)</f>
        <v>341.87999999999994</v>
      </c>
      <c r="K1210" s="28">
        <f>IF(MOD(K1202,Inputs!$D$21)=Inputs!$D$6,Inputs!$D$24,Inputs!$D$6)+SUMPRODUCT(--(K1202&gt;$D$1202:$M$1202),--(MOD(K1202-$D$1202:$M$1202,Inputs!$D$21)=Inputs!$D$6),$D$1209:$M$1209)</f>
        <v>434.5</v>
      </c>
      <c r="L1210" s="28">
        <f>IF(MOD(L1202,Inputs!$D$21)=Inputs!$D$6,Inputs!$D$24,Inputs!$D$6)+SUMPRODUCT(--(L1202&gt;$D$1202:$M$1202),--(MOD(L1202-$D$1202:$M$1202,Inputs!$D$21)=Inputs!$D$6),$D$1209:$M$1209)</f>
        <v>512.81999999999994</v>
      </c>
      <c r="M1210" s="28">
        <f>IF(MOD(M1202,Inputs!$D$21)=Inputs!$D$6,Inputs!$D$24,Inputs!$D$6)+SUMPRODUCT(--(M1202&gt;$D$1202:$M$1202),--(MOD(M1202-$D$1202:$M$1202,Inputs!$D$21)=Inputs!$D$6),$D$1209:$M$1209)</f>
        <v>310.80000000000007</v>
      </c>
    </row>
    <row r="1211" spans="1:13" ht="15" customHeight="1" x14ac:dyDescent="0.2">
      <c r="B1211" s="10" t="s">
        <v>895</v>
      </c>
      <c r="C1211" s="10" t="s">
        <v>896</v>
      </c>
      <c r="D1211" s="28">
        <f t="shared" ref="D1211:M1211" si="262">D1208*D1205</f>
        <v>77.288870636550314</v>
      </c>
      <c r="E1211" s="28">
        <f t="shared" si="262"/>
        <v>325.72000000000003</v>
      </c>
      <c r="F1211" s="28">
        <f t="shared" si="262"/>
        <v>652.06000000000006</v>
      </c>
      <c r="G1211" s="28">
        <f t="shared" si="262"/>
        <v>1017.25</v>
      </c>
      <c r="H1211" s="28">
        <f t="shared" si="262"/>
        <v>1405.75</v>
      </c>
      <c r="I1211" s="28">
        <f t="shared" si="262"/>
        <v>1600</v>
      </c>
      <c r="J1211" s="28">
        <f t="shared" si="262"/>
        <v>1600</v>
      </c>
      <c r="K1211" s="28">
        <f t="shared" si="262"/>
        <v>1600</v>
      </c>
      <c r="L1211" s="28">
        <f t="shared" si="262"/>
        <v>1600</v>
      </c>
      <c r="M1211" s="28">
        <f t="shared" si="262"/>
        <v>1600</v>
      </c>
    </row>
    <row r="1212" spans="1:13" ht="15" customHeight="1" x14ac:dyDescent="0.2">
      <c r="B1212" s="10" t="s">
        <v>897</v>
      </c>
      <c r="C1212" s="10" t="s">
        <v>110</v>
      </c>
      <c r="D1212" s="16">
        <f>D1211*($D$1231/Inputs!$D$21+$D$1232/Inputs!$D$22)</f>
        <v>1118.2034893112541</v>
      </c>
      <c r="E1212" s="16">
        <f>E1211*($D$1231/Inputs!$D$21+$D$1232/Inputs!$D$22)</f>
        <v>4712.466847280074</v>
      </c>
      <c r="F1212" s="16">
        <f>F1211*($D$1231/Inputs!$D$21+$D$1232/Inputs!$D$22)</f>
        <v>9433.9037591718188</v>
      </c>
      <c r="G1212" s="16">
        <f>G1211*($D$1231/Inputs!$D$21+$D$1232/Inputs!$D$22)</f>
        <v>14717.416493907818</v>
      </c>
      <c r="H1212" s="16">
        <f>H1211*($D$1231/Inputs!$D$21+$D$1232/Inputs!$D$22)</f>
        <v>20338.17472235037</v>
      </c>
      <c r="I1212" s="16">
        <f>I1211*($D$1231/Inputs!$D$21+$D$1232/Inputs!$D$22)</f>
        <v>23148.553836571649</v>
      </c>
      <c r="J1212" s="16">
        <f>J1211*($D$1231/Inputs!$D$21+$D$1232/Inputs!$D$22)</f>
        <v>23148.553836571649</v>
      </c>
      <c r="K1212" s="16">
        <f>K1211*($D$1231/Inputs!$D$21+$D$1232/Inputs!$D$22)</f>
        <v>23148.553836571649</v>
      </c>
      <c r="L1212" s="16">
        <f>L1211*($D$1231/Inputs!$D$21+$D$1232/Inputs!$D$22)</f>
        <v>23148.553836571649</v>
      </c>
      <c r="M1212" s="16">
        <f>M1211*($D$1231/Inputs!$D$21+$D$1232/Inputs!$D$22)</f>
        <v>23148.553836571649</v>
      </c>
    </row>
    <row r="1213" spans="1:13" ht="15" customHeight="1" x14ac:dyDescent="0.2">
      <c r="B1213" s="10" t="s">
        <v>898</v>
      </c>
      <c r="C1213" s="10" t="s">
        <v>110</v>
      </c>
      <c r="D1213" s="16">
        <f t="shared" ref="D1213:M1213" si="263">D1209*($D$1231+$D$1232)</f>
        <v>7454.8732903914051</v>
      </c>
      <c r="E1213" s="16">
        <f t="shared" si="263"/>
        <v>18637.183225978519</v>
      </c>
      <c r="F1213" s="16">
        <f t="shared" si="263"/>
        <v>20500.901548576363</v>
      </c>
      <c r="G1213" s="16">
        <f t="shared" si="263"/>
        <v>23296.479032473144</v>
      </c>
      <c r="H1213" s="16">
        <f t="shared" si="263"/>
        <v>23296.479032473144</v>
      </c>
      <c r="I1213" s="16">
        <f t="shared" si="263"/>
        <v>0</v>
      </c>
      <c r="J1213" s="16">
        <f t="shared" si="263"/>
        <v>0</v>
      </c>
      <c r="K1213" s="16">
        <f t="shared" si="263"/>
        <v>0</v>
      </c>
      <c r="L1213" s="16">
        <f t="shared" si="263"/>
        <v>0</v>
      </c>
      <c r="M1213" s="16">
        <f t="shared" si="263"/>
        <v>0</v>
      </c>
    </row>
    <row r="1214" spans="1:13" ht="15" customHeight="1" x14ac:dyDescent="0.2">
      <c r="B1214" s="10" t="s">
        <v>899</v>
      </c>
      <c r="C1214" s="10" t="s">
        <v>110</v>
      </c>
      <c r="D1214" s="16">
        <f t="shared" ref="D1214:M1214" si="264">D1210*$D$1231</f>
        <v>0</v>
      </c>
      <c r="E1214" s="16">
        <f t="shared" si="264"/>
        <v>0</v>
      </c>
      <c r="F1214" s="16">
        <f t="shared" si="264"/>
        <v>0</v>
      </c>
      <c r="G1214" s="16">
        <f t="shared" si="264"/>
        <v>2638.0048485671714</v>
      </c>
      <c r="H1214" s="16">
        <f t="shared" si="264"/>
        <v>7129.4948429102333</v>
      </c>
      <c r="I1214" s="16">
        <f t="shared" si="264"/>
        <v>17823.737107275589</v>
      </c>
      <c r="J1214" s="16">
        <f t="shared" si="264"/>
        <v>19606.110818003141</v>
      </c>
      <c r="K1214" s="16">
        <f t="shared" si="264"/>
        <v>24917.676232661652</v>
      </c>
      <c r="L1214" s="16">
        <f t="shared" si="264"/>
        <v>29409.166227004709</v>
      </c>
      <c r="M1214" s="16">
        <f t="shared" si="264"/>
        <v>17823.737107275589</v>
      </c>
    </row>
    <row r="1215" spans="1:13" ht="15" customHeight="1" x14ac:dyDescent="0.2">
      <c r="B1215" s="10" t="s">
        <v>900</v>
      </c>
      <c r="C1215" s="10" t="s">
        <v>199</v>
      </c>
      <c r="D1215" s="28">
        <f>D1209*Inputs!$D$23</f>
        <v>3.1080000000000001</v>
      </c>
      <c r="E1215" s="28">
        <f>E1209*Inputs!$D$23</f>
        <v>7.7700000000000022</v>
      </c>
      <c r="F1215" s="28">
        <f>F1209*Inputs!$D$23</f>
        <v>8.5469999999999988</v>
      </c>
      <c r="G1215" s="28">
        <f>G1209*Inputs!$D$23</f>
        <v>9.7125000000000004</v>
      </c>
      <c r="H1215" s="28">
        <f>H1209*Inputs!$D$23</f>
        <v>9.7125000000000004</v>
      </c>
      <c r="I1215" s="28">
        <f>I1209*Inputs!$D$23</f>
        <v>0</v>
      </c>
      <c r="J1215" s="28">
        <f>J1209*Inputs!$D$23</f>
        <v>0</v>
      </c>
      <c r="K1215" s="28">
        <f>K1209*Inputs!$D$23</f>
        <v>0</v>
      </c>
      <c r="L1215" s="28">
        <f>L1209*Inputs!$D$23</f>
        <v>0</v>
      </c>
      <c r="M1215" s="28">
        <f>M1209*Inputs!$D$23</f>
        <v>0</v>
      </c>
    </row>
    <row r="1216" spans="1:13" ht="15" customHeight="1" x14ac:dyDescent="0.2">
      <c r="B1216" s="3" t="s">
        <v>901</v>
      </c>
      <c r="C1216" s="10" t="s">
        <v>896</v>
      </c>
      <c r="D1216" s="28">
        <f>(D1211*$D$1229*(Inputs!$D$7-Inputs!$D$19)-D1215)/(Inputs!$D$7+$D$1230)^D1204</f>
        <v>40.99699201112098</v>
      </c>
      <c r="E1216" s="28">
        <f>(E1211*$D$1229*(Inputs!$D$7-Inputs!$D$19)-E1215)/(Inputs!$D$7+$D$1230)^E1204</f>
        <v>153.02781912726542</v>
      </c>
      <c r="F1216" s="28">
        <f>(F1211*$D$1229*(Inputs!$D$7-Inputs!$D$19)-F1215)/(Inputs!$D$7+$D$1230)^F1204</f>
        <v>268.8019226843403</v>
      </c>
      <c r="G1216" s="28">
        <f>(G1211*$D$1229*(Inputs!$D$7-Inputs!$D$19)-G1215)/(Inputs!$D$7+$D$1230)^G1204</f>
        <v>363.62824610263397</v>
      </c>
      <c r="H1216" s="28">
        <f>(H1211*$D$1229*(Inputs!$D$7-Inputs!$D$19)-H1215)/(Inputs!$D$7+$D$1230)^H1204</f>
        <v>435.07807528321291</v>
      </c>
      <c r="I1216" s="28">
        <f>(I1211*$D$1229*(Inputs!$D$7-Inputs!$D$19)-I1215)/(Inputs!$D$7+$D$1230)^I1204</f>
        <v>431.49711827119876</v>
      </c>
      <c r="J1216" s="28">
        <f>(J1211*$D$1229*(Inputs!$D$7-Inputs!$D$19)-J1215)/(Inputs!$D$7+$D$1230)^J1204</f>
        <v>372.01806500733016</v>
      </c>
      <c r="K1216" s="28">
        <f>(K1211*$D$1229*(Inputs!$D$7-Inputs!$D$19)-K1215)/(Inputs!$D$7+$D$1230)^K1204</f>
        <v>320.73780989845312</v>
      </c>
      <c r="L1216" s="28">
        <f>(L1211*$D$1229*(Inputs!$D$7-Inputs!$D$19)-L1215)/(Inputs!$D$7+$D$1230)^L1204</f>
        <v>276.52620228651875</v>
      </c>
      <c r="M1216" s="28">
        <f>(M1211*$D$1229*(Inputs!$D$7-Inputs!$D$19)-M1215)/(Inputs!$D$7+$D$1230)^M1204</f>
        <v>238.31201718226143</v>
      </c>
    </row>
    <row r="1217" spans="2:13" ht="15" customHeight="1" x14ac:dyDescent="0.2">
      <c r="B1217" s="10" t="s">
        <v>902</v>
      </c>
      <c r="C1217" s="10" t="s">
        <v>110</v>
      </c>
      <c r="D1217" s="16">
        <f>(D1212*Inputs!$D$19-D1213-D1214)/(Inputs!$D$7+$D$1230)^D1204</f>
        <v>-6403.0045740313244</v>
      </c>
      <c r="E1217" s="16">
        <f>(E1212*Inputs!$D$19-E1213-E1214)/(Inputs!$D$7+$D$1230)^E1204</f>
        <v>-13349.632212764713</v>
      </c>
      <c r="F1217" s="16">
        <f>(F1212*Inputs!$D$19-F1213-F1214)/(Inputs!$D$7+$D$1230)^F1204</f>
        <v>-11808.370082432088</v>
      </c>
      <c r="G1217" s="16">
        <f>(G1212*Inputs!$D$19-G1213-G1214)/(Inputs!$D$7+$D$1230)^G1204</f>
        <v>-12397.921878440668</v>
      </c>
      <c r="H1217" s="16">
        <f>(H1212*Inputs!$D$19-H1213-H1214)/(Inputs!$D$7+$D$1230)^H1204</f>
        <v>-12082.366885213038</v>
      </c>
      <c r="I1217" s="16">
        <f>(I1212*Inputs!$D$19-I1213-I1214)/(Inputs!$D$7+$D$1230)^I1204</f>
        <v>-4657.0743222469628</v>
      </c>
      <c r="J1217" s="16">
        <f>(J1212*Inputs!$D$19-J1213-J1214)/(Inputs!$D$7+$D$1230)^J1204</f>
        <v>-4672.9398284057479</v>
      </c>
      <c r="K1217" s="16">
        <f>(K1212*Inputs!$D$19-K1213-K1214)/(Inputs!$D$7+$D$1230)^K1204</f>
        <v>-5718.9047268503064</v>
      </c>
      <c r="L1217" s="16">
        <f>(L1212*Inputs!$D$19-L1213-L1214)/(Inputs!$D$7+$D$1230)^L1204</f>
        <v>-6162.7485564592316</v>
      </c>
      <c r="M1217" s="16">
        <f>(M1212*Inputs!$D$19-M1213-M1214)/(Inputs!$D$7+$D$1230)^M1204</f>
        <v>-2572.0606903447429</v>
      </c>
    </row>
    <row r="1218" spans="2:13" ht="15" customHeight="1" x14ac:dyDescent="0.2">
      <c r="B1218" s="10" t="s">
        <v>903</v>
      </c>
      <c r="C1218" s="10" t="s">
        <v>110</v>
      </c>
      <c r="D1218" s="16">
        <f t="shared" ref="D1218:M1218" si="265">D1211*$D$1228</f>
        <v>1887.1700377480136</v>
      </c>
      <c r="E1218" s="16">
        <f t="shared" si="265"/>
        <v>7953.1376203677291</v>
      </c>
      <c r="F1218" s="16">
        <f t="shared" si="265"/>
        <v>15921.413842370692</v>
      </c>
      <c r="G1218" s="16">
        <f t="shared" si="265"/>
        <v>24838.29437651686</v>
      </c>
      <c r="H1218" s="16">
        <f t="shared" si="265"/>
        <v>34324.33749794896</v>
      </c>
      <c r="I1218" s="16">
        <f t="shared" si="265"/>
        <v>39067.359058665003</v>
      </c>
      <c r="J1218" s="16">
        <f t="shared" si="265"/>
        <v>39067.359058665003</v>
      </c>
      <c r="K1218" s="16">
        <f t="shared" si="265"/>
        <v>39067.359058665003</v>
      </c>
      <c r="L1218" s="16">
        <f t="shared" si="265"/>
        <v>39067.359058665003</v>
      </c>
      <c r="M1218" s="16">
        <f t="shared" si="265"/>
        <v>39067.359058665003</v>
      </c>
    </row>
    <row r="1219" spans="2:13" ht="15" customHeight="1" x14ac:dyDescent="0.2">
      <c r="B1219" s="10" t="s">
        <v>904</v>
      </c>
      <c r="C1219" s="10" t="s">
        <v>110</v>
      </c>
      <c r="D1219" s="16">
        <f t="shared" ref="D1219:M1219" si="266">D1218*$D$1229</f>
        <v>1698.4530339732123</v>
      </c>
      <c r="E1219" s="16">
        <f t="shared" si="266"/>
        <v>7157.8238583309567</v>
      </c>
      <c r="F1219" s="16">
        <f t="shared" si="266"/>
        <v>14329.272458133622</v>
      </c>
      <c r="G1219" s="16">
        <f t="shared" si="266"/>
        <v>22354.464938865174</v>
      </c>
      <c r="H1219" s="16">
        <f t="shared" si="266"/>
        <v>30891.903748154065</v>
      </c>
      <c r="I1219" s="16">
        <f t="shared" si="266"/>
        <v>35160.6231527985</v>
      </c>
      <c r="J1219" s="16">
        <f t="shared" si="266"/>
        <v>35160.6231527985</v>
      </c>
      <c r="K1219" s="16">
        <f t="shared" si="266"/>
        <v>35160.6231527985</v>
      </c>
      <c r="L1219" s="16">
        <f t="shared" si="266"/>
        <v>35160.6231527985</v>
      </c>
      <c r="M1219" s="16">
        <f t="shared" si="266"/>
        <v>35160.6231527985</v>
      </c>
    </row>
    <row r="1220" spans="2:13" ht="15" customHeight="1" x14ac:dyDescent="0.2">
      <c r="B1220" s="10" t="s">
        <v>905</v>
      </c>
      <c r="C1220" s="10" t="s">
        <v>110</v>
      </c>
      <c r="D1220" s="16">
        <f t="shared" ref="D1220:M1220" si="267">D1219-D1212</f>
        <v>580.24954466195823</v>
      </c>
      <c r="E1220" s="16">
        <f t="shared" si="267"/>
        <v>2445.3570110508826</v>
      </c>
      <c r="F1220" s="16">
        <f t="shared" si="267"/>
        <v>4895.3686989618036</v>
      </c>
      <c r="G1220" s="16">
        <f t="shared" si="267"/>
        <v>7637.048444957356</v>
      </c>
      <c r="H1220" s="16">
        <f t="shared" si="267"/>
        <v>10553.729025803696</v>
      </c>
      <c r="I1220" s="16">
        <f t="shared" si="267"/>
        <v>12012.069316226851</v>
      </c>
      <c r="J1220" s="16">
        <f t="shared" si="267"/>
        <v>12012.069316226851</v>
      </c>
      <c r="K1220" s="16">
        <f t="shared" si="267"/>
        <v>12012.069316226851</v>
      </c>
      <c r="L1220" s="16">
        <f t="shared" si="267"/>
        <v>12012.069316226851</v>
      </c>
      <c r="M1220" s="16">
        <f t="shared" si="267"/>
        <v>12012.069316226851</v>
      </c>
    </row>
    <row r="1221" spans="2:13" ht="15" customHeight="1" x14ac:dyDescent="0.2">
      <c r="B1221" s="10" t="s">
        <v>906</v>
      </c>
      <c r="C1221" s="10" t="s">
        <v>110</v>
      </c>
      <c r="D1221" s="16">
        <f>MAX(D1220,Inputs!$D$6)*Inputs!$D$19</f>
        <v>174.07486339858747</v>
      </c>
      <c r="E1221" s="16">
        <f>MAX(E1220,Inputs!$D$6)*Inputs!$D$19</f>
        <v>733.60710331526479</v>
      </c>
      <c r="F1221" s="16">
        <f>MAX(F1220,Inputs!$D$6)*Inputs!$D$19</f>
        <v>1468.610609688541</v>
      </c>
      <c r="G1221" s="16">
        <f>MAX(G1220,Inputs!$D$6)*Inputs!$D$19</f>
        <v>2291.1145334872067</v>
      </c>
      <c r="H1221" s="16">
        <f>MAX(H1220,Inputs!$D$6)*Inputs!$D$19</f>
        <v>3166.1187077411087</v>
      </c>
      <c r="I1221" s="16">
        <f>MAX(I1220,Inputs!$D$6)*Inputs!$D$19</f>
        <v>3603.6207948680553</v>
      </c>
      <c r="J1221" s="16">
        <f>MAX(J1220,Inputs!$D$6)*Inputs!$D$19</f>
        <v>3603.6207948680553</v>
      </c>
      <c r="K1221" s="16">
        <f>MAX(K1220,Inputs!$D$6)*Inputs!$D$19</f>
        <v>3603.6207948680553</v>
      </c>
      <c r="L1221" s="16">
        <f>MAX(L1220,Inputs!$D$6)*Inputs!$D$19</f>
        <v>3603.6207948680553</v>
      </c>
      <c r="M1221" s="16">
        <f>MAX(M1220,Inputs!$D$6)*Inputs!$D$19</f>
        <v>3603.6207948680553</v>
      </c>
    </row>
    <row r="1222" spans="2:13" ht="15" customHeight="1" x14ac:dyDescent="0.2">
      <c r="B1222" s="10" t="s">
        <v>907</v>
      </c>
      <c r="C1222" s="10" t="s">
        <v>110</v>
      </c>
      <c r="D1222" s="16">
        <f t="shared" ref="D1222:M1222" si="268">D1215*$D$1228</f>
        <v>75.888344971456775</v>
      </c>
      <c r="E1222" s="16">
        <f t="shared" si="268"/>
        <v>189.72086242864199</v>
      </c>
      <c r="F1222" s="16">
        <f t="shared" si="268"/>
        <v>208.69294867150609</v>
      </c>
      <c r="G1222" s="16">
        <f t="shared" si="268"/>
        <v>237.15107803580241</v>
      </c>
      <c r="H1222" s="16">
        <f t="shared" si="268"/>
        <v>237.15107803580241</v>
      </c>
      <c r="I1222" s="16">
        <f t="shared" si="268"/>
        <v>0</v>
      </c>
      <c r="J1222" s="16">
        <f t="shared" si="268"/>
        <v>0</v>
      </c>
      <c r="K1222" s="16">
        <f t="shared" si="268"/>
        <v>0</v>
      </c>
      <c r="L1222" s="16">
        <f t="shared" si="268"/>
        <v>0</v>
      </c>
      <c r="M1222" s="16">
        <f t="shared" si="268"/>
        <v>0</v>
      </c>
    </row>
    <row r="1223" spans="2:13" ht="15" customHeight="1" x14ac:dyDescent="0.2">
      <c r="B1223" s="10" t="s">
        <v>908</v>
      </c>
      <c r="C1223" s="10" t="s">
        <v>110</v>
      </c>
      <c r="D1223" s="16">
        <f t="shared" ref="D1223:M1223" si="269">D1219-D1221-D1213-D1214-D1222</f>
        <v>-6006.3834647882368</v>
      </c>
      <c r="E1223" s="16">
        <f t="shared" si="269"/>
        <v>-12402.687333391468</v>
      </c>
      <c r="F1223" s="16">
        <f t="shared" si="269"/>
        <v>-7848.9326488027882</v>
      </c>
      <c r="G1223" s="16">
        <f t="shared" si="269"/>
        <v>-6108.2845536981486</v>
      </c>
      <c r="H1223" s="16">
        <f t="shared" si="269"/>
        <v>-2937.339913006223</v>
      </c>
      <c r="I1223" s="16">
        <f t="shared" si="269"/>
        <v>13733.265250654855</v>
      </c>
      <c r="J1223" s="16">
        <f t="shared" si="269"/>
        <v>11950.891539927303</v>
      </c>
      <c r="K1223" s="16">
        <f t="shared" si="269"/>
        <v>6639.3261252687917</v>
      </c>
      <c r="L1223" s="16">
        <f t="shared" si="269"/>
        <v>2147.8361309257343</v>
      </c>
      <c r="M1223" s="16">
        <f t="shared" si="269"/>
        <v>13733.265250654855</v>
      </c>
    </row>
    <row r="1224" spans="2:13" ht="15" customHeight="1" x14ac:dyDescent="0.2">
      <c r="B1224" s="10" t="s">
        <v>909</v>
      </c>
      <c r="C1224" s="10" t="s">
        <v>110</v>
      </c>
      <c r="D1224" s="16">
        <f>D1223/(Inputs!$D$7+$D$1230)^D1204</f>
        <v>-5401.9769445165221</v>
      </c>
      <c r="E1224" s="16">
        <f>E1223/(Inputs!$D$7+$D$1230)^E1204</f>
        <v>-9613.1367403838849</v>
      </c>
      <c r="F1224" s="16">
        <f>F1223/(Inputs!$D$7+$D$1230)^F1204</f>
        <v>-5245.0068142016908</v>
      </c>
      <c r="G1224" s="16">
        <f>G1223/(Inputs!$D$7+$D$1230)^G1204</f>
        <v>-3519.1748444630371</v>
      </c>
      <c r="H1224" s="16">
        <f>H1223/(Inputs!$D$7+$D$1230)^H1204</f>
        <v>-1459.0222691866832</v>
      </c>
      <c r="I1224" s="16">
        <f>I1223/(Inputs!$D$7+$D$1230)^I1204</f>
        <v>5878.8337104281381</v>
      </c>
      <c r="J1224" s="16">
        <f>J1223/(Inputs!$D$7+$D$1230)^J1204</f>
        <v>4410.6622478137178</v>
      </c>
      <c r="K1224" s="16">
        <f>K1223/(Inputs!$D$7+$D$1230)^K1204</f>
        <v>2112.582262520134</v>
      </c>
      <c r="L1224" s="16">
        <f>L1223/(Inputs!$D$7+$D$1230)^L1204</f>
        <v>589.21921470105508</v>
      </c>
      <c r="M1224" s="16">
        <f>M1223/(Inputs!$D$7+$D$1230)^M1204</f>
        <v>3246.8275241891015</v>
      </c>
    </row>
    <row r="1225" spans="2:13" ht="15" customHeight="1" x14ac:dyDescent="0.2">
      <c r="B1225" s="3" t="s">
        <v>910</v>
      </c>
      <c r="C1225" s="10" t="s">
        <v>896</v>
      </c>
      <c r="D1225" s="28">
        <f>(D1211*$D$1229-D1215)/(Inputs!$D$7+$D$1230)^D1204</f>
        <v>59.765095798928819</v>
      </c>
      <c r="E1225" s="28">
        <f>(E1211*$D$1229-E1215)/(Inputs!$D$7+$D$1230)^E1204</f>
        <v>221.1922031857838</v>
      </c>
      <c r="F1225" s="28">
        <f>(F1211*$D$1229-F1215)/(Inputs!$D$7+$D$1230)^F1204</f>
        <v>386.45052664112239</v>
      </c>
      <c r="G1225" s="28">
        <f>(G1211*$D$1229-G1215)/(Inputs!$D$7+$D$1230)^G1204</f>
        <v>521.867070169518</v>
      </c>
      <c r="H1225" s="28">
        <f>(H1211*$D$1229-H1215)/(Inputs!$D$7+$D$1230)^H1204</f>
        <v>623.60768582417222</v>
      </c>
      <c r="I1225" s="28">
        <f>(I1211*$D$1229-I1215)/(Inputs!$D$7+$D$1230)^I1204</f>
        <v>616.42445467314121</v>
      </c>
      <c r="J1225" s="28">
        <f>(J1211*$D$1229-J1215)/(Inputs!$D$7+$D$1230)^J1204</f>
        <v>531.4543785819003</v>
      </c>
      <c r="K1225" s="28">
        <f>(K1211*$D$1229-K1215)/(Inputs!$D$7+$D$1230)^K1204</f>
        <v>458.19687128350449</v>
      </c>
      <c r="L1225" s="28">
        <f>(L1211*$D$1229-L1215)/(Inputs!$D$7+$D$1230)^L1204</f>
        <v>395.03743183788401</v>
      </c>
      <c r="M1225" s="28">
        <f>(M1211*$D$1229-M1215)/(Inputs!$D$7+$D$1230)^M1204</f>
        <v>340.44573883180209</v>
      </c>
    </row>
    <row r="1226" spans="2:13" ht="15" customHeight="1" x14ac:dyDescent="0.2">
      <c r="B1226" s="10" t="s">
        <v>911</v>
      </c>
      <c r="C1226" s="10" t="s">
        <v>110</v>
      </c>
      <c r="D1226" s="16">
        <f>(-D1213-D1214)/(Inputs!$D$7+$D$1230)^D1204</f>
        <v>-6704.7090607969039</v>
      </c>
      <c r="E1226" s="16">
        <f>(-E1213-E1214)/(Inputs!$D$7+$D$1230)^E1204</f>
        <v>-14445.4009031226</v>
      </c>
      <c r="F1226" s="16">
        <f>(-F1213-F1214)/(Inputs!$D$7+$D$1230)^F1204</f>
        <v>-13699.616639717549</v>
      </c>
      <c r="G1226" s="16">
        <f>(-G1213-G1214)/(Inputs!$D$7+$D$1230)^G1204</f>
        <v>-14941.671835349038</v>
      </c>
      <c r="H1226" s="16">
        <f>(-H1213-H1214)/(Inputs!$D$7+$D$1230)^H1204</f>
        <v>-15113.052884793095</v>
      </c>
      <c r="I1226" s="16">
        <f>(-I1213-I1214)/(Inputs!$D$7+$D$1230)^I1204</f>
        <v>-7629.8523795762403</v>
      </c>
      <c r="J1226" s="16">
        <f>(-J1213-J1214)/(Inputs!$D$7+$D$1230)^J1204</f>
        <v>-7235.9398897150922</v>
      </c>
      <c r="K1226" s="16">
        <f>(-K1213-K1214)/(Inputs!$D$7+$D$1230)^K1204</f>
        <v>-7928.612006570077</v>
      </c>
      <c r="L1226" s="16">
        <f>(-L1213-L1214)/(Inputs!$D$7+$D$1230)^L1204</f>
        <v>-8067.8621519509534</v>
      </c>
      <c r="M1226" s="16">
        <f>(-M1213-M1214)/(Inputs!$D$7+$D$1230)^M1204</f>
        <v>-4213.8995473821142</v>
      </c>
    </row>
    <row r="1227" spans="2:13" ht="15" customHeight="1" x14ac:dyDescent="0.2">
      <c r="B1227" s="10" t="s">
        <v>912</v>
      </c>
      <c r="C1227" s="10" t="s">
        <v>110</v>
      </c>
      <c r="D1227" s="16">
        <f>Prices!I10</f>
        <v>1850</v>
      </c>
    </row>
    <row r="1228" spans="2:13" ht="15" customHeight="1" x14ac:dyDescent="0.2">
      <c r="B1228" s="3" t="s">
        <v>913</v>
      </c>
      <c r="C1228" s="10" t="s">
        <v>914</v>
      </c>
      <c r="D1228" s="28">
        <f>IF(J1235&gt;=J1231,J1235,(D1227-J1234)/J1233)</f>
        <v>24.417099411665628</v>
      </c>
      <c r="G1228" s="99" t="s">
        <v>915</v>
      </c>
      <c r="H1228" s="91"/>
      <c r="I1228" s="91"/>
      <c r="J1228" s="28">
        <f>D1228*Inputs!$D$15</f>
        <v>17.040693679401443</v>
      </c>
      <c r="K1228" s="99" t="s">
        <v>916</v>
      </c>
      <c r="L1228" s="91"/>
      <c r="M1228" s="91"/>
    </row>
    <row r="1229" spans="2:13" ht="15" customHeight="1" x14ac:dyDescent="0.2">
      <c r="B1229" s="10" t="s">
        <v>917</v>
      </c>
      <c r="C1229" s="10" t="s">
        <v>104</v>
      </c>
      <c r="D1229" s="30">
        <f>Inputs!$D$107</f>
        <v>0.9</v>
      </c>
      <c r="G1229" s="99" t="s">
        <v>918</v>
      </c>
      <c r="H1229" s="91"/>
      <c r="I1229" s="91"/>
      <c r="J1229" s="28">
        <f>IF(-D1240/D1239&gt;=J1231,-D1240/D1239,-J1234/J1233)</f>
        <v>24.024174528419383</v>
      </c>
      <c r="K1229" s="99" t="s">
        <v>919</v>
      </c>
      <c r="L1229" s="91"/>
      <c r="M1229" s="91"/>
    </row>
    <row r="1230" spans="2:13" ht="15" customHeight="1" x14ac:dyDescent="0.2">
      <c r="B1230" s="10" t="s">
        <v>920</v>
      </c>
      <c r="C1230" s="10" t="s">
        <v>104</v>
      </c>
      <c r="D1230" s="30">
        <f>Inputs!$D$108</f>
        <v>0.16</v>
      </c>
      <c r="G1230" s="99" t="s">
        <v>918</v>
      </c>
      <c r="H1230" s="91"/>
      <c r="I1230" s="91"/>
      <c r="J1230" s="28">
        <f>J1229*Inputs!$D$15</f>
        <v>16.766471403383886</v>
      </c>
      <c r="K1230" s="99" t="s">
        <v>916</v>
      </c>
      <c r="L1230" s="91"/>
      <c r="M1230" s="91"/>
    </row>
    <row r="1231" spans="2:13" ht="15" customHeight="1" x14ac:dyDescent="0.2">
      <c r="B1231" s="3" t="s">
        <v>921</v>
      </c>
      <c r="C1231" s="10" t="s">
        <v>848</v>
      </c>
      <c r="D1231" s="28">
        <f>Capital!$D$13</f>
        <v>57.347931490590682</v>
      </c>
      <c r="G1231" s="99" t="s">
        <v>922</v>
      </c>
      <c r="H1231" s="91"/>
      <c r="I1231" s="91"/>
      <c r="J1231" s="28">
        <f>($D$1231/Inputs!$D$21+$D$1232/Inputs!$D$22)/$D$1229</f>
        <v>16.07538460873031</v>
      </c>
      <c r="K1231" s="99" t="s">
        <v>919</v>
      </c>
      <c r="L1231" s="91"/>
      <c r="M1231" s="91"/>
    </row>
    <row r="1232" spans="2:13" ht="15" customHeight="1" x14ac:dyDescent="0.2">
      <c r="B1232" s="3" t="s">
        <v>923</v>
      </c>
      <c r="C1232" s="10" t="s">
        <v>848</v>
      </c>
      <c r="D1232" s="28">
        <f>Capital!$D$14</f>
        <v>2.6172655041921802</v>
      </c>
    </row>
    <row r="1233" spans="1:13" ht="15" customHeight="1" x14ac:dyDescent="0.2">
      <c r="B1233" s="10" t="s">
        <v>924</v>
      </c>
      <c r="C1233" s="10" t="s">
        <v>896</v>
      </c>
      <c r="D1233" s="28">
        <f>(M1206*(Inputs!$D$7+Inputs!$D$20)*$D$1229*(Inputs!$D$7-Inputs!$D$19)-M1206*Inputs!$D$20*Inputs!$D$23)/($D$1230-Inputs!$D$20)/(Inputs!$D$7+$D$1230)^M1204</f>
        <v>1807.6547922951956</v>
      </c>
      <c r="G1233" s="92" t="s">
        <v>910</v>
      </c>
      <c r="H1233" s="91"/>
      <c r="I1233" s="91"/>
      <c r="J1233" s="28">
        <f>SUM(D1225:M1225)+(M1206*(Inputs!$D$7+Inputs!$D$20)*$D$1229-M1206*Inputs!$D$20*Inputs!$D$23)/($D$1230-Inputs!$D$20)/(Inputs!$D$7+$D$1230)^M1204</f>
        <v>6737.5559875731687</v>
      </c>
      <c r="K1233" s="99" t="s">
        <v>896</v>
      </c>
      <c r="L1233" s="91"/>
      <c r="M1233" s="91"/>
    </row>
    <row r="1234" spans="1:13" ht="15" customHeight="1" x14ac:dyDescent="0.2">
      <c r="B1234" s="10" t="s">
        <v>925</v>
      </c>
      <c r="C1234" s="10" t="s">
        <v>110</v>
      </c>
      <c r="D1234" s="16">
        <f>(D1237*Inputs!$D$19-D1237-D1238)/($D$1230-Inputs!$D$20)/(Inputs!$D$7+$D$1230)^M1204</f>
        <v>-33287.494112345899</v>
      </c>
      <c r="G1234" s="92" t="s">
        <v>926</v>
      </c>
      <c r="H1234" s="91"/>
      <c r="I1234" s="91"/>
      <c r="J1234" s="16">
        <f>SUM(D1226:M1226)-(D1237+D1238)/($D$1230-Inputs!$D$20)/(Inputs!$D$7+$D$1230)^M1204</f>
        <v>-145733.9249554922</v>
      </c>
      <c r="K1234" s="99" t="s">
        <v>110</v>
      </c>
      <c r="L1234" s="91"/>
      <c r="M1234" s="91"/>
    </row>
    <row r="1235" spans="1:13" ht="15" customHeight="1" x14ac:dyDescent="0.2">
      <c r="B1235" s="10" t="s">
        <v>927</v>
      </c>
      <c r="C1235" s="10" t="s">
        <v>928</v>
      </c>
      <c r="D1235" s="16">
        <f>(M1206*(Inputs!$D$7+Inputs!$D$20)*$D$1228*$D$1229-D1237)-MAX((M1206*(Inputs!$D$7+Inputs!$D$20)*$D$1228*$D$1229-D1237),Inputs!$D$6)*Inputs!$D$19-D1238-M1206*Inputs!$D$20*$D$1228*Inputs!$D$23</f>
        <v>6195.6347551897879</v>
      </c>
      <c r="G1235" s="99" t="s">
        <v>929</v>
      </c>
      <c r="H1235" s="91"/>
      <c r="I1235" s="91"/>
      <c r="J1235" s="28">
        <f>(D1227-D1240)/D1239</f>
        <v>24.417099411665628</v>
      </c>
      <c r="K1235" s="99" t="s">
        <v>919</v>
      </c>
      <c r="L1235" s="91"/>
      <c r="M1235" s="91"/>
    </row>
    <row r="1236" spans="1:13" ht="15" customHeight="1" x14ac:dyDescent="0.2">
      <c r="B1236" s="10" t="s">
        <v>930</v>
      </c>
      <c r="C1236" s="10" t="s">
        <v>110</v>
      </c>
      <c r="D1236" s="16">
        <f>D1235/($D$1230-Inputs!$D$20)</f>
        <v>45893.590779183614</v>
      </c>
      <c r="G1236" s="99" t="s">
        <v>931</v>
      </c>
      <c r="H1236" s="91"/>
      <c r="I1236" s="91"/>
      <c r="J1236" s="16">
        <f>MIN(D1220:M1220,(M1206*(Inputs!$D$7+Inputs!$D$20)*$D$1228*$D$1229-D1237))</f>
        <v>580.24954466195823</v>
      </c>
      <c r="K1236" s="99" t="s">
        <v>110</v>
      </c>
      <c r="L1236" s="91"/>
      <c r="M1236" s="91"/>
    </row>
    <row r="1237" spans="1:13" ht="15" customHeight="1" x14ac:dyDescent="0.2">
      <c r="B1237" s="10" t="s">
        <v>932</v>
      </c>
      <c r="C1237" s="10" t="s">
        <v>928</v>
      </c>
      <c r="D1237" s="16">
        <f>M1206*(Inputs!$D$7+Inputs!$D$20)*($D$1231/Inputs!$D$21+$D$1232/Inputs!$D$22)</f>
        <v>23727.267682485937</v>
      </c>
      <c r="G1237" s="99" t="s">
        <v>933</v>
      </c>
      <c r="H1237" s="91"/>
      <c r="I1237" s="91"/>
      <c r="J1237" s="31" t="str">
        <f>IF(J1236&lt;Inputs!$D$6,"breached","satisfied")</f>
        <v>satisfied</v>
      </c>
      <c r="K1237" s="99" t="s">
        <v>934</v>
      </c>
      <c r="L1237" s="91"/>
      <c r="M1237" s="91"/>
    </row>
    <row r="1238" spans="1:13" ht="15" customHeight="1" x14ac:dyDescent="0.2">
      <c r="B1238" s="10" t="s">
        <v>935</v>
      </c>
      <c r="C1238" s="10" t="s">
        <v>928</v>
      </c>
      <c r="D1238" s="16">
        <f>M1206*Inputs!$D$20*($D$1231+$D$1232)</f>
        <v>2398.6078797913146</v>
      </c>
    </row>
    <row r="1239" spans="1:13" ht="15" customHeight="1" x14ac:dyDescent="0.2">
      <c r="B1239" s="10" t="s">
        <v>936</v>
      </c>
      <c r="C1239" s="10" t="s">
        <v>896</v>
      </c>
      <c r="D1239" s="28">
        <f>SUM(D1216:M1216)+D1233</f>
        <v>4708.2790601495317</v>
      </c>
      <c r="G1239" s="99" t="s">
        <v>937</v>
      </c>
      <c r="H1239" s="91"/>
      <c r="I1239" s="91"/>
      <c r="J1239" s="16">
        <f>D1241-D1227</f>
        <v>1.6370904631912708E-11</v>
      </c>
      <c r="K1239" s="99" t="s">
        <v>110</v>
      </c>
      <c r="L1239" s="91"/>
      <c r="M1239" s="91"/>
    </row>
    <row r="1240" spans="1:13" ht="15" customHeight="1" x14ac:dyDescent="0.2">
      <c r="B1240" s="10" t="s">
        <v>938</v>
      </c>
      <c r="C1240" s="10" t="s">
        <v>110</v>
      </c>
      <c r="D1240" s="16">
        <f>SUM(D1217:M1217)+D1234</f>
        <v>-113112.51786953473</v>
      </c>
    </row>
    <row r="1241" spans="1:13" ht="15" customHeight="1" x14ac:dyDescent="0.2">
      <c r="B1241" s="10" t="s">
        <v>939</v>
      </c>
      <c r="C1241" s="10" t="s">
        <v>110</v>
      </c>
      <c r="D1241" s="16">
        <f>SUM(D1224:M1224)+D1236/(Inputs!$D$7+$D$1230)^M1204</f>
        <v>1850.0000000000164</v>
      </c>
    </row>
    <row r="1242" spans="1:13" ht="15" customHeight="1" x14ac:dyDescent="0.2">
      <c r="B1242" s="10" t="s">
        <v>940</v>
      </c>
      <c r="C1242" s="10" t="s">
        <v>104</v>
      </c>
      <c r="D1242" s="30">
        <f>IF(ABS(D1227)&gt;Inputs!$D$6,D1241/D1227-Inputs!$D$7,Inputs!$D$6)</f>
        <v>8.8817841970012523E-15</v>
      </c>
    </row>
    <row r="1243" spans="1:13" ht="15" customHeight="1" x14ac:dyDescent="0.2">
      <c r="B1243" s="10" t="s">
        <v>941</v>
      </c>
      <c r="C1243" s="10" t="s">
        <v>104</v>
      </c>
      <c r="D1243" s="30">
        <f>IF(ABS(D1241)&gt;Inputs!$D$119,D1236/(Inputs!$D$7+$D$1230)^M1204/D1241,Inputs!$D$6)</f>
        <v>5.864969001675453</v>
      </c>
    </row>
    <row r="1244" spans="1:13" ht="15" customHeight="1" x14ac:dyDescent="0.2">
      <c r="B1244" s="10" t="s">
        <v>942</v>
      </c>
      <c r="C1244" s="10" t="s">
        <v>943</v>
      </c>
      <c r="D1244" s="26">
        <f>$D$1228*Inputs!$D$8/Prices!$P$6/(Inputs!$D$26/Inputs!$D$25)/Inputs!$D$11/Inputs!$D$56</f>
        <v>4.4403236954962066</v>
      </c>
    </row>
    <row r="1248" spans="1:13" ht="15" customHeight="1" x14ac:dyDescent="0.2">
      <c r="A1248" s="104" t="s">
        <v>970</v>
      </c>
      <c r="B1248" s="10" t="s">
        <v>886</v>
      </c>
      <c r="C1248" s="10" t="s">
        <v>107</v>
      </c>
      <c r="D1248" s="28">
        <f>Inputs!$D$60</f>
        <v>1</v>
      </c>
      <c r="E1248" s="28">
        <f>Inputs!$D$62</f>
        <v>2</v>
      </c>
      <c r="F1248" s="28">
        <f>Inputs!$D$64</f>
        <v>3</v>
      </c>
      <c r="G1248" s="28">
        <f>Inputs!$D$66</f>
        <v>4</v>
      </c>
      <c r="H1248" s="28">
        <f>Inputs!$D$68</f>
        <v>5</v>
      </c>
      <c r="I1248" s="28">
        <f>Inputs!$D$70</f>
        <v>6</v>
      </c>
      <c r="J1248" s="28">
        <f>Inputs!$D$72</f>
        <v>7</v>
      </c>
      <c r="K1248" s="28">
        <f>Inputs!$D$74</f>
        <v>8</v>
      </c>
      <c r="L1248" s="28">
        <f>Inputs!$D$76</f>
        <v>9</v>
      </c>
      <c r="M1248" s="28">
        <f>Inputs!$D$78</f>
        <v>10</v>
      </c>
    </row>
    <row r="1249" spans="1:13" ht="15" customHeight="1" x14ac:dyDescent="0.2">
      <c r="A1249" s="91"/>
      <c r="B1249" s="10" t="s">
        <v>887</v>
      </c>
      <c r="C1249" s="10" t="s">
        <v>161</v>
      </c>
      <c r="D1249" s="29">
        <f>Inputs!$D$61</f>
        <v>46568</v>
      </c>
      <c r="E1249" s="29">
        <f>Inputs!$D$63</f>
        <v>46934</v>
      </c>
      <c r="F1249" s="29">
        <f>Inputs!$D$65</f>
        <v>47299</v>
      </c>
      <c r="G1249" s="29">
        <f>Inputs!$D$67</f>
        <v>47664</v>
      </c>
      <c r="H1249" s="29">
        <f>Inputs!$D$69</f>
        <v>48029</v>
      </c>
      <c r="I1249" s="29">
        <f>Inputs!$D$71</f>
        <v>48395</v>
      </c>
      <c r="J1249" s="29">
        <f>Inputs!$D$73</f>
        <v>48760</v>
      </c>
      <c r="K1249" s="29">
        <f>Inputs!$D$75</f>
        <v>49125</v>
      </c>
      <c r="L1249" s="29">
        <f>Inputs!$D$77</f>
        <v>49490</v>
      </c>
      <c r="M1249" s="29">
        <f>Inputs!$D$79</f>
        <v>49856</v>
      </c>
    </row>
    <row r="1250" spans="1:13" ht="15" customHeight="1" x14ac:dyDescent="0.2">
      <c r="A1250" s="91"/>
      <c r="B1250" s="10" t="s">
        <v>888</v>
      </c>
      <c r="C1250" s="10" t="s">
        <v>107</v>
      </c>
      <c r="D1250" s="28">
        <f>(D1249-Inputs!$D$13)/Inputs!$D$10</f>
        <v>0.71457905544147848</v>
      </c>
      <c r="E1250" s="28">
        <f>(E1249-Inputs!$D$13)/Inputs!$D$10</f>
        <v>1.7166324435318274</v>
      </c>
      <c r="F1250" s="28">
        <f>(F1249-Inputs!$D$13)/Inputs!$D$10</f>
        <v>2.7159479808350446</v>
      </c>
      <c r="G1250" s="28">
        <f>(G1249-Inputs!$D$13)/Inputs!$D$10</f>
        <v>3.7152635181382614</v>
      </c>
      <c r="H1250" s="28">
        <f>(H1249-Inputs!$D$13)/Inputs!$D$10</f>
        <v>4.7145790554414786</v>
      </c>
      <c r="I1250" s="28">
        <f>(I1249-Inputs!$D$13)/Inputs!$D$10</f>
        <v>5.7166324435318279</v>
      </c>
      <c r="J1250" s="28">
        <f>(J1249-Inputs!$D$13)/Inputs!$D$10</f>
        <v>6.7159479808350442</v>
      </c>
      <c r="K1250" s="28">
        <f>(K1249-Inputs!$D$13)/Inputs!$D$10</f>
        <v>7.7152635181382614</v>
      </c>
      <c r="L1250" s="28">
        <f>(L1249-Inputs!$D$13)/Inputs!$D$10</f>
        <v>8.7145790554414777</v>
      </c>
      <c r="M1250" s="28">
        <f>(M1249-Inputs!$D$13)/Inputs!$D$10</f>
        <v>9.716632443531827</v>
      </c>
    </row>
    <row r="1251" spans="1:13" ht="15" customHeight="1" x14ac:dyDescent="0.2">
      <c r="A1251" s="91"/>
      <c r="B1251" s="10" t="s">
        <v>889</v>
      </c>
      <c r="C1251" s="10" t="s">
        <v>107</v>
      </c>
      <c r="D1251" s="28">
        <f>D1250</f>
        <v>0.71457905544147848</v>
      </c>
      <c r="E1251" s="28">
        <f>Inputs!$D$7</f>
        <v>1</v>
      </c>
      <c r="F1251" s="28">
        <f>Inputs!$D$7</f>
        <v>1</v>
      </c>
      <c r="G1251" s="28">
        <f>Inputs!$D$7</f>
        <v>1</v>
      </c>
      <c r="H1251" s="28">
        <f>Inputs!$D$7</f>
        <v>1</v>
      </c>
      <c r="I1251" s="28">
        <f>Inputs!$D$7</f>
        <v>1</v>
      </c>
      <c r="J1251" s="28">
        <f>Inputs!$D$7</f>
        <v>1</v>
      </c>
      <c r="K1251" s="28">
        <f>Inputs!$D$7</f>
        <v>1</v>
      </c>
      <c r="L1251" s="28">
        <f>Inputs!$D$7</f>
        <v>1</v>
      </c>
      <c r="M1251" s="28">
        <f>Inputs!$D$7</f>
        <v>1</v>
      </c>
    </row>
    <row r="1252" spans="1:13" ht="15" customHeight="1" x14ac:dyDescent="0.2">
      <c r="A1252" s="91"/>
      <c r="B1252" s="3" t="s">
        <v>890</v>
      </c>
      <c r="C1252" s="10" t="s">
        <v>199</v>
      </c>
      <c r="D1252" s="28">
        <f>Inputs!$D$24+(Inputs!$D$80-Inputs!$D$24)*Inputs!$D$83</f>
        <v>305.5</v>
      </c>
      <c r="E1252" s="28">
        <f>Inputs!$D$24+(Inputs!$D$80-Inputs!$D$24)*Inputs!$D$84</f>
        <v>651.5</v>
      </c>
      <c r="F1252" s="28">
        <f>Inputs!$D$24+(Inputs!$D$80-Inputs!$D$24)*Inputs!$D$85</f>
        <v>911</v>
      </c>
      <c r="G1252" s="28">
        <f>Inputs!$D$24+(Inputs!$D$80-Inputs!$D$24)*Inputs!$D$86</f>
        <v>911</v>
      </c>
      <c r="H1252" s="28">
        <f>Inputs!$D$24+(Inputs!$D$80-Inputs!$D$24)*Inputs!$D$87</f>
        <v>911</v>
      </c>
      <c r="I1252" s="28">
        <f>Inputs!$D$24+(Inputs!$D$80-Inputs!$D$24)*Inputs!$D$88</f>
        <v>911</v>
      </c>
      <c r="J1252" s="28">
        <f>Inputs!$D$24+(Inputs!$D$80-Inputs!$D$24)*Inputs!$D$89</f>
        <v>911</v>
      </c>
      <c r="K1252" s="28">
        <f>Inputs!$D$24+(Inputs!$D$80-Inputs!$D$24)*Inputs!$D$90</f>
        <v>911</v>
      </c>
      <c r="L1252" s="28">
        <f>Inputs!$D$24+(Inputs!$D$80-Inputs!$D$24)*Inputs!$D$91</f>
        <v>911</v>
      </c>
      <c r="M1252" s="28">
        <f>Inputs!$D$24+(Inputs!$D$80-Inputs!$D$24)*Inputs!$D$92</f>
        <v>911</v>
      </c>
    </row>
    <row r="1253" spans="1:13" ht="15" customHeight="1" x14ac:dyDescent="0.2">
      <c r="A1253" s="91"/>
      <c r="B1253" s="10" t="s">
        <v>891</v>
      </c>
      <c r="C1253" s="10" t="s">
        <v>199</v>
      </c>
      <c r="D1253" s="28">
        <f>Inputs!$D$24</f>
        <v>46</v>
      </c>
      <c r="E1253" s="28">
        <f t="shared" ref="E1253:M1253" si="270">D1252</f>
        <v>305.5</v>
      </c>
      <c r="F1253" s="28">
        <f t="shared" si="270"/>
        <v>651.5</v>
      </c>
      <c r="G1253" s="28">
        <f t="shared" si="270"/>
        <v>911</v>
      </c>
      <c r="H1253" s="28">
        <f t="shared" si="270"/>
        <v>911</v>
      </c>
      <c r="I1253" s="28">
        <f t="shared" si="270"/>
        <v>911</v>
      </c>
      <c r="J1253" s="28">
        <f t="shared" si="270"/>
        <v>911</v>
      </c>
      <c r="K1253" s="28">
        <f t="shared" si="270"/>
        <v>911</v>
      </c>
      <c r="L1253" s="28">
        <f t="shared" si="270"/>
        <v>911</v>
      </c>
      <c r="M1253" s="28">
        <f t="shared" si="270"/>
        <v>911</v>
      </c>
    </row>
    <row r="1254" spans="1:13" ht="15" customHeight="1" x14ac:dyDescent="0.2">
      <c r="B1254" s="10" t="s">
        <v>892</v>
      </c>
      <c r="C1254" s="10" t="s">
        <v>199</v>
      </c>
      <c r="D1254" s="28">
        <f>(D1253+D1252)*Inputs!$D$12</f>
        <v>175.75</v>
      </c>
      <c r="E1254" s="28">
        <f>(E1253+E1252)*Inputs!$D$12</f>
        <v>478.5</v>
      </c>
      <c r="F1254" s="28">
        <f>(F1253+F1252)*Inputs!$D$12</f>
        <v>781.25</v>
      </c>
      <c r="G1254" s="28">
        <f>(G1253+G1252)*Inputs!$D$12</f>
        <v>911</v>
      </c>
      <c r="H1254" s="28">
        <f>(H1253+H1252)*Inputs!$D$12</f>
        <v>911</v>
      </c>
      <c r="I1254" s="28">
        <f>(I1253+I1252)*Inputs!$D$12</f>
        <v>911</v>
      </c>
      <c r="J1254" s="28">
        <f>(J1253+J1252)*Inputs!$D$12</f>
        <v>911</v>
      </c>
      <c r="K1254" s="28">
        <f>(K1253+K1252)*Inputs!$D$12</f>
        <v>911</v>
      </c>
      <c r="L1254" s="28">
        <f>(L1253+L1252)*Inputs!$D$12</f>
        <v>911</v>
      </c>
      <c r="M1254" s="28">
        <f>(M1253+M1252)*Inputs!$D$12</f>
        <v>911</v>
      </c>
    </row>
    <row r="1255" spans="1:13" ht="15" customHeight="1" x14ac:dyDescent="0.2">
      <c r="B1255" s="10" t="s">
        <v>893</v>
      </c>
      <c r="C1255" s="10" t="s">
        <v>199</v>
      </c>
      <c r="D1255" s="28">
        <f t="shared" ref="D1255:M1255" si="271">D1252-D1253</f>
        <v>259.5</v>
      </c>
      <c r="E1255" s="28">
        <f t="shared" si="271"/>
        <v>346</v>
      </c>
      <c r="F1255" s="28">
        <f t="shared" si="271"/>
        <v>259.5</v>
      </c>
      <c r="G1255" s="28">
        <f t="shared" si="271"/>
        <v>0</v>
      </c>
      <c r="H1255" s="28">
        <f t="shared" si="271"/>
        <v>0</v>
      </c>
      <c r="I1255" s="28">
        <f t="shared" si="271"/>
        <v>0</v>
      </c>
      <c r="J1255" s="28">
        <f t="shared" si="271"/>
        <v>0</v>
      </c>
      <c r="K1255" s="28">
        <f t="shared" si="271"/>
        <v>0</v>
      </c>
      <c r="L1255" s="28">
        <f t="shared" si="271"/>
        <v>0</v>
      </c>
      <c r="M1255" s="28">
        <f t="shared" si="271"/>
        <v>0</v>
      </c>
    </row>
    <row r="1256" spans="1:13" ht="15" customHeight="1" x14ac:dyDescent="0.2">
      <c r="B1256" s="10" t="s">
        <v>894</v>
      </c>
      <c r="C1256" s="10" t="s">
        <v>199</v>
      </c>
      <c r="D1256" s="28">
        <f>IF(MOD(D1248,Inputs!$D$21)=Inputs!$D$6,Inputs!$D$24,Inputs!$D$6)+SUMPRODUCT(--(D1248&gt;$D$1248:$M$1248),--(MOD(D1248-$D$1248:$M$1248,Inputs!$D$21)=Inputs!$D$6),$D$1255:$M$1255)</f>
        <v>0</v>
      </c>
      <c r="E1256" s="28">
        <f>IF(MOD(E1248,Inputs!$D$21)=Inputs!$D$6,Inputs!$D$24,Inputs!$D$6)+SUMPRODUCT(--(E1248&gt;$D$1248:$M$1248),--(MOD(E1248-$D$1248:$M$1248,Inputs!$D$21)=Inputs!$D$6),$D$1255:$M$1255)</f>
        <v>0</v>
      </c>
      <c r="F1256" s="28">
        <f>IF(MOD(F1248,Inputs!$D$21)=Inputs!$D$6,Inputs!$D$24,Inputs!$D$6)+SUMPRODUCT(--(F1248&gt;$D$1248:$M$1248),--(MOD(F1248-$D$1248:$M$1248,Inputs!$D$21)=Inputs!$D$6),$D$1255:$M$1255)</f>
        <v>0</v>
      </c>
      <c r="G1256" s="28">
        <f>IF(MOD(G1248,Inputs!$D$21)=Inputs!$D$6,Inputs!$D$24,Inputs!$D$6)+SUMPRODUCT(--(G1248&gt;$D$1248:$M$1248),--(MOD(G1248-$D$1248:$M$1248,Inputs!$D$21)=Inputs!$D$6),$D$1255:$M$1255)</f>
        <v>46</v>
      </c>
      <c r="H1256" s="28">
        <f>IF(MOD(H1248,Inputs!$D$21)=Inputs!$D$6,Inputs!$D$24,Inputs!$D$6)+SUMPRODUCT(--(H1248&gt;$D$1248:$M$1248),--(MOD(H1248-$D$1248:$M$1248,Inputs!$D$21)=Inputs!$D$6),$D$1255:$M$1255)</f>
        <v>259.5</v>
      </c>
      <c r="I1256" s="28">
        <f>IF(MOD(I1248,Inputs!$D$21)=Inputs!$D$6,Inputs!$D$24,Inputs!$D$6)+SUMPRODUCT(--(I1248&gt;$D$1248:$M$1248),--(MOD(I1248-$D$1248:$M$1248,Inputs!$D$21)=Inputs!$D$6),$D$1255:$M$1255)</f>
        <v>346</v>
      </c>
      <c r="J1256" s="28">
        <f>IF(MOD(J1248,Inputs!$D$21)=Inputs!$D$6,Inputs!$D$24,Inputs!$D$6)+SUMPRODUCT(--(J1248&gt;$D$1248:$M$1248),--(MOD(J1248-$D$1248:$M$1248,Inputs!$D$21)=Inputs!$D$6),$D$1255:$M$1255)</f>
        <v>259.5</v>
      </c>
      <c r="K1256" s="28">
        <f>IF(MOD(K1248,Inputs!$D$21)=Inputs!$D$6,Inputs!$D$24,Inputs!$D$6)+SUMPRODUCT(--(K1248&gt;$D$1248:$M$1248),--(MOD(K1248-$D$1248:$M$1248,Inputs!$D$21)=Inputs!$D$6),$D$1255:$M$1255)</f>
        <v>46</v>
      </c>
      <c r="L1256" s="28">
        <f>IF(MOD(L1248,Inputs!$D$21)=Inputs!$D$6,Inputs!$D$24,Inputs!$D$6)+SUMPRODUCT(--(L1248&gt;$D$1248:$M$1248),--(MOD(L1248-$D$1248:$M$1248,Inputs!$D$21)=Inputs!$D$6),$D$1255:$M$1255)</f>
        <v>259.5</v>
      </c>
      <c r="M1256" s="28">
        <f>IF(MOD(M1248,Inputs!$D$21)=Inputs!$D$6,Inputs!$D$24,Inputs!$D$6)+SUMPRODUCT(--(M1248&gt;$D$1248:$M$1248),--(MOD(M1248-$D$1248:$M$1248,Inputs!$D$21)=Inputs!$D$6),$D$1255:$M$1255)</f>
        <v>346</v>
      </c>
    </row>
    <row r="1257" spans="1:13" ht="15" customHeight="1" x14ac:dyDescent="0.2">
      <c r="B1257" s="10" t="s">
        <v>895</v>
      </c>
      <c r="C1257" s="10" t="s">
        <v>896</v>
      </c>
      <c r="D1257" s="28">
        <f t="shared" ref="D1257:M1257" si="272">D1254*D1251</f>
        <v>125.58726899383984</v>
      </c>
      <c r="E1257" s="28">
        <f t="shared" si="272"/>
        <v>478.5</v>
      </c>
      <c r="F1257" s="28">
        <f t="shared" si="272"/>
        <v>781.25</v>
      </c>
      <c r="G1257" s="28">
        <f t="shared" si="272"/>
        <v>911</v>
      </c>
      <c r="H1257" s="28">
        <f t="shared" si="272"/>
        <v>911</v>
      </c>
      <c r="I1257" s="28">
        <f t="shared" si="272"/>
        <v>911</v>
      </c>
      <c r="J1257" s="28">
        <f t="shared" si="272"/>
        <v>911</v>
      </c>
      <c r="K1257" s="28">
        <f t="shared" si="272"/>
        <v>911</v>
      </c>
      <c r="L1257" s="28">
        <f t="shared" si="272"/>
        <v>911</v>
      </c>
      <c r="M1257" s="28">
        <f t="shared" si="272"/>
        <v>911</v>
      </c>
    </row>
    <row r="1258" spans="1:13" ht="15" customHeight="1" x14ac:dyDescent="0.2">
      <c r="B1258" s="10" t="s">
        <v>897</v>
      </c>
      <c r="C1258" s="10" t="s">
        <v>110</v>
      </c>
      <c r="D1258" s="16">
        <f>D1257*($D$1277/Inputs!$D$21+$D$1278/Inputs!$D$22)</f>
        <v>1816.9772859324419</v>
      </c>
      <c r="E1258" s="16">
        <f>E1257*($D$1277/Inputs!$D$21+$D$1278/Inputs!$D$22)</f>
        <v>6922.8643817497086</v>
      </c>
      <c r="F1258" s="16">
        <f>F1257*($D$1277/Inputs!$D$21+$D$1278/Inputs!$D$22)</f>
        <v>11303.0048030135</v>
      </c>
      <c r="G1258" s="16">
        <f>G1257*($D$1277/Inputs!$D$21+$D$1278/Inputs!$D$22)</f>
        <v>13180.207840697982</v>
      </c>
      <c r="H1258" s="16">
        <f>H1257*($D$1277/Inputs!$D$21+$D$1278/Inputs!$D$22)</f>
        <v>13180.207840697982</v>
      </c>
      <c r="I1258" s="16">
        <f>I1257*($D$1277/Inputs!$D$21+$D$1278/Inputs!$D$22)</f>
        <v>13180.207840697982</v>
      </c>
      <c r="J1258" s="16">
        <f>J1257*($D$1277/Inputs!$D$21+$D$1278/Inputs!$D$22)</f>
        <v>13180.207840697982</v>
      </c>
      <c r="K1258" s="16">
        <f>K1257*($D$1277/Inputs!$D$21+$D$1278/Inputs!$D$22)</f>
        <v>13180.207840697982</v>
      </c>
      <c r="L1258" s="16">
        <f>L1257*($D$1277/Inputs!$D$21+$D$1278/Inputs!$D$22)</f>
        <v>13180.207840697982</v>
      </c>
      <c r="M1258" s="16">
        <f>M1257*($D$1277/Inputs!$D$21+$D$1278/Inputs!$D$22)</f>
        <v>13180.207840697982</v>
      </c>
    </row>
    <row r="1259" spans="1:13" ht="15" customHeight="1" x14ac:dyDescent="0.2">
      <c r="B1259" s="10" t="s">
        <v>898</v>
      </c>
      <c r="C1259" s="10" t="s">
        <v>110</v>
      </c>
      <c r="D1259" s="16">
        <f t="shared" ref="D1259:M1259" si="273">D1255*($D$1277+$D$1278)</f>
        <v>15560.968620146154</v>
      </c>
      <c r="E1259" s="16">
        <f t="shared" si="273"/>
        <v>20747.95816019487</v>
      </c>
      <c r="F1259" s="16">
        <f t="shared" si="273"/>
        <v>15560.968620146154</v>
      </c>
      <c r="G1259" s="16">
        <f t="shared" si="273"/>
        <v>0</v>
      </c>
      <c r="H1259" s="16">
        <f t="shared" si="273"/>
        <v>0</v>
      </c>
      <c r="I1259" s="16">
        <f t="shared" si="273"/>
        <v>0</v>
      </c>
      <c r="J1259" s="16">
        <f t="shared" si="273"/>
        <v>0</v>
      </c>
      <c r="K1259" s="16">
        <f t="shared" si="273"/>
        <v>0</v>
      </c>
      <c r="L1259" s="16">
        <f t="shared" si="273"/>
        <v>0</v>
      </c>
      <c r="M1259" s="16">
        <f t="shared" si="273"/>
        <v>0</v>
      </c>
    </row>
    <row r="1260" spans="1:13" ht="15" customHeight="1" x14ac:dyDescent="0.2">
      <c r="B1260" s="10" t="s">
        <v>899</v>
      </c>
      <c r="C1260" s="10" t="s">
        <v>110</v>
      </c>
      <c r="D1260" s="16">
        <f t="shared" ref="D1260:M1260" si="274">D1256*$D$1277</f>
        <v>0</v>
      </c>
      <c r="E1260" s="16">
        <f t="shared" si="274"/>
        <v>0</v>
      </c>
      <c r="F1260" s="16">
        <f t="shared" si="274"/>
        <v>0</v>
      </c>
      <c r="G1260" s="16">
        <f t="shared" si="274"/>
        <v>2638.0048485671714</v>
      </c>
      <c r="H1260" s="16">
        <f t="shared" si="274"/>
        <v>14881.788221808281</v>
      </c>
      <c r="I1260" s="16">
        <f t="shared" si="274"/>
        <v>19842.384295744378</v>
      </c>
      <c r="J1260" s="16">
        <f t="shared" si="274"/>
        <v>14881.788221808281</v>
      </c>
      <c r="K1260" s="16">
        <f t="shared" si="274"/>
        <v>2638.0048485671714</v>
      </c>
      <c r="L1260" s="16">
        <f t="shared" si="274"/>
        <v>14881.788221808281</v>
      </c>
      <c r="M1260" s="16">
        <f t="shared" si="274"/>
        <v>19842.384295744378</v>
      </c>
    </row>
    <row r="1261" spans="1:13" ht="15" customHeight="1" x14ac:dyDescent="0.2">
      <c r="B1261" s="10" t="s">
        <v>900</v>
      </c>
      <c r="C1261" s="10" t="s">
        <v>199</v>
      </c>
      <c r="D1261" s="28">
        <f>D1255*Inputs!$D$23</f>
        <v>6.4875000000000007</v>
      </c>
      <c r="E1261" s="28">
        <f>E1255*Inputs!$D$23</f>
        <v>8.65</v>
      </c>
      <c r="F1261" s="28">
        <f>F1255*Inputs!$D$23</f>
        <v>6.4875000000000007</v>
      </c>
      <c r="G1261" s="28">
        <f>G1255*Inputs!$D$23</f>
        <v>0</v>
      </c>
      <c r="H1261" s="28">
        <f>H1255*Inputs!$D$23</f>
        <v>0</v>
      </c>
      <c r="I1261" s="28">
        <f>I1255*Inputs!$D$23</f>
        <v>0</v>
      </c>
      <c r="J1261" s="28">
        <f>J1255*Inputs!$D$23</f>
        <v>0</v>
      </c>
      <c r="K1261" s="28">
        <f>K1255*Inputs!$D$23</f>
        <v>0</v>
      </c>
      <c r="L1261" s="28">
        <f>L1255*Inputs!$D$23</f>
        <v>0</v>
      </c>
      <c r="M1261" s="28">
        <f>M1255*Inputs!$D$23</f>
        <v>0</v>
      </c>
    </row>
    <row r="1262" spans="1:13" ht="15" customHeight="1" x14ac:dyDescent="0.2">
      <c r="B1262" s="3" t="s">
        <v>901</v>
      </c>
      <c r="C1262" s="10" t="s">
        <v>896</v>
      </c>
      <c r="D1262" s="28">
        <f>(D1257*$D$1275*(Inputs!$D$7-Inputs!$D$19)-D1261)/(Inputs!$D$7+$D$1276)^D1250</f>
        <v>43.213488846686175</v>
      </c>
      <c r="E1262" s="28">
        <f>(E1257*$D$1275*(Inputs!$D$7-Inputs!$D$19)-E1261)/(Inputs!$D$7+$D$1276)^E1250</f>
        <v>163.29332190458183</v>
      </c>
      <c r="F1262" s="28">
        <f>(F1257*$D$1275*(Inputs!$D$7-Inputs!$D$19)-F1261)/(Inputs!$D$7+$D$1276)^F1250</f>
        <v>248.28260771010829</v>
      </c>
      <c r="G1262" s="28">
        <f>(G1257*$D$1275*(Inputs!$D$7-Inputs!$D$19)-G1261)/(Inputs!$D$7+$D$1276)^G1250</f>
        <v>268.5238926419492</v>
      </c>
      <c r="H1262" s="28">
        <f>(H1257*$D$1275*(Inputs!$D$7-Inputs!$D$19)-H1261)/(Inputs!$D$7+$D$1276)^H1250</f>
        <v>244.12855518959191</v>
      </c>
      <c r="I1262" s="28">
        <f>(I1257*$D$1275*(Inputs!$D$7-Inputs!$D$19)-I1261)/(Inputs!$D$7+$D$1276)^I1250</f>
        <v>221.8916197826434</v>
      </c>
      <c r="J1262" s="28">
        <f>(J1257*$D$1275*(Inputs!$D$7-Inputs!$D$19)-J1261)/(Inputs!$D$7+$D$1276)^J1250</f>
        <v>201.73281421346593</v>
      </c>
      <c r="K1262" s="28">
        <f>(K1257*$D$1275*(Inputs!$D$7-Inputs!$D$19)-K1261)/(Inputs!$D$7+$D$1276)^K1250</f>
        <v>183.40543176145695</v>
      </c>
      <c r="L1262" s="28">
        <f>(L1257*$D$1275*(Inputs!$D$7-Inputs!$D$19)-L1261)/(Inputs!$D$7+$D$1276)^L1250</f>
        <v>166.74308803332551</v>
      </c>
      <c r="M1262" s="28">
        <f>(M1257*$D$1275*(Inputs!$D$7-Inputs!$D$19)-M1261)/(Inputs!$D$7+$D$1276)^M1250</f>
        <v>151.55496194429571</v>
      </c>
    </row>
    <row r="1263" spans="1:13" ht="15" customHeight="1" x14ac:dyDescent="0.2">
      <c r="B1263" s="10" t="s">
        <v>902</v>
      </c>
      <c r="C1263" s="10" t="s">
        <v>110</v>
      </c>
      <c r="D1263" s="16">
        <f>(D1258*Inputs!$D$19-D1259-D1260)/(Inputs!$D$7+$D$1276)^D1250</f>
        <v>-14027.24269342025</v>
      </c>
      <c r="E1263" s="16">
        <f>(E1258*Inputs!$D$19-E1259-E1260)/(Inputs!$D$7+$D$1276)^E1250</f>
        <v>-15853.087323826181</v>
      </c>
      <c r="F1263" s="16">
        <f>(F1258*Inputs!$D$19-F1259-F1260)/(Inputs!$D$7+$D$1276)^F1250</f>
        <v>-9394.4767487293357</v>
      </c>
      <c r="G1263" s="16">
        <f>(G1258*Inputs!$D$19-G1259-G1260)/(Inputs!$D$7+$D$1276)^G1250</f>
        <v>923.61320322684639</v>
      </c>
      <c r="H1263" s="16">
        <f>(H1258*Inputs!$D$19-H1259-H1260)/(Inputs!$D$7+$D$1276)^H1250</f>
        <v>-6972.3744918015345</v>
      </c>
      <c r="I1263" s="16">
        <f>(I1258*Inputs!$D$19-I1259-I1260)/(Inputs!$D$7+$D$1276)^I1250</f>
        <v>-9214.0648467907959</v>
      </c>
      <c r="J1263" s="16">
        <f>(J1258*Inputs!$D$19-J1259-J1260)/(Inputs!$D$7+$D$1276)^J1250</f>
        <v>-5761.5411965591911</v>
      </c>
      <c r="K1263" s="16">
        <f>(K1258*Inputs!$D$19-K1259-K1260)/(Inputs!$D$7+$D$1276)^K1250</f>
        <v>630.8402453567694</v>
      </c>
      <c r="L1263" s="16">
        <f>(L1258*Inputs!$D$19-L1259-L1260)/(Inputs!$D$7+$D$1276)^L1250</f>
        <v>-4762.2255937446444</v>
      </c>
      <c r="M1263" s="16">
        <f>(M1258*Inputs!$D$19-M1259-M1260)/(Inputs!$D$7+$D$1276)^M1250</f>
        <v>-6293.3302689644106</v>
      </c>
    </row>
    <row r="1264" spans="1:13" ht="15" customHeight="1" x14ac:dyDescent="0.2">
      <c r="B1264" s="10" t="s">
        <v>903</v>
      </c>
      <c r="C1264" s="10" t="s">
        <v>110</v>
      </c>
      <c r="D1264" s="16">
        <f t="shared" ref="D1264:M1264" si="275">D1257*$D$1274</f>
        <v>4567.5287596646194</v>
      </c>
      <c r="E1264" s="16">
        <f t="shared" si="275"/>
        <v>17402.73937803938</v>
      </c>
      <c r="F1264" s="16">
        <f t="shared" si="275"/>
        <v>28413.563509076834</v>
      </c>
      <c r="G1264" s="16">
        <f t="shared" si="275"/>
        <v>33132.488136664317</v>
      </c>
      <c r="H1264" s="16">
        <f t="shared" si="275"/>
        <v>33132.488136664317</v>
      </c>
      <c r="I1264" s="16">
        <f t="shared" si="275"/>
        <v>33132.488136664317</v>
      </c>
      <c r="J1264" s="16">
        <f t="shared" si="275"/>
        <v>33132.488136664317</v>
      </c>
      <c r="K1264" s="16">
        <f t="shared" si="275"/>
        <v>33132.488136664317</v>
      </c>
      <c r="L1264" s="16">
        <f t="shared" si="275"/>
        <v>33132.488136664317</v>
      </c>
      <c r="M1264" s="16">
        <f t="shared" si="275"/>
        <v>33132.488136664317</v>
      </c>
    </row>
    <row r="1265" spans="2:13" ht="15" customHeight="1" x14ac:dyDescent="0.2">
      <c r="B1265" s="10" t="s">
        <v>904</v>
      </c>
      <c r="C1265" s="10" t="s">
        <v>110</v>
      </c>
      <c r="D1265" s="16">
        <f t="shared" ref="D1265:M1265" si="276">D1264*$D$1275</f>
        <v>2740.5172557987717</v>
      </c>
      <c r="E1265" s="16">
        <f t="shared" si="276"/>
        <v>10441.643626823627</v>
      </c>
      <c r="F1265" s="16">
        <f t="shared" si="276"/>
        <v>17048.138105446098</v>
      </c>
      <c r="G1265" s="16">
        <f t="shared" si="276"/>
        <v>19879.492881998591</v>
      </c>
      <c r="H1265" s="16">
        <f t="shared" si="276"/>
        <v>19879.492881998591</v>
      </c>
      <c r="I1265" s="16">
        <f t="shared" si="276"/>
        <v>19879.492881998591</v>
      </c>
      <c r="J1265" s="16">
        <f t="shared" si="276"/>
        <v>19879.492881998591</v>
      </c>
      <c r="K1265" s="16">
        <f t="shared" si="276"/>
        <v>19879.492881998591</v>
      </c>
      <c r="L1265" s="16">
        <f t="shared" si="276"/>
        <v>19879.492881998591</v>
      </c>
      <c r="M1265" s="16">
        <f t="shared" si="276"/>
        <v>19879.492881998591</v>
      </c>
    </row>
    <row r="1266" spans="2:13" ht="15" customHeight="1" x14ac:dyDescent="0.2">
      <c r="B1266" s="10" t="s">
        <v>905</v>
      </c>
      <c r="C1266" s="10" t="s">
        <v>110</v>
      </c>
      <c r="D1266" s="16">
        <f t="shared" ref="D1266:M1266" si="277">D1265-D1258</f>
        <v>923.53996986632978</v>
      </c>
      <c r="E1266" s="16">
        <f t="shared" si="277"/>
        <v>3518.779245073918</v>
      </c>
      <c r="F1266" s="16">
        <f t="shared" si="277"/>
        <v>5745.1333024325977</v>
      </c>
      <c r="G1266" s="16">
        <f t="shared" si="277"/>
        <v>6699.285041300609</v>
      </c>
      <c r="H1266" s="16">
        <f t="shared" si="277"/>
        <v>6699.285041300609</v>
      </c>
      <c r="I1266" s="16">
        <f t="shared" si="277"/>
        <v>6699.285041300609</v>
      </c>
      <c r="J1266" s="16">
        <f t="shared" si="277"/>
        <v>6699.285041300609</v>
      </c>
      <c r="K1266" s="16">
        <f t="shared" si="277"/>
        <v>6699.285041300609</v>
      </c>
      <c r="L1266" s="16">
        <f t="shared" si="277"/>
        <v>6699.285041300609</v>
      </c>
      <c r="M1266" s="16">
        <f t="shared" si="277"/>
        <v>6699.285041300609</v>
      </c>
    </row>
    <row r="1267" spans="2:13" ht="15" customHeight="1" x14ac:dyDescent="0.2">
      <c r="B1267" s="10" t="s">
        <v>906</v>
      </c>
      <c r="C1267" s="10" t="s">
        <v>110</v>
      </c>
      <c r="D1267" s="16">
        <f>MAX(D1266,Inputs!$D$6)*Inputs!$D$19</f>
        <v>277.06199095989894</v>
      </c>
      <c r="E1267" s="16">
        <f>MAX(E1266,Inputs!$D$6)*Inputs!$D$19</f>
        <v>1055.6337735221753</v>
      </c>
      <c r="F1267" s="16">
        <f>MAX(F1266,Inputs!$D$6)*Inputs!$D$19</f>
        <v>1723.5399907297792</v>
      </c>
      <c r="G1267" s="16">
        <f>MAX(G1266,Inputs!$D$6)*Inputs!$D$19</f>
        <v>2009.7855123901827</v>
      </c>
      <c r="H1267" s="16">
        <f>MAX(H1266,Inputs!$D$6)*Inputs!$D$19</f>
        <v>2009.7855123901827</v>
      </c>
      <c r="I1267" s="16">
        <f>MAX(I1266,Inputs!$D$6)*Inputs!$D$19</f>
        <v>2009.7855123901827</v>
      </c>
      <c r="J1267" s="16">
        <f>MAX(J1266,Inputs!$D$6)*Inputs!$D$19</f>
        <v>2009.7855123901827</v>
      </c>
      <c r="K1267" s="16">
        <f>MAX(K1266,Inputs!$D$6)*Inputs!$D$19</f>
        <v>2009.7855123901827</v>
      </c>
      <c r="L1267" s="16">
        <f>MAX(L1266,Inputs!$D$6)*Inputs!$D$19</f>
        <v>2009.7855123901827</v>
      </c>
      <c r="M1267" s="16">
        <f>MAX(M1266,Inputs!$D$6)*Inputs!$D$19</f>
        <v>2009.7855123901827</v>
      </c>
    </row>
    <row r="1268" spans="2:13" ht="15" customHeight="1" x14ac:dyDescent="0.2">
      <c r="B1268" s="10" t="s">
        <v>907</v>
      </c>
      <c r="C1268" s="10" t="s">
        <v>110</v>
      </c>
      <c r="D1268" s="16">
        <f t="shared" ref="D1268:M1268" si="278">D1261*$D$1274</f>
        <v>235.94623137937404</v>
      </c>
      <c r="E1268" s="16">
        <f t="shared" si="278"/>
        <v>314.59497517249872</v>
      </c>
      <c r="F1268" s="16">
        <f t="shared" si="278"/>
        <v>235.94623137937404</v>
      </c>
      <c r="G1268" s="16">
        <f t="shared" si="278"/>
        <v>0</v>
      </c>
      <c r="H1268" s="16">
        <f t="shared" si="278"/>
        <v>0</v>
      </c>
      <c r="I1268" s="16">
        <f t="shared" si="278"/>
        <v>0</v>
      </c>
      <c r="J1268" s="16">
        <f t="shared" si="278"/>
        <v>0</v>
      </c>
      <c r="K1268" s="16">
        <f t="shared" si="278"/>
        <v>0</v>
      </c>
      <c r="L1268" s="16">
        <f t="shared" si="278"/>
        <v>0</v>
      </c>
      <c r="M1268" s="16">
        <f t="shared" si="278"/>
        <v>0</v>
      </c>
    </row>
    <row r="1269" spans="2:13" ht="15" customHeight="1" x14ac:dyDescent="0.2">
      <c r="B1269" s="10" t="s">
        <v>908</v>
      </c>
      <c r="C1269" s="10" t="s">
        <v>110</v>
      </c>
      <c r="D1269" s="16">
        <f t="shared" ref="D1269:M1269" si="279">D1265-D1267-D1259-D1260-D1268</f>
        <v>-13333.459586686655</v>
      </c>
      <c r="E1269" s="16">
        <f t="shared" si="279"/>
        <v>-11676.543282065917</v>
      </c>
      <c r="F1269" s="16">
        <f t="shared" si="279"/>
        <v>-472.31673680920926</v>
      </c>
      <c r="G1269" s="16">
        <f t="shared" si="279"/>
        <v>15231.702521041236</v>
      </c>
      <c r="H1269" s="16">
        <f t="shared" si="279"/>
        <v>2987.9191478001267</v>
      </c>
      <c r="I1269" s="16">
        <f t="shared" si="279"/>
        <v>-1972.6769261359696</v>
      </c>
      <c r="J1269" s="16">
        <f t="shared" si="279"/>
        <v>2987.9191478001267</v>
      </c>
      <c r="K1269" s="16">
        <f t="shared" si="279"/>
        <v>15231.702521041236</v>
      </c>
      <c r="L1269" s="16">
        <f t="shared" si="279"/>
        <v>2987.9191478001267</v>
      </c>
      <c r="M1269" s="16">
        <f t="shared" si="279"/>
        <v>-1972.6769261359696</v>
      </c>
    </row>
    <row r="1270" spans="2:13" ht="15" customHeight="1" x14ac:dyDescent="0.2">
      <c r="B1270" s="10" t="s">
        <v>909</v>
      </c>
      <c r="C1270" s="10" t="s">
        <v>110</v>
      </c>
      <c r="D1270" s="16">
        <f>D1269/(Inputs!$D$7+$D$1276)^D1250</f>
        <v>-12455.595704883801</v>
      </c>
      <c r="E1270" s="16">
        <f>E1269/(Inputs!$D$7+$D$1276)^E1250</f>
        <v>-9914.2135029699075</v>
      </c>
      <c r="F1270" s="16">
        <f>F1269/(Inputs!$D$7+$D$1276)^F1250</f>
        <v>-364.59688649526061</v>
      </c>
      <c r="G1270" s="16">
        <f>G1269/(Inputs!$D$7+$D$1276)^G1250</f>
        <v>10689.655670153636</v>
      </c>
      <c r="H1270" s="16">
        <f>H1269/(Inputs!$D$7+$D$1276)^H1250</f>
        <v>1906.4251334895239</v>
      </c>
      <c r="I1270" s="16">
        <f>I1269/(Inputs!$D$7+$D$1276)^I1250</f>
        <v>-1144.0083593334282</v>
      </c>
      <c r="J1270" s="16">
        <f>J1269/(Inputs!$D$7+$D$1276)^J1250</f>
        <v>1575.3524079452729</v>
      </c>
      <c r="K1270" s="16">
        <f>K1269/(Inputs!$D$7+$D$1276)^K1250</f>
        <v>7301.1786559344528</v>
      </c>
      <c r="L1270" s="16">
        <f>L1269/(Inputs!$D$7+$D$1276)^L1250</f>
        <v>1302.1140178194955</v>
      </c>
      <c r="M1270" s="16">
        <f>M1269/(Inputs!$D$7+$D$1276)^M1250</f>
        <v>-781.37310247485004</v>
      </c>
    </row>
    <row r="1271" spans="2:13" ht="15" customHeight="1" x14ac:dyDescent="0.2">
      <c r="B1271" s="3" t="s">
        <v>910</v>
      </c>
      <c r="C1271" s="10" t="s">
        <v>896</v>
      </c>
      <c r="D1271" s="28">
        <f>(D1257*$D$1275-D1261)/(Inputs!$D$7+$D$1276)^D1250</f>
        <v>64.330856237917445</v>
      </c>
      <c r="E1271" s="28">
        <f>(E1257*$D$1275-E1261)/(Inputs!$D$7+$D$1276)^E1250</f>
        <v>236.42380139523098</v>
      </c>
      <c r="F1271" s="28">
        <f>(F1257*$D$1275-F1261)/(Inputs!$D$7+$D$1276)^F1250</f>
        <v>356.83568908039001</v>
      </c>
      <c r="G1271" s="28">
        <f>(G1257*$D$1275-G1261)/(Inputs!$D$7+$D$1276)^G1250</f>
        <v>383.60556091707036</v>
      </c>
      <c r="H1271" s="28">
        <f>(H1257*$D$1275-H1261)/(Inputs!$D$7+$D$1276)^H1250</f>
        <v>348.75507884227414</v>
      </c>
      <c r="I1271" s="28">
        <f>(I1257*$D$1275-I1261)/(Inputs!$D$7+$D$1276)^I1250</f>
        <v>316.98802826091918</v>
      </c>
      <c r="J1271" s="28">
        <f>(J1257*$D$1275-J1261)/(Inputs!$D$7+$D$1276)^J1250</f>
        <v>288.18973459066564</v>
      </c>
      <c r="K1271" s="28">
        <f>(K1257*$D$1275-K1261)/(Inputs!$D$7+$D$1276)^K1250</f>
        <v>262.00775965922423</v>
      </c>
      <c r="L1271" s="28">
        <f>(L1257*$D$1275-L1261)/(Inputs!$D$7+$D$1276)^L1250</f>
        <v>238.2044114761793</v>
      </c>
      <c r="M1271" s="28">
        <f>(M1257*$D$1275-M1261)/(Inputs!$D$7+$D$1276)^M1250</f>
        <v>216.50708849185102</v>
      </c>
    </row>
    <row r="1272" spans="2:13" ht="15" customHeight="1" x14ac:dyDescent="0.2">
      <c r="B1272" s="10" t="s">
        <v>911</v>
      </c>
      <c r="C1272" s="10" t="s">
        <v>110</v>
      </c>
      <c r="D1272" s="16">
        <f>(-D1259-D1260)/(Inputs!$D$7+$D$1276)^D1250</f>
        <v>-14536.447397527105</v>
      </c>
      <c r="E1272" s="16">
        <f>(-E1259-E1260)/(Inputs!$D$7+$D$1276)^E1250</f>
        <v>-17616.488200475756</v>
      </c>
      <c r="F1272" s="16">
        <f>(-F1259-F1260)/(Inputs!$D$7+$D$1276)^F1250</f>
        <v>-12012.025548964448</v>
      </c>
      <c r="G1272" s="16">
        <f>(-G1259-G1260)/(Inputs!$D$7+$D$1276)^G1250</f>
        <v>-1851.359915178487</v>
      </c>
      <c r="H1272" s="16">
        <f>(-H1259-H1260)/(Inputs!$D$7+$D$1276)^H1250</f>
        <v>-9495.2419037884629</v>
      </c>
      <c r="I1272" s="16">
        <f>(-I1259-I1260)/(Inputs!$D$7+$D$1276)^I1250</f>
        <v>-11507.131858586603</v>
      </c>
      <c r="J1272" s="16">
        <f>(-J1259-J1260)/(Inputs!$D$7+$D$1276)^J1250</f>
        <v>-7846.2835672839774</v>
      </c>
      <c r="K1272" s="16">
        <f>(-K1259-K1260)/(Inputs!$D$7+$D$1276)^K1250</f>
        <v>-1264.5037327904422</v>
      </c>
      <c r="L1272" s="16">
        <f>(-L1259-L1260)/(Inputs!$D$7+$D$1276)^L1250</f>
        <v>-6485.3779822337692</v>
      </c>
      <c r="M1272" s="16">
        <f>(-M1259-M1260)/(Inputs!$D$7+$D$1276)^M1250</f>
        <v>-7859.5258920747219</v>
      </c>
    </row>
    <row r="1273" spans="2:13" ht="15" customHeight="1" x14ac:dyDescent="0.2">
      <c r="B1273" s="10" t="s">
        <v>912</v>
      </c>
      <c r="C1273" s="10" t="s">
        <v>110</v>
      </c>
      <c r="D1273" s="16">
        <f>Prices!K10</f>
        <v>16178.700386874911</v>
      </c>
    </row>
    <row r="1274" spans="2:13" ht="15" customHeight="1" x14ac:dyDescent="0.2">
      <c r="B1274" s="3" t="s">
        <v>913</v>
      </c>
      <c r="C1274" s="10" t="s">
        <v>914</v>
      </c>
      <c r="D1274" s="28">
        <f>IF(J1281&gt;=J1277,J1281,(D1273-J1280)/J1279)</f>
        <v>36.369361291618347</v>
      </c>
      <c r="G1274" s="99" t="s">
        <v>915</v>
      </c>
      <c r="H1274" s="91"/>
      <c r="I1274" s="91"/>
      <c r="J1274" s="28">
        <f>D1274*Inputs!$D$15</f>
        <v>25.382177245420444</v>
      </c>
      <c r="K1274" s="99" t="s">
        <v>916</v>
      </c>
      <c r="L1274" s="91"/>
      <c r="M1274" s="91"/>
    </row>
    <row r="1275" spans="2:13" ht="15" customHeight="1" x14ac:dyDescent="0.2">
      <c r="B1275" s="10" t="s">
        <v>917</v>
      </c>
      <c r="C1275" s="10" t="s">
        <v>104</v>
      </c>
      <c r="D1275" s="30">
        <f>Inputs!$D$81</f>
        <v>0.6</v>
      </c>
      <c r="G1275" s="99" t="s">
        <v>918</v>
      </c>
      <c r="H1275" s="91"/>
      <c r="I1275" s="91"/>
      <c r="J1275" s="28">
        <f>IF(-D1286/D1285&gt;=J1277,-D1286/D1285,-J1280/J1279)</f>
        <v>32.284876648616972</v>
      </c>
      <c r="K1275" s="99" t="s">
        <v>919</v>
      </c>
      <c r="L1275" s="91"/>
      <c r="M1275" s="91"/>
    </row>
    <row r="1276" spans="2:13" ht="15" customHeight="1" x14ac:dyDescent="0.2">
      <c r="B1276" s="10" t="s">
        <v>920</v>
      </c>
      <c r="C1276" s="10" t="s">
        <v>104</v>
      </c>
      <c r="D1276" s="30">
        <f>Inputs!$D$82</f>
        <v>0.1</v>
      </c>
      <c r="G1276" s="99" t="s">
        <v>918</v>
      </c>
      <c r="H1276" s="91"/>
      <c r="I1276" s="91"/>
      <c r="J1276" s="28">
        <f>J1275*Inputs!$D$15</f>
        <v>22.531615413069783</v>
      </c>
      <c r="K1276" s="99" t="s">
        <v>916</v>
      </c>
      <c r="L1276" s="91"/>
      <c r="M1276" s="91"/>
    </row>
    <row r="1277" spans="2:13" ht="15" customHeight="1" x14ac:dyDescent="0.2">
      <c r="B1277" s="3" t="s">
        <v>921</v>
      </c>
      <c r="C1277" s="10" t="s">
        <v>848</v>
      </c>
      <c r="D1277" s="28">
        <f>Capital!$D$13</f>
        <v>57.347931490590682</v>
      </c>
      <c r="G1277" s="99" t="s">
        <v>922</v>
      </c>
      <c r="H1277" s="91"/>
      <c r="I1277" s="91"/>
      <c r="J1277" s="28">
        <f>($D$1277/Inputs!$D$21+$D$1278/Inputs!$D$22)/$D$1275</f>
        <v>24.113076913095469</v>
      </c>
      <c r="K1277" s="99" t="s">
        <v>919</v>
      </c>
      <c r="L1277" s="91"/>
      <c r="M1277" s="91"/>
    </row>
    <row r="1278" spans="2:13" ht="15" customHeight="1" x14ac:dyDescent="0.2">
      <c r="B1278" s="3" t="s">
        <v>923</v>
      </c>
      <c r="C1278" s="10" t="s">
        <v>848</v>
      </c>
      <c r="D1278" s="28">
        <f>Capital!$D$14</f>
        <v>2.6172655041921802</v>
      </c>
    </row>
    <row r="1279" spans="2:13" ht="15" customHeight="1" x14ac:dyDescent="0.2">
      <c r="B1279" s="10" t="s">
        <v>924</v>
      </c>
      <c r="C1279" s="10" t="s">
        <v>896</v>
      </c>
      <c r="D1279" s="28">
        <f>(M1252*(Inputs!$D$7+Inputs!$D$20)*$D$1275*(Inputs!$D$7-Inputs!$D$19)-M1252*Inputs!$D$20*Inputs!$D$23)/($D$1276-Inputs!$D$20)/(Inputs!$D$7+$D$1276)^M1250</f>
        <v>2068.2441036763203</v>
      </c>
      <c r="G1279" s="92" t="s">
        <v>910</v>
      </c>
      <c r="H1279" s="91"/>
      <c r="I1279" s="91"/>
      <c r="J1279" s="28">
        <f>SUM(D1271:M1271)+(M1252*(Inputs!$D$7+Inputs!$D$20)*$D$1275-M1252*Inputs!$D$20*Inputs!$D$23)/($D$1276-Inputs!$D$20)/(Inputs!$D$7+$D$1276)^M1250</f>
        <v>5667.7711754446318</v>
      </c>
      <c r="K1279" s="99" t="s">
        <v>896</v>
      </c>
      <c r="L1279" s="91"/>
      <c r="M1279" s="91"/>
    </row>
    <row r="1280" spans="2:13" ht="15" customHeight="1" x14ac:dyDescent="0.2">
      <c r="B1280" s="10" t="s">
        <v>925</v>
      </c>
      <c r="C1280" s="10" t="s">
        <v>110</v>
      </c>
      <c r="D1280" s="16">
        <f>(D1283*Inputs!$D$19-D1283-D1284)/($D$1276-Inputs!$D$20)/(Inputs!$D$7+$D$1276)^M1250</f>
        <v>-57156.954988173631</v>
      </c>
      <c r="G1280" s="92" t="s">
        <v>926</v>
      </c>
      <c r="H1280" s="91"/>
      <c r="I1280" s="91"/>
      <c r="J1280" s="16">
        <f>SUM(D1272:M1272)-(D1283+D1284)/($D$1276-Inputs!$D$20)/(Inputs!$D$7+$D$1276)^M1250</f>
        <v>-169036.01450291832</v>
      </c>
      <c r="K1280" s="99" t="s">
        <v>110</v>
      </c>
      <c r="L1280" s="91"/>
      <c r="M1280" s="91"/>
    </row>
    <row r="1281" spans="1:13" ht="15" customHeight="1" x14ac:dyDescent="0.2">
      <c r="B1281" s="10" t="s">
        <v>927</v>
      </c>
      <c r="C1281" s="10" t="s">
        <v>928</v>
      </c>
      <c r="D1281" s="16">
        <f>(M1252*(Inputs!$D$7+Inputs!$D$20)*$D$1274*$D$1275-D1283)-MAX((M1252*(Inputs!$D$7+Inputs!$D$20)*$D$1274*$D$1275-D1283),Inputs!$D$6)*Inputs!$D$19-D1284-M1252*Inputs!$D$20*$D$1274*Inputs!$D$23</f>
        <v>3420.3218504915881</v>
      </c>
      <c r="G1281" s="99" t="s">
        <v>929</v>
      </c>
      <c r="H1281" s="91"/>
      <c r="I1281" s="91"/>
      <c r="J1281" s="28">
        <f>(D1273-D1286)/D1285</f>
        <v>36.369361291618347</v>
      </c>
      <c r="K1281" s="99" t="s">
        <v>919</v>
      </c>
      <c r="L1281" s="91"/>
      <c r="M1281" s="91"/>
    </row>
    <row r="1282" spans="1:13" ht="15" customHeight="1" x14ac:dyDescent="0.2">
      <c r="B1282" s="10" t="s">
        <v>930</v>
      </c>
      <c r="C1282" s="10" t="s">
        <v>110</v>
      </c>
      <c r="D1282" s="16">
        <f>D1281/($D$1276-Inputs!$D$20)</f>
        <v>45604.291339887837</v>
      </c>
      <c r="G1282" s="99" t="s">
        <v>931</v>
      </c>
      <c r="H1282" s="91"/>
      <c r="I1282" s="91"/>
      <c r="J1282" s="16">
        <f>MIN(D1266:M1266,(M1252*(Inputs!$D$7+Inputs!$D$20)*$D$1274*$D$1275-D1283))</f>
        <v>923.53996986632978</v>
      </c>
      <c r="K1282" s="99" t="s">
        <v>110</v>
      </c>
      <c r="L1282" s="91"/>
      <c r="M1282" s="91"/>
    </row>
    <row r="1283" spans="1:13" ht="15" customHeight="1" x14ac:dyDescent="0.2">
      <c r="B1283" s="10" t="s">
        <v>932</v>
      </c>
      <c r="C1283" s="10" t="s">
        <v>928</v>
      </c>
      <c r="D1283" s="16">
        <f>M1252*(Inputs!$D$7+Inputs!$D$20)*($D$1277/Inputs!$D$21+$D$1278/Inputs!$D$22)</f>
        <v>13509.71303671543</v>
      </c>
      <c r="G1283" s="99" t="s">
        <v>933</v>
      </c>
      <c r="H1283" s="91"/>
      <c r="I1283" s="91"/>
      <c r="J1283" s="31" t="str">
        <f>IF(J1282&lt;Inputs!$D$6,"breached","satisfied")</f>
        <v>satisfied</v>
      </c>
      <c r="K1283" s="99" t="s">
        <v>934</v>
      </c>
      <c r="L1283" s="91"/>
      <c r="M1283" s="91"/>
    </row>
    <row r="1284" spans="1:13" ht="15" customHeight="1" x14ac:dyDescent="0.2">
      <c r="B1284" s="10" t="s">
        <v>935</v>
      </c>
      <c r="C1284" s="10" t="s">
        <v>928</v>
      </c>
      <c r="D1284" s="16">
        <f>M1252*Inputs!$D$20*($D$1277+$D$1278)</f>
        <v>1365.7073615561799</v>
      </c>
    </row>
    <row r="1285" spans="1:13" ht="15" customHeight="1" x14ac:dyDescent="0.2">
      <c r="B1285" s="10" t="s">
        <v>936</v>
      </c>
      <c r="C1285" s="10" t="s">
        <v>896</v>
      </c>
      <c r="D1285" s="28">
        <f>SUM(D1262:M1262)+D1279</f>
        <v>3961.0138857044249</v>
      </c>
      <c r="G1285" s="99" t="s">
        <v>937</v>
      </c>
      <c r="H1285" s="91"/>
      <c r="I1285" s="91"/>
      <c r="J1285" s="16">
        <f>D1287-D1273</f>
        <v>3.637978807091713E-11</v>
      </c>
      <c r="K1285" s="99" t="s">
        <v>110</v>
      </c>
      <c r="L1285" s="91"/>
      <c r="M1285" s="91"/>
    </row>
    <row r="1286" spans="1:13" ht="15" customHeight="1" x14ac:dyDescent="0.2">
      <c r="B1286" s="10" t="s">
        <v>938</v>
      </c>
      <c r="C1286" s="10" t="s">
        <v>110</v>
      </c>
      <c r="D1286" s="16">
        <f>SUM(D1263:M1263)+D1280</f>
        <v>-127880.84470342637</v>
      </c>
    </row>
    <row r="1287" spans="1:13" ht="15" customHeight="1" x14ac:dyDescent="0.2">
      <c r="B1287" s="10" t="s">
        <v>939</v>
      </c>
      <c r="C1287" s="10" t="s">
        <v>110</v>
      </c>
      <c r="D1287" s="16">
        <f>SUM(D1270:M1270)+D1282/(Inputs!$D$7+$D$1276)^M1250</f>
        <v>16178.700386874947</v>
      </c>
    </row>
    <row r="1288" spans="1:13" ht="15" customHeight="1" x14ac:dyDescent="0.2">
      <c r="B1288" s="10" t="s">
        <v>940</v>
      </c>
      <c r="C1288" s="10" t="s">
        <v>104</v>
      </c>
      <c r="D1288" s="30">
        <f>IF(ABS(D1273)&gt;Inputs!$D$6,D1287/D1273-Inputs!$D$7,Inputs!$D$6)</f>
        <v>2.2204460492503131E-15</v>
      </c>
    </row>
    <row r="1289" spans="1:13" ht="15" customHeight="1" x14ac:dyDescent="0.2">
      <c r="B1289" s="10" t="s">
        <v>941</v>
      </c>
      <c r="C1289" s="10" t="s">
        <v>104</v>
      </c>
      <c r="D1289" s="30">
        <f>IF(ABS(D1287)&gt;Inputs!$D$119,D1282/(Inputs!$D$7+$D$1276)^M1250/D1287,Inputs!$D$6)</f>
        <v>1.1165150244295352</v>
      </c>
    </row>
    <row r="1290" spans="1:13" ht="15" customHeight="1" x14ac:dyDescent="0.2">
      <c r="B1290" s="10" t="s">
        <v>942</v>
      </c>
      <c r="C1290" s="10" t="s">
        <v>943</v>
      </c>
      <c r="D1290" s="26">
        <f>$D$1274*Inputs!$D$8/Prices!$P$6/(Inputs!$D$26/Inputs!$D$25)/Inputs!$D$11/Inputs!$D$56</f>
        <v>6.6138788236280197</v>
      </c>
    </row>
    <row r="1294" spans="1:13" ht="15" customHeight="1" x14ac:dyDescent="0.2">
      <c r="A1294" s="104" t="s">
        <v>971</v>
      </c>
      <c r="B1294" s="10" t="s">
        <v>886</v>
      </c>
      <c r="C1294" s="10" t="s">
        <v>107</v>
      </c>
      <c r="D1294" s="28">
        <f>Inputs!$D$60</f>
        <v>1</v>
      </c>
      <c r="E1294" s="28">
        <f>Inputs!$D$62</f>
        <v>2</v>
      </c>
      <c r="F1294" s="28">
        <f>Inputs!$D$64</f>
        <v>3</v>
      </c>
      <c r="G1294" s="28">
        <f>Inputs!$D$66</f>
        <v>4</v>
      </c>
      <c r="H1294" s="28">
        <f>Inputs!$D$68</f>
        <v>5</v>
      </c>
      <c r="I1294" s="28">
        <f>Inputs!$D$70</f>
        <v>6</v>
      </c>
      <c r="J1294" s="28">
        <f>Inputs!$D$72</f>
        <v>7</v>
      </c>
      <c r="K1294" s="28">
        <f>Inputs!$D$74</f>
        <v>8</v>
      </c>
      <c r="L1294" s="28">
        <f>Inputs!$D$76</f>
        <v>9</v>
      </c>
      <c r="M1294" s="28">
        <f>Inputs!$D$78</f>
        <v>10</v>
      </c>
    </row>
    <row r="1295" spans="1:13" ht="15" customHeight="1" x14ac:dyDescent="0.2">
      <c r="A1295" s="91"/>
      <c r="B1295" s="10" t="s">
        <v>887</v>
      </c>
      <c r="C1295" s="10" t="s">
        <v>161</v>
      </c>
      <c r="D1295" s="29">
        <f>Inputs!$D$61</f>
        <v>46568</v>
      </c>
      <c r="E1295" s="29">
        <f>Inputs!$D$63</f>
        <v>46934</v>
      </c>
      <c r="F1295" s="29">
        <f>Inputs!$D$65</f>
        <v>47299</v>
      </c>
      <c r="G1295" s="29">
        <f>Inputs!$D$67</f>
        <v>47664</v>
      </c>
      <c r="H1295" s="29">
        <f>Inputs!$D$69</f>
        <v>48029</v>
      </c>
      <c r="I1295" s="29">
        <f>Inputs!$D$71</f>
        <v>48395</v>
      </c>
      <c r="J1295" s="29">
        <f>Inputs!$D$73</f>
        <v>48760</v>
      </c>
      <c r="K1295" s="29">
        <f>Inputs!$D$75</f>
        <v>49125</v>
      </c>
      <c r="L1295" s="29">
        <f>Inputs!$D$77</f>
        <v>49490</v>
      </c>
      <c r="M1295" s="29">
        <f>Inputs!$D$79</f>
        <v>49856</v>
      </c>
    </row>
    <row r="1296" spans="1:13" ht="15" customHeight="1" x14ac:dyDescent="0.2">
      <c r="A1296" s="91"/>
      <c r="B1296" s="10" t="s">
        <v>888</v>
      </c>
      <c r="C1296" s="10" t="s">
        <v>107</v>
      </c>
      <c r="D1296" s="28">
        <f>(D1295-Inputs!$D$13)/Inputs!$D$10</f>
        <v>0.71457905544147848</v>
      </c>
      <c r="E1296" s="28">
        <f>(E1295-Inputs!$D$13)/Inputs!$D$10</f>
        <v>1.7166324435318274</v>
      </c>
      <c r="F1296" s="28">
        <f>(F1295-Inputs!$D$13)/Inputs!$D$10</f>
        <v>2.7159479808350446</v>
      </c>
      <c r="G1296" s="28">
        <f>(G1295-Inputs!$D$13)/Inputs!$D$10</f>
        <v>3.7152635181382614</v>
      </c>
      <c r="H1296" s="28">
        <f>(H1295-Inputs!$D$13)/Inputs!$D$10</f>
        <v>4.7145790554414786</v>
      </c>
      <c r="I1296" s="28">
        <f>(I1295-Inputs!$D$13)/Inputs!$D$10</f>
        <v>5.7166324435318279</v>
      </c>
      <c r="J1296" s="28">
        <f>(J1295-Inputs!$D$13)/Inputs!$D$10</f>
        <v>6.7159479808350442</v>
      </c>
      <c r="K1296" s="28">
        <f>(K1295-Inputs!$D$13)/Inputs!$D$10</f>
        <v>7.7152635181382614</v>
      </c>
      <c r="L1296" s="28">
        <f>(L1295-Inputs!$D$13)/Inputs!$D$10</f>
        <v>8.7145790554414777</v>
      </c>
      <c r="M1296" s="28">
        <f>(M1295-Inputs!$D$13)/Inputs!$D$10</f>
        <v>9.716632443531827</v>
      </c>
    </row>
    <row r="1297" spans="1:13" ht="15" customHeight="1" x14ac:dyDescent="0.2">
      <c r="A1297" s="91"/>
      <c r="B1297" s="10" t="s">
        <v>889</v>
      </c>
      <c r="C1297" s="10" t="s">
        <v>107</v>
      </c>
      <c r="D1297" s="28">
        <f>D1296</f>
        <v>0.71457905544147848</v>
      </c>
      <c r="E1297" s="28">
        <f>Inputs!$D$7</f>
        <v>1</v>
      </c>
      <c r="F1297" s="28">
        <f>Inputs!$D$7</f>
        <v>1</v>
      </c>
      <c r="G1297" s="28">
        <f>Inputs!$D$7</f>
        <v>1</v>
      </c>
      <c r="H1297" s="28">
        <f>Inputs!$D$7</f>
        <v>1</v>
      </c>
      <c r="I1297" s="28">
        <f>Inputs!$D$7</f>
        <v>1</v>
      </c>
      <c r="J1297" s="28">
        <f>Inputs!$D$7</f>
        <v>1</v>
      </c>
      <c r="K1297" s="28">
        <f>Inputs!$D$7</f>
        <v>1</v>
      </c>
      <c r="L1297" s="28">
        <f>Inputs!$D$7</f>
        <v>1</v>
      </c>
      <c r="M1297" s="28">
        <f>Inputs!$D$7</f>
        <v>1</v>
      </c>
    </row>
    <row r="1298" spans="1:13" ht="15" customHeight="1" x14ac:dyDescent="0.2">
      <c r="A1298" s="91"/>
      <c r="B1298" s="3" t="s">
        <v>890</v>
      </c>
      <c r="C1298" s="10" t="s">
        <v>199</v>
      </c>
      <c r="D1298" s="28">
        <f>Inputs!$D$24+(Inputs!$D$93-Inputs!$D$24)*Inputs!$D$96</f>
        <v>279.10000000000002</v>
      </c>
      <c r="E1298" s="28">
        <f>Inputs!$D$24+(Inputs!$D$93-Inputs!$D$24)*Inputs!$D$97</f>
        <v>900.7</v>
      </c>
      <c r="F1298" s="28">
        <f>Inputs!$D$24+(Inputs!$D$93-Inputs!$D$24)*Inputs!$D$98</f>
        <v>1366.8999999999999</v>
      </c>
      <c r="G1298" s="28">
        <f>Inputs!$D$24+(Inputs!$D$93-Inputs!$D$24)*Inputs!$D$99</f>
        <v>1600</v>
      </c>
      <c r="H1298" s="28">
        <f>Inputs!$D$24+(Inputs!$D$93-Inputs!$D$24)*Inputs!$D$100</f>
        <v>1600</v>
      </c>
      <c r="I1298" s="28">
        <f>Inputs!$D$24+(Inputs!$D$93-Inputs!$D$24)*Inputs!$D$101</f>
        <v>1600</v>
      </c>
      <c r="J1298" s="28">
        <f>Inputs!$D$24+(Inputs!$D$93-Inputs!$D$24)*Inputs!$D$102</f>
        <v>1600</v>
      </c>
      <c r="K1298" s="28">
        <f>Inputs!$D$24+(Inputs!$D$93-Inputs!$D$24)*Inputs!$D$103</f>
        <v>1600</v>
      </c>
      <c r="L1298" s="28">
        <f>Inputs!$D$24+(Inputs!$D$93-Inputs!$D$24)*Inputs!$D$104</f>
        <v>1600</v>
      </c>
      <c r="M1298" s="28">
        <f>Inputs!$D$24+(Inputs!$D$93-Inputs!$D$24)*Inputs!$D$105</f>
        <v>1600</v>
      </c>
    </row>
    <row r="1299" spans="1:13" ht="15" customHeight="1" x14ac:dyDescent="0.2">
      <c r="A1299" s="91"/>
      <c r="B1299" s="10" t="s">
        <v>891</v>
      </c>
      <c r="C1299" s="10" t="s">
        <v>199</v>
      </c>
      <c r="D1299" s="28">
        <f>Inputs!$D$24</f>
        <v>46</v>
      </c>
      <c r="E1299" s="28">
        <f t="shared" ref="E1299:M1299" si="280">D1298</f>
        <v>279.10000000000002</v>
      </c>
      <c r="F1299" s="28">
        <f t="shared" si="280"/>
        <v>900.7</v>
      </c>
      <c r="G1299" s="28">
        <f t="shared" si="280"/>
        <v>1366.8999999999999</v>
      </c>
      <c r="H1299" s="28">
        <f t="shared" si="280"/>
        <v>1600</v>
      </c>
      <c r="I1299" s="28">
        <f t="shared" si="280"/>
        <v>1600</v>
      </c>
      <c r="J1299" s="28">
        <f t="shared" si="280"/>
        <v>1600</v>
      </c>
      <c r="K1299" s="28">
        <f t="shared" si="280"/>
        <v>1600</v>
      </c>
      <c r="L1299" s="28">
        <f t="shared" si="280"/>
        <v>1600</v>
      </c>
      <c r="M1299" s="28">
        <f t="shared" si="280"/>
        <v>1600</v>
      </c>
    </row>
    <row r="1300" spans="1:13" ht="15" customHeight="1" x14ac:dyDescent="0.2">
      <c r="B1300" s="10" t="s">
        <v>892</v>
      </c>
      <c r="C1300" s="10" t="s">
        <v>199</v>
      </c>
      <c r="D1300" s="28">
        <f>(D1299+D1298)*Inputs!$D$12</f>
        <v>162.55000000000001</v>
      </c>
      <c r="E1300" s="28">
        <f>(E1299+E1298)*Inputs!$D$12</f>
        <v>589.90000000000009</v>
      </c>
      <c r="F1300" s="28">
        <f>(F1299+F1298)*Inputs!$D$12</f>
        <v>1133.8</v>
      </c>
      <c r="G1300" s="28">
        <f>(G1299+G1298)*Inputs!$D$12</f>
        <v>1483.4499999999998</v>
      </c>
      <c r="H1300" s="28">
        <f>(H1299+H1298)*Inputs!$D$12</f>
        <v>1600</v>
      </c>
      <c r="I1300" s="28">
        <f>(I1299+I1298)*Inputs!$D$12</f>
        <v>1600</v>
      </c>
      <c r="J1300" s="28">
        <f>(J1299+J1298)*Inputs!$D$12</f>
        <v>1600</v>
      </c>
      <c r="K1300" s="28">
        <f>(K1299+K1298)*Inputs!$D$12</f>
        <v>1600</v>
      </c>
      <c r="L1300" s="28">
        <f>(L1299+L1298)*Inputs!$D$12</f>
        <v>1600</v>
      </c>
      <c r="M1300" s="28">
        <f>(M1299+M1298)*Inputs!$D$12</f>
        <v>1600</v>
      </c>
    </row>
    <row r="1301" spans="1:13" ht="15" customHeight="1" x14ac:dyDescent="0.2">
      <c r="B1301" s="10" t="s">
        <v>893</v>
      </c>
      <c r="C1301" s="10" t="s">
        <v>199</v>
      </c>
      <c r="D1301" s="28">
        <f t="shared" ref="D1301:M1301" si="281">D1298-D1299</f>
        <v>233.10000000000002</v>
      </c>
      <c r="E1301" s="28">
        <f t="shared" si="281"/>
        <v>621.6</v>
      </c>
      <c r="F1301" s="28">
        <f t="shared" si="281"/>
        <v>466.19999999999982</v>
      </c>
      <c r="G1301" s="28">
        <f t="shared" si="281"/>
        <v>233.10000000000014</v>
      </c>
      <c r="H1301" s="28">
        <f t="shared" si="281"/>
        <v>0</v>
      </c>
      <c r="I1301" s="28">
        <f t="shared" si="281"/>
        <v>0</v>
      </c>
      <c r="J1301" s="28">
        <f t="shared" si="281"/>
        <v>0</v>
      </c>
      <c r="K1301" s="28">
        <f t="shared" si="281"/>
        <v>0</v>
      </c>
      <c r="L1301" s="28">
        <f t="shared" si="281"/>
        <v>0</v>
      </c>
      <c r="M1301" s="28">
        <f t="shared" si="281"/>
        <v>0</v>
      </c>
    </row>
    <row r="1302" spans="1:13" ht="15" customHeight="1" x14ac:dyDescent="0.2">
      <c r="B1302" s="10" t="s">
        <v>894</v>
      </c>
      <c r="C1302" s="10" t="s">
        <v>199</v>
      </c>
      <c r="D1302" s="28">
        <f>IF(MOD(D1294,Inputs!$D$21)=Inputs!$D$6,Inputs!$D$24,Inputs!$D$6)+SUMPRODUCT(--(D1294&gt;$D$1294:$M$1294),--(MOD(D1294-$D$1294:$M$1294,Inputs!$D$21)=Inputs!$D$6),$D$1301:$M$1301)</f>
        <v>0</v>
      </c>
      <c r="E1302" s="28">
        <f>IF(MOD(E1294,Inputs!$D$21)=Inputs!$D$6,Inputs!$D$24,Inputs!$D$6)+SUMPRODUCT(--(E1294&gt;$D$1294:$M$1294),--(MOD(E1294-$D$1294:$M$1294,Inputs!$D$21)=Inputs!$D$6),$D$1301:$M$1301)</f>
        <v>0</v>
      </c>
      <c r="F1302" s="28">
        <f>IF(MOD(F1294,Inputs!$D$21)=Inputs!$D$6,Inputs!$D$24,Inputs!$D$6)+SUMPRODUCT(--(F1294&gt;$D$1294:$M$1294),--(MOD(F1294-$D$1294:$M$1294,Inputs!$D$21)=Inputs!$D$6),$D$1301:$M$1301)</f>
        <v>0</v>
      </c>
      <c r="G1302" s="28">
        <f>IF(MOD(G1294,Inputs!$D$21)=Inputs!$D$6,Inputs!$D$24,Inputs!$D$6)+SUMPRODUCT(--(G1294&gt;$D$1294:$M$1294),--(MOD(G1294-$D$1294:$M$1294,Inputs!$D$21)=Inputs!$D$6),$D$1301:$M$1301)</f>
        <v>46</v>
      </c>
      <c r="H1302" s="28">
        <f>IF(MOD(H1294,Inputs!$D$21)=Inputs!$D$6,Inputs!$D$24,Inputs!$D$6)+SUMPRODUCT(--(H1294&gt;$D$1294:$M$1294),--(MOD(H1294-$D$1294:$M$1294,Inputs!$D$21)=Inputs!$D$6),$D$1301:$M$1301)</f>
        <v>233.10000000000002</v>
      </c>
      <c r="I1302" s="28">
        <f>IF(MOD(I1294,Inputs!$D$21)=Inputs!$D$6,Inputs!$D$24,Inputs!$D$6)+SUMPRODUCT(--(I1294&gt;$D$1294:$M$1294),--(MOD(I1294-$D$1294:$M$1294,Inputs!$D$21)=Inputs!$D$6),$D$1301:$M$1301)</f>
        <v>621.6</v>
      </c>
      <c r="J1302" s="28">
        <f>IF(MOD(J1294,Inputs!$D$21)=Inputs!$D$6,Inputs!$D$24,Inputs!$D$6)+SUMPRODUCT(--(J1294&gt;$D$1294:$M$1294),--(MOD(J1294-$D$1294:$M$1294,Inputs!$D$21)=Inputs!$D$6),$D$1301:$M$1301)</f>
        <v>466.19999999999982</v>
      </c>
      <c r="K1302" s="28">
        <f>IF(MOD(K1294,Inputs!$D$21)=Inputs!$D$6,Inputs!$D$24,Inputs!$D$6)+SUMPRODUCT(--(K1294&gt;$D$1294:$M$1294),--(MOD(K1294-$D$1294:$M$1294,Inputs!$D$21)=Inputs!$D$6),$D$1301:$M$1301)</f>
        <v>279.10000000000014</v>
      </c>
      <c r="L1302" s="28">
        <f>IF(MOD(L1294,Inputs!$D$21)=Inputs!$D$6,Inputs!$D$24,Inputs!$D$6)+SUMPRODUCT(--(L1294&gt;$D$1294:$M$1294),--(MOD(L1294-$D$1294:$M$1294,Inputs!$D$21)=Inputs!$D$6),$D$1301:$M$1301)</f>
        <v>233.10000000000002</v>
      </c>
      <c r="M1302" s="28">
        <f>IF(MOD(M1294,Inputs!$D$21)=Inputs!$D$6,Inputs!$D$24,Inputs!$D$6)+SUMPRODUCT(--(M1294&gt;$D$1294:$M$1294),--(MOD(M1294-$D$1294:$M$1294,Inputs!$D$21)=Inputs!$D$6),$D$1301:$M$1301)</f>
        <v>621.6</v>
      </c>
    </row>
    <row r="1303" spans="1:13" ht="15" customHeight="1" x14ac:dyDescent="0.2">
      <c r="B1303" s="10" t="s">
        <v>895</v>
      </c>
      <c r="C1303" s="10" t="s">
        <v>896</v>
      </c>
      <c r="D1303" s="28">
        <f t="shared" ref="D1303:M1303" si="282">D1300*D1297</f>
        <v>116.15482546201234</v>
      </c>
      <c r="E1303" s="28">
        <f t="shared" si="282"/>
        <v>589.90000000000009</v>
      </c>
      <c r="F1303" s="28">
        <f t="shared" si="282"/>
        <v>1133.8</v>
      </c>
      <c r="G1303" s="28">
        <f t="shared" si="282"/>
        <v>1483.4499999999998</v>
      </c>
      <c r="H1303" s="28">
        <f t="shared" si="282"/>
        <v>1600</v>
      </c>
      <c r="I1303" s="28">
        <f t="shared" si="282"/>
        <v>1600</v>
      </c>
      <c r="J1303" s="28">
        <f t="shared" si="282"/>
        <v>1600</v>
      </c>
      <c r="K1303" s="28">
        <f t="shared" si="282"/>
        <v>1600</v>
      </c>
      <c r="L1303" s="28">
        <f t="shared" si="282"/>
        <v>1600</v>
      </c>
      <c r="M1303" s="28">
        <f t="shared" si="282"/>
        <v>1600</v>
      </c>
    </row>
    <row r="1304" spans="1:13" ht="15" customHeight="1" x14ac:dyDescent="0.2">
      <c r="B1304" s="10" t="s">
        <v>897</v>
      </c>
      <c r="C1304" s="10" t="s">
        <v>110</v>
      </c>
      <c r="D1304" s="16">
        <f>D1303*($D$1323/Inputs!$D$21+$D$1324/Inputs!$D$22)</f>
        <v>1680.51014411561</v>
      </c>
      <c r="E1304" s="16">
        <f>E1303*($D$1323/Inputs!$D$21+$D$1324/Inputs!$D$22)</f>
        <v>8534.5824426210111</v>
      </c>
      <c r="F1304" s="16">
        <f>F1303*($D$1323/Inputs!$D$21+$D$1324/Inputs!$D$22)</f>
        <v>16403.643962440583</v>
      </c>
      <c r="G1304" s="16">
        <f>G1303*($D$1323/Inputs!$D$21+$D$1324/Inputs!$D$22)</f>
        <v>21462.326368038881</v>
      </c>
      <c r="H1304" s="16">
        <f>H1303*($D$1323/Inputs!$D$21+$D$1324/Inputs!$D$22)</f>
        <v>23148.553836571649</v>
      </c>
      <c r="I1304" s="16">
        <f>I1303*($D$1323/Inputs!$D$21+$D$1324/Inputs!$D$22)</f>
        <v>23148.553836571649</v>
      </c>
      <c r="J1304" s="16">
        <f>J1303*($D$1323/Inputs!$D$21+$D$1324/Inputs!$D$22)</f>
        <v>23148.553836571649</v>
      </c>
      <c r="K1304" s="16">
        <f>K1303*($D$1323/Inputs!$D$21+$D$1324/Inputs!$D$22)</f>
        <v>23148.553836571649</v>
      </c>
      <c r="L1304" s="16">
        <f>L1303*($D$1323/Inputs!$D$21+$D$1324/Inputs!$D$22)</f>
        <v>23148.553836571649</v>
      </c>
      <c r="M1304" s="16">
        <f>M1303*($D$1323/Inputs!$D$21+$D$1324/Inputs!$D$22)</f>
        <v>23148.553836571649</v>
      </c>
    </row>
    <row r="1305" spans="1:13" ht="15" customHeight="1" x14ac:dyDescent="0.2">
      <c r="B1305" s="10" t="s">
        <v>898</v>
      </c>
      <c r="C1305" s="10" t="s">
        <v>110</v>
      </c>
      <c r="D1305" s="16">
        <f t="shared" ref="D1305:M1305" si="283">D1301*($D$1323+$D$1324)</f>
        <v>13977.887419483886</v>
      </c>
      <c r="E1305" s="16">
        <f t="shared" si="283"/>
        <v>37274.36645195703</v>
      </c>
      <c r="F1305" s="16">
        <f t="shared" si="283"/>
        <v>27955.774838967762</v>
      </c>
      <c r="G1305" s="16">
        <f t="shared" si="283"/>
        <v>13977.887419483894</v>
      </c>
      <c r="H1305" s="16">
        <f t="shared" si="283"/>
        <v>0</v>
      </c>
      <c r="I1305" s="16">
        <f t="shared" si="283"/>
        <v>0</v>
      </c>
      <c r="J1305" s="16">
        <f t="shared" si="283"/>
        <v>0</v>
      </c>
      <c r="K1305" s="16">
        <f t="shared" si="283"/>
        <v>0</v>
      </c>
      <c r="L1305" s="16">
        <f t="shared" si="283"/>
        <v>0</v>
      </c>
      <c r="M1305" s="16">
        <f t="shared" si="283"/>
        <v>0</v>
      </c>
    </row>
    <row r="1306" spans="1:13" ht="15" customHeight="1" x14ac:dyDescent="0.2">
      <c r="B1306" s="10" t="s">
        <v>899</v>
      </c>
      <c r="C1306" s="10" t="s">
        <v>110</v>
      </c>
      <c r="D1306" s="16">
        <f t="shared" ref="D1306:M1306" si="284">D1302*$D$1323</f>
        <v>0</v>
      </c>
      <c r="E1306" s="16">
        <f t="shared" si="284"/>
        <v>0</v>
      </c>
      <c r="F1306" s="16">
        <f t="shared" si="284"/>
        <v>0</v>
      </c>
      <c r="G1306" s="16">
        <f t="shared" si="284"/>
        <v>2638.0048485671714</v>
      </c>
      <c r="H1306" s="16">
        <f t="shared" si="284"/>
        <v>13367.802830456689</v>
      </c>
      <c r="I1306" s="16">
        <f t="shared" si="284"/>
        <v>35647.47421455117</v>
      </c>
      <c r="J1306" s="16">
        <f t="shared" si="284"/>
        <v>26735.605660913367</v>
      </c>
      <c r="K1306" s="16">
        <f t="shared" si="284"/>
        <v>16005.807679023867</v>
      </c>
      <c r="L1306" s="16">
        <f t="shared" si="284"/>
        <v>13367.802830456689</v>
      </c>
      <c r="M1306" s="16">
        <f t="shared" si="284"/>
        <v>35647.47421455117</v>
      </c>
    </row>
    <row r="1307" spans="1:13" ht="15" customHeight="1" x14ac:dyDescent="0.2">
      <c r="B1307" s="10" t="s">
        <v>900</v>
      </c>
      <c r="C1307" s="10" t="s">
        <v>199</v>
      </c>
      <c r="D1307" s="28">
        <f>D1301*Inputs!$D$23</f>
        <v>5.8275000000000006</v>
      </c>
      <c r="E1307" s="28">
        <f>E1301*Inputs!$D$23</f>
        <v>15.540000000000001</v>
      </c>
      <c r="F1307" s="28">
        <f>F1301*Inputs!$D$23</f>
        <v>11.654999999999996</v>
      </c>
      <c r="G1307" s="28">
        <f>G1301*Inputs!$D$23</f>
        <v>5.8275000000000041</v>
      </c>
      <c r="H1307" s="28">
        <f>H1301*Inputs!$D$23</f>
        <v>0</v>
      </c>
      <c r="I1307" s="28">
        <f>I1301*Inputs!$D$23</f>
        <v>0</v>
      </c>
      <c r="J1307" s="28">
        <f>J1301*Inputs!$D$23</f>
        <v>0</v>
      </c>
      <c r="K1307" s="28">
        <f>K1301*Inputs!$D$23</f>
        <v>0</v>
      </c>
      <c r="L1307" s="28">
        <f>L1301*Inputs!$D$23</f>
        <v>0</v>
      </c>
      <c r="M1307" s="28">
        <f>M1301*Inputs!$D$23</f>
        <v>0</v>
      </c>
    </row>
    <row r="1308" spans="1:13" ht="15" customHeight="1" x14ac:dyDescent="0.2">
      <c r="B1308" s="3" t="s">
        <v>901</v>
      </c>
      <c r="C1308" s="10" t="s">
        <v>896</v>
      </c>
      <c r="D1308" s="28">
        <f>(D1303*$D$1321*(Inputs!$D$7-Inputs!$D$19)-D1307)/(Inputs!$D$7+$D$1322)^D1296</f>
        <v>50.541318213721269</v>
      </c>
      <c r="E1308" s="28">
        <f>(E1303*$D$1321*(Inputs!$D$7-Inputs!$D$19)-E1307)/(Inputs!$D$7+$D$1322)^E1296</f>
        <v>238.4864713152904</v>
      </c>
      <c r="F1308" s="28">
        <f>(F1303*$D$1321*(Inputs!$D$7-Inputs!$D$19)-F1307)/(Inputs!$D$7+$D$1322)^F1296</f>
        <v>418.74491871678316</v>
      </c>
      <c r="G1308" s="28">
        <f>(G1303*$D$1321*(Inputs!$D$7-Inputs!$D$19)-G1307)/(Inputs!$D$7+$D$1322)^G1296</f>
        <v>490.87392073514752</v>
      </c>
      <c r="H1308" s="28">
        <f>(H1303*$D$1321*(Inputs!$D$7-Inputs!$D$19)-H1307)/(Inputs!$D$7+$D$1322)^H1296</f>
        <v>472.10300862628105</v>
      </c>
      <c r="I1308" s="28">
        <f>(I1303*$D$1321*(Inputs!$D$7-Inputs!$D$19)-I1307)/(Inputs!$D$7+$D$1322)^I1296</f>
        <v>417.68543753228789</v>
      </c>
      <c r="J1308" s="28">
        <f>(J1303*$D$1321*(Inputs!$D$7-Inputs!$D$19)-J1307)/(Inputs!$D$7+$D$1322)^J1296</f>
        <v>369.66405292491049</v>
      </c>
      <c r="K1308" s="28">
        <f>(K1303*$D$1321*(Inputs!$D$7-Inputs!$D$19)-K1307)/(Inputs!$D$7+$D$1322)^K1296</f>
        <v>327.16369723641031</v>
      </c>
      <c r="L1308" s="28">
        <f>(L1303*$D$1321*(Inputs!$D$7-Inputs!$D$19)-L1307)/(Inputs!$D$7+$D$1322)^L1296</f>
        <v>289.54961658427663</v>
      </c>
      <c r="M1308" s="28">
        <f>(M1303*$D$1321*(Inputs!$D$7-Inputs!$D$19)-M1307)/(Inputs!$D$7+$D$1322)^M1296</f>
        <v>256.17430111750662</v>
      </c>
    </row>
    <row r="1309" spans="1:13" ht="15" customHeight="1" x14ac:dyDescent="0.2">
      <c r="B1309" s="10" t="s">
        <v>902</v>
      </c>
      <c r="C1309" s="10" t="s">
        <v>110</v>
      </c>
      <c r="D1309" s="16">
        <f>(D1304*Inputs!$D$19-D1305-D1306)/(Inputs!$D$7+$D$1322)^D1296</f>
        <v>-12346.937146613671</v>
      </c>
      <c r="E1309" s="16">
        <f>(E1304*Inputs!$D$19-E1305-E1306)/(Inputs!$D$7+$D$1322)^E1296</f>
        <v>-28144.165592831177</v>
      </c>
      <c r="F1309" s="16">
        <f>(F1304*Inputs!$D$19-F1305-F1306)/(Inputs!$D$7+$D$1322)^F1296</f>
        <v>-16528.13772562052</v>
      </c>
      <c r="G1309" s="16">
        <f>(G1304*Inputs!$D$19-G1305-G1306)/(Inputs!$D$7+$D$1322)^G1296</f>
        <v>-6462.9033875784253</v>
      </c>
      <c r="H1309" s="16">
        <f>(H1304*Inputs!$D$19-H1305-H1306)/(Inputs!$D$7+$D$1322)^H1296</f>
        <v>-3610.0349541710043</v>
      </c>
      <c r="I1309" s="16">
        <f>(I1304*Inputs!$D$19-I1305-I1306)/(Inputs!$D$7+$D$1322)^I1296</f>
        <v>-14272.365134506323</v>
      </c>
      <c r="J1309" s="16">
        <f>(J1304*Inputs!$D$19-J1305-J1306)/(Inputs!$D$7+$D$1322)^J1296</f>
        <v>-8709.5665200501735</v>
      </c>
      <c r="K1309" s="16">
        <f>(K1304*Inputs!$D$19-K1305-K1306)/(Inputs!$D$7+$D$1322)^K1296</f>
        <v>-3529.1777141306115</v>
      </c>
      <c r="L1309" s="16">
        <f>(L1304*Inputs!$D$19-L1305-L1306)/(Inputs!$D$7+$D$1322)^L1296</f>
        <v>-2214.1020449702382</v>
      </c>
      <c r="M1309" s="16">
        <f>(M1304*Inputs!$D$19-M1305-M1306)/(Inputs!$D$7+$D$1322)^M1296</f>
        <v>-8753.5088252709138</v>
      </c>
    </row>
    <row r="1310" spans="1:13" ht="15" customHeight="1" x14ac:dyDescent="0.2">
      <c r="B1310" s="10" t="s">
        <v>903</v>
      </c>
      <c r="C1310" s="10" t="s">
        <v>110</v>
      </c>
      <c r="D1310" s="16">
        <f t="shared" ref="D1310:M1310" si="285">D1303*$D$1320</f>
        <v>3506.4047083543651</v>
      </c>
      <c r="E1310" s="16">
        <f t="shared" si="285"/>
        <v>17807.509324136568</v>
      </c>
      <c r="F1310" s="16">
        <f t="shared" si="285"/>
        <v>34226.401206485905</v>
      </c>
      <c r="G1310" s="16">
        <f t="shared" si="285"/>
        <v>44781.403130853338</v>
      </c>
      <c r="H1310" s="16">
        <f t="shared" si="285"/>
        <v>48299.737105642489</v>
      </c>
      <c r="I1310" s="16">
        <f t="shared" si="285"/>
        <v>48299.737105642489</v>
      </c>
      <c r="J1310" s="16">
        <f t="shared" si="285"/>
        <v>48299.737105642489</v>
      </c>
      <c r="K1310" s="16">
        <f t="shared" si="285"/>
        <v>48299.737105642489</v>
      </c>
      <c r="L1310" s="16">
        <f t="shared" si="285"/>
        <v>48299.737105642489</v>
      </c>
      <c r="M1310" s="16">
        <f t="shared" si="285"/>
        <v>48299.737105642489</v>
      </c>
    </row>
    <row r="1311" spans="1:13" ht="15" customHeight="1" x14ac:dyDescent="0.2">
      <c r="B1311" s="10" t="s">
        <v>904</v>
      </c>
      <c r="C1311" s="10" t="s">
        <v>110</v>
      </c>
      <c r="D1311" s="16">
        <f t="shared" ref="D1311:M1311" si="286">D1310*$D$1321</f>
        <v>2629.8035312657739</v>
      </c>
      <c r="E1311" s="16">
        <f t="shared" si="286"/>
        <v>13355.631993102426</v>
      </c>
      <c r="F1311" s="16">
        <f t="shared" si="286"/>
        <v>25669.800904864431</v>
      </c>
      <c r="G1311" s="16">
        <f t="shared" si="286"/>
        <v>33586.052348140001</v>
      </c>
      <c r="H1311" s="16">
        <f t="shared" si="286"/>
        <v>36224.802829231863</v>
      </c>
      <c r="I1311" s="16">
        <f t="shared" si="286"/>
        <v>36224.802829231863</v>
      </c>
      <c r="J1311" s="16">
        <f t="shared" si="286"/>
        <v>36224.802829231863</v>
      </c>
      <c r="K1311" s="16">
        <f t="shared" si="286"/>
        <v>36224.802829231863</v>
      </c>
      <c r="L1311" s="16">
        <f t="shared" si="286"/>
        <v>36224.802829231863</v>
      </c>
      <c r="M1311" s="16">
        <f t="shared" si="286"/>
        <v>36224.802829231863</v>
      </c>
    </row>
    <row r="1312" spans="1:13" ht="15" customHeight="1" x14ac:dyDescent="0.2">
      <c r="B1312" s="10" t="s">
        <v>905</v>
      </c>
      <c r="C1312" s="10" t="s">
        <v>110</v>
      </c>
      <c r="D1312" s="16">
        <f t="shared" ref="D1312:M1312" si="287">D1311-D1304</f>
        <v>949.29338715016388</v>
      </c>
      <c r="E1312" s="16">
        <f t="shared" si="287"/>
        <v>4821.0495504814153</v>
      </c>
      <c r="F1312" s="16">
        <f t="shared" si="287"/>
        <v>9266.1569424238478</v>
      </c>
      <c r="G1312" s="16">
        <f t="shared" si="287"/>
        <v>12123.725980101121</v>
      </c>
      <c r="H1312" s="16">
        <f t="shared" si="287"/>
        <v>13076.248992660214</v>
      </c>
      <c r="I1312" s="16">
        <f t="shared" si="287"/>
        <v>13076.248992660214</v>
      </c>
      <c r="J1312" s="16">
        <f t="shared" si="287"/>
        <v>13076.248992660214</v>
      </c>
      <c r="K1312" s="16">
        <f t="shared" si="287"/>
        <v>13076.248992660214</v>
      </c>
      <c r="L1312" s="16">
        <f t="shared" si="287"/>
        <v>13076.248992660214</v>
      </c>
      <c r="M1312" s="16">
        <f t="shared" si="287"/>
        <v>13076.248992660214</v>
      </c>
    </row>
    <row r="1313" spans="2:13" ht="15" customHeight="1" x14ac:dyDescent="0.2">
      <c r="B1313" s="10" t="s">
        <v>906</v>
      </c>
      <c r="C1313" s="10" t="s">
        <v>110</v>
      </c>
      <c r="D1313" s="16">
        <f>MAX(D1312,Inputs!$D$6)*Inputs!$D$19</f>
        <v>284.78801614504914</v>
      </c>
      <c r="E1313" s="16">
        <f>MAX(E1312,Inputs!$D$6)*Inputs!$D$19</f>
        <v>1446.3148651444246</v>
      </c>
      <c r="F1313" s="16">
        <f>MAX(F1312,Inputs!$D$6)*Inputs!$D$19</f>
        <v>2779.8470827271544</v>
      </c>
      <c r="G1313" s="16">
        <f>MAX(G1312,Inputs!$D$6)*Inputs!$D$19</f>
        <v>3637.117794030336</v>
      </c>
      <c r="H1313" s="16">
        <f>MAX(H1312,Inputs!$D$6)*Inputs!$D$19</f>
        <v>3922.8746977980641</v>
      </c>
      <c r="I1313" s="16">
        <f>MAX(I1312,Inputs!$D$6)*Inputs!$D$19</f>
        <v>3922.8746977980641</v>
      </c>
      <c r="J1313" s="16">
        <f>MAX(J1312,Inputs!$D$6)*Inputs!$D$19</f>
        <v>3922.8746977980641</v>
      </c>
      <c r="K1313" s="16">
        <f>MAX(K1312,Inputs!$D$6)*Inputs!$D$19</f>
        <v>3922.8746977980641</v>
      </c>
      <c r="L1313" s="16">
        <f>MAX(L1312,Inputs!$D$6)*Inputs!$D$19</f>
        <v>3922.8746977980641</v>
      </c>
      <c r="M1313" s="16">
        <f>MAX(M1312,Inputs!$D$6)*Inputs!$D$19</f>
        <v>3922.8746977980641</v>
      </c>
    </row>
    <row r="1314" spans="2:13" ht="15" customHeight="1" x14ac:dyDescent="0.2">
      <c r="B1314" s="10" t="s">
        <v>907</v>
      </c>
      <c r="C1314" s="10" t="s">
        <v>110</v>
      </c>
      <c r="D1314" s="16">
        <f t="shared" ref="D1314:M1314" si="288">D1307*$D$1320</f>
        <v>175.91669873945727</v>
      </c>
      <c r="E1314" s="16">
        <f t="shared" si="288"/>
        <v>469.11119663855266</v>
      </c>
      <c r="F1314" s="16">
        <f t="shared" si="288"/>
        <v>351.83339747891438</v>
      </c>
      <c r="G1314" s="16">
        <f t="shared" si="288"/>
        <v>175.91669873945736</v>
      </c>
      <c r="H1314" s="16">
        <f t="shared" si="288"/>
        <v>0</v>
      </c>
      <c r="I1314" s="16">
        <f t="shared" si="288"/>
        <v>0</v>
      </c>
      <c r="J1314" s="16">
        <f t="shared" si="288"/>
        <v>0</v>
      </c>
      <c r="K1314" s="16">
        <f t="shared" si="288"/>
        <v>0</v>
      </c>
      <c r="L1314" s="16">
        <f t="shared" si="288"/>
        <v>0</v>
      </c>
      <c r="M1314" s="16">
        <f t="shared" si="288"/>
        <v>0</v>
      </c>
    </row>
    <row r="1315" spans="2:13" ht="15" customHeight="1" x14ac:dyDescent="0.2">
      <c r="B1315" s="10" t="s">
        <v>908</v>
      </c>
      <c r="C1315" s="10" t="s">
        <v>110</v>
      </c>
      <c r="D1315" s="16">
        <f t="shared" ref="D1315:M1315" si="289">D1311-D1313-D1305-D1306-D1314</f>
        <v>-11808.788603102617</v>
      </c>
      <c r="E1315" s="16">
        <f t="shared" si="289"/>
        <v>-25834.160520637583</v>
      </c>
      <c r="F1315" s="16">
        <f t="shared" si="289"/>
        <v>-5417.6544143094015</v>
      </c>
      <c r="G1315" s="16">
        <f t="shared" si="289"/>
        <v>13157.125587319144</v>
      </c>
      <c r="H1315" s="16">
        <f t="shared" si="289"/>
        <v>18934.12530097711</v>
      </c>
      <c r="I1315" s="16">
        <f t="shared" si="289"/>
        <v>-3345.5460831173696</v>
      </c>
      <c r="J1315" s="16">
        <f t="shared" si="289"/>
        <v>5566.3224705204339</v>
      </c>
      <c r="K1315" s="16">
        <f t="shared" si="289"/>
        <v>16296.120452409934</v>
      </c>
      <c r="L1315" s="16">
        <f t="shared" si="289"/>
        <v>18934.12530097711</v>
      </c>
      <c r="M1315" s="16">
        <f t="shared" si="289"/>
        <v>-3345.5460831173696</v>
      </c>
    </row>
    <row r="1316" spans="2:13" ht="15" customHeight="1" x14ac:dyDescent="0.2">
      <c r="B1316" s="10" t="s">
        <v>909</v>
      </c>
      <c r="C1316" s="10" t="s">
        <v>110</v>
      </c>
      <c r="D1316" s="16">
        <f>D1315/(Inputs!$D$7+$D$1322)^D1296</f>
        <v>-10821.229407429071</v>
      </c>
      <c r="E1316" s="16">
        <f>E1315/(Inputs!$D$7+$D$1322)^E1296</f>
        <v>-20944.89442546813</v>
      </c>
      <c r="F1316" s="16">
        <f>F1315/(Inputs!$D$7+$D$1322)^F1296</f>
        <v>-3887.3442954053571</v>
      </c>
      <c r="G1316" s="16">
        <f>G1315/(Inputs!$D$7+$D$1322)^G1296</f>
        <v>8355.2724396238336</v>
      </c>
      <c r="H1316" s="16">
        <f>H1315/(Inputs!$D$7+$D$1322)^H1296</f>
        <v>10641.497047974146</v>
      </c>
      <c r="I1316" s="16">
        <f>I1315/(Inputs!$D$7+$D$1322)^I1296</f>
        <v>-1663.5546184658458</v>
      </c>
      <c r="J1316" s="16">
        <f>J1315/(Inputs!$D$7+$D$1322)^J1296</f>
        <v>2449.606338499505</v>
      </c>
      <c r="K1316" s="16">
        <f>K1315/(Inputs!$D$7+$D$1322)^K1296</f>
        <v>6347.0226402622829</v>
      </c>
      <c r="L1316" s="16">
        <f>L1315/(Inputs!$D$7+$D$1322)^L1296</f>
        <v>6526.6294300673489</v>
      </c>
      <c r="M1316" s="16">
        <f>M1315/(Inputs!$D$7+$D$1322)^M1296</f>
        <v>-1020.2892020226236</v>
      </c>
    </row>
    <row r="1317" spans="2:13" ht="15" customHeight="1" x14ac:dyDescent="0.2">
      <c r="B1317" s="3" t="s">
        <v>910</v>
      </c>
      <c r="C1317" s="10" t="s">
        <v>896</v>
      </c>
      <c r="D1317" s="28">
        <f>(D1303*$D$1321-D1307)/(Inputs!$D$7+$D$1322)^D1296</f>
        <v>74.490519309095831</v>
      </c>
      <c r="E1317" s="28">
        <f>(E1303*$D$1321-E1307)/(Inputs!$D$7+$D$1322)^E1296</f>
        <v>346.09451503846662</v>
      </c>
      <c r="F1317" s="28">
        <f>(F1303*$D$1321-F1307)/(Inputs!$D$7+$D$1322)^F1296</f>
        <v>601.79110266312398</v>
      </c>
      <c r="G1317" s="28">
        <f>(G1303*$D$1321-G1307)/(Inputs!$D$7+$D$1322)^G1296</f>
        <v>702.83446516544734</v>
      </c>
      <c r="H1317" s="28">
        <f>(H1303*$D$1321-H1307)/(Inputs!$D$7+$D$1322)^H1296</f>
        <v>674.43286946611579</v>
      </c>
      <c r="I1317" s="28">
        <f>(I1303*$D$1321-I1307)/(Inputs!$D$7+$D$1322)^I1296</f>
        <v>596.69348218898278</v>
      </c>
      <c r="J1317" s="28">
        <f>(J1303*$D$1321-J1307)/(Inputs!$D$7+$D$1322)^J1296</f>
        <v>528.09150417844353</v>
      </c>
      <c r="K1317" s="28">
        <f>(K1303*$D$1321-K1307)/(Inputs!$D$7+$D$1322)^K1296</f>
        <v>467.37671033772904</v>
      </c>
      <c r="L1317" s="28">
        <f>(L1303*$D$1321-L1307)/(Inputs!$D$7+$D$1322)^L1296</f>
        <v>413.64230940610946</v>
      </c>
      <c r="M1317" s="28">
        <f>(M1303*$D$1321-M1307)/(Inputs!$D$7+$D$1322)^M1296</f>
        <v>365.96328731072373</v>
      </c>
    </row>
    <row r="1318" spans="2:13" ht="15" customHeight="1" x14ac:dyDescent="0.2">
      <c r="B1318" s="10" t="s">
        <v>911</v>
      </c>
      <c r="C1318" s="10" t="s">
        <v>110</v>
      </c>
      <c r="D1318" s="16">
        <f>(-D1305-D1306)/(Inputs!$D$7+$D$1322)^D1296</f>
        <v>-12808.928289029636</v>
      </c>
      <c r="E1318" s="16">
        <f>(-E1305-E1306)/(Inputs!$D$7+$D$1322)^E1296</f>
        <v>-30219.974420642928</v>
      </c>
      <c r="F1318" s="16">
        <f>(-F1305-F1306)/(Inputs!$D$7+$D$1322)^F1296</f>
        <v>-20059.183095337907</v>
      </c>
      <c r="G1318" s="16">
        <f>(-G1305-G1306)/(Inputs!$D$7+$D$1322)^G1296</f>
        <v>-10551.720115889953</v>
      </c>
      <c r="H1318" s="16">
        <f>(-H1305-H1306)/(Inputs!$D$7+$D$1322)^H1296</f>
        <v>-7513.0713511684744</v>
      </c>
      <c r="I1318" s="16">
        <f>(-I1305-I1306)/(Inputs!$D$7+$D$1322)^I1296</f>
        <v>-17725.512933602091</v>
      </c>
      <c r="J1318" s="16">
        <f>(-J1305-J1306)/(Inputs!$D$7+$D$1322)^J1296</f>
        <v>-11765.705173827875</v>
      </c>
      <c r="K1318" s="16">
        <f>(-K1305-K1306)/(Inputs!$D$7+$D$1322)^K1296</f>
        <v>-6233.95144943378</v>
      </c>
      <c r="L1318" s="16">
        <f>(-L1305-L1306)/(Inputs!$D$7+$D$1322)^L1296</f>
        <v>-4607.9073620630261</v>
      </c>
      <c r="M1318" s="16">
        <f>(-M1305-M1306)/(Inputs!$D$7+$D$1322)^M1296</f>
        <v>-10871.389039901173</v>
      </c>
    </row>
    <row r="1319" spans="2:13" ht="15" customHeight="1" x14ac:dyDescent="0.2">
      <c r="B1319" s="10" t="s">
        <v>912</v>
      </c>
      <c r="C1319" s="10" t="s">
        <v>110</v>
      </c>
      <c r="D1319" s="16">
        <f>Prices!K10</f>
        <v>16178.700386874911</v>
      </c>
    </row>
    <row r="1320" spans="2:13" ht="15" customHeight="1" x14ac:dyDescent="0.2">
      <c r="B1320" s="3" t="s">
        <v>913</v>
      </c>
      <c r="C1320" s="10" t="s">
        <v>914</v>
      </c>
      <c r="D1320" s="28">
        <f>IF(J1327&gt;=J1323,J1327,(D1319-J1326)/J1325)</f>
        <v>30.187335691026554</v>
      </c>
      <c r="G1320" s="99" t="s">
        <v>915</v>
      </c>
      <c r="H1320" s="91"/>
      <c r="I1320" s="91"/>
      <c r="J1320" s="28">
        <f>D1320*Inputs!$D$15</f>
        <v>21.067741578767432</v>
      </c>
      <c r="K1320" s="99" t="s">
        <v>916</v>
      </c>
      <c r="L1320" s="91"/>
      <c r="M1320" s="91"/>
    </row>
    <row r="1321" spans="2:13" ht="15" customHeight="1" x14ac:dyDescent="0.2">
      <c r="B1321" s="10" t="s">
        <v>917</v>
      </c>
      <c r="C1321" s="10" t="s">
        <v>104</v>
      </c>
      <c r="D1321" s="30">
        <f>Inputs!$D$94</f>
        <v>0.75</v>
      </c>
      <c r="G1321" s="99" t="s">
        <v>918</v>
      </c>
      <c r="H1321" s="91"/>
      <c r="I1321" s="91"/>
      <c r="J1321" s="28">
        <f>IF(-D1332/D1331&gt;=J1323,-D1332/D1331,-J1326/J1325)</f>
        <v>27.411702074287536</v>
      </c>
      <c r="K1321" s="99" t="s">
        <v>919</v>
      </c>
      <c r="L1321" s="91"/>
      <c r="M1321" s="91"/>
    </row>
    <row r="1322" spans="2:13" ht="15" customHeight="1" x14ac:dyDescent="0.2">
      <c r="B1322" s="10" t="s">
        <v>920</v>
      </c>
      <c r="C1322" s="10" t="s">
        <v>104</v>
      </c>
      <c r="D1322" s="30">
        <f>Inputs!$D$95</f>
        <v>0.13</v>
      </c>
      <c r="G1322" s="99" t="s">
        <v>918</v>
      </c>
      <c r="H1322" s="91"/>
      <c r="I1322" s="91"/>
      <c r="J1322" s="28">
        <f>J1321*Inputs!$D$15</f>
        <v>19.13062687764527</v>
      </c>
      <c r="K1322" s="99" t="s">
        <v>916</v>
      </c>
      <c r="L1322" s="91"/>
      <c r="M1322" s="91"/>
    </row>
    <row r="1323" spans="2:13" ht="15" customHeight="1" x14ac:dyDescent="0.2">
      <c r="B1323" s="3" t="s">
        <v>921</v>
      </c>
      <c r="C1323" s="10" t="s">
        <v>848</v>
      </c>
      <c r="D1323" s="28">
        <f>Capital!$D$13</f>
        <v>57.347931490590682</v>
      </c>
      <c r="G1323" s="99" t="s">
        <v>922</v>
      </c>
      <c r="H1323" s="91"/>
      <c r="I1323" s="91"/>
      <c r="J1323" s="28">
        <f>($D$1323/Inputs!$D$21+$D$1324/Inputs!$D$22)/$D$1321</f>
        <v>19.290461530476374</v>
      </c>
      <c r="K1323" s="99" t="s">
        <v>919</v>
      </c>
      <c r="L1323" s="91"/>
      <c r="M1323" s="91"/>
    </row>
    <row r="1324" spans="2:13" ht="15" customHeight="1" x14ac:dyDescent="0.2">
      <c r="B1324" s="3" t="s">
        <v>923</v>
      </c>
      <c r="C1324" s="10" t="s">
        <v>848</v>
      </c>
      <c r="D1324" s="28">
        <f>Capital!$D$14</f>
        <v>2.6172655041921802</v>
      </c>
    </row>
    <row r="1325" spans="2:13" ht="15" customHeight="1" x14ac:dyDescent="0.2">
      <c r="B1325" s="10" t="s">
        <v>924</v>
      </c>
      <c r="C1325" s="10" t="s">
        <v>896</v>
      </c>
      <c r="D1325" s="28">
        <f>(M1298*(Inputs!$D$7+Inputs!$D$20)*$D$1321*(Inputs!$D$7-Inputs!$D$19)-M1298*Inputs!$D$20*Inputs!$D$23)/($D$1322-Inputs!$D$20)/(Inputs!$D$7+$D$1322)^M1296</f>
        <v>2497.8446594223992</v>
      </c>
      <c r="G1325" s="92" t="s">
        <v>910</v>
      </c>
      <c r="H1325" s="91"/>
      <c r="I1325" s="91"/>
      <c r="J1325" s="28">
        <f>SUM(D1317:M1317)+(M1298*(Inputs!$D$7+Inputs!$D$20)*$D$1321-M1298*Inputs!$D$20*Inputs!$D$23)/($D$1322-Inputs!$D$20)/(Inputs!$D$7+$D$1322)^M1296</f>
        <v>8341.0050516109004</v>
      </c>
      <c r="K1325" s="99" t="s">
        <v>896</v>
      </c>
      <c r="L1325" s="91"/>
      <c r="M1325" s="91"/>
    </row>
    <row r="1326" spans="2:13" ht="15" customHeight="1" x14ac:dyDescent="0.2">
      <c r="B1326" s="10" t="s">
        <v>925</v>
      </c>
      <c r="C1326" s="10" t="s">
        <v>110</v>
      </c>
      <c r="D1326" s="16">
        <f>(D1329*Inputs!$D$19-D1329-D1330)/($D$1322-Inputs!$D$20)/(Inputs!$D$7+$D$1322)^M1296</f>
        <v>-55207.290798783099</v>
      </c>
      <c r="G1326" s="92" t="s">
        <v>926</v>
      </c>
      <c r="H1326" s="91"/>
      <c r="I1326" s="91"/>
      <c r="J1326" s="16">
        <f>SUM(D1318:M1318)-(D1329+D1330)/($D$1322-Inputs!$D$20)/(Inputs!$D$7+$D$1322)^M1296</f>
        <v>-208239.17898202292</v>
      </c>
      <c r="K1326" s="99" t="s">
        <v>110</v>
      </c>
      <c r="L1326" s="91"/>
      <c r="M1326" s="91"/>
    </row>
    <row r="1327" spans="2:13" ht="15" customHeight="1" x14ac:dyDescent="0.2">
      <c r="B1327" s="10" t="s">
        <v>927</v>
      </c>
      <c r="C1327" s="10" t="s">
        <v>928</v>
      </c>
      <c r="D1327" s="16">
        <f>(M1298*(Inputs!$D$7+Inputs!$D$20)*$D$1320*$D$1321-D1329)-MAX((M1298*(Inputs!$D$7+Inputs!$D$20)*$D$1320*$D$1321-D1329),Inputs!$D$6)*Inputs!$D$19-D1330-M1298*Inputs!$D$20*$D$1320*Inputs!$D$23</f>
        <v>6953.4134367513589</v>
      </c>
      <c r="G1327" s="99" t="s">
        <v>929</v>
      </c>
      <c r="H1327" s="91"/>
      <c r="I1327" s="91"/>
      <c r="J1327" s="28">
        <f>(D1319-D1332)/D1331</f>
        <v>30.187335691026554</v>
      </c>
      <c r="K1327" s="99" t="s">
        <v>919</v>
      </c>
      <c r="L1327" s="91"/>
      <c r="M1327" s="91"/>
    </row>
    <row r="1328" spans="2:13" ht="15" customHeight="1" x14ac:dyDescent="0.2">
      <c r="B1328" s="10" t="s">
        <v>930</v>
      </c>
      <c r="C1328" s="10" t="s">
        <v>110</v>
      </c>
      <c r="D1328" s="16">
        <f>D1327/($D$1322-Inputs!$D$20)</f>
        <v>66222.985111917704</v>
      </c>
      <c r="G1328" s="99" t="s">
        <v>931</v>
      </c>
      <c r="H1328" s="91"/>
      <c r="I1328" s="91"/>
      <c r="J1328" s="16">
        <f>MIN(D1312:M1312,(M1298*(Inputs!$D$7+Inputs!$D$20)*$D$1320*$D$1321-D1329))</f>
        <v>949.29338715016388</v>
      </c>
      <c r="K1328" s="99" t="s">
        <v>110</v>
      </c>
      <c r="L1328" s="91"/>
      <c r="M1328" s="91"/>
    </row>
    <row r="1329" spans="1:13" ht="15" customHeight="1" x14ac:dyDescent="0.2">
      <c r="B1329" s="10" t="s">
        <v>932</v>
      </c>
      <c r="C1329" s="10" t="s">
        <v>928</v>
      </c>
      <c r="D1329" s="16">
        <f>M1298*(Inputs!$D$7+Inputs!$D$20)*($D$1323/Inputs!$D$21+$D$1324/Inputs!$D$22)</f>
        <v>23727.267682485937</v>
      </c>
      <c r="G1329" s="99" t="s">
        <v>933</v>
      </c>
      <c r="H1329" s="91"/>
      <c r="I1329" s="91"/>
      <c r="J1329" s="31" t="str">
        <f>IF(J1328&lt;Inputs!$D$6,"breached","satisfied")</f>
        <v>satisfied</v>
      </c>
      <c r="K1329" s="99" t="s">
        <v>934</v>
      </c>
      <c r="L1329" s="91"/>
      <c r="M1329" s="91"/>
    </row>
    <row r="1330" spans="1:13" ht="15" customHeight="1" x14ac:dyDescent="0.2">
      <c r="B1330" s="10" t="s">
        <v>935</v>
      </c>
      <c r="C1330" s="10" t="s">
        <v>928</v>
      </c>
      <c r="D1330" s="16">
        <f>M1298*Inputs!$D$20*($D$1323+$D$1324)</f>
        <v>2398.6078797913146</v>
      </c>
    </row>
    <row r="1331" spans="1:13" ht="15" customHeight="1" x14ac:dyDescent="0.2">
      <c r="B1331" s="10" t="s">
        <v>936</v>
      </c>
      <c r="C1331" s="10" t="s">
        <v>896</v>
      </c>
      <c r="D1331" s="28">
        <f>SUM(D1308:M1308)+D1325</f>
        <v>5828.8314024250149</v>
      </c>
      <c r="G1331" s="99" t="s">
        <v>937</v>
      </c>
      <c r="H1331" s="91"/>
      <c r="I1331" s="91"/>
      <c r="J1331" s="16">
        <f>D1333-D1319</f>
        <v>-5.2750692702829838E-11</v>
      </c>
      <c r="K1331" s="99" t="s">
        <v>110</v>
      </c>
      <c r="L1331" s="91"/>
      <c r="M1331" s="91"/>
    </row>
    <row r="1332" spans="1:13" ht="15" customHeight="1" x14ac:dyDescent="0.2">
      <c r="B1332" s="10" t="s">
        <v>938</v>
      </c>
      <c r="C1332" s="10" t="s">
        <v>110</v>
      </c>
      <c r="D1332" s="16">
        <f>SUM(D1309:M1309)+D1326</f>
        <v>-159778.18984452612</v>
      </c>
    </row>
    <row r="1333" spans="1:13" ht="15" customHeight="1" x14ac:dyDescent="0.2">
      <c r="B1333" s="10" t="s">
        <v>939</v>
      </c>
      <c r="C1333" s="10" t="s">
        <v>110</v>
      </c>
      <c r="D1333" s="16">
        <f>SUM(D1316:M1316)+D1328/(Inputs!$D$7+$D$1322)^M1296</f>
        <v>16178.700386874858</v>
      </c>
    </row>
    <row r="1334" spans="1:13" ht="15" customHeight="1" x14ac:dyDescent="0.2">
      <c r="B1334" s="10" t="s">
        <v>940</v>
      </c>
      <c r="C1334" s="10" t="s">
        <v>104</v>
      </c>
      <c r="D1334" s="30">
        <f>IF(ABS(D1319)&gt;Inputs!$D$6,D1333/D1319-Inputs!$D$7,Inputs!$D$6)</f>
        <v>-3.219646771412954E-15</v>
      </c>
    </row>
    <row r="1335" spans="1:13" ht="15" customHeight="1" x14ac:dyDescent="0.2">
      <c r="B1335" s="10" t="s">
        <v>941</v>
      </c>
      <c r="C1335" s="10" t="s">
        <v>104</v>
      </c>
      <c r="D1335" s="30">
        <f>IF(ABS(D1333)&gt;Inputs!$D$119,D1328/(Inputs!$D$7+$D$1322)^M1296/D1333,Inputs!$D$6)</f>
        <v>1.2483069688108555</v>
      </c>
    </row>
    <row r="1336" spans="1:13" ht="15" customHeight="1" x14ac:dyDescent="0.2">
      <c r="B1336" s="10" t="s">
        <v>942</v>
      </c>
      <c r="C1336" s="10" t="s">
        <v>943</v>
      </c>
      <c r="D1336" s="26">
        <f>$D$1320*Inputs!$D$8/Prices!$P$6/(Inputs!$D$26/Inputs!$D$25)/Inputs!$D$11/Inputs!$D$56</f>
        <v>5.4896586901195654</v>
      </c>
    </row>
    <row r="1340" spans="1:13" ht="15" customHeight="1" x14ac:dyDescent="0.2">
      <c r="A1340" s="104" t="s">
        <v>972</v>
      </c>
      <c r="B1340" s="10" t="s">
        <v>886</v>
      </c>
      <c r="C1340" s="10" t="s">
        <v>107</v>
      </c>
      <c r="D1340" s="28">
        <f>Inputs!$D$60</f>
        <v>1</v>
      </c>
      <c r="E1340" s="28">
        <f>Inputs!$D$62</f>
        <v>2</v>
      </c>
      <c r="F1340" s="28">
        <f>Inputs!$D$64</f>
        <v>3</v>
      </c>
      <c r="G1340" s="28">
        <f>Inputs!$D$66</f>
        <v>4</v>
      </c>
      <c r="H1340" s="28">
        <f>Inputs!$D$68</f>
        <v>5</v>
      </c>
      <c r="I1340" s="28">
        <f>Inputs!$D$70</f>
        <v>6</v>
      </c>
      <c r="J1340" s="28">
        <f>Inputs!$D$72</f>
        <v>7</v>
      </c>
      <c r="K1340" s="28">
        <f>Inputs!$D$74</f>
        <v>8</v>
      </c>
      <c r="L1340" s="28">
        <f>Inputs!$D$76</f>
        <v>9</v>
      </c>
      <c r="M1340" s="28">
        <f>Inputs!$D$78</f>
        <v>10</v>
      </c>
    </row>
    <row r="1341" spans="1:13" ht="15" customHeight="1" x14ac:dyDescent="0.2">
      <c r="A1341" s="91"/>
      <c r="B1341" s="10" t="s">
        <v>887</v>
      </c>
      <c r="C1341" s="10" t="s">
        <v>161</v>
      </c>
      <c r="D1341" s="29">
        <f>Inputs!$D$61</f>
        <v>46568</v>
      </c>
      <c r="E1341" s="29">
        <f>Inputs!$D$63</f>
        <v>46934</v>
      </c>
      <c r="F1341" s="29">
        <f>Inputs!$D$65</f>
        <v>47299</v>
      </c>
      <c r="G1341" s="29">
        <f>Inputs!$D$67</f>
        <v>47664</v>
      </c>
      <c r="H1341" s="29">
        <f>Inputs!$D$69</f>
        <v>48029</v>
      </c>
      <c r="I1341" s="29">
        <f>Inputs!$D$71</f>
        <v>48395</v>
      </c>
      <c r="J1341" s="29">
        <f>Inputs!$D$73</f>
        <v>48760</v>
      </c>
      <c r="K1341" s="29">
        <f>Inputs!$D$75</f>
        <v>49125</v>
      </c>
      <c r="L1341" s="29">
        <f>Inputs!$D$77</f>
        <v>49490</v>
      </c>
      <c r="M1341" s="29">
        <f>Inputs!$D$79</f>
        <v>49856</v>
      </c>
    </row>
    <row r="1342" spans="1:13" ht="15" customHeight="1" x14ac:dyDescent="0.2">
      <c r="A1342" s="91"/>
      <c r="B1342" s="10" t="s">
        <v>888</v>
      </c>
      <c r="C1342" s="10" t="s">
        <v>107</v>
      </c>
      <c r="D1342" s="28">
        <f>(D1341-Inputs!$D$13)/Inputs!$D$10</f>
        <v>0.71457905544147848</v>
      </c>
      <c r="E1342" s="28">
        <f>(E1341-Inputs!$D$13)/Inputs!$D$10</f>
        <v>1.7166324435318274</v>
      </c>
      <c r="F1342" s="28">
        <f>(F1341-Inputs!$D$13)/Inputs!$D$10</f>
        <v>2.7159479808350446</v>
      </c>
      <c r="G1342" s="28">
        <f>(G1341-Inputs!$D$13)/Inputs!$D$10</f>
        <v>3.7152635181382614</v>
      </c>
      <c r="H1342" s="28">
        <f>(H1341-Inputs!$D$13)/Inputs!$D$10</f>
        <v>4.7145790554414786</v>
      </c>
      <c r="I1342" s="28">
        <f>(I1341-Inputs!$D$13)/Inputs!$D$10</f>
        <v>5.7166324435318279</v>
      </c>
      <c r="J1342" s="28">
        <f>(J1341-Inputs!$D$13)/Inputs!$D$10</f>
        <v>6.7159479808350442</v>
      </c>
      <c r="K1342" s="28">
        <f>(K1341-Inputs!$D$13)/Inputs!$D$10</f>
        <v>7.7152635181382614</v>
      </c>
      <c r="L1342" s="28">
        <f>(L1341-Inputs!$D$13)/Inputs!$D$10</f>
        <v>8.7145790554414777</v>
      </c>
      <c r="M1342" s="28">
        <f>(M1341-Inputs!$D$13)/Inputs!$D$10</f>
        <v>9.716632443531827</v>
      </c>
    </row>
    <row r="1343" spans="1:13" ht="15" customHeight="1" x14ac:dyDescent="0.2">
      <c r="A1343" s="91"/>
      <c r="B1343" s="10" t="s">
        <v>889</v>
      </c>
      <c r="C1343" s="10" t="s">
        <v>107</v>
      </c>
      <c r="D1343" s="28">
        <f>D1342</f>
        <v>0.71457905544147848</v>
      </c>
      <c r="E1343" s="28">
        <f>Inputs!$D$7</f>
        <v>1</v>
      </c>
      <c r="F1343" s="28">
        <f>Inputs!$D$7</f>
        <v>1</v>
      </c>
      <c r="G1343" s="28">
        <f>Inputs!$D$7</f>
        <v>1</v>
      </c>
      <c r="H1343" s="28">
        <f>Inputs!$D$7</f>
        <v>1</v>
      </c>
      <c r="I1343" s="28">
        <f>Inputs!$D$7</f>
        <v>1</v>
      </c>
      <c r="J1343" s="28">
        <f>Inputs!$D$7</f>
        <v>1</v>
      </c>
      <c r="K1343" s="28">
        <f>Inputs!$D$7</f>
        <v>1</v>
      </c>
      <c r="L1343" s="28">
        <f>Inputs!$D$7</f>
        <v>1</v>
      </c>
      <c r="M1343" s="28">
        <f>Inputs!$D$7</f>
        <v>1</v>
      </c>
    </row>
    <row r="1344" spans="1:13" ht="15" customHeight="1" x14ac:dyDescent="0.2">
      <c r="A1344" s="91"/>
      <c r="B1344" s="3" t="s">
        <v>890</v>
      </c>
      <c r="C1344" s="10" t="s">
        <v>199</v>
      </c>
      <c r="D1344" s="28">
        <f>Inputs!$D$24+(Inputs!$D$106-Inputs!$D$24)*Inputs!$D$109</f>
        <v>170.32</v>
      </c>
      <c r="E1344" s="28">
        <f>Inputs!$D$24+(Inputs!$D$106-Inputs!$D$24)*Inputs!$D$110</f>
        <v>481.12000000000006</v>
      </c>
      <c r="F1344" s="28">
        <f>Inputs!$D$24+(Inputs!$D$106-Inputs!$D$24)*Inputs!$D$111</f>
        <v>823</v>
      </c>
      <c r="G1344" s="28">
        <f>Inputs!$D$24+(Inputs!$D$106-Inputs!$D$24)*Inputs!$D$112</f>
        <v>1211.5</v>
      </c>
      <c r="H1344" s="28">
        <f>Inputs!$D$24+(Inputs!$D$106-Inputs!$D$24)*Inputs!$D$113</f>
        <v>1600</v>
      </c>
      <c r="I1344" s="28">
        <f>Inputs!$D$24+(Inputs!$D$106-Inputs!$D$24)*Inputs!$D$114</f>
        <v>1600</v>
      </c>
      <c r="J1344" s="28">
        <f>Inputs!$D$24+(Inputs!$D$106-Inputs!$D$24)*Inputs!$D$115</f>
        <v>1600</v>
      </c>
      <c r="K1344" s="28">
        <f>Inputs!$D$24+(Inputs!$D$106-Inputs!$D$24)*Inputs!$D$116</f>
        <v>1600</v>
      </c>
      <c r="L1344" s="28">
        <f>Inputs!$D$24+(Inputs!$D$106-Inputs!$D$24)*Inputs!$D$117</f>
        <v>1600</v>
      </c>
      <c r="M1344" s="28">
        <f>Inputs!$D$24+(Inputs!$D$106-Inputs!$D$24)*Inputs!$D$118</f>
        <v>1600</v>
      </c>
    </row>
    <row r="1345" spans="1:13" ht="15" customHeight="1" x14ac:dyDescent="0.2">
      <c r="A1345" s="91"/>
      <c r="B1345" s="10" t="s">
        <v>891</v>
      </c>
      <c r="C1345" s="10" t="s">
        <v>199</v>
      </c>
      <c r="D1345" s="28">
        <f>Inputs!$D$24</f>
        <v>46</v>
      </c>
      <c r="E1345" s="28">
        <f t="shared" ref="E1345:M1345" si="290">D1344</f>
        <v>170.32</v>
      </c>
      <c r="F1345" s="28">
        <f t="shared" si="290"/>
        <v>481.12000000000006</v>
      </c>
      <c r="G1345" s="28">
        <f t="shared" si="290"/>
        <v>823</v>
      </c>
      <c r="H1345" s="28">
        <f t="shared" si="290"/>
        <v>1211.5</v>
      </c>
      <c r="I1345" s="28">
        <f t="shared" si="290"/>
        <v>1600</v>
      </c>
      <c r="J1345" s="28">
        <f t="shared" si="290"/>
        <v>1600</v>
      </c>
      <c r="K1345" s="28">
        <f t="shared" si="290"/>
        <v>1600</v>
      </c>
      <c r="L1345" s="28">
        <f t="shared" si="290"/>
        <v>1600</v>
      </c>
      <c r="M1345" s="28">
        <f t="shared" si="290"/>
        <v>1600</v>
      </c>
    </row>
    <row r="1346" spans="1:13" ht="15" customHeight="1" x14ac:dyDescent="0.2">
      <c r="B1346" s="10" t="s">
        <v>892</v>
      </c>
      <c r="C1346" s="10" t="s">
        <v>199</v>
      </c>
      <c r="D1346" s="28">
        <f>(D1345+D1344)*Inputs!$D$12</f>
        <v>108.16</v>
      </c>
      <c r="E1346" s="28">
        <f>(E1345+E1344)*Inputs!$D$12</f>
        <v>325.72000000000003</v>
      </c>
      <c r="F1346" s="28">
        <f>(F1345+F1344)*Inputs!$D$12</f>
        <v>652.06000000000006</v>
      </c>
      <c r="G1346" s="28">
        <f>(G1345+G1344)*Inputs!$D$12</f>
        <v>1017.25</v>
      </c>
      <c r="H1346" s="28">
        <f>(H1345+H1344)*Inputs!$D$12</f>
        <v>1405.75</v>
      </c>
      <c r="I1346" s="28">
        <f>(I1345+I1344)*Inputs!$D$12</f>
        <v>1600</v>
      </c>
      <c r="J1346" s="28">
        <f>(J1345+J1344)*Inputs!$D$12</f>
        <v>1600</v>
      </c>
      <c r="K1346" s="28">
        <f>(K1345+K1344)*Inputs!$D$12</f>
        <v>1600</v>
      </c>
      <c r="L1346" s="28">
        <f>(L1345+L1344)*Inputs!$D$12</f>
        <v>1600</v>
      </c>
      <c r="M1346" s="28">
        <f>(M1345+M1344)*Inputs!$D$12</f>
        <v>1600</v>
      </c>
    </row>
    <row r="1347" spans="1:13" ht="15" customHeight="1" x14ac:dyDescent="0.2">
      <c r="B1347" s="10" t="s">
        <v>893</v>
      </c>
      <c r="C1347" s="10" t="s">
        <v>199</v>
      </c>
      <c r="D1347" s="28">
        <f t="shared" ref="D1347:M1347" si="291">D1344-D1345</f>
        <v>124.32</v>
      </c>
      <c r="E1347" s="28">
        <f t="shared" si="291"/>
        <v>310.80000000000007</v>
      </c>
      <c r="F1347" s="28">
        <f t="shared" si="291"/>
        <v>341.87999999999994</v>
      </c>
      <c r="G1347" s="28">
        <f t="shared" si="291"/>
        <v>388.5</v>
      </c>
      <c r="H1347" s="28">
        <f t="shared" si="291"/>
        <v>388.5</v>
      </c>
      <c r="I1347" s="28">
        <f t="shared" si="291"/>
        <v>0</v>
      </c>
      <c r="J1347" s="28">
        <f t="shared" si="291"/>
        <v>0</v>
      </c>
      <c r="K1347" s="28">
        <f t="shared" si="291"/>
        <v>0</v>
      </c>
      <c r="L1347" s="28">
        <f t="shared" si="291"/>
        <v>0</v>
      </c>
      <c r="M1347" s="28">
        <f t="shared" si="291"/>
        <v>0</v>
      </c>
    </row>
    <row r="1348" spans="1:13" ht="15" customHeight="1" x14ac:dyDescent="0.2">
      <c r="B1348" s="10" t="s">
        <v>894</v>
      </c>
      <c r="C1348" s="10" t="s">
        <v>199</v>
      </c>
      <c r="D1348" s="28">
        <f>IF(MOD(D1340,Inputs!$D$21)=Inputs!$D$6,Inputs!$D$24,Inputs!$D$6)+SUMPRODUCT(--(D1340&gt;$D$1340:$M$1340),--(MOD(D1340-$D$1340:$M$1340,Inputs!$D$21)=Inputs!$D$6),$D$1347:$M$1347)</f>
        <v>0</v>
      </c>
      <c r="E1348" s="28">
        <f>IF(MOD(E1340,Inputs!$D$21)=Inputs!$D$6,Inputs!$D$24,Inputs!$D$6)+SUMPRODUCT(--(E1340&gt;$D$1340:$M$1340),--(MOD(E1340-$D$1340:$M$1340,Inputs!$D$21)=Inputs!$D$6),$D$1347:$M$1347)</f>
        <v>0</v>
      </c>
      <c r="F1348" s="28">
        <f>IF(MOD(F1340,Inputs!$D$21)=Inputs!$D$6,Inputs!$D$24,Inputs!$D$6)+SUMPRODUCT(--(F1340&gt;$D$1340:$M$1340),--(MOD(F1340-$D$1340:$M$1340,Inputs!$D$21)=Inputs!$D$6),$D$1347:$M$1347)</f>
        <v>0</v>
      </c>
      <c r="G1348" s="28">
        <f>IF(MOD(G1340,Inputs!$D$21)=Inputs!$D$6,Inputs!$D$24,Inputs!$D$6)+SUMPRODUCT(--(G1340&gt;$D$1340:$M$1340),--(MOD(G1340-$D$1340:$M$1340,Inputs!$D$21)=Inputs!$D$6),$D$1347:$M$1347)</f>
        <v>46</v>
      </c>
      <c r="H1348" s="28">
        <f>IF(MOD(H1340,Inputs!$D$21)=Inputs!$D$6,Inputs!$D$24,Inputs!$D$6)+SUMPRODUCT(--(H1340&gt;$D$1340:$M$1340),--(MOD(H1340-$D$1340:$M$1340,Inputs!$D$21)=Inputs!$D$6),$D$1347:$M$1347)</f>
        <v>124.32</v>
      </c>
      <c r="I1348" s="28">
        <f>IF(MOD(I1340,Inputs!$D$21)=Inputs!$D$6,Inputs!$D$24,Inputs!$D$6)+SUMPRODUCT(--(I1340&gt;$D$1340:$M$1340),--(MOD(I1340-$D$1340:$M$1340,Inputs!$D$21)=Inputs!$D$6),$D$1347:$M$1347)</f>
        <v>310.80000000000007</v>
      </c>
      <c r="J1348" s="28">
        <f>IF(MOD(J1340,Inputs!$D$21)=Inputs!$D$6,Inputs!$D$24,Inputs!$D$6)+SUMPRODUCT(--(J1340&gt;$D$1340:$M$1340),--(MOD(J1340-$D$1340:$M$1340,Inputs!$D$21)=Inputs!$D$6),$D$1347:$M$1347)</f>
        <v>341.87999999999994</v>
      </c>
      <c r="K1348" s="28">
        <f>IF(MOD(K1340,Inputs!$D$21)=Inputs!$D$6,Inputs!$D$24,Inputs!$D$6)+SUMPRODUCT(--(K1340&gt;$D$1340:$M$1340),--(MOD(K1340-$D$1340:$M$1340,Inputs!$D$21)=Inputs!$D$6),$D$1347:$M$1347)</f>
        <v>434.5</v>
      </c>
      <c r="L1348" s="28">
        <f>IF(MOD(L1340,Inputs!$D$21)=Inputs!$D$6,Inputs!$D$24,Inputs!$D$6)+SUMPRODUCT(--(L1340&gt;$D$1340:$M$1340),--(MOD(L1340-$D$1340:$M$1340,Inputs!$D$21)=Inputs!$D$6),$D$1347:$M$1347)</f>
        <v>512.81999999999994</v>
      </c>
      <c r="M1348" s="28">
        <f>IF(MOD(M1340,Inputs!$D$21)=Inputs!$D$6,Inputs!$D$24,Inputs!$D$6)+SUMPRODUCT(--(M1340&gt;$D$1340:$M$1340),--(MOD(M1340-$D$1340:$M$1340,Inputs!$D$21)=Inputs!$D$6),$D$1347:$M$1347)</f>
        <v>310.80000000000007</v>
      </c>
    </row>
    <row r="1349" spans="1:13" ht="15" customHeight="1" x14ac:dyDescent="0.2">
      <c r="B1349" s="10" t="s">
        <v>895</v>
      </c>
      <c r="C1349" s="10" t="s">
        <v>896</v>
      </c>
      <c r="D1349" s="28">
        <f t="shared" ref="D1349:M1349" si="292">D1346*D1343</f>
        <v>77.288870636550314</v>
      </c>
      <c r="E1349" s="28">
        <f t="shared" si="292"/>
        <v>325.72000000000003</v>
      </c>
      <c r="F1349" s="28">
        <f t="shared" si="292"/>
        <v>652.06000000000006</v>
      </c>
      <c r="G1349" s="28">
        <f t="shared" si="292"/>
        <v>1017.25</v>
      </c>
      <c r="H1349" s="28">
        <f t="shared" si="292"/>
        <v>1405.75</v>
      </c>
      <c r="I1349" s="28">
        <f t="shared" si="292"/>
        <v>1600</v>
      </c>
      <c r="J1349" s="28">
        <f t="shared" si="292"/>
        <v>1600</v>
      </c>
      <c r="K1349" s="28">
        <f t="shared" si="292"/>
        <v>1600</v>
      </c>
      <c r="L1349" s="28">
        <f t="shared" si="292"/>
        <v>1600</v>
      </c>
      <c r="M1349" s="28">
        <f t="shared" si="292"/>
        <v>1600</v>
      </c>
    </row>
    <row r="1350" spans="1:13" ht="15" customHeight="1" x14ac:dyDescent="0.2">
      <c r="B1350" s="10" t="s">
        <v>897</v>
      </c>
      <c r="C1350" s="10" t="s">
        <v>110</v>
      </c>
      <c r="D1350" s="16">
        <f>D1349*($D$1369/Inputs!$D$21+$D$1370/Inputs!$D$22)</f>
        <v>1118.2034893112541</v>
      </c>
      <c r="E1350" s="16">
        <f>E1349*($D$1369/Inputs!$D$21+$D$1370/Inputs!$D$22)</f>
        <v>4712.466847280074</v>
      </c>
      <c r="F1350" s="16">
        <f>F1349*($D$1369/Inputs!$D$21+$D$1370/Inputs!$D$22)</f>
        <v>9433.9037591718188</v>
      </c>
      <c r="G1350" s="16">
        <f>G1349*($D$1369/Inputs!$D$21+$D$1370/Inputs!$D$22)</f>
        <v>14717.416493907818</v>
      </c>
      <c r="H1350" s="16">
        <f>H1349*($D$1369/Inputs!$D$21+$D$1370/Inputs!$D$22)</f>
        <v>20338.17472235037</v>
      </c>
      <c r="I1350" s="16">
        <f>I1349*($D$1369/Inputs!$D$21+$D$1370/Inputs!$D$22)</f>
        <v>23148.553836571649</v>
      </c>
      <c r="J1350" s="16">
        <f>J1349*($D$1369/Inputs!$D$21+$D$1370/Inputs!$D$22)</f>
        <v>23148.553836571649</v>
      </c>
      <c r="K1350" s="16">
        <f>K1349*($D$1369/Inputs!$D$21+$D$1370/Inputs!$D$22)</f>
        <v>23148.553836571649</v>
      </c>
      <c r="L1350" s="16">
        <f>L1349*($D$1369/Inputs!$D$21+$D$1370/Inputs!$D$22)</f>
        <v>23148.553836571649</v>
      </c>
      <c r="M1350" s="16">
        <f>M1349*($D$1369/Inputs!$D$21+$D$1370/Inputs!$D$22)</f>
        <v>23148.553836571649</v>
      </c>
    </row>
    <row r="1351" spans="1:13" ht="15" customHeight="1" x14ac:dyDescent="0.2">
      <c r="B1351" s="10" t="s">
        <v>898</v>
      </c>
      <c r="C1351" s="10" t="s">
        <v>110</v>
      </c>
      <c r="D1351" s="16">
        <f t="shared" ref="D1351:M1351" si="293">D1347*($D$1369+$D$1370)</f>
        <v>7454.8732903914051</v>
      </c>
      <c r="E1351" s="16">
        <f t="shared" si="293"/>
        <v>18637.183225978519</v>
      </c>
      <c r="F1351" s="16">
        <f t="shared" si="293"/>
        <v>20500.901548576363</v>
      </c>
      <c r="G1351" s="16">
        <f t="shared" si="293"/>
        <v>23296.479032473144</v>
      </c>
      <c r="H1351" s="16">
        <f t="shared" si="293"/>
        <v>23296.479032473144</v>
      </c>
      <c r="I1351" s="16">
        <f t="shared" si="293"/>
        <v>0</v>
      </c>
      <c r="J1351" s="16">
        <f t="shared" si="293"/>
        <v>0</v>
      </c>
      <c r="K1351" s="16">
        <f t="shared" si="293"/>
        <v>0</v>
      </c>
      <c r="L1351" s="16">
        <f t="shared" si="293"/>
        <v>0</v>
      </c>
      <c r="M1351" s="16">
        <f t="shared" si="293"/>
        <v>0</v>
      </c>
    </row>
    <row r="1352" spans="1:13" ht="15" customHeight="1" x14ac:dyDescent="0.2">
      <c r="B1352" s="10" t="s">
        <v>899</v>
      </c>
      <c r="C1352" s="10" t="s">
        <v>110</v>
      </c>
      <c r="D1352" s="16">
        <f t="shared" ref="D1352:M1352" si="294">D1348*$D$1369</f>
        <v>0</v>
      </c>
      <c r="E1352" s="16">
        <f t="shared" si="294"/>
        <v>0</v>
      </c>
      <c r="F1352" s="16">
        <f t="shared" si="294"/>
        <v>0</v>
      </c>
      <c r="G1352" s="16">
        <f t="shared" si="294"/>
        <v>2638.0048485671714</v>
      </c>
      <c r="H1352" s="16">
        <f t="shared" si="294"/>
        <v>7129.4948429102333</v>
      </c>
      <c r="I1352" s="16">
        <f t="shared" si="294"/>
        <v>17823.737107275589</v>
      </c>
      <c r="J1352" s="16">
        <f t="shared" si="294"/>
        <v>19606.110818003141</v>
      </c>
      <c r="K1352" s="16">
        <f t="shared" si="294"/>
        <v>24917.676232661652</v>
      </c>
      <c r="L1352" s="16">
        <f t="shared" si="294"/>
        <v>29409.166227004709</v>
      </c>
      <c r="M1352" s="16">
        <f t="shared" si="294"/>
        <v>17823.737107275589</v>
      </c>
    </row>
    <row r="1353" spans="1:13" ht="15" customHeight="1" x14ac:dyDescent="0.2">
      <c r="B1353" s="10" t="s">
        <v>900</v>
      </c>
      <c r="C1353" s="10" t="s">
        <v>199</v>
      </c>
      <c r="D1353" s="28">
        <f>D1347*Inputs!$D$23</f>
        <v>3.1080000000000001</v>
      </c>
      <c r="E1353" s="28">
        <f>E1347*Inputs!$D$23</f>
        <v>7.7700000000000022</v>
      </c>
      <c r="F1353" s="28">
        <f>F1347*Inputs!$D$23</f>
        <v>8.5469999999999988</v>
      </c>
      <c r="G1353" s="28">
        <f>G1347*Inputs!$D$23</f>
        <v>9.7125000000000004</v>
      </c>
      <c r="H1353" s="28">
        <f>H1347*Inputs!$D$23</f>
        <v>9.7125000000000004</v>
      </c>
      <c r="I1353" s="28">
        <f>I1347*Inputs!$D$23</f>
        <v>0</v>
      </c>
      <c r="J1353" s="28">
        <f>J1347*Inputs!$D$23</f>
        <v>0</v>
      </c>
      <c r="K1353" s="28">
        <f>K1347*Inputs!$D$23</f>
        <v>0</v>
      </c>
      <c r="L1353" s="28">
        <f>L1347*Inputs!$D$23</f>
        <v>0</v>
      </c>
      <c r="M1353" s="28">
        <f>M1347*Inputs!$D$23</f>
        <v>0</v>
      </c>
    </row>
    <row r="1354" spans="1:13" ht="15" customHeight="1" x14ac:dyDescent="0.2">
      <c r="B1354" s="3" t="s">
        <v>901</v>
      </c>
      <c r="C1354" s="10" t="s">
        <v>896</v>
      </c>
      <c r="D1354" s="28">
        <f>(D1349*$D$1367*(Inputs!$D$7-Inputs!$D$19)-D1353)/(Inputs!$D$7+$D$1368)^D1342</f>
        <v>40.99699201112098</v>
      </c>
      <c r="E1354" s="28">
        <f>(E1349*$D$1367*(Inputs!$D$7-Inputs!$D$19)-E1353)/(Inputs!$D$7+$D$1368)^E1342</f>
        <v>153.02781912726542</v>
      </c>
      <c r="F1354" s="28">
        <f>(F1349*$D$1367*(Inputs!$D$7-Inputs!$D$19)-F1353)/(Inputs!$D$7+$D$1368)^F1342</f>
        <v>268.8019226843403</v>
      </c>
      <c r="G1354" s="28">
        <f>(G1349*$D$1367*(Inputs!$D$7-Inputs!$D$19)-G1353)/(Inputs!$D$7+$D$1368)^G1342</f>
        <v>363.62824610263397</v>
      </c>
      <c r="H1354" s="28">
        <f>(H1349*$D$1367*(Inputs!$D$7-Inputs!$D$19)-H1353)/(Inputs!$D$7+$D$1368)^H1342</f>
        <v>435.07807528321291</v>
      </c>
      <c r="I1354" s="28">
        <f>(I1349*$D$1367*(Inputs!$D$7-Inputs!$D$19)-I1353)/(Inputs!$D$7+$D$1368)^I1342</f>
        <v>431.49711827119876</v>
      </c>
      <c r="J1354" s="28">
        <f>(J1349*$D$1367*(Inputs!$D$7-Inputs!$D$19)-J1353)/(Inputs!$D$7+$D$1368)^J1342</f>
        <v>372.01806500733016</v>
      </c>
      <c r="K1354" s="28">
        <f>(K1349*$D$1367*(Inputs!$D$7-Inputs!$D$19)-K1353)/(Inputs!$D$7+$D$1368)^K1342</f>
        <v>320.73780989845312</v>
      </c>
      <c r="L1354" s="28">
        <f>(L1349*$D$1367*(Inputs!$D$7-Inputs!$D$19)-L1353)/(Inputs!$D$7+$D$1368)^L1342</f>
        <v>276.52620228651875</v>
      </c>
      <c r="M1354" s="28">
        <f>(M1349*$D$1367*(Inputs!$D$7-Inputs!$D$19)-M1353)/(Inputs!$D$7+$D$1368)^M1342</f>
        <v>238.31201718226143</v>
      </c>
    </row>
    <row r="1355" spans="1:13" ht="15" customHeight="1" x14ac:dyDescent="0.2">
      <c r="B1355" s="10" t="s">
        <v>902</v>
      </c>
      <c r="C1355" s="10" t="s">
        <v>110</v>
      </c>
      <c r="D1355" s="16">
        <f>(D1350*Inputs!$D$19-D1351-D1352)/(Inputs!$D$7+$D$1368)^D1342</f>
        <v>-6403.0045740313244</v>
      </c>
      <c r="E1355" s="16">
        <f>(E1350*Inputs!$D$19-E1351-E1352)/(Inputs!$D$7+$D$1368)^E1342</f>
        <v>-13349.632212764713</v>
      </c>
      <c r="F1355" s="16">
        <f>(F1350*Inputs!$D$19-F1351-F1352)/(Inputs!$D$7+$D$1368)^F1342</f>
        <v>-11808.370082432088</v>
      </c>
      <c r="G1355" s="16">
        <f>(G1350*Inputs!$D$19-G1351-G1352)/(Inputs!$D$7+$D$1368)^G1342</f>
        <v>-12397.921878440668</v>
      </c>
      <c r="H1355" s="16">
        <f>(H1350*Inputs!$D$19-H1351-H1352)/(Inputs!$D$7+$D$1368)^H1342</f>
        <v>-12082.366885213038</v>
      </c>
      <c r="I1355" s="16">
        <f>(I1350*Inputs!$D$19-I1351-I1352)/(Inputs!$D$7+$D$1368)^I1342</f>
        <v>-4657.0743222469628</v>
      </c>
      <c r="J1355" s="16">
        <f>(J1350*Inputs!$D$19-J1351-J1352)/(Inputs!$D$7+$D$1368)^J1342</f>
        <v>-4672.9398284057479</v>
      </c>
      <c r="K1355" s="16">
        <f>(K1350*Inputs!$D$19-K1351-K1352)/(Inputs!$D$7+$D$1368)^K1342</f>
        <v>-5718.9047268503064</v>
      </c>
      <c r="L1355" s="16">
        <f>(L1350*Inputs!$D$19-L1351-L1352)/(Inputs!$D$7+$D$1368)^L1342</f>
        <v>-6162.7485564592316</v>
      </c>
      <c r="M1355" s="16">
        <f>(M1350*Inputs!$D$19-M1351-M1352)/(Inputs!$D$7+$D$1368)^M1342</f>
        <v>-2572.0606903447429</v>
      </c>
    </row>
    <row r="1356" spans="1:13" ht="15" customHeight="1" x14ac:dyDescent="0.2">
      <c r="B1356" s="10" t="s">
        <v>903</v>
      </c>
      <c r="C1356" s="10" t="s">
        <v>110</v>
      </c>
      <c r="D1356" s="16">
        <f t="shared" ref="D1356:M1356" si="295">D1349*$D$1366</f>
        <v>2122.3831711335042</v>
      </c>
      <c r="E1356" s="16">
        <f t="shared" si="295"/>
        <v>8944.4009313118931</v>
      </c>
      <c r="F1356" s="16">
        <f t="shared" si="295"/>
        <v>17905.827309564145</v>
      </c>
      <c r="G1356" s="16">
        <f t="shared" si="295"/>
        <v>27934.090161417851</v>
      </c>
      <c r="H1356" s="16">
        <f t="shared" si="295"/>
        <v>38602.454897432435</v>
      </c>
      <c r="I1356" s="16">
        <f t="shared" si="295"/>
        <v>43936.637265439727</v>
      </c>
      <c r="J1356" s="16">
        <f t="shared" si="295"/>
        <v>43936.637265439727</v>
      </c>
      <c r="K1356" s="16">
        <f t="shared" si="295"/>
        <v>43936.637265439727</v>
      </c>
      <c r="L1356" s="16">
        <f t="shared" si="295"/>
        <v>43936.637265439727</v>
      </c>
      <c r="M1356" s="16">
        <f t="shared" si="295"/>
        <v>43936.637265439727</v>
      </c>
    </row>
    <row r="1357" spans="1:13" ht="15" customHeight="1" x14ac:dyDescent="0.2">
      <c r="B1357" s="10" t="s">
        <v>904</v>
      </c>
      <c r="C1357" s="10" t="s">
        <v>110</v>
      </c>
      <c r="D1357" s="16">
        <f t="shared" ref="D1357:M1357" si="296">D1356*$D$1367</f>
        <v>1910.1448540201538</v>
      </c>
      <c r="E1357" s="16">
        <f t="shared" si="296"/>
        <v>8049.9608381807038</v>
      </c>
      <c r="F1357" s="16">
        <f t="shared" si="296"/>
        <v>16115.244578607731</v>
      </c>
      <c r="G1357" s="16">
        <f t="shared" si="296"/>
        <v>25140.681145276067</v>
      </c>
      <c r="H1357" s="16">
        <f t="shared" si="296"/>
        <v>34742.209407689195</v>
      </c>
      <c r="I1357" s="16">
        <f t="shared" si="296"/>
        <v>39542.973538895756</v>
      </c>
      <c r="J1357" s="16">
        <f t="shared" si="296"/>
        <v>39542.973538895756</v>
      </c>
      <c r="K1357" s="16">
        <f t="shared" si="296"/>
        <v>39542.973538895756</v>
      </c>
      <c r="L1357" s="16">
        <f t="shared" si="296"/>
        <v>39542.973538895756</v>
      </c>
      <c r="M1357" s="16">
        <f t="shared" si="296"/>
        <v>39542.973538895756</v>
      </c>
    </row>
    <row r="1358" spans="1:13" ht="15" customHeight="1" x14ac:dyDescent="0.2">
      <c r="B1358" s="10" t="s">
        <v>905</v>
      </c>
      <c r="C1358" s="10" t="s">
        <v>110</v>
      </c>
      <c r="D1358" s="16">
        <f t="shared" ref="D1358:M1358" si="297">D1357-D1350</f>
        <v>791.94136470889975</v>
      </c>
      <c r="E1358" s="16">
        <f t="shared" si="297"/>
        <v>3337.4939909006298</v>
      </c>
      <c r="F1358" s="16">
        <f t="shared" si="297"/>
        <v>6681.3408194359126</v>
      </c>
      <c r="G1358" s="16">
        <f t="shared" si="297"/>
        <v>10423.264651368248</v>
      </c>
      <c r="H1358" s="16">
        <f t="shared" si="297"/>
        <v>14404.034685338826</v>
      </c>
      <c r="I1358" s="16">
        <f t="shared" si="297"/>
        <v>16394.419702324107</v>
      </c>
      <c r="J1358" s="16">
        <f t="shared" si="297"/>
        <v>16394.419702324107</v>
      </c>
      <c r="K1358" s="16">
        <f t="shared" si="297"/>
        <v>16394.419702324107</v>
      </c>
      <c r="L1358" s="16">
        <f t="shared" si="297"/>
        <v>16394.419702324107</v>
      </c>
      <c r="M1358" s="16">
        <f t="shared" si="297"/>
        <v>16394.419702324107</v>
      </c>
    </row>
    <row r="1359" spans="1:13" ht="15" customHeight="1" x14ac:dyDescent="0.2">
      <c r="B1359" s="10" t="s">
        <v>906</v>
      </c>
      <c r="C1359" s="10" t="s">
        <v>110</v>
      </c>
      <c r="D1359" s="16">
        <f>MAX(D1358,Inputs!$D$6)*Inputs!$D$19</f>
        <v>237.5824094126699</v>
      </c>
      <c r="E1359" s="16">
        <f>MAX(E1358,Inputs!$D$6)*Inputs!$D$19</f>
        <v>1001.2481972701889</v>
      </c>
      <c r="F1359" s="16">
        <f>MAX(F1358,Inputs!$D$6)*Inputs!$D$19</f>
        <v>2004.4022458307736</v>
      </c>
      <c r="G1359" s="16">
        <f>MAX(G1358,Inputs!$D$6)*Inputs!$D$19</f>
        <v>3126.9793954104744</v>
      </c>
      <c r="H1359" s="16">
        <f>MAX(H1358,Inputs!$D$6)*Inputs!$D$19</f>
        <v>4321.2104056016478</v>
      </c>
      <c r="I1359" s="16">
        <f>MAX(I1358,Inputs!$D$6)*Inputs!$D$19</f>
        <v>4918.3259106972318</v>
      </c>
      <c r="J1359" s="16">
        <f>MAX(J1358,Inputs!$D$6)*Inputs!$D$19</f>
        <v>4918.3259106972318</v>
      </c>
      <c r="K1359" s="16">
        <f>MAX(K1358,Inputs!$D$6)*Inputs!$D$19</f>
        <v>4918.3259106972318</v>
      </c>
      <c r="L1359" s="16">
        <f>MAX(L1358,Inputs!$D$6)*Inputs!$D$19</f>
        <v>4918.3259106972318</v>
      </c>
      <c r="M1359" s="16">
        <f>MAX(M1358,Inputs!$D$6)*Inputs!$D$19</f>
        <v>4918.3259106972318</v>
      </c>
    </row>
    <row r="1360" spans="1:13" ht="15" customHeight="1" x14ac:dyDescent="0.2">
      <c r="B1360" s="10" t="s">
        <v>907</v>
      </c>
      <c r="C1360" s="10" t="s">
        <v>110</v>
      </c>
      <c r="D1360" s="16">
        <f t="shared" ref="D1360:M1360" si="298">D1353*$D$1366</f>
        <v>85.346917888116664</v>
      </c>
      <c r="E1360" s="16">
        <f t="shared" si="298"/>
        <v>213.36729472029174</v>
      </c>
      <c r="F1360" s="16">
        <f t="shared" si="298"/>
        <v>234.70402419232079</v>
      </c>
      <c r="G1360" s="16">
        <f t="shared" si="298"/>
        <v>266.70911840036462</v>
      </c>
      <c r="H1360" s="16">
        <f t="shared" si="298"/>
        <v>266.70911840036462</v>
      </c>
      <c r="I1360" s="16">
        <f t="shared" si="298"/>
        <v>0</v>
      </c>
      <c r="J1360" s="16">
        <f t="shared" si="298"/>
        <v>0</v>
      </c>
      <c r="K1360" s="16">
        <f t="shared" si="298"/>
        <v>0</v>
      </c>
      <c r="L1360" s="16">
        <f t="shared" si="298"/>
        <v>0</v>
      </c>
      <c r="M1360" s="16">
        <f t="shared" si="298"/>
        <v>0</v>
      </c>
    </row>
    <row r="1361" spans="2:13" ht="15" customHeight="1" x14ac:dyDescent="0.2">
      <c r="B1361" s="10" t="s">
        <v>908</v>
      </c>
      <c r="C1361" s="10" t="s">
        <v>110</v>
      </c>
      <c r="D1361" s="16">
        <f t="shared" ref="D1361:M1361" si="299">D1357-D1359-D1351-D1352-D1360</f>
        <v>-5867.6577636720376</v>
      </c>
      <c r="E1361" s="16">
        <f t="shared" si="299"/>
        <v>-11801.837879788296</v>
      </c>
      <c r="F1361" s="16">
        <f t="shared" si="299"/>
        <v>-6624.7632399917256</v>
      </c>
      <c r="G1361" s="16">
        <f t="shared" si="299"/>
        <v>-4187.4912495750887</v>
      </c>
      <c r="H1361" s="16">
        <f t="shared" si="299"/>
        <v>-271.68399169619335</v>
      </c>
      <c r="I1361" s="16">
        <f t="shared" si="299"/>
        <v>16800.910520922935</v>
      </c>
      <c r="J1361" s="16">
        <f t="shared" si="299"/>
        <v>15018.536810195383</v>
      </c>
      <c r="K1361" s="16">
        <f t="shared" si="299"/>
        <v>9706.9713955368716</v>
      </c>
      <c r="L1361" s="16">
        <f t="shared" si="299"/>
        <v>5215.4814011938142</v>
      </c>
      <c r="M1361" s="16">
        <f t="shared" si="299"/>
        <v>16800.910520922935</v>
      </c>
    </row>
    <row r="1362" spans="2:13" ht="15" customHeight="1" x14ac:dyDescent="0.2">
      <c r="B1362" s="10" t="s">
        <v>909</v>
      </c>
      <c r="C1362" s="10" t="s">
        <v>110</v>
      </c>
      <c r="D1362" s="16">
        <f>D1361/(Inputs!$D$7+$D$1368)^D1342</f>
        <v>-5277.2108446771035</v>
      </c>
      <c r="E1362" s="16">
        <f>E1361/(Inputs!$D$7+$D$1368)^E1342</f>
        <v>-9147.4273499422252</v>
      </c>
      <c r="F1362" s="16">
        <f>F1361/(Inputs!$D$7+$D$1368)^F1342</f>
        <v>-4426.9622241604384</v>
      </c>
      <c r="G1362" s="16">
        <f>G1361/(Inputs!$D$7+$D$1368)^G1342</f>
        <v>-2412.5454106409939</v>
      </c>
      <c r="H1362" s="16">
        <f>H1361/(Inputs!$D$7+$D$1368)^H1342</f>
        <v>-134.94965029790757</v>
      </c>
      <c r="I1362" s="16">
        <f>I1361/(Inputs!$D$7+$D$1368)^I1342</f>
        <v>7192.0084068556671</v>
      </c>
      <c r="J1362" s="16">
        <f>J1361/(Inputs!$D$7+$D$1368)^J1342</f>
        <v>5542.8244081054045</v>
      </c>
      <c r="K1362" s="16">
        <f>K1361/(Inputs!$D$7+$D$1368)^K1342</f>
        <v>3088.6832799121307</v>
      </c>
      <c r="L1362" s="16">
        <f>L1361/(Inputs!$D$7+$D$1368)^L1342</f>
        <v>1430.771096198509</v>
      </c>
      <c r="M1362" s="16">
        <f>M1361/(Inputs!$D$7+$D$1368)^M1342</f>
        <v>3972.0822189879204</v>
      </c>
    </row>
    <row r="1363" spans="2:13" ht="15" customHeight="1" x14ac:dyDescent="0.2">
      <c r="B1363" s="3" t="s">
        <v>910</v>
      </c>
      <c r="C1363" s="10" t="s">
        <v>896</v>
      </c>
      <c r="D1363" s="28">
        <f>(D1349*$D$1367-D1353)/(Inputs!$D$7+$D$1368)^D1342</f>
        <v>59.765095798928819</v>
      </c>
      <c r="E1363" s="28">
        <f>(E1349*$D$1367-E1353)/(Inputs!$D$7+$D$1368)^E1342</f>
        <v>221.1922031857838</v>
      </c>
      <c r="F1363" s="28">
        <f>(F1349*$D$1367-F1353)/(Inputs!$D$7+$D$1368)^F1342</f>
        <v>386.45052664112239</v>
      </c>
      <c r="G1363" s="28">
        <f>(G1349*$D$1367-G1353)/(Inputs!$D$7+$D$1368)^G1342</f>
        <v>521.867070169518</v>
      </c>
      <c r="H1363" s="28">
        <f>(H1349*$D$1367-H1353)/(Inputs!$D$7+$D$1368)^H1342</f>
        <v>623.60768582417222</v>
      </c>
      <c r="I1363" s="28">
        <f>(I1349*$D$1367-I1353)/(Inputs!$D$7+$D$1368)^I1342</f>
        <v>616.42445467314121</v>
      </c>
      <c r="J1363" s="28">
        <f>(J1349*$D$1367-J1353)/(Inputs!$D$7+$D$1368)^J1342</f>
        <v>531.4543785819003</v>
      </c>
      <c r="K1363" s="28">
        <f>(K1349*$D$1367-K1353)/(Inputs!$D$7+$D$1368)^K1342</f>
        <v>458.19687128350449</v>
      </c>
      <c r="L1363" s="28">
        <f>(L1349*$D$1367-L1353)/(Inputs!$D$7+$D$1368)^L1342</f>
        <v>395.03743183788401</v>
      </c>
      <c r="M1363" s="28">
        <f>(M1349*$D$1367-M1353)/(Inputs!$D$7+$D$1368)^M1342</f>
        <v>340.44573883180209</v>
      </c>
    </row>
    <row r="1364" spans="2:13" ht="15" customHeight="1" x14ac:dyDescent="0.2">
      <c r="B1364" s="10" t="s">
        <v>911</v>
      </c>
      <c r="C1364" s="10" t="s">
        <v>110</v>
      </c>
      <c r="D1364" s="16">
        <f>(-D1351-D1352)/(Inputs!$D$7+$D$1368)^D1342</f>
        <v>-6704.7090607969039</v>
      </c>
      <c r="E1364" s="16">
        <f>(-E1351-E1352)/(Inputs!$D$7+$D$1368)^E1342</f>
        <v>-14445.4009031226</v>
      </c>
      <c r="F1364" s="16">
        <f>(-F1351-F1352)/(Inputs!$D$7+$D$1368)^F1342</f>
        <v>-13699.616639717549</v>
      </c>
      <c r="G1364" s="16">
        <f>(-G1351-G1352)/(Inputs!$D$7+$D$1368)^G1342</f>
        <v>-14941.671835349038</v>
      </c>
      <c r="H1364" s="16">
        <f>(-H1351-H1352)/(Inputs!$D$7+$D$1368)^H1342</f>
        <v>-15113.052884793095</v>
      </c>
      <c r="I1364" s="16">
        <f>(-I1351-I1352)/(Inputs!$D$7+$D$1368)^I1342</f>
        <v>-7629.8523795762403</v>
      </c>
      <c r="J1364" s="16">
        <f>(-J1351-J1352)/(Inputs!$D$7+$D$1368)^J1342</f>
        <v>-7235.9398897150922</v>
      </c>
      <c r="K1364" s="16">
        <f>(-K1351-K1352)/(Inputs!$D$7+$D$1368)^K1342</f>
        <v>-7928.612006570077</v>
      </c>
      <c r="L1364" s="16">
        <f>(-L1351-L1352)/(Inputs!$D$7+$D$1368)^L1342</f>
        <v>-8067.8621519509534</v>
      </c>
      <c r="M1364" s="16">
        <f>(-M1351-M1352)/(Inputs!$D$7+$D$1368)^M1342</f>
        <v>-4213.8995473821142</v>
      </c>
    </row>
    <row r="1365" spans="2:13" ht="15" customHeight="1" x14ac:dyDescent="0.2">
      <c r="B1365" s="10" t="s">
        <v>912</v>
      </c>
      <c r="C1365" s="10" t="s">
        <v>110</v>
      </c>
      <c r="D1365" s="16">
        <f>Prices!K10</f>
        <v>16178.700386874911</v>
      </c>
    </row>
    <row r="1366" spans="2:13" ht="15" customHeight="1" x14ac:dyDescent="0.2">
      <c r="B1366" s="3" t="s">
        <v>913</v>
      </c>
      <c r="C1366" s="10" t="s">
        <v>914</v>
      </c>
      <c r="D1366" s="28">
        <f>IF(J1373&gt;=J1369,J1373,(D1365-J1372)/J1371)</f>
        <v>27.460398290899828</v>
      </c>
      <c r="G1366" s="99" t="s">
        <v>915</v>
      </c>
      <c r="H1366" s="91"/>
      <c r="I1366" s="91"/>
      <c r="J1366" s="28">
        <f>D1366*Inputs!$D$15</f>
        <v>19.164611967218988</v>
      </c>
      <c r="K1366" s="99" t="s">
        <v>916</v>
      </c>
      <c r="L1366" s="91"/>
      <c r="M1366" s="91"/>
    </row>
    <row r="1367" spans="2:13" ht="15" customHeight="1" x14ac:dyDescent="0.2">
      <c r="B1367" s="10" t="s">
        <v>917</v>
      </c>
      <c r="C1367" s="10" t="s">
        <v>104</v>
      </c>
      <c r="D1367" s="30">
        <f>Inputs!$D$107</f>
        <v>0.9</v>
      </c>
      <c r="G1367" s="99" t="s">
        <v>918</v>
      </c>
      <c r="H1367" s="91"/>
      <c r="I1367" s="91"/>
      <c r="J1367" s="28">
        <f>IF(-D1378/D1377&gt;=J1369,-D1378/D1377,-J1372/J1371)</f>
        <v>24.024174528419383</v>
      </c>
      <c r="K1367" s="99" t="s">
        <v>919</v>
      </c>
      <c r="L1367" s="91"/>
      <c r="M1367" s="91"/>
    </row>
    <row r="1368" spans="2:13" ht="15" customHeight="1" x14ac:dyDescent="0.2">
      <c r="B1368" s="10" t="s">
        <v>920</v>
      </c>
      <c r="C1368" s="10" t="s">
        <v>104</v>
      </c>
      <c r="D1368" s="30">
        <f>Inputs!$D$108</f>
        <v>0.16</v>
      </c>
      <c r="G1368" s="99" t="s">
        <v>918</v>
      </c>
      <c r="H1368" s="91"/>
      <c r="I1368" s="91"/>
      <c r="J1368" s="28">
        <f>J1367*Inputs!$D$15</f>
        <v>16.766471403383886</v>
      </c>
      <c r="K1368" s="99" t="s">
        <v>916</v>
      </c>
      <c r="L1368" s="91"/>
      <c r="M1368" s="91"/>
    </row>
    <row r="1369" spans="2:13" ht="15" customHeight="1" x14ac:dyDescent="0.2">
      <c r="B1369" s="3" t="s">
        <v>921</v>
      </c>
      <c r="C1369" s="10" t="s">
        <v>848</v>
      </c>
      <c r="D1369" s="28">
        <f>Capital!$D$13</f>
        <v>57.347931490590682</v>
      </c>
      <c r="G1369" s="99" t="s">
        <v>922</v>
      </c>
      <c r="H1369" s="91"/>
      <c r="I1369" s="91"/>
      <c r="J1369" s="28">
        <f>($D$1369/Inputs!$D$21+$D$1370/Inputs!$D$22)/$D$1367</f>
        <v>16.07538460873031</v>
      </c>
      <c r="K1369" s="99" t="s">
        <v>919</v>
      </c>
      <c r="L1369" s="91"/>
      <c r="M1369" s="91"/>
    </row>
    <row r="1370" spans="2:13" ht="15" customHeight="1" x14ac:dyDescent="0.2">
      <c r="B1370" s="3" t="s">
        <v>923</v>
      </c>
      <c r="C1370" s="10" t="s">
        <v>848</v>
      </c>
      <c r="D1370" s="28">
        <f>Capital!$D$14</f>
        <v>2.6172655041921802</v>
      </c>
    </row>
    <row r="1371" spans="2:13" ht="15" customHeight="1" x14ac:dyDescent="0.2">
      <c r="B1371" s="10" t="s">
        <v>924</v>
      </c>
      <c r="C1371" s="10" t="s">
        <v>896</v>
      </c>
      <c r="D1371" s="28">
        <f>(M1344*(Inputs!$D$7+Inputs!$D$20)*$D$1367*(Inputs!$D$7-Inputs!$D$19)-M1344*Inputs!$D$20*Inputs!$D$23)/($D$1368-Inputs!$D$20)/(Inputs!$D$7+$D$1368)^M1342</f>
        <v>1807.6547922951956</v>
      </c>
      <c r="G1371" s="92" t="s">
        <v>910</v>
      </c>
      <c r="H1371" s="91"/>
      <c r="I1371" s="91"/>
      <c r="J1371" s="28">
        <f>SUM(D1363:M1363)+(M1344*(Inputs!$D$7+Inputs!$D$20)*$D$1367-M1344*Inputs!$D$20*Inputs!$D$23)/($D$1368-Inputs!$D$20)/(Inputs!$D$7+$D$1368)^M1342</f>
        <v>6737.5559875731687</v>
      </c>
      <c r="K1371" s="99" t="s">
        <v>896</v>
      </c>
      <c r="L1371" s="91"/>
      <c r="M1371" s="91"/>
    </row>
    <row r="1372" spans="2:13" ht="15" customHeight="1" x14ac:dyDescent="0.2">
      <c r="B1372" s="10" t="s">
        <v>925</v>
      </c>
      <c r="C1372" s="10" t="s">
        <v>110</v>
      </c>
      <c r="D1372" s="16">
        <f>(D1375*Inputs!$D$19-D1375-D1376)/($D$1368-Inputs!$D$20)/(Inputs!$D$7+$D$1368)^M1342</f>
        <v>-33287.494112345899</v>
      </c>
      <c r="G1372" s="92" t="s">
        <v>926</v>
      </c>
      <c r="H1372" s="91"/>
      <c r="I1372" s="91"/>
      <c r="J1372" s="16">
        <f>SUM(D1364:M1364)-(D1375+D1376)/($D$1368-Inputs!$D$20)/(Inputs!$D$7+$D$1368)^M1342</f>
        <v>-145733.9249554922</v>
      </c>
      <c r="K1372" s="99" t="s">
        <v>110</v>
      </c>
      <c r="L1372" s="91"/>
      <c r="M1372" s="91"/>
    </row>
    <row r="1373" spans="2:13" ht="15" customHeight="1" x14ac:dyDescent="0.2">
      <c r="B1373" s="10" t="s">
        <v>927</v>
      </c>
      <c r="C1373" s="10" t="s">
        <v>928</v>
      </c>
      <c r="D1373" s="16">
        <f>(M1344*(Inputs!$D$7+Inputs!$D$20)*$D$1366*$D$1367-D1375)-MAX((M1344*(Inputs!$D$7+Inputs!$D$20)*$D$1366*$D$1367-D1375),Inputs!$D$6)*Inputs!$D$19-D1376-M1344*Inputs!$D$20*$D$1366*Inputs!$D$23</f>
        <v>9336.9278583353334</v>
      </c>
      <c r="G1373" s="99" t="s">
        <v>929</v>
      </c>
      <c r="H1373" s="91"/>
      <c r="I1373" s="91"/>
      <c r="J1373" s="28">
        <f>(D1365-D1378)/D1377</f>
        <v>27.460398290899828</v>
      </c>
      <c r="K1373" s="99" t="s">
        <v>919</v>
      </c>
      <c r="L1373" s="91"/>
      <c r="M1373" s="91"/>
    </row>
    <row r="1374" spans="2:13" ht="15" customHeight="1" x14ac:dyDescent="0.2">
      <c r="B1374" s="10" t="s">
        <v>930</v>
      </c>
      <c r="C1374" s="10" t="s">
        <v>110</v>
      </c>
      <c r="D1374" s="16">
        <f>D1373/($D$1368-Inputs!$D$20)</f>
        <v>69162.428580261723</v>
      </c>
      <c r="G1374" s="99" t="s">
        <v>931</v>
      </c>
      <c r="H1374" s="91"/>
      <c r="I1374" s="91"/>
      <c r="J1374" s="16">
        <f>MIN(D1358:M1358,(M1344*(Inputs!$D$7+Inputs!$D$20)*$D$1366*$D$1367-D1375))</f>
        <v>791.94136470889975</v>
      </c>
      <c r="K1374" s="99" t="s">
        <v>110</v>
      </c>
      <c r="L1374" s="91"/>
      <c r="M1374" s="91"/>
    </row>
    <row r="1375" spans="2:13" ht="15" customHeight="1" x14ac:dyDescent="0.2">
      <c r="B1375" s="10" t="s">
        <v>932</v>
      </c>
      <c r="C1375" s="10" t="s">
        <v>928</v>
      </c>
      <c r="D1375" s="16">
        <f>M1344*(Inputs!$D$7+Inputs!$D$20)*($D$1369/Inputs!$D$21+$D$1370/Inputs!$D$22)</f>
        <v>23727.267682485937</v>
      </c>
      <c r="G1375" s="99" t="s">
        <v>933</v>
      </c>
      <c r="H1375" s="91"/>
      <c r="I1375" s="91"/>
      <c r="J1375" s="31" t="str">
        <f>IF(J1374&lt;Inputs!$D$6,"breached","satisfied")</f>
        <v>satisfied</v>
      </c>
      <c r="K1375" s="99" t="s">
        <v>934</v>
      </c>
      <c r="L1375" s="91"/>
      <c r="M1375" s="91"/>
    </row>
    <row r="1376" spans="2:13" ht="15" customHeight="1" x14ac:dyDescent="0.2">
      <c r="B1376" s="10" t="s">
        <v>935</v>
      </c>
      <c r="C1376" s="10" t="s">
        <v>928</v>
      </c>
      <c r="D1376" s="16">
        <f>M1344*Inputs!$D$20*($D$1369+$D$1370)</f>
        <v>2398.6078797913146</v>
      </c>
    </row>
    <row r="1377" spans="1:13" ht="15" customHeight="1" x14ac:dyDescent="0.2">
      <c r="B1377" s="10" t="s">
        <v>936</v>
      </c>
      <c r="C1377" s="10" t="s">
        <v>896</v>
      </c>
      <c r="D1377" s="28">
        <f>SUM(D1354:M1354)+D1371</f>
        <v>4708.2790601495317</v>
      </c>
      <c r="G1377" s="99" t="s">
        <v>937</v>
      </c>
      <c r="H1377" s="91"/>
      <c r="I1377" s="91"/>
      <c r="J1377" s="16">
        <f>D1379-D1365</f>
        <v>4.3655745685100555E-11</v>
      </c>
      <c r="K1377" s="99" t="s">
        <v>110</v>
      </c>
      <c r="L1377" s="91"/>
      <c r="M1377" s="91"/>
    </row>
    <row r="1378" spans="1:13" ht="15" customHeight="1" x14ac:dyDescent="0.2">
      <c r="B1378" s="10" t="s">
        <v>938</v>
      </c>
      <c r="C1378" s="10" t="s">
        <v>110</v>
      </c>
      <c r="D1378" s="16">
        <f>SUM(D1355:M1355)+D1372</f>
        <v>-113112.51786953473</v>
      </c>
    </row>
    <row r="1379" spans="1:13" ht="15" customHeight="1" x14ac:dyDescent="0.2">
      <c r="B1379" s="10" t="s">
        <v>939</v>
      </c>
      <c r="C1379" s="10" t="s">
        <v>110</v>
      </c>
      <c r="D1379" s="16">
        <f>SUM(D1362:M1362)+D1374/(Inputs!$D$7+$D$1368)^M1342</f>
        <v>16178.700386874954</v>
      </c>
    </row>
    <row r="1380" spans="1:13" ht="15" customHeight="1" x14ac:dyDescent="0.2">
      <c r="B1380" s="10" t="s">
        <v>940</v>
      </c>
      <c r="C1380" s="10" t="s">
        <v>104</v>
      </c>
      <c r="D1380" s="30">
        <f>IF(ABS(D1365)&gt;Inputs!$D$6,D1379/D1365-Inputs!$D$7,Inputs!$D$6)</f>
        <v>2.6645352591003757E-15</v>
      </c>
    </row>
    <row r="1381" spans="1:13" ht="15" customHeight="1" x14ac:dyDescent="0.2">
      <c r="B1381" s="10" t="s">
        <v>941</v>
      </c>
      <c r="C1381" s="10" t="s">
        <v>104</v>
      </c>
      <c r="D1381" s="30">
        <f>IF(ABS(D1379)&gt;Inputs!$D$119,D1374/(Inputs!$D$7+$D$1368)^M1342/D1379,Inputs!$D$6)</f>
        <v>1.0106761399573949</v>
      </c>
    </row>
    <row r="1382" spans="1:13" ht="15" customHeight="1" x14ac:dyDescent="0.2">
      <c r="B1382" s="10" t="s">
        <v>942</v>
      </c>
      <c r="C1382" s="10" t="s">
        <v>943</v>
      </c>
      <c r="D1382" s="26">
        <f>$D$1366*Inputs!$D$8/Prices!$P$6/(Inputs!$D$26/Inputs!$D$25)/Inputs!$D$11/Inputs!$D$56</f>
        <v>4.9937568407732638</v>
      </c>
    </row>
    <row r="1386" spans="1:13" ht="15" customHeight="1" x14ac:dyDescent="0.2">
      <c r="A1386" s="104" t="s">
        <v>973</v>
      </c>
      <c r="B1386" s="10" t="s">
        <v>886</v>
      </c>
      <c r="C1386" s="10" t="s">
        <v>107</v>
      </c>
      <c r="D1386" s="28">
        <f>Inputs!$D$60</f>
        <v>1</v>
      </c>
      <c r="E1386" s="28">
        <f>Inputs!$D$62</f>
        <v>2</v>
      </c>
      <c r="F1386" s="28">
        <f>Inputs!$D$64</f>
        <v>3</v>
      </c>
      <c r="G1386" s="28">
        <f>Inputs!$D$66</f>
        <v>4</v>
      </c>
      <c r="H1386" s="28">
        <f>Inputs!$D$68</f>
        <v>5</v>
      </c>
      <c r="I1386" s="28">
        <f>Inputs!$D$70</f>
        <v>6</v>
      </c>
      <c r="J1386" s="28">
        <f>Inputs!$D$72</f>
        <v>7</v>
      </c>
      <c r="K1386" s="28">
        <f>Inputs!$D$74</f>
        <v>8</v>
      </c>
      <c r="L1386" s="28">
        <f>Inputs!$D$76</f>
        <v>9</v>
      </c>
      <c r="M1386" s="28">
        <f>Inputs!$D$78</f>
        <v>10</v>
      </c>
    </row>
    <row r="1387" spans="1:13" ht="15" customHeight="1" x14ac:dyDescent="0.2">
      <c r="A1387" s="91"/>
      <c r="B1387" s="10" t="s">
        <v>887</v>
      </c>
      <c r="C1387" s="10" t="s">
        <v>161</v>
      </c>
      <c r="D1387" s="29">
        <f>Inputs!$D$61</f>
        <v>46568</v>
      </c>
      <c r="E1387" s="29">
        <f>Inputs!$D$63</f>
        <v>46934</v>
      </c>
      <c r="F1387" s="29">
        <f>Inputs!$D$65</f>
        <v>47299</v>
      </c>
      <c r="G1387" s="29">
        <f>Inputs!$D$67</f>
        <v>47664</v>
      </c>
      <c r="H1387" s="29">
        <f>Inputs!$D$69</f>
        <v>48029</v>
      </c>
      <c r="I1387" s="29">
        <f>Inputs!$D$71</f>
        <v>48395</v>
      </c>
      <c r="J1387" s="29">
        <f>Inputs!$D$73</f>
        <v>48760</v>
      </c>
      <c r="K1387" s="29">
        <f>Inputs!$D$75</f>
        <v>49125</v>
      </c>
      <c r="L1387" s="29">
        <f>Inputs!$D$77</f>
        <v>49490</v>
      </c>
      <c r="M1387" s="29">
        <f>Inputs!$D$79</f>
        <v>49856</v>
      </c>
    </row>
    <row r="1388" spans="1:13" ht="15" customHeight="1" x14ac:dyDescent="0.2">
      <c r="A1388" s="91"/>
      <c r="B1388" s="10" t="s">
        <v>888</v>
      </c>
      <c r="C1388" s="10" t="s">
        <v>107</v>
      </c>
      <c r="D1388" s="28">
        <f>(D1387-Inputs!$D$13)/Inputs!$D$10</f>
        <v>0.71457905544147848</v>
      </c>
      <c r="E1388" s="28">
        <f>(E1387-Inputs!$D$13)/Inputs!$D$10</f>
        <v>1.7166324435318274</v>
      </c>
      <c r="F1388" s="28">
        <f>(F1387-Inputs!$D$13)/Inputs!$D$10</f>
        <v>2.7159479808350446</v>
      </c>
      <c r="G1388" s="28">
        <f>(G1387-Inputs!$D$13)/Inputs!$D$10</f>
        <v>3.7152635181382614</v>
      </c>
      <c r="H1388" s="28">
        <f>(H1387-Inputs!$D$13)/Inputs!$D$10</f>
        <v>4.7145790554414786</v>
      </c>
      <c r="I1388" s="28">
        <f>(I1387-Inputs!$D$13)/Inputs!$D$10</f>
        <v>5.7166324435318279</v>
      </c>
      <c r="J1388" s="28">
        <f>(J1387-Inputs!$D$13)/Inputs!$D$10</f>
        <v>6.7159479808350442</v>
      </c>
      <c r="K1388" s="28">
        <f>(K1387-Inputs!$D$13)/Inputs!$D$10</f>
        <v>7.7152635181382614</v>
      </c>
      <c r="L1388" s="28">
        <f>(L1387-Inputs!$D$13)/Inputs!$D$10</f>
        <v>8.7145790554414777</v>
      </c>
      <c r="M1388" s="28">
        <f>(M1387-Inputs!$D$13)/Inputs!$D$10</f>
        <v>9.716632443531827</v>
      </c>
    </row>
    <row r="1389" spans="1:13" ht="15" customHeight="1" x14ac:dyDescent="0.2">
      <c r="A1389" s="91"/>
      <c r="B1389" s="10" t="s">
        <v>889</v>
      </c>
      <c r="C1389" s="10" t="s">
        <v>107</v>
      </c>
      <c r="D1389" s="28">
        <f>D1388</f>
        <v>0.71457905544147848</v>
      </c>
      <c r="E1389" s="28">
        <f>Inputs!$D$7</f>
        <v>1</v>
      </c>
      <c r="F1389" s="28">
        <f>Inputs!$D$7</f>
        <v>1</v>
      </c>
      <c r="G1389" s="28">
        <f>Inputs!$D$7</f>
        <v>1</v>
      </c>
      <c r="H1389" s="28">
        <f>Inputs!$D$7</f>
        <v>1</v>
      </c>
      <c r="I1389" s="28">
        <f>Inputs!$D$7</f>
        <v>1</v>
      </c>
      <c r="J1389" s="28">
        <f>Inputs!$D$7</f>
        <v>1</v>
      </c>
      <c r="K1389" s="28">
        <f>Inputs!$D$7</f>
        <v>1</v>
      </c>
      <c r="L1389" s="28">
        <f>Inputs!$D$7</f>
        <v>1</v>
      </c>
      <c r="M1389" s="28">
        <f>Inputs!$D$7</f>
        <v>1</v>
      </c>
    </row>
    <row r="1390" spans="1:13" ht="15" customHeight="1" x14ac:dyDescent="0.2">
      <c r="A1390" s="91"/>
      <c r="B1390" s="3" t="s">
        <v>890</v>
      </c>
      <c r="C1390" s="10" t="s">
        <v>199</v>
      </c>
      <c r="D1390" s="28">
        <f>Inputs!$D$24+(Inputs!$D$80-Inputs!$D$24)*Inputs!$D$83</f>
        <v>305.5</v>
      </c>
      <c r="E1390" s="28">
        <f>Inputs!$D$24+(Inputs!$D$80-Inputs!$D$24)*Inputs!$D$84</f>
        <v>651.5</v>
      </c>
      <c r="F1390" s="28">
        <f>Inputs!$D$24+(Inputs!$D$80-Inputs!$D$24)*Inputs!$D$85</f>
        <v>911</v>
      </c>
      <c r="G1390" s="28">
        <f>Inputs!$D$24+(Inputs!$D$80-Inputs!$D$24)*Inputs!$D$86</f>
        <v>911</v>
      </c>
      <c r="H1390" s="28">
        <f>Inputs!$D$24+(Inputs!$D$80-Inputs!$D$24)*Inputs!$D$87</f>
        <v>911</v>
      </c>
      <c r="I1390" s="28">
        <f>Inputs!$D$24+(Inputs!$D$80-Inputs!$D$24)*Inputs!$D$88</f>
        <v>911</v>
      </c>
      <c r="J1390" s="28">
        <f>Inputs!$D$24+(Inputs!$D$80-Inputs!$D$24)*Inputs!$D$89</f>
        <v>911</v>
      </c>
      <c r="K1390" s="28">
        <f>Inputs!$D$24+(Inputs!$D$80-Inputs!$D$24)*Inputs!$D$90</f>
        <v>911</v>
      </c>
      <c r="L1390" s="28">
        <f>Inputs!$D$24+(Inputs!$D$80-Inputs!$D$24)*Inputs!$D$91</f>
        <v>911</v>
      </c>
      <c r="M1390" s="28">
        <f>Inputs!$D$24+(Inputs!$D$80-Inputs!$D$24)*Inputs!$D$92</f>
        <v>911</v>
      </c>
    </row>
    <row r="1391" spans="1:13" ht="15" customHeight="1" x14ac:dyDescent="0.2">
      <c r="A1391" s="91"/>
      <c r="B1391" s="10" t="s">
        <v>891</v>
      </c>
      <c r="C1391" s="10" t="s">
        <v>199</v>
      </c>
      <c r="D1391" s="28">
        <f>Inputs!$D$24</f>
        <v>46</v>
      </c>
      <c r="E1391" s="28">
        <f t="shared" ref="E1391:M1391" si="300">D1390</f>
        <v>305.5</v>
      </c>
      <c r="F1391" s="28">
        <f t="shared" si="300"/>
        <v>651.5</v>
      </c>
      <c r="G1391" s="28">
        <f t="shared" si="300"/>
        <v>911</v>
      </c>
      <c r="H1391" s="28">
        <f t="shared" si="300"/>
        <v>911</v>
      </c>
      <c r="I1391" s="28">
        <f t="shared" si="300"/>
        <v>911</v>
      </c>
      <c r="J1391" s="28">
        <f t="shared" si="300"/>
        <v>911</v>
      </c>
      <c r="K1391" s="28">
        <f t="shared" si="300"/>
        <v>911</v>
      </c>
      <c r="L1391" s="28">
        <f t="shared" si="300"/>
        <v>911</v>
      </c>
      <c r="M1391" s="28">
        <f t="shared" si="300"/>
        <v>911</v>
      </c>
    </row>
    <row r="1392" spans="1:13" ht="15" customHeight="1" x14ac:dyDescent="0.2">
      <c r="B1392" s="10" t="s">
        <v>892</v>
      </c>
      <c r="C1392" s="10" t="s">
        <v>199</v>
      </c>
      <c r="D1392" s="28">
        <f>(D1391+D1390)*Inputs!$D$12</f>
        <v>175.75</v>
      </c>
      <c r="E1392" s="28">
        <f>(E1391+E1390)*Inputs!$D$12</f>
        <v>478.5</v>
      </c>
      <c r="F1392" s="28">
        <f>(F1391+F1390)*Inputs!$D$12</f>
        <v>781.25</v>
      </c>
      <c r="G1392" s="28">
        <f>(G1391+G1390)*Inputs!$D$12</f>
        <v>911</v>
      </c>
      <c r="H1392" s="28">
        <f>(H1391+H1390)*Inputs!$D$12</f>
        <v>911</v>
      </c>
      <c r="I1392" s="28">
        <f>(I1391+I1390)*Inputs!$D$12</f>
        <v>911</v>
      </c>
      <c r="J1392" s="28">
        <f>(J1391+J1390)*Inputs!$D$12</f>
        <v>911</v>
      </c>
      <c r="K1392" s="28">
        <f>(K1391+K1390)*Inputs!$D$12</f>
        <v>911</v>
      </c>
      <c r="L1392" s="28">
        <f>(L1391+L1390)*Inputs!$D$12</f>
        <v>911</v>
      </c>
      <c r="M1392" s="28">
        <f>(M1391+M1390)*Inputs!$D$12</f>
        <v>911</v>
      </c>
    </row>
    <row r="1393" spans="2:13" ht="15" customHeight="1" x14ac:dyDescent="0.2">
      <c r="B1393" s="10" t="s">
        <v>893</v>
      </c>
      <c r="C1393" s="10" t="s">
        <v>199</v>
      </c>
      <c r="D1393" s="28">
        <f t="shared" ref="D1393:M1393" si="301">D1390-D1391</f>
        <v>259.5</v>
      </c>
      <c r="E1393" s="28">
        <f t="shared" si="301"/>
        <v>346</v>
      </c>
      <c r="F1393" s="28">
        <f t="shared" si="301"/>
        <v>259.5</v>
      </c>
      <c r="G1393" s="28">
        <f t="shared" si="301"/>
        <v>0</v>
      </c>
      <c r="H1393" s="28">
        <f t="shared" si="301"/>
        <v>0</v>
      </c>
      <c r="I1393" s="28">
        <f t="shared" si="301"/>
        <v>0</v>
      </c>
      <c r="J1393" s="28">
        <f t="shared" si="301"/>
        <v>0</v>
      </c>
      <c r="K1393" s="28">
        <f t="shared" si="301"/>
        <v>0</v>
      </c>
      <c r="L1393" s="28">
        <f t="shared" si="301"/>
        <v>0</v>
      </c>
      <c r="M1393" s="28">
        <f t="shared" si="301"/>
        <v>0</v>
      </c>
    </row>
    <row r="1394" spans="2:13" ht="15" customHeight="1" x14ac:dyDescent="0.2">
      <c r="B1394" s="10" t="s">
        <v>894</v>
      </c>
      <c r="C1394" s="10" t="s">
        <v>199</v>
      </c>
      <c r="D1394" s="28">
        <f>IF(MOD(D1386,Inputs!$D$21)=Inputs!$D$6,Inputs!$D$24,Inputs!$D$6)+SUMPRODUCT(--(D1386&gt;$D$1386:$M$1386),--(MOD(D1386-$D$1386:$M$1386,Inputs!$D$21)=Inputs!$D$6),$D$1393:$M$1393)</f>
        <v>0</v>
      </c>
      <c r="E1394" s="28">
        <f>IF(MOD(E1386,Inputs!$D$21)=Inputs!$D$6,Inputs!$D$24,Inputs!$D$6)+SUMPRODUCT(--(E1386&gt;$D$1386:$M$1386),--(MOD(E1386-$D$1386:$M$1386,Inputs!$D$21)=Inputs!$D$6),$D$1393:$M$1393)</f>
        <v>0</v>
      </c>
      <c r="F1394" s="28">
        <f>IF(MOD(F1386,Inputs!$D$21)=Inputs!$D$6,Inputs!$D$24,Inputs!$D$6)+SUMPRODUCT(--(F1386&gt;$D$1386:$M$1386),--(MOD(F1386-$D$1386:$M$1386,Inputs!$D$21)=Inputs!$D$6),$D$1393:$M$1393)</f>
        <v>0</v>
      </c>
      <c r="G1394" s="28">
        <f>IF(MOD(G1386,Inputs!$D$21)=Inputs!$D$6,Inputs!$D$24,Inputs!$D$6)+SUMPRODUCT(--(G1386&gt;$D$1386:$M$1386),--(MOD(G1386-$D$1386:$M$1386,Inputs!$D$21)=Inputs!$D$6),$D$1393:$M$1393)</f>
        <v>46</v>
      </c>
      <c r="H1394" s="28">
        <f>IF(MOD(H1386,Inputs!$D$21)=Inputs!$D$6,Inputs!$D$24,Inputs!$D$6)+SUMPRODUCT(--(H1386&gt;$D$1386:$M$1386),--(MOD(H1386-$D$1386:$M$1386,Inputs!$D$21)=Inputs!$D$6),$D$1393:$M$1393)</f>
        <v>259.5</v>
      </c>
      <c r="I1394" s="28">
        <f>IF(MOD(I1386,Inputs!$D$21)=Inputs!$D$6,Inputs!$D$24,Inputs!$D$6)+SUMPRODUCT(--(I1386&gt;$D$1386:$M$1386),--(MOD(I1386-$D$1386:$M$1386,Inputs!$D$21)=Inputs!$D$6),$D$1393:$M$1393)</f>
        <v>346</v>
      </c>
      <c r="J1394" s="28">
        <f>IF(MOD(J1386,Inputs!$D$21)=Inputs!$D$6,Inputs!$D$24,Inputs!$D$6)+SUMPRODUCT(--(J1386&gt;$D$1386:$M$1386),--(MOD(J1386-$D$1386:$M$1386,Inputs!$D$21)=Inputs!$D$6),$D$1393:$M$1393)</f>
        <v>259.5</v>
      </c>
      <c r="K1394" s="28">
        <f>IF(MOD(K1386,Inputs!$D$21)=Inputs!$D$6,Inputs!$D$24,Inputs!$D$6)+SUMPRODUCT(--(K1386&gt;$D$1386:$M$1386),--(MOD(K1386-$D$1386:$M$1386,Inputs!$D$21)=Inputs!$D$6),$D$1393:$M$1393)</f>
        <v>46</v>
      </c>
      <c r="L1394" s="28">
        <f>IF(MOD(L1386,Inputs!$D$21)=Inputs!$D$6,Inputs!$D$24,Inputs!$D$6)+SUMPRODUCT(--(L1386&gt;$D$1386:$M$1386),--(MOD(L1386-$D$1386:$M$1386,Inputs!$D$21)=Inputs!$D$6),$D$1393:$M$1393)</f>
        <v>259.5</v>
      </c>
      <c r="M1394" s="28">
        <f>IF(MOD(M1386,Inputs!$D$21)=Inputs!$D$6,Inputs!$D$24,Inputs!$D$6)+SUMPRODUCT(--(M1386&gt;$D$1386:$M$1386),--(MOD(M1386-$D$1386:$M$1386,Inputs!$D$21)=Inputs!$D$6),$D$1393:$M$1393)</f>
        <v>346</v>
      </c>
    </row>
    <row r="1395" spans="2:13" ht="15" customHeight="1" x14ac:dyDescent="0.2">
      <c r="B1395" s="10" t="s">
        <v>895</v>
      </c>
      <c r="C1395" s="10" t="s">
        <v>896</v>
      </c>
      <c r="D1395" s="28">
        <f t="shared" ref="D1395:M1395" si="302">D1392*D1389</f>
        <v>125.58726899383984</v>
      </c>
      <c r="E1395" s="28">
        <f t="shared" si="302"/>
        <v>478.5</v>
      </c>
      <c r="F1395" s="28">
        <f t="shared" si="302"/>
        <v>781.25</v>
      </c>
      <c r="G1395" s="28">
        <f t="shared" si="302"/>
        <v>911</v>
      </c>
      <c r="H1395" s="28">
        <f t="shared" si="302"/>
        <v>911</v>
      </c>
      <c r="I1395" s="28">
        <f t="shared" si="302"/>
        <v>911</v>
      </c>
      <c r="J1395" s="28">
        <f t="shared" si="302"/>
        <v>911</v>
      </c>
      <c r="K1395" s="28">
        <f t="shared" si="302"/>
        <v>911</v>
      </c>
      <c r="L1395" s="28">
        <f t="shared" si="302"/>
        <v>911</v>
      </c>
      <c r="M1395" s="28">
        <f t="shared" si="302"/>
        <v>911</v>
      </c>
    </row>
    <row r="1396" spans="2:13" ht="15" customHeight="1" x14ac:dyDescent="0.2">
      <c r="B1396" s="10" t="s">
        <v>897</v>
      </c>
      <c r="C1396" s="10" t="s">
        <v>110</v>
      </c>
      <c r="D1396" s="16">
        <f>D1395*($D$1415/Inputs!$D$21+$D$1416/Inputs!$D$22)</f>
        <v>1816.9772859324419</v>
      </c>
      <c r="E1396" s="16">
        <f>E1395*($D$1415/Inputs!$D$21+$D$1416/Inputs!$D$22)</f>
        <v>6922.8643817497086</v>
      </c>
      <c r="F1396" s="16">
        <f>F1395*($D$1415/Inputs!$D$21+$D$1416/Inputs!$D$22)</f>
        <v>11303.0048030135</v>
      </c>
      <c r="G1396" s="16">
        <f>G1395*($D$1415/Inputs!$D$21+$D$1416/Inputs!$D$22)</f>
        <v>13180.207840697982</v>
      </c>
      <c r="H1396" s="16">
        <f>H1395*($D$1415/Inputs!$D$21+$D$1416/Inputs!$D$22)</f>
        <v>13180.207840697982</v>
      </c>
      <c r="I1396" s="16">
        <f>I1395*($D$1415/Inputs!$D$21+$D$1416/Inputs!$D$22)</f>
        <v>13180.207840697982</v>
      </c>
      <c r="J1396" s="16">
        <f>J1395*($D$1415/Inputs!$D$21+$D$1416/Inputs!$D$22)</f>
        <v>13180.207840697982</v>
      </c>
      <c r="K1396" s="16">
        <f>K1395*($D$1415/Inputs!$D$21+$D$1416/Inputs!$D$22)</f>
        <v>13180.207840697982</v>
      </c>
      <c r="L1396" s="16">
        <f>L1395*($D$1415/Inputs!$D$21+$D$1416/Inputs!$D$22)</f>
        <v>13180.207840697982</v>
      </c>
      <c r="M1396" s="16">
        <f>M1395*($D$1415/Inputs!$D$21+$D$1416/Inputs!$D$22)</f>
        <v>13180.207840697982</v>
      </c>
    </row>
    <row r="1397" spans="2:13" ht="15" customHeight="1" x14ac:dyDescent="0.2">
      <c r="B1397" s="10" t="s">
        <v>898</v>
      </c>
      <c r="C1397" s="10" t="s">
        <v>110</v>
      </c>
      <c r="D1397" s="16">
        <f t="shared" ref="D1397:M1397" si="303">D1393*($D$1415+$D$1416)</f>
        <v>15560.968620146154</v>
      </c>
      <c r="E1397" s="16">
        <f t="shared" si="303"/>
        <v>20747.95816019487</v>
      </c>
      <c r="F1397" s="16">
        <f t="shared" si="303"/>
        <v>15560.968620146154</v>
      </c>
      <c r="G1397" s="16">
        <f t="shared" si="303"/>
        <v>0</v>
      </c>
      <c r="H1397" s="16">
        <f t="shared" si="303"/>
        <v>0</v>
      </c>
      <c r="I1397" s="16">
        <f t="shared" si="303"/>
        <v>0</v>
      </c>
      <c r="J1397" s="16">
        <f t="shared" si="303"/>
        <v>0</v>
      </c>
      <c r="K1397" s="16">
        <f t="shared" si="303"/>
        <v>0</v>
      </c>
      <c r="L1397" s="16">
        <f t="shared" si="303"/>
        <v>0</v>
      </c>
      <c r="M1397" s="16">
        <f t="shared" si="303"/>
        <v>0</v>
      </c>
    </row>
    <row r="1398" spans="2:13" ht="15" customHeight="1" x14ac:dyDescent="0.2">
      <c r="B1398" s="10" t="s">
        <v>899</v>
      </c>
      <c r="C1398" s="10" t="s">
        <v>110</v>
      </c>
      <c r="D1398" s="16">
        <f t="shared" ref="D1398:M1398" si="304">D1394*$D$1415</f>
        <v>0</v>
      </c>
      <c r="E1398" s="16">
        <f t="shared" si="304"/>
        <v>0</v>
      </c>
      <c r="F1398" s="16">
        <f t="shared" si="304"/>
        <v>0</v>
      </c>
      <c r="G1398" s="16">
        <f t="shared" si="304"/>
        <v>2638.0048485671714</v>
      </c>
      <c r="H1398" s="16">
        <f t="shared" si="304"/>
        <v>14881.788221808281</v>
      </c>
      <c r="I1398" s="16">
        <f t="shared" si="304"/>
        <v>19842.384295744378</v>
      </c>
      <c r="J1398" s="16">
        <f t="shared" si="304"/>
        <v>14881.788221808281</v>
      </c>
      <c r="K1398" s="16">
        <f t="shared" si="304"/>
        <v>2638.0048485671714</v>
      </c>
      <c r="L1398" s="16">
        <f t="shared" si="304"/>
        <v>14881.788221808281</v>
      </c>
      <c r="M1398" s="16">
        <f t="shared" si="304"/>
        <v>19842.384295744378</v>
      </c>
    </row>
    <row r="1399" spans="2:13" ht="15" customHeight="1" x14ac:dyDescent="0.2">
      <c r="B1399" s="10" t="s">
        <v>900</v>
      </c>
      <c r="C1399" s="10" t="s">
        <v>199</v>
      </c>
      <c r="D1399" s="28">
        <f>D1393*Inputs!$D$23</f>
        <v>6.4875000000000007</v>
      </c>
      <c r="E1399" s="28">
        <f>E1393*Inputs!$D$23</f>
        <v>8.65</v>
      </c>
      <c r="F1399" s="28">
        <f>F1393*Inputs!$D$23</f>
        <v>6.4875000000000007</v>
      </c>
      <c r="G1399" s="28">
        <f>G1393*Inputs!$D$23</f>
        <v>0</v>
      </c>
      <c r="H1399" s="28">
        <f>H1393*Inputs!$D$23</f>
        <v>0</v>
      </c>
      <c r="I1399" s="28">
        <f>I1393*Inputs!$D$23</f>
        <v>0</v>
      </c>
      <c r="J1399" s="28">
        <f>J1393*Inputs!$D$23</f>
        <v>0</v>
      </c>
      <c r="K1399" s="28">
        <f>K1393*Inputs!$D$23</f>
        <v>0</v>
      </c>
      <c r="L1399" s="28">
        <f>L1393*Inputs!$D$23</f>
        <v>0</v>
      </c>
      <c r="M1399" s="28">
        <f>M1393*Inputs!$D$23</f>
        <v>0</v>
      </c>
    </row>
    <row r="1400" spans="2:13" ht="15" customHeight="1" x14ac:dyDescent="0.2">
      <c r="B1400" s="3" t="s">
        <v>901</v>
      </c>
      <c r="C1400" s="10" t="s">
        <v>896</v>
      </c>
      <c r="D1400" s="28">
        <f>(D1395*$D$1413*(Inputs!$D$7-Inputs!$D$19)-D1399)/(Inputs!$D$7+$D$1414)^D1388</f>
        <v>43.213488846686175</v>
      </c>
      <c r="E1400" s="28">
        <f>(E1395*$D$1413*(Inputs!$D$7-Inputs!$D$19)-E1399)/(Inputs!$D$7+$D$1414)^E1388</f>
        <v>163.29332190458183</v>
      </c>
      <c r="F1400" s="28">
        <f>(F1395*$D$1413*(Inputs!$D$7-Inputs!$D$19)-F1399)/(Inputs!$D$7+$D$1414)^F1388</f>
        <v>248.28260771010829</v>
      </c>
      <c r="G1400" s="28">
        <f>(G1395*$D$1413*(Inputs!$D$7-Inputs!$D$19)-G1399)/(Inputs!$D$7+$D$1414)^G1388</f>
        <v>268.5238926419492</v>
      </c>
      <c r="H1400" s="28">
        <f>(H1395*$D$1413*(Inputs!$D$7-Inputs!$D$19)-H1399)/(Inputs!$D$7+$D$1414)^H1388</f>
        <v>244.12855518959191</v>
      </c>
      <c r="I1400" s="28">
        <f>(I1395*$D$1413*(Inputs!$D$7-Inputs!$D$19)-I1399)/(Inputs!$D$7+$D$1414)^I1388</f>
        <v>221.8916197826434</v>
      </c>
      <c r="J1400" s="28">
        <f>(J1395*$D$1413*(Inputs!$D$7-Inputs!$D$19)-J1399)/(Inputs!$D$7+$D$1414)^J1388</f>
        <v>201.73281421346593</v>
      </c>
      <c r="K1400" s="28">
        <f>(K1395*$D$1413*(Inputs!$D$7-Inputs!$D$19)-K1399)/(Inputs!$D$7+$D$1414)^K1388</f>
        <v>183.40543176145695</v>
      </c>
      <c r="L1400" s="28">
        <f>(L1395*$D$1413*(Inputs!$D$7-Inputs!$D$19)-L1399)/(Inputs!$D$7+$D$1414)^L1388</f>
        <v>166.74308803332551</v>
      </c>
      <c r="M1400" s="28">
        <f>(M1395*$D$1413*(Inputs!$D$7-Inputs!$D$19)-M1399)/(Inputs!$D$7+$D$1414)^M1388</f>
        <v>151.55496194429571</v>
      </c>
    </row>
    <row r="1401" spans="2:13" ht="15" customHeight="1" x14ac:dyDescent="0.2">
      <c r="B1401" s="10" t="s">
        <v>902</v>
      </c>
      <c r="C1401" s="10" t="s">
        <v>110</v>
      </c>
      <c r="D1401" s="16">
        <f>(D1396*Inputs!$D$19-D1397-D1398)/(Inputs!$D$7+$D$1414)^D1388</f>
        <v>-14027.24269342025</v>
      </c>
      <c r="E1401" s="16">
        <f>(E1396*Inputs!$D$19-E1397-E1398)/(Inputs!$D$7+$D$1414)^E1388</f>
        <v>-15853.087323826181</v>
      </c>
      <c r="F1401" s="16">
        <f>(F1396*Inputs!$D$19-F1397-F1398)/(Inputs!$D$7+$D$1414)^F1388</f>
        <v>-9394.4767487293357</v>
      </c>
      <c r="G1401" s="16">
        <f>(G1396*Inputs!$D$19-G1397-G1398)/(Inputs!$D$7+$D$1414)^G1388</f>
        <v>923.61320322684639</v>
      </c>
      <c r="H1401" s="16">
        <f>(H1396*Inputs!$D$19-H1397-H1398)/(Inputs!$D$7+$D$1414)^H1388</f>
        <v>-6972.3744918015345</v>
      </c>
      <c r="I1401" s="16">
        <f>(I1396*Inputs!$D$19-I1397-I1398)/(Inputs!$D$7+$D$1414)^I1388</f>
        <v>-9214.0648467907959</v>
      </c>
      <c r="J1401" s="16">
        <f>(J1396*Inputs!$D$19-J1397-J1398)/(Inputs!$D$7+$D$1414)^J1388</f>
        <v>-5761.5411965591911</v>
      </c>
      <c r="K1401" s="16">
        <f>(K1396*Inputs!$D$19-K1397-K1398)/(Inputs!$D$7+$D$1414)^K1388</f>
        <v>630.8402453567694</v>
      </c>
      <c r="L1401" s="16">
        <f>(L1396*Inputs!$D$19-L1397-L1398)/(Inputs!$D$7+$D$1414)^L1388</f>
        <v>-4762.2255937446444</v>
      </c>
      <c r="M1401" s="16">
        <f>(M1396*Inputs!$D$19-M1397-M1398)/(Inputs!$D$7+$D$1414)^M1388</f>
        <v>-6293.3302689644106</v>
      </c>
    </row>
    <row r="1402" spans="2:13" ht="15" customHeight="1" x14ac:dyDescent="0.2">
      <c r="B1402" s="10" t="s">
        <v>903</v>
      </c>
      <c r="C1402" s="10" t="s">
        <v>110</v>
      </c>
      <c r="D1402" s="16">
        <f t="shared" ref="D1402:M1402" si="305">D1395*$D$1412</f>
        <v>4244.8045227949397</v>
      </c>
      <c r="E1402" s="16">
        <f t="shared" si="305"/>
        <v>16173.12790086237</v>
      </c>
      <c r="F1402" s="16">
        <f t="shared" si="305"/>
        <v>26405.969012641017</v>
      </c>
      <c r="G1402" s="16">
        <f t="shared" si="305"/>
        <v>30791.472346260438</v>
      </c>
      <c r="H1402" s="16">
        <f t="shared" si="305"/>
        <v>30791.472346260438</v>
      </c>
      <c r="I1402" s="16">
        <f t="shared" si="305"/>
        <v>30791.472346260438</v>
      </c>
      <c r="J1402" s="16">
        <f t="shared" si="305"/>
        <v>30791.472346260438</v>
      </c>
      <c r="K1402" s="16">
        <f t="shared" si="305"/>
        <v>30791.472346260438</v>
      </c>
      <c r="L1402" s="16">
        <f t="shared" si="305"/>
        <v>30791.472346260438</v>
      </c>
      <c r="M1402" s="16">
        <f t="shared" si="305"/>
        <v>30791.472346260438</v>
      </c>
    </row>
    <row r="1403" spans="2:13" ht="15" customHeight="1" x14ac:dyDescent="0.2">
      <c r="B1403" s="10" t="s">
        <v>904</v>
      </c>
      <c r="C1403" s="10" t="s">
        <v>110</v>
      </c>
      <c r="D1403" s="16">
        <f t="shared" ref="D1403:M1403" si="306">D1402*$D$1413</f>
        <v>2546.8827136769637</v>
      </c>
      <c r="E1403" s="16">
        <f t="shared" si="306"/>
        <v>9703.8767405174221</v>
      </c>
      <c r="F1403" s="16">
        <f t="shared" si="306"/>
        <v>15843.58140758461</v>
      </c>
      <c r="G1403" s="16">
        <f t="shared" si="306"/>
        <v>18474.883407756261</v>
      </c>
      <c r="H1403" s="16">
        <f t="shared" si="306"/>
        <v>18474.883407756261</v>
      </c>
      <c r="I1403" s="16">
        <f t="shared" si="306"/>
        <v>18474.883407756261</v>
      </c>
      <c r="J1403" s="16">
        <f t="shared" si="306"/>
        <v>18474.883407756261</v>
      </c>
      <c r="K1403" s="16">
        <f t="shared" si="306"/>
        <v>18474.883407756261</v>
      </c>
      <c r="L1403" s="16">
        <f t="shared" si="306"/>
        <v>18474.883407756261</v>
      </c>
      <c r="M1403" s="16">
        <f t="shared" si="306"/>
        <v>18474.883407756261</v>
      </c>
    </row>
    <row r="1404" spans="2:13" ht="15" customHeight="1" x14ac:dyDescent="0.2">
      <c r="B1404" s="10" t="s">
        <v>905</v>
      </c>
      <c r="C1404" s="10" t="s">
        <v>110</v>
      </c>
      <c r="D1404" s="16">
        <f t="shared" ref="D1404:M1404" si="307">D1403-D1396</f>
        <v>729.90542774452183</v>
      </c>
      <c r="E1404" s="16">
        <f t="shared" si="307"/>
        <v>2781.0123587677135</v>
      </c>
      <c r="F1404" s="16">
        <f t="shared" si="307"/>
        <v>4540.5766045711098</v>
      </c>
      <c r="G1404" s="16">
        <f t="shared" si="307"/>
        <v>5294.6755670582788</v>
      </c>
      <c r="H1404" s="16">
        <f t="shared" si="307"/>
        <v>5294.6755670582788</v>
      </c>
      <c r="I1404" s="16">
        <f t="shared" si="307"/>
        <v>5294.6755670582788</v>
      </c>
      <c r="J1404" s="16">
        <f t="shared" si="307"/>
        <v>5294.6755670582788</v>
      </c>
      <c r="K1404" s="16">
        <f t="shared" si="307"/>
        <v>5294.6755670582788</v>
      </c>
      <c r="L1404" s="16">
        <f t="shared" si="307"/>
        <v>5294.6755670582788</v>
      </c>
      <c r="M1404" s="16">
        <f t="shared" si="307"/>
        <v>5294.6755670582788</v>
      </c>
    </row>
    <row r="1405" spans="2:13" ht="15" customHeight="1" x14ac:dyDescent="0.2">
      <c r="B1405" s="10" t="s">
        <v>906</v>
      </c>
      <c r="C1405" s="10" t="s">
        <v>110</v>
      </c>
      <c r="D1405" s="16">
        <f>MAX(D1404,Inputs!$D$6)*Inputs!$D$19</f>
        <v>218.97162832335655</v>
      </c>
      <c r="E1405" s="16">
        <f>MAX(E1404,Inputs!$D$6)*Inputs!$D$19</f>
        <v>834.30370763031408</v>
      </c>
      <c r="F1405" s="16">
        <f>MAX(F1404,Inputs!$D$6)*Inputs!$D$19</f>
        <v>1362.172981371333</v>
      </c>
      <c r="G1405" s="16">
        <f>MAX(G1404,Inputs!$D$6)*Inputs!$D$19</f>
        <v>1588.4026701174837</v>
      </c>
      <c r="H1405" s="16">
        <f>MAX(H1404,Inputs!$D$6)*Inputs!$D$19</f>
        <v>1588.4026701174837</v>
      </c>
      <c r="I1405" s="16">
        <f>MAX(I1404,Inputs!$D$6)*Inputs!$D$19</f>
        <v>1588.4026701174837</v>
      </c>
      <c r="J1405" s="16">
        <f>MAX(J1404,Inputs!$D$6)*Inputs!$D$19</f>
        <v>1588.4026701174837</v>
      </c>
      <c r="K1405" s="16">
        <f>MAX(K1404,Inputs!$D$6)*Inputs!$D$19</f>
        <v>1588.4026701174837</v>
      </c>
      <c r="L1405" s="16">
        <f>MAX(L1404,Inputs!$D$6)*Inputs!$D$19</f>
        <v>1588.4026701174837</v>
      </c>
      <c r="M1405" s="16">
        <f>MAX(M1404,Inputs!$D$6)*Inputs!$D$19</f>
        <v>1588.4026701174837</v>
      </c>
    </row>
    <row r="1406" spans="2:13" ht="15" customHeight="1" x14ac:dyDescent="0.2">
      <c r="B1406" s="10" t="s">
        <v>907</v>
      </c>
      <c r="C1406" s="10" t="s">
        <v>110</v>
      </c>
      <c r="D1406" s="16">
        <f t="shared" ref="D1406:M1406" si="308">D1399*$D$1412</f>
        <v>219.27516668097104</v>
      </c>
      <c r="E1406" s="16">
        <f t="shared" si="308"/>
        <v>292.36688890796137</v>
      </c>
      <c r="F1406" s="16">
        <f t="shared" si="308"/>
        <v>219.27516668097104</v>
      </c>
      <c r="G1406" s="16">
        <f t="shared" si="308"/>
        <v>0</v>
      </c>
      <c r="H1406" s="16">
        <f t="shared" si="308"/>
        <v>0</v>
      </c>
      <c r="I1406" s="16">
        <f t="shared" si="308"/>
        <v>0</v>
      </c>
      <c r="J1406" s="16">
        <f t="shared" si="308"/>
        <v>0</v>
      </c>
      <c r="K1406" s="16">
        <f t="shared" si="308"/>
        <v>0</v>
      </c>
      <c r="L1406" s="16">
        <f t="shared" si="308"/>
        <v>0</v>
      </c>
      <c r="M1406" s="16">
        <f t="shared" si="308"/>
        <v>0</v>
      </c>
    </row>
    <row r="1407" spans="2:13" ht="15" customHeight="1" x14ac:dyDescent="0.2">
      <c r="B1407" s="10" t="s">
        <v>908</v>
      </c>
      <c r="C1407" s="10" t="s">
        <v>110</v>
      </c>
      <c r="D1407" s="16">
        <f t="shared" ref="D1407:M1407" si="309">D1403-D1405-D1397-D1398-D1406</f>
        <v>-13452.332701473517</v>
      </c>
      <c r="E1407" s="16">
        <f t="shared" si="309"/>
        <v>-12170.752016215723</v>
      </c>
      <c r="F1407" s="16">
        <f t="shared" si="309"/>
        <v>-1298.8353606138483</v>
      </c>
      <c r="G1407" s="16">
        <f t="shared" si="309"/>
        <v>14248.475889071604</v>
      </c>
      <c r="H1407" s="16">
        <f t="shared" si="309"/>
        <v>2004.6925158304948</v>
      </c>
      <c r="I1407" s="16">
        <f t="shared" si="309"/>
        <v>-2955.9035581056014</v>
      </c>
      <c r="J1407" s="16">
        <f t="shared" si="309"/>
        <v>2004.6925158304948</v>
      </c>
      <c r="K1407" s="16">
        <f t="shared" si="309"/>
        <v>14248.475889071604</v>
      </c>
      <c r="L1407" s="16">
        <f t="shared" si="309"/>
        <v>2004.6925158304948</v>
      </c>
      <c r="M1407" s="16">
        <f t="shared" si="309"/>
        <v>-2955.9035581056014</v>
      </c>
    </row>
    <row r="1408" spans="2:13" ht="15" customHeight="1" x14ac:dyDescent="0.2">
      <c r="B1408" s="10" t="s">
        <v>909</v>
      </c>
      <c r="C1408" s="10" t="s">
        <v>110</v>
      </c>
      <c r="D1408" s="16">
        <f>D1407/(Inputs!$D$7+$D$1414)^D1388</f>
        <v>-12566.64231273071</v>
      </c>
      <c r="E1408" s="16">
        <f>E1407/(Inputs!$D$7+$D$1414)^E1388</f>
        <v>-10333.831774151169</v>
      </c>
      <c r="F1408" s="16">
        <f>F1407/(Inputs!$D$7+$D$1414)^F1388</f>
        <v>-1002.6139063986791</v>
      </c>
      <c r="G1408" s="16">
        <f>G1407/(Inputs!$D$7+$D$1414)^G1388</f>
        <v>9999.6241961958749</v>
      </c>
      <c r="H1408" s="16">
        <f>H1407/(Inputs!$D$7+$D$1414)^H1388</f>
        <v>1279.0828693980629</v>
      </c>
      <c r="I1408" s="16">
        <f>I1407/(Inputs!$D$7+$D$1414)^I1388</f>
        <v>-1714.2079045249357</v>
      </c>
      <c r="J1408" s="16">
        <f>J1407/(Inputs!$D$7+$D$1414)^J1388</f>
        <v>1056.9553678614782</v>
      </c>
      <c r="K1408" s="16">
        <f>K1407/(Inputs!$D$7+$D$1414)^K1388</f>
        <v>6829.8778745959098</v>
      </c>
      <c r="L1408" s="16">
        <f>L1407/(Inputs!$D$7+$D$1414)^L1388</f>
        <v>873.63081032584012</v>
      </c>
      <c r="M1408" s="16">
        <f>M1407/(Inputs!$D$7+$D$1414)^M1388</f>
        <v>-1170.8270640836931</v>
      </c>
    </row>
    <row r="1409" spans="2:13" ht="15" customHeight="1" x14ac:dyDescent="0.2">
      <c r="B1409" s="3" t="s">
        <v>910</v>
      </c>
      <c r="C1409" s="10" t="s">
        <v>896</v>
      </c>
      <c r="D1409" s="28">
        <f>(D1395*$D$1413-D1399)/(Inputs!$D$7+$D$1414)^D1388</f>
        <v>64.330856237917445</v>
      </c>
      <c r="E1409" s="28">
        <f>(E1395*$D$1413-E1399)/(Inputs!$D$7+$D$1414)^E1388</f>
        <v>236.42380139523098</v>
      </c>
      <c r="F1409" s="28">
        <f>(F1395*$D$1413-F1399)/(Inputs!$D$7+$D$1414)^F1388</f>
        <v>356.83568908039001</v>
      </c>
      <c r="G1409" s="28">
        <f>(G1395*$D$1413-G1399)/(Inputs!$D$7+$D$1414)^G1388</f>
        <v>383.60556091707036</v>
      </c>
      <c r="H1409" s="28">
        <f>(H1395*$D$1413-H1399)/(Inputs!$D$7+$D$1414)^H1388</f>
        <v>348.75507884227414</v>
      </c>
      <c r="I1409" s="28">
        <f>(I1395*$D$1413-I1399)/(Inputs!$D$7+$D$1414)^I1388</f>
        <v>316.98802826091918</v>
      </c>
      <c r="J1409" s="28">
        <f>(J1395*$D$1413-J1399)/(Inputs!$D$7+$D$1414)^J1388</f>
        <v>288.18973459066564</v>
      </c>
      <c r="K1409" s="28">
        <f>(K1395*$D$1413-K1399)/(Inputs!$D$7+$D$1414)^K1388</f>
        <v>262.00775965922423</v>
      </c>
      <c r="L1409" s="28">
        <f>(L1395*$D$1413-L1399)/(Inputs!$D$7+$D$1414)^L1388</f>
        <v>238.2044114761793</v>
      </c>
      <c r="M1409" s="28">
        <f>(M1395*$D$1413-M1399)/(Inputs!$D$7+$D$1414)^M1388</f>
        <v>216.50708849185102</v>
      </c>
    </row>
    <row r="1410" spans="2:13" ht="15" customHeight="1" x14ac:dyDescent="0.2">
      <c r="B1410" s="10" t="s">
        <v>911</v>
      </c>
      <c r="C1410" s="10" t="s">
        <v>110</v>
      </c>
      <c r="D1410" s="16">
        <f>(-D1397-D1398)/(Inputs!$D$7+$D$1414)^D1388</f>
        <v>-14536.447397527105</v>
      </c>
      <c r="E1410" s="16">
        <f>(-E1397-E1398)/(Inputs!$D$7+$D$1414)^E1388</f>
        <v>-17616.488200475756</v>
      </c>
      <c r="F1410" s="16">
        <f>(-F1397-F1398)/(Inputs!$D$7+$D$1414)^F1388</f>
        <v>-12012.025548964448</v>
      </c>
      <c r="G1410" s="16">
        <f>(-G1397-G1398)/(Inputs!$D$7+$D$1414)^G1388</f>
        <v>-1851.359915178487</v>
      </c>
      <c r="H1410" s="16">
        <f>(-H1397-H1398)/(Inputs!$D$7+$D$1414)^H1388</f>
        <v>-9495.2419037884629</v>
      </c>
      <c r="I1410" s="16">
        <f>(-I1397-I1398)/(Inputs!$D$7+$D$1414)^I1388</f>
        <v>-11507.131858586603</v>
      </c>
      <c r="J1410" s="16">
        <f>(-J1397-J1398)/(Inputs!$D$7+$D$1414)^J1388</f>
        <v>-7846.2835672839774</v>
      </c>
      <c r="K1410" s="16">
        <f>(-K1397-K1398)/(Inputs!$D$7+$D$1414)^K1388</f>
        <v>-1264.5037327904422</v>
      </c>
      <c r="L1410" s="16">
        <f>(-L1397-L1398)/(Inputs!$D$7+$D$1414)^L1388</f>
        <v>-6485.3779822337692</v>
      </c>
      <c r="M1410" s="16">
        <f>(-M1397-M1398)/(Inputs!$D$7+$D$1414)^M1388</f>
        <v>-7859.5258920747219</v>
      </c>
    </row>
    <row r="1411" spans="2:13" ht="15" customHeight="1" x14ac:dyDescent="0.2">
      <c r="B1411" s="10" t="s">
        <v>912</v>
      </c>
      <c r="C1411" s="10" t="s">
        <v>110</v>
      </c>
      <c r="D1411" s="16">
        <f>Prices!I11</f>
        <v>6000</v>
      </c>
    </row>
    <row r="1412" spans="2:13" ht="15" customHeight="1" x14ac:dyDescent="0.2">
      <c r="B1412" s="3" t="s">
        <v>913</v>
      </c>
      <c r="C1412" s="10" t="s">
        <v>914</v>
      </c>
      <c r="D1412" s="28">
        <f>IF(J1419&gt;=J1415,J1419,(D1411-J1418)/J1417)</f>
        <v>33.799640336180502</v>
      </c>
      <c r="G1412" s="99" t="s">
        <v>915</v>
      </c>
      <c r="H1412" s="91"/>
      <c r="I1412" s="91"/>
      <c r="J1412" s="28">
        <f>D1412*Inputs!$D$15</f>
        <v>23.58876899062037</v>
      </c>
      <c r="K1412" s="99" t="s">
        <v>916</v>
      </c>
      <c r="L1412" s="91"/>
      <c r="M1412" s="91"/>
    </row>
    <row r="1413" spans="2:13" ht="15" customHeight="1" x14ac:dyDescent="0.2">
      <c r="B1413" s="10" t="s">
        <v>917</v>
      </c>
      <c r="C1413" s="10" t="s">
        <v>104</v>
      </c>
      <c r="D1413" s="30">
        <f>Inputs!$D$81</f>
        <v>0.6</v>
      </c>
      <c r="G1413" s="99" t="s">
        <v>918</v>
      </c>
      <c r="H1413" s="91"/>
      <c r="I1413" s="91"/>
      <c r="J1413" s="28">
        <f>IF(-D1424/D1423&gt;=J1415,-D1424/D1423,-J1418/J1417)</f>
        <v>32.284876648616972</v>
      </c>
      <c r="K1413" s="99" t="s">
        <v>919</v>
      </c>
      <c r="L1413" s="91"/>
      <c r="M1413" s="91"/>
    </row>
    <row r="1414" spans="2:13" ht="15" customHeight="1" x14ac:dyDescent="0.2">
      <c r="B1414" s="10" t="s">
        <v>920</v>
      </c>
      <c r="C1414" s="10" t="s">
        <v>104</v>
      </c>
      <c r="D1414" s="30">
        <f>Inputs!$D$82</f>
        <v>0.1</v>
      </c>
      <c r="G1414" s="99" t="s">
        <v>918</v>
      </c>
      <c r="H1414" s="91"/>
      <c r="I1414" s="91"/>
      <c r="J1414" s="28">
        <f>J1413*Inputs!$D$15</f>
        <v>22.531615413069783</v>
      </c>
      <c r="K1414" s="99" t="s">
        <v>916</v>
      </c>
      <c r="L1414" s="91"/>
      <c r="M1414" s="91"/>
    </row>
    <row r="1415" spans="2:13" ht="15" customHeight="1" x14ac:dyDescent="0.2">
      <c r="B1415" s="3" t="s">
        <v>921</v>
      </c>
      <c r="C1415" s="10" t="s">
        <v>848</v>
      </c>
      <c r="D1415" s="28">
        <f>Capital!$D$13</f>
        <v>57.347931490590682</v>
      </c>
      <c r="G1415" s="99" t="s">
        <v>922</v>
      </c>
      <c r="H1415" s="91"/>
      <c r="I1415" s="91"/>
      <c r="J1415" s="28">
        <f>($D$1415/Inputs!$D$21+$D$1416/Inputs!$D$22)/$D$1413</f>
        <v>24.113076913095469</v>
      </c>
      <c r="K1415" s="99" t="s">
        <v>919</v>
      </c>
      <c r="L1415" s="91"/>
      <c r="M1415" s="91"/>
    </row>
    <row r="1416" spans="2:13" ht="15" customHeight="1" x14ac:dyDescent="0.2">
      <c r="B1416" s="3" t="s">
        <v>923</v>
      </c>
      <c r="C1416" s="10" t="s">
        <v>848</v>
      </c>
      <c r="D1416" s="28">
        <f>Capital!$D$14</f>
        <v>2.6172655041921802</v>
      </c>
    </row>
    <row r="1417" spans="2:13" ht="15" customHeight="1" x14ac:dyDescent="0.2">
      <c r="B1417" s="10" t="s">
        <v>924</v>
      </c>
      <c r="C1417" s="10" t="s">
        <v>896</v>
      </c>
      <c r="D1417" s="28">
        <f>(M1390*(Inputs!$D$7+Inputs!$D$20)*$D$1413*(Inputs!$D$7-Inputs!$D$19)-M1390*Inputs!$D$20*Inputs!$D$23)/($D$1414-Inputs!$D$20)/(Inputs!$D$7+$D$1414)^M1388</f>
        <v>2068.2441036763203</v>
      </c>
      <c r="G1417" s="92" t="s">
        <v>910</v>
      </c>
      <c r="H1417" s="91"/>
      <c r="I1417" s="91"/>
      <c r="J1417" s="28">
        <f>SUM(D1409:M1409)+(M1390*(Inputs!$D$7+Inputs!$D$20)*$D$1413-M1390*Inputs!$D$20*Inputs!$D$23)/($D$1414-Inputs!$D$20)/(Inputs!$D$7+$D$1414)^M1388</f>
        <v>5667.7711754446318</v>
      </c>
      <c r="K1417" s="99" t="s">
        <v>896</v>
      </c>
      <c r="L1417" s="91"/>
      <c r="M1417" s="91"/>
    </row>
    <row r="1418" spans="2:13" ht="15" customHeight="1" x14ac:dyDescent="0.2">
      <c r="B1418" s="10" t="s">
        <v>925</v>
      </c>
      <c r="C1418" s="10" t="s">
        <v>110</v>
      </c>
      <c r="D1418" s="16">
        <f>(D1421*Inputs!$D$19-D1421-D1422)/($D$1414-Inputs!$D$20)/(Inputs!$D$7+$D$1414)^M1388</f>
        <v>-57156.954988173631</v>
      </c>
      <c r="G1418" s="92" t="s">
        <v>926</v>
      </c>
      <c r="H1418" s="91"/>
      <c r="I1418" s="91"/>
      <c r="J1418" s="16">
        <f>SUM(D1410:M1410)-(D1421+D1422)/($D$1414-Inputs!$D$20)/(Inputs!$D$7+$D$1414)^M1388</f>
        <v>-169036.01450291832</v>
      </c>
      <c r="K1418" s="99" t="s">
        <v>110</v>
      </c>
      <c r="L1418" s="91"/>
      <c r="M1418" s="91"/>
    </row>
    <row r="1419" spans="2:13" ht="15" customHeight="1" x14ac:dyDescent="0.2">
      <c r="B1419" s="10" t="s">
        <v>927</v>
      </c>
      <c r="C1419" s="10" t="s">
        <v>928</v>
      </c>
      <c r="D1419" s="16">
        <f>(M1390*(Inputs!$D$7+Inputs!$D$20)*$D$1412*$D$1413-D1421)-MAX((M1390*(Inputs!$D$7+Inputs!$D$20)*$D$1412*$D$1413-D1421),Inputs!$D$6)*Inputs!$D$19-D1422-M1390*Inputs!$D$20*$D$1412*Inputs!$D$23</f>
        <v>2413.9776875917241</v>
      </c>
      <c r="G1419" s="99" t="s">
        <v>929</v>
      </c>
      <c r="H1419" s="91"/>
      <c r="I1419" s="91"/>
      <c r="J1419" s="28">
        <f>(D1411-D1424)/D1423</f>
        <v>33.799640336180502</v>
      </c>
      <c r="K1419" s="99" t="s">
        <v>919</v>
      </c>
      <c r="L1419" s="91"/>
      <c r="M1419" s="91"/>
    </row>
    <row r="1420" spans="2:13" ht="15" customHeight="1" x14ac:dyDescent="0.2">
      <c r="B1420" s="10" t="s">
        <v>930</v>
      </c>
      <c r="C1420" s="10" t="s">
        <v>110</v>
      </c>
      <c r="D1420" s="16">
        <f>D1419/($D$1414-Inputs!$D$20)</f>
        <v>32186.36916788965</v>
      </c>
      <c r="G1420" s="99" t="s">
        <v>931</v>
      </c>
      <c r="H1420" s="91"/>
      <c r="I1420" s="91"/>
      <c r="J1420" s="16">
        <f>MIN(D1404:M1404,(M1390*(Inputs!$D$7+Inputs!$D$20)*$D$1412*$D$1413-D1421))</f>
        <v>729.90542774452183</v>
      </c>
      <c r="K1420" s="99" t="s">
        <v>110</v>
      </c>
      <c r="L1420" s="91"/>
      <c r="M1420" s="91"/>
    </row>
    <row r="1421" spans="2:13" ht="15" customHeight="1" x14ac:dyDescent="0.2">
      <c r="B1421" s="10" t="s">
        <v>932</v>
      </c>
      <c r="C1421" s="10" t="s">
        <v>928</v>
      </c>
      <c r="D1421" s="16">
        <f>M1390*(Inputs!$D$7+Inputs!$D$20)*($D$1415/Inputs!$D$21+$D$1416/Inputs!$D$22)</f>
        <v>13509.71303671543</v>
      </c>
      <c r="G1421" s="99" t="s">
        <v>933</v>
      </c>
      <c r="H1421" s="91"/>
      <c r="I1421" s="91"/>
      <c r="J1421" s="31" t="str">
        <f>IF(J1420&lt;Inputs!$D$6,"breached","satisfied")</f>
        <v>satisfied</v>
      </c>
      <c r="K1421" s="99" t="s">
        <v>934</v>
      </c>
      <c r="L1421" s="91"/>
      <c r="M1421" s="91"/>
    </row>
    <row r="1422" spans="2:13" ht="15" customHeight="1" x14ac:dyDescent="0.2">
      <c r="B1422" s="10" t="s">
        <v>935</v>
      </c>
      <c r="C1422" s="10" t="s">
        <v>928</v>
      </c>
      <c r="D1422" s="16">
        <f>M1390*Inputs!$D$20*($D$1415+$D$1416)</f>
        <v>1365.7073615561799</v>
      </c>
    </row>
    <row r="1423" spans="2:13" ht="15" customHeight="1" x14ac:dyDescent="0.2">
      <c r="B1423" s="10" t="s">
        <v>936</v>
      </c>
      <c r="C1423" s="10" t="s">
        <v>896</v>
      </c>
      <c r="D1423" s="28">
        <f>SUM(D1400:M1400)+D1417</f>
        <v>3961.0138857044249</v>
      </c>
      <c r="G1423" s="99" t="s">
        <v>937</v>
      </c>
      <c r="H1423" s="91"/>
      <c r="I1423" s="91"/>
      <c r="J1423" s="16">
        <f>D1425-D1411</f>
        <v>0</v>
      </c>
      <c r="K1423" s="99" t="s">
        <v>110</v>
      </c>
      <c r="L1423" s="91"/>
      <c r="M1423" s="91"/>
    </row>
    <row r="1424" spans="2:13" ht="15" customHeight="1" x14ac:dyDescent="0.2">
      <c r="B1424" s="10" t="s">
        <v>938</v>
      </c>
      <c r="C1424" s="10" t="s">
        <v>110</v>
      </c>
      <c r="D1424" s="16">
        <f>SUM(D1401:M1401)+D1418</f>
        <v>-127880.84470342637</v>
      </c>
    </row>
    <row r="1425" spans="1:13" ht="15" customHeight="1" x14ac:dyDescent="0.2">
      <c r="B1425" s="10" t="s">
        <v>939</v>
      </c>
      <c r="C1425" s="10" t="s">
        <v>110</v>
      </c>
      <c r="D1425" s="16">
        <f>SUM(D1408:M1408)+D1420/(Inputs!$D$7+$D$1414)^M1388</f>
        <v>6000.0000000000018</v>
      </c>
    </row>
    <row r="1426" spans="1:13" ht="15" customHeight="1" x14ac:dyDescent="0.2">
      <c r="B1426" s="10" t="s">
        <v>940</v>
      </c>
      <c r="C1426" s="10" t="s">
        <v>104</v>
      </c>
      <c r="D1426" s="30">
        <f>IF(ABS(D1411)&gt;Inputs!$D$6,D1425/D1411-Inputs!$D$7,Inputs!$D$6)</f>
        <v>2.2204460492503131E-16</v>
      </c>
    </row>
    <row r="1427" spans="1:13" ht="15" customHeight="1" x14ac:dyDescent="0.2">
      <c r="B1427" s="10" t="s">
        <v>941</v>
      </c>
      <c r="C1427" s="10" t="s">
        <v>104</v>
      </c>
      <c r="D1427" s="30">
        <f>IF(ABS(D1425)&gt;Inputs!$D$119,D1420/(Inputs!$D$7+$D$1414)^M1388/D1425,Inputs!$D$6)</f>
        <v>2.1248253072520025</v>
      </c>
    </row>
    <row r="1428" spans="1:13" ht="15" customHeight="1" x14ac:dyDescent="0.2">
      <c r="B1428" s="10" t="s">
        <v>942</v>
      </c>
      <c r="C1428" s="10" t="s">
        <v>943</v>
      </c>
      <c r="D1428" s="26">
        <f>$D$1412*Inputs!$D$8/Prices!$P$6/(Inputs!$D$26/Inputs!$D$25)/Inputs!$D$11/Inputs!$D$56</f>
        <v>6.146567262296851</v>
      </c>
    </row>
    <row r="1432" spans="1:13" ht="15" customHeight="1" x14ac:dyDescent="0.2">
      <c r="A1432" s="104" t="s">
        <v>974</v>
      </c>
      <c r="B1432" s="10" t="s">
        <v>886</v>
      </c>
      <c r="C1432" s="10" t="s">
        <v>107</v>
      </c>
      <c r="D1432" s="28">
        <f>Inputs!$D$60</f>
        <v>1</v>
      </c>
      <c r="E1432" s="28">
        <f>Inputs!$D$62</f>
        <v>2</v>
      </c>
      <c r="F1432" s="28">
        <f>Inputs!$D$64</f>
        <v>3</v>
      </c>
      <c r="G1432" s="28">
        <f>Inputs!$D$66</f>
        <v>4</v>
      </c>
      <c r="H1432" s="28">
        <f>Inputs!$D$68</f>
        <v>5</v>
      </c>
      <c r="I1432" s="28">
        <f>Inputs!$D$70</f>
        <v>6</v>
      </c>
      <c r="J1432" s="28">
        <f>Inputs!$D$72</f>
        <v>7</v>
      </c>
      <c r="K1432" s="28">
        <f>Inputs!$D$74</f>
        <v>8</v>
      </c>
      <c r="L1432" s="28">
        <f>Inputs!$D$76</f>
        <v>9</v>
      </c>
      <c r="M1432" s="28">
        <f>Inputs!$D$78</f>
        <v>10</v>
      </c>
    </row>
    <row r="1433" spans="1:13" ht="15" customHeight="1" x14ac:dyDescent="0.2">
      <c r="A1433" s="91"/>
      <c r="B1433" s="10" t="s">
        <v>887</v>
      </c>
      <c r="C1433" s="10" t="s">
        <v>161</v>
      </c>
      <c r="D1433" s="29">
        <f>Inputs!$D$61</f>
        <v>46568</v>
      </c>
      <c r="E1433" s="29">
        <f>Inputs!$D$63</f>
        <v>46934</v>
      </c>
      <c r="F1433" s="29">
        <f>Inputs!$D$65</f>
        <v>47299</v>
      </c>
      <c r="G1433" s="29">
        <f>Inputs!$D$67</f>
        <v>47664</v>
      </c>
      <c r="H1433" s="29">
        <f>Inputs!$D$69</f>
        <v>48029</v>
      </c>
      <c r="I1433" s="29">
        <f>Inputs!$D$71</f>
        <v>48395</v>
      </c>
      <c r="J1433" s="29">
        <f>Inputs!$D$73</f>
        <v>48760</v>
      </c>
      <c r="K1433" s="29">
        <f>Inputs!$D$75</f>
        <v>49125</v>
      </c>
      <c r="L1433" s="29">
        <f>Inputs!$D$77</f>
        <v>49490</v>
      </c>
      <c r="M1433" s="29">
        <f>Inputs!$D$79</f>
        <v>49856</v>
      </c>
    </row>
    <row r="1434" spans="1:13" ht="15" customHeight="1" x14ac:dyDescent="0.2">
      <c r="A1434" s="91"/>
      <c r="B1434" s="10" t="s">
        <v>888</v>
      </c>
      <c r="C1434" s="10" t="s">
        <v>107</v>
      </c>
      <c r="D1434" s="28">
        <f>(D1433-Inputs!$D$13)/Inputs!$D$10</f>
        <v>0.71457905544147848</v>
      </c>
      <c r="E1434" s="28">
        <f>(E1433-Inputs!$D$13)/Inputs!$D$10</f>
        <v>1.7166324435318274</v>
      </c>
      <c r="F1434" s="28">
        <f>(F1433-Inputs!$D$13)/Inputs!$D$10</f>
        <v>2.7159479808350446</v>
      </c>
      <c r="G1434" s="28">
        <f>(G1433-Inputs!$D$13)/Inputs!$D$10</f>
        <v>3.7152635181382614</v>
      </c>
      <c r="H1434" s="28">
        <f>(H1433-Inputs!$D$13)/Inputs!$D$10</f>
        <v>4.7145790554414786</v>
      </c>
      <c r="I1434" s="28">
        <f>(I1433-Inputs!$D$13)/Inputs!$D$10</f>
        <v>5.7166324435318279</v>
      </c>
      <c r="J1434" s="28">
        <f>(J1433-Inputs!$D$13)/Inputs!$D$10</f>
        <v>6.7159479808350442</v>
      </c>
      <c r="K1434" s="28">
        <f>(K1433-Inputs!$D$13)/Inputs!$D$10</f>
        <v>7.7152635181382614</v>
      </c>
      <c r="L1434" s="28">
        <f>(L1433-Inputs!$D$13)/Inputs!$D$10</f>
        <v>8.7145790554414777</v>
      </c>
      <c r="M1434" s="28">
        <f>(M1433-Inputs!$D$13)/Inputs!$D$10</f>
        <v>9.716632443531827</v>
      </c>
    </row>
    <row r="1435" spans="1:13" ht="15" customHeight="1" x14ac:dyDescent="0.2">
      <c r="A1435" s="91"/>
      <c r="B1435" s="10" t="s">
        <v>889</v>
      </c>
      <c r="C1435" s="10" t="s">
        <v>107</v>
      </c>
      <c r="D1435" s="28">
        <f>D1434</f>
        <v>0.71457905544147848</v>
      </c>
      <c r="E1435" s="28">
        <f>Inputs!$D$7</f>
        <v>1</v>
      </c>
      <c r="F1435" s="28">
        <f>Inputs!$D$7</f>
        <v>1</v>
      </c>
      <c r="G1435" s="28">
        <f>Inputs!$D$7</f>
        <v>1</v>
      </c>
      <c r="H1435" s="28">
        <f>Inputs!$D$7</f>
        <v>1</v>
      </c>
      <c r="I1435" s="28">
        <f>Inputs!$D$7</f>
        <v>1</v>
      </c>
      <c r="J1435" s="28">
        <f>Inputs!$D$7</f>
        <v>1</v>
      </c>
      <c r="K1435" s="28">
        <f>Inputs!$D$7</f>
        <v>1</v>
      </c>
      <c r="L1435" s="28">
        <f>Inputs!$D$7</f>
        <v>1</v>
      </c>
      <c r="M1435" s="28">
        <f>Inputs!$D$7</f>
        <v>1</v>
      </c>
    </row>
    <row r="1436" spans="1:13" ht="15" customHeight="1" x14ac:dyDescent="0.2">
      <c r="A1436" s="91"/>
      <c r="B1436" s="3" t="s">
        <v>890</v>
      </c>
      <c r="C1436" s="10" t="s">
        <v>199</v>
      </c>
      <c r="D1436" s="28">
        <f>Inputs!$D$24+(Inputs!$D$93-Inputs!$D$24)*Inputs!$D$96</f>
        <v>279.10000000000002</v>
      </c>
      <c r="E1436" s="28">
        <f>Inputs!$D$24+(Inputs!$D$93-Inputs!$D$24)*Inputs!$D$97</f>
        <v>900.7</v>
      </c>
      <c r="F1436" s="28">
        <f>Inputs!$D$24+(Inputs!$D$93-Inputs!$D$24)*Inputs!$D$98</f>
        <v>1366.8999999999999</v>
      </c>
      <c r="G1436" s="28">
        <f>Inputs!$D$24+(Inputs!$D$93-Inputs!$D$24)*Inputs!$D$99</f>
        <v>1600</v>
      </c>
      <c r="H1436" s="28">
        <f>Inputs!$D$24+(Inputs!$D$93-Inputs!$D$24)*Inputs!$D$100</f>
        <v>1600</v>
      </c>
      <c r="I1436" s="28">
        <f>Inputs!$D$24+(Inputs!$D$93-Inputs!$D$24)*Inputs!$D$101</f>
        <v>1600</v>
      </c>
      <c r="J1436" s="28">
        <f>Inputs!$D$24+(Inputs!$D$93-Inputs!$D$24)*Inputs!$D$102</f>
        <v>1600</v>
      </c>
      <c r="K1436" s="28">
        <f>Inputs!$D$24+(Inputs!$D$93-Inputs!$D$24)*Inputs!$D$103</f>
        <v>1600</v>
      </c>
      <c r="L1436" s="28">
        <f>Inputs!$D$24+(Inputs!$D$93-Inputs!$D$24)*Inputs!$D$104</f>
        <v>1600</v>
      </c>
      <c r="M1436" s="28">
        <f>Inputs!$D$24+(Inputs!$D$93-Inputs!$D$24)*Inputs!$D$105</f>
        <v>1600</v>
      </c>
    </row>
    <row r="1437" spans="1:13" ht="15" customHeight="1" x14ac:dyDescent="0.2">
      <c r="A1437" s="91"/>
      <c r="B1437" s="10" t="s">
        <v>891</v>
      </c>
      <c r="C1437" s="10" t="s">
        <v>199</v>
      </c>
      <c r="D1437" s="28">
        <f>Inputs!$D$24</f>
        <v>46</v>
      </c>
      <c r="E1437" s="28">
        <f t="shared" ref="E1437:M1437" si="310">D1436</f>
        <v>279.10000000000002</v>
      </c>
      <c r="F1437" s="28">
        <f t="shared" si="310"/>
        <v>900.7</v>
      </c>
      <c r="G1437" s="28">
        <f t="shared" si="310"/>
        <v>1366.8999999999999</v>
      </c>
      <c r="H1437" s="28">
        <f t="shared" si="310"/>
        <v>1600</v>
      </c>
      <c r="I1437" s="28">
        <f t="shared" si="310"/>
        <v>1600</v>
      </c>
      <c r="J1437" s="28">
        <f t="shared" si="310"/>
        <v>1600</v>
      </c>
      <c r="K1437" s="28">
        <f t="shared" si="310"/>
        <v>1600</v>
      </c>
      <c r="L1437" s="28">
        <f t="shared" si="310"/>
        <v>1600</v>
      </c>
      <c r="M1437" s="28">
        <f t="shared" si="310"/>
        <v>1600</v>
      </c>
    </row>
    <row r="1438" spans="1:13" ht="15" customHeight="1" x14ac:dyDescent="0.2">
      <c r="B1438" s="10" t="s">
        <v>892</v>
      </c>
      <c r="C1438" s="10" t="s">
        <v>199</v>
      </c>
      <c r="D1438" s="28">
        <f>(D1437+D1436)*Inputs!$D$12</f>
        <v>162.55000000000001</v>
      </c>
      <c r="E1438" s="28">
        <f>(E1437+E1436)*Inputs!$D$12</f>
        <v>589.90000000000009</v>
      </c>
      <c r="F1438" s="28">
        <f>(F1437+F1436)*Inputs!$D$12</f>
        <v>1133.8</v>
      </c>
      <c r="G1438" s="28">
        <f>(G1437+G1436)*Inputs!$D$12</f>
        <v>1483.4499999999998</v>
      </c>
      <c r="H1438" s="28">
        <f>(H1437+H1436)*Inputs!$D$12</f>
        <v>1600</v>
      </c>
      <c r="I1438" s="28">
        <f>(I1437+I1436)*Inputs!$D$12</f>
        <v>1600</v>
      </c>
      <c r="J1438" s="28">
        <f>(J1437+J1436)*Inputs!$D$12</f>
        <v>1600</v>
      </c>
      <c r="K1438" s="28">
        <f>(K1437+K1436)*Inputs!$D$12</f>
        <v>1600</v>
      </c>
      <c r="L1438" s="28">
        <f>(L1437+L1436)*Inputs!$D$12</f>
        <v>1600</v>
      </c>
      <c r="M1438" s="28">
        <f>(M1437+M1436)*Inputs!$D$12</f>
        <v>1600</v>
      </c>
    </row>
    <row r="1439" spans="1:13" ht="15" customHeight="1" x14ac:dyDescent="0.2">
      <c r="B1439" s="10" t="s">
        <v>893</v>
      </c>
      <c r="C1439" s="10" t="s">
        <v>199</v>
      </c>
      <c r="D1439" s="28">
        <f t="shared" ref="D1439:M1439" si="311">D1436-D1437</f>
        <v>233.10000000000002</v>
      </c>
      <c r="E1439" s="28">
        <f t="shared" si="311"/>
        <v>621.6</v>
      </c>
      <c r="F1439" s="28">
        <f t="shared" si="311"/>
        <v>466.19999999999982</v>
      </c>
      <c r="G1439" s="28">
        <f t="shared" si="311"/>
        <v>233.10000000000014</v>
      </c>
      <c r="H1439" s="28">
        <f t="shared" si="311"/>
        <v>0</v>
      </c>
      <c r="I1439" s="28">
        <f t="shared" si="311"/>
        <v>0</v>
      </c>
      <c r="J1439" s="28">
        <f t="shared" si="311"/>
        <v>0</v>
      </c>
      <c r="K1439" s="28">
        <f t="shared" si="311"/>
        <v>0</v>
      </c>
      <c r="L1439" s="28">
        <f t="shared" si="311"/>
        <v>0</v>
      </c>
      <c r="M1439" s="28">
        <f t="shared" si="311"/>
        <v>0</v>
      </c>
    </row>
    <row r="1440" spans="1:13" ht="15" customHeight="1" x14ac:dyDescent="0.2">
      <c r="B1440" s="10" t="s">
        <v>894</v>
      </c>
      <c r="C1440" s="10" t="s">
        <v>199</v>
      </c>
      <c r="D1440" s="28">
        <f>IF(MOD(D1432,Inputs!$D$21)=Inputs!$D$6,Inputs!$D$24,Inputs!$D$6)+SUMPRODUCT(--(D1432&gt;$D$1432:$M$1432),--(MOD(D1432-$D$1432:$M$1432,Inputs!$D$21)=Inputs!$D$6),$D$1439:$M$1439)</f>
        <v>0</v>
      </c>
      <c r="E1440" s="28">
        <f>IF(MOD(E1432,Inputs!$D$21)=Inputs!$D$6,Inputs!$D$24,Inputs!$D$6)+SUMPRODUCT(--(E1432&gt;$D$1432:$M$1432),--(MOD(E1432-$D$1432:$M$1432,Inputs!$D$21)=Inputs!$D$6),$D$1439:$M$1439)</f>
        <v>0</v>
      </c>
      <c r="F1440" s="28">
        <f>IF(MOD(F1432,Inputs!$D$21)=Inputs!$D$6,Inputs!$D$24,Inputs!$D$6)+SUMPRODUCT(--(F1432&gt;$D$1432:$M$1432),--(MOD(F1432-$D$1432:$M$1432,Inputs!$D$21)=Inputs!$D$6),$D$1439:$M$1439)</f>
        <v>0</v>
      </c>
      <c r="G1440" s="28">
        <f>IF(MOD(G1432,Inputs!$D$21)=Inputs!$D$6,Inputs!$D$24,Inputs!$D$6)+SUMPRODUCT(--(G1432&gt;$D$1432:$M$1432),--(MOD(G1432-$D$1432:$M$1432,Inputs!$D$21)=Inputs!$D$6),$D$1439:$M$1439)</f>
        <v>46</v>
      </c>
      <c r="H1440" s="28">
        <f>IF(MOD(H1432,Inputs!$D$21)=Inputs!$D$6,Inputs!$D$24,Inputs!$D$6)+SUMPRODUCT(--(H1432&gt;$D$1432:$M$1432),--(MOD(H1432-$D$1432:$M$1432,Inputs!$D$21)=Inputs!$D$6),$D$1439:$M$1439)</f>
        <v>233.10000000000002</v>
      </c>
      <c r="I1440" s="28">
        <f>IF(MOD(I1432,Inputs!$D$21)=Inputs!$D$6,Inputs!$D$24,Inputs!$D$6)+SUMPRODUCT(--(I1432&gt;$D$1432:$M$1432),--(MOD(I1432-$D$1432:$M$1432,Inputs!$D$21)=Inputs!$D$6),$D$1439:$M$1439)</f>
        <v>621.6</v>
      </c>
      <c r="J1440" s="28">
        <f>IF(MOD(J1432,Inputs!$D$21)=Inputs!$D$6,Inputs!$D$24,Inputs!$D$6)+SUMPRODUCT(--(J1432&gt;$D$1432:$M$1432),--(MOD(J1432-$D$1432:$M$1432,Inputs!$D$21)=Inputs!$D$6),$D$1439:$M$1439)</f>
        <v>466.19999999999982</v>
      </c>
      <c r="K1440" s="28">
        <f>IF(MOD(K1432,Inputs!$D$21)=Inputs!$D$6,Inputs!$D$24,Inputs!$D$6)+SUMPRODUCT(--(K1432&gt;$D$1432:$M$1432),--(MOD(K1432-$D$1432:$M$1432,Inputs!$D$21)=Inputs!$D$6),$D$1439:$M$1439)</f>
        <v>279.10000000000014</v>
      </c>
      <c r="L1440" s="28">
        <f>IF(MOD(L1432,Inputs!$D$21)=Inputs!$D$6,Inputs!$D$24,Inputs!$D$6)+SUMPRODUCT(--(L1432&gt;$D$1432:$M$1432),--(MOD(L1432-$D$1432:$M$1432,Inputs!$D$21)=Inputs!$D$6),$D$1439:$M$1439)</f>
        <v>233.10000000000002</v>
      </c>
      <c r="M1440" s="28">
        <f>IF(MOD(M1432,Inputs!$D$21)=Inputs!$D$6,Inputs!$D$24,Inputs!$D$6)+SUMPRODUCT(--(M1432&gt;$D$1432:$M$1432),--(MOD(M1432-$D$1432:$M$1432,Inputs!$D$21)=Inputs!$D$6),$D$1439:$M$1439)</f>
        <v>621.6</v>
      </c>
    </row>
    <row r="1441" spans="2:13" ht="15" customHeight="1" x14ac:dyDescent="0.2">
      <c r="B1441" s="10" t="s">
        <v>895</v>
      </c>
      <c r="C1441" s="10" t="s">
        <v>896</v>
      </c>
      <c r="D1441" s="28">
        <f t="shared" ref="D1441:M1441" si="312">D1438*D1435</f>
        <v>116.15482546201234</v>
      </c>
      <c r="E1441" s="28">
        <f t="shared" si="312"/>
        <v>589.90000000000009</v>
      </c>
      <c r="F1441" s="28">
        <f t="shared" si="312"/>
        <v>1133.8</v>
      </c>
      <c r="G1441" s="28">
        <f t="shared" si="312"/>
        <v>1483.4499999999998</v>
      </c>
      <c r="H1441" s="28">
        <f t="shared" si="312"/>
        <v>1600</v>
      </c>
      <c r="I1441" s="28">
        <f t="shared" si="312"/>
        <v>1600</v>
      </c>
      <c r="J1441" s="28">
        <f t="shared" si="312"/>
        <v>1600</v>
      </c>
      <c r="K1441" s="28">
        <f t="shared" si="312"/>
        <v>1600</v>
      </c>
      <c r="L1441" s="28">
        <f t="shared" si="312"/>
        <v>1600</v>
      </c>
      <c r="M1441" s="28">
        <f t="shared" si="312"/>
        <v>1600</v>
      </c>
    </row>
    <row r="1442" spans="2:13" ht="15" customHeight="1" x14ac:dyDescent="0.2">
      <c r="B1442" s="10" t="s">
        <v>897</v>
      </c>
      <c r="C1442" s="10" t="s">
        <v>110</v>
      </c>
      <c r="D1442" s="16">
        <f>D1441*($D$1461/Inputs!$D$21+$D$1462/Inputs!$D$22)</f>
        <v>1680.51014411561</v>
      </c>
      <c r="E1442" s="16">
        <f>E1441*($D$1461/Inputs!$D$21+$D$1462/Inputs!$D$22)</f>
        <v>8534.5824426210111</v>
      </c>
      <c r="F1442" s="16">
        <f>F1441*($D$1461/Inputs!$D$21+$D$1462/Inputs!$D$22)</f>
        <v>16403.643962440583</v>
      </c>
      <c r="G1442" s="16">
        <f>G1441*($D$1461/Inputs!$D$21+$D$1462/Inputs!$D$22)</f>
        <v>21462.326368038881</v>
      </c>
      <c r="H1442" s="16">
        <f>H1441*($D$1461/Inputs!$D$21+$D$1462/Inputs!$D$22)</f>
        <v>23148.553836571649</v>
      </c>
      <c r="I1442" s="16">
        <f>I1441*($D$1461/Inputs!$D$21+$D$1462/Inputs!$D$22)</f>
        <v>23148.553836571649</v>
      </c>
      <c r="J1442" s="16">
        <f>J1441*($D$1461/Inputs!$D$21+$D$1462/Inputs!$D$22)</f>
        <v>23148.553836571649</v>
      </c>
      <c r="K1442" s="16">
        <f>K1441*($D$1461/Inputs!$D$21+$D$1462/Inputs!$D$22)</f>
        <v>23148.553836571649</v>
      </c>
      <c r="L1442" s="16">
        <f>L1441*($D$1461/Inputs!$D$21+$D$1462/Inputs!$D$22)</f>
        <v>23148.553836571649</v>
      </c>
      <c r="M1442" s="16">
        <f>M1441*($D$1461/Inputs!$D$21+$D$1462/Inputs!$D$22)</f>
        <v>23148.553836571649</v>
      </c>
    </row>
    <row r="1443" spans="2:13" ht="15" customHeight="1" x14ac:dyDescent="0.2">
      <c r="B1443" s="10" t="s">
        <v>898</v>
      </c>
      <c r="C1443" s="10" t="s">
        <v>110</v>
      </c>
      <c r="D1443" s="16">
        <f t="shared" ref="D1443:M1443" si="313">D1439*($D$1461+$D$1462)</f>
        <v>13977.887419483886</v>
      </c>
      <c r="E1443" s="16">
        <f t="shared" si="313"/>
        <v>37274.36645195703</v>
      </c>
      <c r="F1443" s="16">
        <f t="shared" si="313"/>
        <v>27955.774838967762</v>
      </c>
      <c r="G1443" s="16">
        <f t="shared" si="313"/>
        <v>13977.887419483894</v>
      </c>
      <c r="H1443" s="16">
        <f t="shared" si="313"/>
        <v>0</v>
      </c>
      <c r="I1443" s="16">
        <f t="shared" si="313"/>
        <v>0</v>
      </c>
      <c r="J1443" s="16">
        <f t="shared" si="313"/>
        <v>0</v>
      </c>
      <c r="K1443" s="16">
        <f t="shared" si="313"/>
        <v>0</v>
      </c>
      <c r="L1443" s="16">
        <f t="shared" si="313"/>
        <v>0</v>
      </c>
      <c r="M1443" s="16">
        <f t="shared" si="313"/>
        <v>0</v>
      </c>
    </row>
    <row r="1444" spans="2:13" ht="15" customHeight="1" x14ac:dyDescent="0.2">
      <c r="B1444" s="10" t="s">
        <v>899</v>
      </c>
      <c r="C1444" s="10" t="s">
        <v>110</v>
      </c>
      <c r="D1444" s="16">
        <f t="shared" ref="D1444:M1444" si="314">D1440*$D$1461</f>
        <v>0</v>
      </c>
      <c r="E1444" s="16">
        <f t="shared" si="314"/>
        <v>0</v>
      </c>
      <c r="F1444" s="16">
        <f t="shared" si="314"/>
        <v>0</v>
      </c>
      <c r="G1444" s="16">
        <f t="shared" si="314"/>
        <v>2638.0048485671714</v>
      </c>
      <c r="H1444" s="16">
        <f t="shared" si="314"/>
        <v>13367.802830456689</v>
      </c>
      <c r="I1444" s="16">
        <f t="shared" si="314"/>
        <v>35647.47421455117</v>
      </c>
      <c r="J1444" s="16">
        <f t="shared" si="314"/>
        <v>26735.605660913367</v>
      </c>
      <c r="K1444" s="16">
        <f t="shared" si="314"/>
        <v>16005.807679023867</v>
      </c>
      <c r="L1444" s="16">
        <f t="shared" si="314"/>
        <v>13367.802830456689</v>
      </c>
      <c r="M1444" s="16">
        <f t="shared" si="314"/>
        <v>35647.47421455117</v>
      </c>
    </row>
    <row r="1445" spans="2:13" ht="15" customHeight="1" x14ac:dyDescent="0.2">
      <c r="B1445" s="10" t="s">
        <v>900</v>
      </c>
      <c r="C1445" s="10" t="s">
        <v>199</v>
      </c>
      <c r="D1445" s="28">
        <f>D1439*Inputs!$D$23</f>
        <v>5.8275000000000006</v>
      </c>
      <c r="E1445" s="28">
        <f>E1439*Inputs!$D$23</f>
        <v>15.540000000000001</v>
      </c>
      <c r="F1445" s="28">
        <f>F1439*Inputs!$D$23</f>
        <v>11.654999999999996</v>
      </c>
      <c r="G1445" s="28">
        <f>G1439*Inputs!$D$23</f>
        <v>5.8275000000000041</v>
      </c>
      <c r="H1445" s="28">
        <f>H1439*Inputs!$D$23</f>
        <v>0</v>
      </c>
      <c r="I1445" s="28">
        <f>I1439*Inputs!$D$23</f>
        <v>0</v>
      </c>
      <c r="J1445" s="28">
        <f>J1439*Inputs!$D$23</f>
        <v>0</v>
      </c>
      <c r="K1445" s="28">
        <f>K1439*Inputs!$D$23</f>
        <v>0</v>
      </c>
      <c r="L1445" s="28">
        <f>L1439*Inputs!$D$23</f>
        <v>0</v>
      </c>
      <c r="M1445" s="28">
        <f>M1439*Inputs!$D$23</f>
        <v>0</v>
      </c>
    </row>
    <row r="1446" spans="2:13" ht="15" customHeight="1" x14ac:dyDescent="0.2">
      <c r="B1446" s="3" t="s">
        <v>901</v>
      </c>
      <c r="C1446" s="10" t="s">
        <v>896</v>
      </c>
      <c r="D1446" s="28">
        <f>(D1441*$D$1459*(Inputs!$D$7-Inputs!$D$19)-D1445)/(Inputs!$D$7+$D$1460)^D1434</f>
        <v>50.541318213721269</v>
      </c>
      <c r="E1446" s="28">
        <f>(E1441*$D$1459*(Inputs!$D$7-Inputs!$D$19)-E1445)/(Inputs!$D$7+$D$1460)^E1434</f>
        <v>238.4864713152904</v>
      </c>
      <c r="F1446" s="28">
        <f>(F1441*$D$1459*(Inputs!$D$7-Inputs!$D$19)-F1445)/(Inputs!$D$7+$D$1460)^F1434</f>
        <v>418.74491871678316</v>
      </c>
      <c r="G1446" s="28">
        <f>(G1441*$D$1459*(Inputs!$D$7-Inputs!$D$19)-G1445)/(Inputs!$D$7+$D$1460)^G1434</f>
        <v>490.87392073514752</v>
      </c>
      <c r="H1446" s="28">
        <f>(H1441*$D$1459*(Inputs!$D$7-Inputs!$D$19)-H1445)/(Inputs!$D$7+$D$1460)^H1434</f>
        <v>472.10300862628105</v>
      </c>
      <c r="I1446" s="28">
        <f>(I1441*$D$1459*(Inputs!$D$7-Inputs!$D$19)-I1445)/(Inputs!$D$7+$D$1460)^I1434</f>
        <v>417.68543753228789</v>
      </c>
      <c r="J1446" s="28">
        <f>(J1441*$D$1459*(Inputs!$D$7-Inputs!$D$19)-J1445)/(Inputs!$D$7+$D$1460)^J1434</f>
        <v>369.66405292491049</v>
      </c>
      <c r="K1446" s="28">
        <f>(K1441*$D$1459*(Inputs!$D$7-Inputs!$D$19)-K1445)/(Inputs!$D$7+$D$1460)^K1434</f>
        <v>327.16369723641031</v>
      </c>
      <c r="L1446" s="28">
        <f>(L1441*$D$1459*(Inputs!$D$7-Inputs!$D$19)-L1445)/(Inputs!$D$7+$D$1460)^L1434</f>
        <v>289.54961658427663</v>
      </c>
      <c r="M1446" s="28">
        <f>(M1441*$D$1459*(Inputs!$D$7-Inputs!$D$19)-M1445)/(Inputs!$D$7+$D$1460)^M1434</f>
        <v>256.17430111750662</v>
      </c>
    </row>
    <row r="1447" spans="2:13" ht="15" customHeight="1" x14ac:dyDescent="0.2">
      <c r="B1447" s="10" t="s">
        <v>902</v>
      </c>
      <c r="C1447" s="10" t="s">
        <v>110</v>
      </c>
      <c r="D1447" s="16">
        <f>(D1442*Inputs!$D$19-D1443-D1444)/(Inputs!$D$7+$D$1460)^D1434</f>
        <v>-12346.937146613671</v>
      </c>
      <c r="E1447" s="16">
        <f>(E1442*Inputs!$D$19-E1443-E1444)/(Inputs!$D$7+$D$1460)^E1434</f>
        <v>-28144.165592831177</v>
      </c>
      <c r="F1447" s="16">
        <f>(F1442*Inputs!$D$19-F1443-F1444)/(Inputs!$D$7+$D$1460)^F1434</f>
        <v>-16528.13772562052</v>
      </c>
      <c r="G1447" s="16">
        <f>(G1442*Inputs!$D$19-G1443-G1444)/(Inputs!$D$7+$D$1460)^G1434</f>
        <v>-6462.9033875784253</v>
      </c>
      <c r="H1447" s="16">
        <f>(H1442*Inputs!$D$19-H1443-H1444)/(Inputs!$D$7+$D$1460)^H1434</f>
        <v>-3610.0349541710043</v>
      </c>
      <c r="I1447" s="16">
        <f>(I1442*Inputs!$D$19-I1443-I1444)/(Inputs!$D$7+$D$1460)^I1434</f>
        <v>-14272.365134506323</v>
      </c>
      <c r="J1447" s="16">
        <f>(J1442*Inputs!$D$19-J1443-J1444)/(Inputs!$D$7+$D$1460)^J1434</f>
        <v>-8709.5665200501735</v>
      </c>
      <c r="K1447" s="16">
        <f>(K1442*Inputs!$D$19-K1443-K1444)/(Inputs!$D$7+$D$1460)^K1434</f>
        <v>-3529.1777141306115</v>
      </c>
      <c r="L1447" s="16">
        <f>(L1442*Inputs!$D$19-L1443-L1444)/(Inputs!$D$7+$D$1460)^L1434</f>
        <v>-2214.1020449702382</v>
      </c>
      <c r="M1447" s="16">
        <f>(M1442*Inputs!$D$19-M1443-M1444)/(Inputs!$D$7+$D$1460)^M1434</f>
        <v>-8753.5088252709138</v>
      </c>
    </row>
    <row r="1448" spans="2:13" ht="15" customHeight="1" x14ac:dyDescent="0.2">
      <c r="B1448" s="10" t="s">
        <v>903</v>
      </c>
      <c r="C1448" s="10" t="s">
        <v>110</v>
      </c>
      <c r="D1448" s="16">
        <f t="shared" ref="D1448:M1448" si="315">D1441*$D$1458</f>
        <v>3303.5672808769318</v>
      </c>
      <c r="E1448" s="16">
        <f t="shared" si="315"/>
        <v>16777.385969441588</v>
      </c>
      <c r="F1448" s="16">
        <f t="shared" si="315"/>
        <v>32246.482814295421</v>
      </c>
      <c r="G1448" s="16">
        <f t="shared" si="315"/>
        <v>42190.902214558599</v>
      </c>
      <c r="H1448" s="16">
        <f t="shared" si="315"/>
        <v>45505.708681312994</v>
      </c>
      <c r="I1448" s="16">
        <f t="shared" si="315"/>
        <v>45505.708681312994</v>
      </c>
      <c r="J1448" s="16">
        <f t="shared" si="315"/>
        <v>45505.708681312994</v>
      </c>
      <c r="K1448" s="16">
        <f t="shared" si="315"/>
        <v>45505.708681312994</v>
      </c>
      <c r="L1448" s="16">
        <f t="shared" si="315"/>
        <v>45505.708681312994</v>
      </c>
      <c r="M1448" s="16">
        <f t="shared" si="315"/>
        <v>45505.708681312994</v>
      </c>
    </row>
    <row r="1449" spans="2:13" ht="15" customHeight="1" x14ac:dyDescent="0.2">
      <c r="B1449" s="10" t="s">
        <v>904</v>
      </c>
      <c r="C1449" s="10" t="s">
        <v>110</v>
      </c>
      <c r="D1449" s="16">
        <f t="shared" ref="D1449:M1449" si="316">D1448*$D$1459</f>
        <v>2477.6754606576987</v>
      </c>
      <c r="E1449" s="16">
        <f t="shared" si="316"/>
        <v>12583.039477081191</v>
      </c>
      <c r="F1449" s="16">
        <f t="shared" si="316"/>
        <v>24184.862110721566</v>
      </c>
      <c r="G1449" s="16">
        <f t="shared" si="316"/>
        <v>31643.176660918951</v>
      </c>
      <c r="H1449" s="16">
        <f t="shared" si="316"/>
        <v>34129.281510984743</v>
      </c>
      <c r="I1449" s="16">
        <f t="shared" si="316"/>
        <v>34129.281510984743</v>
      </c>
      <c r="J1449" s="16">
        <f t="shared" si="316"/>
        <v>34129.281510984743</v>
      </c>
      <c r="K1449" s="16">
        <f t="shared" si="316"/>
        <v>34129.281510984743</v>
      </c>
      <c r="L1449" s="16">
        <f t="shared" si="316"/>
        <v>34129.281510984743</v>
      </c>
      <c r="M1449" s="16">
        <f t="shared" si="316"/>
        <v>34129.281510984743</v>
      </c>
    </row>
    <row r="1450" spans="2:13" ht="15" customHeight="1" x14ac:dyDescent="0.2">
      <c r="B1450" s="10" t="s">
        <v>905</v>
      </c>
      <c r="C1450" s="10" t="s">
        <v>110</v>
      </c>
      <c r="D1450" s="16">
        <f t="shared" ref="D1450:M1450" si="317">D1449-D1442</f>
        <v>797.1653165420887</v>
      </c>
      <c r="E1450" s="16">
        <f t="shared" si="317"/>
        <v>4048.4570344601798</v>
      </c>
      <c r="F1450" s="16">
        <f t="shared" si="317"/>
        <v>7781.2181482809829</v>
      </c>
      <c r="G1450" s="16">
        <f t="shared" si="317"/>
        <v>10180.85029288007</v>
      </c>
      <c r="H1450" s="16">
        <f t="shared" si="317"/>
        <v>10980.727674413094</v>
      </c>
      <c r="I1450" s="16">
        <f t="shared" si="317"/>
        <v>10980.727674413094</v>
      </c>
      <c r="J1450" s="16">
        <f t="shared" si="317"/>
        <v>10980.727674413094</v>
      </c>
      <c r="K1450" s="16">
        <f t="shared" si="317"/>
        <v>10980.727674413094</v>
      </c>
      <c r="L1450" s="16">
        <f t="shared" si="317"/>
        <v>10980.727674413094</v>
      </c>
      <c r="M1450" s="16">
        <f t="shared" si="317"/>
        <v>10980.727674413094</v>
      </c>
    </row>
    <row r="1451" spans="2:13" ht="15" customHeight="1" x14ac:dyDescent="0.2">
      <c r="B1451" s="10" t="s">
        <v>906</v>
      </c>
      <c r="C1451" s="10" t="s">
        <v>110</v>
      </c>
      <c r="D1451" s="16">
        <f>MAX(D1450,Inputs!$D$6)*Inputs!$D$19</f>
        <v>239.14959496262659</v>
      </c>
      <c r="E1451" s="16">
        <f>MAX(E1450,Inputs!$D$6)*Inputs!$D$19</f>
        <v>1214.5371103380539</v>
      </c>
      <c r="F1451" s="16">
        <f>MAX(F1450,Inputs!$D$6)*Inputs!$D$19</f>
        <v>2334.3654444842946</v>
      </c>
      <c r="G1451" s="16">
        <f>MAX(G1450,Inputs!$D$6)*Inputs!$D$19</f>
        <v>3054.2550878640209</v>
      </c>
      <c r="H1451" s="16">
        <f>MAX(H1450,Inputs!$D$6)*Inputs!$D$19</f>
        <v>3294.2183023239281</v>
      </c>
      <c r="I1451" s="16">
        <f>MAX(I1450,Inputs!$D$6)*Inputs!$D$19</f>
        <v>3294.2183023239281</v>
      </c>
      <c r="J1451" s="16">
        <f>MAX(J1450,Inputs!$D$6)*Inputs!$D$19</f>
        <v>3294.2183023239281</v>
      </c>
      <c r="K1451" s="16">
        <f>MAX(K1450,Inputs!$D$6)*Inputs!$D$19</f>
        <v>3294.2183023239281</v>
      </c>
      <c r="L1451" s="16">
        <f>MAX(L1450,Inputs!$D$6)*Inputs!$D$19</f>
        <v>3294.2183023239281</v>
      </c>
      <c r="M1451" s="16">
        <f>MAX(M1450,Inputs!$D$6)*Inputs!$D$19</f>
        <v>3294.2183023239281</v>
      </c>
    </row>
    <row r="1452" spans="2:13" ht="15" customHeight="1" x14ac:dyDescent="0.2">
      <c r="B1452" s="10" t="s">
        <v>907</v>
      </c>
      <c r="C1452" s="10" t="s">
        <v>110</v>
      </c>
      <c r="D1452" s="16">
        <f t="shared" ref="D1452:M1452" si="318">D1445*$D$1458</f>
        <v>165.7403233377197</v>
      </c>
      <c r="E1452" s="16">
        <f t="shared" si="318"/>
        <v>441.97419556725248</v>
      </c>
      <c r="F1452" s="16">
        <f t="shared" si="318"/>
        <v>331.48064667543923</v>
      </c>
      <c r="G1452" s="16">
        <f t="shared" si="318"/>
        <v>165.74032333771979</v>
      </c>
      <c r="H1452" s="16">
        <f t="shared" si="318"/>
        <v>0</v>
      </c>
      <c r="I1452" s="16">
        <f t="shared" si="318"/>
        <v>0</v>
      </c>
      <c r="J1452" s="16">
        <f t="shared" si="318"/>
        <v>0</v>
      </c>
      <c r="K1452" s="16">
        <f t="shared" si="318"/>
        <v>0</v>
      </c>
      <c r="L1452" s="16">
        <f t="shared" si="318"/>
        <v>0</v>
      </c>
      <c r="M1452" s="16">
        <f t="shared" si="318"/>
        <v>0</v>
      </c>
    </row>
    <row r="1453" spans="2:13" ht="15" customHeight="1" x14ac:dyDescent="0.2">
      <c r="B1453" s="10" t="s">
        <v>908</v>
      </c>
      <c r="C1453" s="10" t="s">
        <v>110</v>
      </c>
      <c r="D1453" s="16">
        <f t="shared" ref="D1453:M1453" si="319">D1449-D1451-D1443-D1444-D1452</f>
        <v>-11905.101877126534</v>
      </c>
      <c r="E1453" s="16">
        <f t="shared" si="319"/>
        <v>-26347.838280781143</v>
      </c>
      <c r="F1453" s="16">
        <f t="shared" si="319"/>
        <v>-6436.758819405929</v>
      </c>
      <c r="G1453" s="16">
        <f t="shared" si="319"/>
        <v>11807.288981666145</v>
      </c>
      <c r="H1453" s="16">
        <f t="shared" si="319"/>
        <v>17467.260378204126</v>
      </c>
      <c r="I1453" s="16">
        <f t="shared" si="319"/>
        <v>-4812.4110058903534</v>
      </c>
      <c r="J1453" s="16">
        <f t="shared" si="319"/>
        <v>4099.45754774745</v>
      </c>
      <c r="K1453" s="16">
        <f t="shared" si="319"/>
        <v>14829.25552963695</v>
      </c>
      <c r="L1453" s="16">
        <f t="shared" si="319"/>
        <v>17467.260378204126</v>
      </c>
      <c r="M1453" s="16">
        <f t="shared" si="319"/>
        <v>-4812.4110058903534</v>
      </c>
    </row>
    <row r="1454" spans="2:13" ht="15" customHeight="1" x14ac:dyDescent="0.2">
      <c r="B1454" s="10" t="s">
        <v>909</v>
      </c>
      <c r="C1454" s="10" t="s">
        <v>110</v>
      </c>
      <c r="D1454" s="16">
        <f>D1453/(Inputs!$D$7+$D$1460)^D1434</f>
        <v>-10909.488082236709</v>
      </c>
      <c r="E1454" s="16">
        <f>E1453/(Inputs!$D$7+$D$1460)^E1434</f>
        <v>-21361.35566276373</v>
      </c>
      <c r="F1454" s="16">
        <f>F1453/(Inputs!$D$7+$D$1460)^F1434</f>
        <v>-4618.5850488042524</v>
      </c>
      <c r="G1454" s="16">
        <f>G1453/(Inputs!$D$7+$D$1460)^G1434</f>
        <v>7498.0751350637947</v>
      </c>
      <c r="H1454" s="16">
        <f>H1453/(Inputs!$D$7+$D$1460)^H1434</f>
        <v>9817.078782153334</v>
      </c>
      <c r="I1454" s="16">
        <f>I1453/(Inputs!$D$7+$D$1460)^I1434</f>
        <v>-2392.9452340244165</v>
      </c>
      <c r="J1454" s="16">
        <f>J1453/(Inputs!$D$7+$D$1460)^J1434</f>
        <v>1804.0739189213537</v>
      </c>
      <c r="K1454" s="16">
        <f>K1453/(Inputs!$D$7+$D$1460)^K1434</f>
        <v>5775.7072218327457</v>
      </c>
      <c r="L1454" s="16">
        <f>L1453/(Inputs!$D$7+$D$1460)^L1434</f>
        <v>6020.9982681984893</v>
      </c>
      <c r="M1454" s="16">
        <f>M1453/(Inputs!$D$7+$D$1460)^M1434</f>
        <v>-1467.6381263382837</v>
      </c>
    </row>
    <row r="1455" spans="2:13" ht="15" customHeight="1" x14ac:dyDescent="0.2">
      <c r="B1455" s="3" t="s">
        <v>910</v>
      </c>
      <c r="C1455" s="10" t="s">
        <v>896</v>
      </c>
      <c r="D1455" s="28">
        <f>(D1441*$D$1459-D1445)/(Inputs!$D$7+$D$1460)^D1434</f>
        <v>74.490519309095831</v>
      </c>
      <c r="E1455" s="28">
        <f>(E1441*$D$1459-E1445)/(Inputs!$D$7+$D$1460)^E1434</f>
        <v>346.09451503846662</v>
      </c>
      <c r="F1455" s="28">
        <f>(F1441*$D$1459-F1445)/(Inputs!$D$7+$D$1460)^F1434</f>
        <v>601.79110266312398</v>
      </c>
      <c r="G1455" s="28">
        <f>(G1441*$D$1459-G1445)/(Inputs!$D$7+$D$1460)^G1434</f>
        <v>702.83446516544734</v>
      </c>
      <c r="H1455" s="28">
        <f>(H1441*$D$1459-H1445)/(Inputs!$D$7+$D$1460)^H1434</f>
        <v>674.43286946611579</v>
      </c>
      <c r="I1455" s="28">
        <f>(I1441*$D$1459-I1445)/(Inputs!$D$7+$D$1460)^I1434</f>
        <v>596.69348218898278</v>
      </c>
      <c r="J1455" s="28">
        <f>(J1441*$D$1459-J1445)/(Inputs!$D$7+$D$1460)^J1434</f>
        <v>528.09150417844353</v>
      </c>
      <c r="K1455" s="28">
        <f>(K1441*$D$1459-K1445)/(Inputs!$D$7+$D$1460)^K1434</f>
        <v>467.37671033772904</v>
      </c>
      <c r="L1455" s="28">
        <f>(L1441*$D$1459-L1445)/(Inputs!$D$7+$D$1460)^L1434</f>
        <v>413.64230940610946</v>
      </c>
      <c r="M1455" s="28">
        <f>(M1441*$D$1459-M1445)/(Inputs!$D$7+$D$1460)^M1434</f>
        <v>365.96328731072373</v>
      </c>
    </row>
    <row r="1456" spans="2:13" ht="15" customHeight="1" x14ac:dyDescent="0.2">
      <c r="B1456" s="10" t="s">
        <v>911</v>
      </c>
      <c r="C1456" s="10" t="s">
        <v>110</v>
      </c>
      <c r="D1456" s="16">
        <f>(-D1443-D1444)/(Inputs!$D$7+$D$1460)^D1434</f>
        <v>-12808.928289029636</v>
      </c>
      <c r="E1456" s="16">
        <f>(-E1443-E1444)/(Inputs!$D$7+$D$1460)^E1434</f>
        <v>-30219.974420642928</v>
      </c>
      <c r="F1456" s="16">
        <f>(-F1443-F1444)/(Inputs!$D$7+$D$1460)^F1434</f>
        <v>-20059.183095337907</v>
      </c>
      <c r="G1456" s="16">
        <f>(-G1443-G1444)/(Inputs!$D$7+$D$1460)^G1434</f>
        <v>-10551.720115889953</v>
      </c>
      <c r="H1456" s="16">
        <f>(-H1443-H1444)/(Inputs!$D$7+$D$1460)^H1434</f>
        <v>-7513.0713511684744</v>
      </c>
      <c r="I1456" s="16">
        <f>(-I1443-I1444)/(Inputs!$D$7+$D$1460)^I1434</f>
        <v>-17725.512933602091</v>
      </c>
      <c r="J1456" s="16">
        <f>(-J1443-J1444)/(Inputs!$D$7+$D$1460)^J1434</f>
        <v>-11765.705173827875</v>
      </c>
      <c r="K1456" s="16">
        <f>(-K1443-K1444)/(Inputs!$D$7+$D$1460)^K1434</f>
        <v>-6233.95144943378</v>
      </c>
      <c r="L1456" s="16">
        <f>(-L1443-L1444)/(Inputs!$D$7+$D$1460)^L1434</f>
        <v>-4607.9073620630261</v>
      </c>
      <c r="M1456" s="16">
        <f>(-M1443-M1444)/(Inputs!$D$7+$D$1460)^M1434</f>
        <v>-10871.389039901173</v>
      </c>
    </row>
    <row r="1457" spans="2:13" ht="15" customHeight="1" x14ac:dyDescent="0.2">
      <c r="B1457" s="10" t="s">
        <v>912</v>
      </c>
      <c r="C1457" s="10" t="s">
        <v>110</v>
      </c>
      <c r="D1457" s="16">
        <f>Prices!I11</f>
        <v>6000</v>
      </c>
    </row>
    <row r="1458" spans="2:13" ht="15" customHeight="1" x14ac:dyDescent="0.2">
      <c r="B1458" s="3" t="s">
        <v>913</v>
      </c>
      <c r="C1458" s="10" t="s">
        <v>914</v>
      </c>
      <c r="D1458" s="28">
        <f>IF(J1465&gt;=J1461,J1465,(D1457-J1464)/J1463)</f>
        <v>28.441067925820622</v>
      </c>
      <c r="G1458" s="99" t="s">
        <v>915</v>
      </c>
      <c r="H1458" s="91"/>
      <c r="I1458" s="91"/>
      <c r="J1458" s="28">
        <f>D1458*Inputs!$D$15</f>
        <v>19.84902130543021</v>
      </c>
      <c r="K1458" s="99" t="s">
        <v>916</v>
      </c>
      <c r="L1458" s="91"/>
      <c r="M1458" s="91"/>
    </row>
    <row r="1459" spans="2:13" ht="15" customHeight="1" x14ac:dyDescent="0.2">
      <c r="B1459" s="10" t="s">
        <v>917</v>
      </c>
      <c r="C1459" s="10" t="s">
        <v>104</v>
      </c>
      <c r="D1459" s="30">
        <f>Inputs!$D$94</f>
        <v>0.75</v>
      </c>
      <c r="G1459" s="99" t="s">
        <v>918</v>
      </c>
      <c r="H1459" s="91"/>
      <c r="I1459" s="91"/>
      <c r="J1459" s="28">
        <f>IF(-D1470/D1469&gt;=J1461,-D1470/D1469,-J1464/J1463)</f>
        <v>27.411702074287536</v>
      </c>
      <c r="K1459" s="99" t="s">
        <v>919</v>
      </c>
      <c r="L1459" s="91"/>
      <c r="M1459" s="91"/>
    </row>
    <row r="1460" spans="2:13" ht="15" customHeight="1" x14ac:dyDescent="0.2">
      <c r="B1460" s="10" t="s">
        <v>920</v>
      </c>
      <c r="C1460" s="10" t="s">
        <v>104</v>
      </c>
      <c r="D1460" s="30">
        <f>Inputs!$D$95</f>
        <v>0.13</v>
      </c>
      <c r="G1460" s="99" t="s">
        <v>918</v>
      </c>
      <c r="H1460" s="91"/>
      <c r="I1460" s="91"/>
      <c r="J1460" s="28">
        <f>J1459*Inputs!$D$15</f>
        <v>19.13062687764527</v>
      </c>
      <c r="K1460" s="99" t="s">
        <v>916</v>
      </c>
      <c r="L1460" s="91"/>
      <c r="M1460" s="91"/>
    </row>
    <row r="1461" spans="2:13" ht="15" customHeight="1" x14ac:dyDescent="0.2">
      <c r="B1461" s="3" t="s">
        <v>921</v>
      </c>
      <c r="C1461" s="10" t="s">
        <v>848</v>
      </c>
      <c r="D1461" s="28">
        <f>Capital!$D$13</f>
        <v>57.347931490590682</v>
      </c>
      <c r="G1461" s="99" t="s">
        <v>922</v>
      </c>
      <c r="H1461" s="91"/>
      <c r="I1461" s="91"/>
      <c r="J1461" s="28">
        <f>($D$1461/Inputs!$D$21+$D$1462/Inputs!$D$22)/$D$1459</f>
        <v>19.290461530476374</v>
      </c>
      <c r="K1461" s="99" t="s">
        <v>919</v>
      </c>
      <c r="L1461" s="91"/>
      <c r="M1461" s="91"/>
    </row>
    <row r="1462" spans="2:13" ht="15" customHeight="1" x14ac:dyDescent="0.2">
      <c r="B1462" s="3" t="s">
        <v>923</v>
      </c>
      <c r="C1462" s="10" t="s">
        <v>848</v>
      </c>
      <c r="D1462" s="28">
        <f>Capital!$D$14</f>
        <v>2.6172655041921802</v>
      </c>
    </row>
    <row r="1463" spans="2:13" ht="15" customHeight="1" x14ac:dyDescent="0.2">
      <c r="B1463" s="10" t="s">
        <v>924</v>
      </c>
      <c r="C1463" s="10" t="s">
        <v>896</v>
      </c>
      <c r="D1463" s="28">
        <f>(M1436*(Inputs!$D$7+Inputs!$D$20)*$D$1459*(Inputs!$D$7-Inputs!$D$19)-M1436*Inputs!$D$20*Inputs!$D$23)/($D$1460-Inputs!$D$20)/(Inputs!$D$7+$D$1460)^M1434</f>
        <v>2497.8446594223992</v>
      </c>
      <c r="G1463" s="92" t="s">
        <v>910</v>
      </c>
      <c r="H1463" s="91"/>
      <c r="I1463" s="91"/>
      <c r="J1463" s="28">
        <f>SUM(D1455:M1455)+(M1436*(Inputs!$D$7+Inputs!$D$20)*$D$1459-M1436*Inputs!$D$20*Inputs!$D$23)/($D$1460-Inputs!$D$20)/(Inputs!$D$7+$D$1460)^M1434</f>
        <v>8341.0050516109004</v>
      </c>
      <c r="K1463" s="99" t="s">
        <v>896</v>
      </c>
      <c r="L1463" s="91"/>
      <c r="M1463" s="91"/>
    </row>
    <row r="1464" spans="2:13" ht="15" customHeight="1" x14ac:dyDescent="0.2">
      <c r="B1464" s="10" t="s">
        <v>925</v>
      </c>
      <c r="C1464" s="10" t="s">
        <v>110</v>
      </c>
      <c r="D1464" s="16">
        <f>(D1467*Inputs!$D$19-D1467-D1468)/($D$1460-Inputs!$D$20)/(Inputs!$D$7+$D$1460)^M1434</f>
        <v>-55207.290798783099</v>
      </c>
      <c r="G1464" s="92" t="s">
        <v>926</v>
      </c>
      <c r="H1464" s="91"/>
      <c r="I1464" s="91"/>
      <c r="J1464" s="16">
        <f>SUM(D1456:M1456)-(D1467+D1468)/($D$1460-Inputs!$D$20)/(Inputs!$D$7+$D$1460)^M1434</f>
        <v>-208239.17898202292</v>
      </c>
      <c r="K1464" s="99" t="s">
        <v>110</v>
      </c>
      <c r="L1464" s="91"/>
      <c r="M1464" s="91"/>
    </row>
    <row r="1465" spans="2:13" ht="15" customHeight="1" x14ac:dyDescent="0.2">
      <c r="B1465" s="10" t="s">
        <v>927</v>
      </c>
      <c r="C1465" s="10" t="s">
        <v>928</v>
      </c>
      <c r="D1465" s="16">
        <f>(M1436*(Inputs!$D$7+Inputs!$D$20)*$D$1458*$D$1459-D1467)-MAX((M1436*(Inputs!$D$7+Inputs!$D$20)*$D$1458*$D$1459-D1467),Inputs!$D$6)*Inputs!$D$19-D1468-M1436*Inputs!$D$20*$D$1458*Inputs!$D$23</f>
        <v>5451.6231586742588</v>
      </c>
      <c r="G1465" s="99" t="s">
        <v>929</v>
      </c>
      <c r="H1465" s="91"/>
      <c r="I1465" s="91"/>
      <c r="J1465" s="28">
        <f>(D1457-D1470)/D1469</f>
        <v>28.441067925820622</v>
      </c>
      <c r="K1465" s="99" t="s">
        <v>919</v>
      </c>
      <c r="L1465" s="91"/>
      <c r="M1465" s="91"/>
    </row>
    <row r="1466" spans="2:13" ht="15" customHeight="1" x14ac:dyDescent="0.2">
      <c r="B1466" s="10" t="s">
        <v>930</v>
      </c>
      <c r="C1466" s="10" t="s">
        <v>110</v>
      </c>
      <c r="D1466" s="16">
        <f>D1465/($D$1460-Inputs!$D$20)</f>
        <v>51920.220558802459</v>
      </c>
      <c r="G1466" s="99" t="s">
        <v>931</v>
      </c>
      <c r="H1466" s="91"/>
      <c r="I1466" s="91"/>
      <c r="J1466" s="16">
        <f>MIN(D1450:M1450,(M1436*(Inputs!$D$7+Inputs!$D$20)*$D$1458*$D$1459-D1467))</f>
        <v>797.1653165420887</v>
      </c>
      <c r="K1466" s="99" t="s">
        <v>110</v>
      </c>
      <c r="L1466" s="91"/>
      <c r="M1466" s="91"/>
    </row>
    <row r="1467" spans="2:13" ht="15" customHeight="1" x14ac:dyDescent="0.2">
      <c r="B1467" s="10" t="s">
        <v>932</v>
      </c>
      <c r="C1467" s="10" t="s">
        <v>928</v>
      </c>
      <c r="D1467" s="16">
        <f>M1436*(Inputs!$D$7+Inputs!$D$20)*($D$1461/Inputs!$D$21+$D$1462/Inputs!$D$22)</f>
        <v>23727.267682485937</v>
      </c>
      <c r="G1467" s="99" t="s">
        <v>933</v>
      </c>
      <c r="H1467" s="91"/>
      <c r="I1467" s="91"/>
      <c r="J1467" s="31" t="str">
        <f>IF(J1466&lt;Inputs!$D$6,"breached","satisfied")</f>
        <v>satisfied</v>
      </c>
      <c r="K1467" s="99" t="s">
        <v>934</v>
      </c>
      <c r="L1467" s="91"/>
      <c r="M1467" s="91"/>
    </row>
    <row r="1468" spans="2:13" ht="15" customHeight="1" x14ac:dyDescent="0.2">
      <c r="B1468" s="10" t="s">
        <v>935</v>
      </c>
      <c r="C1468" s="10" t="s">
        <v>928</v>
      </c>
      <c r="D1468" s="16">
        <f>M1436*Inputs!$D$20*($D$1461+$D$1462)</f>
        <v>2398.6078797913146</v>
      </c>
    </row>
    <row r="1469" spans="2:13" ht="15" customHeight="1" x14ac:dyDescent="0.2">
      <c r="B1469" s="10" t="s">
        <v>936</v>
      </c>
      <c r="C1469" s="10" t="s">
        <v>896</v>
      </c>
      <c r="D1469" s="28">
        <f>SUM(D1446:M1446)+D1463</f>
        <v>5828.8314024250149</v>
      </c>
      <c r="G1469" s="99" t="s">
        <v>937</v>
      </c>
      <c r="H1469" s="91"/>
      <c r="I1469" s="91"/>
      <c r="J1469" s="16">
        <f>D1471-D1457</f>
        <v>-3.4560798667371273E-11</v>
      </c>
      <c r="K1469" s="99" t="s">
        <v>110</v>
      </c>
      <c r="L1469" s="91"/>
      <c r="M1469" s="91"/>
    </row>
    <row r="1470" spans="2:13" ht="15" customHeight="1" x14ac:dyDescent="0.2">
      <c r="B1470" s="10" t="s">
        <v>938</v>
      </c>
      <c r="C1470" s="10" t="s">
        <v>110</v>
      </c>
      <c r="D1470" s="16">
        <f>SUM(D1447:M1447)+D1464</f>
        <v>-159778.18984452612</v>
      </c>
    </row>
    <row r="1471" spans="2:13" ht="15" customHeight="1" x14ac:dyDescent="0.2">
      <c r="B1471" s="10" t="s">
        <v>939</v>
      </c>
      <c r="C1471" s="10" t="s">
        <v>110</v>
      </c>
      <c r="D1471" s="16">
        <f>SUM(D1454:M1454)+D1466/(Inputs!$D$7+$D$1460)^M1434</f>
        <v>5999.9999999999654</v>
      </c>
    </row>
    <row r="1472" spans="2:13" ht="15" customHeight="1" x14ac:dyDescent="0.2">
      <c r="B1472" s="10" t="s">
        <v>940</v>
      </c>
      <c r="C1472" s="10" t="s">
        <v>104</v>
      </c>
      <c r="D1472" s="30">
        <f>IF(ABS(D1457)&gt;Inputs!$D$6,D1471/D1457-Inputs!$D$7,Inputs!$D$6)</f>
        <v>-5.773159728050814E-15</v>
      </c>
    </row>
    <row r="1473" spans="1:13" ht="15" customHeight="1" x14ac:dyDescent="0.2">
      <c r="B1473" s="10" t="s">
        <v>941</v>
      </c>
      <c r="C1473" s="10" t="s">
        <v>104</v>
      </c>
      <c r="D1473" s="30">
        <f>IF(ABS(D1471)&gt;Inputs!$D$119,D1466/(Inputs!$D$7+$D$1460)^M1434/D1471,Inputs!$D$6)</f>
        <v>2.6390131379996222</v>
      </c>
    </row>
    <row r="1474" spans="1:13" ht="15" customHeight="1" x14ac:dyDescent="0.2">
      <c r="B1474" s="10" t="s">
        <v>942</v>
      </c>
      <c r="C1474" s="10" t="s">
        <v>943</v>
      </c>
      <c r="D1474" s="26">
        <f>$D$1458*Inputs!$D$8/Prices!$P$6/(Inputs!$D$26/Inputs!$D$25)/Inputs!$D$11/Inputs!$D$56</f>
        <v>5.1720945926895281</v>
      </c>
    </row>
    <row r="1478" spans="1:13" ht="15" customHeight="1" x14ac:dyDescent="0.2">
      <c r="A1478" s="104" t="s">
        <v>975</v>
      </c>
      <c r="B1478" s="10" t="s">
        <v>886</v>
      </c>
      <c r="C1478" s="10" t="s">
        <v>107</v>
      </c>
      <c r="D1478" s="28">
        <f>Inputs!$D$60</f>
        <v>1</v>
      </c>
      <c r="E1478" s="28">
        <f>Inputs!$D$62</f>
        <v>2</v>
      </c>
      <c r="F1478" s="28">
        <f>Inputs!$D$64</f>
        <v>3</v>
      </c>
      <c r="G1478" s="28">
        <f>Inputs!$D$66</f>
        <v>4</v>
      </c>
      <c r="H1478" s="28">
        <f>Inputs!$D$68</f>
        <v>5</v>
      </c>
      <c r="I1478" s="28">
        <f>Inputs!$D$70</f>
        <v>6</v>
      </c>
      <c r="J1478" s="28">
        <f>Inputs!$D$72</f>
        <v>7</v>
      </c>
      <c r="K1478" s="28">
        <f>Inputs!$D$74</f>
        <v>8</v>
      </c>
      <c r="L1478" s="28">
        <f>Inputs!$D$76</f>
        <v>9</v>
      </c>
      <c r="M1478" s="28">
        <f>Inputs!$D$78</f>
        <v>10</v>
      </c>
    </row>
    <row r="1479" spans="1:13" ht="15" customHeight="1" x14ac:dyDescent="0.2">
      <c r="A1479" s="91"/>
      <c r="B1479" s="10" t="s">
        <v>887</v>
      </c>
      <c r="C1479" s="10" t="s">
        <v>161</v>
      </c>
      <c r="D1479" s="29">
        <f>Inputs!$D$61</f>
        <v>46568</v>
      </c>
      <c r="E1479" s="29">
        <f>Inputs!$D$63</f>
        <v>46934</v>
      </c>
      <c r="F1479" s="29">
        <f>Inputs!$D$65</f>
        <v>47299</v>
      </c>
      <c r="G1479" s="29">
        <f>Inputs!$D$67</f>
        <v>47664</v>
      </c>
      <c r="H1479" s="29">
        <f>Inputs!$D$69</f>
        <v>48029</v>
      </c>
      <c r="I1479" s="29">
        <f>Inputs!$D$71</f>
        <v>48395</v>
      </c>
      <c r="J1479" s="29">
        <f>Inputs!$D$73</f>
        <v>48760</v>
      </c>
      <c r="K1479" s="29">
        <f>Inputs!$D$75</f>
        <v>49125</v>
      </c>
      <c r="L1479" s="29">
        <f>Inputs!$D$77</f>
        <v>49490</v>
      </c>
      <c r="M1479" s="29">
        <f>Inputs!$D$79</f>
        <v>49856</v>
      </c>
    </row>
    <row r="1480" spans="1:13" ht="15" customHeight="1" x14ac:dyDescent="0.2">
      <c r="A1480" s="91"/>
      <c r="B1480" s="10" t="s">
        <v>888</v>
      </c>
      <c r="C1480" s="10" t="s">
        <v>107</v>
      </c>
      <c r="D1480" s="28">
        <f>(D1479-Inputs!$D$13)/Inputs!$D$10</f>
        <v>0.71457905544147848</v>
      </c>
      <c r="E1480" s="28">
        <f>(E1479-Inputs!$D$13)/Inputs!$D$10</f>
        <v>1.7166324435318274</v>
      </c>
      <c r="F1480" s="28">
        <f>(F1479-Inputs!$D$13)/Inputs!$D$10</f>
        <v>2.7159479808350446</v>
      </c>
      <c r="G1480" s="28">
        <f>(G1479-Inputs!$D$13)/Inputs!$D$10</f>
        <v>3.7152635181382614</v>
      </c>
      <c r="H1480" s="28">
        <f>(H1479-Inputs!$D$13)/Inputs!$D$10</f>
        <v>4.7145790554414786</v>
      </c>
      <c r="I1480" s="28">
        <f>(I1479-Inputs!$D$13)/Inputs!$D$10</f>
        <v>5.7166324435318279</v>
      </c>
      <c r="J1480" s="28">
        <f>(J1479-Inputs!$D$13)/Inputs!$D$10</f>
        <v>6.7159479808350442</v>
      </c>
      <c r="K1480" s="28">
        <f>(K1479-Inputs!$D$13)/Inputs!$D$10</f>
        <v>7.7152635181382614</v>
      </c>
      <c r="L1480" s="28">
        <f>(L1479-Inputs!$D$13)/Inputs!$D$10</f>
        <v>8.7145790554414777</v>
      </c>
      <c r="M1480" s="28">
        <f>(M1479-Inputs!$D$13)/Inputs!$D$10</f>
        <v>9.716632443531827</v>
      </c>
    </row>
    <row r="1481" spans="1:13" ht="15" customHeight="1" x14ac:dyDescent="0.2">
      <c r="A1481" s="91"/>
      <c r="B1481" s="10" t="s">
        <v>889</v>
      </c>
      <c r="C1481" s="10" t="s">
        <v>107</v>
      </c>
      <c r="D1481" s="28">
        <f>D1480</f>
        <v>0.71457905544147848</v>
      </c>
      <c r="E1481" s="28">
        <f>Inputs!$D$7</f>
        <v>1</v>
      </c>
      <c r="F1481" s="28">
        <f>Inputs!$D$7</f>
        <v>1</v>
      </c>
      <c r="G1481" s="28">
        <f>Inputs!$D$7</f>
        <v>1</v>
      </c>
      <c r="H1481" s="28">
        <f>Inputs!$D$7</f>
        <v>1</v>
      </c>
      <c r="I1481" s="28">
        <f>Inputs!$D$7</f>
        <v>1</v>
      </c>
      <c r="J1481" s="28">
        <f>Inputs!$D$7</f>
        <v>1</v>
      </c>
      <c r="K1481" s="28">
        <f>Inputs!$D$7</f>
        <v>1</v>
      </c>
      <c r="L1481" s="28">
        <f>Inputs!$D$7</f>
        <v>1</v>
      </c>
      <c r="M1481" s="28">
        <f>Inputs!$D$7</f>
        <v>1</v>
      </c>
    </row>
    <row r="1482" spans="1:13" ht="15" customHeight="1" x14ac:dyDescent="0.2">
      <c r="A1482" s="91"/>
      <c r="B1482" s="3" t="s">
        <v>890</v>
      </c>
      <c r="C1482" s="10" t="s">
        <v>199</v>
      </c>
      <c r="D1482" s="28">
        <f>Inputs!$D$24+(Inputs!$D$106-Inputs!$D$24)*Inputs!$D$109</f>
        <v>170.32</v>
      </c>
      <c r="E1482" s="28">
        <f>Inputs!$D$24+(Inputs!$D$106-Inputs!$D$24)*Inputs!$D$110</f>
        <v>481.12000000000006</v>
      </c>
      <c r="F1482" s="28">
        <f>Inputs!$D$24+(Inputs!$D$106-Inputs!$D$24)*Inputs!$D$111</f>
        <v>823</v>
      </c>
      <c r="G1482" s="28">
        <f>Inputs!$D$24+(Inputs!$D$106-Inputs!$D$24)*Inputs!$D$112</f>
        <v>1211.5</v>
      </c>
      <c r="H1482" s="28">
        <f>Inputs!$D$24+(Inputs!$D$106-Inputs!$D$24)*Inputs!$D$113</f>
        <v>1600</v>
      </c>
      <c r="I1482" s="28">
        <f>Inputs!$D$24+(Inputs!$D$106-Inputs!$D$24)*Inputs!$D$114</f>
        <v>1600</v>
      </c>
      <c r="J1482" s="28">
        <f>Inputs!$D$24+(Inputs!$D$106-Inputs!$D$24)*Inputs!$D$115</f>
        <v>1600</v>
      </c>
      <c r="K1482" s="28">
        <f>Inputs!$D$24+(Inputs!$D$106-Inputs!$D$24)*Inputs!$D$116</f>
        <v>1600</v>
      </c>
      <c r="L1482" s="28">
        <f>Inputs!$D$24+(Inputs!$D$106-Inputs!$D$24)*Inputs!$D$117</f>
        <v>1600</v>
      </c>
      <c r="M1482" s="28">
        <f>Inputs!$D$24+(Inputs!$D$106-Inputs!$D$24)*Inputs!$D$118</f>
        <v>1600</v>
      </c>
    </row>
    <row r="1483" spans="1:13" ht="15" customHeight="1" x14ac:dyDescent="0.2">
      <c r="A1483" s="91"/>
      <c r="B1483" s="10" t="s">
        <v>891</v>
      </c>
      <c r="C1483" s="10" t="s">
        <v>199</v>
      </c>
      <c r="D1483" s="28">
        <f>Inputs!$D$24</f>
        <v>46</v>
      </c>
      <c r="E1483" s="28">
        <f t="shared" ref="E1483:M1483" si="320">D1482</f>
        <v>170.32</v>
      </c>
      <c r="F1483" s="28">
        <f t="shared" si="320"/>
        <v>481.12000000000006</v>
      </c>
      <c r="G1483" s="28">
        <f t="shared" si="320"/>
        <v>823</v>
      </c>
      <c r="H1483" s="28">
        <f t="shared" si="320"/>
        <v>1211.5</v>
      </c>
      <c r="I1483" s="28">
        <f t="shared" si="320"/>
        <v>1600</v>
      </c>
      <c r="J1483" s="28">
        <f t="shared" si="320"/>
        <v>1600</v>
      </c>
      <c r="K1483" s="28">
        <f t="shared" si="320"/>
        <v>1600</v>
      </c>
      <c r="L1483" s="28">
        <f t="shared" si="320"/>
        <v>1600</v>
      </c>
      <c r="M1483" s="28">
        <f t="shared" si="320"/>
        <v>1600</v>
      </c>
    </row>
    <row r="1484" spans="1:13" ht="15" customHeight="1" x14ac:dyDescent="0.2">
      <c r="B1484" s="10" t="s">
        <v>892</v>
      </c>
      <c r="C1484" s="10" t="s">
        <v>199</v>
      </c>
      <c r="D1484" s="28">
        <f>(D1483+D1482)*Inputs!$D$12</f>
        <v>108.16</v>
      </c>
      <c r="E1484" s="28">
        <f>(E1483+E1482)*Inputs!$D$12</f>
        <v>325.72000000000003</v>
      </c>
      <c r="F1484" s="28">
        <f>(F1483+F1482)*Inputs!$D$12</f>
        <v>652.06000000000006</v>
      </c>
      <c r="G1484" s="28">
        <f>(G1483+G1482)*Inputs!$D$12</f>
        <v>1017.25</v>
      </c>
      <c r="H1484" s="28">
        <f>(H1483+H1482)*Inputs!$D$12</f>
        <v>1405.75</v>
      </c>
      <c r="I1484" s="28">
        <f>(I1483+I1482)*Inputs!$D$12</f>
        <v>1600</v>
      </c>
      <c r="J1484" s="28">
        <f>(J1483+J1482)*Inputs!$D$12</f>
        <v>1600</v>
      </c>
      <c r="K1484" s="28">
        <f>(K1483+K1482)*Inputs!$D$12</f>
        <v>1600</v>
      </c>
      <c r="L1484" s="28">
        <f>(L1483+L1482)*Inputs!$D$12</f>
        <v>1600</v>
      </c>
      <c r="M1484" s="28">
        <f>(M1483+M1482)*Inputs!$D$12</f>
        <v>1600</v>
      </c>
    </row>
    <row r="1485" spans="1:13" ht="15" customHeight="1" x14ac:dyDescent="0.2">
      <c r="B1485" s="10" t="s">
        <v>893</v>
      </c>
      <c r="C1485" s="10" t="s">
        <v>199</v>
      </c>
      <c r="D1485" s="28">
        <f t="shared" ref="D1485:M1485" si="321">D1482-D1483</f>
        <v>124.32</v>
      </c>
      <c r="E1485" s="28">
        <f t="shared" si="321"/>
        <v>310.80000000000007</v>
      </c>
      <c r="F1485" s="28">
        <f t="shared" si="321"/>
        <v>341.87999999999994</v>
      </c>
      <c r="G1485" s="28">
        <f t="shared" si="321"/>
        <v>388.5</v>
      </c>
      <c r="H1485" s="28">
        <f t="shared" si="321"/>
        <v>388.5</v>
      </c>
      <c r="I1485" s="28">
        <f t="shared" si="321"/>
        <v>0</v>
      </c>
      <c r="J1485" s="28">
        <f t="shared" si="321"/>
        <v>0</v>
      </c>
      <c r="K1485" s="28">
        <f t="shared" si="321"/>
        <v>0</v>
      </c>
      <c r="L1485" s="28">
        <f t="shared" si="321"/>
        <v>0</v>
      </c>
      <c r="M1485" s="28">
        <f t="shared" si="321"/>
        <v>0</v>
      </c>
    </row>
    <row r="1486" spans="1:13" ht="15" customHeight="1" x14ac:dyDescent="0.2">
      <c r="B1486" s="10" t="s">
        <v>894</v>
      </c>
      <c r="C1486" s="10" t="s">
        <v>199</v>
      </c>
      <c r="D1486" s="28">
        <f>IF(MOD(D1478,Inputs!$D$21)=Inputs!$D$6,Inputs!$D$24,Inputs!$D$6)+SUMPRODUCT(--(D1478&gt;$D$1478:$M$1478),--(MOD(D1478-$D$1478:$M$1478,Inputs!$D$21)=Inputs!$D$6),$D$1485:$M$1485)</f>
        <v>0</v>
      </c>
      <c r="E1486" s="28">
        <f>IF(MOD(E1478,Inputs!$D$21)=Inputs!$D$6,Inputs!$D$24,Inputs!$D$6)+SUMPRODUCT(--(E1478&gt;$D$1478:$M$1478),--(MOD(E1478-$D$1478:$M$1478,Inputs!$D$21)=Inputs!$D$6),$D$1485:$M$1485)</f>
        <v>0</v>
      </c>
      <c r="F1486" s="28">
        <f>IF(MOD(F1478,Inputs!$D$21)=Inputs!$D$6,Inputs!$D$24,Inputs!$D$6)+SUMPRODUCT(--(F1478&gt;$D$1478:$M$1478),--(MOD(F1478-$D$1478:$M$1478,Inputs!$D$21)=Inputs!$D$6),$D$1485:$M$1485)</f>
        <v>0</v>
      </c>
      <c r="G1486" s="28">
        <f>IF(MOD(G1478,Inputs!$D$21)=Inputs!$D$6,Inputs!$D$24,Inputs!$D$6)+SUMPRODUCT(--(G1478&gt;$D$1478:$M$1478),--(MOD(G1478-$D$1478:$M$1478,Inputs!$D$21)=Inputs!$D$6),$D$1485:$M$1485)</f>
        <v>46</v>
      </c>
      <c r="H1486" s="28">
        <f>IF(MOD(H1478,Inputs!$D$21)=Inputs!$D$6,Inputs!$D$24,Inputs!$D$6)+SUMPRODUCT(--(H1478&gt;$D$1478:$M$1478),--(MOD(H1478-$D$1478:$M$1478,Inputs!$D$21)=Inputs!$D$6),$D$1485:$M$1485)</f>
        <v>124.32</v>
      </c>
      <c r="I1486" s="28">
        <f>IF(MOD(I1478,Inputs!$D$21)=Inputs!$D$6,Inputs!$D$24,Inputs!$D$6)+SUMPRODUCT(--(I1478&gt;$D$1478:$M$1478),--(MOD(I1478-$D$1478:$M$1478,Inputs!$D$21)=Inputs!$D$6),$D$1485:$M$1485)</f>
        <v>310.80000000000007</v>
      </c>
      <c r="J1486" s="28">
        <f>IF(MOD(J1478,Inputs!$D$21)=Inputs!$D$6,Inputs!$D$24,Inputs!$D$6)+SUMPRODUCT(--(J1478&gt;$D$1478:$M$1478),--(MOD(J1478-$D$1478:$M$1478,Inputs!$D$21)=Inputs!$D$6),$D$1485:$M$1485)</f>
        <v>341.87999999999994</v>
      </c>
      <c r="K1486" s="28">
        <f>IF(MOD(K1478,Inputs!$D$21)=Inputs!$D$6,Inputs!$D$24,Inputs!$D$6)+SUMPRODUCT(--(K1478&gt;$D$1478:$M$1478),--(MOD(K1478-$D$1478:$M$1478,Inputs!$D$21)=Inputs!$D$6),$D$1485:$M$1485)</f>
        <v>434.5</v>
      </c>
      <c r="L1486" s="28">
        <f>IF(MOD(L1478,Inputs!$D$21)=Inputs!$D$6,Inputs!$D$24,Inputs!$D$6)+SUMPRODUCT(--(L1478&gt;$D$1478:$M$1478),--(MOD(L1478-$D$1478:$M$1478,Inputs!$D$21)=Inputs!$D$6),$D$1485:$M$1485)</f>
        <v>512.81999999999994</v>
      </c>
      <c r="M1486" s="28">
        <f>IF(MOD(M1478,Inputs!$D$21)=Inputs!$D$6,Inputs!$D$24,Inputs!$D$6)+SUMPRODUCT(--(M1478&gt;$D$1478:$M$1478),--(MOD(M1478-$D$1478:$M$1478,Inputs!$D$21)=Inputs!$D$6),$D$1485:$M$1485)</f>
        <v>310.80000000000007</v>
      </c>
    </row>
    <row r="1487" spans="1:13" ht="15" customHeight="1" x14ac:dyDescent="0.2">
      <c r="B1487" s="10" t="s">
        <v>895</v>
      </c>
      <c r="C1487" s="10" t="s">
        <v>896</v>
      </c>
      <c r="D1487" s="28">
        <f t="shared" ref="D1487:M1487" si="322">D1484*D1481</f>
        <v>77.288870636550314</v>
      </c>
      <c r="E1487" s="28">
        <f t="shared" si="322"/>
        <v>325.72000000000003</v>
      </c>
      <c r="F1487" s="28">
        <f t="shared" si="322"/>
        <v>652.06000000000006</v>
      </c>
      <c r="G1487" s="28">
        <f t="shared" si="322"/>
        <v>1017.25</v>
      </c>
      <c r="H1487" s="28">
        <f t="shared" si="322"/>
        <v>1405.75</v>
      </c>
      <c r="I1487" s="28">
        <f t="shared" si="322"/>
        <v>1600</v>
      </c>
      <c r="J1487" s="28">
        <f t="shared" si="322"/>
        <v>1600</v>
      </c>
      <c r="K1487" s="28">
        <f t="shared" si="322"/>
        <v>1600</v>
      </c>
      <c r="L1487" s="28">
        <f t="shared" si="322"/>
        <v>1600</v>
      </c>
      <c r="M1487" s="28">
        <f t="shared" si="322"/>
        <v>1600</v>
      </c>
    </row>
    <row r="1488" spans="1:13" ht="15" customHeight="1" x14ac:dyDescent="0.2">
      <c r="B1488" s="10" t="s">
        <v>897</v>
      </c>
      <c r="C1488" s="10" t="s">
        <v>110</v>
      </c>
      <c r="D1488" s="16">
        <f>D1487*($D$1507/Inputs!$D$21+$D$1508/Inputs!$D$22)</f>
        <v>1118.2034893112541</v>
      </c>
      <c r="E1488" s="16">
        <f>E1487*($D$1507/Inputs!$D$21+$D$1508/Inputs!$D$22)</f>
        <v>4712.466847280074</v>
      </c>
      <c r="F1488" s="16">
        <f>F1487*($D$1507/Inputs!$D$21+$D$1508/Inputs!$D$22)</f>
        <v>9433.9037591718188</v>
      </c>
      <c r="G1488" s="16">
        <f>G1487*($D$1507/Inputs!$D$21+$D$1508/Inputs!$D$22)</f>
        <v>14717.416493907818</v>
      </c>
      <c r="H1488" s="16">
        <f>H1487*($D$1507/Inputs!$D$21+$D$1508/Inputs!$D$22)</f>
        <v>20338.17472235037</v>
      </c>
      <c r="I1488" s="16">
        <f>I1487*($D$1507/Inputs!$D$21+$D$1508/Inputs!$D$22)</f>
        <v>23148.553836571649</v>
      </c>
      <c r="J1488" s="16">
        <f>J1487*($D$1507/Inputs!$D$21+$D$1508/Inputs!$D$22)</f>
        <v>23148.553836571649</v>
      </c>
      <c r="K1488" s="16">
        <f>K1487*($D$1507/Inputs!$D$21+$D$1508/Inputs!$D$22)</f>
        <v>23148.553836571649</v>
      </c>
      <c r="L1488" s="16">
        <f>L1487*($D$1507/Inputs!$D$21+$D$1508/Inputs!$D$22)</f>
        <v>23148.553836571649</v>
      </c>
      <c r="M1488" s="16">
        <f>M1487*($D$1507/Inputs!$D$21+$D$1508/Inputs!$D$22)</f>
        <v>23148.553836571649</v>
      </c>
    </row>
    <row r="1489" spans="2:13" ht="15" customHeight="1" x14ac:dyDescent="0.2">
      <c r="B1489" s="10" t="s">
        <v>898</v>
      </c>
      <c r="C1489" s="10" t="s">
        <v>110</v>
      </c>
      <c r="D1489" s="16">
        <f t="shared" ref="D1489:M1489" si="323">D1485*($D$1507+$D$1508)</f>
        <v>7454.8732903914051</v>
      </c>
      <c r="E1489" s="16">
        <f t="shared" si="323"/>
        <v>18637.183225978519</v>
      </c>
      <c r="F1489" s="16">
        <f t="shared" si="323"/>
        <v>20500.901548576363</v>
      </c>
      <c r="G1489" s="16">
        <f t="shared" si="323"/>
        <v>23296.479032473144</v>
      </c>
      <c r="H1489" s="16">
        <f t="shared" si="323"/>
        <v>23296.479032473144</v>
      </c>
      <c r="I1489" s="16">
        <f t="shared" si="323"/>
        <v>0</v>
      </c>
      <c r="J1489" s="16">
        <f t="shared" si="323"/>
        <v>0</v>
      </c>
      <c r="K1489" s="16">
        <f t="shared" si="323"/>
        <v>0</v>
      </c>
      <c r="L1489" s="16">
        <f t="shared" si="323"/>
        <v>0</v>
      </c>
      <c r="M1489" s="16">
        <f t="shared" si="323"/>
        <v>0</v>
      </c>
    </row>
    <row r="1490" spans="2:13" ht="15" customHeight="1" x14ac:dyDescent="0.2">
      <c r="B1490" s="10" t="s">
        <v>899</v>
      </c>
      <c r="C1490" s="10" t="s">
        <v>110</v>
      </c>
      <c r="D1490" s="16">
        <f t="shared" ref="D1490:M1490" si="324">D1486*$D$1507</f>
        <v>0</v>
      </c>
      <c r="E1490" s="16">
        <f t="shared" si="324"/>
        <v>0</v>
      </c>
      <c r="F1490" s="16">
        <f t="shared" si="324"/>
        <v>0</v>
      </c>
      <c r="G1490" s="16">
        <f t="shared" si="324"/>
        <v>2638.0048485671714</v>
      </c>
      <c r="H1490" s="16">
        <f t="shared" si="324"/>
        <v>7129.4948429102333</v>
      </c>
      <c r="I1490" s="16">
        <f t="shared" si="324"/>
        <v>17823.737107275589</v>
      </c>
      <c r="J1490" s="16">
        <f t="shared" si="324"/>
        <v>19606.110818003141</v>
      </c>
      <c r="K1490" s="16">
        <f t="shared" si="324"/>
        <v>24917.676232661652</v>
      </c>
      <c r="L1490" s="16">
        <f t="shared" si="324"/>
        <v>29409.166227004709</v>
      </c>
      <c r="M1490" s="16">
        <f t="shared" si="324"/>
        <v>17823.737107275589</v>
      </c>
    </row>
    <row r="1491" spans="2:13" ht="15" customHeight="1" x14ac:dyDescent="0.2">
      <c r="B1491" s="10" t="s">
        <v>900</v>
      </c>
      <c r="C1491" s="10" t="s">
        <v>199</v>
      </c>
      <c r="D1491" s="28">
        <f>D1485*Inputs!$D$23</f>
        <v>3.1080000000000001</v>
      </c>
      <c r="E1491" s="28">
        <f>E1485*Inputs!$D$23</f>
        <v>7.7700000000000022</v>
      </c>
      <c r="F1491" s="28">
        <f>F1485*Inputs!$D$23</f>
        <v>8.5469999999999988</v>
      </c>
      <c r="G1491" s="28">
        <f>G1485*Inputs!$D$23</f>
        <v>9.7125000000000004</v>
      </c>
      <c r="H1491" s="28">
        <f>H1485*Inputs!$D$23</f>
        <v>9.7125000000000004</v>
      </c>
      <c r="I1491" s="28">
        <f>I1485*Inputs!$D$23</f>
        <v>0</v>
      </c>
      <c r="J1491" s="28">
        <f>J1485*Inputs!$D$23</f>
        <v>0</v>
      </c>
      <c r="K1491" s="28">
        <f>K1485*Inputs!$D$23</f>
        <v>0</v>
      </c>
      <c r="L1491" s="28">
        <f>L1485*Inputs!$D$23</f>
        <v>0</v>
      </c>
      <c r="M1491" s="28">
        <f>M1485*Inputs!$D$23</f>
        <v>0</v>
      </c>
    </row>
    <row r="1492" spans="2:13" ht="15" customHeight="1" x14ac:dyDescent="0.2">
      <c r="B1492" s="3" t="s">
        <v>901</v>
      </c>
      <c r="C1492" s="10" t="s">
        <v>896</v>
      </c>
      <c r="D1492" s="28">
        <f>(D1487*$D$1505*(Inputs!$D$7-Inputs!$D$19)-D1491)/(Inputs!$D$7+$D$1506)^D1480</f>
        <v>40.99699201112098</v>
      </c>
      <c r="E1492" s="28">
        <f>(E1487*$D$1505*(Inputs!$D$7-Inputs!$D$19)-E1491)/(Inputs!$D$7+$D$1506)^E1480</f>
        <v>153.02781912726542</v>
      </c>
      <c r="F1492" s="28">
        <f>(F1487*$D$1505*(Inputs!$D$7-Inputs!$D$19)-F1491)/(Inputs!$D$7+$D$1506)^F1480</f>
        <v>268.8019226843403</v>
      </c>
      <c r="G1492" s="28">
        <f>(G1487*$D$1505*(Inputs!$D$7-Inputs!$D$19)-G1491)/(Inputs!$D$7+$D$1506)^G1480</f>
        <v>363.62824610263397</v>
      </c>
      <c r="H1492" s="28">
        <f>(H1487*$D$1505*(Inputs!$D$7-Inputs!$D$19)-H1491)/(Inputs!$D$7+$D$1506)^H1480</f>
        <v>435.07807528321291</v>
      </c>
      <c r="I1492" s="28">
        <f>(I1487*$D$1505*(Inputs!$D$7-Inputs!$D$19)-I1491)/(Inputs!$D$7+$D$1506)^I1480</f>
        <v>431.49711827119876</v>
      </c>
      <c r="J1492" s="28">
        <f>(J1487*$D$1505*(Inputs!$D$7-Inputs!$D$19)-J1491)/(Inputs!$D$7+$D$1506)^J1480</f>
        <v>372.01806500733016</v>
      </c>
      <c r="K1492" s="28">
        <f>(K1487*$D$1505*(Inputs!$D$7-Inputs!$D$19)-K1491)/(Inputs!$D$7+$D$1506)^K1480</f>
        <v>320.73780989845312</v>
      </c>
      <c r="L1492" s="28">
        <f>(L1487*$D$1505*(Inputs!$D$7-Inputs!$D$19)-L1491)/(Inputs!$D$7+$D$1506)^L1480</f>
        <v>276.52620228651875</v>
      </c>
      <c r="M1492" s="28">
        <f>(M1487*$D$1505*(Inputs!$D$7-Inputs!$D$19)-M1491)/(Inputs!$D$7+$D$1506)^M1480</f>
        <v>238.31201718226143</v>
      </c>
    </row>
    <row r="1493" spans="2:13" ht="15" customHeight="1" x14ac:dyDescent="0.2">
      <c r="B1493" s="10" t="s">
        <v>902</v>
      </c>
      <c r="C1493" s="10" t="s">
        <v>110</v>
      </c>
      <c r="D1493" s="16">
        <f>(D1488*Inputs!$D$19-D1489-D1490)/(Inputs!$D$7+$D$1506)^D1480</f>
        <v>-6403.0045740313244</v>
      </c>
      <c r="E1493" s="16">
        <f>(E1488*Inputs!$D$19-E1489-E1490)/(Inputs!$D$7+$D$1506)^E1480</f>
        <v>-13349.632212764713</v>
      </c>
      <c r="F1493" s="16">
        <f>(F1488*Inputs!$D$19-F1489-F1490)/(Inputs!$D$7+$D$1506)^F1480</f>
        <v>-11808.370082432088</v>
      </c>
      <c r="G1493" s="16">
        <f>(G1488*Inputs!$D$19-G1489-G1490)/(Inputs!$D$7+$D$1506)^G1480</f>
        <v>-12397.921878440668</v>
      </c>
      <c r="H1493" s="16">
        <f>(H1488*Inputs!$D$19-H1489-H1490)/(Inputs!$D$7+$D$1506)^H1480</f>
        <v>-12082.366885213038</v>
      </c>
      <c r="I1493" s="16">
        <f>(I1488*Inputs!$D$19-I1489-I1490)/(Inputs!$D$7+$D$1506)^I1480</f>
        <v>-4657.0743222469628</v>
      </c>
      <c r="J1493" s="16">
        <f>(J1488*Inputs!$D$19-J1489-J1490)/(Inputs!$D$7+$D$1506)^J1480</f>
        <v>-4672.9398284057479</v>
      </c>
      <c r="K1493" s="16">
        <f>(K1488*Inputs!$D$19-K1489-K1490)/(Inputs!$D$7+$D$1506)^K1480</f>
        <v>-5718.9047268503064</v>
      </c>
      <c r="L1493" s="16">
        <f>(L1488*Inputs!$D$19-L1489-L1490)/(Inputs!$D$7+$D$1506)^L1480</f>
        <v>-6162.7485564592316</v>
      </c>
      <c r="M1493" s="16">
        <f>(M1488*Inputs!$D$19-M1489-M1490)/(Inputs!$D$7+$D$1506)^M1480</f>
        <v>-2572.0606903447429</v>
      </c>
    </row>
    <row r="1494" spans="2:13" ht="15" customHeight="1" x14ac:dyDescent="0.2">
      <c r="B1494" s="10" t="s">
        <v>903</v>
      </c>
      <c r="C1494" s="10" t="s">
        <v>110</v>
      </c>
      <c r="D1494" s="16">
        <f t="shared" ref="D1494:M1494" si="325">D1487*$D$1504</f>
        <v>1955.2944647507531</v>
      </c>
      <c r="E1494" s="16">
        <f t="shared" si="325"/>
        <v>8240.235726221521</v>
      </c>
      <c r="F1494" s="16">
        <f t="shared" si="325"/>
        <v>16496.15653825373</v>
      </c>
      <c r="G1494" s="16">
        <f t="shared" si="325"/>
        <v>25734.925066004056</v>
      </c>
      <c r="H1494" s="16">
        <f t="shared" si="325"/>
        <v>35563.402223185258</v>
      </c>
      <c r="I1494" s="16">
        <f t="shared" si="325"/>
        <v>40477.640801775859</v>
      </c>
      <c r="J1494" s="16">
        <f t="shared" si="325"/>
        <v>40477.640801775859</v>
      </c>
      <c r="K1494" s="16">
        <f t="shared" si="325"/>
        <v>40477.640801775859</v>
      </c>
      <c r="L1494" s="16">
        <f t="shared" si="325"/>
        <v>40477.640801775859</v>
      </c>
      <c r="M1494" s="16">
        <f t="shared" si="325"/>
        <v>40477.640801775859</v>
      </c>
    </row>
    <row r="1495" spans="2:13" ht="15" customHeight="1" x14ac:dyDescent="0.2">
      <c r="B1495" s="10" t="s">
        <v>904</v>
      </c>
      <c r="C1495" s="10" t="s">
        <v>110</v>
      </c>
      <c r="D1495" s="16">
        <f t="shared" ref="D1495:M1495" si="326">D1494*$D$1505</f>
        <v>1759.7650182756779</v>
      </c>
      <c r="E1495" s="16">
        <f t="shared" si="326"/>
        <v>7416.2121535993692</v>
      </c>
      <c r="F1495" s="16">
        <f t="shared" si="326"/>
        <v>14846.540884428357</v>
      </c>
      <c r="G1495" s="16">
        <f t="shared" si="326"/>
        <v>23161.432559403653</v>
      </c>
      <c r="H1495" s="16">
        <f t="shared" si="326"/>
        <v>32007.062000866732</v>
      </c>
      <c r="I1495" s="16">
        <f t="shared" si="326"/>
        <v>36429.876721598273</v>
      </c>
      <c r="J1495" s="16">
        <f t="shared" si="326"/>
        <v>36429.876721598273</v>
      </c>
      <c r="K1495" s="16">
        <f t="shared" si="326"/>
        <v>36429.876721598273</v>
      </c>
      <c r="L1495" s="16">
        <f t="shared" si="326"/>
        <v>36429.876721598273</v>
      </c>
      <c r="M1495" s="16">
        <f t="shared" si="326"/>
        <v>36429.876721598273</v>
      </c>
    </row>
    <row r="1496" spans="2:13" ht="15" customHeight="1" x14ac:dyDescent="0.2">
      <c r="B1496" s="10" t="s">
        <v>905</v>
      </c>
      <c r="C1496" s="10" t="s">
        <v>110</v>
      </c>
      <c r="D1496" s="16">
        <f t="shared" ref="D1496:M1496" si="327">D1495-D1488</f>
        <v>641.56152896442381</v>
      </c>
      <c r="E1496" s="16">
        <f t="shared" si="327"/>
        <v>2703.7453063192952</v>
      </c>
      <c r="F1496" s="16">
        <f t="shared" si="327"/>
        <v>5412.6371252565386</v>
      </c>
      <c r="G1496" s="16">
        <f t="shared" si="327"/>
        <v>8444.0160654958345</v>
      </c>
      <c r="H1496" s="16">
        <f t="shared" si="327"/>
        <v>11668.887278516362</v>
      </c>
      <c r="I1496" s="16">
        <f t="shared" si="327"/>
        <v>13281.322885026624</v>
      </c>
      <c r="J1496" s="16">
        <f t="shared" si="327"/>
        <v>13281.322885026624</v>
      </c>
      <c r="K1496" s="16">
        <f t="shared" si="327"/>
        <v>13281.322885026624</v>
      </c>
      <c r="L1496" s="16">
        <f t="shared" si="327"/>
        <v>13281.322885026624</v>
      </c>
      <c r="M1496" s="16">
        <f t="shared" si="327"/>
        <v>13281.322885026624</v>
      </c>
    </row>
    <row r="1497" spans="2:13" ht="15" customHeight="1" x14ac:dyDescent="0.2">
      <c r="B1497" s="10" t="s">
        <v>906</v>
      </c>
      <c r="C1497" s="10" t="s">
        <v>110</v>
      </c>
      <c r="D1497" s="16">
        <f>MAX(D1496,Inputs!$D$6)*Inputs!$D$19</f>
        <v>192.46845868932715</v>
      </c>
      <c r="E1497" s="16">
        <f>MAX(E1496,Inputs!$D$6)*Inputs!$D$19</f>
        <v>811.12359189578854</v>
      </c>
      <c r="F1497" s="16">
        <f>MAX(F1496,Inputs!$D$6)*Inputs!$D$19</f>
        <v>1623.7911375769615</v>
      </c>
      <c r="G1497" s="16">
        <f>MAX(G1496,Inputs!$D$6)*Inputs!$D$19</f>
        <v>2533.2048196487503</v>
      </c>
      <c r="H1497" s="16">
        <f>MAX(H1496,Inputs!$D$6)*Inputs!$D$19</f>
        <v>3500.6661835549085</v>
      </c>
      <c r="I1497" s="16">
        <f>MAX(I1496,Inputs!$D$6)*Inputs!$D$19</f>
        <v>3984.3968655079871</v>
      </c>
      <c r="J1497" s="16">
        <f>MAX(J1496,Inputs!$D$6)*Inputs!$D$19</f>
        <v>3984.3968655079871</v>
      </c>
      <c r="K1497" s="16">
        <f>MAX(K1496,Inputs!$D$6)*Inputs!$D$19</f>
        <v>3984.3968655079871</v>
      </c>
      <c r="L1497" s="16">
        <f>MAX(L1496,Inputs!$D$6)*Inputs!$D$19</f>
        <v>3984.3968655079871</v>
      </c>
      <c r="M1497" s="16">
        <f>MAX(M1496,Inputs!$D$6)*Inputs!$D$19</f>
        <v>3984.3968655079871</v>
      </c>
    </row>
    <row r="1498" spans="2:13" ht="15" customHeight="1" x14ac:dyDescent="0.2">
      <c r="B1498" s="10" t="s">
        <v>907</v>
      </c>
      <c r="C1498" s="10" t="s">
        <v>110</v>
      </c>
      <c r="D1498" s="16">
        <f t="shared" ref="D1498:M1498" si="328">D1491*$D$1504</f>
        <v>78.627817257449607</v>
      </c>
      <c r="E1498" s="16">
        <f t="shared" si="328"/>
        <v>196.56954314362406</v>
      </c>
      <c r="F1498" s="16">
        <f t="shared" si="328"/>
        <v>216.22649745798637</v>
      </c>
      <c r="G1498" s="16">
        <f t="shared" si="328"/>
        <v>245.71192892953002</v>
      </c>
      <c r="H1498" s="16">
        <f t="shared" si="328"/>
        <v>245.71192892953002</v>
      </c>
      <c r="I1498" s="16">
        <f t="shared" si="328"/>
        <v>0</v>
      </c>
      <c r="J1498" s="16">
        <f t="shared" si="328"/>
        <v>0</v>
      </c>
      <c r="K1498" s="16">
        <f t="shared" si="328"/>
        <v>0</v>
      </c>
      <c r="L1498" s="16">
        <f t="shared" si="328"/>
        <v>0</v>
      </c>
      <c r="M1498" s="16">
        <f t="shared" si="328"/>
        <v>0</v>
      </c>
    </row>
    <row r="1499" spans="2:13" ht="15" customHeight="1" x14ac:dyDescent="0.2">
      <c r="B1499" s="10" t="s">
        <v>908</v>
      </c>
      <c r="C1499" s="10" t="s">
        <v>110</v>
      </c>
      <c r="D1499" s="16">
        <f t="shared" ref="D1499:M1499" si="329">D1495-D1497-D1489-D1490-D1498</f>
        <v>-5966.2045480625038</v>
      </c>
      <c r="E1499" s="16">
        <f t="shared" si="329"/>
        <v>-12228.66420741856</v>
      </c>
      <c r="F1499" s="16">
        <f t="shared" si="329"/>
        <v>-7494.3782991829539</v>
      </c>
      <c r="G1499" s="16">
        <f t="shared" si="329"/>
        <v>-5551.9680702149408</v>
      </c>
      <c r="H1499" s="16">
        <f t="shared" si="329"/>
        <v>-2165.2899870010847</v>
      </c>
      <c r="I1499" s="16">
        <f t="shared" si="329"/>
        <v>14621.742748814697</v>
      </c>
      <c r="J1499" s="16">
        <f t="shared" si="329"/>
        <v>12839.369038087145</v>
      </c>
      <c r="K1499" s="16">
        <f t="shared" si="329"/>
        <v>7527.8036234286337</v>
      </c>
      <c r="L1499" s="16">
        <f t="shared" si="329"/>
        <v>3036.3136290855764</v>
      </c>
      <c r="M1499" s="16">
        <f t="shared" si="329"/>
        <v>14621.742748814697</v>
      </c>
    </row>
    <row r="1500" spans="2:13" ht="15" customHeight="1" x14ac:dyDescent="0.2">
      <c r="B1500" s="10" t="s">
        <v>909</v>
      </c>
      <c r="C1500" s="10" t="s">
        <v>110</v>
      </c>
      <c r="D1500" s="16">
        <f>D1499/(Inputs!$D$7+$D$1506)^D1480</f>
        <v>-5365.8411261691808</v>
      </c>
      <c r="E1500" s="16">
        <f>E1499/(Inputs!$D$7+$D$1506)^E1480</f>
        <v>-9478.2540281943511</v>
      </c>
      <c r="F1500" s="16">
        <f>F1499/(Inputs!$D$7+$D$1506)^F1480</f>
        <v>-5008.0777866549288</v>
      </c>
      <c r="G1500" s="16">
        <f>G1499/(Inputs!$D$7+$D$1506)^G1480</f>
        <v>-3198.6634214893083</v>
      </c>
      <c r="H1500" s="16">
        <f>H1499/(Inputs!$D$7+$D$1506)^H1480</f>
        <v>-1075.5331026868571</v>
      </c>
      <c r="I1500" s="16">
        <f>I1499/(Inputs!$D$7+$D$1506)^I1480</f>
        <v>6259.1665279924</v>
      </c>
      <c r="J1500" s="16">
        <f>J1499/(Inputs!$D$7+$D$1506)^J1480</f>
        <v>4738.5686760557601</v>
      </c>
      <c r="K1500" s="16">
        <f>K1499/(Inputs!$D$7+$D$1506)^K1480</f>
        <v>2395.2889360358531</v>
      </c>
      <c r="L1500" s="16">
        <f>L1499/(Inputs!$D$7+$D$1506)^L1480</f>
        <v>832.95662381134139</v>
      </c>
      <c r="M1500" s="16">
        <f>M1499/(Inputs!$D$7+$D$1506)^M1480</f>
        <v>3456.8819535616421</v>
      </c>
    </row>
    <row r="1501" spans="2:13" ht="15" customHeight="1" x14ac:dyDescent="0.2">
      <c r="B1501" s="3" t="s">
        <v>910</v>
      </c>
      <c r="C1501" s="10" t="s">
        <v>896</v>
      </c>
      <c r="D1501" s="28">
        <f>(D1487*$D$1505-D1491)/(Inputs!$D$7+$D$1506)^D1480</f>
        <v>59.765095798928819</v>
      </c>
      <c r="E1501" s="28">
        <f>(E1487*$D$1505-E1491)/(Inputs!$D$7+$D$1506)^E1480</f>
        <v>221.1922031857838</v>
      </c>
      <c r="F1501" s="28">
        <f>(F1487*$D$1505-F1491)/(Inputs!$D$7+$D$1506)^F1480</f>
        <v>386.45052664112239</v>
      </c>
      <c r="G1501" s="28">
        <f>(G1487*$D$1505-G1491)/(Inputs!$D$7+$D$1506)^G1480</f>
        <v>521.867070169518</v>
      </c>
      <c r="H1501" s="28">
        <f>(H1487*$D$1505-H1491)/(Inputs!$D$7+$D$1506)^H1480</f>
        <v>623.60768582417222</v>
      </c>
      <c r="I1501" s="28">
        <f>(I1487*$D$1505-I1491)/(Inputs!$D$7+$D$1506)^I1480</f>
        <v>616.42445467314121</v>
      </c>
      <c r="J1501" s="28">
        <f>(J1487*$D$1505-J1491)/(Inputs!$D$7+$D$1506)^J1480</f>
        <v>531.4543785819003</v>
      </c>
      <c r="K1501" s="28">
        <f>(K1487*$D$1505-K1491)/(Inputs!$D$7+$D$1506)^K1480</f>
        <v>458.19687128350449</v>
      </c>
      <c r="L1501" s="28">
        <f>(L1487*$D$1505-L1491)/(Inputs!$D$7+$D$1506)^L1480</f>
        <v>395.03743183788401</v>
      </c>
      <c r="M1501" s="28">
        <f>(M1487*$D$1505-M1491)/(Inputs!$D$7+$D$1506)^M1480</f>
        <v>340.44573883180209</v>
      </c>
    </row>
    <row r="1502" spans="2:13" ht="15" customHeight="1" x14ac:dyDescent="0.2">
      <c r="B1502" s="10" t="s">
        <v>911</v>
      </c>
      <c r="C1502" s="10" t="s">
        <v>110</v>
      </c>
      <c r="D1502" s="16">
        <f>(-D1489-D1490)/(Inputs!$D$7+$D$1506)^D1480</f>
        <v>-6704.7090607969039</v>
      </c>
      <c r="E1502" s="16">
        <f>(-E1489-E1490)/(Inputs!$D$7+$D$1506)^E1480</f>
        <v>-14445.4009031226</v>
      </c>
      <c r="F1502" s="16">
        <f>(-F1489-F1490)/(Inputs!$D$7+$D$1506)^F1480</f>
        <v>-13699.616639717549</v>
      </c>
      <c r="G1502" s="16">
        <f>(-G1489-G1490)/(Inputs!$D$7+$D$1506)^G1480</f>
        <v>-14941.671835349038</v>
      </c>
      <c r="H1502" s="16">
        <f>(-H1489-H1490)/(Inputs!$D$7+$D$1506)^H1480</f>
        <v>-15113.052884793095</v>
      </c>
      <c r="I1502" s="16">
        <f>(-I1489-I1490)/(Inputs!$D$7+$D$1506)^I1480</f>
        <v>-7629.8523795762403</v>
      </c>
      <c r="J1502" s="16">
        <f>(-J1489-J1490)/(Inputs!$D$7+$D$1506)^J1480</f>
        <v>-7235.9398897150922</v>
      </c>
      <c r="K1502" s="16">
        <f>(-K1489-K1490)/(Inputs!$D$7+$D$1506)^K1480</f>
        <v>-7928.612006570077</v>
      </c>
      <c r="L1502" s="16">
        <f>(-L1489-L1490)/(Inputs!$D$7+$D$1506)^L1480</f>
        <v>-8067.8621519509534</v>
      </c>
      <c r="M1502" s="16">
        <f>(-M1489-M1490)/(Inputs!$D$7+$D$1506)^M1480</f>
        <v>-4213.8995473821142</v>
      </c>
    </row>
    <row r="1503" spans="2:13" ht="15" customHeight="1" x14ac:dyDescent="0.2">
      <c r="B1503" s="10" t="s">
        <v>912</v>
      </c>
      <c r="C1503" s="10" t="s">
        <v>110</v>
      </c>
      <c r="D1503" s="16">
        <f>Prices!I11</f>
        <v>6000</v>
      </c>
    </row>
    <row r="1504" spans="2:13" ht="15" customHeight="1" x14ac:dyDescent="0.2">
      <c r="B1504" s="3" t="s">
        <v>913</v>
      </c>
      <c r="C1504" s="10" t="s">
        <v>914</v>
      </c>
      <c r="D1504" s="28">
        <f>IF(J1511&gt;=J1507,J1511,(D1503-J1510)/J1509)</f>
        <v>25.298525501109911</v>
      </c>
      <c r="G1504" s="99" t="s">
        <v>915</v>
      </c>
      <c r="H1504" s="91"/>
      <c r="I1504" s="91"/>
      <c r="J1504" s="28">
        <f>D1504*Inputs!$D$15</f>
        <v>17.655840947224604</v>
      </c>
      <c r="K1504" s="99" t="s">
        <v>916</v>
      </c>
      <c r="L1504" s="91"/>
      <c r="M1504" s="91"/>
    </row>
    <row r="1505" spans="2:13" ht="15" customHeight="1" x14ac:dyDescent="0.2">
      <c r="B1505" s="10" t="s">
        <v>917</v>
      </c>
      <c r="C1505" s="10" t="s">
        <v>104</v>
      </c>
      <c r="D1505" s="30">
        <f>Inputs!$D$107</f>
        <v>0.9</v>
      </c>
      <c r="G1505" s="99" t="s">
        <v>918</v>
      </c>
      <c r="H1505" s="91"/>
      <c r="I1505" s="91"/>
      <c r="J1505" s="28">
        <f>IF(-D1516/D1515&gt;=J1507,-D1516/D1515,-J1510/J1509)</f>
        <v>24.024174528419383</v>
      </c>
      <c r="K1505" s="99" t="s">
        <v>919</v>
      </c>
      <c r="L1505" s="91"/>
      <c r="M1505" s="91"/>
    </row>
    <row r="1506" spans="2:13" ht="15" customHeight="1" x14ac:dyDescent="0.2">
      <c r="B1506" s="10" t="s">
        <v>920</v>
      </c>
      <c r="C1506" s="10" t="s">
        <v>104</v>
      </c>
      <c r="D1506" s="30">
        <f>Inputs!$D$108</f>
        <v>0.16</v>
      </c>
      <c r="G1506" s="99" t="s">
        <v>918</v>
      </c>
      <c r="H1506" s="91"/>
      <c r="I1506" s="91"/>
      <c r="J1506" s="28">
        <f>J1505*Inputs!$D$15</f>
        <v>16.766471403383886</v>
      </c>
      <c r="K1506" s="99" t="s">
        <v>916</v>
      </c>
      <c r="L1506" s="91"/>
      <c r="M1506" s="91"/>
    </row>
    <row r="1507" spans="2:13" ht="15" customHeight="1" x14ac:dyDescent="0.2">
      <c r="B1507" s="3" t="s">
        <v>921</v>
      </c>
      <c r="C1507" s="10" t="s">
        <v>848</v>
      </c>
      <c r="D1507" s="28">
        <f>Capital!$D$13</f>
        <v>57.347931490590682</v>
      </c>
      <c r="G1507" s="99" t="s">
        <v>922</v>
      </c>
      <c r="H1507" s="91"/>
      <c r="I1507" s="91"/>
      <c r="J1507" s="28">
        <f>($D$1507/Inputs!$D$21+$D$1508/Inputs!$D$22)/$D$1505</f>
        <v>16.07538460873031</v>
      </c>
      <c r="K1507" s="99" t="s">
        <v>919</v>
      </c>
      <c r="L1507" s="91"/>
      <c r="M1507" s="91"/>
    </row>
    <row r="1508" spans="2:13" ht="15" customHeight="1" x14ac:dyDescent="0.2">
      <c r="B1508" s="3" t="s">
        <v>923</v>
      </c>
      <c r="C1508" s="10" t="s">
        <v>848</v>
      </c>
      <c r="D1508" s="28">
        <f>Capital!$D$14</f>
        <v>2.6172655041921802</v>
      </c>
    </row>
    <row r="1509" spans="2:13" ht="15" customHeight="1" x14ac:dyDescent="0.2">
      <c r="B1509" s="10" t="s">
        <v>924</v>
      </c>
      <c r="C1509" s="10" t="s">
        <v>896</v>
      </c>
      <c r="D1509" s="28">
        <f>(M1482*(Inputs!$D$7+Inputs!$D$20)*$D$1505*(Inputs!$D$7-Inputs!$D$19)-M1482*Inputs!$D$20*Inputs!$D$23)/($D$1506-Inputs!$D$20)/(Inputs!$D$7+$D$1506)^M1480</f>
        <v>1807.6547922951956</v>
      </c>
      <c r="G1509" s="92" t="s">
        <v>910</v>
      </c>
      <c r="H1509" s="91"/>
      <c r="I1509" s="91"/>
      <c r="J1509" s="28">
        <f>SUM(D1501:M1501)+(M1482*(Inputs!$D$7+Inputs!$D$20)*$D$1505-M1482*Inputs!$D$20*Inputs!$D$23)/($D$1506-Inputs!$D$20)/(Inputs!$D$7+$D$1506)^M1480</f>
        <v>6737.5559875731687</v>
      </c>
      <c r="K1509" s="99" t="s">
        <v>896</v>
      </c>
      <c r="L1509" s="91"/>
      <c r="M1509" s="91"/>
    </row>
    <row r="1510" spans="2:13" ht="15" customHeight="1" x14ac:dyDescent="0.2">
      <c r="B1510" s="10" t="s">
        <v>925</v>
      </c>
      <c r="C1510" s="10" t="s">
        <v>110</v>
      </c>
      <c r="D1510" s="16">
        <f>(D1513*Inputs!$D$19-D1513-D1514)/($D$1506-Inputs!$D$20)/(Inputs!$D$7+$D$1506)^M1480</f>
        <v>-33287.494112345899</v>
      </c>
      <c r="G1510" s="92" t="s">
        <v>926</v>
      </c>
      <c r="H1510" s="91"/>
      <c r="I1510" s="91"/>
      <c r="J1510" s="16">
        <f>SUM(D1502:M1502)-(D1513+D1514)/($D$1506-Inputs!$D$20)/(Inputs!$D$7+$D$1506)^M1480</f>
        <v>-145733.9249554922</v>
      </c>
      <c r="K1510" s="99" t="s">
        <v>110</v>
      </c>
      <c r="L1510" s="91"/>
      <c r="M1510" s="91"/>
    </row>
    <row r="1511" spans="2:13" ht="15" customHeight="1" x14ac:dyDescent="0.2">
      <c r="B1511" s="10" t="s">
        <v>927</v>
      </c>
      <c r="C1511" s="10" t="s">
        <v>928</v>
      </c>
      <c r="D1511" s="16">
        <f>(M1482*(Inputs!$D$7+Inputs!$D$20)*$D$1504*$D$1505-D1513)-MAX((M1482*(Inputs!$D$7+Inputs!$D$20)*$D$1504*$D$1505-D1513),Inputs!$D$6)*Inputs!$D$19-D1514-M1482*Inputs!$D$20*$D$1504*Inputs!$D$23</f>
        <v>7105.4427647141765</v>
      </c>
      <c r="G1511" s="99" t="s">
        <v>929</v>
      </c>
      <c r="H1511" s="91"/>
      <c r="I1511" s="91"/>
      <c r="J1511" s="28">
        <f>(D1503-D1516)/D1515</f>
        <v>25.298525501109911</v>
      </c>
      <c r="K1511" s="99" t="s">
        <v>919</v>
      </c>
      <c r="L1511" s="91"/>
      <c r="M1511" s="91"/>
    </row>
    <row r="1512" spans="2:13" ht="15" customHeight="1" x14ac:dyDescent="0.2">
      <c r="B1512" s="10" t="s">
        <v>930</v>
      </c>
      <c r="C1512" s="10" t="s">
        <v>110</v>
      </c>
      <c r="D1512" s="16">
        <f>D1511/($D$1506-Inputs!$D$20)</f>
        <v>52632.909368253153</v>
      </c>
      <c r="G1512" s="99" t="s">
        <v>931</v>
      </c>
      <c r="H1512" s="91"/>
      <c r="I1512" s="91"/>
      <c r="J1512" s="16">
        <f>MIN(D1496:M1496,(M1482*(Inputs!$D$7+Inputs!$D$20)*$D$1504*$D$1505-D1513))</f>
        <v>641.56152896442381</v>
      </c>
      <c r="K1512" s="99" t="s">
        <v>110</v>
      </c>
      <c r="L1512" s="91"/>
      <c r="M1512" s="91"/>
    </row>
    <row r="1513" spans="2:13" ht="15" customHeight="1" x14ac:dyDescent="0.2">
      <c r="B1513" s="10" t="s">
        <v>932</v>
      </c>
      <c r="C1513" s="10" t="s">
        <v>928</v>
      </c>
      <c r="D1513" s="16">
        <f>M1482*(Inputs!$D$7+Inputs!$D$20)*($D$1507/Inputs!$D$21+$D$1508/Inputs!$D$22)</f>
        <v>23727.267682485937</v>
      </c>
      <c r="G1513" s="99" t="s">
        <v>933</v>
      </c>
      <c r="H1513" s="91"/>
      <c r="I1513" s="91"/>
      <c r="J1513" s="31" t="str">
        <f>IF(J1512&lt;Inputs!$D$6,"breached","satisfied")</f>
        <v>satisfied</v>
      </c>
      <c r="K1513" s="99" t="s">
        <v>934</v>
      </c>
      <c r="L1513" s="91"/>
      <c r="M1513" s="91"/>
    </row>
    <row r="1514" spans="2:13" ht="15" customHeight="1" x14ac:dyDescent="0.2">
      <c r="B1514" s="10" t="s">
        <v>935</v>
      </c>
      <c r="C1514" s="10" t="s">
        <v>928</v>
      </c>
      <c r="D1514" s="16">
        <f>M1482*Inputs!$D$20*($D$1507+$D$1508)</f>
        <v>2398.6078797913146</v>
      </c>
    </row>
    <row r="1515" spans="2:13" ht="15" customHeight="1" x14ac:dyDescent="0.2">
      <c r="B1515" s="10" t="s">
        <v>936</v>
      </c>
      <c r="C1515" s="10" t="s">
        <v>896</v>
      </c>
      <c r="D1515" s="28">
        <f>SUM(D1492:M1492)+D1509</f>
        <v>4708.2790601495317</v>
      </c>
      <c r="G1515" s="99" t="s">
        <v>937</v>
      </c>
      <c r="H1515" s="91"/>
      <c r="I1515" s="91"/>
      <c r="J1515" s="16">
        <f>D1517-D1503</f>
        <v>2.1827872842550278E-11</v>
      </c>
      <c r="K1515" s="99" t="s">
        <v>110</v>
      </c>
      <c r="L1515" s="91"/>
      <c r="M1515" s="91"/>
    </row>
    <row r="1516" spans="2:13" ht="15" customHeight="1" x14ac:dyDescent="0.2">
      <c r="B1516" s="10" t="s">
        <v>938</v>
      </c>
      <c r="C1516" s="10" t="s">
        <v>110</v>
      </c>
      <c r="D1516" s="16">
        <f>SUM(D1493:M1493)+D1510</f>
        <v>-113112.51786953473</v>
      </c>
    </row>
    <row r="1517" spans="2:13" ht="15" customHeight="1" x14ac:dyDescent="0.2">
      <c r="B1517" s="10" t="s">
        <v>939</v>
      </c>
      <c r="C1517" s="10" t="s">
        <v>110</v>
      </c>
      <c r="D1517" s="16">
        <f>SUM(D1500:M1500)+D1512/(Inputs!$D$7+$D$1506)^M1480</f>
        <v>6000.0000000000218</v>
      </c>
    </row>
    <row r="1518" spans="2:13" ht="15" customHeight="1" x14ac:dyDescent="0.2">
      <c r="B1518" s="10" t="s">
        <v>940</v>
      </c>
      <c r="C1518" s="10" t="s">
        <v>104</v>
      </c>
      <c r="D1518" s="30">
        <f>IF(ABS(D1503)&gt;Inputs!$D$6,D1517/D1503-Inputs!$D$7,Inputs!$D$6)</f>
        <v>3.5527136788005009E-15</v>
      </c>
    </row>
    <row r="1519" spans="2:13" ht="15" customHeight="1" x14ac:dyDescent="0.2">
      <c r="B1519" s="10" t="s">
        <v>941</v>
      </c>
      <c r="C1519" s="10" t="s">
        <v>104</v>
      </c>
      <c r="D1519" s="30">
        <f>IF(ABS(D1517)&gt;Inputs!$D$119,D1512/(Inputs!$D$7+$D$1506)^M1480/D1517,Inputs!$D$6)</f>
        <v>2.0739177912896016</v>
      </c>
    </row>
    <row r="1520" spans="2:13" ht="15" customHeight="1" x14ac:dyDescent="0.2">
      <c r="B1520" s="10" t="s">
        <v>942</v>
      </c>
      <c r="C1520" s="10" t="s">
        <v>943</v>
      </c>
      <c r="D1520" s="26">
        <f>$D$1504*Inputs!$D$8/Prices!$P$6/(Inputs!$D$26/Inputs!$D$25)/Inputs!$D$11/Inputs!$D$56</f>
        <v>4.6006137072130819</v>
      </c>
    </row>
    <row r="1524" spans="1:13" ht="15" customHeight="1" x14ac:dyDescent="0.2">
      <c r="A1524" s="104" t="s">
        <v>976</v>
      </c>
      <c r="B1524" s="10" t="s">
        <v>886</v>
      </c>
      <c r="C1524" s="10" t="s">
        <v>107</v>
      </c>
      <c r="D1524" s="28">
        <f>Inputs!$D$60</f>
        <v>1</v>
      </c>
      <c r="E1524" s="28">
        <f>Inputs!$D$62</f>
        <v>2</v>
      </c>
      <c r="F1524" s="28">
        <f>Inputs!$D$64</f>
        <v>3</v>
      </c>
      <c r="G1524" s="28">
        <f>Inputs!$D$66</f>
        <v>4</v>
      </c>
      <c r="H1524" s="28">
        <f>Inputs!$D$68</f>
        <v>5</v>
      </c>
      <c r="I1524" s="28">
        <f>Inputs!$D$70</f>
        <v>6</v>
      </c>
      <c r="J1524" s="28">
        <f>Inputs!$D$72</f>
        <v>7</v>
      </c>
      <c r="K1524" s="28">
        <f>Inputs!$D$74</f>
        <v>8</v>
      </c>
      <c r="L1524" s="28">
        <f>Inputs!$D$76</f>
        <v>9</v>
      </c>
      <c r="M1524" s="28">
        <f>Inputs!$D$78</f>
        <v>10</v>
      </c>
    </row>
    <row r="1525" spans="1:13" ht="15" customHeight="1" x14ac:dyDescent="0.2">
      <c r="A1525" s="91"/>
      <c r="B1525" s="10" t="s">
        <v>887</v>
      </c>
      <c r="C1525" s="10" t="s">
        <v>161</v>
      </c>
      <c r="D1525" s="29">
        <f>Inputs!$D$61</f>
        <v>46568</v>
      </c>
      <c r="E1525" s="29">
        <f>Inputs!$D$63</f>
        <v>46934</v>
      </c>
      <c r="F1525" s="29">
        <f>Inputs!$D$65</f>
        <v>47299</v>
      </c>
      <c r="G1525" s="29">
        <f>Inputs!$D$67</f>
        <v>47664</v>
      </c>
      <c r="H1525" s="29">
        <f>Inputs!$D$69</f>
        <v>48029</v>
      </c>
      <c r="I1525" s="29">
        <f>Inputs!$D$71</f>
        <v>48395</v>
      </c>
      <c r="J1525" s="29">
        <f>Inputs!$D$73</f>
        <v>48760</v>
      </c>
      <c r="K1525" s="29">
        <f>Inputs!$D$75</f>
        <v>49125</v>
      </c>
      <c r="L1525" s="29">
        <f>Inputs!$D$77</f>
        <v>49490</v>
      </c>
      <c r="M1525" s="29">
        <f>Inputs!$D$79</f>
        <v>49856</v>
      </c>
    </row>
    <row r="1526" spans="1:13" ht="15" customHeight="1" x14ac:dyDescent="0.2">
      <c r="A1526" s="91"/>
      <c r="B1526" s="10" t="s">
        <v>888</v>
      </c>
      <c r="C1526" s="10" t="s">
        <v>107</v>
      </c>
      <c r="D1526" s="28">
        <f>(D1525-Inputs!$D$13)/Inputs!$D$10</f>
        <v>0.71457905544147848</v>
      </c>
      <c r="E1526" s="28">
        <f>(E1525-Inputs!$D$13)/Inputs!$D$10</f>
        <v>1.7166324435318274</v>
      </c>
      <c r="F1526" s="28">
        <f>(F1525-Inputs!$D$13)/Inputs!$D$10</f>
        <v>2.7159479808350446</v>
      </c>
      <c r="G1526" s="28">
        <f>(G1525-Inputs!$D$13)/Inputs!$D$10</f>
        <v>3.7152635181382614</v>
      </c>
      <c r="H1526" s="28">
        <f>(H1525-Inputs!$D$13)/Inputs!$D$10</f>
        <v>4.7145790554414786</v>
      </c>
      <c r="I1526" s="28">
        <f>(I1525-Inputs!$D$13)/Inputs!$D$10</f>
        <v>5.7166324435318279</v>
      </c>
      <c r="J1526" s="28">
        <f>(J1525-Inputs!$D$13)/Inputs!$D$10</f>
        <v>6.7159479808350442</v>
      </c>
      <c r="K1526" s="28">
        <f>(K1525-Inputs!$D$13)/Inputs!$D$10</f>
        <v>7.7152635181382614</v>
      </c>
      <c r="L1526" s="28">
        <f>(L1525-Inputs!$D$13)/Inputs!$D$10</f>
        <v>8.7145790554414777</v>
      </c>
      <c r="M1526" s="28">
        <f>(M1525-Inputs!$D$13)/Inputs!$D$10</f>
        <v>9.716632443531827</v>
      </c>
    </row>
    <row r="1527" spans="1:13" ht="15" customHeight="1" x14ac:dyDescent="0.2">
      <c r="A1527" s="91"/>
      <c r="B1527" s="10" t="s">
        <v>889</v>
      </c>
      <c r="C1527" s="10" t="s">
        <v>107</v>
      </c>
      <c r="D1527" s="28">
        <f>D1526</f>
        <v>0.71457905544147848</v>
      </c>
      <c r="E1527" s="28">
        <f>Inputs!$D$7</f>
        <v>1</v>
      </c>
      <c r="F1527" s="28">
        <f>Inputs!$D$7</f>
        <v>1</v>
      </c>
      <c r="G1527" s="28">
        <f>Inputs!$D$7</f>
        <v>1</v>
      </c>
      <c r="H1527" s="28">
        <f>Inputs!$D$7</f>
        <v>1</v>
      </c>
      <c r="I1527" s="28">
        <f>Inputs!$D$7</f>
        <v>1</v>
      </c>
      <c r="J1527" s="28">
        <f>Inputs!$D$7</f>
        <v>1</v>
      </c>
      <c r="K1527" s="28">
        <f>Inputs!$D$7</f>
        <v>1</v>
      </c>
      <c r="L1527" s="28">
        <f>Inputs!$D$7</f>
        <v>1</v>
      </c>
      <c r="M1527" s="28">
        <f>Inputs!$D$7</f>
        <v>1</v>
      </c>
    </row>
    <row r="1528" spans="1:13" ht="15" customHeight="1" x14ac:dyDescent="0.2">
      <c r="A1528" s="91"/>
      <c r="B1528" s="3" t="s">
        <v>890</v>
      </c>
      <c r="C1528" s="10" t="s">
        <v>199</v>
      </c>
      <c r="D1528" s="28">
        <f>Inputs!$D$24+(Inputs!$D$80-Inputs!$D$24)*Inputs!$D$83</f>
        <v>305.5</v>
      </c>
      <c r="E1528" s="28">
        <f>Inputs!$D$24+(Inputs!$D$80-Inputs!$D$24)*Inputs!$D$84</f>
        <v>651.5</v>
      </c>
      <c r="F1528" s="28">
        <f>Inputs!$D$24+(Inputs!$D$80-Inputs!$D$24)*Inputs!$D$85</f>
        <v>911</v>
      </c>
      <c r="G1528" s="28">
        <f>Inputs!$D$24+(Inputs!$D$80-Inputs!$D$24)*Inputs!$D$86</f>
        <v>911</v>
      </c>
      <c r="H1528" s="28">
        <f>Inputs!$D$24+(Inputs!$D$80-Inputs!$D$24)*Inputs!$D$87</f>
        <v>911</v>
      </c>
      <c r="I1528" s="28">
        <f>Inputs!$D$24+(Inputs!$D$80-Inputs!$D$24)*Inputs!$D$88</f>
        <v>911</v>
      </c>
      <c r="J1528" s="28">
        <f>Inputs!$D$24+(Inputs!$D$80-Inputs!$D$24)*Inputs!$D$89</f>
        <v>911</v>
      </c>
      <c r="K1528" s="28">
        <f>Inputs!$D$24+(Inputs!$D$80-Inputs!$D$24)*Inputs!$D$90</f>
        <v>911</v>
      </c>
      <c r="L1528" s="28">
        <f>Inputs!$D$24+(Inputs!$D$80-Inputs!$D$24)*Inputs!$D$91</f>
        <v>911</v>
      </c>
      <c r="M1528" s="28">
        <f>Inputs!$D$24+(Inputs!$D$80-Inputs!$D$24)*Inputs!$D$92</f>
        <v>911</v>
      </c>
    </row>
    <row r="1529" spans="1:13" ht="15" customHeight="1" x14ac:dyDescent="0.2">
      <c r="A1529" s="91"/>
      <c r="B1529" s="10" t="s">
        <v>891</v>
      </c>
      <c r="C1529" s="10" t="s">
        <v>199</v>
      </c>
      <c r="D1529" s="28">
        <f>Inputs!$D$24</f>
        <v>46</v>
      </c>
      <c r="E1529" s="28">
        <f t="shared" ref="E1529:M1529" si="330">D1528</f>
        <v>305.5</v>
      </c>
      <c r="F1529" s="28">
        <f t="shared" si="330"/>
        <v>651.5</v>
      </c>
      <c r="G1529" s="28">
        <f t="shared" si="330"/>
        <v>911</v>
      </c>
      <c r="H1529" s="28">
        <f t="shared" si="330"/>
        <v>911</v>
      </c>
      <c r="I1529" s="28">
        <f t="shared" si="330"/>
        <v>911</v>
      </c>
      <c r="J1529" s="28">
        <f t="shared" si="330"/>
        <v>911</v>
      </c>
      <c r="K1529" s="28">
        <f t="shared" si="330"/>
        <v>911</v>
      </c>
      <c r="L1529" s="28">
        <f t="shared" si="330"/>
        <v>911</v>
      </c>
      <c r="M1529" s="28">
        <f t="shared" si="330"/>
        <v>911</v>
      </c>
    </row>
    <row r="1530" spans="1:13" ht="15" customHeight="1" x14ac:dyDescent="0.2">
      <c r="B1530" s="10" t="s">
        <v>892</v>
      </c>
      <c r="C1530" s="10" t="s">
        <v>199</v>
      </c>
      <c r="D1530" s="28">
        <f>(D1529+D1528)*Inputs!$D$12</f>
        <v>175.75</v>
      </c>
      <c r="E1530" s="28">
        <f>(E1529+E1528)*Inputs!$D$12</f>
        <v>478.5</v>
      </c>
      <c r="F1530" s="28">
        <f>(F1529+F1528)*Inputs!$D$12</f>
        <v>781.25</v>
      </c>
      <c r="G1530" s="28">
        <f>(G1529+G1528)*Inputs!$D$12</f>
        <v>911</v>
      </c>
      <c r="H1530" s="28">
        <f>(H1529+H1528)*Inputs!$D$12</f>
        <v>911</v>
      </c>
      <c r="I1530" s="28">
        <f>(I1529+I1528)*Inputs!$D$12</f>
        <v>911</v>
      </c>
      <c r="J1530" s="28">
        <f>(J1529+J1528)*Inputs!$D$12</f>
        <v>911</v>
      </c>
      <c r="K1530" s="28">
        <f>(K1529+K1528)*Inputs!$D$12</f>
        <v>911</v>
      </c>
      <c r="L1530" s="28">
        <f>(L1529+L1528)*Inputs!$D$12</f>
        <v>911</v>
      </c>
      <c r="M1530" s="28">
        <f>(M1529+M1528)*Inputs!$D$12</f>
        <v>911</v>
      </c>
    </row>
    <row r="1531" spans="1:13" ht="15" customHeight="1" x14ac:dyDescent="0.2">
      <c r="B1531" s="10" t="s">
        <v>893</v>
      </c>
      <c r="C1531" s="10" t="s">
        <v>199</v>
      </c>
      <c r="D1531" s="28">
        <f t="shared" ref="D1531:M1531" si="331">D1528-D1529</f>
        <v>259.5</v>
      </c>
      <c r="E1531" s="28">
        <f t="shared" si="331"/>
        <v>346</v>
      </c>
      <c r="F1531" s="28">
        <f t="shared" si="331"/>
        <v>259.5</v>
      </c>
      <c r="G1531" s="28">
        <f t="shared" si="331"/>
        <v>0</v>
      </c>
      <c r="H1531" s="28">
        <f t="shared" si="331"/>
        <v>0</v>
      </c>
      <c r="I1531" s="28">
        <f t="shared" si="331"/>
        <v>0</v>
      </c>
      <c r="J1531" s="28">
        <f t="shared" si="331"/>
        <v>0</v>
      </c>
      <c r="K1531" s="28">
        <f t="shared" si="331"/>
        <v>0</v>
      </c>
      <c r="L1531" s="28">
        <f t="shared" si="331"/>
        <v>0</v>
      </c>
      <c r="M1531" s="28">
        <f t="shared" si="331"/>
        <v>0</v>
      </c>
    </row>
    <row r="1532" spans="1:13" ht="15" customHeight="1" x14ac:dyDescent="0.2">
      <c r="B1532" s="10" t="s">
        <v>894</v>
      </c>
      <c r="C1532" s="10" t="s">
        <v>199</v>
      </c>
      <c r="D1532" s="28">
        <f>IF(MOD(D1524,Inputs!$D$21)=Inputs!$D$6,Inputs!$D$24,Inputs!$D$6)+SUMPRODUCT(--(D1524&gt;$D$1524:$M$1524),--(MOD(D1524-$D$1524:$M$1524,Inputs!$D$21)=Inputs!$D$6),$D$1531:$M$1531)</f>
        <v>0</v>
      </c>
      <c r="E1532" s="28">
        <f>IF(MOD(E1524,Inputs!$D$21)=Inputs!$D$6,Inputs!$D$24,Inputs!$D$6)+SUMPRODUCT(--(E1524&gt;$D$1524:$M$1524),--(MOD(E1524-$D$1524:$M$1524,Inputs!$D$21)=Inputs!$D$6),$D$1531:$M$1531)</f>
        <v>0</v>
      </c>
      <c r="F1532" s="28">
        <f>IF(MOD(F1524,Inputs!$D$21)=Inputs!$D$6,Inputs!$D$24,Inputs!$D$6)+SUMPRODUCT(--(F1524&gt;$D$1524:$M$1524),--(MOD(F1524-$D$1524:$M$1524,Inputs!$D$21)=Inputs!$D$6),$D$1531:$M$1531)</f>
        <v>0</v>
      </c>
      <c r="G1532" s="28">
        <f>IF(MOD(G1524,Inputs!$D$21)=Inputs!$D$6,Inputs!$D$24,Inputs!$D$6)+SUMPRODUCT(--(G1524&gt;$D$1524:$M$1524),--(MOD(G1524-$D$1524:$M$1524,Inputs!$D$21)=Inputs!$D$6),$D$1531:$M$1531)</f>
        <v>46</v>
      </c>
      <c r="H1532" s="28">
        <f>IF(MOD(H1524,Inputs!$D$21)=Inputs!$D$6,Inputs!$D$24,Inputs!$D$6)+SUMPRODUCT(--(H1524&gt;$D$1524:$M$1524),--(MOD(H1524-$D$1524:$M$1524,Inputs!$D$21)=Inputs!$D$6),$D$1531:$M$1531)</f>
        <v>259.5</v>
      </c>
      <c r="I1532" s="28">
        <f>IF(MOD(I1524,Inputs!$D$21)=Inputs!$D$6,Inputs!$D$24,Inputs!$D$6)+SUMPRODUCT(--(I1524&gt;$D$1524:$M$1524),--(MOD(I1524-$D$1524:$M$1524,Inputs!$D$21)=Inputs!$D$6),$D$1531:$M$1531)</f>
        <v>346</v>
      </c>
      <c r="J1532" s="28">
        <f>IF(MOD(J1524,Inputs!$D$21)=Inputs!$D$6,Inputs!$D$24,Inputs!$D$6)+SUMPRODUCT(--(J1524&gt;$D$1524:$M$1524),--(MOD(J1524-$D$1524:$M$1524,Inputs!$D$21)=Inputs!$D$6),$D$1531:$M$1531)</f>
        <v>259.5</v>
      </c>
      <c r="K1532" s="28">
        <f>IF(MOD(K1524,Inputs!$D$21)=Inputs!$D$6,Inputs!$D$24,Inputs!$D$6)+SUMPRODUCT(--(K1524&gt;$D$1524:$M$1524),--(MOD(K1524-$D$1524:$M$1524,Inputs!$D$21)=Inputs!$D$6),$D$1531:$M$1531)</f>
        <v>46</v>
      </c>
      <c r="L1532" s="28">
        <f>IF(MOD(L1524,Inputs!$D$21)=Inputs!$D$6,Inputs!$D$24,Inputs!$D$6)+SUMPRODUCT(--(L1524&gt;$D$1524:$M$1524),--(MOD(L1524-$D$1524:$M$1524,Inputs!$D$21)=Inputs!$D$6),$D$1531:$M$1531)</f>
        <v>259.5</v>
      </c>
      <c r="M1532" s="28">
        <f>IF(MOD(M1524,Inputs!$D$21)=Inputs!$D$6,Inputs!$D$24,Inputs!$D$6)+SUMPRODUCT(--(M1524&gt;$D$1524:$M$1524),--(MOD(M1524-$D$1524:$M$1524,Inputs!$D$21)=Inputs!$D$6),$D$1531:$M$1531)</f>
        <v>346</v>
      </c>
    </row>
    <row r="1533" spans="1:13" ht="15" customHeight="1" x14ac:dyDescent="0.2">
      <c r="B1533" s="10" t="s">
        <v>895</v>
      </c>
      <c r="C1533" s="10" t="s">
        <v>896</v>
      </c>
      <c r="D1533" s="28">
        <f t="shared" ref="D1533:M1533" si="332">D1530*D1527</f>
        <v>125.58726899383984</v>
      </c>
      <c r="E1533" s="28">
        <f t="shared" si="332"/>
        <v>478.5</v>
      </c>
      <c r="F1533" s="28">
        <f t="shared" si="332"/>
        <v>781.25</v>
      </c>
      <c r="G1533" s="28">
        <f t="shared" si="332"/>
        <v>911</v>
      </c>
      <c r="H1533" s="28">
        <f t="shared" si="332"/>
        <v>911</v>
      </c>
      <c r="I1533" s="28">
        <f t="shared" si="332"/>
        <v>911</v>
      </c>
      <c r="J1533" s="28">
        <f t="shared" si="332"/>
        <v>911</v>
      </c>
      <c r="K1533" s="28">
        <f t="shared" si="332"/>
        <v>911</v>
      </c>
      <c r="L1533" s="28">
        <f t="shared" si="332"/>
        <v>911</v>
      </c>
      <c r="M1533" s="28">
        <f t="shared" si="332"/>
        <v>911</v>
      </c>
    </row>
    <row r="1534" spans="1:13" ht="15" customHeight="1" x14ac:dyDescent="0.2">
      <c r="B1534" s="10" t="s">
        <v>897</v>
      </c>
      <c r="C1534" s="10" t="s">
        <v>110</v>
      </c>
      <c r="D1534" s="16">
        <f>D1533*($D$1553/Inputs!$D$21+$D$1554/Inputs!$D$22)</f>
        <v>1816.9772859324419</v>
      </c>
      <c r="E1534" s="16">
        <f>E1533*($D$1553/Inputs!$D$21+$D$1554/Inputs!$D$22)</f>
        <v>6922.8643817497086</v>
      </c>
      <c r="F1534" s="16">
        <f>F1533*($D$1553/Inputs!$D$21+$D$1554/Inputs!$D$22)</f>
        <v>11303.0048030135</v>
      </c>
      <c r="G1534" s="16">
        <f>G1533*($D$1553/Inputs!$D$21+$D$1554/Inputs!$D$22)</f>
        <v>13180.207840697982</v>
      </c>
      <c r="H1534" s="16">
        <f>H1533*($D$1553/Inputs!$D$21+$D$1554/Inputs!$D$22)</f>
        <v>13180.207840697982</v>
      </c>
      <c r="I1534" s="16">
        <f>I1533*($D$1553/Inputs!$D$21+$D$1554/Inputs!$D$22)</f>
        <v>13180.207840697982</v>
      </c>
      <c r="J1534" s="16">
        <f>J1533*($D$1553/Inputs!$D$21+$D$1554/Inputs!$D$22)</f>
        <v>13180.207840697982</v>
      </c>
      <c r="K1534" s="16">
        <f>K1533*($D$1553/Inputs!$D$21+$D$1554/Inputs!$D$22)</f>
        <v>13180.207840697982</v>
      </c>
      <c r="L1534" s="16">
        <f>L1533*($D$1553/Inputs!$D$21+$D$1554/Inputs!$D$22)</f>
        <v>13180.207840697982</v>
      </c>
      <c r="M1534" s="16">
        <f>M1533*($D$1553/Inputs!$D$21+$D$1554/Inputs!$D$22)</f>
        <v>13180.207840697982</v>
      </c>
    </row>
    <row r="1535" spans="1:13" ht="15" customHeight="1" x14ac:dyDescent="0.2">
      <c r="B1535" s="10" t="s">
        <v>898</v>
      </c>
      <c r="C1535" s="10" t="s">
        <v>110</v>
      </c>
      <c r="D1535" s="16">
        <f t="shared" ref="D1535:M1535" si="333">D1531*($D$1553+$D$1554)</f>
        <v>15560.968620146154</v>
      </c>
      <c r="E1535" s="16">
        <f t="shared" si="333"/>
        <v>20747.95816019487</v>
      </c>
      <c r="F1535" s="16">
        <f t="shared" si="333"/>
        <v>15560.968620146154</v>
      </c>
      <c r="G1535" s="16">
        <f t="shared" si="333"/>
        <v>0</v>
      </c>
      <c r="H1535" s="16">
        <f t="shared" si="333"/>
        <v>0</v>
      </c>
      <c r="I1535" s="16">
        <f t="shared" si="333"/>
        <v>0</v>
      </c>
      <c r="J1535" s="16">
        <f t="shared" si="333"/>
        <v>0</v>
      </c>
      <c r="K1535" s="16">
        <f t="shared" si="333"/>
        <v>0</v>
      </c>
      <c r="L1535" s="16">
        <f t="shared" si="333"/>
        <v>0</v>
      </c>
      <c r="M1535" s="16">
        <f t="shared" si="333"/>
        <v>0</v>
      </c>
    </row>
    <row r="1536" spans="1:13" ht="15" customHeight="1" x14ac:dyDescent="0.2">
      <c r="B1536" s="10" t="s">
        <v>899</v>
      </c>
      <c r="C1536" s="10" t="s">
        <v>110</v>
      </c>
      <c r="D1536" s="16">
        <f t="shared" ref="D1536:M1536" si="334">D1532*$D$1553</f>
        <v>0</v>
      </c>
      <c r="E1536" s="16">
        <f t="shared" si="334"/>
        <v>0</v>
      </c>
      <c r="F1536" s="16">
        <f t="shared" si="334"/>
        <v>0</v>
      </c>
      <c r="G1536" s="16">
        <f t="shared" si="334"/>
        <v>2638.0048485671714</v>
      </c>
      <c r="H1536" s="16">
        <f t="shared" si="334"/>
        <v>14881.788221808281</v>
      </c>
      <c r="I1536" s="16">
        <f t="shared" si="334"/>
        <v>19842.384295744378</v>
      </c>
      <c r="J1536" s="16">
        <f t="shared" si="334"/>
        <v>14881.788221808281</v>
      </c>
      <c r="K1536" s="16">
        <f t="shared" si="334"/>
        <v>2638.0048485671714</v>
      </c>
      <c r="L1536" s="16">
        <f t="shared" si="334"/>
        <v>14881.788221808281</v>
      </c>
      <c r="M1536" s="16">
        <f t="shared" si="334"/>
        <v>19842.384295744378</v>
      </c>
    </row>
    <row r="1537" spans="2:13" ht="15" customHeight="1" x14ac:dyDescent="0.2">
      <c r="B1537" s="10" t="s">
        <v>900</v>
      </c>
      <c r="C1537" s="10" t="s">
        <v>199</v>
      </c>
      <c r="D1537" s="28">
        <f>D1531*Inputs!$D$23</f>
        <v>6.4875000000000007</v>
      </c>
      <c r="E1537" s="28">
        <f>E1531*Inputs!$D$23</f>
        <v>8.65</v>
      </c>
      <c r="F1537" s="28">
        <f>F1531*Inputs!$D$23</f>
        <v>6.4875000000000007</v>
      </c>
      <c r="G1537" s="28">
        <f>G1531*Inputs!$D$23</f>
        <v>0</v>
      </c>
      <c r="H1537" s="28">
        <f>H1531*Inputs!$D$23</f>
        <v>0</v>
      </c>
      <c r="I1537" s="28">
        <f>I1531*Inputs!$D$23</f>
        <v>0</v>
      </c>
      <c r="J1537" s="28">
        <f>J1531*Inputs!$D$23</f>
        <v>0</v>
      </c>
      <c r="K1537" s="28">
        <f>K1531*Inputs!$D$23</f>
        <v>0</v>
      </c>
      <c r="L1537" s="28">
        <f>L1531*Inputs!$D$23</f>
        <v>0</v>
      </c>
      <c r="M1537" s="28">
        <f>M1531*Inputs!$D$23</f>
        <v>0</v>
      </c>
    </row>
    <row r="1538" spans="2:13" ht="15" customHeight="1" x14ac:dyDescent="0.2">
      <c r="B1538" s="3" t="s">
        <v>901</v>
      </c>
      <c r="C1538" s="10" t="s">
        <v>896</v>
      </c>
      <c r="D1538" s="28">
        <f>(D1533*$D$1551*(Inputs!$D$7-Inputs!$D$19)-D1537)/(Inputs!$D$7+$D$1552)^D1526</f>
        <v>43.213488846686175</v>
      </c>
      <c r="E1538" s="28">
        <f>(E1533*$D$1551*(Inputs!$D$7-Inputs!$D$19)-E1537)/(Inputs!$D$7+$D$1552)^E1526</f>
        <v>163.29332190458183</v>
      </c>
      <c r="F1538" s="28">
        <f>(F1533*$D$1551*(Inputs!$D$7-Inputs!$D$19)-F1537)/(Inputs!$D$7+$D$1552)^F1526</f>
        <v>248.28260771010829</v>
      </c>
      <c r="G1538" s="28">
        <f>(G1533*$D$1551*(Inputs!$D$7-Inputs!$D$19)-G1537)/(Inputs!$D$7+$D$1552)^G1526</f>
        <v>268.5238926419492</v>
      </c>
      <c r="H1538" s="28">
        <f>(H1533*$D$1551*(Inputs!$D$7-Inputs!$D$19)-H1537)/(Inputs!$D$7+$D$1552)^H1526</f>
        <v>244.12855518959191</v>
      </c>
      <c r="I1538" s="28">
        <f>(I1533*$D$1551*(Inputs!$D$7-Inputs!$D$19)-I1537)/(Inputs!$D$7+$D$1552)^I1526</f>
        <v>221.8916197826434</v>
      </c>
      <c r="J1538" s="28">
        <f>(J1533*$D$1551*(Inputs!$D$7-Inputs!$D$19)-J1537)/(Inputs!$D$7+$D$1552)^J1526</f>
        <v>201.73281421346593</v>
      </c>
      <c r="K1538" s="28">
        <f>(K1533*$D$1551*(Inputs!$D$7-Inputs!$D$19)-K1537)/(Inputs!$D$7+$D$1552)^K1526</f>
        <v>183.40543176145695</v>
      </c>
      <c r="L1538" s="28">
        <f>(L1533*$D$1551*(Inputs!$D$7-Inputs!$D$19)-L1537)/(Inputs!$D$7+$D$1552)^L1526</f>
        <v>166.74308803332551</v>
      </c>
      <c r="M1538" s="28">
        <f>(M1533*$D$1551*(Inputs!$D$7-Inputs!$D$19)-M1537)/(Inputs!$D$7+$D$1552)^M1526</f>
        <v>151.55496194429571</v>
      </c>
    </row>
    <row r="1539" spans="2:13" ht="15" customHeight="1" x14ac:dyDescent="0.2">
      <c r="B1539" s="10" t="s">
        <v>902</v>
      </c>
      <c r="C1539" s="10" t="s">
        <v>110</v>
      </c>
      <c r="D1539" s="16">
        <f>(D1534*Inputs!$D$19-D1535-D1536)/(Inputs!$D$7+$D$1552)^D1526</f>
        <v>-14027.24269342025</v>
      </c>
      <c r="E1539" s="16">
        <f>(E1534*Inputs!$D$19-E1535-E1536)/(Inputs!$D$7+$D$1552)^E1526</f>
        <v>-15853.087323826181</v>
      </c>
      <c r="F1539" s="16">
        <f>(F1534*Inputs!$D$19-F1535-F1536)/(Inputs!$D$7+$D$1552)^F1526</f>
        <v>-9394.4767487293357</v>
      </c>
      <c r="G1539" s="16">
        <f>(G1534*Inputs!$D$19-G1535-G1536)/(Inputs!$D$7+$D$1552)^G1526</f>
        <v>923.61320322684639</v>
      </c>
      <c r="H1539" s="16">
        <f>(H1534*Inputs!$D$19-H1535-H1536)/(Inputs!$D$7+$D$1552)^H1526</f>
        <v>-6972.3744918015345</v>
      </c>
      <c r="I1539" s="16">
        <f>(I1534*Inputs!$D$19-I1535-I1536)/(Inputs!$D$7+$D$1552)^I1526</f>
        <v>-9214.0648467907959</v>
      </c>
      <c r="J1539" s="16">
        <f>(J1534*Inputs!$D$19-J1535-J1536)/(Inputs!$D$7+$D$1552)^J1526</f>
        <v>-5761.5411965591911</v>
      </c>
      <c r="K1539" s="16">
        <f>(K1534*Inputs!$D$19-K1535-K1536)/(Inputs!$D$7+$D$1552)^K1526</f>
        <v>630.8402453567694</v>
      </c>
      <c r="L1539" s="16">
        <f>(L1534*Inputs!$D$19-L1535-L1536)/(Inputs!$D$7+$D$1552)^L1526</f>
        <v>-4762.2255937446444</v>
      </c>
      <c r="M1539" s="16">
        <f>(M1534*Inputs!$D$19-M1535-M1536)/(Inputs!$D$7+$D$1552)^M1526</f>
        <v>-6293.3302689644106</v>
      </c>
    </row>
    <row r="1540" spans="2:13" ht="15" customHeight="1" x14ac:dyDescent="0.2">
      <c r="B1540" s="10" t="s">
        <v>903</v>
      </c>
      <c r="C1540" s="10" t="s">
        <v>110</v>
      </c>
      <c r="D1540" s="16">
        <f t="shared" ref="D1540:M1540" si="335">D1533*$D$1550</f>
        <v>4699.1079919933518</v>
      </c>
      <c r="E1540" s="16">
        <f t="shared" si="335"/>
        <v>17904.069354984626</v>
      </c>
      <c r="F1540" s="16">
        <f t="shared" si="335"/>
        <v>29232.088157955564</v>
      </c>
      <c r="G1540" s="16">
        <f t="shared" si="335"/>
        <v>34086.953359228828</v>
      </c>
      <c r="H1540" s="16">
        <f t="shared" si="335"/>
        <v>34086.953359228828</v>
      </c>
      <c r="I1540" s="16">
        <f t="shared" si="335"/>
        <v>34086.953359228828</v>
      </c>
      <c r="J1540" s="16">
        <f t="shared" si="335"/>
        <v>34086.953359228828</v>
      </c>
      <c r="K1540" s="16">
        <f t="shared" si="335"/>
        <v>34086.953359228828</v>
      </c>
      <c r="L1540" s="16">
        <f t="shared" si="335"/>
        <v>34086.953359228828</v>
      </c>
      <c r="M1540" s="16">
        <f t="shared" si="335"/>
        <v>34086.953359228828</v>
      </c>
    </row>
    <row r="1541" spans="2:13" ht="15" customHeight="1" x14ac:dyDescent="0.2">
      <c r="B1541" s="10" t="s">
        <v>904</v>
      </c>
      <c r="C1541" s="10" t="s">
        <v>110</v>
      </c>
      <c r="D1541" s="16">
        <f t="shared" ref="D1541:M1541" si="336">D1540*$D$1551</f>
        <v>2819.464795196011</v>
      </c>
      <c r="E1541" s="16">
        <f t="shared" si="336"/>
        <v>10742.441612990775</v>
      </c>
      <c r="F1541" s="16">
        <f t="shared" si="336"/>
        <v>17539.252894773337</v>
      </c>
      <c r="G1541" s="16">
        <f t="shared" si="336"/>
        <v>20452.172015537297</v>
      </c>
      <c r="H1541" s="16">
        <f t="shared" si="336"/>
        <v>20452.172015537297</v>
      </c>
      <c r="I1541" s="16">
        <f t="shared" si="336"/>
        <v>20452.172015537297</v>
      </c>
      <c r="J1541" s="16">
        <f t="shared" si="336"/>
        <v>20452.172015537297</v>
      </c>
      <c r="K1541" s="16">
        <f t="shared" si="336"/>
        <v>20452.172015537297</v>
      </c>
      <c r="L1541" s="16">
        <f t="shared" si="336"/>
        <v>20452.172015537297</v>
      </c>
      <c r="M1541" s="16">
        <f t="shared" si="336"/>
        <v>20452.172015537297</v>
      </c>
    </row>
    <row r="1542" spans="2:13" ht="15" customHeight="1" x14ac:dyDescent="0.2">
      <c r="B1542" s="10" t="s">
        <v>905</v>
      </c>
      <c r="C1542" s="10" t="s">
        <v>110</v>
      </c>
      <c r="D1542" s="16">
        <f t="shared" ref="D1542:M1542" si="337">D1541-D1534</f>
        <v>1002.4875092635691</v>
      </c>
      <c r="E1542" s="16">
        <f t="shared" si="337"/>
        <v>3819.5772312410663</v>
      </c>
      <c r="F1542" s="16">
        <f t="shared" si="337"/>
        <v>6236.2480917598368</v>
      </c>
      <c r="G1542" s="16">
        <f t="shared" si="337"/>
        <v>7271.9641748393151</v>
      </c>
      <c r="H1542" s="16">
        <f t="shared" si="337"/>
        <v>7271.9641748393151</v>
      </c>
      <c r="I1542" s="16">
        <f t="shared" si="337"/>
        <v>7271.9641748393151</v>
      </c>
      <c r="J1542" s="16">
        <f t="shared" si="337"/>
        <v>7271.9641748393151</v>
      </c>
      <c r="K1542" s="16">
        <f t="shared" si="337"/>
        <v>7271.9641748393151</v>
      </c>
      <c r="L1542" s="16">
        <f t="shared" si="337"/>
        <v>7271.9641748393151</v>
      </c>
      <c r="M1542" s="16">
        <f t="shared" si="337"/>
        <v>7271.9641748393151</v>
      </c>
    </row>
    <row r="1543" spans="2:13" ht="15" customHeight="1" x14ac:dyDescent="0.2">
      <c r="B1543" s="10" t="s">
        <v>906</v>
      </c>
      <c r="C1543" s="10" t="s">
        <v>110</v>
      </c>
      <c r="D1543" s="16">
        <f>MAX(D1542,Inputs!$D$6)*Inputs!$D$19</f>
        <v>300.74625277907074</v>
      </c>
      <c r="E1543" s="16">
        <f>MAX(E1542,Inputs!$D$6)*Inputs!$D$19</f>
        <v>1145.8731693723198</v>
      </c>
      <c r="F1543" s="16">
        <f>MAX(F1542,Inputs!$D$6)*Inputs!$D$19</f>
        <v>1870.874427527951</v>
      </c>
      <c r="G1543" s="16">
        <f>MAX(G1542,Inputs!$D$6)*Inputs!$D$19</f>
        <v>2181.5892524517944</v>
      </c>
      <c r="H1543" s="16">
        <f>MAX(H1542,Inputs!$D$6)*Inputs!$D$19</f>
        <v>2181.5892524517944</v>
      </c>
      <c r="I1543" s="16">
        <f>MAX(I1542,Inputs!$D$6)*Inputs!$D$19</f>
        <v>2181.5892524517944</v>
      </c>
      <c r="J1543" s="16">
        <f>MAX(J1542,Inputs!$D$6)*Inputs!$D$19</f>
        <v>2181.5892524517944</v>
      </c>
      <c r="K1543" s="16">
        <f>MAX(K1542,Inputs!$D$6)*Inputs!$D$19</f>
        <v>2181.5892524517944</v>
      </c>
      <c r="L1543" s="16">
        <f>MAX(L1542,Inputs!$D$6)*Inputs!$D$19</f>
        <v>2181.5892524517944</v>
      </c>
      <c r="M1543" s="16">
        <f>MAX(M1542,Inputs!$D$6)*Inputs!$D$19</f>
        <v>2181.5892524517944</v>
      </c>
    </row>
    <row r="1544" spans="2:13" ht="15" customHeight="1" x14ac:dyDescent="0.2">
      <c r="B1544" s="10" t="s">
        <v>907</v>
      </c>
      <c r="C1544" s="10" t="s">
        <v>110</v>
      </c>
      <c r="D1544" s="16">
        <f t="shared" ref="D1544:M1544" si="338">D1537*$D$1550</f>
        <v>242.74326006366306</v>
      </c>
      <c r="E1544" s="16">
        <f t="shared" si="338"/>
        <v>323.65768008488402</v>
      </c>
      <c r="F1544" s="16">
        <f t="shared" si="338"/>
        <v>242.74326006366306</v>
      </c>
      <c r="G1544" s="16">
        <f t="shared" si="338"/>
        <v>0</v>
      </c>
      <c r="H1544" s="16">
        <f t="shared" si="338"/>
        <v>0</v>
      </c>
      <c r="I1544" s="16">
        <f t="shared" si="338"/>
        <v>0</v>
      </c>
      <c r="J1544" s="16">
        <f t="shared" si="338"/>
        <v>0</v>
      </c>
      <c r="K1544" s="16">
        <f t="shared" si="338"/>
        <v>0</v>
      </c>
      <c r="L1544" s="16">
        <f t="shared" si="338"/>
        <v>0</v>
      </c>
      <c r="M1544" s="16">
        <f t="shared" si="338"/>
        <v>0</v>
      </c>
    </row>
    <row r="1545" spans="2:13" ht="15" customHeight="1" x14ac:dyDescent="0.2">
      <c r="B1545" s="10" t="s">
        <v>908</v>
      </c>
      <c r="C1545" s="10" t="s">
        <v>110</v>
      </c>
      <c r="D1545" s="16">
        <f t="shared" ref="D1545:M1545" si="339">D1541-D1543-D1535-D1536-D1544</f>
        <v>-13284.993337792877</v>
      </c>
      <c r="E1545" s="16">
        <f t="shared" si="339"/>
        <v>-11475.047396661299</v>
      </c>
      <c r="F1545" s="16">
        <f t="shared" si="339"/>
        <v>-135.33341296443092</v>
      </c>
      <c r="G1545" s="16">
        <f t="shared" si="339"/>
        <v>15632.57791451833</v>
      </c>
      <c r="H1545" s="16">
        <f t="shared" si="339"/>
        <v>3388.7945412772206</v>
      </c>
      <c r="I1545" s="16">
        <f t="shared" si="339"/>
        <v>-1571.8015326588757</v>
      </c>
      <c r="J1545" s="16">
        <f t="shared" si="339"/>
        <v>3388.7945412772206</v>
      </c>
      <c r="K1545" s="16">
        <f t="shared" si="339"/>
        <v>15632.57791451833</v>
      </c>
      <c r="L1545" s="16">
        <f t="shared" si="339"/>
        <v>3388.7945412772206</v>
      </c>
      <c r="M1545" s="16">
        <f t="shared" si="339"/>
        <v>-1571.8015326588757</v>
      </c>
    </row>
    <row r="1546" spans="2:13" ht="15" customHeight="1" x14ac:dyDescent="0.2">
      <c r="B1546" s="10" t="s">
        <v>909</v>
      </c>
      <c r="C1546" s="10" t="s">
        <v>110</v>
      </c>
      <c r="D1546" s="16">
        <f>D1545/(Inputs!$D$7+$D$1552)^D1526</f>
        <v>-12410.320433478926</v>
      </c>
      <c r="E1546" s="16">
        <f>E1545/(Inputs!$D$7+$D$1552)^E1526</f>
        <v>-9743.1292034803846</v>
      </c>
      <c r="F1546" s="16">
        <f>F1545/(Inputs!$D$7+$D$1552)^F1526</f>
        <v>-104.46833059303684</v>
      </c>
      <c r="G1546" s="16">
        <f>G1545/(Inputs!$D$7+$D$1552)^G1526</f>
        <v>10970.991254077222</v>
      </c>
      <c r="H1546" s="16">
        <f>H1545/(Inputs!$D$7+$D$1552)^H1526</f>
        <v>2162.2014405843493</v>
      </c>
      <c r="I1546" s="16">
        <f>I1545/(Inputs!$D$7+$D$1552)^I1526</f>
        <v>-911.52994631362549</v>
      </c>
      <c r="J1546" s="16">
        <f>J1545/(Inputs!$D$7+$D$1552)^J1526</f>
        <v>1786.7102075246589</v>
      </c>
      <c r="K1546" s="16">
        <f>K1545/(Inputs!$D$7+$D$1552)^K1526</f>
        <v>7493.3346452272508</v>
      </c>
      <c r="L1546" s="16">
        <f>L1545/(Inputs!$D$7+$D$1552)^L1526</f>
        <v>1476.8126771288496</v>
      </c>
      <c r="M1546" s="16">
        <f>M1545/(Inputs!$D$7+$D$1552)^M1526</f>
        <v>-622.58721830040656</v>
      </c>
    </row>
    <row r="1547" spans="2:13" ht="15" customHeight="1" x14ac:dyDescent="0.2">
      <c r="B1547" s="3" t="s">
        <v>910</v>
      </c>
      <c r="C1547" s="10" t="s">
        <v>896</v>
      </c>
      <c r="D1547" s="28">
        <f>(D1533*$D$1551-D1537)/(Inputs!$D$7+$D$1552)^D1526</f>
        <v>64.330856237917445</v>
      </c>
      <c r="E1547" s="28">
        <f>(E1533*$D$1551-E1537)/(Inputs!$D$7+$D$1552)^E1526</f>
        <v>236.42380139523098</v>
      </c>
      <c r="F1547" s="28">
        <f>(F1533*$D$1551-F1537)/(Inputs!$D$7+$D$1552)^F1526</f>
        <v>356.83568908039001</v>
      </c>
      <c r="G1547" s="28">
        <f>(G1533*$D$1551-G1537)/(Inputs!$D$7+$D$1552)^G1526</f>
        <v>383.60556091707036</v>
      </c>
      <c r="H1547" s="28">
        <f>(H1533*$D$1551-H1537)/(Inputs!$D$7+$D$1552)^H1526</f>
        <v>348.75507884227414</v>
      </c>
      <c r="I1547" s="28">
        <f>(I1533*$D$1551-I1537)/(Inputs!$D$7+$D$1552)^I1526</f>
        <v>316.98802826091918</v>
      </c>
      <c r="J1547" s="28">
        <f>(J1533*$D$1551-J1537)/(Inputs!$D$7+$D$1552)^J1526</f>
        <v>288.18973459066564</v>
      </c>
      <c r="K1547" s="28">
        <f>(K1533*$D$1551-K1537)/(Inputs!$D$7+$D$1552)^K1526</f>
        <v>262.00775965922423</v>
      </c>
      <c r="L1547" s="28">
        <f>(L1533*$D$1551-L1537)/(Inputs!$D$7+$D$1552)^L1526</f>
        <v>238.2044114761793</v>
      </c>
      <c r="M1547" s="28">
        <f>(M1533*$D$1551-M1537)/(Inputs!$D$7+$D$1552)^M1526</f>
        <v>216.50708849185102</v>
      </c>
    </row>
    <row r="1548" spans="2:13" ht="15" customHeight="1" x14ac:dyDescent="0.2">
      <c r="B1548" s="10" t="s">
        <v>911</v>
      </c>
      <c r="C1548" s="10" t="s">
        <v>110</v>
      </c>
      <c r="D1548" s="16">
        <f>(-D1535-D1536)/(Inputs!$D$7+$D$1552)^D1526</f>
        <v>-14536.447397527105</v>
      </c>
      <c r="E1548" s="16">
        <f>(-E1535-E1536)/(Inputs!$D$7+$D$1552)^E1526</f>
        <v>-17616.488200475756</v>
      </c>
      <c r="F1548" s="16">
        <f>(-F1535-F1536)/(Inputs!$D$7+$D$1552)^F1526</f>
        <v>-12012.025548964448</v>
      </c>
      <c r="G1548" s="16">
        <f>(-G1535-G1536)/(Inputs!$D$7+$D$1552)^G1526</f>
        <v>-1851.359915178487</v>
      </c>
      <c r="H1548" s="16">
        <f>(-H1535-H1536)/(Inputs!$D$7+$D$1552)^H1526</f>
        <v>-9495.2419037884629</v>
      </c>
      <c r="I1548" s="16">
        <f>(-I1535-I1536)/(Inputs!$D$7+$D$1552)^I1526</f>
        <v>-11507.131858586603</v>
      </c>
      <c r="J1548" s="16">
        <f>(-J1535-J1536)/(Inputs!$D$7+$D$1552)^J1526</f>
        <v>-7846.2835672839774</v>
      </c>
      <c r="K1548" s="16">
        <f>(-K1535-K1536)/(Inputs!$D$7+$D$1552)^K1526</f>
        <v>-1264.5037327904422</v>
      </c>
      <c r="L1548" s="16">
        <f>(-L1535-L1536)/(Inputs!$D$7+$D$1552)^L1526</f>
        <v>-6485.3779822337692</v>
      </c>
      <c r="M1548" s="16">
        <f>(-M1535-M1536)/(Inputs!$D$7+$D$1552)^M1526</f>
        <v>-7859.5258920747219</v>
      </c>
    </row>
    <row r="1549" spans="2:13" ht="15" customHeight="1" x14ac:dyDescent="0.2">
      <c r="B1549" s="10" t="s">
        <v>912</v>
      </c>
      <c r="C1549" s="10" t="s">
        <v>110</v>
      </c>
      <c r="D1549" s="16">
        <f>Prices!K11</f>
        <v>20328.700386874909</v>
      </c>
    </row>
    <row r="1550" spans="2:13" ht="15" customHeight="1" x14ac:dyDescent="0.2">
      <c r="B1550" s="3" t="s">
        <v>913</v>
      </c>
      <c r="C1550" s="10" t="s">
        <v>914</v>
      </c>
      <c r="D1550" s="28">
        <f>IF(J1557&gt;=J1553,J1557,(D1549-J1556)/J1555)</f>
        <v>37.417072842183124</v>
      </c>
      <c r="G1550" s="99" t="s">
        <v>915</v>
      </c>
      <c r="H1550" s="91"/>
      <c r="I1550" s="91"/>
      <c r="J1550" s="28">
        <f>D1550*Inputs!$D$15</f>
        <v>26.113375136559601</v>
      </c>
      <c r="K1550" s="99" t="s">
        <v>916</v>
      </c>
      <c r="L1550" s="91"/>
      <c r="M1550" s="91"/>
    </row>
    <row r="1551" spans="2:13" ht="15" customHeight="1" x14ac:dyDescent="0.2">
      <c r="B1551" s="10" t="s">
        <v>917</v>
      </c>
      <c r="C1551" s="10" t="s">
        <v>104</v>
      </c>
      <c r="D1551" s="30">
        <f>Inputs!$D$81</f>
        <v>0.6</v>
      </c>
      <c r="G1551" s="99" t="s">
        <v>918</v>
      </c>
      <c r="H1551" s="91"/>
      <c r="I1551" s="91"/>
      <c r="J1551" s="28">
        <f>IF(-D1562/D1561&gt;=J1553,-D1562/D1561,-J1556/J1555)</f>
        <v>32.284876648616972</v>
      </c>
      <c r="K1551" s="99" t="s">
        <v>919</v>
      </c>
      <c r="L1551" s="91"/>
      <c r="M1551" s="91"/>
    </row>
    <row r="1552" spans="2:13" ht="15" customHeight="1" x14ac:dyDescent="0.2">
      <c r="B1552" s="10" t="s">
        <v>920</v>
      </c>
      <c r="C1552" s="10" t="s">
        <v>104</v>
      </c>
      <c r="D1552" s="30">
        <f>Inputs!$D$82</f>
        <v>0.1</v>
      </c>
      <c r="G1552" s="99" t="s">
        <v>918</v>
      </c>
      <c r="H1552" s="91"/>
      <c r="I1552" s="91"/>
      <c r="J1552" s="28">
        <f>J1551*Inputs!$D$15</f>
        <v>22.531615413069783</v>
      </c>
      <c r="K1552" s="99" t="s">
        <v>916</v>
      </c>
      <c r="L1552" s="91"/>
      <c r="M1552" s="91"/>
    </row>
    <row r="1553" spans="2:13" ht="15" customHeight="1" x14ac:dyDescent="0.2">
      <c r="B1553" s="3" t="s">
        <v>921</v>
      </c>
      <c r="C1553" s="10" t="s">
        <v>848</v>
      </c>
      <c r="D1553" s="28">
        <f>Capital!$D$13</f>
        <v>57.347931490590682</v>
      </c>
      <c r="G1553" s="99" t="s">
        <v>922</v>
      </c>
      <c r="H1553" s="91"/>
      <c r="I1553" s="91"/>
      <c r="J1553" s="28">
        <f>($D$1553/Inputs!$D$21+$D$1554/Inputs!$D$22)/$D$1551</f>
        <v>24.113076913095469</v>
      </c>
      <c r="K1553" s="99" t="s">
        <v>919</v>
      </c>
      <c r="L1553" s="91"/>
      <c r="M1553" s="91"/>
    </row>
    <row r="1554" spans="2:13" ht="15" customHeight="1" x14ac:dyDescent="0.2">
      <c r="B1554" s="3" t="s">
        <v>923</v>
      </c>
      <c r="C1554" s="10" t="s">
        <v>848</v>
      </c>
      <c r="D1554" s="28">
        <f>Capital!$D$14</f>
        <v>2.6172655041921802</v>
      </c>
    </row>
    <row r="1555" spans="2:13" ht="15" customHeight="1" x14ac:dyDescent="0.2">
      <c r="B1555" s="10" t="s">
        <v>924</v>
      </c>
      <c r="C1555" s="10" t="s">
        <v>896</v>
      </c>
      <c r="D1555" s="28">
        <f>(M1528*(Inputs!$D$7+Inputs!$D$20)*$D$1551*(Inputs!$D$7-Inputs!$D$19)-M1528*Inputs!$D$20*Inputs!$D$23)/($D$1552-Inputs!$D$20)/(Inputs!$D$7+$D$1552)^M1526</f>
        <v>2068.2441036763203</v>
      </c>
      <c r="G1555" s="92" t="s">
        <v>910</v>
      </c>
      <c r="H1555" s="91"/>
      <c r="I1555" s="91"/>
      <c r="J1555" s="28">
        <f>SUM(D1547:M1547)+(M1528*(Inputs!$D$7+Inputs!$D$20)*$D$1551-M1528*Inputs!$D$20*Inputs!$D$23)/($D$1552-Inputs!$D$20)/(Inputs!$D$7+$D$1552)^M1526</f>
        <v>5667.7711754446318</v>
      </c>
      <c r="K1555" s="99" t="s">
        <v>896</v>
      </c>
      <c r="L1555" s="91"/>
      <c r="M1555" s="91"/>
    </row>
    <row r="1556" spans="2:13" ht="15" customHeight="1" x14ac:dyDescent="0.2">
      <c r="B1556" s="10" t="s">
        <v>925</v>
      </c>
      <c r="C1556" s="10" t="s">
        <v>110</v>
      </c>
      <c r="D1556" s="16">
        <f>(D1559*Inputs!$D$19-D1559-D1560)/($D$1552-Inputs!$D$20)/(Inputs!$D$7+$D$1552)^M1526</f>
        <v>-57156.954988173631</v>
      </c>
      <c r="G1556" s="92" t="s">
        <v>926</v>
      </c>
      <c r="H1556" s="91"/>
      <c r="I1556" s="91"/>
      <c r="J1556" s="16">
        <f>SUM(D1548:M1548)-(D1559+D1560)/($D$1552-Inputs!$D$20)/(Inputs!$D$7+$D$1552)^M1526</f>
        <v>-169036.01450291832</v>
      </c>
      <c r="K1556" s="99" t="s">
        <v>110</v>
      </c>
      <c r="L1556" s="91"/>
      <c r="M1556" s="91"/>
    </row>
    <row r="1557" spans="2:13" ht="15" customHeight="1" x14ac:dyDescent="0.2">
      <c r="B1557" s="10" t="s">
        <v>927</v>
      </c>
      <c r="C1557" s="10" t="s">
        <v>928</v>
      </c>
      <c r="D1557" s="16">
        <f>(M1528*(Inputs!$D$7+Inputs!$D$20)*$D$1550*$D$1551-D1559)-MAX((M1528*(Inputs!$D$7+Inputs!$D$20)*$D$1550*$D$1551-D1559),Inputs!$D$6)*Inputs!$D$19-D1560-M1528*Inputs!$D$20*$D$1550*Inputs!$D$23</f>
        <v>3830.6225880415077</v>
      </c>
      <c r="G1557" s="99" t="s">
        <v>929</v>
      </c>
      <c r="H1557" s="91"/>
      <c r="I1557" s="91"/>
      <c r="J1557" s="28">
        <f>(D1549-D1562)/D1561</f>
        <v>37.417072842183124</v>
      </c>
      <c r="K1557" s="99" t="s">
        <v>919</v>
      </c>
      <c r="L1557" s="91"/>
      <c r="M1557" s="91"/>
    </row>
    <row r="1558" spans="2:13" ht="15" customHeight="1" x14ac:dyDescent="0.2">
      <c r="B1558" s="10" t="s">
        <v>930</v>
      </c>
      <c r="C1558" s="10" t="s">
        <v>110</v>
      </c>
      <c r="D1558" s="16">
        <f>D1557/($D$1552-Inputs!$D$20)</f>
        <v>51074.967840553429</v>
      </c>
      <c r="G1558" s="99" t="s">
        <v>931</v>
      </c>
      <c r="H1558" s="91"/>
      <c r="I1558" s="91"/>
      <c r="J1558" s="16">
        <f>MIN(D1542:M1542,(M1528*(Inputs!$D$7+Inputs!$D$20)*$D$1550*$D$1551-D1559))</f>
        <v>1002.4875092635691</v>
      </c>
      <c r="K1558" s="99" t="s">
        <v>110</v>
      </c>
      <c r="L1558" s="91"/>
      <c r="M1558" s="91"/>
    </row>
    <row r="1559" spans="2:13" ht="15" customHeight="1" x14ac:dyDescent="0.2">
      <c r="B1559" s="10" t="s">
        <v>932</v>
      </c>
      <c r="C1559" s="10" t="s">
        <v>928</v>
      </c>
      <c r="D1559" s="16">
        <f>M1528*(Inputs!$D$7+Inputs!$D$20)*($D$1553/Inputs!$D$21+$D$1554/Inputs!$D$22)</f>
        <v>13509.71303671543</v>
      </c>
      <c r="G1559" s="99" t="s">
        <v>933</v>
      </c>
      <c r="H1559" s="91"/>
      <c r="I1559" s="91"/>
      <c r="J1559" s="31" t="str">
        <f>IF(J1558&lt;Inputs!$D$6,"breached","satisfied")</f>
        <v>satisfied</v>
      </c>
      <c r="K1559" s="99" t="s">
        <v>934</v>
      </c>
      <c r="L1559" s="91"/>
      <c r="M1559" s="91"/>
    </row>
    <row r="1560" spans="2:13" ht="15" customHeight="1" x14ac:dyDescent="0.2">
      <c r="B1560" s="10" t="s">
        <v>935</v>
      </c>
      <c r="C1560" s="10" t="s">
        <v>928</v>
      </c>
      <c r="D1560" s="16">
        <f>M1528*Inputs!$D$20*($D$1553+$D$1554)</f>
        <v>1365.7073615561799</v>
      </c>
    </row>
    <row r="1561" spans="2:13" ht="15" customHeight="1" x14ac:dyDescent="0.2">
      <c r="B1561" s="10" t="s">
        <v>936</v>
      </c>
      <c r="C1561" s="10" t="s">
        <v>896</v>
      </c>
      <c r="D1561" s="28">
        <f>SUM(D1538:M1538)+D1555</f>
        <v>3961.0138857044249</v>
      </c>
      <c r="G1561" s="99" t="s">
        <v>937</v>
      </c>
      <c r="H1561" s="91"/>
      <c r="I1561" s="91"/>
      <c r="J1561" s="16">
        <f>D1563-D1549</f>
        <v>2.9103830456733704E-11</v>
      </c>
      <c r="K1561" s="99" t="s">
        <v>110</v>
      </c>
      <c r="L1561" s="91"/>
      <c r="M1561" s="91"/>
    </row>
    <row r="1562" spans="2:13" ht="15" customHeight="1" x14ac:dyDescent="0.2">
      <c r="B1562" s="10" t="s">
        <v>938</v>
      </c>
      <c r="C1562" s="10" t="s">
        <v>110</v>
      </c>
      <c r="D1562" s="16">
        <f>SUM(D1539:M1539)+D1556</f>
        <v>-127880.84470342637</v>
      </c>
    </row>
    <row r="1563" spans="2:13" ht="15" customHeight="1" x14ac:dyDescent="0.2">
      <c r="B1563" s="10" t="s">
        <v>939</v>
      </c>
      <c r="C1563" s="10" t="s">
        <v>110</v>
      </c>
      <c r="D1563" s="16">
        <f>SUM(D1546:M1546)+D1558/(Inputs!$D$7+$D$1552)^M1526</f>
        <v>20328.700386874938</v>
      </c>
    </row>
    <row r="1564" spans="2:13" ht="15" customHeight="1" x14ac:dyDescent="0.2">
      <c r="B1564" s="10" t="s">
        <v>940</v>
      </c>
      <c r="C1564" s="10" t="s">
        <v>104</v>
      </c>
      <c r="D1564" s="30">
        <f>IF(ABS(D1549)&gt;Inputs!$D$6,D1563/D1549-Inputs!$D$7,Inputs!$D$6)</f>
        <v>1.3322676295501878E-15</v>
      </c>
    </row>
    <row r="1565" spans="2:13" ht="15" customHeight="1" x14ac:dyDescent="0.2">
      <c r="B1565" s="10" t="s">
        <v>941</v>
      </c>
      <c r="C1565" s="10" t="s">
        <v>104</v>
      </c>
      <c r="D1565" s="30">
        <f>IF(ABS(D1563)&gt;Inputs!$D$119,D1558/(Inputs!$D$7+$D$1552)^M1526/D1563,Inputs!$D$6)</f>
        <v>0.99517848703996681</v>
      </c>
    </row>
    <row r="1566" spans="2:13" ht="15" customHeight="1" x14ac:dyDescent="0.2">
      <c r="B1566" s="10" t="s">
        <v>942</v>
      </c>
      <c r="C1566" s="10" t="s">
        <v>943</v>
      </c>
      <c r="D1566" s="26">
        <f>$D$1550*Inputs!$D$8/Prices!$P$6/(Inputs!$D$26/Inputs!$D$25)/Inputs!$D$11/Inputs!$D$56</f>
        <v>6.804408351545459</v>
      </c>
    </row>
    <row r="1570" spans="1:13" ht="15" customHeight="1" x14ac:dyDescent="0.2">
      <c r="A1570" s="104" t="s">
        <v>977</v>
      </c>
      <c r="B1570" s="10" t="s">
        <v>886</v>
      </c>
      <c r="C1570" s="10" t="s">
        <v>107</v>
      </c>
      <c r="D1570" s="28">
        <f>Inputs!$D$60</f>
        <v>1</v>
      </c>
      <c r="E1570" s="28">
        <f>Inputs!$D$62</f>
        <v>2</v>
      </c>
      <c r="F1570" s="28">
        <f>Inputs!$D$64</f>
        <v>3</v>
      </c>
      <c r="G1570" s="28">
        <f>Inputs!$D$66</f>
        <v>4</v>
      </c>
      <c r="H1570" s="28">
        <f>Inputs!$D$68</f>
        <v>5</v>
      </c>
      <c r="I1570" s="28">
        <f>Inputs!$D$70</f>
        <v>6</v>
      </c>
      <c r="J1570" s="28">
        <f>Inputs!$D$72</f>
        <v>7</v>
      </c>
      <c r="K1570" s="28">
        <f>Inputs!$D$74</f>
        <v>8</v>
      </c>
      <c r="L1570" s="28">
        <f>Inputs!$D$76</f>
        <v>9</v>
      </c>
      <c r="M1570" s="28">
        <f>Inputs!$D$78</f>
        <v>10</v>
      </c>
    </row>
    <row r="1571" spans="1:13" ht="15" customHeight="1" x14ac:dyDescent="0.2">
      <c r="A1571" s="91"/>
      <c r="B1571" s="10" t="s">
        <v>887</v>
      </c>
      <c r="C1571" s="10" t="s">
        <v>161</v>
      </c>
      <c r="D1571" s="29">
        <f>Inputs!$D$61</f>
        <v>46568</v>
      </c>
      <c r="E1571" s="29">
        <f>Inputs!$D$63</f>
        <v>46934</v>
      </c>
      <c r="F1571" s="29">
        <f>Inputs!$D$65</f>
        <v>47299</v>
      </c>
      <c r="G1571" s="29">
        <f>Inputs!$D$67</f>
        <v>47664</v>
      </c>
      <c r="H1571" s="29">
        <f>Inputs!$D$69</f>
        <v>48029</v>
      </c>
      <c r="I1571" s="29">
        <f>Inputs!$D$71</f>
        <v>48395</v>
      </c>
      <c r="J1571" s="29">
        <f>Inputs!$D$73</f>
        <v>48760</v>
      </c>
      <c r="K1571" s="29">
        <f>Inputs!$D$75</f>
        <v>49125</v>
      </c>
      <c r="L1571" s="29">
        <f>Inputs!$D$77</f>
        <v>49490</v>
      </c>
      <c r="M1571" s="29">
        <f>Inputs!$D$79</f>
        <v>49856</v>
      </c>
    </row>
    <row r="1572" spans="1:13" ht="15" customHeight="1" x14ac:dyDescent="0.2">
      <c r="A1572" s="91"/>
      <c r="B1572" s="10" t="s">
        <v>888</v>
      </c>
      <c r="C1572" s="10" t="s">
        <v>107</v>
      </c>
      <c r="D1572" s="28">
        <f>(D1571-Inputs!$D$13)/Inputs!$D$10</f>
        <v>0.71457905544147848</v>
      </c>
      <c r="E1572" s="28">
        <f>(E1571-Inputs!$D$13)/Inputs!$D$10</f>
        <v>1.7166324435318274</v>
      </c>
      <c r="F1572" s="28">
        <f>(F1571-Inputs!$D$13)/Inputs!$D$10</f>
        <v>2.7159479808350446</v>
      </c>
      <c r="G1572" s="28">
        <f>(G1571-Inputs!$D$13)/Inputs!$D$10</f>
        <v>3.7152635181382614</v>
      </c>
      <c r="H1572" s="28">
        <f>(H1571-Inputs!$D$13)/Inputs!$D$10</f>
        <v>4.7145790554414786</v>
      </c>
      <c r="I1572" s="28">
        <f>(I1571-Inputs!$D$13)/Inputs!$D$10</f>
        <v>5.7166324435318279</v>
      </c>
      <c r="J1572" s="28">
        <f>(J1571-Inputs!$D$13)/Inputs!$D$10</f>
        <v>6.7159479808350442</v>
      </c>
      <c r="K1572" s="28">
        <f>(K1571-Inputs!$D$13)/Inputs!$D$10</f>
        <v>7.7152635181382614</v>
      </c>
      <c r="L1572" s="28">
        <f>(L1571-Inputs!$D$13)/Inputs!$D$10</f>
        <v>8.7145790554414777</v>
      </c>
      <c r="M1572" s="28">
        <f>(M1571-Inputs!$D$13)/Inputs!$D$10</f>
        <v>9.716632443531827</v>
      </c>
    </row>
    <row r="1573" spans="1:13" ht="15" customHeight="1" x14ac:dyDescent="0.2">
      <c r="A1573" s="91"/>
      <c r="B1573" s="10" t="s">
        <v>889</v>
      </c>
      <c r="C1573" s="10" t="s">
        <v>107</v>
      </c>
      <c r="D1573" s="28">
        <f>D1572</f>
        <v>0.71457905544147848</v>
      </c>
      <c r="E1573" s="28">
        <f>Inputs!$D$7</f>
        <v>1</v>
      </c>
      <c r="F1573" s="28">
        <f>Inputs!$D$7</f>
        <v>1</v>
      </c>
      <c r="G1573" s="28">
        <f>Inputs!$D$7</f>
        <v>1</v>
      </c>
      <c r="H1573" s="28">
        <f>Inputs!$D$7</f>
        <v>1</v>
      </c>
      <c r="I1573" s="28">
        <f>Inputs!$D$7</f>
        <v>1</v>
      </c>
      <c r="J1573" s="28">
        <f>Inputs!$D$7</f>
        <v>1</v>
      </c>
      <c r="K1573" s="28">
        <f>Inputs!$D$7</f>
        <v>1</v>
      </c>
      <c r="L1573" s="28">
        <f>Inputs!$D$7</f>
        <v>1</v>
      </c>
      <c r="M1573" s="28">
        <f>Inputs!$D$7</f>
        <v>1</v>
      </c>
    </row>
    <row r="1574" spans="1:13" ht="15" customHeight="1" x14ac:dyDescent="0.2">
      <c r="A1574" s="91"/>
      <c r="B1574" s="3" t="s">
        <v>890</v>
      </c>
      <c r="C1574" s="10" t="s">
        <v>199</v>
      </c>
      <c r="D1574" s="28">
        <f>Inputs!$D$24+(Inputs!$D$93-Inputs!$D$24)*Inputs!$D$96</f>
        <v>279.10000000000002</v>
      </c>
      <c r="E1574" s="28">
        <f>Inputs!$D$24+(Inputs!$D$93-Inputs!$D$24)*Inputs!$D$97</f>
        <v>900.7</v>
      </c>
      <c r="F1574" s="28">
        <f>Inputs!$D$24+(Inputs!$D$93-Inputs!$D$24)*Inputs!$D$98</f>
        <v>1366.8999999999999</v>
      </c>
      <c r="G1574" s="28">
        <f>Inputs!$D$24+(Inputs!$D$93-Inputs!$D$24)*Inputs!$D$99</f>
        <v>1600</v>
      </c>
      <c r="H1574" s="28">
        <f>Inputs!$D$24+(Inputs!$D$93-Inputs!$D$24)*Inputs!$D$100</f>
        <v>1600</v>
      </c>
      <c r="I1574" s="28">
        <f>Inputs!$D$24+(Inputs!$D$93-Inputs!$D$24)*Inputs!$D$101</f>
        <v>1600</v>
      </c>
      <c r="J1574" s="28">
        <f>Inputs!$D$24+(Inputs!$D$93-Inputs!$D$24)*Inputs!$D$102</f>
        <v>1600</v>
      </c>
      <c r="K1574" s="28">
        <f>Inputs!$D$24+(Inputs!$D$93-Inputs!$D$24)*Inputs!$D$103</f>
        <v>1600</v>
      </c>
      <c r="L1574" s="28">
        <f>Inputs!$D$24+(Inputs!$D$93-Inputs!$D$24)*Inputs!$D$104</f>
        <v>1600</v>
      </c>
      <c r="M1574" s="28">
        <f>Inputs!$D$24+(Inputs!$D$93-Inputs!$D$24)*Inputs!$D$105</f>
        <v>1600</v>
      </c>
    </row>
    <row r="1575" spans="1:13" ht="15" customHeight="1" x14ac:dyDescent="0.2">
      <c r="A1575" s="91"/>
      <c r="B1575" s="10" t="s">
        <v>891</v>
      </c>
      <c r="C1575" s="10" t="s">
        <v>199</v>
      </c>
      <c r="D1575" s="28">
        <f>Inputs!$D$24</f>
        <v>46</v>
      </c>
      <c r="E1575" s="28">
        <f t="shared" ref="E1575:M1575" si="340">D1574</f>
        <v>279.10000000000002</v>
      </c>
      <c r="F1575" s="28">
        <f t="shared" si="340"/>
        <v>900.7</v>
      </c>
      <c r="G1575" s="28">
        <f t="shared" si="340"/>
        <v>1366.8999999999999</v>
      </c>
      <c r="H1575" s="28">
        <f t="shared" si="340"/>
        <v>1600</v>
      </c>
      <c r="I1575" s="28">
        <f t="shared" si="340"/>
        <v>1600</v>
      </c>
      <c r="J1575" s="28">
        <f t="shared" si="340"/>
        <v>1600</v>
      </c>
      <c r="K1575" s="28">
        <f t="shared" si="340"/>
        <v>1600</v>
      </c>
      <c r="L1575" s="28">
        <f t="shared" si="340"/>
        <v>1600</v>
      </c>
      <c r="M1575" s="28">
        <f t="shared" si="340"/>
        <v>1600</v>
      </c>
    </row>
    <row r="1576" spans="1:13" ht="15" customHeight="1" x14ac:dyDescent="0.2">
      <c r="B1576" s="10" t="s">
        <v>892</v>
      </c>
      <c r="C1576" s="10" t="s">
        <v>199</v>
      </c>
      <c r="D1576" s="28">
        <f>(D1575+D1574)*Inputs!$D$12</f>
        <v>162.55000000000001</v>
      </c>
      <c r="E1576" s="28">
        <f>(E1575+E1574)*Inputs!$D$12</f>
        <v>589.90000000000009</v>
      </c>
      <c r="F1576" s="28">
        <f>(F1575+F1574)*Inputs!$D$12</f>
        <v>1133.8</v>
      </c>
      <c r="G1576" s="28">
        <f>(G1575+G1574)*Inputs!$D$12</f>
        <v>1483.4499999999998</v>
      </c>
      <c r="H1576" s="28">
        <f>(H1575+H1574)*Inputs!$D$12</f>
        <v>1600</v>
      </c>
      <c r="I1576" s="28">
        <f>(I1575+I1574)*Inputs!$D$12</f>
        <v>1600</v>
      </c>
      <c r="J1576" s="28">
        <f>(J1575+J1574)*Inputs!$D$12</f>
        <v>1600</v>
      </c>
      <c r="K1576" s="28">
        <f>(K1575+K1574)*Inputs!$D$12</f>
        <v>1600</v>
      </c>
      <c r="L1576" s="28">
        <f>(L1575+L1574)*Inputs!$D$12</f>
        <v>1600</v>
      </c>
      <c r="M1576" s="28">
        <f>(M1575+M1574)*Inputs!$D$12</f>
        <v>1600</v>
      </c>
    </row>
    <row r="1577" spans="1:13" ht="15" customHeight="1" x14ac:dyDescent="0.2">
      <c r="B1577" s="10" t="s">
        <v>893</v>
      </c>
      <c r="C1577" s="10" t="s">
        <v>199</v>
      </c>
      <c r="D1577" s="28">
        <f t="shared" ref="D1577:M1577" si="341">D1574-D1575</f>
        <v>233.10000000000002</v>
      </c>
      <c r="E1577" s="28">
        <f t="shared" si="341"/>
        <v>621.6</v>
      </c>
      <c r="F1577" s="28">
        <f t="shared" si="341"/>
        <v>466.19999999999982</v>
      </c>
      <c r="G1577" s="28">
        <f t="shared" si="341"/>
        <v>233.10000000000014</v>
      </c>
      <c r="H1577" s="28">
        <f t="shared" si="341"/>
        <v>0</v>
      </c>
      <c r="I1577" s="28">
        <f t="shared" si="341"/>
        <v>0</v>
      </c>
      <c r="J1577" s="28">
        <f t="shared" si="341"/>
        <v>0</v>
      </c>
      <c r="K1577" s="28">
        <f t="shared" si="341"/>
        <v>0</v>
      </c>
      <c r="L1577" s="28">
        <f t="shared" si="341"/>
        <v>0</v>
      </c>
      <c r="M1577" s="28">
        <f t="shared" si="341"/>
        <v>0</v>
      </c>
    </row>
    <row r="1578" spans="1:13" ht="15" customHeight="1" x14ac:dyDescent="0.2">
      <c r="B1578" s="10" t="s">
        <v>894</v>
      </c>
      <c r="C1578" s="10" t="s">
        <v>199</v>
      </c>
      <c r="D1578" s="28">
        <f>IF(MOD(D1570,Inputs!$D$21)=Inputs!$D$6,Inputs!$D$24,Inputs!$D$6)+SUMPRODUCT(--(D1570&gt;$D$1570:$M$1570),--(MOD(D1570-$D$1570:$M$1570,Inputs!$D$21)=Inputs!$D$6),$D$1577:$M$1577)</f>
        <v>0</v>
      </c>
      <c r="E1578" s="28">
        <f>IF(MOD(E1570,Inputs!$D$21)=Inputs!$D$6,Inputs!$D$24,Inputs!$D$6)+SUMPRODUCT(--(E1570&gt;$D$1570:$M$1570),--(MOD(E1570-$D$1570:$M$1570,Inputs!$D$21)=Inputs!$D$6),$D$1577:$M$1577)</f>
        <v>0</v>
      </c>
      <c r="F1578" s="28">
        <f>IF(MOD(F1570,Inputs!$D$21)=Inputs!$D$6,Inputs!$D$24,Inputs!$D$6)+SUMPRODUCT(--(F1570&gt;$D$1570:$M$1570),--(MOD(F1570-$D$1570:$M$1570,Inputs!$D$21)=Inputs!$D$6),$D$1577:$M$1577)</f>
        <v>0</v>
      </c>
      <c r="G1578" s="28">
        <f>IF(MOD(G1570,Inputs!$D$21)=Inputs!$D$6,Inputs!$D$24,Inputs!$D$6)+SUMPRODUCT(--(G1570&gt;$D$1570:$M$1570),--(MOD(G1570-$D$1570:$M$1570,Inputs!$D$21)=Inputs!$D$6),$D$1577:$M$1577)</f>
        <v>46</v>
      </c>
      <c r="H1578" s="28">
        <f>IF(MOD(H1570,Inputs!$D$21)=Inputs!$D$6,Inputs!$D$24,Inputs!$D$6)+SUMPRODUCT(--(H1570&gt;$D$1570:$M$1570),--(MOD(H1570-$D$1570:$M$1570,Inputs!$D$21)=Inputs!$D$6),$D$1577:$M$1577)</f>
        <v>233.10000000000002</v>
      </c>
      <c r="I1578" s="28">
        <f>IF(MOD(I1570,Inputs!$D$21)=Inputs!$D$6,Inputs!$D$24,Inputs!$D$6)+SUMPRODUCT(--(I1570&gt;$D$1570:$M$1570),--(MOD(I1570-$D$1570:$M$1570,Inputs!$D$21)=Inputs!$D$6),$D$1577:$M$1577)</f>
        <v>621.6</v>
      </c>
      <c r="J1578" s="28">
        <f>IF(MOD(J1570,Inputs!$D$21)=Inputs!$D$6,Inputs!$D$24,Inputs!$D$6)+SUMPRODUCT(--(J1570&gt;$D$1570:$M$1570),--(MOD(J1570-$D$1570:$M$1570,Inputs!$D$21)=Inputs!$D$6),$D$1577:$M$1577)</f>
        <v>466.19999999999982</v>
      </c>
      <c r="K1578" s="28">
        <f>IF(MOD(K1570,Inputs!$D$21)=Inputs!$D$6,Inputs!$D$24,Inputs!$D$6)+SUMPRODUCT(--(K1570&gt;$D$1570:$M$1570),--(MOD(K1570-$D$1570:$M$1570,Inputs!$D$21)=Inputs!$D$6),$D$1577:$M$1577)</f>
        <v>279.10000000000014</v>
      </c>
      <c r="L1578" s="28">
        <f>IF(MOD(L1570,Inputs!$D$21)=Inputs!$D$6,Inputs!$D$24,Inputs!$D$6)+SUMPRODUCT(--(L1570&gt;$D$1570:$M$1570),--(MOD(L1570-$D$1570:$M$1570,Inputs!$D$21)=Inputs!$D$6),$D$1577:$M$1577)</f>
        <v>233.10000000000002</v>
      </c>
      <c r="M1578" s="28">
        <f>IF(MOD(M1570,Inputs!$D$21)=Inputs!$D$6,Inputs!$D$24,Inputs!$D$6)+SUMPRODUCT(--(M1570&gt;$D$1570:$M$1570),--(MOD(M1570-$D$1570:$M$1570,Inputs!$D$21)=Inputs!$D$6),$D$1577:$M$1577)</f>
        <v>621.6</v>
      </c>
    </row>
    <row r="1579" spans="1:13" ht="15" customHeight="1" x14ac:dyDescent="0.2">
      <c r="B1579" s="10" t="s">
        <v>895</v>
      </c>
      <c r="C1579" s="10" t="s">
        <v>896</v>
      </c>
      <c r="D1579" s="28">
        <f t="shared" ref="D1579:M1579" si="342">D1576*D1573</f>
        <v>116.15482546201234</v>
      </c>
      <c r="E1579" s="28">
        <f t="shared" si="342"/>
        <v>589.90000000000009</v>
      </c>
      <c r="F1579" s="28">
        <f t="shared" si="342"/>
        <v>1133.8</v>
      </c>
      <c r="G1579" s="28">
        <f t="shared" si="342"/>
        <v>1483.4499999999998</v>
      </c>
      <c r="H1579" s="28">
        <f t="shared" si="342"/>
        <v>1600</v>
      </c>
      <c r="I1579" s="28">
        <f t="shared" si="342"/>
        <v>1600</v>
      </c>
      <c r="J1579" s="28">
        <f t="shared" si="342"/>
        <v>1600</v>
      </c>
      <c r="K1579" s="28">
        <f t="shared" si="342"/>
        <v>1600</v>
      </c>
      <c r="L1579" s="28">
        <f t="shared" si="342"/>
        <v>1600</v>
      </c>
      <c r="M1579" s="28">
        <f t="shared" si="342"/>
        <v>1600</v>
      </c>
    </row>
    <row r="1580" spans="1:13" ht="15" customHeight="1" x14ac:dyDescent="0.2">
      <c r="B1580" s="10" t="s">
        <v>897</v>
      </c>
      <c r="C1580" s="10" t="s">
        <v>110</v>
      </c>
      <c r="D1580" s="16">
        <f>D1579*($D$1599/Inputs!$D$21+$D$1600/Inputs!$D$22)</f>
        <v>1680.51014411561</v>
      </c>
      <c r="E1580" s="16">
        <f>E1579*($D$1599/Inputs!$D$21+$D$1600/Inputs!$D$22)</f>
        <v>8534.5824426210111</v>
      </c>
      <c r="F1580" s="16">
        <f>F1579*($D$1599/Inputs!$D$21+$D$1600/Inputs!$D$22)</f>
        <v>16403.643962440583</v>
      </c>
      <c r="G1580" s="16">
        <f>G1579*($D$1599/Inputs!$D$21+$D$1600/Inputs!$D$22)</f>
        <v>21462.326368038881</v>
      </c>
      <c r="H1580" s="16">
        <f>H1579*($D$1599/Inputs!$D$21+$D$1600/Inputs!$D$22)</f>
        <v>23148.553836571649</v>
      </c>
      <c r="I1580" s="16">
        <f>I1579*($D$1599/Inputs!$D$21+$D$1600/Inputs!$D$22)</f>
        <v>23148.553836571649</v>
      </c>
      <c r="J1580" s="16">
        <f>J1579*($D$1599/Inputs!$D$21+$D$1600/Inputs!$D$22)</f>
        <v>23148.553836571649</v>
      </c>
      <c r="K1580" s="16">
        <f>K1579*($D$1599/Inputs!$D$21+$D$1600/Inputs!$D$22)</f>
        <v>23148.553836571649</v>
      </c>
      <c r="L1580" s="16">
        <f>L1579*($D$1599/Inputs!$D$21+$D$1600/Inputs!$D$22)</f>
        <v>23148.553836571649</v>
      </c>
      <c r="M1580" s="16">
        <f>M1579*($D$1599/Inputs!$D$21+$D$1600/Inputs!$D$22)</f>
        <v>23148.553836571649</v>
      </c>
    </row>
    <row r="1581" spans="1:13" ht="15" customHeight="1" x14ac:dyDescent="0.2">
      <c r="B1581" s="10" t="s">
        <v>898</v>
      </c>
      <c r="C1581" s="10" t="s">
        <v>110</v>
      </c>
      <c r="D1581" s="16">
        <f t="shared" ref="D1581:M1581" si="343">D1577*($D$1599+$D$1600)</f>
        <v>13977.887419483886</v>
      </c>
      <c r="E1581" s="16">
        <f t="shared" si="343"/>
        <v>37274.36645195703</v>
      </c>
      <c r="F1581" s="16">
        <f t="shared" si="343"/>
        <v>27955.774838967762</v>
      </c>
      <c r="G1581" s="16">
        <f t="shared" si="343"/>
        <v>13977.887419483894</v>
      </c>
      <c r="H1581" s="16">
        <f t="shared" si="343"/>
        <v>0</v>
      </c>
      <c r="I1581" s="16">
        <f t="shared" si="343"/>
        <v>0</v>
      </c>
      <c r="J1581" s="16">
        <f t="shared" si="343"/>
        <v>0</v>
      </c>
      <c r="K1581" s="16">
        <f t="shared" si="343"/>
        <v>0</v>
      </c>
      <c r="L1581" s="16">
        <f t="shared" si="343"/>
        <v>0</v>
      </c>
      <c r="M1581" s="16">
        <f t="shared" si="343"/>
        <v>0</v>
      </c>
    </row>
    <row r="1582" spans="1:13" ht="15" customHeight="1" x14ac:dyDescent="0.2">
      <c r="B1582" s="10" t="s">
        <v>899</v>
      </c>
      <c r="C1582" s="10" t="s">
        <v>110</v>
      </c>
      <c r="D1582" s="16">
        <f t="shared" ref="D1582:M1582" si="344">D1578*$D$1599</f>
        <v>0</v>
      </c>
      <c r="E1582" s="16">
        <f t="shared" si="344"/>
        <v>0</v>
      </c>
      <c r="F1582" s="16">
        <f t="shared" si="344"/>
        <v>0</v>
      </c>
      <c r="G1582" s="16">
        <f t="shared" si="344"/>
        <v>2638.0048485671714</v>
      </c>
      <c r="H1582" s="16">
        <f t="shared" si="344"/>
        <v>13367.802830456689</v>
      </c>
      <c r="I1582" s="16">
        <f t="shared" si="344"/>
        <v>35647.47421455117</v>
      </c>
      <c r="J1582" s="16">
        <f t="shared" si="344"/>
        <v>26735.605660913367</v>
      </c>
      <c r="K1582" s="16">
        <f t="shared" si="344"/>
        <v>16005.807679023867</v>
      </c>
      <c r="L1582" s="16">
        <f t="shared" si="344"/>
        <v>13367.802830456689</v>
      </c>
      <c r="M1582" s="16">
        <f t="shared" si="344"/>
        <v>35647.47421455117</v>
      </c>
    </row>
    <row r="1583" spans="1:13" ht="15" customHeight="1" x14ac:dyDescent="0.2">
      <c r="B1583" s="10" t="s">
        <v>900</v>
      </c>
      <c r="C1583" s="10" t="s">
        <v>199</v>
      </c>
      <c r="D1583" s="28">
        <f>D1577*Inputs!$D$23</f>
        <v>5.8275000000000006</v>
      </c>
      <c r="E1583" s="28">
        <f>E1577*Inputs!$D$23</f>
        <v>15.540000000000001</v>
      </c>
      <c r="F1583" s="28">
        <f>F1577*Inputs!$D$23</f>
        <v>11.654999999999996</v>
      </c>
      <c r="G1583" s="28">
        <f>G1577*Inputs!$D$23</f>
        <v>5.8275000000000041</v>
      </c>
      <c r="H1583" s="28">
        <f>H1577*Inputs!$D$23</f>
        <v>0</v>
      </c>
      <c r="I1583" s="28">
        <f>I1577*Inputs!$D$23</f>
        <v>0</v>
      </c>
      <c r="J1583" s="28">
        <f>J1577*Inputs!$D$23</f>
        <v>0</v>
      </c>
      <c r="K1583" s="28">
        <f>K1577*Inputs!$D$23</f>
        <v>0</v>
      </c>
      <c r="L1583" s="28">
        <f>L1577*Inputs!$D$23</f>
        <v>0</v>
      </c>
      <c r="M1583" s="28">
        <f>M1577*Inputs!$D$23</f>
        <v>0</v>
      </c>
    </row>
    <row r="1584" spans="1:13" ht="15" customHeight="1" x14ac:dyDescent="0.2">
      <c r="B1584" s="3" t="s">
        <v>901</v>
      </c>
      <c r="C1584" s="10" t="s">
        <v>896</v>
      </c>
      <c r="D1584" s="28">
        <f>(D1579*$D$1597*(Inputs!$D$7-Inputs!$D$19)-D1583)/(Inputs!$D$7+$D$1598)^D1572</f>
        <v>50.541318213721269</v>
      </c>
      <c r="E1584" s="28">
        <f>(E1579*$D$1597*(Inputs!$D$7-Inputs!$D$19)-E1583)/(Inputs!$D$7+$D$1598)^E1572</f>
        <v>238.4864713152904</v>
      </c>
      <c r="F1584" s="28">
        <f>(F1579*$D$1597*(Inputs!$D$7-Inputs!$D$19)-F1583)/(Inputs!$D$7+$D$1598)^F1572</f>
        <v>418.74491871678316</v>
      </c>
      <c r="G1584" s="28">
        <f>(G1579*$D$1597*(Inputs!$D$7-Inputs!$D$19)-G1583)/(Inputs!$D$7+$D$1598)^G1572</f>
        <v>490.87392073514752</v>
      </c>
      <c r="H1584" s="28">
        <f>(H1579*$D$1597*(Inputs!$D$7-Inputs!$D$19)-H1583)/(Inputs!$D$7+$D$1598)^H1572</f>
        <v>472.10300862628105</v>
      </c>
      <c r="I1584" s="28">
        <f>(I1579*$D$1597*(Inputs!$D$7-Inputs!$D$19)-I1583)/(Inputs!$D$7+$D$1598)^I1572</f>
        <v>417.68543753228789</v>
      </c>
      <c r="J1584" s="28">
        <f>(J1579*$D$1597*(Inputs!$D$7-Inputs!$D$19)-J1583)/(Inputs!$D$7+$D$1598)^J1572</f>
        <v>369.66405292491049</v>
      </c>
      <c r="K1584" s="28">
        <f>(K1579*$D$1597*(Inputs!$D$7-Inputs!$D$19)-K1583)/(Inputs!$D$7+$D$1598)^K1572</f>
        <v>327.16369723641031</v>
      </c>
      <c r="L1584" s="28">
        <f>(L1579*$D$1597*(Inputs!$D$7-Inputs!$D$19)-L1583)/(Inputs!$D$7+$D$1598)^L1572</f>
        <v>289.54961658427663</v>
      </c>
      <c r="M1584" s="28">
        <f>(M1579*$D$1597*(Inputs!$D$7-Inputs!$D$19)-M1583)/(Inputs!$D$7+$D$1598)^M1572</f>
        <v>256.17430111750662</v>
      </c>
    </row>
    <row r="1585" spans="2:13" ht="15" customHeight="1" x14ac:dyDescent="0.2">
      <c r="B1585" s="10" t="s">
        <v>902</v>
      </c>
      <c r="C1585" s="10" t="s">
        <v>110</v>
      </c>
      <c r="D1585" s="16">
        <f>(D1580*Inputs!$D$19-D1581-D1582)/(Inputs!$D$7+$D$1598)^D1572</f>
        <v>-12346.937146613671</v>
      </c>
      <c r="E1585" s="16">
        <f>(E1580*Inputs!$D$19-E1581-E1582)/(Inputs!$D$7+$D$1598)^E1572</f>
        <v>-28144.165592831177</v>
      </c>
      <c r="F1585" s="16">
        <f>(F1580*Inputs!$D$19-F1581-F1582)/(Inputs!$D$7+$D$1598)^F1572</f>
        <v>-16528.13772562052</v>
      </c>
      <c r="G1585" s="16">
        <f>(G1580*Inputs!$D$19-G1581-G1582)/(Inputs!$D$7+$D$1598)^G1572</f>
        <v>-6462.9033875784253</v>
      </c>
      <c r="H1585" s="16">
        <f>(H1580*Inputs!$D$19-H1581-H1582)/(Inputs!$D$7+$D$1598)^H1572</f>
        <v>-3610.0349541710043</v>
      </c>
      <c r="I1585" s="16">
        <f>(I1580*Inputs!$D$19-I1581-I1582)/(Inputs!$D$7+$D$1598)^I1572</f>
        <v>-14272.365134506323</v>
      </c>
      <c r="J1585" s="16">
        <f>(J1580*Inputs!$D$19-J1581-J1582)/(Inputs!$D$7+$D$1598)^J1572</f>
        <v>-8709.5665200501735</v>
      </c>
      <c r="K1585" s="16">
        <f>(K1580*Inputs!$D$19-K1581-K1582)/(Inputs!$D$7+$D$1598)^K1572</f>
        <v>-3529.1777141306115</v>
      </c>
      <c r="L1585" s="16">
        <f>(L1580*Inputs!$D$19-L1581-L1582)/(Inputs!$D$7+$D$1598)^L1572</f>
        <v>-2214.1020449702382</v>
      </c>
      <c r="M1585" s="16">
        <f>(M1580*Inputs!$D$19-M1581-M1582)/(Inputs!$D$7+$D$1598)^M1572</f>
        <v>-8753.5088252709138</v>
      </c>
    </row>
    <row r="1586" spans="2:13" ht="15" customHeight="1" x14ac:dyDescent="0.2">
      <c r="B1586" s="10" t="s">
        <v>903</v>
      </c>
      <c r="C1586" s="10" t="s">
        <v>110</v>
      </c>
      <c r="D1586" s="16">
        <f t="shared" ref="D1586:M1586" si="345">D1579*$D$1596</f>
        <v>3589.104394172487</v>
      </c>
      <c r="E1586" s="16">
        <f t="shared" si="345"/>
        <v>18227.505174244961</v>
      </c>
      <c r="F1586" s="16">
        <f t="shared" si="345"/>
        <v>35033.641916526416</v>
      </c>
      <c r="G1586" s="16">
        <f t="shared" si="345"/>
        <v>45837.586965135924</v>
      </c>
      <c r="H1586" s="16">
        <f t="shared" si="345"/>
        <v>49438.901981339099</v>
      </c>
      <c r="I1586" s="16">
        <f t="shared" si="345"/>
        <v>49438.901981339099</v>
      </c>
      <c r="J1586" s="16">
        <f t="shared" si="345"/>
        <v>49438.901981339099</v>
      </c>
      <c r="K1586" s="16">
        <f t="shared" si="345"/>
        <v>49438.901981339099</v>
      </c>
      <c r="L1586" s="16">
        <f t="shared" si="345"/>
        <v>49438.901981339099</v>
      </c>
      <c r="M1586" s="16">
        <f t="shared" si="345"/>
        <v>49438.901981339099</v>
      </c>
    </row>
    <row r="1587" spans="2:13" ht="15" customHeight="1" x14ac:dyDescent="0.2">
      <c r="B1587" s="10" t="s">
        <v>904</v>
      </c>
      <c r="C1587" s="10" t="s">
        <v>110</v>
      </c>
      <c r="D1587" s="16">
        <f t="shared" ref="D1587:M1587" si="346">D1586*$D$1597</f>
        <v>2691.8282956293651</v>
      </c>
      <c r="E1587" s="16">
        <f t="shared" si="346"/>
        <v>13670.628880683722</v>
      </c>
      <c r="F1587" s="16">
        <f t="shared" si="346"/>
        <v>26275.23143739481</v>
      </c>
      <c r="G1587" s="16">
        <f t="shared" si="346"/>
        <v>34378.19022385194</v>
      </c>
      <c r="H1587" s="16">
        <f t="shared" si="346"/>
        <v>37079.176486004326</v>
      </c>
      <c r="I1587" s="16">
        <f t="shared" si="346"/>
        <v>37079.176486004326</v>
      </c>
      <c r="J1587" s="16">
        <f t="shared" si="346"/>
        <v>37079.176486004326</v>
      </c>
      <c r="K1587" s="16">
        <f t="shared" si="346"/>
        <v>37079.176486004326</v>
      </c>
      <c r="L1587" s="16">
        <f t="shared" si="346"/>
        <v>37079.176486004326</v>
      </c>
      <c r="M1587" s="16">
        <f t="shared" si="346"/>
        <v>37079.176486004326</v>
      </c>
    </row>
    <row r="1588" spans="2:13" ht="15" customHeight="1" x14ac:dyDescent="0.2">
      <c r="B1588" s="10" t="s">
        <v>905</v>
      </c>
      <c r="C1588" s="10" t="s">
        <v>110</v>
      </c>
      <c r="D1588" s="16">
        <f t="shared" ref="D1588:M1588" si="347">D1587-D1580</f>
        <v>1011.3181515137551</v>
      </c>
      <c r="E1588" s="16">
        <f t="shared" si="347"/>
        <v>5136.0464380627109</v>
      </c>
      <c r="F1588" s="16">
        <f t="shared" si="347"/>
        <v>9871.5874749542272</v>
      </c>
      <c r="G1588" s="16">
        <f t="shared" si="347"/>
        <v>12915.863855813059</v>
      </c>
      <c r="H1588" s="16">
        <f t="shared" si="347"/>
        <v>13930.622649432677</v>
      </c>
      <c r="I1588" s="16">
        <f t="shared" si="347"/>
        <v>13930.622649432677</v>
      </c>
      <c r="J1588" s="16">
        <f t="shared" si="347"/>
        <v>13930.622649432677</v>
      </c>
      <c r="K1588" s="16">
        <f t="shared" si="347"/>
        <v>13930.622649432677</v>
      </c>
      <c r="L1588" s="16">
        <f t="shared" si="347"/>
        <v>13930.622649432677</v>
      </c>
      <c r="M1588" s="16">
        <f t="shared" si="347"/>
        <v>13930.622649432677</v>
      </c>
    </row>
    <row r="1589" spans="2:13" ht="15" customHeight="1" x14ac:dyDescent="0.2">
      <c r="B1589" s="10" t="s">
        <v>906</v>
      </c>
      <c r="C1589" s="10" t="s">
        <v>110</v>
      </c>
      <c r="D1589" s="16">
        <f>MAX(D1588,Inputs!$D$6)*Inputs!$D$19</f>
        <v>303.3954454541265</v>
      </c>
      <c r="E1589" s="16">
        <f>MAX(E1588,Inputs!$D$6)*Inputs!$D$19</f>
        <v>1540.8139314188131</v>
      </c>
      <c r="F1589" s="16">
        <f>MAX(F1588,Inputs!$D$6)*Inputs!$D$19</f>
        <v>2961.4762424862679</v>
      </c>
      <c r="G1589" s="16">
        <f>MAX(G1588,Inputs!$D$6)*Inputs!$D$19</f>
        <v>3874.7591567439176</v>
      </c>
      <c r="H1589" s="16">
        <f>MAX(H1588,Inputs!$D$6)*Inputs!$D$19</f>
        <v>4179.1867948298031</v>
      </c>
      <c r="I1589" s="16">
        <f>MAX(I1588,Inputs!$D$6)*Inputs!$D$19</f>
        <v>4179.1867948298031</v>
      </c>
      <c r="J1589" s="16">
        <f>MAX(J1588,Inputs!$D$6)*Inputs!$D$19</f>
        <v>4179.1867948298031</v>
      </c>
      <c r="K1589" s="16">
        <f>MAX(K1588,Inputs!$D$6)*Inputs!$D$19</f>
        <v>4179.1867948298031</v>
      </c>
      <c r="L1589" s="16">
        <f>MAX(L1588,Inputs!$D$6)*Inputs!$D$19</f>
        <v>4179.1867948298031</v>
      </c>
      <c r="M1589" s="16">
        <f>MAX(M1588,Inputs!$D$6)*Inputs!$D$19</f>
        <v>4179.1867948298031</v>
      </c>
    </row>
    <row r="1590" spans="2:13" ht="15" customHeight="1" x14ac:dyDescent="0.2">
      <c r="B1590" s="10" t="s">
        <v>907</v>
      </c>
      <c r="C1590" s="10" t="s">
        <v>110</v>
      </c>
      <c r="D1590" s="16">
        <f t="shared" ref="D1590:M1590" si="348">D1583*$D$1596</f>
        <v>180.06575081015851</v>
      </c>
      <c r="E1590" s="16">
        <f t="shared" si="348"/>
        <v>480.17533549375599</v>
      </c>
      <c r="F1590" s="16">
        <f t="shared" si="348"/>
        <v>360.13150162031684</v>
      </c>
      <c r="G1590" s="16">
        <f t="shared" si="348"/>
        <v>180.06575081015862</v>
      </c>
      <c r="H1590" s="16">
        <f t="shared" si="348"/>
        <v>0</v>
      </c>
      <c r="I1590" s="16">
        <f t="shared" si="348"/>
        <v>0</v>
      </c>
      <c r="J1590" s="16">
        <f t="shared" si="348"/>
        <v>0</v>
      </c>
      <c r="K1590" s="16">
        <f t="shared" si="348"/>
        <v>0</v>
      </c>
      <c r="L1590" s="16">
        <f t="shared" si="348"/>
        <v>0</v>
      </c>
      <c r="M1590" s="16">
        <f t="shared" si="348"/>
        <v>0</v>
      </c>
    </row>
    <row r="1591" spans="2:13" ht="15" customHeight="1" x14ac:dyDescent="0.2">
      <c r="B1591" s="10" t="s">
        <v>908</v>
      </c>
      <c r="C1591" s="10" t="s">
        <v>110</v>
      </c>
      <c r="D1591" s="16">
        <f t="shared" ref="D1591:M1591" si="349">D1587-D1589-D1581-D1582-D1590</f>
        <v>-11769.520320118805</v>
      </c>
      <c r="E1591" s="16">
        <f t="shared" si="349"/>
        <v>-25624.726838185878</v>
      </c>
      <c r="F1591" s="16">
        <f t="shared" si="349"/>
        <v>-5002.1511456795361</v>
      </c>
      <c r="G1591" s="16">
        <f t="shared" si="349"/>
        <v>13707.473048246798</v>
      </c>
      <c r="H1591" s="16">
        <f t="shared" si="349"/>
        <v>19532.186860717833</v>
      </c>
      <c r="I1591" s="16">
        <f t="shared" si="349"/>
        <v>-2747.4845233766464</v>
      </c>
      <c r="J1591" s="16">
        <f t="shared" si="349"/>
        <v>6164.384030261157</v>
      </c>
      <c r="K1591" s="16">
        <f t="shared" si="349"/>
        <v>16894.182012150657</v>
      </c>
      <c r="L1591" s="16">
        <f t="shared" si="349"/>
        <v>19532.186860717833</v>
      </c>
      <c r="M1591" s="16">
        <f t="shared" si="349"/>
        <v>-2747.4845233766464</v>
      </c>
    </row>
    <row r="1592" spans="2:13" ht="15" customHeight="1" x14ac:dyDescent="0.2">
      <c r="B1592" s="10" t="s">
        <v>909</v>
      </c>
      <c r="C1592" s="10" t="s">
        <v>110</v>
      </c>
      <c r="D1592" s="16">
        <f>D1591/(Inputs!$D$7+$D$1598)^D1572</f>
        <v>-10785.245098378773</v>
      </c>
      <c r="E1592" s="16">
        <f>E1591/(Inputs!$D$7+$D$1598)^E1572</f>
        <v>-20775.097293311126</v>
      </c>
      <c r="F1592" s="16">
        <f>F1591/(Inputs!$D$7+$D$1598)^F1572</f>
        <v>-3589.2071058562374</v>
      </c>
      <c r="G1592" s="16">
        <f>G1591/(Inputs!$D$7+$D$1598)^G1572</f>
        <v>8704.7638951844347</v>
      </c>
      <c r="H1592" s="16">
        <f>H1591/(Inputs!$D$7+$D$1598)^H1572</f>
        <v>10977.624026185244</v>
      </c>
      <c r="I1592" s="16">
        <f>I1591/(Inputs!$D$7+$D$1598)^I1572</f>
        <v>-1366.1717562616238</v>
      </c>
      <c r="J1592" s="16">
        <f>J1591/(Inputs!$D$7+$D$1598)^J1572</f>
        <v>2712.7990290618254</v>
      </c>
      <c r="K1592" s="16">
        <f>K1591/(Inputs!$D$7+$D$1598)^K1572</f>
        <v>6579.9560105715082</v>
      </c>
      <c r="L1592" s="16">
        <f>L1591/(Inputs!$D$7+$D$1598)^L1572</f>
        <v>6732.7824006824931</v>
      </c>
      <c r="M1592" s="16">
        <f>M1591/(Inputs!$D$7+$D$1598)^M1572</f>
        <v>-837.89872334187874</v>
      </c>
    </row>
    <row r="1593" spans="2:13" ht="15" customHeight="1" x14ac:dyDescent="0.2">
      <c r="B1593" s="3" t="s">
        <v>910</v>
      </c>
      <c r="C1593" s="10" t="s">
        <v>896</v>
      </c>
      <c r="D1593" s="28">
        <f>(D1579*$D$1597-D1583)/(Inputs!$D$7+$D$1598)^D1572</f>
        <v>74.490519309095831</v>
      </c>
      <c r="E1593" s="28">
        <f>(E1579*$D$1597-E1583)/(Inputs!$D$7+$D$1598)^E1572</f>
        <v>346.09451503846662</v>
      </c>
      <c r="F1593" s="28">
        <f>(F1579*$D$1597-F1583)/(Inputs!$D$7+$D$1598)^F1572</f>
        <v>601.79110266312398</v>
      </c>
      <c r="G1593" s="28">
        <f>(G1579*$D$1597-G1583)/(Inputs!$D$7+$D$1598)^G1572</f>
        <v>702.83446516544734</v>
      </c>
      <c r="H1593" s="28">
        <f>(H1579*$D$1597-H1583)/(Inputs!$D$7+$D$1598)^H1572</f>
        <v>674.43286946611579</v>
      </c>
      <c r="I1593" s="28">
        <f>(I1579*$D$1597-I1583)/(Inputs!$D$7+$D$1598)^I1572</f>
        <v>596.69348218898278</v>
      </c>
      <c r="J1593" s="28">
        <f>(J1579*$D$1597-J1583)/(Inputs!$D$7+$D$1598)^J1572</f>
        <v>528.09150417844353</v>
      </c>
      <c r="K1593" s="28">
        <f>(K1579*$D$1597-K1583)/(Inputs!$D$7+$D$1598)^K1572</f>
        <v>467.37671033772904</v>
      </c>
      <c r="L1593" s="28">
        <f>(L1579*$D$1597-L1583)/(Inputs!$D$7+$D$1598)^L1572</f>
        <v>413.64230940610946</v>
      </c>
      <c r="M1593" s="28">
        <f>(M1579*$D$1597-M1583)/(Inputs!$D$7+$D$1598)^M1572</f>
        <v>365.96328731072373</v>
      </c>
    </row>
    <row r="1594" spans="2:13" ht="15" customHeight="1" x14ac:dyDescent="0.2">
      <c r="B1594" s="10" t="s">
        <v>911</v>
      </c>
      <c r="C1594" s="10" t="s">
        <v>110</v>
      </c>
      <c r="D1594" s="16">
        <f>(-D1581-D1582)/(Inputs!$D$7+$D$1598)^D1572</f>
        <v>-12808.928289029636</v>
      </c>
      <c r="E1594" s="16">
        <f>(-E1581-E1582)/(Inputs!$D$7+$D$1598)^E1572</f>
        <v>-30219.974420642928</v>
      </c>
      <c r="F1594" s="16">
        <f>(-F1581-F1582)/(Inputs!$D$7+$D$1598)^F1572</f>
        <v>-20059.183095337907</v>
      </c>
      <c r="G1594" s="16">
        <f>(-G1581-G1582)/(Inputs!$D$7+$D$1598)^G1572</f>
        <v>-10551.720115889953</v>
      </c>
      <c r="H1594" s="16">
        <f>(-H1581-H1582)/(Inputs!$D$7+$D$1598)^H1572</f>
        <v>-7513.0713511684744</v>
      </c>
      <c r="I1594" s="16">
        <f>(-I1581-I1582)/(Inputs!$D$7+$D$1598)^I1572</f>
        <v>-17725.512933602091</v>
      </c>
      <c r="J1594" s="16">
        <f>(-J1581-J1582)/(Inputs!$D$7+$D$1598)^J1572</f>
        <v>-11765.705173827875</v>
      </c>
      <c r="K1594" s="16">
        <f>(-K1581-K1582)/(Inputs!$D$7+$D$1598)^K1572</f>
        <v>-6233.95144943378</v>
      </c>
      <c r="L1594" s="16">
        <f>(-L1581-L1582)/(Inputs!$D$7+$D$1598)^L1572</f>
        <v>-4607.9073620630261</v>
      </c>
      <c r="M1594" s="16">
        <f>(-M1581-M1582)/(Inputs!$D$7+$D$1598)^M1572</f>
        <v>-10871.389039901173</v>
      </c>
    </row>
    <row r="1595" spans="2:13" ht="15" customHeight="1" x14ac:dyDescent="0.2">
      <c r="B1595" s="10" t="s">
        <v>912</v>
      </c>
      <c r="C1595" s="10" t="s">
        <v>110</v>
      </c>
      <c r="D1595" s="16">
        <f>Prices!K11</f>
        <v>20328.700386874909</v>
      </c>
    </row>
    <row r="1596" spans="2:13" ht="15" customHeight="1" x14ac:dyDescent="0.2">
      <c r="B1596" s="3" t="s">
        <v>913</v>
      </c>
      <c r="C1596" s="10" t="s">
        <v>914</v>
      </c>
      <c r="D1596" s="28">
        <f>IF(J1603&gt;=J1599,J1603,(D1595-J1602)/J1601)</f>
        <v>30.899313738336936</v>
      </c>
      <c r="G1596" s="99" t="s">
        <v>915</v>
      </c>
      <c r="H1596" s="91"/>
      <c r="I1596" s="91"/>
      <c r="J1596" s="28">
        <f>D1596*Inputs!$D$15</f>
        <v>21.564631057985345</v>
      </c>
      <c r="K1596" s="99" t="s">
        <v>916</v>
      </c>
      <c r="L1596" s="91"/>
      <c r="M1596" s="91"/>
    </row>
    <row r="1597" spans="2:13" ht="15" customHeight="1" x14ac:dyDescent="0.2">
      <c r="B1597" s="10" t="s">
        <v>917</v>
      </c>
      <c r="C1597" s="10" t="s">
        <v>104</v>
      </c>
      <c r="D1597" s="30">
        <f>Inputs!$D$94</f>
        <v>0.75</v>
      </c>
      <c r="G1597" s="99" t="s">
        <v>918</v>
      </c>
      <c r="H1597" s="91"/>
      <c r="I1597" s="91"/>
      <c r="J1597" s="28">
        <f>IF(-D1608/D1607&gt;=J1599,-D1608/D1607,-J1602/J1601)</f>
        <v>27.411702074287536</v>
      </c>
      <c r="K1597" s="99" t="s">
        <v>919</v>
      </c>
      <c r="L1597" s="91"/>
      <c r="M1597" s="91"/>
    </row>
    <row r="1598" spans="2:13" ht="15" customHeight="1" x14ac:dyDescent="0.2">
      <c r="B1598" s="10" t="s">
        <v>920</v>
      </c>
      <c r="C1598" s="10" t="s">
        <v>104</v>
      </c>
      <c r="D1598" s="30">
        <f>Inputs!$D$95</f>
        <v>0.13</v>
      </c>
      <c r="G1598" s="99" t="s">
        <v>918</v>
      </c>
      <c r="H1598" s="91"/>
      <c r="I1598" s="91"/>
      <c r="J1598" s="28">
        <f>J1597*Inputs!$D$15</f>
        <v>19.13062687764527</v>
      </c>
      <c r="K1598" s="99" t="s">
        <v>916</v>
      </c>
      <c r="L1598" s="91"/>
      <c r="M1598" s="91"/>
    </row>
    <row r="1599" spans="2:13" ht="15" customHeight="1" x14ac:dyDescent="0.2">
      <c r="B1599" s="3" t="s">
        <v>921</v>
      </c>
      <c r="C1599" s="10" t="s">
        <v>848</v>
      </c>
      <c r="D1599" s="28">
        <f>Capital!$D$13</f>
        <v>57.347931490590682</v>
      </c>
      <c r="G1599" s="99" t="s">
        <v>922</v>
      </c>
      <c r="H1599" s="91"/>
      <c r="I1599" s="91"/>
      <c r="J1599" s="28">
        <f>($D$1599/Inputs!$D$21+$D$1600/Inputs!$D$22)/$D$1597</f>
        <v>19.290461530476374</v>
      </c>
      <c r="K1599" s="99" t="s">
        <v>919</v>
      </c>
      <c r="L1599" s="91"/>
      <c r="M1599" s="91"/>
    </row>
    <row r="1600" spans="2:13" ht="15" customHeight="1" x14ac:dyDescent="0.2">
      <c r="B1600" s="3" t="s">
        <v>923</v>
      </c>
      <c r="C1600" s="10" t="s">
        <v>848</v>
      </c>
      <c r="D1600" s="28">
        <f>Capital!$D$14</f>
        <v>2.6172655041921802</v>
      </c>
    </row>
    <row r="1601" spans="1:13" ht="15" customHeight="1" x14ac:dyDescent="0.2">
      <c r="B1601" s="10" t="s">
        <v>924</v>
      </c>
      <c r="C1601" s="10" t="s">
        <v>896</v>
      </c>
      <c r="D1601" s="28">
        <f>(M1574*(Inputs!$D$7+Inputs!$D$20)*$D$1597*(Inputs!$D$7-Inputs!$D$19)-M1574*Inputs!$D$20*Inputs!$D$23)/($D$1598-Inputs!$D$20)/(Inputs!$D$7+$D$1598)^M1572</f>
        <v>2497.8446594223992</v>
      </c>
      <c r="G1601" s="92" t="s">
        <v>910</v>
      </c>
      <c r="H1601" s="91"/>
      <c r="I1601" s="91"/>
      <c r="J1601" s="28">
        <f>SUM(D1593:M1593)+(M1574*(Inputs!$D$7+Inputs!$D$20)*$D$1597-M1574*Inputs!$D$20*Inputs!$D$23)/($D$1598-Inputs!$D$20)/(Inputs!$D$7+$D$1598)^M1572</f>
        <v>8341.0050516109004</v>
      </c>
      <c r="K1601" s="99" t="s">
        <v>896</v>
      </c>
      <c r="L1601" s="91"/>
      <c r="M1601" s="91"/>
    </row>
    <row r="1602" spans="1:13" ht="15" customHeight="1" x14ac:dyDescent="0.2">
      <c r="B1602" s="10" t="s">
        <v>925</v>
      </c>
      <c r="C1602" s="10" t="s">
        <v>110</v>
      </c>
      <c r="D1602" s="16">
        <f>(D1605*Inputs!$D$19-D1605-D1606)/($D$1598-Inputs!$D$20)/(Inputs!$D$7+$D$1598)^M1572</f>
        <v>-55207.290798783099</v>
      </c>
      <c r="G1602" s="92" t="s">
        <v>926</v>
      </c>
      <c r="H1602" s="91"/>
      <c r="I1602" s="91"/>
      <c r="J1602" s="16">
        <f>SUM(D1594:M1594)-(D1605+D1606)/($D$1598-Inputs!$D$20)/(Inputs!$D$7+$D$1598)^M1572</f>
        <v>-208239.17898202292</v>
      </c>
      <c r="K1602" s="99" t="s">
        <v>110</v>
      </c>
      <c r="L1602" s="91"/>
      <c r="M1602" s="91"/>
    </row>
    <row r="1603" spans="1:13" ht="15" customHeight="1" x14ac:dyDescent="0.2">
      <c r="B1603" s="10" t="s">
        <v>927</v>
      </c>
      <c r="C1603" s="10" t="s">
        <v>928</v>
      </c>
      <c r="D1603" s="16">
        <f>(M1574*(Inputs!$D$7+Inputs!$D$20)*$D$1596*$D$1597-D1605)-MAX((M1574*(Inputs!$D$7+Inputs!$D$20)*$D$1596*$D$1597-D1605),Inputs!$D$6)*Inputs!$D$19-D1606-M1574*Inputs!$D$20*$D$1596*Inputs!$D$23</f>
        <v>7565.7145574382939</v>
      </c>
      <c r="G1603" s="99" t="s">
        <v>929</v>
      </c>
      <c r="H1603" s="91"/>
      <c r="I1603" s="91"/>
      <c r="J1603" s="28">
        <f>(D1595-D1608)/D1607</f>
        <v>30.899313738336936</v>
      </c>
      <c r="K1603" s="99" t="s">
        <v>919</v>
      </c>
      <c r="L1603" s="91"/>
      <c r="M1603" s="91"/>
    </row>
    <row r="1604" spans="1:13" ht="15" customHeight="1" x14ac:dyDescent="0.2">
      <c r="B1604" s="10" t="s">
        <v>930</v>
      </c>
      <c r="C1604" s="10" t="s">
        <v>110</v>
      </c>
      <c r="D1604" s="16">
        <f>D1603/($D$1598-Inputs!$D$20)</f>
        <v>72054.424356555173</v>
      </c>
      <c r="G1604" s="99" t="s">
        <v>931</v>
      </c>
      <c r="H1604" s="91"/>
      <c r="I1604" s="91"/>
      <c r="J1604" s="16">
        <f>MIN(D1588:M1588,(M1574*(Inputs!$D$7+Inputs!$D$20)*$D$1596*$D$1597-D1605))</f>
        <v>1011.3181515137551</v>
      </c>
      <c r="K1604" s="99" t="s">
        <v>110</v>
      </c>
      <c r="L1604" s="91"/>
      <c r="M1604" s="91"/>
    </row>
    <row r="1605" spans="1:13" ht="15" customHeight="1" x14ac:dyDescent="0.2">
      <c r="B1605" s="10" t="s">
        <v>932</v>
      </c>
      <c r="C1605" s="10" t="s">
        <v>928</v>
      </c>
      <c r="D1605" s="16">
        <f>M1574*(Inputs!$D$7+Inputs!$D$20)*($D$1599/Inputs!$D$21+$D$1600/Inputs!$D$22)</f>
        <v>23727.267682485937</v>
      </c>
      <c r="G1605" s="99" t="s">
        <v>933</v>
      </c>
      <c r="H1605" s="91"/>
      <c r="I1605" s="91"/>
      <c r="J1605" s="31" t="str">
        <f>IF(J1604&lt;Inputs!$D$6,"breached","satisfied")</f>
        <v>satisfied</v>
      </c>
      <c r="K1605" s="99" t="s">
        <v>934</v>
      </c>
      <c r="L1605" s="91"/>
      <c r="M1605" s="91"/>
    </row>
    <row r="1606" spans="1:13" ht="15" customHeight="1" x14ac:dyDescent="0.2">
      <c r="B1606" s="10" t="s">
        <v>935</v>
      </c>
      <c r="C1606" s="10" t="s">
        <v>928</v>
      </c>
      <c r="D1606" s="16">
        <f>M1574*Inputs!$D$20*($D$1599+$D$1600)</f>
        <v>2398.6078797913146</v>
      </c>
    </row>
    <row r="1607" spans="1:13" ht="15" customHeight="1" x14ac:dyDescent="0.2">
      <c r="B1607" s="10" t="s">
        <v>936</v>
      </c>
      <c r="C1607" s="10" t="s">
        <v>896</v>
      </c>
      <c r="D1607" s="28">
        <f>SUM(D1584:M1584)+D1601</f>
        <v>5828.8314024250149</v>
      </c>
      <c r="G1607" s="99" t="s">
        <v>937</v>
      </c>
      <c r="H1607" s="91"/>
      <c r="I1607" s="91"/>
      <c r="J1607" s="16">
        <f>D1609-D1595</f>
        <v>-3.2741809263825417E-11</v>
      </c>
      <c r="K1607" s="99" t="s">
        <v>110</v>
      </c>
      <c r="L1607" s="91"/>
      <c r="M1607" s="91"/>
    </row>
    <row r="1608" spans="1:13" ht="15" customHeight="1" x14ac:dyDescent="0.2">
      <c r="B1608" s="10" t="s">
        <v>938</v>
      </c>
      <c r="C1608" s="10" t="s">
        <v>110</v>
      </c>
      <c r="D1608" s="16">
        <f>SUM(D1585:M1585)+D1602</f>
        <v>-159778.18984452612</v>
      </c>
    </row>
    <row r="1609" spans="1:13" ht="15" customHeight="1" x14ac:dyDescent="0.2">
      <c r="B1609" s="10" t="s">
        <v>939</v>
      </c>
      <c r="C1609" s="10" t="s">
        <v>110</v>
      </c>
      <c r="D1609" s="16">
        <f>SUM(D1592:M1592)+D1604/(Inputs!$D$7+$D$1598)^M1572</f>
        <v>20328.700386874876</v>
      </c>
    </row>
    <row r="1610" spans="1:13" ht="15" customHeight="1" x14ac:dyDescent="0.2">
      <c r="B1610" s="10" t="s">
        <v>940</v>
      </c>
      <c r="C1610" s="10" t="s">
        <v>104</v>
      </c>
      <c r="D1610" s="30">
        <f>IF(ABS(D1595)&gt;Inputs!$D$6,D1609/D1595-Inputs!$D$7,Inputs!$D$6)</f>
        <v>-1.6653345369377348E-15</v>
      </c>
    </row>
    <row r="1611" spans="1:13" ht="15" customHeight="1" x14ac:dyDescent="0.2">
      <c r="B1611" s="10" t="s">
        <v>941</v>
      </c>
      <c r="C1611" s="10" t="s">
        <v>104</v>
      </c>
      <c r="D1611" s="30">
        <f>IF(ABS(D1609)&gt;Inputs!$D$119,D1604/(Inputs!$D$7+$D$1598)^M1572/D1609,Inputs!$D$6)</f>
        <v>1.0809542461714212</v>
      </c>
    </row>
    <row r="1612" spans="1:13" ht="15" customHeight="1" x14ac:dyDescent="0.2">
      <c r="B1612" s="10" t="s">
        <v>942</v>
      </c>
      <c r="C1612" s="10" t="s">
        <v>943</v>
      </c>
      <c r="D1612" s="26">
        <f>$D$1596*Inputs!$D$8/Prices!$P$6/(Inputs!$D$26/Inputs!$D$25)/Inputs!$D$11/Inputs!$D$56</f>
        <v>5.6191340606721791</v>
      </c>
    </row>
    <row r="1616" spans="1:13" ht="15" customHeight="1" x14ac:dyDescent="0.2">
      <c r="A1616" s="104" t="s">
        <v>978</v>
      </c>
      <c r="B1616" s="10" t="s">
        <v>886</v>
      </c>
      <c r="C1616" s="10" t="s">
        <v>107</v>
      </c>
      <c r="D1616" s="28">
        <f>Inputs!$D$60</f>
        <v>1</v>
      </c>
      <c r="E1616" s="28">
        <f>Inputs!$D$62</f>
        <v>2</v>
      </c>
      <c r="F1616" s="28">
        <f>Inputs!$D$64</f>
        <v>3</v>
      </c>
      <c r="G1616" s="28">
        <f>Inputs!$D$66</f>
        <v>4</v>
      </c>
      <c r="H1616" s="28">
        <f>Inputs!$D$68</f>
        <v>5</v>
      </c>
      <c r="I1616" s="28">
        <f>Inputs!$D$70</f>
        <v>6</v>
      </c>
      <c r="J1616" s="28">
        <f>Inputs!$D$72</f>
        <v>7</v>
      </c>
      <c r="K1616" s="28">
        <f>Inputs!$D$74</f>
        <v>8</v>
      </c>
      <c r="L1616" s="28">
        <f>Inputs!$D$76</f>
        <v>9</v>
      </c>
      <c r="M1616" s="28">
        <f>Inputs!$D$78</f>
        <v>10</v>
      </c>
    </row>
    <row r="1617" spans="1:13" ht="15" customHeight="1" x14ac:dyDescent="0.2">
      <c r="A1617" s="91"/>
      <c r="B1617" s="10" t="s">
        <v>887</v>
      </c>
      <c r="C1617" s="10" t="s">
        <v>161</v>
      </c>
      <c r="D1617" s="29">
        <f>Inputs!$D$61</f>
        <v>46568</v>
      </c>
      <c r="E1617" s="29">
        <f>Inputs!$D$63</f>
        <v>46934</v>
      </c>
      <c r="F1617" s="29">
        <f>Inputs!$D$65</f>
        <v>47299</v>
      </c>
      <c r="G1617" s="29">
        <f>Inputs!$D$67</f>
        <v>47664</v>
      </c>
      <c r="H1617" s="29">
        <f>Inputs!$D$69</f>
        <v>48029</v>
      </c>
      <c r="I1617" s="29">
        <f>Inputs!$D$71</f>
        <v>48395</v>
      </c>
      <c r="J1617" s="29">
        <f>Inputs!$D$73</f>
        <v>48760</v>
      </c>
      <c r="K1617" s="29">
        <f>Inputs!$D$75</f>
        <v>49125</v>
      </c>
      <c r="L1617" s="29">
        <f>Inputs!$D$77</f>
        <v>49490</v>
      </c>
      <c r="M1617" s="29">
        <f>Inputs!$D$79</f>
        <v>49856</v>
      </c>
    </row>
    <row r="1618" spans="1:13" ht="15" customHeight="1" x14ac:dyDescent="0.2">
      <c r="A1618" s="91"/>
      <c r="B1618" s="10" t="s">
        <v>888</v>
      </c>
      <c r="C1618" s="10" t="s">
        <v>107</v>
      </c>
      <c r="D1618" s="28">
        <f>(D1617-Inputs!$D$13)/Inputs!$D$10</f>
        <v>0.71457905544147848</v>
      </c>
      <c r="E1618" s="28">
        <f>(E1617-Inputs!$D$13)/Inputs!$D$10</f>
        <v>1.7166324435318274</v>
      </c>
      <c r="F1618" s="28">
        <f>(F1617-Inputs!$D$13)/Inputs!$D$10</f>
        <v>2.7159479808350446</v>
      </c>
      <c r="G1618" s="28">
        <f>(G1617-Inputs!$D$13)/Inputs!$D$10</f>
        <v>3.7152635181382614</v>
      </c>
      <c r="H1618" s="28">
        <f>(H1617-Inputs!$D$13)/Inputs!$D$10</f>
        <v>4.7145790554414786</v>
      </c>
      <c r="I1618" s="28">
        <f>(I1617-Inputs!$D$13)/Inputs!$D$10</f>
        <v>5.7166324435318279</v>
      </c>
      <c r="J1618" s="28">
        <f>(J1617-Inputs!$D$13)/Inputs!$D$10</f>
        <v>6.7159479808350442</v>
      </c>
      <c r="K1618" s="28">
        <f>(K1617-Inputs!$D$13)/Inputs!$D$10</f>
        <v>7.7152635181382614</v>
      </c>
      <c r="L1618" s="28">
        <f>(L1617-Inputs!$D$13)/Inputs!$D$10</f>
        <v>8.7145790554414777</v>
      </c>
      <c r="M1618" s="28">
        <f>(M1617-Inputs!$D$13)/Inputs!$D$10</f>
        <v>9.716632443531827</v>
      </c>
    </row>
    <row r="1619" spans="1:13" ht="15" customHeight="1" x14ac:dyDescent="0.2">
      <c r="A1619" s="91"/>
      <c r="B1619" s="10" t="s">
        <v>889</v>
      </c>
      <c r="C1619" s="10" t="s">
        <v>107</v>
      </c>
      <c r="D1619" s="28">
        <f>D1618</f>
        <v>0.71457905544147848</v>
      </c>
      <c r="E1619" s="28">
        <f>Inputs!$D$7</f>
        <v>1</v>
      </c>
      <c r="F1619" s="28">
        <f>Inputs!$D$7</f>
        <v>1</v>
      </c>
      <c r="G1619" s="28">
        <f>Inputs!$D$7</f>
        <v>1</v>
      </c>
      <c r="H1619" s="28">
        <f>Inputs!$D$7</f>
        <v>1</v>
      </c>
      <c r="I1619" s="28">
        <f>Inputs!$D$7</f>
        <v>1</v>
      </c>
      <c r="J1619" s="28">
        <f>Inputs!$D$7</f>
        <v>1</v>
      </c>
      <c r="K1619" s="28">
        <f>Inputs!$D$7</f>
        <v>1</v>
      </c>
      <c r="L1619" s="28">
        <f>Inputs!$D$7</f>
        <v>1</v>
      </c>
      <c r="M1619" s="28">
        <f>Inputs!$D$7</f>
        <v>1</v>
      </c>
    </row>
    <row r="1620" spans="1:13" ht="15" customHeight="1" x14ac:dyDescent="0.2">
      <c r="A1620" s="91"/>
      <c r="B1620" s="3" t="s">
        <v>890</v>
      </c>
      <c r="C1620" s="10" t="s">
        <v>199</v>
      </c>
      <c r="D1620" s="28">
        <f>Inputs!$D$24+(Inputs!$D$106-Inputs!$D$24)*Inputs!$D$109</f>
        <v>170.32</v>
      </c>
      <c r="E1620" s="28">
        <f>Inputs!$D$24+(Inputs!$D$106-Inputs!$D$24)*Inputs!$D$110</f>
        <v>481.12000000000006</v>
      </c>
      <c r="F1620" s="28">
        <f>Inputs!$D$24+(Inputs!$D$106-Inputs!$D$24)*Inputs!$D$111</f>
        <v>823</v>
      </c>
      <c r="G1620" s="28">
        <f>Inputs!$D$24+(Inputs!$D$106-Inputs!$D$24)*Inputs!$D$112</f>
        <v>1211.5</v>
      </c>
      <c r="H1620" s="28">
        <f>Inputs!$D$24+(Inputs!$D$106-Inputs!$D$24)*Inputs!$D$113</f>
        <v>1600</v>
      </c>
      <c r="I1620" s="28">
        <f>Inputs!$D$24+(Inputs!$D$106-Inputs!$D$24)*Inputs!$D$114</f>
        <v>1600</v>
      </c>
      <c r="J1620" s="28">
        <f>Inputs!$D$24+(Inputs!$D$106-Inputs!$D$24)*Inputs!$D$115</f>
        <v>1600</v>
      </c>
      <c r="K1620" s="28">
        <f>Inputs!$D$24+(Inputs!$D$106-Inputs!$D$24)*Inputs!$D$116</f>
        <v>1600</v>
      </c>
      <c r="L1620" s="28">
        <f>Inputs!$D$24+(Inputs!$D$106-Inputs!$D$24)*Inputs!$D$117</f>
        <v>1600</v>
      </c>
      <c r="M1620" s="28">
        <f>Inputs!$D$24+(Inputs!$D$106-Inputs!$D$24)*Inputs!$D$118</f>
        <v>1600</v>
      </c>
    </row>
    <row r="1621" spans="1:13" ht="15" customHeight="1" x14ac:dyDescent="0.2">
      <c r="A1621" s="91"/>
      <c r="B1621" s="10" t="s">
        <v>891</v>
      </c>
      <c r="C1621" s="10" t="s">
        <v>199</v>
      </c>
      <c r="D1621" s="28">
        <f>Inputs!$D$24</f>
        <v>46</v>
      </c>
      <c r="E1621" s="28">
        <f t="shared" ref="E1621:M1621" si="350">D1620</f>
        <v>170.32</v>
      </c>
      <c r="F1621" s="28">
        <f t="shared" si="350"/>
        <v>481.12000000000006</v>
      </c>
      <c r="G1621" s="28">
        <f t="shared" si="350"/>
        <v>823</v>
      </c>
      <c r="H1621" s="28">
        <f t="shared" si="350"/>
        <v>1211.5</v>
      </c>
      <c r="I1621" s="28">
        <f t="shared" si="350"/>
        <v>1600</v>
      </c>
      <c r="J1621" s="28">
        <f t="shared" si="350"/>
        <v>1600</v>
      </c>
      <c r="K1621" s="28">
        <f t="shared" si="350"/>
        <v>1600</v>
      </c>
      <c r="L1621" s="28">
        <f t="shared" si="350"/>
        <v>1600</v>
      </c>
      <c r="M1621" s="28">
        <f t="shared" si="350"/>
        <v>1600</v>
      </c>
    </row>
    <row r="1622" spans="1:13" ht="15" customHeight="1" x14ac:dyDescent="0.2">
      <c r="B1622" s="10" t="s">
        <v>892</v>
      </c>
      <c r="C1622" s="10" t="s">
        <v>199</v>
      </c>
      <c r="D1622" s="28">
        <f>(D1621+D1620)*Inputs!$D$12</f>
        <v>108.16</v>
      </c>
      <c r="E1622" s="28">
        <f>(E1621+E1620)*Inputs!$D$12</f>
        <v>325.72000000000003</v>
      </c>
      <c r="F1622" s="28">
        <f>(F1621+F1620)*Inputs!$D$12</f>
        <v>652.06000000000006</v>
      </c>
      <c r="G1622" s="28">
        <f>(G1621+G1620)*Inputs!$D$12</f>
        <v>1017.25</v>
      </c>
      <c r="H1622" s="28">
        <f>(H1621+H1620)*Inputs!$D$12</f>
        <v>1405.75</v>
      </c>
      <c r="I1622" s="28">
        <f>(I1621+I1620)*Inputs!$D$12</f>
        <v>1600</v>
      </c>
      <c r="J1622" s="28">
        <f>(J1621+J1620)*Inputs!$D$12</f>
        <v>1600</v>
      </c>
      <c r="K1622" s="28">
        <f>(K1621+K1620)*Inputs!$D$12</f>
        <v>1600</v>
      </c>
      <c r="L1622" s="28">
        <f>(L1621+L1620)*Inputs!$D$12</f>
        <v>1600</v>
      </c>
      <c r="M1622" s="28">
        <f>(M1621+M1620)*Inputs!$D$12</f>
        <v>1600</v>
      </c>
    </row>
    <row r="1623" spans="1:13" ht="15" customHeight="1" x14ac:dyDescent="0.2">
      <c r="B1623" s="10" t="s">
        <v>893</v>
      </c>
      <c r="C1623" s="10" t="s">
        <v>199</v>
      </c>
      <c r="D1623" s="28">
        <f t="shared" ref="D1623:M1623" si="351">D1620-D1621</f>
        <v>124.32</v>
      </c>
      <c r="E1623" s="28">
        <f t="shared" si="351"/>
        <v>310.80000000000007</v>
      </c>
      <c r="F1623" s="28">
        <f t="shared" si="351"/>
        <v>341.87999999999994</v>
      </c>
      <c r="G1623" s="28">
        <f t="shared" si="351"/>
        <v>388.5</v>
      </c>
      <c r="H1623" s="28">
        <f t="shared" si="351"/>
        <v>388.5</v>
      </c>
      <c r="I1623" s="28">
        <f t="shared" si="351"/>
        <v>0</v>
      </c>
      <c r="J1623" s="28">
        <f t="shared" si="351"/>
        <v>0</v>
      </c>
      <c r="K1623" s="28">
        <f t="shared" si="351"/>
        <v>0</v>
      </c>
      <c r="L1623" s="28">
        <f t="shared" si="351"/>
        <v>0</v>
      </c>
      <c r="M1623" s="28">
        <f t="shared" si="351"/>
        <v>0</v>
      </c>
    </row>
    <row r="1624" spans="1:13" ht="15" customHeight="1" x14ac:dyDescent="0.2">
      <c r="B1624" s="10" t="s">
        <v>894</v>
      </c>
      <c r="C1624" s="10" t="s">
        <v>199</v>
      </c>
      <c r="D1624" s="28">
        <f>IF(MOD(D1616,Inputs!$D$21)=Inputs!$D$6,Inputs!$D$24,Inputs!$D$6)+SUMPRODUCT(--(D1616&gt;$D$1616:$M$1616),--(MOD(D1616-$D$1616:$M$1616,Inputs!$D$21)=Inputs!$D$6),$D$1623:$M$1623)</f>
        <v>0</v>
      </c>
      <c r="E1624" s="28">
        <f>IF(MOD(E1616,Inputs!$D$21)=Inputs!$D$6,Inputs!$D$24,Inputs!$D$6)+SUMPRODUCT(--(E1616&gt;$D$1616:$M$1616),--(MOD(E1616-$D$1616:$M$1616,Inputs!$D$21)=Inputs!$D$6),$D$1623:$M$1623)</f>
        <v>0</v>
      </c>
      <c r="F1624" s="28">
        <f>IF(MOD(F1616,Inputs!$D$21)=Inputs!$D$6,Inputs!$D$24,Inputs!$D$6)+SUMPRODUCT(--(F1616&gt;$D$1616:$M$1616),--(MOD(F1616-$D$1616:$M$1616,Inputs!$D$21)=Inputs!$D$6),$D$1623:$M$1623)</f>
        <v>0</v>
      </c>
      <c r="G1624" s="28">
        <f>IF(MOD(G1616,Inputs!$D$21)=Inputs!$D$6,Inputs!$D$24,Inputs!$D$6)+SUMPRODUCT(--(G1616&gt;$D$1616:$M$1616),--(MOD(G1616-$D$1616:$M$1616,Inputs!$D$21)=Inputs!$D$6),$D$1623:$M$1623)</f>
        <v>46</v>
      </c>
      <c r="H1624" s="28">
        <f>IF(MOD(H1616,Inputs!$D$21)=Inputs!$D$6,Inputs!$D$24,Inputs!$D$6)+SUMPRODUCT(--(H1616&gt;$D$1616:$M$1616),--(MOD(H1616-$D$1616:$M$1616,Inputs!$D$21)=Inputs!$D$6),$D$1623:$M$1623)</f>
        <v>124.32</v>
      </c>
      <c r="I1624" s="28">
        <f>IF(MOD(I1616,Inputs!$D$21)=Inputs!$D$6,Inputs!$D$24,Inputs!$D$6)+SUMPRODUCT(--(I1616&gt;$D$1616:$M$1616),--(MOD(I1616-$D$1616:$M$1616,Inputs!$D$21)=Inputs!$D$6),$D$1623:$M$1623)</f>
        <v>310.80000000000007</v>
      </c>
      <c r="J1624" s="28">
        <f>IF(MOD(J1616,Inputs!$D$21)=Inputs!$D$6,Inputs!$D$24,Inputs!$D$6)+SUMPRODUCT(--(J1616&gt;$D$1616:$M$1616),--(MOD(J1616-$D$1616:$M$1616,Inputs!$D$21)=Inputs!$D$6),$D$1623:$M$1623)</f>
        <v>341.87999999999994</v>
      </c>
      <c r="K1624" s="28">
        <f>IF(MOD(K1616,Inputs!$D$21)=Inputs!$D$6,Inputs!$D$24,Inputs!$D$6)+SUMPRODUCT(--(K1616&gt;$D$1616:$M$1616),--(MOD(K1616-$D$1616:$M$1616,Inputs!$D$21)=Inputs!$D$6),$D$1623:$M$1623)</f>
        <v>434.5</v>
      </c>
      <c r="L1624" s="28">
        <f>IF(MOD(L1616,Inputs!$D$21)=Inputs!$D$6,Inputs!$D$24,Inputs!$D$6)+SUMPRODUCT(--(L1616&gt;$D$1616:$M$1616),--(MOD(L1616-$D$1616:$M$1616,Inputs!$D$21)=Inputs!$D$6),$D$1623:$M$1623)</f>
        <v>512.81999999999994</v>
      </c>
      <c r="M1624" s="28">
        <f>IF(MOD(M1616,Inputs!$D$21)=Inputs!$D$6,Inputs!$D$24,Inputs!$D$6)+SUMPRODUCT(--(M1616&gt;$D$1616:$M$1616),--(MOD(M1616-$D$1616:$M$1616,Inputs!$D$21)=Inputs!$D$6),$D$1623:$M$1623)</f>
        <v>310.80000000000007</v>
      </c>
    </row>
    <row r="1625" spans="1:13" ht="15" customHeight="1" x14ac:dyDescent="0.2">
      <c r="B1625" s="10" t="s">
        <v>895</v>
      </c>
      <c r="C1625" s="10" t="s">
        <v>896</v>
      </c>
      <c r="D1625" s="28">
        <f t="shared" ref="D1625:M1625" si="352">D1622*D1619</f>
        <v>77.288870636550314</v>
      </c>
      <c r="E1625" s="28">
        <f t="shared" si="352"/>
        <v>325.72000000000003</v>
      </c>
      <c r="F1625" s="28">
        <f t="shared" si="352"/>
        <v>652.06000000000006</v>
      </c>
      <c r="G1625" s="28">
        <f t="shared" si="352"/>
        <v>1017.25</v>
      </c>
      <c r="H1625" s="28">
        <f t="shared" si="352"/>
        <v>1405.75</v>
      </c>
      <c r="I1625" s="28">
        <f t="shared" si="352"/>
        <v>1600</v>
      </c>
      <c r="J1625" s="28">
        <f t="shared" si="352"/>
        <v>1600</v>
      </c>
      <c r="K1625" s="28">
        <f t="shared" si="352"/>
        <v>1600</v>
      </c>
      <c r="L1625" s="28">
        <f t="shared" si="352"/>
        <v>1600</v>
      </c>
      <c r="M1625" s="28">
        <f t="shared" si="352"/>
        <v>1600</v>
      </c>
    </row>
    <row r="1626" spans="1:13" ht="15" customHeight="1" x14ac:dyDescent="0.2">
      <c r="B1626" s="10" t="s">
        <v>897</v>
      </c>
      <c r="C1626" s="10" t="s">
        <v>110</v>
      </c>
      <c r="D1626" s="16">
        <f>D1625*($D$1645/Inputs!$D$21+$D$1646/Inputs!$D$22)</f>
        <v>1118.2034893112541</v>
      </c>
      <c r="E1626" s="16">
        <f>E1625*($D$1645/Inputs!$D$21+$D$1646/Inputs!$D$22)</f>
        <v>4712.466847280074</v>
      </c>
      <c r="F1626" s="16">
        <f>F1625*($D$1645/Inputs!$D$21+$D$1646/Inputs!$D$22)</f>
        <v>9433.9037591718188</v>
      </c>
      <c r="G1626" s="16">
        <f>G1625*($D$1645/Inputs!$D$21+$D$1646/Inputs!$D$22)</f>
        <v>14717.416493907818</v>
      </c>
      <c r="H1626" s="16">
        <f>H1625*($D$1645/Inputs!$D$21+$D$1646/Inputs!$D$22)</f>
        <v>20338.17472235037</v>
      </c>
      <c r="I1626" s="16">
        <f>I1625*($D$1645/Inputs!$D$21+$D$1646/Inputs!$D$22)</f>
        <v>23148.553836571649</v>
      </c>
      <c r="J1626" s="16">
        <f>J1625*($D$1645/Inputs!$D$21+$D$1646/Inputs!$D$22)</f>
        <v>23148.553836571649</v>
      </c>
      <c r="K1626" s="16">
        <f>K1625*($D$1645/Inputs!$D$21+$D$1646/Inputs!$D$22)</f>
        <v>23148.553836571649</v>
      </c>
      <c r="L1626" s="16">
        <f>L1625*($D$1645/Inputs!$D$21+$D$1646/Inputs!$D$22)</f>
        <v>23148.553836571649</v>
      </c>
      <c r="M1626" s="16">
        <f>M1625*($D$1645/Inputs!$D$21+$D$1646/Inputs!$D$22)</f>
        <v>23148.553836571649</v>
      </c>
    </row>
    <row r="1627" spans="1:13" ht="15" customHeight="1" x14ac:dyDescent="0.2">
      <c r="B1627" s="10" t="s">
        <v>898</v>
      </c>
      <c r="C1627" s="10" t="s">
        <v>110</v>
      </c>
      <c r="D1627" s="16">
        <f t="shared" ref="D1627:M1627" si="353">D1623*($D$1645+$D$1646)</f>
        <v>7454.8732903914051</v>
      </c>
      <c r="E1627" s="16">
        <f t="shared" si="353"/>
        <v>18637.183225978519</v>
      </c>
      <c r="F1627" s="16">
        <f t="shared" si="353"/>
        <v>20500.901548576363</v>
      </c>
      <c r="G1627" s="16">
        <f t="shared" si="353"/>
        <v>23296.479032473144</v>
      </c>
      <c r="H1627" s="16">
        <f t="shared" si="353"/>
        <v>23296.479032473144</v>
      </c>
      <c r="I1627" s="16">
        <f t="shared" si="353"/>
        <v>0</v>
      </c>
      <c r="J1627" s="16">
        <f t="shared" si="353"/>
        <v>0</v>
      </c>
      <c r="K1627" s="16">
        <f t="shared" si="353"/>
        <v>0</v>
      </c>
      <c r="L1627" s="16">
        <f t="shared" si="353"/>
        <v>0</v>
      </c>
      <c r="M1627" s="16">
        <f t="shared" si="353"/>
        <v>0</v>
      </c>
    </row>
    <row r="1628" spans="1:13" ht="15" customHeight="1" x14ac:dyDescent="0.2">
      <c r="B1628" s="10" t="s">
        <v>899</v>
      </c>
      <c r="C1628" s="10" t="s">
        <v>110</v>
      </c>
      <c r="D1628" s="16">
        <f t="shared" ref="D1628:M1628" si="354">D1624*$D$1645</f>
        <v>0</v>
      </c>
      <c r="E1628" s="16">
        <f t="shared" si="354"/>
        <v>0</v>
      </c>
      <c r="F1628" s="16">
        <f t="shared" si="354"/>
        <v>0</v>
      </c>
      <c r="G1628" s="16">
        <f t="shared" si="354"/>
        <v>2638.0048485671714</v>
      </c>
      <c r="H1628" s="16">
        <f t="shared" si="354"/>
        <v>7129.4948429102333</v>
      </c>
      <c r="I1628" s="16">
        <f t="shared" si="354"/>
        <v>17823.737107275589</v>
      </c>
      <c r="J1628" s="16">
        <f t="shared" si="354"/>
        <v>19606.110818003141</v>
      </c>
      <c r="K1628" s="16">
        <f t="shared" si="354"/>
        <v>24917.676232661652</v>
      </c>
      <c r="L1628" s="16">
        <f t="shared" si="354"/>
        <v>29409.166227004709</v>
      </c>
      <c r="M1628" s="16">
        <f t="shared" si="354"/>
        <v>17823.737107275589</v>
      </c>
    </row>
    <row r="1629" spans="1:13" ht="15" customHeight="1" x14ac:dyDescent="0.2">
      <c r="B1629" s="10" t="s">
        <v>900</v>
      </c>
      <c r="C1629" s="10" t="s">
        <v>199</v>
      </c>
      <c r="D1629" s="28">
        <f>D1623*Inputs!$D$23</f>
        <v>3.1080000000000001</v>
      </c>
      <c r="E1629" s="28">
        <f>E1623*Inputs!$D$23</f>
        <v>7.7700000000000022</v>
      </c>
      <c r="F1629" s="28">
        <f>F1623*Inputs!$D$23</f>
        <v>8.5469999999999988</v>
      </c>
      <c r="G1629" s="28">
        <f>G1623*Inputs!$D$23</f>
        <v>9.7125000000000004</v>
      </c>
      <c r="H1629" s="28">
        <f>H1623*Inputs!$D$23</f>
        <v>9.7125000000000004</v>
      </c>
      <c r="I1629" s="28">
        <f>I1623*Inputs!$D$23</f>
        <v>0</v>
      </c>
      <c r="J1629" s="28">
        <f>J1623*Inputs!$D$23</f>
        <v>0</v>
      </c>
      <c r="K1629" s="28">
        <f>K1623*Inputs!$D$23</f>
        <v>0</v>
      </c>
      <c r="L1629" s="28">
        <f>L1623*Inputs!$D$23</f>
        <v>0</v>
      </c>
      <c r="M1629" s="28">
        <f>M1623*Inputs!$D$23</f>
        <v>0</v>
      </c>
    </row>
    <row r="1630" spans="1:13" ht="15" customHeight="1" x14ac:dyDescent="0.2">
      <c r="B1630" s="3" t="s">
        <v>901</v>
      </c>
      <c r="C1630" s="10" t="s">
        <v>896</v>
      </c>
      <c r="D1630" s="28">
        <f>(D1625*$D$1643*(Inputs!$D$7-Inputs!$D$19)-D1629)/(Inputs!$D$7+$D$1644)^D1618</f>
        <v>40.99699201112098</v>
      </c>
      <c r="E1630" s="28">
        <f>(E1625*$D$1643*(Inputs!$D$7-Inputs!$D$19)-E1629)/(Inputs!$D$7+$D$1644)^E1618</f>
        <v>153.02781912726542</v>
      </c>
      <c r="F1630" s="28">
        <f>(F1625*$D$1643*(Inputs!$D$7-Inputs!$D$19)-F1629)/(Inputs!$D$7+$D$1644)^F1618</f>
        <v>268.8019226843403</v>
      </c>
      <c r="G1630" s="28">
        <f>(G1625*$D$1643*(Inputs!$D$7-Inputs!$D$19)-G1629)/(Inputs!$D$7+$D$1644)^G1618</f>
        <v>363.62824610263397</v>
      </c>
      <c r="H1630" s="28">
        <f>(H1625*$D$1643*(Inputs!$D$7-Inputs!$D$19)-H1629)/(Inputs!$D$7+$D$1644)^H1618</f>
        <v>435.07807528321291</v>
      </c>
      <c r="I1630" s="28">
        <f>(I1625*$D$1643*(Inputs!$D$7-Inputs!$D$19)-I1629)/(Inputs!$D$7+$D$1644)^I1618</f>
        <v>431.49711827119876</v>
      </c>
      <c r="J1630" s="28">
        <f>(J1625*$D$1643*(Inputs!$D$7-Inputs!$D$19)-J1629)/(Inputs!$D$7+$D$1644)^J1618</f>
        <v>372.01806500733016</v>
      </c>
      <c r="K1630" s="28">
        <f>(K1625*$D$1643*(Inputs!$D$7-Inputs!$D$19)-K1629)/(Inputs!$D$7+$D$1644)^K1618</f>
        <v>320.73780989845312</v>
      </c>
      <c r="L1630" s="28">
        <f>(L1625*$D$1643*(Inputs!$D$7-Inputs!$D$19)-L1629)/(Inputs!$D$7+$D$1644)^L1618</f>
        <v>276.52620228651875</v>
      </c>
      <c r="M1630" s="28">
        <f>(M1625*$D$1643*(Inputs!$D$7-Inputs!$D$19)-M1629)/(Inputs!$D$7+$D$1644)^M1618</f>
        <v>238.31201718226143</v>
      </c>
    </row>
    <row r="1631" spans="1:13" ht="15" customHeight="1" x14ac:dyDescent="0.2">
      <c r="B1631" s="10" t="s">
        <v>902</v>
      </c>
      <c r="C1631" s="10" t="s">
        <v>110</v>
      </c>
      <c r="D1631" s="16">
        <f>(D1626*Inputs!$D$19-D1627-D1628)/(Inputs!$D$7+$D$1644)^D1618</f>
        <v>-6403.0045740313244</v>
      </c>
      <c r="E1631" s="16">
        <f>(E1626*Inputs!$D$19-E1627-E1628)/(Inputs!$D$7+$D$1644)^E1618</f>
        <v>-13349.632212764713</v>
      </c>
      <c r="F1631" s="16">
        <f>(F1626*Inputs!$D$19-F1627-F1628)/(Inputs!$D$7+$D$1644)^F1618</f>
        <v>-11808.370082432088</v>
      </c>
      <c r="G1631" s="16">
        <f>(G1626*Inputs!$D$19-G1627-G1628)/(Inputs!$D$7+$D$1644)^G1618</f>
        <v>-12397.921878440668</v>
      </c>
      <c r="H1631" s="16">
        <f>(H1626*Inputs!$D$19-H1627-H1628)/(Inputs!$D$7+$D$1644)^H1618</f>
        <v>-12082.366885213038</v>
      </c>
      <c r="I1631" s="16">
        <f>(I1626*Inputs!$D$19-I1627-I1628)/(Inputs!$D$7+$D$1644)^I1618</f>
        <v>-4657.0743222469628</v>
      </c>
      <c r="J1631" s="16">
        <f>(J1626*Inputs!$D$19-J1627-J1628)/(Inputs!$D$7+$D$1644)^J1618</f>
        <v>-4672.9398284057479</v>
      </c>
      <c r="K1631" s="16">
        <f>(K1626*Inputs!$D$19-K1627-K1628)/(Inputs!$D$7+$D$1644)^K1618</f>
        <v>-5718.9047268503064</v>
      </c>
      <c r="L1631" s="16">
        <f>(L1626*Inputs!$D$19-L1627-L1628)/(Inputs!$D$7+$D$1644)^L1618</f>
        <v>-6162.7485564592316</v>
      </c>
      <c r="M1631" s="16">
        <f>(M1626*Inputs!$D$19-M1627-M1628)/(Inputs!$D$7+$D$1644)^M1618</f>
        <v>-2572.0606903447429</v>
      </c>
    </row>
    <row r="1632" spans="1:13" ht="15" customHeight="1" x14ac:dyDescent="0.2">
      <c r="B1632" s="10" t="s">
        <v>903</v>
      </c>
      <c r="C1632" s="10" t="s">
        <v>110</v>
      </c>
      <c r="D1632" s="16">
        <f t="shared" ref="D1632:M1632" si="355">D1625*$D$1642</f>
        <v>2190.5075981362434</v>
      </c>
      <c r="E1632" s="16">
        <f t="shared" si="355"/>
        <v>9231.4990371656841</v>
      </c>
      <c r="F1632" s="16">
        <f t="shared" si="355"/>
        <v>18480.570005447182</v>
      </c>
      <c r="G1632" s="16">
        <f t="shared" si="355"/>
        <v>28830.720850905043</v>
      </c>
      <c r="H1632" s="16">
        <f t="shared" si="355"/>
        <v>39841.519622668726</v>
      </c>
      <c r="I1632" s="16">
        <f t="shared" si="355"/>
        <v>45346.919008550569</v>
      </c>
      <c r="J1632" s="16">
        <f t="shared" si="355"/>
        <v>45346.919008550569</v>
      </c>
      <c r="K1632" s="16">
        <f t="shared" si="355"/>
        <v>45346.919008550569</v>
      </c>
      <c r="L1632" s="16">
        <f t="shared" si="355"/>
        <v>45346.919008550569</v>
      </c>
      <c r="M1632" s="16">
        <f t="shared" si="355"/>
        <v>45346.919008550569</v>
      </c>
    </row>
    <row r="1633" spans="2:13" ht="15" customHeight="1" x14ac:dyDescent="0.2">
      <c r="B1633" s="10" t="s">
        <v>904</v>
      </c>
      <c r="C1633" s="10" t="s">
        <v>110</v>
      </c>
      <c r="D1633" s="16">
        <f t="shared" ref="D1633:M1633" si="356">D1632*$D$1643</f>
        <v>1971.456838322619</v>
      </c>
      <c r="E1633" s="16">
        <f t="shared" si="356"/>
        <v>8308.3491334491155</v>
      </c>
      <c r="F1633" s="16">
        <f t="shared" si="356"/>
        <v>16632.513004902463</v>
      </c>
      <c r="G1633" s="16">
        <f t="shared" si="356"/>
        <v>25947.648765814538</v>
      </c>
      <c r="H1633" s="16">
        <f t="shared" si="356"/>
        <v>35857.367660401855</v>
      </c>
      <c r="I1633" s="16">
        <f t="shared" si="356"/>
        <v>40812.227107695515</v>
      </c>
      <c r="J1633" s="16">
        <f t="shared" si="356"/>
        <v>40812.227107695515</v>
      </c>
      <c r="K1633" s="16">
        <f t="shared" si="356"/>
        <v>40812.227107695515</v>
      </c>
      <c r="L1633" s="16">
        <f t="shared" si="356"/>
        <v>40812.227107695515</v>
      </c>
      <c r="M1633" s="16">
        <f t="shared" si="356"/>
        <v>40812.227107695515</v>
      </c>
    </row>
    <row r="1634" spans="2:13" ht="15" customHeight="1" x14ac:dyDescent="0.2">
      <c r="B1634" s="10" t="s">
        <v>905</v>
      </c>
      <c r="C1634" s="10" t="s">
        <v>110</v>
      </c>
      <c r="D1634" s="16">
        <f t="shared" ref="D1634:M1634" si="357">D1633-D1626</f>
        <v>853.25334901136489</v>
      </c>
      <c r="E1634" s="16">
        <f t="shared" si="357"/>
        <v>3595.8822861690414</v>
      </c>
      <c r="F1634" s="16">
        <f t="shared" si="357"/>
        <v>7198.609245730644</v>
      </c>
      <c r="G1634" s="16">
        <f t="shared" si="357"/>
        <v>11230.23227190672</v>
      </c>
      <c r="H1634" s="16">
        <f t="shared" si="357"/>
        <v>15519.192938051485</v>
      </c>
      <c r="I1634" s="16">
        <f t="shared" si="357"/>
        <v>17663.673271123866</v>
      </c>
      <c r="J1634" s="16">
        <f t="shared" si="357"/>
        <v>17663.673271123866</v>
      </c>
      <c r="K1634" s="16">
        <f t="shared" si="357"/>
        <v>17663.673271123866</v>
      </c>
      <c r="L1634" s="16">
        <f t="shared" si="357"/>
        <v>17663.673271123866</v>
      </c>
      <c r="M1634" s="16">
        <f t="shared" si="357"/>
        <v>17663.673271123866</v>
      </c>
    </row>
    <row r="1635" spans="2:13" ht="15" customHeight="1" x14ac:dyDescent="0.2">
      <c r="B1635" s="10" t="s">
        <v>906</v>
      </c>
      <c r="C1635" s="10" t="s">
        <v>110</v>
      </c>
      <c r="D1635" s="16">
        <f>MAX(D1634,Inputs!$D$6)*Inputs!$D$19</f>
        <v>255.97600470340944</v>
      </c>
      <c r="E1635" s="16">
        <f>MAX(E1634,Inputs!$D$6)*Inputs!$D$19</f>
        <v>1078.7646858507123</v>
      </c>
      <c r="F1635" s="16">
        <f>MAX(F1634,Inputs!$D$6)*Inputs!$D$19</f>
        <v>2159.582773719193</v>
      </c>
      <c r="G1635" s="16">
        <f>MAX(G1634,Inputs!$D$6)*Inputs!$D$19</f>
        <v>3369.0696815720157</v>
      </c>
      <c r="H1635" s="16">
        <f>MAX(H1634,Inputs!$D$6)*Inputs!$D$19</f>
        <v>4655.7578814154449</v>
      </c>
      <c r="I1635" s="16">
        <f>MAX(I1634,Inputs!$D$6)*Inputs!$D$19</f>
        <v>5299.1019813371595</v>
      </c>
      <c r="J1635" s="16">
        <f>MAX(J1634,Inputs!$D$6)*Inputs!$D$19</f>
        <v>5299.1019813371595</v>
      </c>
      <c r="K1635" s="16">
        <f>MAX(K1634,Inputs!$D$6)*Inputs!$D$19</f>
        <v>5299.1019813371595</v>
      </c>
      <c r="L1635" s="16">
        <f>MAX(L1634,Inputs!$D$6)*Inputs!$D$19</f>
        <v>5299.1019813371595</v>
      </c>
      <c r="M1635" s="16">
        <f>MAX(M1634,Inputs!$D$6)*Inputs!$D$19</f>
        <v>5299.1019813371595</v>
      </c>
    </row>
    <row r="1636" spans="2:13" ht="15" customHeight="1" x14ac:dyDescent="0.2">
      <c r="B1636" s="10" t="s">
        <v>907</v>
      </c>
      <c r="C1636" s="10" t="s">
        <v>110</v>
      </c>
      <c r="D1636" s="16">
        <f t="shared" ref="D1636:M1636" si="358">D1629*$D$1642</f>
        <v>88.086390174109482</v>
      </c>
      <c r="E1636" s="16">
        <f t="shared" si="358"/>
        <v>220.21597543527378</v>
      </c>
      <c r="F1636" s="16">
        <f t="shared" si="358"/>
        <v>242.23757297880104</v>
      </c>
      <c r="G1636" s="16">
        <f t="shared" si="358"/>
        <v>275.26996929409216</v>
      </c>
      <c r="H1636" s="16">
        <f t="shared" si="358"/>
        <v>275.26996929409216</v>
      </c>
      <c r="I1636" s="16">
        <f t="shared" si="358"/>
        <v>0</v>
      </c>
      <c r="J1636" s="16">
        <f t="shared" si="358"/>
        <v>0</v>
      </c>
      <c r="K1636" s="16">
        <f t="shared" si="358"/>
        <v>0</v>
      </c>
      <c r="L1636" s="16">
        <f t="shared" si="358"/>
        <v>0</v>
      </c>
      <c r="M1636" s="16">
        <f t="shared" si="358"/>
        <v>0</v>
      </c>
    </row>
    <row r="1637" spans="2:13" ht="15" customHeight="1" x14ac:dyDescent="0.2">
      <c r="B1637" s="10" t="s">
        <v>908</v>
      </c>
      <c r="C1637" s="10" t="s">
        <v>110</v>
      </c>
      <c r="D1637" s="16">
        <f t="shared" ref="D1637:M1637" si="359">D1633-D1635-D1627-D1628-D1636</f>
        <v>-5827.4788469463047</v>
      </c>
      <c r="E1637" s="16">
        <f t="shared" si="359"/>
        <v>-11627.81475381539</v>
      </c>
      <c r="F1637" s="16">
        <f t="shared" si="359"/>
        <v>-6270.208890371895</v>
      </c>
      <c r="G1637" s="16">
        <f t="shared" si="359"/>
        <v>-3631.1747660918845</v>
      </c>
      <c r="H1637" s="16">
        <f t="shared" si="359"/>
        <v>500.36593430894135</v>
      </c>
      <c r="I1637" s="16">
        <f t="shared" si="359"/>
        <v>17689.388019082766</v>
      </c>
      <c r="J1637" s="16">
        <f t="shared" si="359"/>
        <v>15907.014308355214</v>
      </c>
      <c r="K1637" s="16">
        <f t="shared" si="359"/>
        <v>10595.448893696703</v>
      </c>
      <c r="L1637" s="16">
        <f t="shared" si="359"/>
        <v>6103.9588993536454</v>
      </c>
      <c r="M1637" s="16">
        <f t="shared" si="359"/>
        <v>17689.388019082766</v>
      </c>
    </row>
    <row r="1638" spans="2:13" ht="15" customHeight="1" x14ac:dyDescent="0.2">
      <c r="B1638" s="10" t="s">
        <v>909</v>
      </c>
      <c r="C1638" s="10" t="s">
        <v>110</v>
      </c>
      <c r="D1638" s="16">
        <f>D1637/(Inputs!$D$7+$D$1644)^D1618</f>
        <v>-5241.0750263297632</v>
      </c>
      <c r="E1638" s="16">
        <f>E1637/(Inputs!$D$7+$D$1644)^E1618</f>
        <v>-9012.5446377526914</v>
      </c>
      <c r="F1638" s="16">
        <f>F1637/(Inputs!$D$7+$D$1644)^F1618</f>
        <v>-4190.0331966136782</v>
      </c>
      <c r="G1638" s="16">
        <f>G1637/(Inputs!$D$7+$D$1644)^G1618</f>
        <v>-2092.0339876672674</v>
      </c>
      <c r="H1638" s="16">
        <f>H1637/(Inputs!$D$7+$D$1644)^H1618</f>
        <v>248.5395162019166</v>
      </c>
      <c r="I1638" s="16">
        <f>I1637/(Inputs!$D$7+$D$1644)^I1618</f>
        <v>7572.3412244199244</v>
      </c>
      <c r="J1638" s="16">
        <f>J1637/(Inputs!$D$7+$D$1644)^J1618</f>
        <v>5870.7308363474422</v>
      </c>
      <c r="K1638" s="16">
        <f>K1637/(Inputs!$D$7+$D$1644)^K1618</f>
        <v>3371.3899534278462</v>
      </c>
      <c r="L1638" s="16">
        <f>L1637/(Inputs!$D$7+$D$1644)^L1618</f>
        <v>1674.5085053087923</v>
      </c>
      <c r="M1638" s="16">
        <f>M1637/(Inputs!$D$7+$D$1644)^M1618</f>
        <v>4182.1366483604588</v>
      </c>
    </row>
    <row r="1639" spans="2:13" ht="15" customHeight="1" x14ac:dyDescent="0.2">
      <c r="B1639" s="3" t="s">
        <v>910</v>
      </c>
      <c r="C1639" s="10" t="s">
        <v>896</v>
      </c>
      <c r="D1639" s="28">
        <f>(D1625*$D$1643-D1629)/(Inputs!$D$7+$D$1644)^D1618</f>
        <v>59.765095798928819</v>
      </c>
      <c r="E1639" s="28">
        <f>(E1625*$D$1643-E1629)/(Inputs!$D$7+$D$1644)^E1618</f>
        <v>221.1922031857838</v>
      </c>
      <c r="F1639" s="28">
        <f>(F1625*$D$1643-F1629)/(Inputs!$D$7+$D$1644)^F1618</f>
        <v>386.45052664112239</v>
      </c>
      <c r="G1639" s="28">
        <f>(G1625*$D$1643-G1629)/(Inputs!$D$7+$D$1644)^G1618</f>
        <v>521.867070169518</v>
      </c>
      <c r="H1639" s="28">
        <f>(H1625*$D$1643-H1629)/(Inputs!$D$7+$D$1644)^H1618</f>
        <v>623.60768582417222</v>
      </c>
      <c r="I1639" s="28">
        <f>(I1625*$D$1643-I1629)/(Inputs!$D$7+$D$1644)^I1618</f>
        <v>616.42445467314121</v>
      </c>
      <c r="J1639" s="28">
        <f>(J1625*$D$1643-J1629)/(Inputs!$D$7+$D$1644)^J1618</f>
        <v>531.4543785819003</v>
      </c>
      <c r="K1639" s="28">
        <f>(K1625*$D$1643-K1629)/(Inputs!$D$7+$D$1644)^K1618</f>
        <v>458.19687128350449</v>
      </c>
      <c r="L1639" s="28">
        <f>(L1625*$D$1643-L1629)/(Inputs!$D$7+$D$1644)^L1618</f>
        <v>395.03743183788401</v>
      </c>
      <c r="M1639" s="28">
        <f>(M1625*$D$1643-M1629)/(Inputs!$D$7+$D$1644)^M1618</f>
        <v>340.44573883180209</v>
      </c>
    </row>
    <row r="1640" spans="2:13" ht="15" customHeight="1" x14ac:dyDescent="0.2">
      <c r="B1640" s="10" t="s">
        <v>911</v>
      </c>
      <c r="C1640" s="10" t="s">
        <v>110</v>
      </c>
      <c r="D1640" s="16">
        <f>(-D1627-D1628)/(Inputs!$D$7+$D$1644)^D1618</f>
        <v>-6704.7090607969039</v>
      </c>
      <c r="E1640" s="16">
        <f>(-E1627-E1628)/(Inputs!$D$7+$D$1644)^E1618</f>
        <v>-14445.4009031226</v>
      </c>
      <c r="F1640" s="16">
        <f>(-F1627-F1628)/(Inputs!$D$7+$D$1644)^F1618</f>
        <v>-13699.616639717549</v>
      </c>
      <c r="G1640" s="16">
        <f>(-G1627-G1628)/(Inputs!$D$7+$D$1644)^G1618</f>
        <v>-14941.671835349038</v>
      </c>
      <c r="H1640" s="16">
        <f>(-H1627-H1628)/(Inputs!$D$7+$D$1644)^H1618</f>
        <v>-15113.052884793095</v>
      </c>
      <c r="I1640" s="16">
        <f>(-I1627-I1628)/(Inputs!$D$7+$D$1644)^I1618</f>
        <v>-7629.8523795762403</v>
      </c>
      <c r="J1640" s="16">
        <f>(-J1627-J1628)/(Inputs!$D$7+$D$1644)^J1618</f>
        <v>-7235.9398897150922</v>
      </c>
      <c r="K1640" s="16">
        <f>(-K1627-K1628)/(Inputs!$D$7+$D$1644)^K1618</f>
        <v>-7928.612006570077</v>
      </c>
      <c r="L1640" s="16">
        <f>(-L1627-L1628)/(Inputs!$D$7+$D$1644)^L1618</f>
        <v>-8067.8621519509534</v>
      </c>
      <c r="M1640" s="16">
        <f>(-M1627-M1628)/(Inputs!$D$7+$D$1644)^M1618</f>
        <v>-4213.8995473821142</v>
      </c>
    </row>
    <row r="1641" spans="2:13" ht="15" customHeight="1" x14ac:dyDescent="0.2">
      <c r="B1641" s="10" t="s">
        <v>912</v>
      </c>
      <c r="C1641" s="10" t="s">
        <v>110</v>
      </c>
      <c r="D1641" s="16">
        <f>Prices!K11</f>
        <v>20328.700386874909</v>
      </c>
    </row>
    <row r="1642" spans="2:13" ht="15" customHeight="1" x14ac:dyDescent="0.2">
      <c r="B1642" s="3" t="s">
        <v>913</v>
      </c>
      <c r="C1642" s="10" t="s">
        <v>914</v>
      </c>
      <c r="D1642" s="28">
        <f>IF(J1649&gt;=J1645,J1649,(D1641-J1648)/J1647)</f>
        <v>28.341824380344107</v>
      </c>
      <c r="G1642" s="99" t="s">
        <v>915</v>
      </c>
      <c r="H1642" s="91"/>
      <c r="I1642" s="91"/>
      <c r="J1642" s="28">
        <f>D1642*Inputs!$D$15</f>
        <v>19.779759235042153</v>
      </c>
      <c r="K1642" s="99" t="s">
        <v>916</v>
      </c>
      <c r="L1642" s="91"/>
      <c r="M1642" s="91"/>
    </row>
    <row r="1643" spans="2:13" ht="15" customHeight="1" x14ac:dyDescent="0.2">
      <c r="B1643" s="10" t="s">
        <v>917</v>
      </c>
      <c r="C1643" s="10" t="s">
        <v>104</v>
      </c>
      <c r="D1643" s="30">
        <f>Inputs!$D$107</f>
        <v>0.9</v>
      </c>
      <c r="G1643" s="99" t="s">
        <v>918</v>
      </c>
      <c r="H1643" s="91"/>
      <c r="I1643" s="91"/>
      <c r="J1643" s="28">
        <f>IF(-D1654/D1653&gt;=J1645,-D1654/D1653,-J1648/J1647)</f>
        <v>24.024174528419383</v>
      </c>
      <c r="K1643" s="99" t="s">
        <v>919</v>
      </c>
      <c r="L1643" s="91"/>
      <c r="M1643" s="91"/>
    </row>
    <row r="1644" spans="2:13" ht="15" customHeight="1" x14ac:dyDescent="0.2">
      <c r="B1644" s="10" t="s">
        <v>920</v>
      </c>
      <c r="C1644" s="10" t="s">
        <v>104</v>
      </c>
      <c r="D1644" s="30">
        <f>Inputs!$D$108</f>
        <v>0.16</v>
      </c>
      <c r="G1644" s="99" t="s">
        <v>918</v>
      </c>
      <c r="H1644" s="91"/>
      <c r="I1644" s="91"/>
      <c r="J1644" s="28">
        <f>J1643*Inputs!$D$15</f>
        <v>16.766471403383886</v>
      </c>
      <c r="K1644" s="99" t="s">
        <v>916</v>
      </c>
      <c r="L1644" s="91"/>
      <c r="M1644" s="91"/>
    </row>
    <row r="1645" spans="2:13" ht="15" customHeight="1" x14ac:dyDescent="0.2">
      <c r="B1645" s="3" t="s">
        <v>921</v>
      </c>
      <c r="C1645" s="10" t="s">
        <v>848</v>
      </c>
      <c r="D1645" s="28">
        <f>Capital!$D$13</f>
        <v>57.347931490590682</v>
      </c>
      <c r="G1645" s="99" t="s">
        <v>922</v>
      </c>
      <c r="H1645" s="91"/>
      <c r="I1645" s="91"/>
      <c r="J1645" s="28">
        <f>($D$1645/Inputs!$D$21+$D$1646/Inputs!$D$22)/$D$1643</f>
        <v>16.07538460873031</v>
      </c>
      <c r="K1645" s="99" t="s">
        <v>919</v>
      </c>
      <c r="L1645" s="91"/>
      <c r="M1645" s="91"/>
    </row>
    <row r="1646" spans="2:13" ht="15" customHeight="1" x14ac:dyDescent="0.2">
      <c r="B1646" s="3" t="s">
        <v>923</v>
      </c>
      <c r="C1646" s="10" t="s">
        <v>848</v>
      </c>
      <c r="D1646" s="28">
        <f>Capital!$D$14</f>
        <v>2.6172655041921802</v>
      </c>
    </row>
    <row r="1647" spans="2:13" ht="15" customHeight="1" x14ac:dyDescent="0.2">
      <c r="B1647" s="10" t="s">
        <v>924</v>
      </c>
      <c r="C1647" s="10" t="s">
        <v>896</v>
      </c>
      <c r="D1647" s="28">
        <f>(M1620*(Inputs!$D$7+Inputs!$D$20)*$D$1643*(Inputs!$D$7-Inputs!$D$19)-M1620*Inputs!$D$20*Inputs!$D$23)/($D$1644-Inputs!$D$20)/(Inputs!$D$7+$D$1644)^M1618</f>
        <v>1807.6547922951956</v>
      </c>
      <c r="G1647" s="92" t="s">
        <v>910</v>
      </c>
      <c r="H1647" s="91"/>
      <c r="I1647" s="91"/>
      <c r="J1647" s="28">
        <f>SUM(D1639:M1639)+(M1620*(Inputs!$D$7+Inputs!$D$20)*$D$1643-M1620*Inputs!$D$20*Inputs!$D$23)/($D$1644-Inputs!$D$20)/(Inputs!$D$7+$D$1644)^M1618</f>
        <v>6737.5559875731687</v>
      </c>
      <c r="K1647" s="99" t="s">
        <v>896</v>
      </c>
      <c r="L1647" s="91"/>
      <c r="M1647" s="91"/>
    </row>
    <row r="1648" spans="2:13" ht="15" customHeight="1" x14ac:dyDescent="0.2">
      <c r="B1648" s="10" t="s">
        <v>925</v>
      </c>
      <c r="C1648" s="10" t="s">
        <v>110</v>
      </c>
      <c r="D1648" s="16">
        <f>(D1651*Inputs!$D$19-D1651-D1652)/($D$1644-Inputs!$D$20)/(Inputs!$D$7+$D$1644)^M1618</f>
        <v>-33287.494112345899</v>
      </c>
      <c r="G1648" s="92" t="s">
        <v>926</v>
      </c>
      <c r="H1648" s="91"/>
      <c r="I1648" s="91"/>
      <c r="J1648" s="16">
        <f>SUM(D1640:M1640)-(D1651+D1652)/($D$1644-Inputs!$D$20)/(Inputs!$D$7+$D$1644)^M1618</f>
        <v>-145733.9249554922</v>
      </c>
      <c r="K1648" s="99" t="s">
        <v>110</v>
      </c>
      <c r="L1648" s="91"/>
      <c r="M1648" s="91"/>
    </row>
    <row r="1649" spans="1:13" ht="15" customHeight="1" x14ac:dyDescent="0.2">
      <c r="B1649" s="10" t="s">
        <v>927</v>
      </c>
      <c r="C1649" s="10" t="s">
        <v>928</v>
      </c>
      <c r="D1649" s="16">
        <f>(M1620*(Inputs!$D$7+Inputs!$D$20)*$D$1642*$D$1643-D1651)-MAX((M1620*(Inputs!$D$7+Inputs!$D$20)*$D$1642*$D$1643-D1651),Inputs!$D$6)*Inputs!$D$19-D1652-M1620*Inputs!$D$20*$D$1642*Inputs!$D$23</f>
        <v>10246.735867859714</v>
      </c>
      <c r="G1649" s="99" t="s">
        <v>929</v>
      </c>
      <c r="H1649" s="91"/>
      <c r="I1649" s="91"/>
      <c r="J1649" s="28">
        <f>(D1641-D1654)/D1653</f>
        <v>28.341824380344107</v>
      </c>
      <c r="K1649" s="99" t="s">
        <v>919</v>
      </c>
      <c r="L1649" s="91"/>
      <c r="M1649" s="91"/>
    </row>
    <row r="1650" spans="1:13" ht="15" customHeight="1" x14ac:dyDescent="0.2">
      <c r="B1650" s="10" t="s">
        <v>930</v>
      </c>
      <c r="C1650" s="10" t="s">
        <v>110</v>
      </c>
      <c r="D1650" s="16">
        <f>D1649/($D$1644-Inputs!$D$20)</f>
        <v>75901.747169331211</v>
      </c>
      <c r="G1650" s="99" t="s">
        <v>931</v>
      </c>
      <c r="H1650" s="91"/>
      <c r="I1650" s="91"/>
      <c r="J1650" s="16">
        <f>MIN(D1634:M1634,(M1620*(Inputs!$D$7+Inputs!$D$20)*$D$1642*$D$1643-D1651))</f>
        <v>853.25334901136489</v>
      </c>
      <c r="K1650" s="99" t="s">
        <v>110</v>
      </c>
      <c r="L1650" s="91"/>
      <c r="M1650" s="91"/>
    </row>
    <row r="1651" spans="1:13" ht="15" customHeight="1" x14ac:dyDescent="0.2">
      <c r="B1651" s="10" t="s">
        <v>932</v>
      </c>
      <c r="C1651" s="10" t="s">
        <v>928</v>
      </c>
      <c r="D1651" s="16">
        <f>M1620*(Inputs!$D$7+Inputs!$D$20)*($D$1645/Inputs!$D$21+$D$1646/Inputs!$D$22)</f>
        <v>23727.267682485937</v>
      </c>
      <c r="G1651" s="99" t="s">
        <v>933</v>
      </c>
      <c r="H1651" s="91"/>
      <c r="I1651" s="91"/>
      <c r="J1651" s="31" t="str">
        <f>IF(J1650&lt;Inputs!$D$6,"breached","satisfied")</f>
        <v>satisfied</v>
      </c>
      <c r="K1651" s="99" t="s">
        <v>934</v>
      </c>
      <c r="L1651" s="91"/>
      <c r="M1651" s="91"/>
    </row>
    <row r="1652" spans="1:13" ht="15" customHeight="1" x14ac:dyDescent="0.2">
      <c r="B1652" s="10" t="s">
        <v>935</v>
      </c>
      <c r="C1652" s="10" t="s">
        <v>928</v>
      </c>
      <c r="D1652" s="16">
        <f>M1620*Inputs!$D$20*($D$1645+$D$1646)</f>
        <v>2398.6078797913146</v>
      </c>
    </row>
    <row r="1653" spans="1:13" ht="15" customHeight="1" x14ac:dyDescent="0.2">
      <c r="B1653" s="10" t="s">
        <v>936</v>
      </c>
      <c r="C1653" s="10" t="s">
        <v>896</v>
      </c>
      <c r="D1653" s="28">
        <f>SUM(D1630:M1630)+D1647</f>
        <v>4708.2790601495317</v>
      </c>
      <c r="G1653" s="99" t="s">
        <v>937</v>
      </c>
      <c r="H1653" s="91"/>
      <c r="I1653" s="91"/>
      <c r="J1653" s="16">
        <f>D1655-D1641</f>
        <v>0</v>
      </c>
      <c r="K1653" s="99" t="s">
        <v>110</v>
      </c>
      <c r="L1653" s="91"/>
      <c r="M1653" s="91"/>
    </row>
    <row r="1654" spans="1:13" ht="15" customHeight="1" x14ac:dyDescent="0.2">
      <c r="B1654" s="10" t="s">
        <v>938</v>
      </c>
      <c r="C1654" s="10" t="s">
        <v>110</v>
      </c>
      <c r="D1654" s="16">
        <f>SUM(D1631:M1631)+D1648</f>
        <v>-113112.51786953473</v>
      </c>
    </row>
    <row r="1655" spans="1:13" ht="15" customHeight="1" x14ac:dyDescent="0.2">
      <c r="B1655" s="10" t="s">
        <v>939</v>
      </c>
      <c r="C1655" s="10" t="s">
        <v>110</v>
      </c>
      <c r="D1655" s="16">
        <f>SUM(D1638:M1638)+D1650/(Inputs!$D$7+$D$1644)^M1618</f>
        <v>20328.700386874931</v>
      </c>
    </row>
    <row r="1656" spans="1:13" ht="15" customHeight="1" x14ac:dyDescent="0.2">
      <c r="B1656" s="10" t="s">
        <v>940</v>
      </c>
      <c r="C1656" s="10" t="s">
        <v>104</v>
      </c>
      <c r="D1656" s="30">
        <f>IF(ABS(D1641)&gt;Inputs!$D$6,D1655/D1641-Inputs!$D$7,Inputs!$D$6)</f>
        <v>1.1102230246251565E-15</v>
      </c>
    </row>
    <row r="1657" spans="1:13" ht="15" customHeight="1" x14ac:dyDescent="0.2">
      <c r="B1657" s="10" t="s">
        <v>941</v>
      </c>
      <c r="C1657" s="10" t="s">
        <v>104</v>
      </c>
      <c r="D1657" s="30">
        <f>IF(ABS(D1655)&gt;Inputs!$D$119,D1650/(Inputs!$D$7+$D$1644)^M1618/D1655,Inputs!$D$6)</f>
        <v>0.88272935355758564</v>
      </c>
    </row>
    <row r="1658" spans="1:13" ht="15" customHeight="1" x14ac:dyDescent="0.2">
      <c r="B1658" s="10" t="s">
        <v>942</v>
      </c>
      <c r="C1658" s="10" t="s">
        <v>943</v>
      </c>
      <c r="D1658" s="26">
        <f>$D$1642*Inputs!$D$8/Prices!$P$6/(Inputs!$D$26/Inputs!$D$25)/Inputs!$D$11/Inputs!$D$56</f>
        <v>5.1540468524901382</v>
      </c>
    </row>
    <row r="1662" spans="1:13" ht="15" customHeight="1" x14ac:dyDescent="0.2">
      <c r="A1662" s="104" t="s">
        <v>979</v>
      </c>
      <c r="B1662" s="10" t="s">
        <v>886</v>
      </c>
      <c r="C1662" s="10" t="s">
        <v>107</v>
      </c>
      <c r="D1662" s="28">
        <f>Inputs!$D$60</f>
        <v>1</v>
      </c>
      <c r="E1662" s="28">
        <f>Inputs!$D$62</f>
        <v>2</v>
      </c>
      <c r="F1662" s="28">
        <f>Inputs!$D$64</f>
        <v>3</v>
      </c>
      <c r="G1662" s="28">
        <f>Inputs!$D$66</f>
        <v>4</v>
      </c>
      <c r="H1662" s="28">
        <f>Inputs!$D$68</f>
        <v>5</v>
      </c>
      <c r="I1662" s="28">
        <f>Inputs!$D$70</f>
        <v>6</v>
      </c>
      <c r="J1662" s="28">
        <f>Inputs!$D$72</f>
        <v>7</v>
      </c>
      <c r="K1662" s="28">
        <f>Inputs!$D$74</f>
        <v>8</v>
      </c>
      <c r="L1662" s="28">
        <f>Inputs!$D$76</f>
        <v>9</v>
      </c>
      <c r="M1662" s="28">
        <f>Inputs!$D$78</f>
        <v>10</v>
      </c>
    </row>
    <row r="1663" spans="1:13" ht="15" customHeight="1" x14ac:dyDescent="0.2">
      <c r="A1663" s="91"/>
      <c r="B1663" s="10" t="s">
        <v>887</v>
      </c>
      <c r="C1663" s="10" t="s">
        <v>161</v>
      </c>
      <c r="D1663" s="29">
        <f>Inputs!$D$61</f>
        <v>46568</v>
      </c>
      <c r="E1663" s="29">
        <f>Inputs!$D$63</f>
        <v>46934</v>
      </c>
      <c r="F1663" s="29">
        <f>Inputs!$D$65</f>
        <v>47299</v>
      </c>
      <c r="G1663" s="29">
        <f>Inputs!$D$67</f>
        <v>47664</v>
      </c>
      <c r="H1663" s="29">
        <f>Inputs!$D$69</f>
        <v>48029</v>
      </c>
      <c r="I1663" s="29">
        <f>Inputs!$D$71</f>
        <v>48395</v>
      </c>
      <c r="J1663" s="29">
        <f>Inputs!$D$73</f>
        <v>48760</v>
      </c>
      <c r="K1663" s="29">
        <f>Inputs!$D$75</f>
        <v>49125</v>
      </c>
      <c r="L1663" s="29">
        <f>Inputs!$D$77</f>
        <v>49490</v>
      </c>
      <c r="M1663" s="29">
        <f>Inputs!$D$79</f>
        <v>49856</v>
      </c>
    </row>
    <row r="1664" spans="1:13" ht="15" customHeight="1" x14ac:dyDescent="0.2">
      <c r="A1664" s="91"/>
      <c r="B1664" s="10" t="s">
        <v>888</v>
      </c>
      <c r="C1664" s="10" t="s">
        <v>107</v>
      </c>
      <c r="D1664" s="28">
        <f>(D1663-Inputs!$D$13)/Inputs!$D$10</f>
        <v>0.71457905544147848</v>
      </c>
      <c r="E1664" s="28">
        <f>(E1663-Inputs!$D$13)/Inputs!$D$10</f>
        <v>1.7166324435318274</v>
      </c>
      <c r="F1664" s="28">
        <f>(F1663-Inputs!$D$13)/Inputs!$D$10</f>
        <v>2.7159479808350446</v>
      </c>
      <c r="G1664" s="28">
        <f>(G1663-Inputs!$D$13)/Inputs!$D$10</f>
        <v>3.7152635181382614</v>
      </c>
      <c r="H1664" s="28">
        <f>(H1663-Inputs!$D$13)/Inputs!$D$10</f>
        <v>4.7145790554414786</v>
      </c>
      <c r="I1664" s="28">
        <f>(I1663-Inputs!$D$13)/Inputs!$D$10</f>
        <v>5.7166324435318279</v>
      </c>
      <c r="J1664" s="28">
        <f>(J1663-Inputs!$D$13)/Inputs!$D$10</f>
        <v>6.7159479808350442</v>
      </c>
      <c r="K1664" s="28">
        <f>(K1663-Inputs!$D$13)/Inputs!$D$10</f>
        <v>7.7152635181382614</v>
      </c>
      <c r="L1664" s="28">
        <f>(L1663-Inputs!$D$13)/Inputs!$D$10</f>
        <v>8.7145790554414777</v>
      </c>
      <c r="M1664" s="28">
        <f>(M1663-Inputs!$D$13)/Inputs!$D$10</f>
        <v>9.716632443531827</v>
      </c>
    </row>
    <row r="1665" spans="1:13" ht="15" customHeight="1" x14ac:dyDescent="0.2">
      <c r="A1665" s="91"/>
      <c r="B1665" s="10" t="s">
        <v>889</v>
      </c>
      <c r="C1665" s="10" t="s">
        <v>107</v>
      </c>
      <c r="D1665" s="28">
        <f>D1664</f>
        <v>0.71457905544147848</v>
      </c>
      <c r="E1665" s="28">
        <f>Inputs!$D$7</f>
        <v>1</v>
      </c>
      <c r="F1665" s="28">
        <f>Inputs!$D$7</f>
        <v>1</v>
      </c>
      <c r="G1665" s="28">
        <f>Inputs!$D$7</f>
        <v>1</v>
      </c>
      <c r="H1665" s="28">
        <f>Inputs!$D$7</f>
        <v>1</v>
      </c>
      <c r="I1665" s="28">
        <f>Inputs!$D$7</f>
        <v>1</v>
      </c>
      <c r="J1665" s="28">
        <f>Inputs!$D$7</f>
        <v>1</v>
      </c>
      <c r="K1665" s="28">
        <f>Inputs!$D$7</f>
        <v>1</v>
      </c>
      <c r="L1665" s="28">
        <f>Inputs!$D$7</f>
        <v>1</v>
      </c>
      <c r="M1665" s="28">
        <f>Inputs!$D$7</f>
        <v>1</v>
      </c>
    </row>
    <row r="1666" spans="1:13" ht="15" customHeight="1" x14ac:dyDescent="0.2">
      <c r="A1666" s="91"/>
      <c r="B1666" s="3" t="s">
        <v>890</v>
      </c>
      <c r="C1666" s="10" t="s">
        <v>199</v>
      </c>
      <c r="D1666" s="28">
        <f>Inputs!$D$24+(Inputs!$D$80-Inputs!$D$24)*Inputs!$D$83</f>
        <v>305.5</v>
      </c>
      <c r="E1666" s="28">
        <f>Inputs!$D$24+(Inputs!$D$80-Inputs!$D$24)*Inputs!$D$84</f>
        <v>651.5</v>
      </c>
      <c r="F1666" s="28">
        <f>Inputs!$D$24+(Inputs!$D$80-Inputs!$D$24)*Inputs!$D$85</f>
        <v>911</v>
      </c>
      <c r="G1666" s="28">
        <f>Inputs!$D$24+(Inputs!$D$80-Inputs!$D$24)*Inputs!$D$86</f>
        <v>911</v>
      </c>
      <c r="H1666" s="28">
        <f>Inputs!$D$24+(Inputs!$D$80-Inputs!$D$24)*Inputs!$D$87</f>
        <v>911</v>
      </c>
      <c r="I1666" s="28">
        <f>Inputs!$D$24+(Inputs!$D$80-Inputs!$D$24)*Inputs!$D$88</f>
        <v>911</v>
      </c>
      <c r="J1666" s="28">
        <f>Inputs!$D$24+(Inputs!$D$80-Inputs!$D$24)*Inputs!$D$89</f>
        <v>911</v>
      </c>
      <c r="K1666" s="28">
        <f>Inputs!$D$24+(Inputs!$D$80-Inputs!$D$24)*Inputs!$D$90</f>
        <v>911</v>
      </c>
      <c r="L1666" s="28">
        <f>Inputs!$D$24+(Inputs!$D$80-Inputs!$D$24)*Inputs!$D$91</f>
        <v>911</v>
      </c>
      <c r="M1666" s="28">
        <f>Inputs!$D$24+(Inputs!$D$80-Inputs!$D$24)*Inputs!$D$92</f>
        <v>911</v>
      </c>
    </row>
    <row r="1667" spans="1:13" ht="15" customHeight="1" x14ac:dyDescent="0.2">
      <c r="A1667" s="91"/>
      <c r="B1667" s="10" t="s">
        <v>891</v>
      </c>
      <c r="C1667" s="10" t="s">
        <v>199</v>
      </c>
      <c r="D1667" s="28">
        <f>Inputs!$D$24</f>
        <v>46</v>
      </c>
      <c r="E1667" s="28">
        <f t="shared" ref="E1667:M1667" si="360">D1666</f>
        <v>305.5</v>
      </c>
      <c r="F1667" s="28">
        <f t="shared" si="360"/>
        <v>651.5</v>
      </c>
      <c r="G1667" s="28">
        <f t="shared" si="360"/>
        <v>911</v>
      </c>
      <c r="H1667" s="28">
        <f t="shared" si="360"/>
        <v>911</v>
      </c>
      <c r="I1667" s="28">
        <f t="shared" si="360"/>
        <v>911</v>
      </c>
      <c r="J1667" s="28">
        <f t="shared" si="360"/>
        <v>911</v>
      </c>
      <c r="K1667" s="28">
        <f t="shared" si="360"/>
        <v>911</v>
      </c>
      <c r="L1667" s="28">
        <f t="shared" si="360"/>
        <v>911</v>
      </c>
      <c r="M1667" s="28">
        <f t="shared" si="360"/>
        <v>911</v>
      </c>
    </row>
    <row r="1668" spans="1:13" ht="15" customHeight="1" x14ac:dyDescent="0.2">
      <c r="B1668" s="10" t="s">
        <v>892</v>
      </c>
      <c r="C1668" s="10" t="s">
        <v>199</v>
      </c>
      <c r="D1668" s="28">
        <f>(D1667+D1666)*Inputs!$D$12</f>
        <v>175.75</v>
      </c>
      <c r="E1668" s="28">
        <f>(E1667+E1666)*Inputs!$D$12</f>
        <v>478.5</v>
      </c>
      <c r="F1668" s="28">
        <f>(F1667+F1666)*Inputs!$D$12</f>
        <v>781.25</v>
      </c>
      <c r="G1668" s="28">
        <f>(G1667+G1666)*Inputs!$D$12</f>
        <v>911</v>
      </c>
      <c r="H1668" s="28">
        <f>(H1667+H1666)*Inputs!$D$12</f>
        <v>911</v>
      </c>
      <c r="I1668" s="28">
        <f>(I1667+I1666)*Inputs!$D$12</f>
        <v>911</v>
      </c>
      <c r="J1668" s="28">
        <f>(J1667+J1666)*Inputs!$D$12</f>
        <v>911</v>
      </c>
      <c r="K1668" s="28">
        <f>(K1667+K1666)*Inputs!$D$12</f>
        <v>911</v>
      </c>
      <c r="L1668" s="28">
        <f>(L1667+L1666)*Inputs!$D$12</f>
        <v>911</v>
      </c>
      <c r="M1668" s="28">
        <f>(M1667+M1666)*Inputs!$D$12</f>
        <v>911</v>
      </c>
    </row>
    <row r="1669" spans="1:13" ht="15" customHeight="1" x14ac:dyDescent="0.2">
      <c r="B1669" s="10" t="s">
        <v>893</v>
      </c>
      <c r="C1669" s="10" t="s">
        <v>199</v>
      </c>
      <c r="D1669" s="28">
        <f t="shared" ref="D1669:M1669" si="361">D1666-D1667</f>
        <v>259.5</v>
      </c>
      <c r="E1669" s="28">
        <f t="shared" si="361"/>
        <v>346</v>
      </c>
      <c r="F1669" s="28">
        <f t="shared" si="361"/>
        <v>259.5</v>
      </c>
      <c r="G1669" s="28">
        <f t="shared" si="361"/>
        <v>0</v>
      </c>
      <c r="H1669" s="28">
        <f t="shared" si="361"/>
        <v>0</v>
      </c>
      <c r="I1669" s="28">
        <f t="shared" si="361"/>
        <v>0</v>
      </c>
      <c r="J1669" s="28">
        <f t="shared" si="361"/>
        <v>0</v>
      </c>
      <c r="K1669" s="28">
        <f t="shared" si="361"/>
        <v>0</v>
      </c>
      <c r="L1669" s="28">
        <f t="shared" si="361"/>
        <v>0</v>
      </c>
      <c r="M1669" s="28">
        <f t="shared" si="361"/>
        <v>0</v>
      </c>
    </row>
    <row r="1670" spans="1:13" ht="15" customHeight="1" x14ac:dyDescent="0.2">
      <c r="B1670" s="10" t="s">
        <v>894</v>
      </c>
      <c r="C1670" s="10" t="s">
        <v>199</v>
      </c>
      <c r="D1670" s="28">
        <f>IF(MOD(D1662,Inputs!$D$21)=Inputs!$D$6,Inputs!$D$24,Inputs!$D$6)+SUMPRODUCT(--(D1662&gt;$D$1662:$M$1662),--(MOD(D1662-$D$1662:$M$1662,Inputs!$D$21)=Inputs!$D$6),$D$1669:$M$1669)</f>
        <v>0</v>
      </c>
      <c r="E1670" s="28">
        <f>IF(MOD(E1662,Inputs!$D$21)=Inputs!$D$6,Inputs!$D$24,Inputs!$D$6)+SUMPRODUCT(--(E1662&gt;$D$1662:$M$1662),--(MOD(E1662-$D$1662:$M$1662,Inputs!$D$21)=Inputs!$D$6),$D$1669:$M$1669)</f>
        <v>0</v>
      </c>
      <c r="F1670" s="28">
        <f>IF(MOD(F1662,Inputs!$D$21)=Inputs!$D$6,Inputs!$D$24,Inputs!$D$6)+SUMPRODUCT(--(F1662&gt;$D$1662:$M$1662),--(MOD(F1662-$D$1662:$M$1662,Inputs!$D$21)=Inputs!$D$6),$D$1669:$M$1669)</f>
        <v>0</v>
      </c>
      <c r="G1670" s="28">
        <f>IF(MOD(G1662,Inputs!$D$21)=Inputs!$D$6,Inputs!$D$24,Inputs!$D$6)+SUMPRODUCT(--(G1662&gt;$D$1662:$M$1662),--(MOD(G1662-$D$1662:$M$1662,Inputs!$D$21)=Inputs!$D$6),$D$1669:$M$1669)</f>
        <v>46</v>
      </c>
      <c r="H1670" s="28">
        <f>IF(MOD(H1662,Inputs!$D$21)=Inputs!$D$6,Inputs!$D$24,Inputs!$D$6)+SUMPRODUCT(--(H1662&gt;$D$1662:$M$1662),--(MOD(H1662-$D$1662:$M$1662,Inputs!$D$21)=Inputs!$D$6),$D$1669:$M$1669)</f>
        <v>259.5</v>
      </c>
      <c r="I1670" s="28">
        <f>IF(MOD(I1662,Inputs!$D$21)=Inputs!$D$6,Inputs!$D$24,Inputs!$D$6)+SUMPRODUCT(--(I1662&gt;$D$1662:$M$1662),--(MOD(I1662-$D$1662:$M$1662,Inputs!$D$21)=Inputs!$D$6),$D$1669:$M$1669)</f>
        <v>346</v>
      </c>
      <c r="J1670" s="28">
        <f>IF(MOD(J1662,Inputs!$D$21)=Inputs!$D$6,Inputs!$D$24,Inputs!$D$6)+SUMPRODUCT(--(J1662&gt;$D$1662:$M$1662),--(MOD(J1662-$D$1662:$M$1662,Inputs!$D$21)=Inputs!$D$6),$D$1669:$M$1669)</f>
        <v>259.5</v>
      </c>
      <c r="K1670" s="28">
        <f>IF(MOD(K1662,Inputs!$D$21)=Inputs!$D$6,Inputs!$D$24,Inputs!$D$6)+SUMPRODUCT(--(K1662&gt;$D$1662:$M$1662),--(MOD(K1662-$D$1662:$M$1662,Inputs!$D$21)=Inputs!$D$6),$D$1669:$M$1669)</f>
        <v>46</v>
      </c>
      <c r="L1670" s="28">
        <f>IF(MOD(L1662,Inputs!$D$21)=Inputs!$D$6,Inputs!$D$24,Inputs!$D$6)+SUMPRODUCT(--(L1662&gt;$D$1662:$M$1662),--(MOD(L1662-$D$1662:$M$1662,Inputs!$D$21)=Inputs!$D$6),$D$1669:$M$1669)</f>
        <v>259.5</v>
      </c>
      <c r="M1670" s="28">
        <f>IF(MOD(M1662,Inputs!$D$21)=Inputs!$D$6,Inputs!$D$24,Inputs!$D$6)+SUMPRODUCT(--(M1662&gt;$D$1662:$M$1662),--(MOD(M1662-$D$1662:$M$1662,Inputs!$D$21)=Inputs!$D$6),$D$1669:$M$1669)</f>
        <v>346</v>
      </c>
    </row>
    <row r="1671" spans="1:13" ht="15" customHeight="1" x14ac:dyDescent="0.2">
      <c r="B1671" s="10" t="s">
        <v>895</v>
      </c>
      <c r="C1671" s="10" t="s">
        <v>896</v>
      </c>
      <c r="D1671" s="28">
        <f t="shared" ref="D1671:M1671" si="362">D1668*D1665</f>
        <v>125.58726899383984</v>
      </c>
      <c r="E1671" s="28">
        <f t="shared" si="362"/>
        <v>478.5</v>
      </c>
      <c r="F1671" s="28">
        <f t="shared" si="362"/>
        <v>781.25</v>
      </c>
      <c r="G1671" s="28">
        <f t="shared" si="362"/>
        <v>911</v>
      </c>
      <c r="H1671" s="28">
        <f t="shared" si="362"/>
        <v>911</v>
      </c>
      <c r="I1671" s="28">
        <f t="shared" si="362"/>
        <v>911</v>
      </c>
      <c r="J1671" s="28">
        <f t="shared" si="362"/>
        <v>911</v>
      </c>
      <c r="K1671" s="28">
        <f t="shared" si="362"/>
        <v>911</v>
      </c>
      <c r="L1671" s="28">
        <f t="shared" si="362"/>
        <v>911</v>
      </c>
      <c r="M1671" s="28">
        <f t="shared" si="362"/>
        <v>911</v>
      </c>
    </row>
    <row r="1672" spans="1:13" ht="15" customHeight="1" x14ac:dyDescent="0.2">
      <c r="B1672" s="10" t="s">
        <v>897</v>
      </c>
      <c r="C1672" s="10" t="s">
        <v>110</v>
      </c>
      <c r="D1672" s="16">
        <f>D1671*($D$1691/Inputs!$D$21+$D$1692/Inputs!$D$22)</f>
        <v>1816.9772859324419</v>
      </c>
      <c r="E1672" s="16">
        <f>E1671*($D$1691/Inputs!$D$21+$D$1692/Inputs!$D$22)</f>
        <v>6922.8643817497086</v>
      </c>
      <c r="F1672" s="16">
        <f>F1671*($D$1691/Inputs!$D$21+$D$1692/Inputs!$D$22)</f>
        <v>11303.0048030135</v>
      </c>
      <c r="G1672" s="16">
        <f>G1671*($D$1691/Inputs!$D$21+$D$1692/Inputs!$D$22)</f>
        <v>13180.207840697982</v>
      </c>
      <c r="H1672" s="16">
        <f>H1671*($D$1691/Inputs!$D$21+$D$1692/Inputs!$D$22)</f>
        <v>13180.207840697982</v>
      </c>
      <c r="I1672" s="16">
        <f>I1671*($D$1691/Inputs!$D$21+$D$1692/Inputs!$D$22)</f>
        <v>13180.207840697982</v>
      </c>
      <c r="J1672" s="16">
        <f>J1671*($D$1691/Inputs!$D$21+$D$1692/Inputs!$D$22)</f>
        <v>13180.207840697982</v>
      </c>
      <c r="K1672" s="16">
        <f>K1671*($D$1691/Inputs!$D$21+$D$1692/Inputs!$D$22)</f>
        <v>13180.207840697982</v>
      </c>
      <c r="L1672" s="16">
        <f>L1671*($D$1691/Inputs!$D$21+$D$1692/Inputs!$D$22)</f>
        <v>13180.207840697982</v>
      </c>
      <c r="M1672" s="16">
        <f>M1671*($D$1691/Inputs!$D$21+$D$1692/Inputs!$D$22)</f>
        <v>13180.207840697982</v>
      </c>
    </row>
    <row r="1673" spans="1:13" ht="15" customHeight="1" x14ac:dyDescent="0.2">
      <c r="B1673" s="10" t="s">
        <v>898</v>
      </c>
      <c r="C1673" s="10" t="s">
        <v>110</v>
      </c>
      <c r="D1673" s="16">
        <f t="shared" ref="D1673:M1673" si="363">D1669*($D$1691+$D$1692)</f>
        <v>15560.968620146154</v>
      </c>
      <c r="E1673" s="16">
        <f t="shared" si="363"/>
        <v>20747.95816019487</v>
      </c>
      <c r="F1673" s="16">
        <f t="shared" si="363"/>
        <v>15560.968620146154</v>
      </c>
      <c r="G1673" s="16">
        <f t="shared" si="363"/>
        <v>0</v>
      </c>
      <c r="H1673" s="16">
        <f t="shared" si="363"/>
        <v>0</v>
      </c>
      <c r="I1673" s="16">
        <f t="shared" si="363"/>
        <v>0</v>
      </c>
      <c r="J1673" s="16">
        <f t="shared" si="363"/>
        <v>0</v>
      </c>
      <c r="K1673" s="16">
        <f t="shared" si="363"/>
        <v>0</v>
      </c>
      <c r="L1673" s="16">
        <f t="shared" si="363"/>
        <v>0</v>
      </c>
      <c r="M1673" s="16">
        <f t="shared" si="363"/>
        <v>0</v>
      </c>
    </row>
    <row r="1674" spans="1:13" ht="15" customHeight="1" x14ac:dyDescent="0.2">
      <c r="B1674" s="10" t="s">
        <v>899</v>
      </c>
      <c r="C1674" s="10" t="s">
        <v>110</v>
      </c>
      <c r="D1674" s="16">
        <f t="shared" ref="D1674:M1674" si="364">D1670*$D$1691</f>
        <v>0</v>
      </c>
      <c r="E1674" s="16">
        <f t="shared" si="364"/>
        <v>0</v>
      </c>
      <c r="F1674" s="16">
        <f t="shared" si="364"/>
        <v>0</v>
      </c>
      <c r="G1674" s="16">
        <f t="shared" si="364"/>
        <v>2638.0048485671714</v>
      </c>
      <c r="H1674" s="16">
        <f t="shared" si="364"/>
        <v>14881.788221808281</v>
      </c>
      <c r="I1674" s="16">
        <f t="shared" si="364"/>
        <v>19842.384295744378</v>
      </c>
      <c r="J1674" s="16">
        <f t="shared" si="364"/>
        <v>14881.788221808281</v>
      </c>
      <c r="K1674" s="16">
        <f t="shared" si="364"/>
        <v>2638.0048485671714</v>
      </c>
      <c r="L1674" s="16">
        <f t="shared" si="364"/>
        <v>14881.788221808281</v>
      </c>
      <c r="M1674" s="16">
        <f t="shared" si="364"/>
        <v>19842.384295744378</v>
      </c>
    </row>
    <row r="1675" spans="1:13" ht="15" customHeight="1" x14ac:dyDescent="0.2">
      <c r="B1675" s="10" t="s">
        <v>900</v>
      </c>
      <c r="C1675" s="10" t="s">
        <v>199</v>
      </c>
      <c r="D1675" s="28">
        <f>D1669*Inputs!$D$23</f>
        <v>6.4875000000000007</v>
      </c>
      <c r="E1675" s="28">
        <f>E1669*Inputs!$D$23</f>
        <v>8.65</v>
      </c>
      <c r="F1675" s="28">
        <f>F1669*Inputs!$D$23</f>
        <v>6.4875000000000007</v>
      </c>
      <c r="G1675" s="28">
        <f>G1669*Inputs!$D$23</f>
        <v>0</v>
      </c>
      <c r="H1675" s="28">
        <f>H1669*Inputs!$D$23</f>
        <v>0</v>
      </c>
      <c r="I1675" s="28">
        <f>I1669*Inputs!$D$23</f>
        <v>0</v>
      </c>
      <c r="J1675" s="28">
        <f>J1669*Inputs!$D$23</f>
        <v>0</v>
      </c>
      <c r="K1675" s="28">
        <f>K1669*Inputs!$D$23</f>
        <v>0</v>
      </c>
      <c r="L1675" s="28">
        <f>L1669*Inputs!$D$23</f>
        <v>0</v>
      </c>
      <c r="M1675" s="28">
        <f>M1669*Inputs!$D$23</f>
        <v>0</v>
      </c>
    </row>
    <row r="1676" spans="1:13" ht="15" customHeight="1" x14ac:dyDescent="0.2">
      <c r="B1676" s="3" t="s">
        <v>901</v>
      </c>
      <c r="C1676" s="10" t="s">
        <v>896</v>
      </c>
      <c r="D1676" s="28">
        <f>(D1671*$D$1689*(Inputs!$D$7-Inputs!$D$19)-D1675)/(Inputs!$D$7+$D$1690)^D1664</f>
        <v>43.213488846686175</v>
      </c>
      <c r="E1676" s="28">
        <f>(E1671*$D$1689*(Inputs!$D$7-Inputs!$D$19)-E1675)/(Inputs!$D$7+$D$1690)^E1664</f>
        <v>163.29332190458183</v>
      </c>
      <c r="F1676" s="28">
        <f>(F1671*$D$1689*(Inputs!$D$7-Inputs!$D$19)-F1675)/(Inputs!$D$7+$D$1690)^F1664</f>
        <v>248.28260771010829</v>
      </c>
      <c r="G1676" s="28">
        <f>(G1671*$D$1689*(Inputs!$D$7-Inputs!$D$19)-G1675)/(Inputs!$D$7+$D$1690)^G1664</f>
        <v>268.5238926419492</v>
      </c>
      <c r="H1676" s="28">
        <f>(H1671*$D$1689*(Inputs!$D$7-Inputs!$D$19)-H1675)/(Inputs!$D$7+$D$1690)^H1664</f>
        <v>244.12855518959191</v>
      </c>
      <c r="I1676" s="28">
        <f>(I1671*$D$1689*(Inputs!$D$7-Inputs!$D$19)-I1675)/(Inputs!$D$7+$D$1690)^I1664</f>
        <v>221.8916197826434</v>
      </c>
      <c r="J1676" s="28">
        <f>(J1671*$D$1689*(Inputs!$D$7-Inputs!$D$19)-J1675)/(Inputs!$D$7+$D$1690)^J1664</f>
        <v>201.73281421346593</v>
      </c>
      <c r="K1676" s="28">
        <f>(K1671*$D$1689*(Inputs!$D$7-Inputs!$D$19)-K1675)/(Inputs!$D$7+$D$1690)^K1664</f>
        <v>183.40543176145695</v>
      </c>
      <c r="L1676" s="28">
        <f>(L1671*$D$1689*(Inputs!$D$7-Inputs!$D$19)-L1675)/(Inputs!$D$7+$D$1690)^L1664</f>
        <v>166.74308803332551</v>
      </c>
      <c r="M1676" s="28">
        <f>(M1671*$D$1689*(Inputs!$D$7-Inputs!$D$19)-M1675)/(Inputs!$D$7+$D$1690)^M1664</f>
        <v>151.55496194429571</v>
      </c>
    </row>
    <row r="1677" spans="1:13" ht="15" customHeight="1" x14ac:dyDescent="0.2">
      <c r="B1677" s="10" t="s">
        <v>902</v>
      </c>
      <c r="C1677" s="10" t="s">
        <v>110</v>
      </c>
      <c r="D1677" s="16">
        <f>(D1672*Inputs!$D$19-D1673-D1674)/(Inputs!$D$7+$D$1690)^D1664</f>
        <v>-14027.24269342025</v>
      </c>
      <c r="E1677" s="16">
        <f>(E1672*Inputs!$D$19-E1673-E1674)/(Inputs!$D$7+$D$1690)^E1664</f>
        <v>-15853.087323826181</v>
      </c>
      <c r="F1677" s="16">
        <f>(F1672*Inputs!$D$19-F1673-F1674)/(Inputs!$D$7+$D$1690)^F1664</f>
        <v>-9394.4767487293357</v>
      </c>
      <c r="G1677" s="16">
        <f>(G1672*Inputs!$D$19-G1673-G1674)/(Inputs!$D$7+$D$1690)^G1664</f>
        <v>923.61320322684639</v>
      </c>
      <c r="H1677" s="16">
        <f>(H1672*Inputs!$D$19-H1673-H1674)/(Inputs!$D$7+$D$1690)^H1664</f>
        <v>-6972.3744918015345</v>
      </c>
      <c r="I1677" s="16">
        <f>(I1672*Inputs!$D$19-I1673-I1674)/(Inputs!$D$7+$D$1690)^I1664</f>
        <v>-9214.0648467907959</v>
      </c>
      <c r="J1677" s="16">
        <f>(J1672*Inputs!$D$19-J1673-J1674)/(Inputs!$D$7+$D$1690)^J1664</f>
        <v>-5761.5411965591911</v>
      </c>
      <c r="K1677" s="16">
        <f>(K1672*Inputs!$D$19-K1673-K1674)/(Inputs!$D$7+$D$1690)^K1664</f>
        <v>630.8402453567694</v>
      </c>
      <c r="L1677" s="16">
        <f>(L1672*Inputs!$D$19-L1673-L1674)/(Inputs!$D$7+$D$1690)^L1664</f>
        <v>-4762.2255937446444</v>
      </c>
      <c r="M1677" s="16">
        <f>(M1672*Inputs!$D$19-M1673-M1674)/(Inputs!$D$7+$D$1690)^M1664</f>
        <v>-6293.3302689644106</v>
      </c>
    </row>
    <row r="1678" spans="1:13" ht="15" customHeight="1" x14ac:dyDescent="0.2">
      <c r="B1678" s="10" t="s">
        <v>903</v>
      </c>
      <c r="C1678" s="10" t="s">
        <v>110</v>
      </c>
      <c r="D1678" s="16">
        <f t="shared" ref="D1678:M1678" si="365">D1671*$D$1688</f>
        <v>4304.4363961619247</v>
      </c>
      <c r="E1678" s="16">
        <f t="shared" si="365"/>
        <v>16400.331276130462</v>
      </c>
      <c r="F1678" s="16">
        <f t="shared" si="365"/>
        <v>26776.925411655011</v>
      </c>
      <c r="G1678" s="16">
        <f t="shared" si="365"/>
        <v>31224.037184022676</v>
      </c>
      <c r="H1678" s="16">
        <f t="shared" si="365"/>
        <v>31224.037184022676</v>
      </c>
      <c r="I1678" s="16">
        <f t="shared" si="365"/>
        <v>31224.037184022676</v>
      </c>
      <c r="J1678" s="16">
        <f t="shared" si="365"/>
        <v>31224.037184022676</v>
      </c>
      <c r="K1678" s="16">
        <f t="shared" si="365"/>
        <v>31224.037184022676</v>
      </c>
      <c r="L1678" s="16">
        <f t="shared" si="365"/>
        <v>31224.037184022676</v>
      </c>
      <c r="M1678" s="16">
        <f t="shared" si="365"/>
        <v>31224.037184022676</v>
      </c>
    </row>
    <row r="1679" spans="1:13" ht="15" customHeight="1" x14ac:dyDescent="0.2">
      <c r="B1679" s="10" t="s">
        <v>904</v>
      </c>
      <c r="C1679" s="10" t="s">
        <v>110</v>
      </c>
      <c r="D1679" s="16">
        <f t="shared" ref="D1679:M1679" si="366">D1678*$D$1689</f>
        <v>2582.6618376971546</v>
      </c>
      <c r="E1679" s="16">
        <f t="shared" si="366"/>
        <v>9840.1987656782767</v>
      </c>
      <c r="F1679" s="16">
        <f t="shared" si="366"/>
        <v>16066.155246993007</v>
      </c>
      <c r="G1679" s="16">
        <f t="shared" si="366"/>
        <v>18734.422310413604</v>
      </c>
      <c r="H1679" s="16">
        <f t="shared" si="366"/>
        <v>18734.422310413604</v>
      </c>
      <c r="I1679" s="16">
        <f t="shared" si="366"/>
        <v>18734.422310413604</v>
      </c>
      <c r="J1679" s="16">
        <f t="shared" si="366"/>
        <v>18734.422310413604</v>
      </c>
      <c r="K1679" s="16">
        <f t="shared" si="366"/>
        <v>18734.422310413604</v>
      </c>
      <c r="L1679" s="16">
        <f t="shared" si="366"/>
        <v>18734.422310413604</v>
      </c>
      <c r="M1679" s="16">
        <f t="shared" si="366"/>
        <v>18734.422310413604</v>
      </c>
    </row>
    <row r="1680" spans="1:13" ht="15" customHeight="1" x14ac:dyDescent="0.2">
      <c r="B1680" s="10" t="s">
        <v>905</v>
      </c>
      <c r="C1680" s="10" t="s">
        <v>110</v>
      </c>
      <c r="D1680" s="16">
        <f t="shared" ref="D1680:M1680" si="367">D1679-D1672</f>
        <v>765.68455176471275</v>
      </c>
      <c r="E1680" s="16">
        <f t="shared" si="367"/>
        <v>2917.3343839285681</v>
      </c>
      <c r="F1680" s="16">
        <f t="shared" si="367"/>
        <v>4763.1504439795062</v>
      </c>
      <c r="G1680" s="16">
        <f t="shared" si="367"/>
        <v>5554.2144697156218</v>
      </c>
      <c r="H1680" s="16">
        <f t="shared" si="367"/>
        <v>5554.2144697156218</v>
      </c>
      <c r="I1680" s="16">
        <f t="shared" si="367"/>
        <v>5554.2144697156218</v>
      </c>
      <c r="J1680" s="16">
        <f t="shared" si="367"/>
        <v>5554.2144697156218</v>
      </c>
      <c r="K1680" s="16">
        <f t="shared" si="367"/>
        <v>5554.2144697156218</v>
      </c>
      <c r="L1680" s="16">
        <f t="shared" si="367"/>
        <v>5554.2144697156218</v>
      </c>
      <c r="M1680" s="16">
        <f t="shared" si="367"/>
        <v>5554.2144697156218</v>
      </c>
    </row>
    <row r="1681" spans="2:13" ht="15" customHeight="1" x14ac:dyDescent="0.2">
      <c r="B1681" s="10" t="s">
        <v>906</v>
      </c>
      <c r="C1681" s="10" t="s">
        <v>110</v>
      </c>
      <c r="D1681" s="16">
        <f>MAX(D1680,Inputs!$D$6)*Inputs!$D$19</f>
        <v>229.70536552941383</v>
      </c>
      <c r="E1681" s="16">
        <f>MAX(E1680,Inputs!$D$6)*Inputs!$D$19</f>
        <v>875.20031517857035</v>
      </c>
      <c r="F1681" s="16">
        <f>MAX(F1680,Inputs!$D$6)*Inputs!$D$19</f>
        <v>1428.9451331938519</v>
      </c>
      <c r="G1681" s="16">
        <f>MAX(G1680,Inputs!$D$6)*Inputs!$D$19</f>
        <v>1666.2643409146865</v>
      </c>
      <c r="H1681" s="16">
        <f>MAX(H1680,Inputs!$D$6)*Inputs!$D$19</f>
        <v>1666.2643409146865</v>
      </c>
      <c r="I1681" s="16">
        <f>MAX(I1680,Inputs!$D$6)*Inputs!$D$19</f>
        <v>1666.2643409146865</v>
      </c>
      <c r="J1681" s="16">
        <f>MAX(J1680,Inputs!$D$6)*Inputs!$D$19</f>
        <v>1666.2643409146865</v>
      </c>
      <c r="K1681" s="16">
        <f>MAX(K1680,Inputs!$D$6)*Inputs!$D$19</f>
        <v>1666.2643409146865</v>
      </c>
      <c r="L1681" s="16">
        <f>MAX(L1680,Inputs!$D$6)*Inputs!$D$19</f>
        <v>1666.2643409146865</v>
      </c>
      <c r="M1681" s="16">
        <f>MAX(M1680,Inputs!$D$6)*Inputs!$D$19</f>
        <v>1666.2643409146865</v>
      </c>
    </row>
    <row r="1682" spans="2:13" ht="15" customHeight="1" x14ac:dyDescent="0.2">
      <c r="B1682" s="10" t="s">
        <v>907</v>
      </c>
      <c r="C1682" s="10" t="s">
        <v>110</v>
      </c>
      <c r="D1682" s="16">
        <f t="shared" ref="D1682:M1682" si="368">D1675*$D$1688</f>
        <v>222.35558861838325</v>
      </c>
      <c r="E1682" s="16">
        <f t="shared" si="368"/>
        <v>296.47411815784432</v>
      </c>
      <c r="F1682" s="16">
        <f t="shared" si="368"/>
        <v>222.35558861838325</v>
      </c>
      <c r="G1682" s="16">
        <f t="shared" si="368"/>
        <v>0</v>
      </c>
      <c r="H1682" s="16">
        <f t="shared" si="368"/>
        <v>0</v>
      </c>
      <c r="I1682" s="16">
        <f t="shared" si="368"/>
        <v>0</v>
      </c>
      <c r="J1682" s="16">
        <f t="shared" si="368"/>
        <v>0</v>
      </c>
      <c r="K1682" s="16">
        <f t="shared" si="368"/>
        <v>0</v>
      </c>
      <c r="L1682" s="16">
        <f t="shared" si="368"/>
        <v>0</v>
      </c>
      <c r="M1682" s="16">
        <f t="shared" si="368"/>
        <v>0</v>
      </c>
    </row>
    <row r="1683" spans="2:13" ht="15" customHeight="1" x14ac:dyDescent="0.2">
      <c r="B1683" s="10" t="s">
        <v>908</v>
      </c>
      <c r="C1683" s="10" t="s">
        <v>110</v>
      </c>
      <c r="D1683" s="16">
        <f t="shared" ref="D1683:M1683" si="369">D1679-D1681-D1673-D1674-D1682</f>
        <v>-13430.367736596798</v>
      </c>
      <c r="E1683" s="16">
        <f t="shared" si="369"/>
        <v>-12079.433827853009</v>
      </c>
      <c r="F1683" s="16">
        <f t="shared" si="369"/>
        <v>-1146.1140949653829</v>
      </c>
      <c r="G1683" s="16">
        <f t="shared" si="369"/>
        <v>14430.153120931744</v>
      </c>
      <c r="H1683" s="16">
        <f t="shared" si="369"/>
        <v>2186.3697476906345</v>
      </c>
      <c r="I1683" s="16">
        <f t="shared" si="369"/>
        <v>-2774.2263262454617</v>
      </c>
      <c r="J1683" s="16">
        <f t="shared" si="369"/>
        <v>2186.3697476906345</v>
      </c>
      <c r="K1683" s="16">
        <f t="shared" si="369"/>
        <v>14430.153120931744</v>
      </c>
      <c r="L1683" s="16">
        <f t="shared" si="369"/>
        <v>2186.3697476906345</v>
      </c>
      <c r="M1683" s="16">
        <f t="shared" si="369"/>
        <v>-2774.2263262454617</v>
      </c>
    </row>
    <row r="1684" spans="2:13" ht="15" customHeight="1" x14ac:dyDescent="0.2">
      <c r="B1684" s="10" t="s">
        <v>909</v>
      </c>
      <c r="C1684" s="10" t="s">
        <v>110</v>
      </c>
      <c r="D1684" s="16">
        <f>D1683/(Inputs!$D$7+$D$1690)^D1664</f>
        <v>-12546.123502860122</v>
      </c>
      <c r="E1684" s="16">
        <f>E1683/(Inputs!$D$7+$D$1690)^E1664</f>
        <v>-10256.296154724922</v>
      </c>
      <c r="F1684" s="16">
        <f>F1683/(Inputs!$D$7+$D$1690)^F1664</f>
        <v>-884.72331811842832</v>
      </c>
      <c r="G1684" s="16">
        <f>G1683/(Inputs!$D$7+$D$1690)^G1664</f>
        <v>10127.125836213381</v>
      </c>
      <c r="H1684" s="16">
        <f>H1683/(Inputs!$D$7+$D$1690)^H1664</f>
        <v>1395.0010130519763</v>
      </c>
      <c r="I1684" s="16">
        <f>I1683/(Inputs!$D$7+$D$1690)^I1664</f>
        <v>-1608.8483957301175</v>
      </c>
      <c r="J1684" s="16">
        <f>J1683/(Inputs!$D$7+$D$1690)^J1664</f>
        <v>1152.7429881156686</v>
      </c>
      <c r="K1684" s="16">
        <f>K1683/(Inputs!$D$7+$D$1690)^K1664</f>
        <v>6916.9632103089807</v>
      </c>
      <c r="L1684" s="16">
        <f>L1683/(Inputs!$D$7+$D$1690)^L1664</f>
        <v>952.80446216240432</v>
      </c>
      <c r="M1684" s="16">
        <f>M1683/(Inputs!$D$7+$D$1690)^M1664</f>
        <v>-1098.8651019261781</v>
      </c>
    </row>
    <row r="1685" spans="2:13" ht="15" customHeight="1" x14ac:dyDescent="0.2">
      <c r="B1685" s="3" t="s">
        <v>910</v>
      </c>
      <c r="C1685" s="10" t="s">
        <v>896</v>
      </c>
      <c r="D1685" s="28">
        <f>(D1671*$D$1689-D1675)/(Inputs!$D$7+$D$1690)^D1664</f>
        <v>64.330856237917445</v>
      </c>
      <c r="E1685" s="28">
        <f>(E1671*$D$1689-E1675)/(Inputs!$D$7+$D$1690)^E1664</f>
        <v>236.42380139523098</v>
      </c>
      <c r="F1685" s="28">
        <f>(F1671*$D$1689-F1675)/(Inputs!$D$7+$D$1690)^F1664</f>
        <v>356.83568908039001</v>
      </c>
      <c r="G1685" s="28">
        <f>(G1671*$D$1689-G1675)/(Inputs!$D$7+$D$1690)^G1664</f>
        <v>383.60556091707036</v>
      </c>
      <c r="H1685" s="28">
        <f>(H1671*$D$1689-H1675)/(Inputs!$D$7+$D$1690)^H1664</f>
        <v>348.75507884227414</v>
      </c>
      <c r="I1685" s="28">
        <f>(I1671*$D$1689-I1675)/(Inputs!$D$7+$D$1690)^I1664</f>
        <v>316.98802826091918</v>
      </c>
      <c r="J1685" s="28">
        <f>(J1671*$D$1689-J1675)/(Inputs!$D$7+$D$1690)^J1664</f>
        <v>288.18973459066564</v>
      </c>
      <c r="K1685" s="28">
        <f>(K1671*$D$1689-K1675)/(Inputs!$D$7+$D$1690)^K1664</f>
        <v>262.00775965922423</v>
      </c>
      <c r="L1685" s="28">
        <f>(L1671*$D$1689-L1675)/(Inputs!$D$7+$D$1690)^L1664</f>
        <v>238.2044114761793</v>
      </c>
      <c r="M1685" s="28">
        <f>(M1671*$D$1689-M1675)/(Inputs!$D$7+$D$1690)^M1664</f>
        <v>216.50708849185102</v>
      </c>
    </row>
    <row r="1686" spans="2:13" ht="15" customHeight="1" x14ac:dyDescent="0.2">
      <c r="B1686" s="10" t="s">
        <v>911</v>
      </c>
      <c r="C1686" s="10" t="s">
        <v>110</v>
      </c>
      <c r="D1686" s="16">
        <f>(-D1673-D1674)/(Inputs!$D$7+$D$1690)^D1664</f>
        <v>-14536.447397527105</v>
      </c>
      <c r="E1686" s="16">
        <f>(-E1673-E1674)/(Inputs!$D$7+$D$1690)^E1664</f>
        <v>-17616.488200475756</v>
      </c>
      <c r="F1686" s="16">
        <f>(-F1673-F1674)/(Inputs!$D$7+$D$1690)^F1664</f>
        <v>-12012.025548964448</v>
      </c>
      <c r="G1686" s="16">
        <f>(-G1673-G1674)/(Inputs!$D$7+$D$1690)^G1664</f>
        <v>-1851.359915178487</v>
      </c>
      <c r="H1686" s="16">
        <f>(-H1673-H1674)/(Inputs!$D$7+$D$1690)^H1664</f>
        <v>-9495.2419037884629</v>
      </c>
      <c r="I1686" s="16">
        <f>(-I1673-I1674)/(Inputs!$D$7+$D$1690)^I1664</f>
        <v>-11507.131858586603</v>
      </c>
      <c r="J1686" s="16">
        <f>(-J1673-J1674)/(Inputs!$D$7+$D$1690)^J1664</f>
        <v>-7846.2835672839774</v>
      </c>
      <c r="K1686" s="16">
        <f>(-K1673-K1674)/(Inputs!$D$7+$D$1690)^K1664</f>
        <v>-1264.5037327904422</v>
      </c>
      <c r="L1686" s="16">
        <f>(-L1673-L1674)/(Inputs!$D$7+$D$1690)^L1664</f>
        <v>-6485.3779822337692</v>
      </c>
      <c r="M1686" s="16">
        <f>(-M1673-M1674)/(Inputs!$D$7+$D$1690)^M1664</f>
        <v>-7859.5258920747219</v>
      </c>
    </row>
    <row r="1687" spans="2:13" ht="15" customHeight="1" x14ac:dyDescent="0.2">
      <c r="B1687" s="10" t="s">
        <v>912</v>
      </c>
      <c r="C1687" s="10" t="s">
        <v>110</v>
      </c>
      <c r="D1687" s="16">
        <f>Prices!I12</f>
        <v>7880.7852127812012</v>
      </c>
    </row>
    <row r="1688" spans="2:13" ht="15" customHeight="1" x14ac:dyDescent="0.2">
      <c r="B1688" s="3" t="s">
        <v>913</v>
      </c>
      <c r="C1688" s="10" t="s">
        <v>914</v>
      </c>
      <c r="D1688" s="28">
        <f>IF(J1695&gt;=J1691,J1695,(D1687-J1694)/J1693)</f>
        <v>34.274464526918415</v>
      </c>
      <c r="G1688" s="99" t="s">
        <v>915</v>
      </c>
      <c r="H1688" s="91"/>
      <c r="I1688" s="91"/>
      <c r="J1688" s="28">
        <f>D1688*Inputs!$D$15</f>
        <v>23.920148793336359</v>
      </c>
      <c r="K1688" s="99" t="s">
        <v>916</v>
      </c>
      <c r="L1688" s="91"/>
      <c r="M1688" s="91"/>
    </row>
    <row r="1689" spans="2:13" ht="15" customHeight="1" x14ac:dyDescent="0.2">
      <c r="B1689" s="10" t="s">
        <v>917</v>
      </c>
      <c r="C1689" s="10" t="s">
        <v>104</v>
      </c>
      <c r="D1689" s="30">
        <f>Inputs!$D$81</f>
        <v>0.6</v>
      </c>
      <c r="G1689" s="99" t="s">
        <v>918</v>
      </c>
      <c r="H1689" s="91"/>
      <c r="I1689" s="91"/>
      <c r="J1689" s="28">
        <f>IF(-D1700/D1699&gt;=J1691,-D1700/D1699,-J1694/J1693)</f>
        <v>32.284876648616972</v>
      </c>
      <c r="K1689" s="99" t="s">
        <v>919</v>
      </c>
      <c r="L1689" s="91"/>
      <c r="M1689" s="91"/>
    </row>
    <row r="1690" spans="2:13" ht="15" customHeight="1" x14ac:dyDescent="0.2">
      <c r="B1690" s="10" t="s">
        <v>920</v>
      </c>
      <c r="C1690" s="10" t="s">
        <v>104</v>
      </c>
      <c r="D1690" s="30">
        <f>Inputs!$D$82</f>
        <v>0.1</v>
      </c>
      <c r="G1690" s="99" t="s">
        <v>918</v>
      </c>
      <c r="H1690" s="91"/>
      <c r="I1690" s="91"/>
      <c r="J1690" s="28">
        <f>J1689*Inputs!$D$15</f>
        <v>22.531615413069783</v>
      </c>
      <c r="K1690" s="99" t="s">
        <v>916</v>
      </c>
      <c r="L1690" s="91"/>
      <c r="M1690" s="91"/>
    </row>
    <row r="1691" spans="2:13" ht="15" customHeight="1" x14ac:dyDescent="0.2">
      <c r="B1691" s="3" t="s">
        <v>921</v>
      </c>
      <c r="C1691" s="10" t="s">
        <v>848</v>
      </c>
      <c r="D1691" s="28">
        <f>Capital!$D$13</f>
        <v>57.347931490590682</v>
      </c>
      <c r="G1691" s="99" t="s">
        <v>922</v>
      </c>
      <c r="H1691" s="91"/>
      <c r="I1691" s="91"/>
      <c r="J1691" s="28">
        <f>($D$1691/Inputs!$D$21+$D$1692/Inputs!$D$22)/$D$1689</f>
        <v>24.113076913095469</v>
      </c>
      <c r="K1691" s="99" t="s">
        <v>919</v>
      </c>
      <c r="L1691" s="91"/>
      <c r="M1691" s="91"/>
    </row>
    <row r="1692" spans="2:13" ht="15" customHeight="1" x14ac:dyDescent="0.2">
      <c r="B1692" s="3" t="s">
        <v>923</v>
      </c>
      <c r="C1692" s="10" t="s">
        <v>848</v>
      </c>
      <c r="D1692" s="28">
        <f>Capital!$D$14</f>
        <v>2.6172655041921802</v>
      </c>
    </row>
    <row r="1693" spans="2:13" ht="15" customHeight="1" x14ac:dyDescent="0.2">
      <c r="B1693" s="10" t="s">
        <v>924</v>
      </c>
      <c r="C1693" s="10" t="s">
        <v>896</v>
      </c>
      <c r="D1693" s="28">
        <f>(M1666*(Inputs!$D$7+Inputs!$D$20)*$D$1689*(Inputs!$D$7-Inputs!$D$19)-M1666*Inputs!$D$20*Inputs!$D$23)/($D$1690-Inputs!$D$20)/(Inputs!$D$7+$D$1690)^M1664</f>
        <v>2068.2441036763203</v>
      </c>
      <c r="G1693" s="92" t="s">
        <v>910</v>
      </c>
      <c r="H1693" s="91"/>
      <c r="I1693" s="91"/>
      <c r="J1693" s="28">
        <f>SUM(D1685:M1685)+(M1666*(Inputs!$D$7+Inputs!$D$20)*$D$1689-M1666*Inputs!$D$20*Inputs!$D$23)/($D$1690-Inputs!$D$20)/(Inputs!$D$7+$D$1690)^M1664</f>
        <v>5667.7711754446318</v>
      </c>
      <c r="K1693" s="99" t="s">
        <v>896</v>
      </c>
      <c r="L1693" s="91"/>
      <c r="M1693" s="91"/>
    </row>
    <row r="1694" spans="2:13" ht="15" customHeight="1" x14ac:dyDescent="0.2">
      <c r="B1694" s="10" t="s">
        <v>925</v>
      </c>
      <c r="C1694" s="10" t="s">
        <v>110</v>
      </c>
      <c r="D1694" s="16">
        <f>(D1697*Inputs!$D$19-D1697-D1698)/($D$1690-Inputs!$D$20)/(Inputs!$D$7+$D$1690)^M1664</f>
        <v>-57156.954988173631</v>
      </c>
      <c r="G1694" s="92" t="s">
        <v>926</v>
      </c>
      <c r="H1694" s="91"/>
      <c r="I1694" s="91"/>
      <c r="J1694" s="16">
        <f>SUM(D1686:M1686)-(D1697+D1698)/($D$1690-Inputs!$D$20)/(Inputs!$D$7+$D$1690)^M1664</f>
        <v>-169036.01450291832</v>
      </c>
      <c r="K1694" s="99" t="s">
        <v>110</v>
      </c>
      <c r="L1694" s="91"/>
      <c r="M1694" s="91"/>
    </row>
    <row r="1695" spans="2:13" ht="15" customHeight="1" x14ac:dyDescent="0.2">
      <c r="B1695" s="10" t="s">
        <v>927</v>
      </c>
      <c r="C1695" s="10" t="s">
        <v>928</v>
      </c>
      <c r="D1695" s="16">
        <f>(M1666*(Inputs!$D$7+Inputs!$D$20)*$D$1688*$D$1689-D1697)-MAX((M1666*(Inputs!$D$7+Inputs!$D$20)*$D$1688*$D$1689-D1697),Inputs!$D$6)*Inputs!$D$19-D1698-M1666*Inputs!$D$20*$D$1688*Inputs!$D$23</f>
        <v>2599.9264972247638</v>
      </c>
      <c r="G1695" s="99" t="s">
        <v>929</v>
      </c>
      <c r="H1695" s="91"/>
      <c r="I1695" s="91"/>
      <c r="J1695" s="28">
        <f>(D1687-D1700)/D1699</f>
        <v>34.274464526918415</v>
      </c>
      <c r="K1695" s="99" t="s">
        <v>919</v>
      </c>
      <c r="L1695" s="91"/>
      <c r="M1695" s="91"/>
    </row>
    <row r="1696" spans="2:13" ht="15" customHeight="1" x14ac:dyDescent="0.2">
      <c r="B1696" s="10" t="s">
        <v>930</v>
      </c>
      <c r="C1696" s="10" t="s">
        <v>110</v>
      </c>
      <c r="D1696" s="16">
        <f>D1695/($D$1690-Inputs!$D$20)</f>
        <v>34665.686629663513</v>
      </c>
      <c r="G1696" s="99" t="s">
        <v>931</v>
      </c>
      <c r="H1696" s="91"/>
      <c r="I1696" s="91"/>
      <c r="J1696" s="16">
        <f>MIN(D1680:M1680,(M1666*(Inputs!$D$7+Inputs!$D$20)*$D$1688*$D$1689-D1697))</f>
        <v>765.68455176471275</v>
      </c>
      <c r="K1696" s="99" t="s">
        <v>110</v>
      </c>
      <c r="L1696" s="91"/>
      <c r="M1696" s="91"/>
    </row>
    <row r="1697" spans="1:13" ht="15" customHeight="1" x14ac:dyDescent="0.2">
      <c r="B1697" s="10" t="s">
        <v>932</v>
      </c>
      <c r="C1697" s="10" t="s">
        <v>928</v>
      </c>
      <c r="D1697" s="16">
        <f>M1666*(Inputs!$D$7+Inputs!$D$20)*($D$1691/Inputs!$D$21+$D$1692/Inputs!$D$22)</f>
        <v>13509.71303671543</v>
      </c>
      <c r="G1697" s="99" t="s">
        <v>933</v>
      </c>
      <c r="H1697" s="91"/>
      <c r="I1697" s="91"/>
      <c r="J1697" s="31" t="str">
        <f>IF(J1696&lt;Inputs!$D$6,"breached","satisfied")</f>
        <v>satisfied</v>
      </c>
      <c r="K1697" s="99" t="s">
        <v>934</v>
      </c>
      <c r="L1697" s="91"/>
      <c r="M1697" s="91"/>
    </row>
    <row r="1698" spans="1:13" ht="15" customHeight="1" x14ac:dyDescent="0.2">
      <c r="B1698" s="10" t="s">
        <v>935</v>
      </c>
      <c r="C1698" s="10" t="s">
        <v>928</v>
      </c>
      <c r="D1698" s="16">
        <f>M1666*Inputs!$D$20*($D$1691+$D$1692)</f>
        <v>1365.7073615561799</v>
      </c>
    </row>
    <row r="1699" spans="1:13" ht="15" customHeight="1" x14ac:dyDescent="0.2">
      <c r="B1699" s="10" t="s">
        <v>936</v>
      </c>
      <c r="C1699" s="10" t="s">
        <v>896</v>
      </c>
      <c r="D1699" s="28">
        <f>SUM(D1676:M1676)+D1693</f>
        <v>3961.0138857044249</v>
      </c>
      <c r="G1699" s="99" t="s">
        <v>937</v>
      </c>
      <c r="H1699" s="91"/>
      <c r="I1699" s="91"/>
      <c r="J1699" s="16">
        <f>D1701-D1687</f>
        <v>1.6370904631912708E-11</v>
      </c>
      <c r="K1699" s="99" t="s">
        <v>110</v>
      </c>
      <c r="L1699" s="91"/>
      <c r="M1699" s="91"/>
    </row>
    <row r="1700" spans="1:13" ht="15" customHeight="1" x14ac:dyDescent="0.2">
      <c r="B1700" s="10" t="s">
        <v>938</v>
      </c>
      <c r="C1700" s="10" t="s">
        <v>110</v>
      </c>
      <c r="D1700" s="16">
        <f>SUM(D1677:M1677)+D1694</f>
        <v>-127880.84470342637</v>
      </c>
    </row>
    <row r="1701" spans="1:13" ht="15" customHeight="1" x14ac:dyDescent="0.2">
      <c r="B1701" s="10" t="s">
        <v>939</v>
      </c>
      <c r="C1701" s="10" t="s">
        <v>110</v>
      </c>
      <c r="D1701" s="16">
        <f>SUM(D1684:M1684)+D1696/(Inputs!$D$7+$D$1690)^M1664</f>
        <v>7880.7852127812175</v>
      </c>
    </row>
    <row r="1702" spans="1:13" ht="15" customHeight="1" x14ac:dyDescent="0.2">
      <c r="B1702" s="10" t="s">
        <v>940</v>
      </c>
      <c r="C1702" s="10" t="s">
        <v>104</v>
      </c>
      <c r="D1702" s="30">
        <f>IF(ABS(D1687)&gt;Inputs!$D$6,D1701/D1687-Inputs!$D$7,Inputs!$D$6)</f>
        <v>1.9984014443252818E-15</v>
      </c>
    </row>
    <row r="1703" spans="1:13" ht="15" customHeight="1" x14ac:dyDescent="0.2">
      <c r="B1703" s="10" t="s">
        <v>941</v>
      </c>
      <c r="C1703" s="10" t="s">
        <v>104</v>
      </c>
      <c r="D1703" s="30">
        <f>IF(ABS(D1701)&gt;Inputs!$D$119,D1696/(Inputs!$D$7+$D$1690)^M1664/D1701,Inputs!$D$6)</f>
        <v>1.7423396026603228</v>
      </c>
    </row>
    <row r="1704" spans="1:13" ht="15" customHeight="1" x14ac:dyDescent="0.2">
      <c r="B1704" s="10" t="s">
        <v>942</v>
      </c>
      <c r="C1704" s="10" t="s">
        <v>943</v>
      </c>
      <c r="D1704" s="26">
        <f>$D$1688*Inputs!$D$8/Prices!$P$6/(Inputs!$D$26/Inputs!$D$25)/Inputs!$D$11/Inputs!$D$56</f>
        <v>6.2329154836716238</v>
      </c>
    </row>
    <row r="1708" spans="1:13" ht="15" customHeight="1" x14ac:dyDescent="0.2">
      <c r="A1708" s="104" t="s">
        <v>980</v>
      </c>
      <c r="B1708" s="10" t="s">
        <v>886</v>
      </c>
      <c r="C1708" s="10" t="s">
        <v>107</v>
      </c>
      <c r="D1708" s="28">
        <f>Inputs!$D$60</f>
        <v>1</v>
      </c>
      <c r="E1708" s="28">
        <f>Inputs!$D$62</f>
        <v>2</v>
      </c>
      <c r="F1708" s="28">
        <f>Inputs!$D$64</f>
        <v>3</v>
      </c>
      <c r="G1708" s="28">
        <f>Inputs!$D$66</f>
        <v>4</v>
      </c>
      <c r="H1708" s="28">
        <f>Inputs!$D$68</f>
        <v>5</v>
      </c>
      <c r="I1708" s="28">
        <f>Inputs!$D$70</f>
        <v>6</v>
      </c>
      <c r="J1708" s="28">
        <f>Inputs!$D$72</f>
        <v>7</v>
      </c>
      <c r="K1708" s="28">
        <f>Inputs!$D$74</f>
        <v>8</v>
      </c>
      <c r="L1708" s="28">
        <f>Inputs!$D$76</f>
        <v>9</v>
      </c>
      <c r="M1708" s="28">
        <f>Inputs!$D$78</f>
        <v>10</v>
      </c>
    </row>
    <row r="1709" spans="1:13" ht="15" customHeight="1" x14ac:dyDescent="0.2">
      <c r="A1709" s="91"/>
      <c r="B1709" s="10" t="s">
        <v>887</v>
      </c>
      <c r="C1709" s="10" t="s">
        <v>161</v>
      </c>
      <c r="D1709" s="29">
        <f>Inputs!$D$61</f>
        <v>46568</v>
      </c>
      <c r="E1709" s="29">
        <f>Inputs!$D$63</f>
        <v>46934</v>
      </c>
      <c r="F1709" s="29">
        <f>Inputs!$D$65</f>
        <v>47299</v>
      </c>
      <c r="G1709" s="29">
        <f>Inputs!$D$67</f>
        <v>47664</v>
      </c>
      <c r="H1709" s="29">
        <f>Inputs!$D$69</f>
        <v>48029</v>
      </c>
      <c r="I1709" s="29">
        <f>Inputs!$D$71</f>
        <v>48395</v>
      </c>
      <c r="J1709" s="29">
        <f>Inputs!$D$73</f>
        <v>48760</v>
      </c>
      <c r="K1709" s="29">
        <f>Inputs!$D$75</f>
        <v>49125</v>
      </c>
      <c r="L1709" s="29">
        <f>Inputs!$D$77</f>
        <v>49490</v>
      </c>
      <c r="M1709" s="29">
        <f>Inputs!$D$79</f>
        <v>49856</v>
      </c>
    </row>
    <row r="1710" spans="1:13" ht="15" customHeight="1" x14ac:dyDescent="0.2">
      <c r="A1710" s="91"/>
      <c r="B1710" s="10" t="s">
        <v>888</v>
      </c>
      <c r="C1710" s="10" t="s">
        <v>107</v>
      </c>
      <c r="D1710" s="28">
        <f>(D1709-Inputs!$D$13)/Inputs!$D$10</f>
        <v>0.71457905544147848</v>
      </c>
      <c r="E1710" s="28">
        <f>(E1709-Inputs!$D$13)/Inputs!$D$10</f>
        <v>1.7166324435318274</v>
      </c>
      <c r="F1710" s="28">
        <f>(F1709-Inputs!$D$13)/Inputs!$D$10</f>
        <v>2.7159479808350446</v>
      </c>
      <c r="G1710" s="28">
        <f>(G1709-Inputs!$D$13)/Inputs!$D$10</f>
        <v>3.7152635181382614</v>
      </c>
      <c r="H1710" s="28">
        <f>(H1709-Inputs!$D$13)/Inputs!$D$10</f>
        <v>4.7145790554414786</v>
      </c>
      <c r="I1710" s="28">
        <f>(I1709-Inputs!$D$13)/Inputs!$D$10</f>
        <v>5.7166324435318279</v>
      </c>
      <c r="J1710" s="28">
        <f>(J1709-Inputs!$D$13)/Inputs!$D$10</f>
        <v>6.7159479808350442</v>
      </c>
      <c r="K1710" s="28">
        <f>(K1709-Inputs!$D$13)/Inputs!$D$10</f>
        <v>7.7152635181382614</v>
      </c>
      <c r="L1710" s="28">
        <f>(L1709-Inputs!$D$13)/Inputs!$D$10</f>
        <v>8.7145790554414777</v>
      </c>
      <c r="M1710" s="28">
        <f>(M1709-Inputs!$D$13)/Inputs!$D$10</f>
        <v>9.716632443531827</v>
      </c>
    </row>
    <row r="1711" spans="1:13" ht="15" customHeight="1" x14ac:dyDescent="0.2">
      <c r="A1711" s="91"/>
      <c r="B1711" s="10" t="s">
        <v>889</v>
      </c>
      <c r="C1711" s="10" t="s">
        <v>107</v>
      </c>
      <c r="D1711" s="28">
        <f>D1710</f>
        <v>0.71457905544147848</v>
      </c>
      <c r="E1711" s="28">
        <f>Inputs!$D$7</f>
        <v>1</v>
      </c>
      <c r="F1711" s="28">
        <f>Inputs!$D$7</f>
        <v>1</v>
      </c>
      <c r="G1711" s="28">
        <f>Inputs!$D$7</f>
        <v>1</v>
      </c>
      <c r="H1711" s="28">
        <f>Inputs!$D$7</f>
        <v>1</v>
      </c>
      <c r="I1711" s="28">
        <f>Inputs!$D$7</f>
        <v>1</v>
      </c>
      <c r="J1711" s="28">
        <f>Inputs!$D$7</f>
        <v>1</v>
      </c>
      <c r="K1711" s="28">
        <f>Inputs!$D$7</f>
        <v>1</v>
      </c>
      <c r="L1711" s="28">
        <f>Inputs!$D$7</f>
        <v>1</v>
      </c>
      <c r="M1711" s="28">
        <f>Inputs!$D$7</f>
        <v>1</v>
      </c>
    </row>
    <row r="1712" spans="1:13" ht="15" customHeight="1" x14ac:dyDescent="0.2">
      <c r="A1712" s="91"/>
      <c r="B1712" s="3" t="s">
        <v>890</v>
      </c>
      <c r="C1712" s="10" t="s">
        <v>199</v>
      </c>
      <c r="D1712" s="28">
        <f>Inputs!$D$24+(Inputs!$D$93-Inputs!$D$24)*Inputs!$D$96</f>
        <v>279.10000000000002</v>
      </c>
      <c r="E1712" s="28">
        <f>Inputs!$D$24+(Inputs!$D$93-Inputs!$D$24)*Inputs!$D$97</f>
        <v>900.7</v>
      </c>
      <c r="F1712" s="28">
        <f>Inputs!$D$24+(Inputs!$D$93-Inputs!$D$24)*Inputs!$D$98</f>
        <v>1366.8999999999999</v>
      </c>
      <c r="G1712" s="28">
        <f>Inputs!$D$24+(Inputs!$D$93-Inputs!$D$24)*Inputs!$D$99</f>
        <v>1600</v>
      </c>
      <c r="H1712" s="28">
        <f>Inputs!$D$24+(Inputs!$D$93-Inputs!$D$24)*Inputs!$D$100</f>
        <v>1600</v>
      </c>
      <c r="I1712" s="28">
        <f>Inputs!$D$24+(Inputs!$D$93-Inputs!$D$24)*Inputs!$D$101</f>
        <v>1600</v>
      </c>
      <c r="J1712" s="28">
        <f>Inputs!$D$24+(Inputs!$D$93-Inputs!$D$24)*Inputs!$D$102</f>
        <v>1600</v>
      </c>
      <c r="K1712" s="28">
        <f>Inputs!$D$24+(Inputs!$D$93-Inputs!$D$24)*Inputs!$D$103</f>
        <v>1600</v>
      </c>
      <c r="L1712" s="28">
        <f>Inputs!$D$24+(Inputs!$D$93-Inputs!$D$24)*Inputs!$D$104</f>
        <v>1600</v>
      </c>
      <c r="M1712" s="28">
        <f>Inputs!$D$24+(Inputs!$D$93-Inputs!$D$24)*Inputs!$D$105</f>
        <v>1600</v>
      </c>
    </row>
    <row r="1713" spans="1:13" ht="15" customHeight="1" x14ac:dyDescent="0.2">
      <c r="A1713" s="91"/>
      <c r="B1713" s="10" t="s">
        <v>891</v>
      </c>
      <c r="C1713" s="10" t="s">
        <v>199</v>
      </c>
      <c r="D1713" s="28">
        <f>Inputs!$D$24</f>
        <v>46</v>
      </c>
      <c r="E1713" s="28">
        <f t="shared" ref="E1713:M1713" si="370">D1712</f>
        <v>279.10000000000002</v>
      </c>
      <c r="F1713" s="28">
        <f t="shared" si="370"/>
        <v>900.7</v>
      </c>
      <c r="G1713" s="28">
        <f t="shared" si="370"/>
        <v>1366.8999999999999</v>
      </c>
      <c r="H1713" s="28">
        <f t="shared" si="370"/>
        <v>1600</v>
      </c>
      <c r="I1713" s="28">
        <f t="shared" si="370"/>
        <v>1600</v>
      </c>
      <c r="J1713" s="28">
        <f t="shared" si="370"/>
        <v>1600</v>
      </c>
      <c r="K1713" s="28">
        <f t="shared" si="370"/>
        <v>1600</v>
      </c>
      <c r="L1713" s="28">
        <f t="shared" si="370"/>
        <v>1600</v>
      </c>
      <c r="M1713" s="28">
        <f t="shared" si="370"/>
        <v>1600</v>
      </c>
    </row>
    <row r="1714" spans="1:13" ht="15" customHeight="1" x14ac:dyDescent="0.2">
      <c r="B1714" s="10" t="s">
        <v>892</v>
      </c>
      <c r="C1714" s="10" t="s">
        <v>199</v>
      </c>
      <c r="D1714" s="28">
        <f>(D1713+D1712)*Inputs!$D$12</f>
        <v>162.55000000000001</v>
      </c>
      <c r="E1714" s="28">
        <f>(E1713+E1712)*Inputs!$D$12</f>
        <v>589.90000000000009</v>
      </c>
      <c r="F1714" s="28">
        <f>(F1713+F1712)*Inputs!$D$12</f>
        <v>1133.8</v>
      </c>
      <c r="G1714" s="28">
        <f>(G1713+G1712)*Inputs!$D$12</f>
        <v>1483.4499999999998</v>
      </c>
      <c r="H1714" s="28">
        <f>(H1713+H1712)*Inputs!$D$12</f>
        <v>1600</v>
      </c>
      <c r="I1714" s="28">
        <f>(I1713+I1712)*Inputs!$D$12</f>
        <v>1600</v>
      </c>
      <c r="J1714" s="28">
        <f>(J1713+J1712)*Inputs!$D$12</f>
        <v>1600</v>
      </c>
      <c r="K1714" s="28">
        <f>(K1713+K1712)*Inputs!$D$12</f>
        <v>1600</v>
      </c>
      <c r="L1714" s="28">
        <f>(L1713+L1712)*Inputs!$D$12</f>
        <v>1600</v>
      </c>
      <c r="M1714" s="28">
        <f>(M1713+M1712)*Inputs!$D$12</f>
        <v>1600</v>
      </c>
    </row>
    <row r="1715" spans="1:13" ht="15" customHeight="1" x14ac:dyDescent="0.2">
      <c r="B1715" s="10" t="s">
        <v>893</v>
      </c>
      <c r="C1715" s="10" t="s">
        <v>199</v>
      </c>
      <c r="D1715" s="28">
        <f t="shared" ref="D1715:M1715" si="371">D1712-D1713</f>
        <v>233.10000000000002</v>
      </c>
      <c r="E1715" s="28">
        <f t="shared" si="371"/>
        <v>621.6</v>
      </c>
      <c r="F1715" s="28">
        <f t="shared" si="371"/>
        <v>466.19999999999982</v>
      </c>
      <c r="G1715" s="28">
        <f t="shared" si="371"/>
        <v>233.10000000000014</v>
      </c>
      <c r="H1715" s="28">
        <f t="shared" si="371"/>
        <v>0</v>
      </c>
      <c r="I1715" s="28">
        <f t="shared" si="371"/>
        <v>0</v>
      </c>
      <c r="J1715" s="28">
        <f t="shared" si="371"/>
        <v>0</v>
      </c>
      <c r="K1715" s="28">
        <f t="shared" si="371"/>
        <v>0</v>
      </c>
      <c r="L1715" s="28">
        <f t="shared" si="371"/>
        <v>0</v>
      </c>
      <c r="M1715" s="28">
        <f t="shared" si="371"/>
        <v>0</v>
      </c>
    </row>
    <row r="1716" spans="1:13" ht="15" customHeight="1" x14ac:dyDescent="0.2">
      <c r="B1716" s="10" t="s">
        <v>894</v>
      </c>
      <c r="C1716" s="10" t="s">
        <v>199</v>
      </c>
      <c r="D1716" s="28">
        <f>IF(MOD(D1708,Inputs!$D$21)=Inputs!$D$6,Inputs!$D$24,Inputs!$D$6)+SUMPRODUCT(--(D1708&gt;$D$1708:$M$1708),--(MOD(D1708-$D$1708:$M$1708,Inputs!$D$21)=Inputs!$D$6),$D$1715:$M$1715)</f>
        <v>0</v>
      </c>
      <c r="E1716" s="28">
        <f>IF(MOD(E1708,Inputs!$D$21)=Inputs!$D$6,Inputs!$D$24,Inputs!$D$6)+SUMPRODUCT(--(E1708&gt;$D$1708:$M$1708),--(MOD(E1708-$D$1708:$M$1708,Inputs!$D$21)=Inputs!$D$6),$D$1715:$M$1715)</f>
        <v>0</v>
      </c>
      <c r="F1716" s="28">
        <f>IF(MOD(F1708,Inputs!$D$21)=Inputs!$D$6,Inputs!$D$24,Inputs!$D$6)+SUMPRODUCT(--(F1708&gt;$D$1708:$M$1708),--(MOD(F1708-$D$1708:$M$1708,Inputs!$D$21)=Inputs!$D$6),$D$1715:$M$1715)</f>
        <v>0</v>
      </c>
      <c r="G1716" s="28">
        <f>IF(MOD(G1708,Inputs!$D$21)=Inputs!$D$6,Inputs!$D$24,Inputs!$D$6)+SUMPRODUCT(--(G1708&gt;$D$1708:$M$1708),--(MOD(G1708-$D$1708:$M$1708,Inputs!$D$21)=Inputs!$D$6),$D$1715:$M$1715)</f>
        <v>46</v>
      </c>
      <c r="H1716" s="28">
        <f>IF(MOD(H1708,Inputs!$D$21)=Inputs!$D$6,Inputs!$D$24,Inputs!$D$6)+SUMPRODUCT(--(H1708&gt;$D$1708:$M$1708),--(MOD(H1708-$D$1708:$M$1708,Inputs!$D$21)=Inputs!$D$6),$D$1715:$M$1715)</f>
        <v>233.10000000000002</v>
      </c>
      <c r="I1716" s="28">
        <f>IF(MOD(I1708,Inputs!$D$21)=Inputs!$D$6,Inputs!$D$24,Inputs!$D$6)+SUMPRODUCT(--(I1708&gt;$D$1708:$M$1708),--(MOD(I1708-$D$1708:$M$1708,Inputs!$D$21)=Inputs!$D$6),$D$1715:$M$1715)</f>
        <v>621.6</v>
      </c>
      <c r="J1716" s="28">
        <f>IF(MOD(J1708,Inputs!$D$21)=Inputs!$D$6,Inputs!$D$24,Inputs!$D$6)+SUMPRODUCT(--(J1708&gt;$D$1708:$M$1708),--(MOD(J1708-$D$1708:$M$1708,Inputs!$D$21)=Inputs!$D$6),$D$1715:$M$1715)</f>
        <v>466.19999999999982</v>
      </c>
      <c r="K1716" s="28">
        <f>IF(MOD(K1708,Inputs!$D$21)=Inputs!$D$6,Inputs!$D$24,Inputs!$D$6)+SUMPRODUCT(--(K1708&gt;$D$1708:$M$1708),--(MOD(K1708-$D$1708:$M$1708,Inputs!$D$21)=Inputs!$D$6),$D$1715:$M$1715)</f>
        <v>279.10000000000014</v>
      </c>
      <c r="L1716" s="28">
        <f>IF(MOD(L1708,Inputs!$D$21)=Inputs!$D$6,Inputs!$D$24,Inputs!$D$6)+SUMPRODUCT(--(L1708&gt;$D$1708:$M$1708),--(MOD(L1708-$D$1708:$M$1708,Inputs!$D$21)=Inputs!$D$6),$D$1715:$M$1715)</f>
        <v>233.10000000000002</v>
      </c>
      <c r="M1716" s="28">
        <f>IF(MOD(M1708,Inputs!$D$21)=Inputs!$D$6,Inputs!$D$24,Inputs!$D$6)+SUMPRODUCT(--(M1708&gt;$D$1708:$M$1708),--(MOD(M1708-$D$1708:$M$1708,Inputs!$D$21)=Inputs!$D$6),$D$1715:$M$1715)</f>
        <v>621.6</v>
      </c>
    </row>
    <row r="1717" spans="1:13" ht="15" customHeight="1" x14ac:dyDescent="0.2">
      <c r="B1717" s="10" t="s">
        <v>895</v>
      </c>
      <c r="C1717" s="10" t="s">
        <v>896</v>
      </c>
      <c r="D1717" s="28">
        <f t="shared" ref="D1717:M1717" si="372">D1714*D1711</f>
        <v>116.15482546201234</v>
      </c>
      <c r="E1717" s="28">
        <f t="shared" si="372"/>
        <v>589.90000000000009</v>
      </c>
      <c r="F1717" s="28">
        <f t="shared" si="372"/>
        <v>1133.8</v>
      </c>
      <c r="G1717" s="28">
        <f t="shared" si="372"/>
        <v>1483.4499999999998</v>
      </c>
      <c r="H1717" s="28">
        <f t="shared" si="372"/>
        <v>1600</v>
      </c>
      <c r="I1717" s="28">
        <f t="shared" si="372"/>
        <v>1600</v>
      </c>
      <c r="J1717" s="28">
        <f t="shared" si="372"/>
        <v>1600</v>
      </c>
      <c r="K1717" s="28">
        <f t="shared" si="372"/>
        <v>1600</v>
      </c>
      <c r="L1717" s="28">
        <f t="shared" si="372"/>
        <v>1600</v>
      </c>
      <c r="M1717" s="28">
        <f t="shared" si="372"/>
        <v>1600</v>
      </c>
    </row>
    <row r="1718" spans="1:13" ht="15" customHeight="1" x14ac:dyDescent="0.2">
      <c r="B1718" s="10" t="s">
        <v>897</v>
      </c>
      <c r="C1718" s="10" t="s">
        <v>110</v>
      </c>
      <c r="D1718" s="16">
        <f>D1717*($D$1737/Inputs!$D$21+$D$1738/Inputs!$D$22)</f>
        <v>1680.51014411561</v>
      </c>
      <c r="E1718" s="16">
        <f>E1717*($D$1737/Inputs!$D$21+$D$1738/Inputs!$D$22)</f>
        <v>8534.5824426210111</v>
      </c>
      <c r="F1718" s="16">
        <f>F1717*($D$1737/Inputs!$D$21+$D$1738/Inputs!$D$22)</f>
        <v>16403.643962440583</v>
      </c>
      <c r="G1718" s="16">
        <f>G1717*($D$1737/Inputs!$D$21+$D$1738/Inputs!$D$22)</f>
        <v>21462.326368038881</v>
      </c>
      <c r="H1718" s="16">
        <f>H1717*($D$1737/Inputs!$D$21+$D$1738/Inputs!$D$22)</f>
        <v>23148.553836571649</v>
      </c>
      <c r="I1718" s="16">
        <f>I1717*($D$1737/Inputs!$D$21+$D$1738/Inputs!$D$22)</f>
        <v>23148.553836571649</v>
      </c>
      <c r="J1718" s="16">
        <f>J1717*($D$1737/Inputs!$D$21+$D$1738/Inputs!$D$22)</f>
        <v>23148.553836571649</v>
      </c>
      <c r="K1718" s="16">
        <f>K1717*($D$1737/Inputs!$D$21+$D$1738/Inputs!$D$22)</f>
        <v>23148.553836571649</v>
      </c>
      <c r="L1718" s="16">
        <f>L1717*($D$1737/Inputs!$D$21+$D$1738/Inputs!$D$22)</f>
        <v>23148.553836571649</v>
      </c>
      <c r="M1718" s="16">
        <f>M1717*($D$1737/Inputs!$D$21+$D$1738/Inputs!$D$22)</f>
        <v>23148.553836571649</v>
      </c>
    </row>
    <row r="1719" spans="1:13" ht="15" customHeight="1" x14ac:dyDescent="0.2">
      <c r="B1719" s="10" t="s">
        <v>898</v>
      </c>
      <c r="C1719" s="10" t="s">
        <v>110</v>
      </c>
      <c r="D1719" s="16">
        <f t="shared" ref="D1719:M1719" si="373">D1715*($D$1737+$D$1738)</f>
        <v>13977.887419483886</v>
      </c>
      <c r="E1719" s="16">
        <f t="shared" si="373"/>
        <v>37274.36645195703</v>
      </c>
      <c r="F1719" s="16">
        <f t="shared" si="373"/>
        <v>27955.774838967762</v>
      </c>
      <c r="G1719" s="16">
        <f t="shared" si="373"/>
        <v>13977.887419483894</v>
      </c>
      <c r="H1719" s="16">
        <f t="shared" si="373"/>
        <v>0</v>
      </c>
      <c r="I1719" s="16">
        <f t="shared" si="373"/>
        <v>0</v>
      </c>
      <c r="J1719" s="16">
        <f t="shared" si="373"/>
        <v>0</v>
      </c>
      <c r="K1719" s="16">
        <f t="shared" si="373"/>
        <v>0</v>
      </c>
      <c r="L1719" s="16">
        <f t="shared" si="373"/>
        <v>0</v>
      </c>
      <c r="M1719" s="16">
        <f t="shared" si="373"/>
        <v>0</v>
      </c>
    </row>
    <row r="1720" spans="1:13" ht="15" customHeight="1" x14ac:dyDescent="0.2">
      <c r="B1720" s="10" t="s">
        <v>899</v>
      </c>
      <c r="C1720" s="10" t="s">
        <v>110</v>
      </c>
      <c r="D1720" s="16">
        <f t="shared" ref="D1720:M1720" si="374">D1716*$D$1737</f>
        <v>0</v>
      </c>
      <c r="E1720" s="16">
        <f t="shared" si="374"/>
        <v>0</v>
      </c>
      <c r="F1720" s="16">
        <f t="shared" si="374"/>
        <v>0</v>
      </c>
      <c r="G1720" s="16">
        <f t="shared" si="374"/>
        <v>2638.0048485671714</v>
      </c>
      <c r="H1720" s="16">
        <f t="shared" si="374"/>
        <v>13367.802830456689</v>
      </c>
      <c r="I1720" s="16">
        <f t="shared" si="374"/>
        <v>35647.47421455117</v>
      </c>
      <c r="J1720" s="16">
        <f t="shared" si="374"/>
        <v>26735.605660913367</v>
      </c>
      <c r="K1720" s="16">
        <f t="shared" si="374"/>
        <v>16005.807679023867</v>
      </c>
      <c r="L1720" s="16">
        <f t="shared" si="374"/>
        <v>13367.802830456689</v>
      </c>
      <c r="M1720" s="16">
        <f t="shared" si="374"/>
        <v>35647.47421455117</v>
      </c>
    </row>
    <row r="1721" spans="1:13" ht="15" customHeight="1" x14ac:dyDescent="0.2">
      <c r="B1721" s="10" t="s">
        <v>900</v>
      </c>
      <c r="C1721" s="10" t="s">
        <v>199</v>
      </c>
      <c r="D1721" s="28">
        <f>D1715*Inputs!$D$23</f>
        <v>5.8275000000000006</v>
      </c>
      <c r="E1721" s="28">
        <f>E1715*Inputs!$D$23</f>
        <v>15.540000000000001</v>
      </c>
      <c r="F1721" s="28">
        <f>F1715*Inputs!$D$23</f>
        <v>11.654999999999996</v>
      </c>
      <c r="G1721" s="28">
        <f>G1715*Inputs!$D$23</f>
        <v>5.8275000000000041</v>
      </c>
      <c r="H1721" s="28">
        <f>H1715*Inputs!$D$23</f>
        <v>0</v>
      </c>
      <c r="I1721" s="28">
        <f>I1715*Inputs!$D$23</f>
        <v>0</v>
      </c>
      <c r="J1721" s="28">
        <f>J1715*Inputs!$D$23</f>
        <v>0</v>
      </c>
      <c r="K1721" s="28">
        <f>K1715*Inputs!$D$23</f>
        <v>0</v>
      </c>
      <c r="L1721" s="28">
        <f>L1715*Inputs!$D$23</f>
        <v>0</v>
      </c>
      <c r="M1721" s="28">
        <f>M1715*Inputs!$D$23</f>
        <v>0</v>
      </c>
    </row>
    <row r="1722" spans="1:13" ht="15" customHeight="1" x14ac:dyDescent="0.2">
      <c r="B1722" s="3" t="s">
        <v>901</v>
      </c>
      <c r="C1722" s="10" t="s">
        <v>896</v>
      </c>
      <c r="D1722" s="28">
        <f>(D1717*$D$1735*(Inputs!$D$7-Inputs!$D$19)-D1721)/(Inputs!$D$7+$D$1736)^D1710</f>
        <v>50.541318213721269</v>
      </c>
      <c r="E1722" s="28">
        <f>(E1717*$D$1735*(Inputs!$D$7-Inputs!$D$19)-E1721)/(Inputs!$D$7+$D$1736)^E1710</f>
        <v>238.4864713152904</v>
      </c>
      <c r="F1722" s="28">
        <f>(F1717*$D$1735*(Inputs!$D$7-Inputs!$D$19)-F1721)/(Inputs!$D$7+$D$1736)^F1710</f>
        <v>418.74491871678316</v>
      </c>
      <c r="G1722" s="28">
        <f>(G1717*$D$1735*(Inputs!$D$7-Inputs!$D$19)-G1721)/(Inputs!$D$7+$D$1736)^G1710</f>
        <v>490.87392073514752</v>
      </c>
      <c r="H1722" s="28">
        <f>(H1717*$D$1735*(Inputs!$D$7-Inputs!$D$19)-H1721)/(Inputs!$D$7+$D$1736)^H1710</f>
        <v>472.10300862628105</v>
      </c>
      <c r="I1722" s="28">
        <f>(I1717*$D$1735*(Inputs!$D$7-Inputs!$D$19)-I1721)/(Inputs!$D$7+$D$1736)^I1710</f>
        <v>417.68543753228789</v>
      </c>
      <c r="J1722" s="28">
        <f>(J1717*$D$1735*(Inputs!$D$7-Inputs!$D$19)-J1721)/(Inputs!$D$7+$D$1736)^J1710</f>
        <v>369.66405292491049</v>
      </c>
      <c r="K1722" s="28">
        <f>(K1717*$D$1735*(Inputs!$D$7-Inputs!$D$19)-K1721)/(Inputs!$D$7+$D$1736)^K1710</f>
        <v>327.16369723641031</v>
      </c>
      <c r="L1722" s="28">
        <f>(L1717*$D$1735*(Inputs!$D$7-Inputs!$D$19)-L1721)/(Inputs!$D$7+$D$1736)^L1710</f>
        <v>289.54961658427663</v>
      </c>
      <c r="M1722" s="28">
        <f>(M1717*$D$1735*(Inputs!$D$7-Inputs!$D$19)-M1721)/(Inputs!$D$7+$D$1736)^M1710</f>
        <v>256.17430111750662</v>
      </c>
    </row>
    <row r="1723" spans="1:13" ht="15" customHeight="1" x14ac:dyDescent="0.2">
      <c r="B1723" s="10" t="s">
        <v>902</v>
      </c>
      <c r="C1723" s="10" t="s">
        <v>110</v>
      </c>
      <c r="D1723" s="16">
        <f>(D1718*Inputs!$D$19-D1719-D1720)/(Inputs!$D$7+$D$1736)^D1710</f>
        <v>-12346.937146613671</v>
      </c>
      <c r="E1723" s="16">
        <f>(E1718*Inputs!$D$19-E1719-E1720)/(Inputs!$D$7+$D$1736)^E1710</f>
        <v>-28144.165592831177</v>
      </c>
      <c r="F1723" s="16">
        <f>(F1718*Inputs!$D$19-F1719-F1720)/(Inputs!$D$7+$D$1736)^F1710</f>
        <v>-16528.13772562052</v>
      </c>
      <c r="G1723" s="16">
        <f>(G1718*Inputs!$D$19-G1719-G1720)/(Inputs!$D$7+$D$1736)^G1710</f>
        <v>-6462.9033875784253</v>
      </c>
      <c r="H1723" s="16">
        <f>(H1718*Inputs!$D$19-H1719-H1720)/(Inputs!$D$7+$D$1736)^H1710</f>
        <v>-3610.0349541710043</v>
      </c>
      <c r="I1723" s="16">
        <f>(I1718*Inputs!$D$19-I1719-I1720)/(Inputs!$D$7+$D$1736)^I1710</f>
        <v>-14272.365134506323</v>
      </c>
      <c r="J1723" s="16">
        <f>(J1718*Inputs!$D$19-J1719-J1720)/(Inputs!$D$7+$D$1736)^J1710</f>
        <v>-8709.5665200501735</v>
      </c>
      <c r="K1723" s="16">
        <f>(K1718*Inputs!$D$19-K1719-K1720)/(Inputs!$D$7+$D$1736)^K1710</f>
        <v>-3529.1777141306115</v>
      </c>
      <c r="L1723" s="16">
        <f>(L1718*Inputs!$D$19-L1719-L1720)/(Inputs!$D$7+$D$1736)^L1710</f>
        <v>-2214.1020449702382</v>
      </c>
      <c r="M1723" s="16">
        <f>(M1718*Inputs!$D$19-M1719-M1720)/(Inputs!$D$7+$D$1736)^M1710</f>
        <v>-8753.5088252709138</v>
      </c>
    </row>
    <row r="1724" spans="1:13" ht="15" customHeight="1" x14ac:dyDescent="0.2">
      <c r="B1724" s="10" t="s">
        <v>903</v>
      </c>
      <c r="C1724" s="10" t="s">
        <v>110</v>
      </c>
      <c r="D1724" s="16">
        <f t="shared" ref="D1724:M1724" si="375">D1717*$D$1734</f>
        <v>3341.0468823681058</v>
      </c>
      <c r="E1724" s="16">
        <f t="shared" si="375"/>
        <v>16967.728616264078</v>
      </c>
      <c r="F1724" s="16">
        <f t="shared" si="375"/>
        <v>32612.325318054256</v>
      </c>
      <c r="G1724" s="16">
        <f t="shared" si="375"/>
        <v>42669.566054919371</v>
      </c>
      <c r="H1724" s="16">
        <f t="shared" si="375"/>
        <v>46021.97963387442</v>
      </c>
      <c r="I1724" s="16">
        <f t="shared" si="375"/>
        <v>46021.97963387442</v>
      </c>
      <c r="J1724" s="16">
        <f t="shared" si="375"/>
        <v>46021.97963387442</v>
      </c>
      <c r="K1724" s="16">
        <f t="shared" si="375"/>
        <v>46021.97963387442</v>
      </c>
      <c r="L1724" s="16">
        <f t="shared" si="375"/>
        <v>46021.97963387442</v>
      </c>
      <c r="M1724" s="16">
        <f t="shared" si="375"/>
        <v>46021.97963387442</v>
      </c>
    </row>
    <row r="1725" spans="1:13" ht="15" customHeight="1" x14ac:dyDescent="0.2">
      <c r="B1725" s="10" t="s">
        <v>904</v>
      </c>
      <c r="C1725" s="10" t="s">
        <v>110</v>
      </c>
      <c r="D1725" s="16">
        <f t="shared" ref="D1725:M1725" si="376">D1724*$D$1735</f>
        <v>2505.7851617760793</v>
      </c>
      <c r="E1725" s="16">
        <f t="shared" si="376"/>
        <v>12725.796462198057</v>
      </c>
      <c r="F1725" s="16">
        <f t="shared" si="376"/>
        <v>24459.243988540693</v>
      </c>
      <c r="G1725" s="16">
        <f t="shared" si="376"/>
        <v>32002.174541189528</v>
      </c>
      <c r="H1725" s="16">
        <f t="shared" si="376"/>
        <v>34516.484725405811</v>
      </c>
      <c r="I1725" s="16">
        <f t="shared" si="376"/>
        <v>34516.484725405811</v>
      </c>
      <c r="J1725" s="16">
        <f t="shared" si="376"/>
        <v>34516.484725405811</v>
      </c>
      <c r="K1725" s="16">
        <f t="shared" si="376"/>
        <v>34516.484725405811</v>
      </c>
      <c r="L1725" s="16">
        <f t="shared" si="376"/>
        <v>34516.484725405811</v>
      </c>
      <c r="M1725" s="16">
        <f t="shared" si="376"/>
        <v>34516.484725405811</v>
      </c>
    </row>
    <row r="1726" spans="1:13" ht="15" customHeight="1" x14ac:dyDescent="0.2">
      <c r="B1726" s="10" t="s">
        <v>905</v>
      </c>
      <c r="C1726" s="10" t="s">
        <v>110</v>
      </c>
      <c r="D1726" s="16">
        <f t="shared" ref="D1726:M1726" si="377">D1725-D1718</f>
        <v>825.2750176604693</v>
      </c>
      <c r="E1726" s="16">
        <f t="shared" si="377"/>
        <v>4191.2140195770462</v>
      </c>
      <c r="F1726" s="16">
        <f t="shared" si="377"/>
        <v>8055.60002610011</v>
      </c>
      <c r="G1726" s="16">
        <f t="shared" si="377"/>
        <v>10539.848173150647</v>
      </c>
      <c r="H1726" s="16">
        <f t="shared" si="377"/>
        <v>11367.930888834162</v>
      </c>
      <c r="I1726" s="16">
        <f t="shared" si="377"/>
        <v>11367.930888834162</v>
      </c>
      <c r="J1726" s="16">
        <f t="shared" si="377"/>
        <v>11367.930888834162</v>
      </c>
      <c r="K1726" s="16">
        <f t="shared" si="377"/>
        <v>11367.930888834162</v>
      </c>
      <c r="L1726" s="16">
        <f t="shared" si="377"/>
        <v>11367.930888834162</v>
      </c>
      <c r="M1726" s="16">
        <f t="shared" si="377"/>
        <v>11367.930888834162</v>
      </c>
    </row>
    <row r="1727" spans="1:13" ht="15" customHeight="1" x14ac:dyDescent="0.2">
      <c r="B1727" s="10" t="s">
        <v>906</v>
      </c>
      <c r="C1727" s="10" t="s">
        <v>110</v>
      </c>
      <c r="D1727" s="16">
        <f>MAX(D1726,Inputs!$D$6)*Inputs!$D$19</f>
        <v>247.58250529814077</v>
      </c>
      <c r="E1727" s="16">
        <f>MAX(E1726,Inputs!$D$6)*Inputs!$D$19</f>
        <v>1257.3642058731139</v>
      </c>
      <c r="F1727" s="16">
        <f>MAX(F1726,Inputs!$D$6)*Inputs!$D$19</f>
        <v>2416.680007830033</v>
      </c>
      <c r="G1727" s="16">
        <f>MAX(G1726,Inputs!$D$6)*Inputs!$D$19</f>
        <v>3161.9544519451943</v>
      </c>
      <c r="H1727" s="16">
        <f>MAX(H1726,Inputs!$D$6)*Inputs!$D$19</f>
        <v>3410.3792666502486</v>
      </c>
      <c r="I1727" s="16">
        <f>MAX(I1726,Inputs!$D$6)*Inputs!$D$19</f>
        <v>3410.3792666502486</v>
      </c>
      <c r="J1727" s="16">
        <f>MAX(J1726,Inputs!$D$6)*Inputs!$D$19</f>
        <v>3410.3792666502486</v>
      </c>
      <c r="K1727" s="16">
        <f>MAX(K1726,Inputs!$D$6)*Inputs!$D$19</f>
        <v>3410.3792666502486</v>
      </c>
      <c r="L1727" s="16">
        <f>MAX(L1726,Inputs!$D$6)*Inputs!$D$19</f>
        <v>3410.3792666502486</v>
      </c>
      <c r="M1727" s="16">
        <f>MAX(M1726,Inputs!$D$6)*Inputs!$D$19</f>
        <v>3410.3792666502486</v>
      </c>
    </row>
    <row r="1728" spans="1:13" ht="15" customHeight="1" x14ac:dyDescent="0.2">
      <c r="B1728" s="10" t="s">
        <v>907</v>
      </c>
      <c r="C1728" s="10" t="s">
        <v>110</v>
      </c>
      <c r="D1728" s="16">
        <f t="shared" ref="D1728:M1728" si="378">D1721*$D$1734</f>
        <v>167.620678947752</v>
      </c>
      <c r="E1728" s="16">
        <f t="shared" si="378"/>
        <v>446.98847719400533</v>
      </c>
      <c r="F1728" s="16">
        <f t="shared" si="378"/>
        <v>335.24135789550382</v>
      </c>
      <c r="G1728" s="16">
        <f t="shared" si="378"/>
        <v>167.62067894775211</v>
      </c>
      <c r="H1728" s="16">
        <f t="shared" si="378"/>
        <v>0</v>
      </c>
      <c r="I1728" s="16">
        <f t="shared" si="378"/>
        <v>0</v>
      </c>
      <c r="J1728" s="16">
        <f t="shared" si="378"/>
        <v>0</v>
      </c>
      <c r="K1728" s="16">
        <f t="shared" si="378"/>
        <v>0</v>
      </c>
      <c r="L1728" s="16">
        <f t="shared" si="378"/>
        <v>0</v>
      </c>
      <c r="M1728" s="16">
        <f t="shared" si="378"/>
        <v>0</v>
      </c>
    </row>
    <row r="1729" spans="2:13" ht="15" customHeight="1" x14ac:dyDescent="0.2">
      <c r="B1729" s="10" t="s">
        <v>908</v>
      </c>
      <c r="C1729" s="10" t="s">
        <v>110</v>
      </c>
      <c r="D1729" s="16">
        <f t="shared" ref="D1729:M1729" si="379">D1725-D1727-D1719-D1720-D1728</f>
        <v>-11887.3054419537</v>
      </c>
      <c r="E1729" s="16">
        <f t="shared" si="379"/>
        <v>-26252.922672826091</v>
      </c>
      <c r="F1729" s="16">
        <f t="shared" si="379"/>
        <v>-6248.4522161526056</v>
      </c>
      <c r="G1729" s="16">
        <f t="shared" si="379"/>
        <v>12056.707142245514</v>
      </c>
      <c r="H1729" s="16">
        <f t="shared" si="379"/>
        <v>17738.302628298872</v>
      </c>
      <c r="I1729" s="16">
        <f t="shared" si="379"/>
        <v>-4541.3687557956073</v>
      </c>
      <c r="J1729" s="16">
        <f t="shared" si="379"/>
        <v>4370.4997978421961</v>
      </c>
      <c r="K1729" s="16">
        <f t="shared" si="379"/>
        <v>15100.297779731696</v>
      </c>
      <c r="L1729" s="16">
        <f t="shared" si="379"/>
        <v>17738.302628298872</v>
      </c>
      <c r="M1729" s="16">
        <f t="shared" si="379"/>
        <v>-4541.3687557956073</v>
      </c>
    </row>
    <row r="1730" spans="2:13" ht="15" customHeight="1" x14ac:dyDescent="0.2">
      <c r="B1730" s="10" t="s">
        <v>909</v>
      </c>
      <c r="C1730" s="10" t="s">
        <v>110</v>
      </c>
      <c r="D1730" s="16">
        <f>D1729/(Inputs!$D$7+$D$1736)^D1710</f>
        <v>-10893.179948175517</v>
      </c>
      <c r="E1730" s="16">
        <f>E1729/(Inputs!$D$7+$D$1736)^E1710</f>
        <v>-21284.403389189381</v>
      </c>
      <c r="F1730" s="16">
        <f>F1729/(Inputs!$D$7+$D$1736)^F1710</f>
        <v>-4483.4689000128974</v>
      </c>
      <c r="G1730" s="16">
        <f>G1729/(Inputs!$D$7+$D$1736)^G1710</f>
        <v>7656.4651017172246</v>
      </c>
      <c r="H1730" s="16">
        <f>H1729/(Inputs!$D$7+$D$1736)^H1710</f>
        <v>9969.4119508849599</v>
      </c>
      <c r="I1730" s="16">
        <f>I1729/(Inputs!$D$7+$D$1736)^I1710</f>
        <v>-2258.1709473332739</v>
      </c>
      <c r="J1730" s="16">
        <f>J1729/(Inputs!$D$7+$D$1736)^J1710</f>
        <v>1923.3531768783907</v>
      </c>
      <c r="K1730" s="16">
        <f>K1729/(Inputs!$D$7+$D$1736)^K1710</f>
        <v>5881.2729178425943</v>
      </c>
      <c r="L1730" s="16">
        <f>L1729/(Inputs!$D$7+$D$1736)^L1710</f>
        <v>6114.4270534283387</v>
      </c>
      <c r="M1730" s="16">
        <f>M1729/(Inputs!$D$7+$D$1736)^M1710</f>
        <v>-1384.9785323009764</v>
      </c>
    </row>
    <row r="1731" spans="2:13" ht="15" customHeight="1" x14ac:dyDescent="0.2">
      <c r="B1731" s="3" t="s">
        <v>910</v>
      </c>
      <c r="C1731" s="10" t="s">
        <v>896</v>
      </c>
      <c r="D1731" s="28">
        <f>(D1717*$D$1735-D1721)/(Inputs!$D$7+$D$1736)^D1710</f>
        <v>74.490519309095831</v>
      </c>
      <c r="E1731" s="28">
        <f>(E1717*$D$1735-E1721)/(Inputs!$D$7+$D$1736)^E1710</f>
        <v>346.09451503846662</v>
      </c>
      <c r="F1731" s="28">
        <f>(F1717*$D$1735-F1721)/(Inputs!$D$7+$D$1736)^F1710</f>
        <v>601.79110266312398</v>
      </c>
      <c r="G1731" s="28">
        <f>(G1717*$D$1735-G1721)/(Inputs!$D$7+$D$1736)^G1710</f>
        <v>702.83446516544734</v>
      </c>
      <c r="H1731" s="28">
        <f>(H1717*$D$1735-H1721)/(Inputs!$D$7+$D$1736)^H1710</f>
        <v>674.43286946611579</v>
      </c>
      <c r="I1731" s="28">
        <f>(I1717*$D$1735-I1721)/(Inputs!$D$7+$D$1736)^I1710</f>
        <v>596.69348218898278</v>
      </c>
      <c r="J1731" s="28">
        <f>(J1717*$D$1735-J1721)/(Inputs!$D$7+$D$1736)^J1710</f>
        <v>528.09150417844353</v>
      </c>
      <c r="K1731" s="28">
        <f>(K1717*$D$1735-K1721)/(Inputs!$D$7+$D$1736)^K1710</f>
        <v>467.37671033772904</v>
      </c>
      <c r="L1731" s="28">
        <f>(L1717*$D$1735-L1721)/(Inputs!$D$7+$D$1736)^L1710</f>
        <v>413.64230940610946</v>
      </c>
      <c r="M1731" s="28">
        <f>(M1717*$D$1735-M1721)/(Inputs!$D$7+$D$1736)^M1710</f>
        <v>365.96328731072373</v>
      </c>
    </row>
    <row r="1732" spans="2:13" ht="15" customHeight="1" x14ac:dyDescent="0.2">
      <c r="B1732" s="10" t="s">
        <v>911</v>
      </c>
      <c r="C1732" s="10" t="s">
        <v>110</v>
      </c>
      <c r="D1732" s="16">
        <f>(-D1719-D1720)/(Inputs!$D$7+$D$1736)^D1710</f>
        <v>-12808.928289029636</v>
      </c>
      <c r="E1732" s="16">
        <f>(-E1719-E1720)/(Inputs!$D$7+$D$1736)^E1710</f>
        <v>-30219.974420642928</v>
      </c>
      <c r="F1732" s="16">
        <f>(-F1719-F1720)/(Inputs!$D$7+$D$1736)^F1710</f>
        <v>-20059.183095337907</v>
      </c>
      <c r="G1732" s="16">
        <f>(-G1719-G1720)/(Inputs!$D$7+$D$1736)^G1710</f>
        <v>-10551.720115889953</v>
      </c>
      <c r="H1732" s="16">
        <f>(-H1719-H1720)/(Inputs!$D$7+$D$1736)^H1710</f>
        <v>-7513.0713511684744</v>
      </c>
      <c r="I1732" s="16">
        <f>(-I1719-I1720)/(Inputs!$D$7+$D$1736)^I1710</f>
        <v>-17725.512933602091</v>
      </c>
      <c r="J1732" s="16">
        <f>(-J1719-J1720)/(Inputs!$D$7+$D$1736)^J1710</f>
        <v>-11765.705173827875</v>
      </c>
      <c r="K1732" s="16">
        <f>(-K1719-K1720)/(Inputs!$D$7+$D$1736)^K1710</f>
        <v>-6233.95144943378</v>
      </c>
      <c r="L1732" s="16">
        <f>(-L1719-L1720)/(Inputs!$D$7+$D$1736)^L1710</f>
        <v>-4607.9073620630261</v>
      </c>
      <c r="M1732" s="16">
        <f>(-M1719-M1720)/(Inputs!$D$7+$D$1736)^M1710</f>
        <v>-10871.389039901173</v>
      </c>
    </row>
    <row r="1733" spans="2:13" ht="15" customHeight="1" x14ac:dyDescent="0.2">
      <c r="B1733" s="10" t="s">
        <v>912</v>
      </c>
      <c r="C1733" s="10" t="s">
        <v>110</v>
      </c>
      <c r="D1733" s="16">
        <f>Prices!I12</f>
        <v>7880.7852127812012</v>
      </c>
    </row>
    <row r="1734" spans="2:13" ht="15" customHeight="1" x14ac:dyDescent="0.2">
      <c r="B1734" s="3" t="s">
        <v>913</v>
      </c>
      <c r="C1734" s="10" t="s">
        <v>914</v>
      </c>
      <c r="D1734" s="28">
        <f>IF(J1741&gt;=J1737,J1741,(D1733-J1740)/J1739)</f>
        <v>28.763737271171511</v>
      </c>
      <c r="G1734" s="99" t="s">
        <v>915</v>
      </c>
      <c r="H1734" s="91"/>
      <c r="I1734" s="91"/>
      <c r="J1734" s="28">
        <f>D1734*Inputs!$D$15</f>
        <v>20.074212241550597</v>
      </c>
      <c r="K1734" s="99" t="s">
        <v>916</v>
      </c>
      <c r="L1734" s="91"/>
      <c r="M1734" s="91"/>
    </row>
    <row r="1735" spans="2:13" ht="15" customHeight="1" x14ac:dyDescent="0.2">
      <c r="B1735" s="10" t="s">
        <v>917</v>
      </c>
      <c r="C1735" s="10" t="s">
        <v>104</v>
      </c>
      <c r="D1735" s="30">
        <f>Inputs!$D$94</f>
        <v>0.75</v>
      </c>
      <c r="G1735" s="99" t="s">
        <v>918</v>
      </c>
      <c r="H1735" s="91"/>
      <c r="I1735" s="91"/>
      <c r="J1735" s="28">
        <f>IF(-D1746/D1745&gt;=J1737,-D1746/D1745,-J1740/J1739)</f>
        <v>27.411702074287536</v>
      </c>
      <c r="K1735" s="99" t="s">
        <v>919</v>
      </c>
      <c r="L1735" s="91"/>
      <c r="M1735" s="91"/>
    </row>
    <row r="1736" spans="2:13" ht="15" customHeight="1" x14ac:dyDescent="0.2">
      <c r="B1736" s="10" t="s">
        <v>920</v>
      </c>
      <c r="C1736" s="10" t="s">
        <v>104</v>
      </c>
      <c r="D1736" s="30">
        <f>Inputs!$D$95</f>
        <v>0.13</v>
      </c>
      <c r="G1736" s="99" t="s">
        <v>918</v>
      </c>
      <c r="H1736" s="91"/>
      <c r="I1736" s="91"/>
      <c r="J1736" s="28">
        <f>J1735*Inputs!$D$15</f>
        <v>19.13062687764527</v>
      </c>
      <c r="K1736" s="99" t="s">
        <v>916</v>
      </c>
      <c r="L1736" s="91"/>
      <c r="M1736" s="91"/>
    </row>
    <row r="1737" spans="2:13" ht="15" customHeight="1" x14ac:dyDescent="0.2">
      <c r="B1737" s="3" t="s">
        <v>921</v>
      </c>
      <c r="C1737" s="10" t="s">
        <v>848</v>
      </c>
      <c r="D1737" s="28">
        <f>Capital!$D$13</f>
        <v>57.347931490590682</v>
      </c>
      <c r="G1737" s="99" t="s">
        <v>922</v>
      </c>
      <c r="H1737" s="91"/>
      <c r="I1737" s="91"/>
      <c r="J1737" s="28">
        <f>($D$1737/Inputs!$D$21+$D$1738/Inputs!$D$22)/$D$1735</f>
        <v>19.290461530476374</v>
      </c>
      <c r="K1737" s="99" t="s">
        <v>919</v>
      </c>
      <c r="L1737" s="91"/>
      <c r="M1737" s="91"/>
    </row>
    <row r="1738" spans="2:13" ht="15" customHeight="1" x14ac:dyDescent="0.2">
      <c r="B1738" s="3" t="s">
        <v>923</v>
      </c>
      <c r="C1738" s="10" t="s">
        <v>848</v>
      </c>
      <c r="D1738" s="28">
        <f>Capital!$D$14</f>
        <v>2.6172655041921802</v>
      </c>
    </row>
    <row r="1739" spans="2:13" ht="15" customHeight="1" x14ac:dyDescent="0.2">
      <c r="B1739" s="10" t="s">
        <v>924</v>
      </c>
      <c r="C1739" s="10" t="s">
        <v>896</v>
      </c>
      <c r="D1739" s="28">
        <f>(M1712*(Inputs!$D$7+Inputs!$D$20)*$D$1735*(Inputs!$D$7-Inputs!$D$19)-M1712*Inputs!$D$20*Inputs!$D$23)/($D$1736-Inputs!$D$20)/(Inputs!$D$7+$D$1736)^M1710</f>
        <v>2497.8446594223992</v>
      </c>
      <c r="G1739" s="92" t="s">
        <v>910</v>
      </c>
      <c r="H1739" s="91"/>
      <c r="I1739" s="91"/>
      <c r="J1739" s="28">
        <f>SUM(D1731:M1731)+(M1712*(Inputs!$D$7+Inputs!$D$20)*$D$1735-M1712*Inputs!$D$20*Inputs!$D$23)/($D$1736-Inputs!$D$20)/(Inputs!$D$7+$D$1736)^M1710</f>
        <v>8341.0050516109004</v>
      </c>
      <c r="K1739" s="99" t="s">
        <v>896</v>
      </c>
      <c r="L1739" s="91"/>
      <c r="M1739" s="91"/>
    </row>
    <row r="1740" spans="2:13" ht="15" customHeight="1" x14ac:dyDescent="0.2">
      <c r="B1740" s="10" t="s">
        <v>925</v>
      </c>
      <c r="C1740" s="10" t="s">
        <v>110</v>
      </c>
      <c r="D1740" s="16">
        <f>(D1743*Inputs!$D$19-D1743-D1744)/($D$1736-Inputs!$D$20)/(Inputs!$D$7+$D$1736)^M1710</f>
        <v>-55207.290798783099</v>
      </c>
      <c r="G1740" s="92" t="s">
        <v>926</v>
      </c>
      <c r="H1740" s="91"/>
      <c r="I1740" s="91"/>
      <c r="J1740" s="16">
        <f>SUM(D1732:M1732)-(D1743+D1744)/($D$1736-Inputs!$D$20)/(Inputs!$D$7+$D$1736)^M1710</f>
        <v>-208239.17898202292</v>
      </c>
      <c r="K1740" s="99" t="s">
        <v>110</v>
      </c>
      <c r="L1740" s="91"/>
      <c r="M1740" s="91"/>
    </row>
    <row r="1741" spans="2:13" ht="15" customHeight="1" x14ac:dyDescent="0.2">
      <c r="B1741" s="10" t="s">
        <v>927</v>
      </c>
      <c r="C1741" s="10" t="s">
        <v>928</v>
      </c>
      <c r="D1741" s="16">
        <f>(M1712*(Inputs!$D$7+Inputs!$D$20)*$D$1734*$D$1735-D1743)-MAX((M1712*(Inputs!$D$7+Inputs!$D$20)*$D$1734*$D$1735-D1743),Inputs!$D$6)*Inputs!$D$19-D1744-M1712*Inputs!$D$20*$D$1734*Inputs!$D$23</f>
        <v>5729.1187956760268</v>
      </c>
      <c r="G1741" s="99" t="s">
        <v>929</v>
      </c>
      <c r="H1741" s="91"/>
      <c r="I1741" s="91"/>
      <c r="J1741" s="28">
        <f>(D1733-D1746)/D1745</f>
        <v>28.763737271171511</v>
      </c>
      <c r="K1741" s="99" t="s">
        <v>919</v>
      </c>
      <c r="L1741" s="91"/>
      <c r="M1741" s="91"/>
    </row>
    <row r="1742" spans="2:13" ht="15" customHeight="1" x14ac:dyDescent="0.2">
      <c r="B1742" s="10" t="s">
        <v>930</v>
      </c>
      <c r="C1742" s="10" t="s">
        <v>110</v>
      </c>
      <c r="D1742" s="16">
        <f>D1741/($D$1736-Inputs!$D$20)</f>
        <v>54563.036149295491</v>
      </c>
      <c r="G1742" s="99" t="s">
        <v>931</v>
      </c>
      <c r="H1742" s="91"/>
      <c r="I1742" s="91"/>
      <c r="J1742" s="16">
        <f>MIN(D1726:M1726,(M1712*(Inputs!$D$7+Inputs!$D$20)*$D$1734*$D$1735-D1743))</f>
        <v>825.2750176604693</v>
      </c>
      <c r="K1742" s="99" t="s">
        <v>110</v>
      </c>
      <c r="L1742" s="91"/>
      <c r="M1742" s="91"/>
    </row>
    <row r="1743" spans="2:13" ht="15" customHeight="1" x14ac:dyDescent="0.2">
      <c r="B1743" s="10" t="s">
        <v>932</v>
      </c>
      <c r="C1743" s="10" t="s">
        <v>928</v>
      </c>
      <c r="D1743" s="16">
        <f>M1712*(Inputs!$D$7+Inputs!$D$20)*($D$1737/Inputs!$D$21+$D$1738/Inputs!$D$22)</f>
        <v>23727.267682485937</v>
      </c>
      <c r="G1743" s="99" t="s">
        <v>933</v>
      </c>
      <c r="H1743" s="91"/>
      <c r="I1743" s="91"/>
      <c r="J1743" s="31" t="str">
        <f>IF(J1742&lt;Inputs!$D$6,"breached","satisfied")</f>
        <v>satisfied</v>
      </c>
      <c r="K1743" s="99" t="s">
        <v>934</v>
      </c>
      <c r="L1743" s="91"/>
      <c r="M1743" s="91"/>
    </row>
    <row r="1744" spans="2:13" ht="15" customHeight="1" x14ac:dyDescent="0.2">
      <c r="B1744" s="10" t="s">
        <v>935</v>
      </c>
      <c r="C1744" s="10" t="s">
        <v>928</v>
      </c>
      <c r="D1744" s="16">
        <f>M1712*Inputs!$D$20*($D$1737+$D$1738)</f>
        <v>2398.6078797913146</v>
      </c>
    </row>
    <row r="1745" spans="1:13" ht="15" customHeight="1" x14ac:dyDescent="0.2">
      <c r="B1745" s="10" t="s">
        <v>936</v>
      </c>
      <c r="C1745" s="10" t="s">
        <v>896</v>
      </c>
      <c r="D1745" s="28">
        <f>SUM(D1722:M1722)+D1739</f>
        <v>5828.8314024250149</v>
      </c>
      <c r="G1745" s="99" t="s">
        <v>937</v>
      </c>
      <c r="H1745" s="91"/>
      <c r="I1745" s="91"/>
      <c r="J1745" s="16">
        <f>D1747-D1733</f>
        <v>-5.3660187404602766E-11</v>
      </c>
      <c r="K1745" s="99" t="s">
        <v>110</v>
      </c>
      <c r="L1745" s="91"/>
      <c r="M1745" s="91"/>
    </row>
    <row r="1746" spans="1:13" ht="15" customHeight="1" x14ac:dyDescent="0.2">
      <c r="B1746" s="10" t="s">
        <v>938</v>
      </c>
      <c r="C1746" s="10" t="s">
        <v>110</v>
      </c>
      <c r="D1746" s="16">
        <f>SUM(D1723:M1723)+D1740</f>
        <v>-159778.18984452612</v>
      </c>
    </row>
    <row r="1747" spans="1:13" ht="15" customHeight="1" x14ac:dyDescent="0.2">
      <c r="B1747" s="10" t="s">
        <v>939</v>
      </c>
      <c r="C1747" s="10" t="s">
        <v>110</v>
      </c>
      <c r="D1747" s="16">
        <f>SUM(D1730:M1730)+D1742/(Inputs!$D$7+$D$1736)^M1710</f>
        <v>7880.7852127811475</v>
      </c>
    </row>
    <row r="1748" spans="1:13" ht="15" customHeight="1" x14ac:dyDescent="0.2">
      <c r="B1748" s="10" t="s">
        <v>940</v>
      </c>
      <c r="C1748" s="10" t="s">
        <v>104</v>
      </c>
      <c r="D1748" s="30">
        <f>IF(ABS(D1733)&gt;Inputs!$D$6,D1747/D1733-Inputs!$D$7,Inputs!$D$6)</f>
        <v>-6.7723604502134549E-15</v>
      </c>
    </row>
    <row r="1749" spans="1:13" ht="15" customHeight="1" x14ac:dyDescent="0.2">
      <c r="B1749" s="10" t="s">
        <v>941</v>
      </c>
      <c r="C1749" s="10" t="s">
        <v>104</v>
      </c>
      <c r="D1749" s="30">
        <f>IF(ABS(D1747)&gt;Inputs!$D$119,D1742/(Inputs!$D$7+$D$1736)^M1710/D1747,Inputs!$D$6)</f>
        <v>2.1114719256724137</v>
      </c>
    </row>
    <row r="1750" spans="1:13" ht="15" customHeight="1" x14ac:dyDescent="0.2">
      <c r="B1750" s="10" t="s">
        <v>942</v>
      </c>
      <c r="C1750" s="10" t="s">
        <v>943</v>
      </c>
      <c r="D1750" s="26">
        <f>$D$1734*Inputs!$D$8/Prices!$P$6/(Inputs!$D$26/Inputs!$D$25)/Inputs!$D$11/Inputs!$D$56</f>
        <v>5.2307729932569318</v>
      </c>
    </row>
    <row r="1754" spans="1:13" ht="15" customHeight="1" x14ac:dyDescent="0.2">
      <c r="A1754" s="104" t="s">
        <v>981</v>
      </c>
      <c r="B1754" s="10" t="s">
        <v>886</v>
      </c>
      <c r="C1754" s="10" t="s">
        <v>107</v>
      </c>
      <c r="D1754" s="28">
        <f>Inputs!$D$60</f>
        <v>1</v>
      </c>
      <c r="E1754" s="28">
        <f>Inputs!$D$62</f>
        <v>2</v>
      </c>
      <c r="F1754" s="28">
        <f>Inputs!$D$64</f>
        <v>3</v>
      </c>
      <c r="G1754" s="28">
        <f>Inputs!$D$66</f>
        <v>4</v>
      </c>
      <c r="H1754" s="28">
        <f>Inputs!$D$68</f>
        <v>5</v>
      </c>
      <c r="I1754" s="28">
        <f>Inputs!$D$70</f>
        <v>6</v>
      </c>
      <c r="J1754" s="28">
        <f>Inputs!$D$72</f>
        <v>7</v>
      </c>
      <c r="K1754" s="28">
        <f>Inputs!$D$74</f>
        <v>8</v>
      </c>
      <c r="L1754" s="28">
        <f>Inputs!$D$76</f>
        <v>9</v>
      </c>
      <c r="M1754" s="28">
        <f>Inputs!$D$78</f>
        <v>10</v>
      </c>
    </row>
    <row r="1755" spans="1:13" ht="15" customHeight="1" x14ac:dyDescent="0.2">
      <c r="A1755" s="91"/>
      <c r="B1755" s="10" t="s">
        <v>887</v>
      </c>
      <c r="C1755" s="10" t="s">
        <v>161</v>
      </c>
      <c r="D1755" s="29">
        <f>Inputs!$D$61</f>
        <v>46568</v>
      </c>
      <c r="E1755" s="29">
        <f>Inputs!$D$63</f>
        <v>46934</v>
      </c>
      <c r="F1755" s="29">
        <f>Inputs!$D$65</f>
        <v>47299</v>
      </c>
      <c r="G1755" s="29">
        <f>Inputs!$D$67</f>
        <v>47664</v>
      </c>
      <c r="H1755" s="29">
        <f>Inputs!$D$69</f>
        <v>48029</v>
      </c>
      <c r="I1755" s="29">
        <f>Inputs!$D$71</f>
        <v>48395</v>
      </c>
      <c r="J1755" s="29">
        <f>Inputs!$D$73</f>
        <v>48760</v>
      </c>
      <c r="K1755" s="29">
        <f>Inputs!$D$75</f>
        <v>49125</v>
      </c>
      <c r="L1755" s="29">
        <f>Inputs!$D$77</f>
        <v>49490</v>
      </c>
      <c r="M1755" s="29">
        <f>Inputs!$D$79</f>
        <v>49856</v>
      </c>
    </row>
    <row r="1756" spans="1:13" ht="15" customHeight="1" x14ac:dyDescent="0.2">
      <c r="A1756" s="91"/>
      <c r="B1756" s="10" t="s">
        <v>888</v>
      </c>
      <c r="C1756" s="10" t="s">
        <v>107</v>
      </c>
      <c r="D1756" s="28">
        <f>(D1755-Inputs!$D$13)/Inputs!$D$10</f>
        <v>0.71457905544147848</v>
      </c>
      <c r="E1756" s="28">
        <f>(E1755-Inputs!$D$13)/Inputs!$D$10</f>
        <v>1.7166324435318274</v>
      </c>
      <c r="F1756" s="28">
        <f>(F1755-Inputs!$D$13)/Inputs!$D$10</f>
        <v>2.7159479808350446</v>
      </c>
      <c r="G1756" s="28">
        <f>(G1755-Inputs!$D$13)/Inputs!$D$10</f>
        <v>3.7152635181382614</v>
      </c>
      <c r="H1756" s="28">
        <f>(H1755-Inputs!$D$13)/Inputs!$D$10</f>
        <v>4.7145790554414786</v>
      </c>
      <c r="I1756" s="28">
        <f>(I1755-Inputs!$D$13)/Inputs!$D$10</f>
        <v>5.7166324435318279</v>
      </c>
      <c r="J1756" s="28">
        <f>(J1755-Inputs!$D$13)/Inputs!$D$10</f>
        <v>6.7159479808350442</v>
      </c>
      <c r="K1756" s="28">
        <f>(K1755-Inputs!$D$13)/Inputs!$D$10</f>
        <v>7.7152635181382614</v>
      </c>
      <c r="L1756" s="28">
        <f>(L1755-Inputs!$D$13)/Inputs!$D$10</f>
        <v>8.7145790554414777</v>
      </c>
      <c r="M1756" s="28">
        <f>(M1755-Inputs!$D$13)/Inputs!$D$10</f>
        <v>9.716632443531827</v>
      </c>
    </row>
    <row r="1757" spans="1:13" ht="15" customHeight="1" x14ac:dyDescent="0.2">
      <c r="A1757" s="91"/>
      <c r="B1757" s="10" t="s">
        <v>889</v>
      </c>
      <c r="C1757" s="10" t="s">
        <v>107</v>
      </c>
      <c r="D1757" s="28">
        <f>D1756</f>
        <v>0.71457905544147848</v>
      </c>
      <c r="E1757" s="28">
        <f>Inputs!$D$7</f>
        <v>1</v>
      </c>
      <c r="F1757" s="28">
        <f>Inputs!$D$7</f>
        <v>1</v>
      </c>
      <c r="G1757" s="28">
        <f>Inputs!$D$7</f>
        <v>1</v>
      </c>
      <c r="H1757" s="28">
        <f>Inputs!$D$7</f>
        <v>1</v>
      </c>
      <c r="I1757" s="28">
        <f>Inputs!$D$7</f>
        <v>1</v>
      </c>
      <c r="J1757" s="28">
        <f>Inputs!$D$7</f>
        <v>1</v>
      </c>
      <c r="K1757" s="28">
        <f>Inputs!$D$7</f>
        <v>1</v>
      </c>
      <c r="L1757" s="28">
        <f>Inputs!$D$7</f>
        <v>1</v>
      </c>
      <c r="M1757" s="28">
        <f>Inputs!$D$7</f>
        <v>1</v>
      </c>
    </row>
    <row r="1758" spans="1:13" ht="15" customHeight="1" x14ac:dyDescent="0.2">
      <c r="A1758" s="91"/>
      <c r="B1758" s="3" t="s">
        <v>890</v>
      </c>
      <c r="C1758" s="10" t="s">
        <v>199</v>
      </c>
      <c r="D1758" s="28">
        <f>Inputs!$D$24+(Inputs!$D$106-Inputs!$D$24)*Inputs!$D$109</f>
        <v>170.32</v>
      </c>
      <c r="E1758" s="28">
        <f>Inputs!$D$24+(Inputs!$D$106-Inputs!$D$24)*Inputs!$D$110</f>
        <v>481.12000000000006</v>
      </c>
      <c r="F1758" s="28">
        <f>Inputs!$D$24+(Inputs!$D$106-Inputs!$D$24)*Inputs!$D$111</f>
        <v>823</v>
      </c>
      <c r="G1758" s="28">
        <f>Inputs!$D$24+(Inputs!$D$106-Inputs!$D$24)*Inputs!$D$112</f>
        <v>1211.5</v>
      </c>
      <c r="H1758" s="28">
        <f>Inputs!$D$24+(Inputs!$D$106-Inputs!$D$24)*Inputs!$D$113</f>
        <v>1600</v>
      </c>
      <c r="I1758" s="28">
        <f>Inputs!$D$24+(Inputs!$D$106-Inputs!$D$24)*Inputs!$D$114</f>
        <v>1600</v>
      </c>
      <c r="J1758" s="28">
        <f>Inputs!$D$24+(Inputs!$D$106-Inputs!$D$24)*Inputs!$D$115</f>
        <v>1600</v>
      </c>
      <c r="K1758" s="28">
        <f>Inputs!$D$24+(Inputs!$D$106-Inputs!$D$24)*Inputs!$D$116</f>
        <v>1600</v>
      </c>
      <c r="L1758" s="28">
        <f>Inputs!$D$24+(Inputs!$D$106-Inputs!$D$24)*Inputs!$D$117</f>
        <v>1600</v>
      </c>
      <c r="M1758" s="28">
        <f>Inputs!$D$24+(Inputs!$D$106-Inputs!$D$24)*Inputs!$D$118</f>
        <v>1600</v>
      </c>
    </row>
    <row r="1759" spans="1:13" ht="15" customHeight="1" x14ac:dyDescent="0.2">
      <c r="A1759" s="91"/>
      <c r="B1759" s="10" t="s">
        <v>891</v>
      </c>
      <c r="C1759" s="10" t="s">
        <v>199</v>
      </c>
      <c r="D1759" s="28">
        <f>Inputs!$D$24</f>
        <v>46</v>
      </c>
      <c r="E1759" s="28">
        <f t="shared" ref="E1759:M1759" si="380">D1758</f>
        <v>170.32</v>
      </c>
      <c r="F1759" s="28">
        <f t="shared" si="380"/>
        <v>481.12000000000006</v>
      </c>
      <c r="G1759" s="28">
        <f t="shared" si="380"/>
        <v>823</v>
      </c>
      <c r="H1759" s="28">
        <f t="shared" si="380"/>
        <v>1211.5</v>
      </c>
      <c r="I1759" s="28">
        <f t="shared" si="380"/>
        <v>1600</v>
      </c>
      <c r="J1759" s="28">
        <f t="shared" si="380"/>
        <v>1600</v>
      </c>
      <c r="K1759" s="28">
        <f t="shared" si="380"/>
        <v>1600</v>
      </c>
      <c r="L1759" s="28">
        <f t="shared" si="380"/>
        <v>1600</v>
      </c>
      <c r="M1759" s="28">
        <f t="shared" si="380"/>
        <v>1600</v>
      </c>
    </row>
    <row r="1760" spans="1:13" ht="15" customHeight="1" x14ac:dyDescent="0.2">
      <c r="B1760" s="10" t="s">
        <v>892</v>
      </c>
      <c r="C1760" s="10" t="s">
        <v>199</v>
      </c>
      <c r="D1760" s="28">
        <f>(D1759+D1758)*Inputs!$D$12</f>
        <v>108.16</v>
      </c>
      <c r="E1760" s="28">
        <f>(E1759+E1758)*Inputs!$D$12</f>
        <v>325.72000000000003</v>
      </c>
      <c r="F1760" s="28">
        <f>(F1759+F1758)*Inputs!$D$12</f>
        <v>652.06000000000006</v>
      </c>
      <c r="G1760" s="28">
        <f>(G1759+G1758)*Inputs!$D$12</f>
        <v>1017.25</v>
      </c>
      <c r="H1760" s="28">
        <f>(H1759+H1758)*Inputs!$D$12</f>
        <v>1405.75</v>
      </c>
      <c r="I1760" s="28">
        <f>(I1759+I1758)*Inputs!$D$12</f>
        <v>1600</v>
      </c>
      <c r="J1760" s="28">
        <f>(J1759+J1758)*Inputs!$D$12</f>
        <v>1600</v>
      </c>
      <c r="K1760" s="28">
        <f>(K1759+K1758)*Inputs!$D$12</f>
        <v>1600</v>
      </c>
      <c r="L1760" s="28">
        <f>(L1759+L1758)*Inputs!$D$12</f>
        <v>1600</v>
      </c>
      <c r="M1760" s="28">
        <f>(M1759+M1758)*Inputs!$D$12</f>
        <v>1600</v>
      </c>
    </row>
    <row r="1761" spans="2:13" ht="15" customHeight="1" x14ac:dyDescent="0.2">
      <c r="B1761" s="10" t="s">
        <v>893</v>
      </c>
      <c r="C1761" s="10" t="s">
        <v>199</v>
      </c>
      <c r="D1761" s="28">
        <f t="shared" ref="D1761:M1761" si="381">D1758-D1759</f>
        <v>124.32</v>
      </c>
      <c r="E1761" s="28">
        <f t="shared" si="381"/>
        <v>310.80000000000007</v>
      </c>
      <c r="F1761" s="28">
        <f t="shared" si="381"/>
        <v>341.87999999999994</v>
      </c>
      <c r="G1761" s="28">
        <f t="shared" si="381"/>
        <v>388.5</v>
      </c>
      <c r="H1761" s="28">
        <f t="shared" si="381"/>
        <v>388.5</v>
      </c>
      <c r="I1761" s="28">
        <f t="shared" si="381"/>
        <v>0</v>
      </c>
      <c r="J1761" s="28">
        <f t="shared" si="381"/>
        <v>0</v>
      </c>
      <c r="K1761" s="28">
        <f t="shared" si="381"/>
        <v>0</v>
      </c>
      <c r="L1761" s="28">
        <f t="shared" si="381"/>
        <v>0</v>
      </c>
      <c r="M1761" s="28">
        <f t="shared" si="381"/>
        <v>0</v>
      </c>
    </row>
    <row r="1762" spans="2:13" ht="15" customHeight="1" x14ac:dyDescent="0.2">
      <c r="B1762" s="10" t="s">
        <v>894</v>
      </c>
      <c r="C1762" s="10" t="s">
        <v>199</v>
      </c>
      <c r="D1762" s="28">
        <f>IF(MOD(D1754,Inputs!$D$21)=Inputs!$D$6,Inputs!$D$24,Inputs!$D$6)+SUMPRODUCT(--(D1754&gt;$D$1754:$M$1754),--(MOD(D1754-$D$1754:$M$1754,Inputs!$D$21)=Inputs!$D$6),$D$1761:$M$1761)</f>
        <v>0</v>
      </c>
      <c r="E1762" s="28">
        <f>IF(MOD(E1754,Inputs!$D$21)=Inputs!$D$6,Inputs!$D$24,Inputs!$D$6)+SUMPRODUCT(--(E1754&gt;$D$1754:$M$1754),--(MOD(E1754-$D$1754:$M$1754,Inputs!$D$21)=Inputs!$D$6),$D$1761:$M$1761)</f>
        <v>0</v>
      </c>
      <c r="F1762" s="28">
        <f>IF(MOD(F1754,Inputs!$D$21)=Inputs!$D$6,Inputs!$D$24,Inputs!$D$6)+SUMPRODUCT(--(F1754&gt;$D$1754:$M$1754),--(MOD(F1754-$D$1754:$M$1754,Inputs!$D$21)=Inputs!$D$6),$D$1761:$M$1761)</f>
        <v>0</v>
      </c>
      <c r="G1762" s="28">
        <f>IF(MOD(G1754,Inputs!$D$21)=Inputs!$D$6,Inputs!$D$24,Inputs!$D$6)+SUMPRODUCT(--(G1754&gt;$D$1754:$M$1754),--(MOD(G1754-$D$1754:$M$1754,Inputs!$D$21)=Inputs!$D$6),$D$1761:$M$1761)</f>
        <v>46</v>
      </c>
      <c r="H1762" s="28">
        <f>IF(MOD(H1754,Inputs!$D$21)=Inputs!$D$6,Inputs!$D$24,Inputs!$D$6)+SUMPRODUCT(--(H1754&gt;$D$1754:$M$1754),--(MOD(H1754-$D$1754:$M$1754,Inputs!$D$21)=Inputs!$D$6),$D$1761:$M$1761)</f>
        <v>124.32</v>
      </c>
      <c r="I1762" s="28">
        <f>IF(MOD(I1754,Inputs!$D$21)=Inputs!$D$6,Inputs!$D$24,Inputs!$D$6)+SUMPRODUCT(--(I1754&gt;$D$1754:$M$1754),--(MOD(I1754-$D$1754:$M$1754,Inputs!$D$21)=Inputs!$D$6),$D$1761:$M$1761)</f>
        <v>310.80000000000007</v>
      </c>
      <c r="J1762" s="28">
        <f>IF(MOD(J1754,Inputs!$D$21)=Inputs!$D$6,Inputs!$D$24,Inputs!$D$6)+SUMPRODUCT(--(J1754&gt;$D$1754:$M$1754),--(MOD(J1754-$D$1754:$M$1754,Inputs!$D$21)=Inputs!$D$6),$D$1761:$M$1761)</f>
        <v>341.87999999999994</v>
      </c>
      <c r="K1762" s="28">
        <f>IF(MOD(K1754,Inputs!$D$21)=Inputs!$D$6,Inputs!$D$24,Inputs!$D$6)+SUMPRODUCT(--(K1754&gt;$D$1754:$M$1754),--(MOD(K1754-$D$1754:$M$1754,Inputs!$D$21)=Inputs!$D$6),$D$1761:$M$1761)</f>
        <v>434.5</v>
      </c>
      <c r="L1762" s="28">
        <f>IF(MOD(L1754,Inputs!$D$21)=Inputs!$D$6,Inputs!$D$24,Inputs!$D$6)+SUMPRODUCT(--(L1754&gt;$D$1754:$M$1754),--(MOD(L1754-$D$1754:$M$1754,Inputs!$D$21)=Inputs!$D$6),$D$1761:$M$1761)</f>
        <v>512.81999999999994</v>
      </c>
      <c r="M1762" s="28">
        <f>IF(MOD(M1754,Inputs!$D$21)=Inputs!$D$6,Inputs!$D$24,Inputs!$D$6)+SUMPRODUCT(--(M1754&gt;$D$1754:$M$1754),--(MOD(M1754-$D$1754:$M$1754,Inputs!$D$21)=Inputs!$D$6),$D$1761:$M$1761)</f>
        <v>310.80000000000007</v>
      </c>
    </row>
    <row r="1763" spans="2:13" ht="15" customHeight="1" x14ac:dyDescent="0.2">
      <c r="B1763" s="10" t="s">
        <v>895</v>
      </c>
      <c r="C1763" s="10" t="s">
        <v>896</v>
      </c>
      <c r="D1763" s="28">
        <f t="shared" ref="D1763:M1763" si="382">D1760*D1757</f>
        <v>77.288870636550314</v>
      </c>
      <c r="E1763" s="28">
        <f t="shared" si="382"/>
        <v>325.72000000000003</v>
      </c>
      <c r="F1763" s="28">
        <f t="shared" si="382"/>
        <v>652.06000000000006</v>
      </c>
      <c r="G1763" s="28">
        <f t="shared" si="382"/>
        <v>1017.25</v>
      </c>
      <c r="H1763" s="28">
        <f t="shared" si="382"/>
        <v>1405.75</v>
      </c>
      <c r="I1763" s="28">
        <f t="shared" si="382"/>
        <v>1600</v>
      </c>
      <c r="J1763" s="28">
        <f t="shared" si="382"/>
        <v>1600</v>
      </c>
      <c r="K1763" s="28">
        <f t="shared" si="382"/>
        <v>1600</v>
      </c>
      <c r="L1763" s="28">
        <f t="shared" si="382"/>
        <v>1600</v>
      </c>
      <c r="M1763" s="28">
        <f t="shared" si="382"/>
        <v>1600</v>
      </c>
    </row>
    <row r="1764" spans="2:13" ht="15" customHeight="1" x14ac:dyDescent="0.2">
      <c r="B1764" s="10" t="s">
        <v>897</v>
      </c>
      <c r="C1764" s="10" t="s">
        <v>110</v>
      </c>
      <c r="D1764" s="16">
        <f>D1763*($D$1783/Inputs!$D$21+$D$1784/Inputs!$D$22)</f>
        <v>1118.2034893112541</v>
      </c>
      <c r="E1764" s="16">
        <f>E1763*($D$1783/Inputs!$D$21+$D$1784/Inputs!$D$22)</f>
        <v>4712.466847280074</v>
      </c>
      <c r="F1764" s="16">
        <f>F1763*($D$1783/Inputs!$D$21+$D$1784/Inputs!$D$22)</f>
        <v>9433.9037591718188</v>
      </c>
      <c r="G1764" s="16">
        <f>G1763*($D$1783/Inputs!$D$21+$D$1784/Inputs!$D$22)</f>
        <v>14717.416493907818</v>
      </c>
      <c r="H1764" s="16">
        <f>H1763*($D$1783/Inputs!$D$21+$D$1784/Inputs!$D$22)</f>
        <v>20338.17472235037</v>
      </c>
      <c r="I1764" s="16">
        <f>I1763*($D$1783/Inputs!$D$21+$D$1784/Inputs!$D$22)</f>
        <v>23148.553836571649</v>
      </c>
      <c r="J1764" s="16">
        <f>J1763*($D$1783/Inputs!$D$21+$D$1784/Inputs!$D$22)</f>
        <v>23148.553836571649</v>
      </c>
      <c r="K1764" s="16">
        <f>K1763*($D$1783/Inputs!$D$21+$D$1784/Inputs!$D$22)</f>
        <v>23148.553836571649</v>
      </c>
      <c r="L1764" s="16">
        <f>L1763*($D$1783/Inputs!$D$21+$D$1784/Inputs!$D$22)</f>
        <v>23148.553836571649</v>
      </c>
      <c r="M1764" s="16">
        <f>M1763*($D$1783/Inputs!$D$21+$D$1784/Inputs!$D$22)</f>
        <v>23148.553836571649</v>
      </c>
    </row>
    <row r="1765" spans="2:13" ht="15" customHeight="1" x14ac:dyDescent="0.2">
      <c r="B1765" s="10" t="s">
        <v>898</v>
      </c>
      <c r="C1765" s="10" t="s">
        <v>110</v>
      </c>
      <c r="D1765" s="16">
        <f t="shared" ref="D1765:M1765" si="383">D1761*($D$1783+$D$1784)</f>
        <v>7454.8732903914051</v>
      </c>
      <c r="E1765" s="16">
        <f t="shared" si="383"/>
        <v>18637.183225978519</v>
      </c>
      <c r="F1765" s="16">
        <f t="shared" si="383"/>
        <v>20500.901548576363</v>
      </c>
      <c r="G1765" s="16">
        <f t="shared" si="383"/>
        <v>23296.479032473144</v>
      </c>
      <c r="H1765" s="16">
        <f t="shared" si="383"/>
        <v>23296.479032473144</v>
      </c>
      <c r="I1765" s="16">
        <f t="shared" si="383"/>
        <v>0</v>
      </c>
      <c r="J1765" s="16">
        <f t="shared" si="383"/>
        <v>0</v>
      </c>
      <c r="K1765" s="16">
        <f t="shared" si="383"/>
        <v>0</v>
      </c>
      <c r="L1765" s="16">
        <f t="shared" si="383"/>
        <v>0</v>
      </c>
      <c r="M1765" s="16">
        <f t="shared" si="383"/>
        <v>0</v>
      </c>
    </row>
    <row r="1766" spans="2:13" ht="15" customHeight="1" x14ac:dyDescent="0.2">
      <c r="B1766" s="10" t="s">
        <v>899</v>
      </c>
      <c r="C1766" s="10" t="s">
        <v>110</v>
      </c>
      <c r="D1766" s="16">
        <f t="shared" ref="D1766:M1766" si="384">D1762*$D$1783</f>
        <v>0</v>
      </c>
      <c r="E1766" s="16">
        <f t="shared" si="384"/>
        <v>0</v>
      </c>
      <c r="F1766" s="16">
        <f t="shared" si="384"/>
        <v>0</v>
      </c>
      <c r="G1766" s="16">
        <f t="shared" si="384"/>
        <v>2638.0048485671714</v>
      </c>
      <c r="H1766" s="16">
        <f t="shared" si="384"/>
        <v>7129.4948429102333</v>
      </c>
      <c r="I1766" s="16">
        <f t="shared" si="384"/>
        <v>17823.737107275589</v>
      </c>
      <c r="J1766" s="16">
        <f t="shared" si="384"/>
        <v>19606.110818003141</v>
      </c>
      <c r="K1766" s="16">
        <f t="shared" si="384"/>
        <v>24917.676232661652</v>
      </c>
      <c r="L1766" s="16">
        <f t="shared" si="384"/>
        <v>29409.166227004709</v>
      </c>
      <c r="M1766" s="16">
        <f t="shared" si="384"/>
        <v>17823.737107275589</v>
      </c>
    </row>
    <row r="1767" spans="2:13" ht="15" customHeight="1" x14ac:dyDescent="0.2">
      <c r="B1767" s="10" t="s">
        <v>900</v>
      </c>
      <c r="C1767" s="10" t="s">
        <v>199</v>
      </c>
      <c r="D1767" s="28">
        <f>D1761*Inputs!$D$23</f>
        <v>3.1080000000000001</v>
      </c>
      <c r="E1767" s="28">
        <f>E1761*Inputs!$D$23</f>
        <v>7.7700000000000022</v>
      </c>
      <c r="F1767" s="28">
        <f>F1761*Inputs!$D$23</f>
        <v>8.5469999999999988</v>
      </c>
      <c r="G1767" s="28">
        <f>G1761*Inputs!$D$23</f>
        <v>9.7125000000000004</v>
      </c>
      <c r="H1767" s="28">
        <f>H1761*Inputs!$D$23</f>
        <v>9.7125000000000004</v>
      </c>
      <c r="I1767" s="28">
        <f>I1761*Inputs!$D$23</f>
        <v>0</v>
      </c>
      <c r="J1767" s="28">
        <f>J1761*Inputs!$D$23</f>
        <v>0</v>
      </c>
      <c r="K1767" s="28">
        <f>K1761*Inputs!$D$23</f>
        <v>0</v>
      </c>
      <c r="L1767" s="28">
        <f>L1761*Inputs!$D$23</f>
        <v>0</v>
      </c>
      <c r="M1767" s="28">
        <f>M1761*Inputs!$D$23</f>
        <v>0</v>
      </c>
    </row>
    <row r="1768" spans="2:13" ht="15" customHeight="1" x14ac:dyDescent="0.2">
      <c r="B1768" s="3" t="s">
        <v>901</v>
      </c>
      <c r="C1768" s="10" t="s">
        <v>896</v>
      </c>
      <c r="D1768" s="28">
        <f>(D1763*$D$1781*(Inputs!$D$7-Inputs!$D$19)-D1767)/(Inputs!$D$7+$D$1782)^D1756</f>
        <v>40.99699201112098</v>
      </c>
      <c r="E1768" s="28">
        <f>(E1763*$D$1781*(Inputs!$D$7-Inputs!$D$19)-E1767)/(Inputs!$D$7+$D$1782)^E1756</f>
        <v>153.02781912726542</v>
      </c>
      <c r="F1768" s="28">
        <f>(F1763*$D$1781*(Inputs!$D$7-Inputs!$D$19)-F1767)/(Inputs!$D$7+$D$1782)^F1756</f>
        <v>268.8019226843403</v>
      </c>
      <c r="G1768" s="28">
        <f>(G1763*$D$1781*(Inputs!$D$7-Inputs!$D$19)-G1767)/(Inputs!$D$7+$D$1782)^G1756</f>
        <v>363.62824610263397</v>
      </c>
      <c r="H1768" s="28">
        <f>(H1763*$D$1781*(Inputs!$D$7-Inputs!$D$19)-H1767)/(Inputs!$D$7+$D$1782)^H1756</f>
        <v>435.07807528321291</v>
      </c>
      <c r="I1768" s="28">
        <f>(I1763*$D$1781*(Inputs!$D$7-Inputs!$D$19)-I1767)/(Inputs!$D$7+$D$1782)^I1756</f>
        <v>431.49711827119876</v>
      </c>
      <c r="J1768" s="28">
        <f>(J1763*$D$1781*(Inputs!$D$7-Inputs!$D$19)-J1767)/(Inputs!$D$7+$D$1782)^J1756</f>
        <v>372.01806500733016</v>
      </c>
      <c r="K1768" s="28">
        <f>(K1763*$D$1781*(Inputs!$D$7-Inputs!$D$19)-K1767)/(Inputs!$D$7+$D$1782)^K1756</f>
        <v>320.73780989845312</v>
      </c>
      <c r="L1768" s="28">
        <f>(L1763*$D$1781*(Inputs!$D$7-Inputs!$D$19)-L1767)/(Inputs!$D$7+$D$1782)^L1756</f>
        <v>276.52620228651875</v>
      </c>
      <c r="M1768" s="28">
        <f>(M1763*$D$1781*(Inputs!$D$7-Inputs!$D$19)-M1767)/(Inputs!$D$7+$D$1782)^M1756</f>
        <v>238.31201718226143</v>
      </c>
    </row>
    <row r="1769" spans="2:13" ht="15" customHeight="1" x14ac:dyDescent="0.2">
      <c r="B1769" s="10" t="s">
        <v>902</v>
      </c>
      <c r="C1769" s="10" t="s">
        <v>110</v>
      </c>
      <c r="D1769" s="16">
        <f>(D1764*Inputs!$D$19-D1765-D1766)/(Inputs!$D$7+$D$1782)^D1756</f>
        <v>-6403.0045740313244</v>
      </c>
      <c r="E1769" s="16">
        <f>(E1764*Inputs!$D$19-E1765-E1766)/(Inputs!$D$7+$D$1782)^E1756</f>
        <v>-13349.632212764713</v>
      </c>
      <c r="F1769" s="16">
        <f>(F1764*Inputs!$D$19-F1765-F1766)/(Inputs!$D$7+$D$1782)^F1756</f>
        <v>-11808.370082432088</v>
      </c>
      <c r="G1769" s="16">
        <f>(G1764*Inputs!$D$19-G1765-G1766)/(Inputs!$D$7+$D$1782)^G1756</f>
        <v>-12397.921878440668</v>
      </c>
      <c r="H1769" s="16">
        <f>(H1764*Inputs!$D$19-H1765-H1766)/(Inputs!$D$7+$D$1782)^H1756</f>
        <v>-12082.366885213038</v>
      </c>
      <c r="I1769" s="16">
        <f>(I1764*Inputs!$D$19-I1765-I1766)/(Inputs!$D$7+$D$1782)^I1756</f>
        <v>-4657.0743222469628</v>
      </c>
      <c r="J1769" s="16">
        <f>(J1764*Inputs!$D$19-J1765-J1766)/(Inputs!$D$7+$D$1782)^J1756</f>
        <v>-4672.9398284057479</v>
      </c>
      <c r="K1769" s="16">
        <f>(K1764*Inputs!$D$19-K1765-K1766)/(Inputs!$D$7+$D$1782)^K1756</f>
        <v>-5718.9047268503064</v>
      </c>
      <c r="L1769" s="16">
        <f>(L1764*Inputs!$D$19-L1765-L1766)/(Inputs!$D$7+$D$1782)^L1756</f>
        <v>-6162.7485564592316</v>
      </c>
      <c r="M1769" s="16">
        <f>(M1764*Inputs!$D$19-M1765-M1766)/(Inputs!$D$7+$D$1782)^M1756</f>
        <v>-2572.0606903447429</v>
      </c>
    </row>
    <row r="1770" spans="2:13" ht="15" customHeight="1" x14ac:dyDescent="0.2">
      <c r="B1770" s="10" t="s">
        <v>903</v>
      </c>
      <c r="C1770" s="10" t="s">
        <v>110</v>
      </c>
      <c r="D1770" s="16">
        <f t="shared" ref="D1770:M1770" si="385">D1763*$D$1780</f>
        <v>1986.1685406389327</v>
      </c>
      <c r="E1770" s="16">
        <f t="shared" si="385"/>
        <v>8370.3489484160509</v>
      </c>
      <c r="F1770" s="16">
        <f t="shared" si="385"/>
        <v>16756.63064995754</v>
      </c>
      <c r="G1770" s="16">
        <f t="shared" si="385"/>
        <v>26141.279220730161</v>
      </c>
      <c r="H1770" s="16">
        <f t="shared" si="385"/>
        <v>36124.947913041455</v>
      </c>
      <c r="I1770" s="16">
        <f t="shared" si="385"/>
        <v>41116.782259197105</v>
      </c>
      <c r="J1770" s="16">
        <f t="shared" si="385"/>
        <v>41116.782259197105</v>
      </c>
      <c r="K1770" s="16">
        <f t="shared" si="385"/>
        <v>41116.782259197105</v>
      </c>
      <c r="L1770" s="16">
        <f t="shared" si="385"/>
        <v>41116.782259197105</v>
      </c>
      <c r="M1770" s="16">
        <f t="shared" si="385"/>
        <v>41116.782259197105</v>
      </c>
    </row>
    <row r="1771" spans="2:13" ht="15" customHeight="1" x14ac:dyDescent="0.2">
      <c r="B1771" s="10" t="s">
        <v>904</v>
      </c>
      <c r="C1771" s="10" t="s">
        <v>110</v>
      </c>
      <c r="D1771" s="16">
        <f t="shared" ref="D1771:M1771" si="386">D1770*$D$1781</f>
        <v>1787.5516865750394</v>
      </c>
      <c r="E1771" s="16">
        <f t="shared" si="386"/>
        <v>7533.314053574446</v>
      </c>
      <c r="F1771" s="16">
        <f t="shared" si="386"/>
        <v>15080.967584961787</v>
      </c>
      <c r="G1771" s="16">
        <f t="shared" si="386"/>
        <v>23527.151298657147</v>
      </c>
      <c r="H1771" s="16">
        <f t="shared" si="386"/>
        <v>32512.453121737311</v>
      </c>
      <c r="I1771" s="16">
        <f t="shared" si="386"/>
        <v>37005.104033277399</v>
      </c>
      <c r="J1771" s="16">
        <f t="shared" si="386"/>
        <v>37005.104033277399</v>
      </c>
      <c r="K1771" s="16">
        <f t="shared" si="386"/>
        <v>37005.104033277399</v>
      </c>
      <c r="L1771" s="16">
        <f t="shared" si="386"/>
        <v>37005.104033277399</v>
      </c>
      <c r="M1771" s="16">
        <f t="shared" si="386"/>
        <v>37005.104033277399</v>
      </c>
    </row>
    <row r="1772" spans="2:13" ht="15" customHeight="1" x14ac:dyDescent="0.2">
      <c r="B1772" s="10" t="s">
        <v>905</v>
      </c>
      <c r="C1772" s="10" t="s">
        <v>110</v>
      </c>
      <c r="D1772" s="16">
        <f t="shared" ref="D1772:M1772" si="387">D1771-D1764</f>
        <v>669.34819726378532</v>
      </c>
      <c r="E1772" s="16">
        <f t="shared" si="387"/>
        <v>2820.847206294372</v>
      </c>
      <c r="F1772" s="16">
        <f t="shared" si="387"/>
        <v>5647.0638257899682</v>
      </c>
      <c r="G1772" s="16">
        <f t="shared" si="387"/>
        <v>8809.7348047493288</v>
      </c>
      <c r="H1772" s="16">
        <f t="shared" si="387"/>
        <v>12174.278399386942</v>
      </c>
      <c r="I1772" s="16">
        <f t="shared" si="387"/>
        <v>13856.55019670575</v>
      </c>
      <c r="J1772" s="16">
        <f t="shared" si="387"/>
        <v>13856.55019670575</v>
      </c>
      <c r="K1772" s="16">
        <f t="shared" si="387"/>
        <v>13856.55019670575</v>
      </c>
      <c r="L1772" s="16">
        <f t="shared" si="387"/>
        <v>13856.55019670575</v>
      </c>
      <c r="M1772" s="16">
        <f t="shared" si="387"/>
        <v>13856.55019670575</v>
      </c>
    </row>
    <row r="1773" spans="2:13" ht="15" customHeight="1" x14ac:dyDescent="0.2">
      <c r="B1773" s="10" t="s">
        <v>906</v>
      </c>
      <c r="C1773" s="10" t="s">
        <v>110</v>
      </c>
      <c r="D1773" s="16">
        <f>MAX(D1772,Inputs!$D$6)*Inputs!$D$19</f>
        <v>200.80445917913559</v>
      </c>
      <c r="E1773" s="16">
        <f>MAX(E1772,Inputs!$D$6)*Inputs!$D$19</f>
        <v>846.25416188831161</v>
      </c>
      <c r="F1773" s="16">
        <f>MAX(F1772,Inputs!$D$6)*Inputs!$D$19</f>
        <v>1694.1191477369905</v>
      </c>
      <c r="G1773" s="16">
        <f>MAX(G1772,Inputs!$D$6)*Inputs!$D$19</f>
        <v>2642.9204414247984</v>
      </c>
      <c r="H1773" s="16">
        <f>MAX(H1772,Inputs!$D$6)*Inputs!$D$19</f>
        <v>3652.2835198160824</v>
      </c>
      <c r="I1773" s="16">
        <f>MAX(I1772,Inputs!$D$6)*Inputs!$D$19</f>
        <v>4156.9650590117244</v>
      </c>
      <c r="J1773" s="16">
        <f>MAX(J1772,Inputs!$D$6)*Inputs!$D$19</f>
        <v>4156.9650590117244</v>
      </c>
      <c r="K1773" s="16">
        <f>MAX(K1772,Inputs!$D$6)*Inputs!$D$19</f>
        <v>4156.9650590117244</v>
      </c>
      <c r="L1773" s="16">
        <f>MAX(L1772,Inputs!$D$6)*Inputs!$D$19</f>
        <v>4156.9650590117244</v>
      </c>
      <c r="M1773" s="16">
        <f>MAX(M1772,Inputs!$D$6)*Inputs!$D$19</f>
        <v>4156.9650590117244</v>
      </c>
    </row>
    <row r="1774" spans="2:13" ht="15" customHeight="1" x14ac:dyDescent="0.2">
      <c r="B1774" s="10" t="s">
        <v>907</v>
      </c>
      <c r="C1774" s="10" t="s">
        <v>110</v>
      </c>
      <c r="D1774" s="16">
        <f t="shared" ref="D1774:M1774" si="388">D1767*$D$1780</f>
        <v>79.869349538490383</v>
      </c>
      <c r="E1774" s="16">
        <f t="shared" si="388"/>
        <v>199.67337384622601</v>
      </c>
      <c r="F1774" s="16">
        <f t="shared" si="388"/>
        <v>219.64071123084852</v>
      </c>
      <c r="G1774" s="16">
        <f t="shared" si="388"/>
        <v>249.59171730778243</v>
      </c>
      <c r="H1774" s="16">
        <f t="shared" si="388"/>
        <v>249.59171730778243</v>
      </c>
      <c r="I1774" s="16">
        <f t="shared" si="388"/>
        <v>0</v>
      </c>
      <c r="J1774" s="16">
        <f t="shared" si="388"/>
        <v>0</v>
      </c>
      <c r="K1774" s="16">
        <f t="shared" si="388"/>
        <v>0</v>
      </c>
      <c r="L1774" s="16">
        <f t="shared" si="388"/>
        <v>0</v>
      </c>
      <c r="M1774" s="16">
        <f t="shared" si="388"/>
        <v>0</v>
      </c>
    </row>
    <row r="1775" spans="2:13" ht="15" customHeight="1" x14ac:dyDescent="0.2">
      <c r="B1775" s="10" t="s">
        <v>908</v>
      </c>
      <c r="C1775" s="10" t="s">
        <v>110</v>
      </c>
      <c r="D1775" s="16">
        <f t="shared" ref="D1775:M1775" si="389">D1771-D1773-D1765-D1766-D1774</f>
        <v>-5947.9954125339918</v>
      </c>
      <c r="E1775" s="16">
        <f t="shared" si="389"/>
        <v>-12149.79670813861</v>
      </c>
      <c r="F1775" s="16">
        <f t="shared" si="389"/>
        <v>-7333.6938225824151</v>
      </c>
      <c r="G1775" s="16">
        <f t="shared" si="389"/>
        <v>-5299.8447411157485</v>
      </c>
      <c r="H1775" s="16">
        <f t="shared" si="389"/>
        <v>-1815.3959907699309</v>
      </c>
      <c r="I1775" s="16">
        <f t="shared" si="389"/>
        <v>15024.401866990087</v>
      </c>
      <c r="J1775" s="16">
        <f t="shared" si="389"/>
        <v>13242.028156262535</v>
      </c>
      <c r="K1775" s="16">
        <f t="shared" si="389"/>
        <v>7930.4627416040239</v>
      </c>
      <c r="L1775" s="16">
        <f t="shared" si="389"/>
        <v>3438.9727472609666</v>
      </c>
      <c r="M1775" s="16">
        <f t="shared" si="389"/>
        <v>15024.401866990087</v>
      </c>
    </row>
    <row r="1776" spans="2:13" ht="15" customHeight="1" x14ac:dyDescent="0.2">
      <c r="B1776" s="10" t="s">
        <v>909</v>
      </c>
      <c r="C1776" s="10" t="s">
        <v>110</v>
      </c>
      <c r="D1776" s="16">
        <f>D1775/(Inputs!$D$7+$D$1782)^D1756</f>
        <v>-5349.4643279042593</v>
      </c>
      <c r="E1776" s="16">
        <f>E1775/(Inputs!$D$7+$D$1782)^E1756</f>
        <v>-9417.1250136049803</v>
      </c>
      <c r="F1776" s="16">
        <f>F1775/(Inputs!$D$7+$D$1782)^F1756</f>
        <v>-4900.7012537661149</v>
      </c>
      <c r="G1776" s="16">
        <f>G1775/(Inputs!$D$7+$D$1782)^G1756</f>
        <v>-3053.4072420058274</v>
      </c>
      <c r="H1776" s="16">
        <f>H1775/(Inputs!$D$7+$D$1782)^H1756</f>
        <v>-901.73533073151691</v>
      </c>
      <c r="I1776" s="16">
        <f>I1775/(Inputs!$D$7+$D$1782)^I1756</f>
        <v>6431.5338386454778</v>
      </c>
      <c r="J1776" s="16">
        <f>J1775/(Inputs!$D$7+$D$1782)^J1756</f>
        <v>4887.1762812156476</v>
      </c>
      <c r="K1776" s="16">
        <f>K1775/(Inputs!$D$7+$D$1782)^K1756</f>
        <v>2523.4119555787274</v>
      </c>
      <c r="L1776" s="16">
        <f>L1775/(Inputs!$D$7+$D$1782)^L1756</f>
        <v>943.41872377669768</v>
      </c>
      <c r="M1776" s="16">
        <f>M1775/(Inputs!$D$7+$D$1782)^M1756</f>
        <v>3552.0788848009356</v>
      </c>
    </row>
    <row r="1777" spans="2:13" ht="15" customHeight="1" x14ac:dyDescent="0.2">
      <c r="B1777" s="3" t="s">
        <v>910</v>
      </c>
      <c r="C1777" s="10" t="s">
        <v>896</v>
      </c>
      <c r="D1777" s="28">
        <f>(D1763*$D$1781-D1767)/(Inputs!$D$7+$D$1782)^D1756</f>
        <v>59.765095798928819</v>
      </c>
      <c r="E1777" s="28">
        <f>(E1763*$D$1781-E1767)/(Inputs!$D$7+$D$1782)^E1756</f>
        <v>221.1922031857838</v>
      </c>
      <c r="F1777" s="28">
        <f>(F1763*$D$1781-F1767)/(Inputs!$D$7+$D$1782)^F1756</f>
        <v>386.45052664112239</v>
      </c>
      <c r="G1777" s="28">
        <f>(G1763*$D$1781-G1767)/(Inputs!$D$7+$D$1782)^G1756</f>
        <v>521.867070169518</v>
      </c>
      <c r="H1777" s="28">
        <f>(H1763*$D$1781-H1767)/(Inputs!$D$7+$D$1782)^H1756</f>
        <v>623.60768582417222</v>
      </c>
      <c r="I1777" s="28">
        <f>(I1763*$D$1781-I1767)/(Inputs!$D$7+$D$1782)^I1756</f>
        <v>616.42445467314121</v>
      </c>
      <c r="J1777" s="28">
        <f>(J1763*$D$1781-J1767)/(Inputs!$D$7+$D$1782)^J1756</f>
        <v>531.4543785819003</v>
      </c>
      <c r="K1777" s="28">
        <f>(K1763*$D$1781-K1767)/(Inputs!$D$7+$D$1782)^K1756</f>
        <v>458.19687128350449</v>
      </c>
      <c r="L1777" s="28">
        <f>(L1763*$D$1781-L1767)/(Inputs!$D$7+$D$1782)^L1756</f>
        <v>395.03743183788401</v>
      </c>
      <c r="M1777" s="28">
        <f>(M1763*$D$1781-M1767)/(Inputs!$D$7+$D$1782)^M1756</f>
        <v>340.44573883180209</v>
      </c>
    </row>
    <row r="1778" spans="2:13" ht="15" customHeight="1" x14ac:dyDescent="0.2">
      <c r="B1778" s="10" t="s">
        <v>911</v>
      </c>
      <c r="C1778" s="10" t="s">
        <v>110</v>
      </c>
      <c r="D1778" s="16">
        <f>(-D1765-D1766)/(Inputs!$D$7+$D$1782)^D1756</f>
        <v>-6704.7090607969039</v>
      </c>
      <c r="E1778" s="16">
        <f>(-E1765-E1766)/(Inputs!$D$7+$D$1782)^E1756</f>
        <v>-14445.4009031226</v>
      </c>
      <c r="F1778" s="16">
        <f>(-F1765-F1766)/(Inputs!$D$7+$D$1782)^F1756</f>
        <v>-13699.616639717549</v>
      </c>
      <c r="G1778" s="16">
        <f>(-G1765-G1766)/(Inputs!$D$7+$D$1782)^G1756</f>
        <v>-14941.671835349038</v>
      </c>
      <c r="H1778" s="16">
        <f>(-H1765-H1766)/(Inputs!$D$7+$D$1782)^H1756</f>
        <v>-15113.052884793095</v>
      </c>
      <c r="I1778" s="16">
        <f>(-I1765-I1766)/(Inputs!$D$7+$D$1782)^I1756</f>
        <v>-7629.8523795762403</v>
      </c>
      <c r="J1778" s="16">
        <f>(-J1765-J1766)/(Inputs!$D$7+$D$1782)^J1756</f>
        <v>-7235.9398897150922</v>
      </c>
      <c r="K1778" s="16">
        <f>(-K1765-K1766)/(Inputs!$D$7+$D$1782)^K1756</f>
        <v>-7928.612006570077</v>
      </c>
      <c r="L1778" s="16">
        <f>(-L1765-L1766)/(Inputs!$D$7+$D$1782)^L1756</f>
        <v>-8067.8621519509534</v>
      </c>
      <c r="M1778" s="16">
        <f>(-M1765-M1766)/(Inputs!$D$7+$D$1782)^M1756</f>
        <v>-4213.8995473821142</v>
      </c>
    </row>
    <row r="1779" spans="2:13" ht="15" customHeight="1" x14ac:dyDescent="0.2">
      <c r="B1779" s="10" t="s">
        <v>912</v>
      </c>
      <c r="C1779" s="10" t="s">
        <v>110</v>
      </c>
      <c r="D1779" s="16">
        <f>Prices!I12</f>
        <v>7880.7852127812012</v>
      </c>
    </row>
    <row r="1780" spans="2:13" ht="15" customHeight="1" x14ac:dyDescent="0.2">
      <c r="B1780" s="3" t="s">
        <v>913</v>
      </c>
      <c r="C1780" s="10" t="s">
        <v>914</v>
      </c>
      <c r="D1780" s="28">
        <f>IF(J1787&gt;=J1783,J1787,(D1779-J1786)/J1785)</f>
        <v>25.697988911998191</v>
      </c>
      <c r="G1780" s="99" t="s">
        <v>915</v>
      </c>
      <c r="H1780" s="91"/>
      <c r="I1780" s="91"/>
      <c r="J1780" s="28">
        <f>D1780*Inputs!$D$15</f>
        <v>17.934626461683536</v>
      </c>
      <c r="K1780" s="99" t="s">
        <v>916</v>
      </c>
      <c r="L1780" s="91"/>
      <c r="M1780" s="91"/>
    </row>
    <row r="1781" spans="2:13" ht="15" customHeight="1" x14ac:dyDescent="0.2">
      <c r="B1781" s="10" t="s">
        <v>917</v>
      </c>
      <c r="C1781" s="10" t="s">
        <v>104</v>
      </c>
      <c r="D1781" s="30">
        <f>Inputs!$D$107</f>
        <v>0.9</v>
      </c>
      <c r="G1781" s="99" t="s">
        <v>918</v>
      </c>
      <c r="H1781" s="91"/>
      <c r="I1781" s="91"/>
      <c r="J1781" s="28">
        <f>IF(-D1792/D1791&gt;=J1783,-D1792/D1791,-J1786/J1785)</f>
        <v>24.024174528419383</v>
      </c>
      <c r="K1781" s="99" t="s">
        <v>919</v>
      </c>
      <c r="L1781" s="91"/>
      <c r="M1781" s="91"/>
    </row>
    <row r="1782" spans="2:13" ht="15" customHeight="1" x14ac:dyDescent="0.2">
      <c r="B1782" s="10" t="s">
        <v>920</v>
      </c>
      <c r="C1782" s="10" t="s">
        <v>104</v>
      </c>
      <c r="D1782" s="30">
        <f>Inputs!$D$108</f>
        <v>0.16</v>
      </c>
      <c r="G1782" s="99" t="s">
        <v>918</v>
      </c>
      <c r="H1782" s="91"/>
      <c r="I1782" s="91"/>
      <c r="J1782" s="28">
        <f>J1781*Inputs!$D$15</f>
        <v>16.766471403383886</v>
      </c>
      <c r="K1782" s="99" t="s">
        <v>916</v>
      </c>
      <c r="L1782" s="91"/>
      <c r="M1782" s="91"/>
    </row>
    <row r="1783" spans="2:13" ht="15" customHeight="1" x14ac:dyDescent="0.2">
      <c r="B1783" s="3" t="s">
        <v>921</v>
      </c>
      <c r="C1783" s="10" t="s">
        <v>848</v>
      </c>
      <c r="D1783" s="28">
        <f>Capital!$D$13</f>
        <v>57.347931490590682</v>
      </c>
      <c r="G1783" s="99" t="s">
        <v>922</v>
      </c>
      <c r="H1783" s="91"/>
      <c r="I1783" s="91"/>
      <c r="J1783" s="28">
        <f>($D$1783/Inputs!$D$21+$D$1784/Inputs!$D$22)/$D$1781</f>
        <v>16.07538460873031</v>
      </c>
      <c r="K1783" s="99" t="s">
        <v>919</v>
      </c>
      <c r="L1783" s="91"/>
      <c r="M1783" s="91"/>
    </row>
    <row r="1784" spans="2:13" ht="15" customHeight="1" x14ac:dyDescent="0.2">
      <c r="B1784" s="3" t="s">
        <v>923</v>
      </c>
      <c r="C1784" s="10" t="s">
        <v>848</v>
      </c>
      <c r="D1784" s="28">
        <f>Capital!$D$14</f>
        <v>2.6172655041921802</v>
      </c>
    </row>
    <row r="1785" spans="2:13" ht="15" customHeight="1" x14ac:dyDescent="0.2">
      <c r="B1785" s="10" t="s">
        <v>924</v>
      </c>
      <c r="C1785" s="10" t="s">
        <v>896</v>
      </c>
      <c r="D1785" s="28">
        <f>(M1758*(Inputs!$D$7+Inputs!$D$20)*$D$1781*(Inputs!$D$7-Inputs!$D$19)-M1758*Inputs!$D$20*Inputs!$D$23)/($D$1782-Inputs!$D$20)/(Inputs!$D$7+$D$1782)^M1756</f>
        <v>1807.6547922951956</v>
      </c>
      <c r="G1785" s="92" t="s">
        <v>910</v>
      </c>
      <c r="H1785" s="91"/>
      <c r="I1785" s="91"/>
      <c r="J1785" s="28">
        <f>SUM(D1777:M1777)+(M1758*(Inputs!$D$7+Inputs!$D$20)*$D$1781-M1758*Inputs!$D$20*Inputs!$D$23)/($D$1782-Inputs!$D$20)/(Inputs!$D$7+$D$1782)^M1756</f>
        <v>6737.5559875731687</v>
      </c>
      <c r="K1785" s="99" t="s">
        <v>896</v>
      </c>
      <c r="L1785" s="91"/>
      <c r="M1785" s="91"/>
    </row>
    <row r="1786" spans="2:13" ht="15" customHeight="1" x14ac:dyDescent="0.2">
      <c r="B1786" s="10" t="s">
        <v>925</v>
      </c>
      <c r="C1786" s="10" t="s">
        <v>110</v>
      </c>
      <c r="D1786" s="16">
        <f>(D1789*Inputs!$D$19-D1789-D1790)/($D$1782-Inputs!$D$20)/(Inputs!$D$7+$D$1782)^M1756</f>
        <v>-33287.494112345899</v>
      </c>
      <c r="G1786" s="92" t="s">
        <v>926</v>
      </c>
      <c r="H1786" s="91"/>
      <c r="I1786" s="91"/>
      <c r="J1786" s="16">
        <f>SUM(D1778:M1778)-(D1789+D1790)/($D$1782-Inputs!$D$20)/(Inputs!$D$7+$D$1782)^M1756</f>
        <v>-145733.9249554922</v>
      </c>
      <c r="K1786" s="99" t="s">
        <v>110</v>
      </c>
      <c r="L1786" s="91"/>
      <c r="M1786" s="91"/>
    </row>
    <row r="1787" spans="2:13" ht="15" customHeight="1" x14ac:dyDescent="0.2">
      <c r="B1787" s="10" t="s">
        <v>927</v>
      </c>
      <c r="C1787" s="10" t="s">
        <v>928</v>
      </c>
      <c r="D1787" s="16">
        <f>(M1758*(Inputs!$D$7+Inputs!$D$20)*$D$1780*$D$1781-D1789)-MAX((M1758*(Inputs!$D$7+Inputs!$D$20)*$D$1780*$D$1781-D1789),Inputs!$D$6)*Inputs!$D$19-D1790-M1758*Inputs!$D$20*$D$1780*Inputs!$D$23</f>
        <v>7517.7688974330586</v>
      </c>
      <c r="G1787" s="99" t="s">
        <v>929</v>
      </c>
      <c r="H1787" s="91"/>
      <c r="I1787" s="91"/>
      <c r="J1787" s="28">
        <f>(D1779-D1792)/D1791</f>
        <v>25.697988911998191</v>
      </c>
      <c r="K1787" s="99" t="s">
        <v>919</v>
      </c>
      <c r="L1787" s="91"/>
      <c r="M1787" s="91"/>
    </row>
    <row r="1788" spans="2:13" ht="15" customHeight="1" x14ac:dyDescent="0.2">
      <c r="B1788" s="10" t="s">
        <v>930</v>
      </c>
      <c r="C1788" s="10" t="s">
        <v>110</v>
      </c>
      <c r="D1788" s="16">
        <f>D1787/($D$1782-Inputs!$D$20)</f>
        <v>55687.177018022652</v>
      </c>
      <c r="G1788" s="99" t="s">
        <v>931</v>
      </c>
      <c r="H1788" s="91"/>
      <c r="I1788" s="91"/>
      <c r="J1788" s="16">
        <f>MIN(D1772:M1772,(M1758*(Inputs!$D$7+Inputs!$D$20)*$D$1780*$D$1781-D1789))</f>
        <v>669.34819726378532</v>
      </c>
      <c r="K1788" s="99" t="s">
        <v>110</v>
      </c>
      <c r="L1788" s="91"/>
      <c r="M1788" s="91"/>
    </row>
    <row r="1789" spans="2:13" ht="15" customHeight="1" x14ac:dyDescent="0.2">
      <c r="B1789" s="10" t="s">
        <v>932</v>
      </c>
      <c r="C1789" s="10" t="s">
        <v>928</v>
      </c>
      <c r="D1789" s="16">
        <f>M1758*(Inputs!$D$7+Inputs!$D$20)*($D$1783/Inputs!$D$21+$D$1784/Inputs!$D$22)</f>
        <v>23727.267682485937</v>
      </c>
      <c r="G1789" s="99" t="s">
        <v>933</v>
      </c>
      <c r="H1789" s="91"/>
      <c r="I1789" s="91"/>
      <c r="J1789" s="31" t="str">
        <f>IF(J1788&lt;Inputs!$D$6,"breached","satisfied")</f>
        <v>satisfied</v>
      </c>
      <c r="K1789" s="99" t="s">
        <v>934</v>
      </c>
      <c r="L1789" s="91"/>
      <c r="M1789" s="91"/>
    </row>
    <row r="1790" spans="2:13" ht="15" customHeight="1" x14ac:dyDescent="0.2">
      <c r="B1790" s="10" t="s">
        <v>935</v>
      </c>
      <c r="C1790" s="10" t="s">
        <v>928</v>
      </c>
      <c r="D1790" s="16">
        <f>M1758*Inputs!$D$20*($D$1783+$D$1784)</f>
        <v>2398.6078797913146</v>
      </c>
    </row>
    <row r="1791" spans="2:13" ht="15" customHeight="1" x14ac:dyDescent="0.2">
      <c r="B1791" s="10" t="s">
        <v>936</v>
      </c>
      <c r="C1791" s="10" t="s">
        <v>896</v>
      </c>
      <c r="D1791" s="28">
        <f>SUM(D1768:M1768)+D1785</f>
        <v>4708.2790601495317</v>
      </c>
      <c r="G1791" s="99" t="s">
        <v>937</v>
      </c>
      <c r="H1791" s="91"/>
      <c r="I1791" s="91"/>
      <c r="J1791" s="16">
        <f>D1793-D1779</f>
        <v>3.0013325158506632E-11</v>
      </c>
      <c r="K1791" s="99" t="s">
        <v>110</v>
      </c>
      <c r="L1791" s="91"/>
      <c r="M1791" s="91"/>
    </row>
    <row r="1792" spans="2:13" ht="15" customHeight="1" x14ac:dyDescent="0.2">
      <c r="B1792" s="10" t="s">
        <v>938</v>
      </c>
      <c r="C1792" s="10" t="s">
        <v>110</v>
      </c>
      <c r="D1792" s="16">
        <f>SUM(D1769:M1769)+D1786</f>
        <v>-113112.51786953473</v>
      </c>
    </row>
    <row r="1793" spans="1:13" ht="15" customHeight="1" x14ac:dyDescent="0.2">
      <c r="B1793" s="10" t="s">
        <v>939</v>
      </c>
      <c r="C1793" s="10" t="s">
        <v>110</v>
      </c>
      <c r="D1793" s="16">
        <f>SUM(D1776:M1776)+D1788/(Inputs!$D$7+$D$1782)^M1756</f>
        <v>7880.7852127812312</v>
      </c>
    </row>
    <row r="1794" spans="1:13" ht="15" customHeight="1" x14ac:dyDescent="0.2">
      <c r="B1794" s="10" t="s">
        <v>940</v>
      </c>
      <c r="C1794" s="10" t="s">
        <v>104</v>
      </c>
      <c r="D1794" s="30">
        <f>IF(ABS(D1779)&gt;Inputs!$D$6,D1793/D1779-Inputs!$D$7,Inputs!$D$6)</f>
        <v>3.7747582837255322E-15</v>
      </c>
    </row>
    <row r="1795" spans="1:13" ht="15" customHeight="1" x14ac:dyDescent="0.2">
      <c r="B1795" s="10" t="s">
        <v>941</v>
      </c>
      <c r="C1795" s="10" t="s">
        <v>104</v>
      </c>
      <c r="D1795" s="30">
        <f>IF(ABS(D1793)&gt;Inputs!$D$119,D1788/(Inputs!$D$7+$D$1782)^M1756/D1793,Inputs!$D$6)</f>
        <v>1.6705947873600437</v>
      </c>
    </row>
    <row r="1796" spans="1:13" ht="15" customHeight="1" x14ac:dyDescent="0.2">
      <c r="B1796" s="10" t="s">
        <v>942</v>
      </c>
      <c r="C1796" s="10" t="s">
        <v>943</v>
      </c>
      <c r="D1796" s="26">
        <f>$D$1780*Inputs!$D$8/Prices!$P$6/(Inputs!$D$26/Inputs!$D$25)/Inputs!$D$11/Inputs!$D$56</f>
        <v>4.6732573418621488</v>
      </c>
    </row>
    <row r="1800" spans="1:13" ht="15" customHeight="1" x14ac:dyDescent="0.2">
      <c r="A1800" s="104" t="s">
        <v>982</v>
      </c>
      <c r="B1800" s="10" t="s">
        <v>886</v>
      </c>
      <c r="C1800" s="10" t="s">
        <v>107</v>
      </c>
      <c r="D1800" s="28">
        <f>Inputs!$D$60</f>
        <v>1</v>
      </c>
      <c r="E1800" s="28">
        <f>Inputs!$D$62</f>
        <v>2</v>
      </c>
      <c r="F1800" s="28">
        <f>Inputs!$D$64</f>
        <v>3</v>
      </c>
      <c r="G1800" s="28">
        <f>Inputs!$D$66</f>
        <v>4</v>
      </c>
      <c r="H1800" s="28">
        <f>Inputs!$D$68</f>
        <v>5</v>
      </c>
      <c r="I1800" s="28">
        <f>Inputs!$D$70</f>
        <v>6</v>
      </c>
      <c r="J1800" s="28">
        <f>Inputs!$D$72</f>
        <v>7</v>
      </c>
      <c r="K1800" s="28">
        <f>Inputs!$D$74</f>
        <v>8</v>
      </c>
      <c r="L1800" s="28">
        <f>Inputs!$D$76</f>
        <v>9</v>
      </c>
      <c r="M1800" s="28">
        <f>Inputs!$D$78</f>
        <v>10</v>
      </c>
    </row>
    <row r="1801" spans="1:13" ht="15" customHeight="1" x14ac:dyDescent="0.2">
      <c r="A1801" s="91"/>
      <c r="B1801" s="10" t="s">
        <v>887</v>
      </c>
      <c r="C1801" s="10" t="s">
        <v>161</v>
      </c>
      <c r="D1801" s="29">
        <f>Inputs!$D$61</f>
        <v>46568</v>
      </c>
      <c r="E1801" s="29">
        <f>Inputs!$D$63</f>
        <v>46934</v>
      </c>
      <c r="F1801" s="29">
        <f>Inputs!$D$65</f>
        <v>47299</v>
      </c>
      <c r="G1801" s="29">
        <f>Inputs!$D$67</f>
        <v>47664</v>
      </c>
      <c r="H1801" s="29">
        <f>Inputs!$D$69</f>
        <v>48029</v>
      </c>
      <c r="I1801" s="29">
        <f>Inputs!$D$71</f>
        <v>48395</v>
      </c>
      <c r="J1801" s="29">
        <f>Inputs!$D$73</f>
        <v>48760</v>
      </c>
      <c r="K1801" s="29">
        <f>Inputs!$D$75</f>
        <v>49125</v>
      </c>
      <c r="L1801" s="29">
        <f>Inputs!$D$77</f>
        <v>49490</v>
      </c>
      <c r="M1801" s="29">
        <f>Inputs!$D$79</f>
        <v>49856</v>
      </c>
    </row>
    <row r="1802" spans="1:13" ht="15" customHeight="1" x14ac:dyDescent="0.2">
      <c r="A1802" s="91"/>
      <c r="B1802" s="10" t="s">
        <v>888</v>
      </c>
      <c r="C1802" s="10" t="s">
        <v>107</v>
      </c>
      <c r="D1802" s="28">
        <f>(D1801-Inputs!$D$13)/Inputs!$D$10</f>
        <v>0.71457905544147848</v>
      </c>
      <c r="E1802" s="28">
        <f>(E1801-Inputs!$D$13)/Inputs!$D$10</f>
        <v>1.7166324435318274</v>
      </c>
      <c r="F1802" s="28">
        <f>(F1801-Inputs!$D$13)/Inputs!$D$10</f>
        <v>2.7159479808350446</v>
      </c>
      <c r="G1802" s="28">
        <f>(G1801-Inputs!$D$13)/Inputs!$D$10</f>
        <v>3.7152635181382614</v>
      </c>
      <c r="H1802" s="28">
        <f>(H1801-Inputs!$D$13)/Inputs!$D$10</f>
        <v>4.7145790554414786</v>
      </c>
      <c r="I1802" s="28">
        <f>(I1801-Inputs!$D$13)/Inputs!$D$10</f>
        <v>5.7166324435318279</v>
      </c>
      <c r="J1802" s="28">
        <f>(J1801-Inputs!$D$13)/Inputs!$D$10</f>
        <v>6.7159479808350442</v>
      </c>
      <c r="K1802" s="28">
        <f>(K1801-Inputs!$D$13)/Inputs!$D$10</f>
        <v>7.7152635181382614</v>
      </c>
      <c r="L1802" s="28">
        <f>(L1801-Inputs!$D$13)/Inputs!$D$10</f>
        <v>8.7145790554414777</v>
      </c>
      <c r="M1802" s="28">
        <f>(M1801-Inputs!$D$13)/Inputs!$D$10</f>
        <v>9.716632443531827</v>
      </c>
    </row>
    <row r="1803" spans="1:13" ht="15" customHeight="1" x14ac:dyDescent="0.2">
      <c r="A1803" s="91"/>
      <c r="B1803" s="10" t="s">
        <v>889</v>
      </c>
      <c r="C1803" s="10" t="s">
        <v>107</v>
      </c>
      <c r="D1803" s="28">
        <f>D1802</f>
        <v>0.71457905544147848</v>
      </c>
      <c r="E1803" s="28">
        <f>Inputs!$D$7</f>
        <v>1</v>
      </c>
      <c r="F1803" s="28">
        <f>Inputs!$D$7</f>
        <v>1</v>
      </c>
      <c r="G1803" s="28">
        <f>Inputs!$D$7</f>
        <v>1</v>
      </c>
      <c r="H1803" s="28">
        <f>Inputs!$D$7</f>
        <v>1</v>
      </c>
      <c r="I1803" s="28">
        <f>Inputs!$D$7</f>
        <v>1</v>
      </c>
      <c r="J1803" s="28">
        <f>Inputs!$D$7</f>
        <v>1</v>
      </c>
      <c r="K1803" s="28">
        <f>Inputs!$D$7</f>
        <v>1</v>
      </c>
      <c r="L1803" s="28">
        <f>Inputs!$D$7</f>
        <v>1</v>
      </c>
      <c r="M1803" s="28">
        <f>Inputs!$D$7</f>
        <v>1</v>
      </c>
    </row>
    <row r="1804" spans="1:13" ht="15" customHeight="1" x14ac:dyDescent="0.2">
      <c r="A1804" s="91"/>
      <c r="B1804" s="3" t="s">
        <v>890</v>
      </c>
      <c r="C1804" s="10" t="s">
        <v>199</v>
      </c>
      <c r="D1804" s="28">
        <f>Inputs!$D$24+(Inputs!$D$80-Inputs!$D$24)*Inputs!$D$83</f>
        <v>305.5</v>
      </c>
      <c r="E1804" s="28">
        <f>Inputs!$D$24+(Inputs!$D$80-Inputs!$D$24)*Inputs!$D$84</f>
        <v>651.5</v>
      </c>
      <c r="F1804" s="28">
        <f>Inputs!$D$24+(Inputs!$D$80-Inputs!$D$24)*Inputs!$D$85</f>
        <v>911</v>
      </c>
      <c r="G1804" s="28">
        <f>Inputs!$D$24+(Inputs!$D$80-Inputs!$D$24)*Inputs!$D$86</f>
        <v>911</v>
      </c>
      <c r="H1804" s="28">
        <f>Inputs!$D$24+(Inputs!$D$80-Inputs!$D$24)*Inputs!$D$87</f>
        <v>911</v>
      </c>
      <c r="I1804" s="28">
        <f>Inputs!$D$24+(Inputs!$D$80-Inputs!$D$24)*Inputs!$D$88</f>
        <v>911</v>
      </c>
      <c r="J1804" s="28">
        <f>Inputs!$D$24+(Inputs!$D$80-Inputs!$D$24)*Inputs!$D$89</f>
        <v>911</v>
      </c>
      <c r="K1804" s="28">
        <f>Inputs!$D$24+(Inputs!$D$80-Inputs!$D$24)*Inputs!$D$90</f>
        <v>911</v>
      </c>
      <c r="L1804" s="28">
        <f>Inputs!$D$24+(Inputs!$D$80-Inputs!$D$24)*Inputs!$D$91</f>
        <v>911</v>
      </c>
      <c r="M1804" s="28">
        <f>Inputs!$D$24+(Inputs!$D$80-Inputs!$D$24)*Inputs!$D$92</f>
        <v>911</v>
      </c>
    </row>
    <row r="1805" spans="1:13" ht="15" customHeight="1" x14ac:dyDescent="0.2">
      <c r="A1805" s="91"/>
      <c r="B1805" s="10" t="s">
        <v>891</v>
      </c>
      <c r="C1805" s="10" t="s">
        <v>199</v>
      </c>
      <c r="D1805" s="28">
        <f>Inputs!$D$24</f>
        <v>46</v>
      </c>
      <c r="E1805" s="28">
        <f t="shared" ref="E1805:M1805" si="390">D1804</f>
        <v>305.5</v>
      </c>
      <c r="F1805" s="28">
        <f t="shared" si="390"/>
        <v>651.5</v>
      </c>
      <c r="G1805" s="28">
        <f t="shared" si="390"/>
        <v>911</v>
      </c>
      <c r="H1805" s="28">
        <f t="shared" si="390"/>
        <v>911</v>
      </c>
      <c r="I1805" s="28">
        <f t="shared" si="390"/>
        <v>911</v>
      </c>
      <c r="J1805" s="28">
        <f t="shared" si="390"/>
        <v>911</v>
      </c>
      <c r="K1805" s="28">
        <f t="shared" si="390"/>
        <v>911</v>
      </c>
      <c r="L1805" s="28">
        <f t="shared" si="390"/>
        <v>911</v>
      </c>
      <c r="M1805" s="28">
        <f t="shared" si="390"/>
        <v>911</v>
      </c>
    </row>
    <row r="1806" spans="1:13" ht="15" customHeight="1" x14ac:dyDescent="0.2">
      <c r="B1806" s="10" t="s">
        <v>892</v>
      </c>
      <c r="C1806" s="10" t="s">
        <v>199</v>
      </c>
      <c r="D1806" s="28">
        <f>(D1805+D1804)*Inputs!$D$12</f>
        <v>175.75</v>
      </c>
      <c r="E1806" s="28">
        <f>(E1805+E1804)*Inputs!$D$12</f>
        <v>478.5</v>
      </c>
      <c r="F1806" s="28">
        <f>(F1805+F1804)*Inputs!$D$12</f>
        <v>781.25</v>
      </c>
      <c r="G1806" s="28">
        <f>(G1805+G1804)*Inputs!$D$12</f>
        <v>911</v>
      </c>
      <c r="H1806" s="28">
        <f>(H1805+H1804)*Inputs!$D$12</f>
        <v>911</v>
      </c>
      <c r="I1806" s="28">
        <f>(I1805+I1804)*Inputs!$D$12</f>
        <v>911</v>
      </c>
      <c r="J1806" s="28">
        <f>(J1805+J1804)*Inputs!$D$12</f>
        <v>911</v>
      </c>
      <c r="K1806" s="28">
        <f>(K1805+K1804)*Inputs!$D$12</f>
        <v>911</v>
      </c>
      <c r="L1806" s="28">
        <f>(L1805+L1804)*Inputs!$D$12</f>
        <v>911</v>
      </c>
      <c r="M1806" s="28">
        <f>(M1805+M1804)*Inputs!$D$12</f>
        <v>911</v>
      </c>
    </row>
    <row r="1807" spans="1:13" ht="15" customHeight="1" x14ac:dyDescent="0.2">
      <c r="B1807" s="10" t="s">
        <v>893</v>
      </c>
      <c r="C1807" s="10" t="s">
        <v>199</v>
      </c>
      <c r="D1807" s="28">
        <f t="shared" ref="D1807:M1807" si="391">D1804-D1805</f>
        <v>259.5</v>
      </c>
      <c r="E1807" s="28">
        <f t="shared" si="391"/>
        <v>346</v>
      </c>
      <c r="F1807" s="28">
        <f t="shared" si="391"/>
        <v>259.5</v>
      </c>
      <c r="G1807" s="28">
        <f t="shared" si="391"/>
        <v>0</v>
      </c>
      <c r="H1807" s="28">
        <f t="shared" si="391"/>
        <v>0</v>
      </c>
      <c r="I1807" s="28">
        <f t="shared" si="391"/>
        <v>0</v>
      </c>
      <c r="J1807" s="28">
        <f t="shared" si="391"/>
        <v>0</v>
      </c>
      <c r="K1807" s="28">
        <f t="shared" si="391"/>
        <v>0</v>
      </c>
      <c r="L1807" s="28">
        <f t="shared" si="391"/>
        <v>0</v>
      </c>
      <c r="M1807" s="28">
        <f t="shared" si="391"/>
        <v>0</v>
      </c>
    </row>
    <row r="1808" spans="1:13" ht="15" customHeight="1" x14ac:dyDescent="0.2">
      <c r="B1808" s="10" t="s">
        <v>894</v>
      </c>
      <c r="C1808" s="10" t="s">
        <v>199</v>
      </c>
      <c r="D1808" s="28">
        <f>IF(MOD(D1800,Inputs!$D$21)=Inputs!$D$6,Inputs!$D$24,Inputs!$D$6)+SUMPRODUCT(--(D1800&gt;$D$1800:$M$1800),--(MOD(D1800-$D$1800:$M$1800,Inputs!$D$21)=Inputs!$D$6),$D$1807:$M$1807)</f>
        <v>0</v>
      </c>
      <c r="E1808" s="28">
        <f>IF(MOD(E1800,Inputs!$D$21)=Inputs!$D$6,Inputs!$D$24,Inputs!$D$6)+SUMPRODUCT(--(E1800&gt;$D$1800:$M$1800),--(MOD(E1800-$D$1800:$M$1800,Inputs!$D$21)=Inputs!$D$6),$D$1807:$M$1807)</f>
        <v>0</v>
      </c>
      <c r="F1808" s="28">
        <f>IF(MOD(F1800,Inputs!$D$21)=Inputs!$D$6,Inputs!$D$24,Inputs!$D$6)+SUMPRODUCT(--(F1800&gt;$D$1800:$M$1800),--(MOD(F1800-$D$1800:$M$1800,Inputs!$D$21)=Inputs!$D$6),$D$1807:$M$1807)</f>
        <v>0</v>
      </c>
      <c r="G1808" s="28">
        <f>IF(MOD(G1800,Inputs!$D$21)=Inputs!$D$6,Inputs!$D$24,Inputs!$D$6)+SUMPRODUCT(--(G1800&gt;$D$1800:$M$1800),--(MOD(G1800-$D$1800:$M$1800,Inputs!$D$21)=Inputs!$D$6),$D$1807:$M$1807)</f>
        <v>46</v>
      </c>
      <c r="H1808" s="28">
        <f>IF(MOD(H1800,Inputs!$D$21)=Inputs!$D$6,Inputs!$D$24,Inputs!$D$6)+SUMPRODUCT(--(H1800&gt;$D$1800:$M$1800),--(MOD(H1800-$D$1800:$M$1800,Inputs!$D$21)=Inputs!$D$6),$D$1807:$M$1807)</f>
        <v>259.5</v>
      </c>
      <c r="I1808" s="28">
        <f>IF(MOD(I1800,Inputs!$D$21)=Inputs!$D$6,Inputs!$D$24,Inputs!$D$6)+SUMPRODUCT(--(I1800&gt;$D$1800:$M$1800),--(MOD(I1800-$D$1800:$M$1800,Inputs!$D$21)=Inputs!$D$6),$D$1807:$M$1807)</f>
        <v>346</v>
      </c>
      <c r="J1808" s="28">
        <f>IF(MOD(J1800,Inputs!$D$21)=Inputs!$D$6,Inputs!$D$24,Inputs!$D$6)+SUMPRODUCT(--(J1800&gt;$D$1800:$M$1800),--(MOD(J1800-$D$1800:$M$1800,Inputs!$D$21)=Inputs!$D$6),$D$1807:$M$1807)</f>
        <v>259.5</v>
      </c>
      <c r="K1808" s="28">
        <f>IF(MOD(K1800,Inputs!$D$21)=Inputs!$D$6,Inputs!$D$24,Inputs!$D$6)+SUMPRODUCT(--(K1800&gt;$D$1800:$M$1800),--(MOD(K1800-$D$1800:$M$1800,Inputs!$D$21)=Inputs!$D$6),$D$1807:$M$1807)</f>
        <v>46</v>
      </c>
      <c r="L1808" s="28">
        <f>IF(MOD(L1800,Inputs!$D$21)=Inputs!$D$6,Inputs!$D$24,Inputs!$D$6)+SUMPRODUCT(--(L1800&gt;$D$1800:$M$1800),--(MOD(L1800-$D$1800:$M$1800,Inputs!$D$21)=Inputs!$D$6),$D$1807:$M$1807)</f>
        <v>259.5</v>
      </c>
      <c r="M1808" s="28">
        <f>IF(MOD(M1800,Inputs!$D$21)=Inputs!$D$6,Inputs!$D$24,Inputs!$D$6)+SUMPRODUCT(--(M1800&gt;$D$1800:$M$1800),--(MOD(M1800-$D$1800:$M$1800,Inputs!$D$21)=Inputs!$D$6),$D$1807:$M$1807)</f>
        <v>346</v>
      </c>
    </row>
    <row r="1809" spans="2:13" ht="15" customHeight="1" x14ac:dyDescent="0.2">
      <c r="B1809" s="10" t="s">
        <v>895</v>
      </c>
      <c r="C1809" s="10" t="s">
        <v>896</v>
      </c>
      <c r="D1809" s="28">
        <f t="shared" ref="D1809:M1809" si="392">D1806*D1803</f>
        <v>125.58726899383984</v>
      </c>
      <c r="E1809" s="28">
        <f t="shared" si="392"/>
        <v>478.5</v>
      </c>
      <c r="F1809" s="28">
        <f t="shared" si="392"/>
        <v>781.25</v>
      </c>
      <c r="G1809" s="28">
        <f t="shared" si="392"/>
        <v>911</v>
      </c>
      <c r="H1809" s="28">
        <f t="shared" si="392"/>
        <v>911</v>
      </c>
      <c r="I1809" s="28">
        <f t="shared" si="392"/>
        <v>911</v>
      </c>
      <c r="J1809" s="28">
        <f t="shared" si="392"/>
        <v>911</v>
      </c>
      <c r="K1809" s="28">
        <f t="shared" si="392"/>
        <v>911</v>
      </c>
      <c r="L1809" s="28">
        <f t="shared" si="392"/>
        <v>911</v>
      </c>
      <c r="M1809" s="28">
        <f t="shared" si="392"/>
        <v>911</v>
      </c>
    </row>
    <row r="1810" spans="2:13" ht="15" customHeight="1" x14ac:dyDescent="0.2">
      <c r="B1810" s="10" t="s">
        <v>897</v>
      </c>
      <c r="C1810" s="10" t="s">
        <v>110</v>
      </c>
      <c r="D1810" s="16">
        <f>D1809*($D$1829/Inputs!$D$21+$D$1830/Inputs!$D$22)</f>
        <v>1816.9772859324419</v>
      </c>
      <c r="E1810" s="16">
        <f>E1809*($D$1829/Inputs!$D$21+$D$1830/Inputs!$D$22)</f>
        <v>6922.8643817497086</v>
      </c>
      <c r="F1810" s="16">
        <f>F1809*($D$1829/Inputs!$D$21+$D$1830/Inputs!$D$22)</f>
        <v>11303.0048030135</v>
      </c>
      <c r="G1810" s="16">
        <f>G1809*($D$1829/Inputs!$D$21+$D$1830/Inputs!$D$22)</f>
        <v>13180.207840697982</v>
      </c>
      <c r="H1810" s="16">
        <f>H1809*($D$1829/Inputs!$D$21+$D$1830/Inputs!$D$22)</f>
        <v>13180.207840697982</v>
      </c>
      <c r="I1810" s="16">
        <f>I1809*($D$1829/Inputs!$D$21+$D$1830/Inputs!$D$22)</f>
        <v>13180.207840697982</v>
      </c>
      <c r="J1810" s="16">
        <f>J1809*($D$1829/Inputs!$D$21+$D$1830/Inputs!$D$22)</f>
        <v>13180.207840697982</v>
      </c>
      <c r="K1810" s="16">
        <f>K1809*($D$1829/Inputs!$D$21+$D$1830/Inputs!$D$22)</f>
        <v>13180.207840697982</v>
      </c>
      <c r="L1810" s="16">
        <f>L1809*($D$1829/Inputs!$D$21+$D$1830/Inputs!$D$22)</f>
        <v>13180.207840697982</v>
      </c>
      <c r="M1810" s="16">
        <f>M1809*($D$1829/Inputs!$D$21+$D$1830/Inputs!$D$22)</f>
        <v>13180.207840697982</v>
      </c>
    </row>
    <row r="1811" spans="2:13" ht="15" customHeight="1" x14ac:dyDescent="0.2">
      <c r="B1811" s="10" t="s">
        <v>898</v>
      </c>
      <c r="C1811" s="10" t="s">
        <v>110</v>
      </c>
      <c r="D1811" s="16">
        <f t="shared" ref="D1811:M1811" si="393">D1807*($D$1829+$D$1830)</f>
        <v>15560.968620146154</v>
      </c>
      <c r="E1811" s="16">
        <f t="shared" si="393"/>
        <v>20747.95816019487</v>
      </c>
      <c r="F1811" s="16">
        <f t="shared" si="393"/>
        <v>15560.968620146154</v>
      </c>
      <c r="G1811" s="16">
        <f t="shared" si="393"/>
        <v>0</v>
      </c>
      <c r="H1811" s="16">
        <f t="shared" si="393"/>
        <v>0</v>
      </c>
      <c r="I1811" s="16">
        <f t="shared" si="393"/>
        <v>0</v>
      </c>
      <c r="J1811" s="16">
        <f t="shared" si="393"/>
        <v>0</v>
      </c>
      <c r="K1811" s="16">
        <f t="shared" si="393"/>
        <v>0</v>
      </c>
      <c r="L1811" s="16">
        <f t="shared" si="393"/>
        <v>0</v>
      </c>
      <c r="M1811" s="16">
        <f t="shared" si="393"/>
        <v>0</v>
      </c>
    </row>
    <row r="1812" spans="2:13" ht="15" customHeight="1" x14ac:dyDescent="0.2">
      <c r="B1812" s="10" t="s">
        <v>899</v>
      </c>
      <c r="C1812" s="10" t="s">
        <v>110</v>
      </c>
      <c r="D1812" s="16">
        <f t="shared" ref="D1812:M1812" si="394">D1808*$D$1829</f>
        <v>0</v>
      </c>
      <c r="E1812" s="16">
        <f t="shared" si="394"/>
        <v>0</v>
      </c>
      <c r="F1812" s="16">
        <f t="shared" si="394"/>
        <v>0</v>
      </c>
      <c r="G1812" s="16">
        <f t="shared" si="394"/>
        <v>2638.0048485671714</v>
      </c>
      <c r="H1812" s="16">
        <f t="shared" si="394"/>
        <v>14881.788221808281</v>
      </c>
      <c r="I1812" s="16">
        <f t="shared" si="394"/>
        <v>19842.384295744378</v>
      </c>
      <c r="J1812" s="16">
        <f t="shared" si="394"/>
        <v>14881.788221808281</v>
      </c>
      <c r="K1812" s="16">
        <f t="shared" si="394"/>
        <v>2638.0048485671714</v>
      </c>
      <c r="L1812" s="16">
        <f t="shared" si="394"/>
        <v>14881.788221808281</v>
      </c>
      <c r="M1812" s="16">
        <f t="shared" si="394"/>
        <v>19842.384295744378</v>
      </c>
    </row>
    <row r="1813" spans="2:13" ht="15" customHeight="1" x14ac:dyDescent="0.2">
      <c r="B1813" s="10" t="s">
        <v>900</v>
      </c>
      <c r="C1813" s="10" t="s">
        <v>199</v>
      </c>
      <c r="D1813" s="28">
        <f>D1807*Inputs!$D$23</f>
        <v>6.4875000000000007</v>
      </c>
      <c r="E1813" s="28">
        <f>E1807*Inputs!$D$23</f>
        <v>8.65</v>
      </c>
      <c r="F1813" s="28">
        <f>F1807*Inputs!$D$23</f>
        <v>6.4875000000000007</v>
      </c>
      <c r="G1813" s="28">
        <f>G1807*Inputs!$D$23</f>
        <v>0</v>
      </c>
      <c r="H1813" s="28">
        <f>H1807*Inputs!$D$23</f>
        <v>0</v>
      </c>
      <c r="I1813" s="28">
        <f>I1807*Inputs!$D$23</f>
        <v>0</v>
      </c>
      <c r="J1813" s="28">
        <f>J1807*Inputs!$D$23</f>
        <v>0</v>
      </c>
      <c r="K1813" s="28">
        <f>K1807*Inputs!$D$23</f>
        <v>0</v>
      </c>
      <c r="L1813" s="28">
        <f>L1807*Inputs!$D$23</f>
        <v>0</v>
      </c>
      <c r="M1813" s="28">
        <f>M1807*Inputs!$D$23</f>
        <v>0</v>
      </c>
    </row>
    <row r="1814" spans="2:13" ht="15" customHeight="1" x14ac:dyDescent="0.2">
      <c r="B1814" s="3" t="s">
        <v>901</v>
      </c>
      <c r="C1814" s="10" t="s">
        <v>896</v>
      </c>
      <c r="D1814" s="28">
        <f>(D1809*$D$1827*(Inputs!$D$7-Inputs!$D$19)-D1813)/(Inputs!$D$7+$D$1828)^D1802</f>
        <v>43.213488846686175</v>
      </c>
      <c r="E1814" s="28">
        <f>(E1809*$D$1827*(Inputs!$D$7-Inputs!$D$19)-E1813)/(Inputs!$D$7+$D$1828)^E1802</f>
        <v>163.29332190458183</v>
      </c>
      <c r="F1814" s="28">
        <f>(F1809*$D$1827*(Inputs!$D$7-Inputs!$D$19)-F1813)/(Inputs!$D$7+$D$1828)^F1802</f>
        <v>248.28260771010829</v>
      </c>
      <c r="G1814" s="28">
        <f>(G1809*$D$1827*(Inputs!$D$7-Inputs!$D$19)-G1813)/(Inputs!$D$7+$D$1828)^G1802</f>
        <v>268.5238926419492</v>
      </c>
      <c r="H1814" s="28">
        <f>(H1809*$D$1827*(Inputs!$D$7-Inputs!$D$19)-H1813)/(Inputs!$D$7+$D$1828)^H1802</f>
        <v>244.12855518959191</v>
      </c>
      <c r="I1814" s="28">
        <f>(I1809*$D$1827*(Inputs!$D$7-Inputs!$D$19)-I1813)/(Inputs!$D$7+$D$1828)^I1802</f>
        <v>221.8916197826434</v>
      </c>
      <c r="J1814" s="28">
        <f>(J1809*$D$1827*(Inputs!$D$7-Inputs!$D$19)-J1813)/(Inputs!$D$7+$D$1828)^J1802</f>
        <v>201.73281421346593</v>
      </c>
      <c r="K1814" s="28">
        <f>(K1809*$D$1827*(Inputs!$D$7-Inputs!$D$19)-K1813)/(Inputs!$D$7+$D$1828)^K1802</f>
        <v>183.40543176145695</v>
      </c>
      <c r="L1814" s="28">
        <f>(L1809*$D$1827*(Inputs!$D$7-Inputs!$D$19)-L1813)/(Inputs!$D$7+$D$1828)^L1802</f>
        <v>166.74308803332551</v>
      </c>
      <c r="M1814" s="28">
        <f>(M1809*$D$1827*(Inputs!$D$7-Inputs!$D$19)-M1813)/(Inputs!$D$7+$D$1828)^M1802</f>
        <v>151.55496194429571</v>
      </c>
    </row>
    <row r="1815" spans="2:13" ht="15" customHeight="1" x14ac:dyDescent="0.2">
      <c r="B1815" s="10" t="s">
        <v>902</v>
      </c>
      <c r="C1815" s="10" t="s">
        <v>110</v>
      </c>
      <c r="D1815" s="16">
        <f>(D1810*Inputs!$D$19-D1811-D1812)/(Inputs!$D$7+$D$1828)^D1802</f>
        <v>-14027.24269342025</v>
      </c>
      <c r="E1815" s="16">
        <f>(E1810*Inputs!$D$19-E1811-E1812)/(Inputs!$D$7+$D$1828)^E1802</f>
        <v>-15853.087323826181</v>
      </c>
      <c r="F1815" s="16">
        <f>(F1810*Inputs!$D$19-F1811-F1812)/(Inputs!$D$7+$D$1828)^F1802</f>
        <v>-9394.4767487293357</v>
      </c>
      <c r="G1815" s="16">
        <f>(G1810*Inputs!$D$19-G1811-G1812)/(Inputs!$D$7+$D$1828)^G1802</f>
        <v>923.61320322684639</v>
      </c>
      <c r="H1815" s="16">
        <f>(H1810*Inputs!$D$19-H1811-H1812)/(Inputs!$D$7+$D$1828)^H1802</f>
        <v>-6972.3744918015345</v>
      </c>
      <c r="I1815" s="16">
        <f>(I1810*Inputs!$D$19-I1811-I1812)/(Inputs!$D$7+$D$1828)^I1802</f>
        <v>-9214.0648467907959</v>
      </c>
      <c r="J1815" s="16">
        <f>(J1810*Inputs!$D$19-J1811-J1812)/(Inputs!$D$7+$D$1828)^J1802</f>
        <v>-5761.5411965591911</v>
      </c>
      <c r="K1815" s="16">
        <f>(K1810*Inputs!$D$19-K1811-K1812)/(Inputs!$D$7+$D$1828)^K1802</f>
        <v>630.8402453567694</v>
      </c>
      <c r="L1815" s="16">
        <f>(L1810*Inputs!$D$19-L1811-L1812)/(Inputs!$D$7+$D$1828)^L1802</f>
        <v>-4762.2255937446444</v>
      </c>
      <c r="M1815" s="16">
        <f>(M1810*Inputs!$D$19-M1811-M1812)/(Inputs!$D$7+$D$1828)^M1802</f>
        <v>-6293.3302689644106</v>
      </c>
    </row>
    <row r="1816" spans="2:13" ht="15" customHeight="1" x14ac:dyDescent="0.2">
      <c r="B1816" s="10" t="s">
        <v>903</v>
      </c>
      <c r="C1816" s="10" t="s">
        <v>110</v>
      </c>
      <c r="D1816" s="16">
        <f t="shared" ref="D1816:M1816" si="395">D1809*$D$1826</f>
        <v>4758.7398653603341</v>
      </c>
      <c r="E1816" s="16">
        <f t="shared" si="395"/>
        <v>18131.272730252709</v>
      </c>
      <c r="F1816" s="16">
        <f t="shared" si="395"/>
        <v>29603.044556969548</v>
      </c>
      <c r="G1816" s="16">
        <f t="shared" si="395"/>
        <v>34519.518196991048</v>
      </c>
      <c r="H1816" s="16">
        <f t="shared" si="395"/>
        <v>34519.518196991048</v>
      </c>
      <c r="I1816" s="16">
        <f t="shared" si="395"/>
        <v>34519.518196991048</v>
      </c>
      <c r="J1816" s="16">
        <f t="shared" si="395"/>
        <v>34519.518196991048</v>
      </c>
      <c r="K1816" s="16">
        <f t="shared" si="395"/>
        <v>34519.518196991048</v>
      </c>
      <c r="L1816" s="16">
        <f t="shared" si="395"/>
        <v>34519.518196991048</v>
      </c>
      <c r="M1816" s="16">
        <f t="shared" si="395"/>
        <v>34519.518196991048</v>
      </c>
    </row>
    <row r="1817" spans="2:13" ht="15" customHeight="1" x14ac:dyDescent="0.2">
      <c r="B1817" s="10" t="s">
        <v>904</v>
      </c>
      <c r="C1817" s="10" t="s">
        <v>110</v>
      </c>
      <c r="D1817" s="16">
        <f t="shared" ref="D1817:M1817" si="396">D1816*$D$1827</f>
        <v>2855.2439192162005</v>
      </c>
      <c r="E1817" s="16">
        <f t="shared" si="396"/>
        <v>10878.763638151626</v>
      </c>
      <c r="F1817" s="16">
        <f t="shared" si="396"/>
        <v>17761.826734181726</v>
      </c>
      <c r="G1817" s="16">
        <f t="shared" si="396"/>
        <v>20711.710918194629</v>
      </c>
      <c r="H1817" s="16">
        <f t="shared" si="396"/>
        <v>20711.710918194629</v>
      </c>
      <c r="I1817" s="16">
        <f t="shared" si="396"/>
        <v>20711.710918194629</v>
      </c>
      <c r="J1817" s="16">
        <f t="shared" si="396"/>
        <v>20711.710918194629</v>
      </c>
      <c r="K1817" s="16">
        <f t="shared" si="396"/>
        <v>20711.710918194629</v>
      </c>
      <c r="L1817" s="16">
        <f t="shared" si="396"/>
        <v>20711.710918194629</v>
      </c>
      <c r="M1817" s="16">
        <f t="shared" si="396"/>
        <v>20711.710918194629</v>
      </c>
    </row>
    <row r="1818" spans="2:13" ht="15" customHeight="1" x14ac:dyDescent="0.2">
      <c r="B1818" s="10" t="s">
        <v>905</v>
      </c>
      <c r="C1818" s="10" t="s">
        <v>110</v>
      </c>
      <c r="D1818" s="16">
        <f t="shared" ref="D1818:M1818" si="397">D1817-D1810</f>
        <v>1038.2666332837587</v>
      </c>
      <c r="E1818" s="16">
        <f t="shared" si="397"/>
        <v>3955.8992564019172</v>
      </c>
      <c r="F1818" s="16">
        <f t="shared" si="397"/>
        <v>6458.821931168226</v>
      </c>
      <c r="G1818" s="16">
        <f t="shared" si="397"/>
        <v>7531.5030774966472</v>
      </c>
      <c r="H1818" s="16">
        <f t="shared" si="397"/>
        <v>7531.5030774966472</v>
      </c>
      <c r="I1818" s="16">
        <f t="shared" si="397"/>
        <v>7531.5030774966472</v>
      </c>
      <c r="J1818" s="16">
        <f t="shared" si="397"/>
        <v>7531.5030774966472</v>
      </c>
      <c r="K1818" s="16">
        <f t="shared" si="397"/>
        <v>7531.5030774966472</v>
      </c>
      <c r="L1818" s="16">
        <f t="shared" si="397"/>
        <v>7531.5030774966472</v>
      </c>
      <c r="M1818" s="16">
        <f t="shared" si="397"/>
        <v>7531.5030774966472</v>
      </c>
    </row>
    <row r="1819" spans="2:13" ht="15" customHeight="1" x14ac:dyDescent="0.2">
      <c r="B1819" s="10" t="s">
        <v>906</v>
      </c>
      <c r="C1819" s="10" t="s">
        <v>110</v>
      </c>
      <c r="D1819" s="16">
        <f>MAX(D1818,Inputs!$D$6)*Inputs!$D$19</f>
        <v>311.47998998512759</v>
      </c>
      <c r="E1819" s="16">
        <f>MAX(E1818,Inputs!$D$6)*Inputs!$D$19</f>
        <v>1186.7697769205752</v>
      </c>
      <c r="F1819" s="16">
        <f>MAX(F1818,Inputs!$D$6)*Inputs!$D$19</f>
        <v>1937.6465793504676</v>
      </c>
      <c r="G1819" s="16">
        <f>MAX(G1818,Inputs!$D$6)*Inputs!$D$19</f>
        <v>2259.4509232489941</v>
      </c>
      <c r="H1819" s="16">
        <f>MAX(H1818,Inputs!$D$6)*Inputs!$D$19</f>
        <v>2259.4509232489941</v>
      </c>
      <c r="I1819" s="16">
        <f>MAX(I1818,Inputs!$D$6)*Inputs!$D$19</f>
        <v>2259.4509232489941</v>
      </c>
      <c r="J1819" s="16">
        <f>MAX(J1818,Inputs!$D$6)*Inputs!$D$19</f>
        <v>2259.4509232489941</v>
      </c>
      <c r="K1819" s="16">
        <f>MAX(K1818,Inputs!$D$6)*Inputs!$D$19</f>
        <v>2259.4509232489941</v>
      </c>
      <c r="L1819" s="16">
        <f>MAX(L1818,Inputs!$D$6)*Inputs!$D$19</f>
        <v>2259.4509232489941</v>
      </c>
      <c r="M1819" s="16">
        <f>MAX(M1818,Inputs!$D$6)*Inputs!$D$19</f>
        <v>2259.4509232489941</v>
      </c>
    </row>
    <row r="1820" spans="2:13" ht="15" customHeight="1" x14ac:dyDescent="0.2">
      <c r="B1820" s="10" t="s">
        <v>907</v>
      </c>
      <c r="C1820" s="10" t="s">
        <v>110</v>
      </c>
      <c r="D1820" s="16">
        <f t="shared" ref="D1820:M1820" si="398">D1813*$D$1826</f>
        <v>245.82368200107516</v>
      </c>
      <c r="E1820" s="16">
        <f t="shared" si="398"/>
        <v>327.76490933476686</v>
      </c>
      <c r="F1820" s="16">
        <f t="shared" si="398"/>
        <v>245.82368200107516</v>
      </c>
      <c r="G1820" s="16">
        <f t="shared" si="398"/>
        <v>0</v>
      </c>
      <c r="H1820" s="16">
        <f t="shared" si="398"/>
        <v>0</v>
      </c>
      <c r="I1820" s="16">
        <f t="shared" si="398"/>
        <v>0</v>
      </c>
      <c r="J1820" s="16">
        <f t="shared" si="398"/>
        <v>0</v>
      </c>
      <c r="K1820" s="16">
        <f t="shared" si="398"/>
        <v>0</v>
      </c>
      <c r="L1820" s="16">
        <f t="shared" si="398"/>
        <v>0</v>
      </c>
      <c r="M1820" s="16">
        <f t="shared" si="398"/>
        <v>0</v>
      </c>
    </row>
    <row r="1821" spans="2:13" ht="15" customHeight="1" x14ac:dyDescent="0.2">
      <c r="B1821" s="10" t="s">
        <v>908</v>
      </c>
      <c r="C1821" s="10" t="s">
        <v>110</v>
      </c>
      <c r="D1821" s="16">
        <f t="shared" ref="D1821:M1821" si="399">D1817-D1819-D1811-D1812-D1820</f>
        <v>-13263.028372916157</v>
      </c>
      <c r="E1821" s="16">
        <f t="shared" si="399"/>
        <v>-11383.729208298586</v>
      </c>
      <c r="F1821" s="16">
        <f t="shared" si="399"/>
        <v>17.387852684029042</v>
      </c>
      <c r="G1821" s="16">
        <f t="shared" si="399"/>
        <v>15814.255146378462</v>
      </c>
      <c r="H1821" s="16">
        <f t="shared" si="399"/>
        <v>3570.471773137353</v>
      </c>
      <c r="I1821" s="16">
        <f t="shared" si="399"/>
        <v>-1390.1243007987432</v>
      </c>
      <c r="J1821" s="16">
        <f t="shared" si="399"/>
        <v>3570.471773137353</v>
      </c>
      <c r="K1821" s="16">
        <f t="shared" si="399"/>
        <v>15814.255146378462</v>
      </c>
      <c r="L1821" s="16">
        <f t="shared" si="399"/>
        <v>3570.471773137353</v>
      </c>
      <c r="M1821" s="16">
        <f t="shared" si="399"/>
        <v>-1390.1243007987432</v>
      </c>
    </row>
    <row r="1822" spans="2:13" ht="15" customHeight="1" x14ac:dyDescent="0.2">
      <c r="B1822" s="10" t="s">
        <v>909</v>
      </c>
      <c r="C1822" s="10" t="s">
        <v>110</v>
      </c>
      <c r="D1822" s="16">
        <f>D1821/(Inputs!$D$7+$D$1828)^D1802</f>
        <v>-12389.801623608337</v>
      </c>
      <c r="E1822" s="16">
        <f>E1821/(Inputs!$D$7+$D$1828)^E1802</f>
        <v>-9665.5935840541388</v>
      </c>
      <c r="F1822" s="16">
        <f>F1821/(Inputs!$D$7+$D$1828)^F1802</f>
        <v>13.422257687209783</v>
      </c>
      <c r="G1822" s="16">
        <f>G1821/(Inputs!$D$7+$D$1828)^G1802</f>
        <v>11098.492894094723</v>
      </c>
      <c r="H1822" s="16">
        <f>H1821/(Inputs!$D$7+$D$1828)^H1802</f>
        <v>2278.1195842382581</v>
      </c>
      <c r="I1822" s="16">
        <f>I1821/(Inputs!$D$7+$D$1828)^I1802</f>
        <v>-806.1704375188117</v>
      </c>
      <c r="J1822" s="16">
        <f>J1821/(Inputs!$D$7+$D$1828)^J1802</f>
        <v>1882.4978277788455</v>
      </c>
      <c r="K1822" s="16">
        <f>K1821/(Inputs!$D$7+$D$1828)^K1802</f>
        <v>7580.4199809403181</v>
      </c>
      <c r="L1822" s="16">
        <f>L1821/(Inputs!$D$7+$D$1828)^L1802</f>
        <v>1555.9863289654106</v>
      </c>
      <c r="M1822" s="16">
        <f>M1821/(Inputs!$D$7+$D$1828)^M1802</f>
        <v>-550.62525614289427</v>
      </c>
    </row>
    <row r="1823" spans="2:13" ht="15" customHeight="1" x14ac:dyDescent="0.2">
      <c r="B1823" s="3" t="s">
        <v>910</v>
      </c>
      <c r="C1823" s="10" t="s">
        <v>896</v>
      </c>
      <c r="D1823" s="28">
        <f>(D1809*$D$1827-D1813)/(Inputs!$D$7+$D$1828)^D1802</f>
        <v>64.330856237917445</v>
      </c>
      <c r="E1823" s="28">
        <f>(E1809*$D$1827-E1813)/(Inputs!$D$7+$D$1828)^E1802</f>
        <v>236.42380139523098</v>
      </c>
      <c r="F1823" s="28">
        <f>(F1809*$D$1827-F1813)/(Inputs!$D$7+$D$1828)^F1802</f>
        <v>356.83568908039001</v>
      </c>
      <c r="G1823" s="28">
        <f>(G1809*$D$1827-G1813)/(Inputs!$D$7+$D$1828)^G1802</f>
        <v>383.60556091707036</v>
      </c>
      <c r="H1823" s="28">
        <f>(H1809*$D$1827-H1813)/(Inputs!$D$7+$D$1828)^H1802</f>
        <v>348.75507884227414</v>
      </c>
      <c r="I1823" s="28">
        <f>(I1809*$D$1827-I1813)/(Inputs!$D$7+$D$1828)^I1802</f>
        <v>316.98802826091918</v>
      </c>
      <c r="J1823" s="28">
        <f>(J1809*$D$1827-J1813)/(Inputs!$D$7+$D$1828)^J1802</f>
        <v>288.18973459066564</v>
      </c>
      <c r="K1823" s="28">
        <f>(K1809*$D$1827-K1813)/(Inputs!$D$7+$D$1828)^K1802</f>
        <v>262.00775965922423</v>
      </c>
      <c r="L1823" s="28">
        <f>(L1809*$D$1827-L1813)/(Inputs!$D$7+$D$1828)^L1802</f>
        <v>238.2044114761793</v>
      </c>
      <c r="M1823" s="28">
        <f>(M1809*$D$1827-M1813)/(Inputs!$D$7+$D$1828)^M1802</f>
        <v>216.50708849185102</v>
      </c>
    </row>
    <row r="1824" spans="2:13" ht="15" customHeight="1" x14ac:dyDescent="0.2">
      <c r="B1824" s="10" t="s">
        <v>911</v>
      </c>
      <c r="C1824" s="10" t="s">
        <v>110</v>
      </c>
      <c r="D1824" s="16">
        <f>(-D1811-D1812)/(Inputs!$D$7+$D$1828)^D1802</f>
        <v>-14536.447397527105</v>
      </c>
      <c r="E1824" s="16">
        <f>(-E1811-E1812)/(Inputs!$D$7+$D$1828)^E1802</f>
        <v>-17616.488200475756</v>
      </c>
      <c r="F1824" s="16">
        <f>(-F1811-F1812)/(Inputs!$D$7+$D$1828)^F1802</f>
        <v>-12012.025548964448</v>
      </c>
      <c r="G1824" s="16">
        <f>(-G1811-G1812)/(Inputs!$D$7+$D$1828)^G1802</f>
        <v>-1851.359915178487</v>
      </c>
      <c r="H1824" s="16">
        <f>(-H1811-H1812)/(Inputs!$D$7+$D$1828)^H1802</f>
        <v>-9495.2419037884629</v>
      </c>
      <c r="I1824" s="16">
        <f>(-I1811-I1812)/(Inputs!$D$7+$D$1828)^I1802</f>
        <v>-11507.131858586603</v>
      </c>
      <c r="J1824" s="16">
        <f>(-J1811-J1812)/(Inputs!$D$7+$D$1828)^J1802</f>
        <v>-7846.2835672839774</v>
      </c>
      <c r="K1824" s="16">
        <f>(-K1811-K1812)/(Inputs!$D$7+$D$1828)^K1802</f>
        <v>-1264.5037327904422</v>
      </c>
      <c r="L1824" s="16">
        <f>(-L1811-L1812)/(Inputs!$D$7+$D$1828)^L1802</f>
        <v>-6485.3779822337692</v>
      </c>
      <c r="M1824" s="16">
        <f>(-M1811-M1812)/(Inputs!$D$7+$D$1828)^M1802</f>
        <v>-7859.5258920747219</v>
      </c>
    </row>
    <row r="1825" spans="2:13" ht="15" customHeight="1" x14ac:dyDescent="0.2">
      <c r="B1825" s="10" t="s">
        <v>912</v>
      </c>
      <c r="C1825" s="10" t="s">
        <v>110</v>
      </c>
      <c r="D1825" s="16">
        <f>Prices!K12</f>
        <v>22209.485599656113</v>
      </c>
    </row>
    <row r="1826" spans="2:13" ht="15" customHeight="1" x14ac:dyDescent="0.2">
      <c r="B1826" s="3" t="s">
        <v>913</v>
      </c>
      <c r="C1826" s="10" t="s">
        <v>914</v>
      </c>
      <c r="D1826" s="28">
        <f>IF(J1833&gt;=J1829,J1833,(D1825-J1832)/J1831)</f>
        <v>37.891897032921023</v>
      </c>
      <c r="G1826" s="99" t="s">
        <v>915</v>
      </c>
      <c r="H1826" s="91"/>
      <c r="I1826" s="91"/>
      <c r="J1826" s="28">
        <f>D1826*Inputs!$D$15</f>
        <v>26.44475493927558</v>
      </c>
      <c r="K1826" s="99" t="s">
        <v>916</v>
      </c>
      <c r="L1826" s="91"/>
      <c r="M1826" s="91"/>
    </row>
    <row r="1827" spans="2:13" ht="15" customHeight="1" x14ac:dyDescent="0.2">
      <c r="B1827" s="10" t="s">
        <v>917</v>
      </c>
      <c r="C1827" s="10" t="s">
        <v>104</v>
      </c>
      <c r="D1827" s="30">
        <f>Inputs!$D$81</f>
        <v>0.6</v>
      </c>
      <c r="G1827" s="99" t="s">
        <v>918</v>
      </c>
      <c r="H1827" s="91"/>
      <c r="I1827" s="91"/>
      <c r="J1827" s="28">
        <f>IF(-D1838/D1837&gt;=J1829,-D1838/D1837,-J1832/J1831)</f>
        <v>32.284876648616972</v>
      </c>
      <c r="K1827" s="99" t="s">
        <v>919</v>
      </c>
      <c r="L1827" s="91"/>
      <c r="M1827" s="91"/>
    </row>
    <row r="1828" spans="2:13" ht="15" customHeight="1" x14ac:dyDescent="0.2">
      <c r="B1828" s="10" t="s">
        <v>920</v>
      </c>
      <c r="C1828" s="10" t="s">
        <v>104</v>
      </c>
      <c r="D1828" s="30">
        <f>Inputs!$D$82</f>
        <v>0.1</v>
      </c>
      <c r="G1828" s="99" t="s">
        <v>918</v>
      </c>
      <c r="H1828" s="91"/>
      <c r="I1828" s="91"/>
      <c r="J1828" s="28">
        <f>J1827*Inputs!$D$15</f>
        <v>22.531615413069783</v>
      </c>
      <c r="K1828" s="99" t="s">
        <v>916</v>
      </c>
      <c r="L1828" s="91"/>
      <c r="M1828" s="91"/>
    </row>
    <row r="1829" spans="2:13" ht="15" customHeight="1" x14ac:dyDescent="0.2">
      <c r="B1829" s="3" t="s">
        <v>921</v>
      </c>
      <c r="C1829" s="10" t="s">
        <v>848</v>
      </c>
      <c r="D1829" s="28">
        <f>Capital!$D$13</f>
        <v>57.347931490590682</v>
      </c>
      <c r="G1829" s="99" t="s">
        <v>922</v>
      </c>
      <c r="H1829" s="91"/>
      <c r="I1829" s="91"/>
      <c r="J1829" s="28">
        <f>($D$1829/Inputs!$D$21+$D$1830/Inputs!$D$22)/$D$1827</f>
        <v>24.113076913095469</v>
      </c>
      <c r="K1829" s="99" t="s">
        <v>919</v>
      </c>
      <c r="L1829" s="91"/>
      <c r="M1829" s="91"/>
    </row>
    <row r="1830" spans="2:13" ht="15" customHeight="1" x14ac:dyDescent="0.2">
      <c r="B1830" s="3" t="s">
        <v>923</v>
      </c>
      <c r="C1830" s="10" t="s">
        <v>848</v>
      </c>
      <c r="D1830" s="28">
        <f>Capital!$D$14</f>
        <v>2.6172655041921802</v>
      </c>
    </row>
    <row r="1831" spans="2:13" ht="15" customHeight="1" x14ac:dyDescent="0.2">
      <c r="B1831" s="10" t="s">
        <v>924</v>
      </c>
      <c r="C1831" s="10" t="s">
        <v>896</v>
      </c>
      <c r="D1831" s="28">
        <f>(M1804*(Inputs!$D$7+Inputs!$D$20)*$D$1827*(Inputs!$D$7-Inputs!$D$19)-M1804*Inputs!$D$20*Inputs!$D$23)/($D$1828-Inputs!$D$20)/(Inputs!$D$7+$D$1828)^M1802</f>
        <v>2068.2441036763203</v>
      </c>
      <c r="G1831" s="92" t="s">
        <v>910</v>
      </c>
      <c r="H1831" s="91"/>
      <c r="I1831" s="91"/>
      <c r="J1831" s="28">
        <f>SUM(D1823:M1823)+(M1804*(Inputs!$D$7+Inputs!$D$20)*$D$1827-M1804*Inputs!$D$20*Inputs!$D$23)/($D$1828-Inputs!$D$20)/(Inputs!$D$7+$D$1828)^M1802</f>
        <v>5667.7711754446318</v>
      </c>
      <c r="K1831" s="99" t="s">
        <v>896</v>
      </c>
      <c r="L1831" s="91"/>
      <c r="M1831" s="91"/>
    </row>
    <row r="1832" spans="2:13" ht="15" customHeight="1" x14ac:dyDescent="0.2">
      <c r="B1832" s="10" t="s">
        <v>925</v>
      </c>
      <c r="C1832" s="10" t="s">
        <v>110</v>
      </c>
      <c r="D1832" s="16">
        <f>(D1835*Inputs!$D$19-D1835-D1836)/($D$1828-Inputs!$D$20)/(Inputs!$D$7+$D$1828)^M1802</f>
        <v>-57156.954988173631</v>
      </c>
      <c r="G1832" s="92" t="s">
        <v>926</v>
      </c>
      <c r="H1832" s="91"/>
      <c r="I1832" s="91"/>
      <c r="J1832" s="16">
        <f>SUM(D1824:M1824)-(D1835+D1836)/($D$1828-Inputs!$D$20)/(Inputs!$D$7+$D$1828)^M1802</f>
        <v>-169036.01450291832</v>
      </c>
      <c r="K1832" s="99" t="s">
        <v>110</v>
      </c>
      <c r="L1832" s="91"/>
      <c r="M1832" s="91"/>
    </row>
    <row r="1833" spans="2:13" ht="15" customHeight="1" x14ac:dyDescent="0.2">
      <c r="B1833" s="10" t="s">
        <v>927</v>
      </c>
      <c r="C1833" s="10" t="s">
        <v>928</v>
      </c>
      <c r="D1833" s="16">
        <f>(M1804*(Inputs!$D$7+Inputs!$D$20)*$D$1826*$D$1827-D1835)-MAX((M1804*(Inputs!$D$7+Inputs!$D$20)*$D$1826*$D$1827-D1835),Inputs!$D$6)*Inputs!$D$19-D1836-M1804*Inputs!$D$20*$D$1826*Inputs!$D$23</f>
        <v>4016.5713976745456</v>
      </c>
      <c r="G1833" s="99" t="s">
        <v>929</v>
      </c>
      <c r="H1833" s="91"/>
      <c r="I1833" s="91"/>
      <c r="J1833" s="28">
        <f>(D1825-D1838)/D1837</f>
        <v>37.891897032921023</v>
      </c>
      <c r="K1833" s="99" t="s">
        <v>919</v>
      </c>
      <c r="L1833" s="91"/>
      <c r="M1833" s="91"/>
    </row>
    <row r="1834" spans="2:13" ht="15" customHeight="1" x14ac:dyDescent="0.2">
      <c r="B1834" s="10" t="s">
        <v>930</v>
      </c>
      <c r="C1834" s="10" t="s">
        <v>110</v>
      </c>
      <c r="D1834" s="16">
        <f>D1833/($D$1828-Inputs!$D$20)</f>
        <v>53554.285302327269</v>
      </c>
      <c r="G1834" s="99" t="s">
        <v>931</v>
      </c>
      <c r="H1834" s="91"/>
      <c r="I1834" s="91"/>
      <c r="J1834" s="16">
        <f>MIN(D1818:M1818,(M1804*(Inputs!$D$7+Inputs!$D$20)*$D$1826*$D$1827-D1835))</f>
        <v>1038.2666332837587</v>
      </c>
      <c r="K1834" s="99" t="s">
        <v>110</v>
      </c>
      <c r="L1834" s="91"/>
      <c r="M1834" s="91"/>
    </row>
    <row r="1835" spans="2:13" ht="15" customHeight="1" x14ac:dyDescent="0.2">
      <c r="B1835" s="10" t="s">
        <v>932</v>
      </c>
      <c r="C1835" s="10" t="s">
        <v>928</v>
      </c>
      <c r="D1835" s="16">
        <f>M1804*(Inputs!$D$7+Inputs!$D$20)*($D$1829/Inputs!$D$21+$D$1830/Inputs!$D$22)</f>
        <v>13509.71303671543</v>
      </c>
      <c r="G1835" s="99" t="s">
        <v>933</v>
      </c>
      <c r="H1835" s="91"/>
      <c r="I1835" s="91"/>
      <c r="J1835" s="31" t="str">
        <f>IF(J1834&lt;Inputs!$D$6,"breached","satisfied")</f>
        <v>satisfied</v>
      </c>
      <c r="K1835" s="99" t="s">
        <v>934</v>
      </c>
      <c r="L1835" s="91"/>
      <c r="M1835" s="91"/>
    </row>
    <row r="1836" spans="2:13" ht="15" customHeight="1" x14ac:dyDescent="0.2">
      <c r="B1836" s="10" t="s">
        <v>935</v>
      </c>
      <c r="C1836" s="10" t="s">
        <v>928</v>
      </c>
      <c r="D1836" s="16">
        <f>M1804*Inputs!$D$20*($D$1829+$D$1830)</f>
        <v>1365.7073615561799</v>
      </c>
    </row>
    <row r="1837" spans="2:13" ht="15" customHeight="1" x14ac:dyDescent="0.2">
      <c r="B1837" s="10" t="s">
        <v>936</v>
      </c>
      <c r="C1837" s="10" t="s">
        <v>896</v>
      </c>
      <c r="D1837" s="28">
        <f>SUM(D1814:M1814)+D1831</f>
        <v>3961.0138857044249</v>
      </c>
      <c r="G1837" s="99" t="s">
        <v>937</v>
      </c>
      <c r="H1837" s="91"/>
      <c r="I1837" s="91"/>
      <c r="J1837" s="16">
        <f>D1839-D1825</f>
        <v>0</v>
      </c>
      <c r="K1837" s="99" t="s">
        <v>110</v>
      </c>
      <c r="L1837" s="91"/>
      <c r="M1837" s="91"/>
    </row>
    <row r="1838" spans="2:13" ht="15" customHeight="1" x14ac:dyDescent="0.2">
      <c r="B1838" s="10" t="s">
        <v>938</v>
      </c>
      <c r="C1838" s="10" t="s">
        <v>110</v>
      </c>
      <c r="D1838" s="16">
        <f>SUM(D1815:M1815)+D1832</f>
        <v>-127880.84470342637</v>
      </c>
    </row>
    <row r="1839" spans="2:13" ht="15" customHeight="1" x14ac:dyDescent="0.2">
      <c r="B1839" s="10" t="s">
        <v>939</v>
      </c>
      <c r="C1839" s="10" t="s">
        <v>110</v>
      </c>
      <c r="D1839" s="16">
        <f>SUM(D1822:M1822)+D1834/(Inputs!$D$7+$D$1828)^M1802</f>
        <v>22209.485599656113</v>
      </c>
    </row>
    <row r="1840" spans="2:13" ht="15" customHeight="1" x14ac:dyDescent="0.2">
      <c r="B1840" s="10" t="s">
        <v>940</v>
      </c>
      <c r="C1840" s="10" t="s">
        <v>104</v>
      </c>
      <c r="D1840" s="30">
        <f>IF(ABS(D1825)&gt;Inputs!$D$6,D1839/D1825-Inputs!$D$7,Inputs!$D$6)</f>
        <v>0</v>
      </c>
    </row>
    <row r="1841" spans="1:13" ht="15" customHeight="1" x14ac:dyDescent="0.2">
      <c r="B1841" s="10" t="s">
        <v>941</v>
      </c>
      <c r="C1841" s="10" t="s">
        <v>104</v>
      </c>
      <c r="D1841" s="30">
        <f>IF(ABS(D1839)&gt;Inputs!$D$119,D1834/(Inputs!$D$7+$D$1828)^M1802/D1839,Inputs!$D$6)</f>
        <v>0.95512061871455434</v>
      </c>
    </row>
    <row r="1842" spans="1:13" ht="15" customHeight="1" x14ac:dyDescent="0.2">
      <c r="B1842" s="10" t="s">
        <v>942</v>
      </c>
      <c r="C1842" s="10" t="s">
        <v>943</v>
      </c>
      <c r="D1842" s="26">
        <f>$D$1826*Inputs!$D$8/Prices!$P$6/(Inputs!$D$26/Inputs!$D$25)/Inputs!$D$11/Inputs!$D$56</f>
        <v>6.8907565729202309</v>
      </c>
    </row>
    <row r="1846" spans="1:13" ht="15" customHeight="1" x14ac:dyDescent="0.2">
      <c r="A1846" s="104" t="s">
        <v>983</v>
      </c>
      <c r="B1846" s="10" t="s">
        <v>886</v>
      </c>
      <c r="C1846" s="10" t="s">
        <v>107</v>
      </c>
      <c r="D1846" s="28">
        <f>Inputs!$D$60</f>
        <v>1</v>
      </c>
      <c r="E1846" s="28">
        <f>Inputs!$D$62</f>
        <v>2</v>
      </c>
      <c r="F1846" s="28">
        <f>Inputs!$D$64</f>
        <v>3</v>
      </c>
      <c r="G1846" s="28">
        <f>Inputs!$D$66</f>
        <v>4</v>
      </c>
      <c r="H1846" s="28">
        <f>Inputs!$D$68</f>
        <v>5</v>
      </c>
      <c r="I1846" s="28">
        <f>Inputs!$D$70</f>
        <v>6</v>
      </c>
      <c r="J1846" s="28">
        <f>Inputs!$D$72</f>
        <v>7</v>
      </c>
      <c r="K1846" s="28">
        <f>Inputs!$D$74</f>
        <v>8</v>
      </c>
      <c r="L1846" s="28">
        <f>Inputs!$D$76</f>
        <v>9</v>
      </c>
      <c r="M1846" s="28">
        <f>Inputs!$D$78</f>
        <v>10</v>
      </c>
    </row>
    <row r="1847" spans="1:13" ht="15" customHeight="1" x14ac:dyDescent="0.2">
      <c r="A1847" s="91"/>
      <c r="B1847" s="10" t="s">
        <v>887</v>
      </c>
      <c r="C1847" s="10" t="s">
        <v>161</v>
      </c>
      <c r="D1847" s="29">
        <f>Inputs!$D$61</f>
        <v>46568</v>
      </c>
      <c r="E1847" s="29">
        <f>Inputs!$D$63</f>
        <v>46934</v>
      </c>
      <c r="F1847" s="29">
        <f>Inputs!$D$65</f>
        <v>47299</v>
      </c>
      <c r="G1847" s="29">
        <f>Inputs!$D$67</f>
        <v>47664</v>
      </c>
      <c r="H1847" s="29">
        <f>Inputs!$D$69</f>
        <v>48029</v>
      </c>
      <c r="I1847" s="29">
        <f>Inputs!$D$71</f>
        <v>48395</v>
      </c>
      <c r="J1847" s="29">
        <f>Inputs!$D$73</f>
        <v>48760</v>
      </c>
      <c r="K1847" s="29">
        <f>Inputs!$D$75</f>
        <v>49125</v>
      </c>
      <c r="L1847" s="29">
        <f>Inputs!$D$77</f>
        <v>49490</v>
      </c>
      <c r="M1847" s="29">
        <f>Inputs!$D$79</f>
        <v>49856</v>
      </c>
    </row>
    <row r="1848" spans="1:13" ht="15" customHeight="1" x14ac:dyDescent="0.2">
      <c r="A1848" s="91"/>
      <c r="B1848" s="10" t="s">
        <v>888</v>
      </c>
      <c r="C1848" s="10" t="s">
        <v>107</v>
      </c>
      <c r="D1848" s="28">
        <f>(D1847-Inputs!$D$13)/Inputs!$D$10</f>
        <v>0.71457905544147848</v>
      </c>
      <c r="E1848" s="28">
        <f>(E1847-Inputs!$D$13)/Inputs!$D$10</f>
        <v>1.7166324435318274</v>
      </c>
      <c r="F1848" s="28">
        <f>(F1847-Inputs!$D$13)/Inputs!$D$10</f>
        <v>2.7159479808350446</v>
      </c>
      <c r="G1848" s="28">
        <f>(G1847-Inputs!$D$13)/Inputs!$D$10</f>
        <v>3.7152635181382614</v>
      </c>
      <c r="H1848" s="28">
        <f>(H1847-Inputs!$D$13)/Inputs!$D$10</f>
        <v>4.7145790554414786</v>
      </c>
      <c r="I1848" s="28">
        <f>(I1847-Inputs!$D$13)/Inputs!$D$10</f>
        <v>5.7166324435318279</v>
      </c>
      <c r="J1848" s="28">
        <f>(J1847-Inputs!$D$13)/Inputs!$D$10</f>
        <v>6.7159479808350442</v>
      </c>
      <c r="K1848" s="28">
        <f>(K1847-Inputs!$D$13)/Inputs!$D$10</f>
        <v>7.7152635181382614</v>
      </c>
      <c r="L1848" s="28">
        <f>(L1847-Inputs!$D$13)/Inputs!$D$10</f>
        <v>8.7145790554414777</v>
      </c>
      <c r="M1848" s="28">
        <f>(M1847-Inputs!$D$13)/Inputs!$D$10</f>
        <v>9.716632443531827</v>
      </c>
    </row>
    <row r="1849" spans="1:13" ht="15" customHeight="1" x14ac:dyDescent="0.2">
      <c r="A1849" s="91"/>
      <c r="B1849" s="10" t="s">
        <v>889</v>
      </c>
      <c r="C1849" s="10" t="s">
        <v>107</v>
      </c>
      <c r="D1849" s="28">
        <f>D1848</f>
        <v>0.71457905544147848</v>
      </c>
      <c r="E1849" s="28">
        <f>Inputs!$D$7</f>
        <v>1</v>
      </c>
      <c r="F1849" s="28">
        <f>Inputs!$D$7</f>
        <v>1</v>
      </c>
      <c r="G1849" s="28">
        <f>Inputs!$D$7</f>
        <v>1</v>
      </c>
      <c r="H1849" s="28">
        <f>Inputs!$D$7</f>
        <v>1</v>
      </c>
      <c r="I1849" s="28">
        <f>Inputs!$D$7</f>
        <v>1</v>
      </c>
      <c r="J1849" s="28">
        <f>Inputs!$D$7</f>
        <v>1</v>
      </c>
      <c r="K1849" s="28">
        <f>Inputs!$D$7</f>
        <v>1</v>
      </c>
      <c r="L1849" s="28">
        <f>Inputs!$D$7</f>
        <v>1</v>
      </c>
      <c r="M1849" s="28">
        <f>Inputs!$D$7</f>
        <v>1</v>
      </c>
    </row>
    <row r="1850" spans="1:13" ht="15" customHeight="1" x14ac:dyDescent="0.2">
      <c r="A1850" s="91"/>
      <c r="B1850" s="3" t="s">
        <v>890</v>
      </c>
      <c r="C1850" s="10" t="s">
        <v>199</v>
      </c>
      <c r="D1850" s="28">
        <f>Inputs!$D$24+(Inputs!$D$93-Inputs!$D$24)*Inputs!$D$96</f>
        <v>279.10000000000002</v>
      </c>
      <c r="E1850" s="28">
        <f>Inputs!$D$24+(Inputs!$D$93-Inputs!$D$24)*Inputs!$D$97</f>
        <v>900.7</v>
      </c>
      <c r="F1850" s="28">
        <f>Inputs!$D$24+(Inputs!$D$93-Inputs!$D$24)*Inputs!$D$98</f>
        <v>1366.8999999999999</v>
      </c>
      <c r="G1850" s="28">
        <f>Inputs!$D$24+(Inputs!$D$93-Inputs!$D$24)*Inputs!$D$99</f>
        <v>1600</v>
      </c>
      <c r="H1850" s="28">
        <f>Inputs!$D$24+(Inputs!$D$93-Inputs!$D$24)*Inputs!$D$100</f>
        <v>1600</v>
      </c>
      <c r="I1850" s="28">
        <f>Inputs!$D$24+(Inputs!$D$93-Inputs!$D$24)*Inputs!$D$101</f>
        <v>1600</v>
      </c>
      <c r="J1850" s="28">
        <f>Inputs!$D$24+(Inputs!$D$93-Inputs!$D$24)*Inputs!$D$102</f>
        <v>1600</v>
      </c>
      <c r="K1850" s="28">
        <f>Inputs!$D$24+(Inputs!$D$93-Inputs!$D$24)*Inputs!$D$103</f>
        <v>1600</v>
      </c>
      <c r="L1850" s="28">
        <f>Inputs!$D$24+(Inputs!$D$93-Inputs!$D$24)*Inputs!$D$104</f>
        <v>1600</v>
      </c>
      <c r="M1850" s="28">
        <f>Inputs!$D$24+(Inputs!$D$93-Inputs!$D$24)*Inputs!$D$105</f>
        <v>1600</v>
      </c>
    </row>
    <row r="1851" spans="1:13" ht="15" customHeight="1" x14ac:dyDescent="0.2">
      <c r="A1851" s="91"/>
      <c r="B1851" s="10" t="s">
        <v>891</v>
      </c>
      <c r="C1851" s="10" t="s">
        <v>199</v>
      </c>
      <c r="D1851" s="28">
        <f>Inputs!$D$24</f>
        <v>46</v>
      </c>
      <c r="E1851" s="28">
        <f t="shared" ref="E1851:M1851" si="400">D1850</f>
        <v>279.10000000000002</v>
      </c>
      <c r="F1851" s="28">
        <f t="shared" si="400"/>
        <v>900.7</v>
      </c>
      <c r="G1851" s="28">
        <f t="shared" si="400"/>
        <v>1366.8999999999999</v>
      </c>
      <c r="H1851" s="28">
        <f t="shared" si="400"/>
        <v>1600</v>
      </c>
      <c r="I1851" s="28">
        <f t="shared" si="400"/>
        <v>1600</v>
      </c>
      <c r="J1851" s="28">
        <f t="shared" si="400"/>
        <v>1600</v>
      </c>
      <c r="K1851" s="28">
        <f t="shared" si="400"/>
        <v>1600</v>
      </c>
      <c r="L1851" s="28">
        <f t="shared" si="400"/>
        <v>1600</v>
      </c>
      <c r="M1851" s="28">
        <f t="shared" si="400"/>
        <v>1600</v>
      </c>
    </row>
    <row r="1852" spans="1:13" ht="15" customHeight="1" x14ac:dyDescent="0.2">
      <c r="B1852" s="10" t="s">
        <v>892</v>
      </c>
      <c r="C1852" s="10" t="s">
        <v>199</v>
      </c>
      <c r="D1852" s="28">
        <f>(D1851+D1850)*Inputs!$D$12</f>
        <v>162.55000000000001</v>
      </c>
      <c r="E1852" s="28">
        <f>(E1851+E1850)*Inputs!$D$12</f>
        <v>589.90000000000009</v>
      </c>
      <c r="F1852" s="28">
        <f>(F1851+F1850)*Inputs!$D$12</f>
        <v>1133.8</v>
      </c>
      <c r="G1852" s="28">
        <f>(G1851+G1850)*Inputs!$D$12</f>
        <v>1483.4499999999998</v>
      </c>
      <c r="H1852" s="28">
        <f>(H1851+H1850)*Inputs!$D$12</f>
        <v>1600</v>
      </c>
      <c r="I1852" s="28">
        <f>(I1851+I1850)*Inputs!$D$12</f>
        <v>1600</v>
      </c>
      <c r="J1852" s="28">
        <f>(J1851+J1850)*Inputs!$D$12</f>
        <v>1600</v>
      </c>
      <c r="K1852" s="28">
        <f>(K1851+K1850)*Inputs!$D$12</f>
        <v>1600</v>
      </c>
      <c r="L1852" s="28">
        <f>(L1851+L1850)*Inputs!$D$12</f>
        <v>1600</v>
      </c>
      <c r="M1852" s="28">
        <f>(M1851+M1850)*Inputs!$D$12</f>
        <v>1600</v>
      </c>
    </row>
    <row r="1853" spans="1:13" ht="15" customHeight="1" x14ac:dyDescent="0.2">
      <c r="B1853" s="10" t="s">
        <v>893</v>
      </c>
      <c r="C1853" s="10" t="s">
        <v>199</v>
      </c>
      <c r="D1853" s="28">
        <f t="shared" ref="D1853:M1853" si="401">D1850-D1851</f>
        <v>233.10000000000002</v>
      </c>
      <c r="E1853" s="28">
        <f t="shared" si="401"/>
        <v>621.6</v>
      </c>
      <c r="F1853" s="28">
        <f t="shared" si="401"/>
        <v>466.19999999999982</v>
      </c>
      <c r="G1853" s="28">
        <f t="shared" si="401"/>
        <v>233.10000000000014</v>
      </c>
      <c r="H1853" s="28">
        <f t="shared" si="401"/>
        <v>0</v>
      </c>
      <c r="I1853" s="28">
        <f t="shared" si="401"/>
        <v>0</v>
      </c>
      <c r="J1853" s="28">
        <f t="shared" si="401"/>
        <v>0</v>
      </c>
      <c r="K1853" s="28">
        <f t="shared" si="401"/>
        <v>0</v>
      </c>
      <c r="L1853" s="28">
        <f t="shared" si="401"/>
        <v>0</v>
      </c>
      <c r="M1853" s="28">
        <f t="shared" si="401"/>
        <v>0</v>
      </c>
    </row>
    <row r="1854" spans="1:13" ht="15" customHeight="1" x14ac:dyDescent="0.2">
      <c r="B1854" s="10" t="s">
        <v>894</v>
      </c>
      <c r="C1854" s="10" t="s">
        <v>199</v>
      </c>
      <c r="D1854" s="28">
        <f>IF(MOD(D1846,Inputs!$D$21)=Inputs!$D$6,Inputs!$D$24,Inputs!$D$6)+SUMPRODUCT(--(D1846&gt;$D$1846:$M$1846),--(MOD(D1846-$D$1846:$M$1846,Inputs!$D$21)=Inputs!$D$6),$D$1853:$M$1853)</f>
        <v>0</v>
      </c>
      <c r="E1854" s="28">
        <f>IF(MOD(E1846,Inputs!$D$21)=Inputs!$D$6,Inputs!$D$24,Inputs!$D$6)+SUMPRODUCT(--(E1846&gt;$D$1846:$M$1846),--(MOD(E1846-$D$1846:$M$1846,Inputs!$D$21)=Inputs!$D$6),$D$1853:$M$1853)</f>
        <v>0</v>
      </c>
      <c r="F1854" s="28">
        <f>IF(MOD(F1846,Inputs!$D$21)=Inputs!$D$6,Inputs!$D$24,Inputs!$D$6)+SUMPRODUCT(--(F1846&gt;$D$1846:$M$1846),--(MOD(F1846-$D$1846:$M$1846,Inputs!$D$21)=Inputs!$D$6),$D$1853:$M$1853)</f>
        <v>0</v>
      </c>
      <c r="G1854" s="28">
        <f>IF(MOD(G1846,Inputs!$D$21)=Inputs!$D$6,Inputs!$D$24,Inputs!$D$6)+SUMPRODUCT(--(G1846&gt;$D$1846:$M$1846),--(MOD(G1846-$D$1846:$M$1846,Inputs!$D$21)=Inputs!$D$6),$D$1853:$M$1853)</f>
        <v>46</v>
      </c>
      <c r="H1854" s="28">
        <f>IF(MOD(H1846,Inputs!$D$21)=Inputs!$D$6,Inputs!$D$24,Inputs!$D$6)+SUMPRODUCT(--(H1846&gt;$D$1846:$M$1846),--(MOD(H1846-$D$1846:$M$1846,Inputs!$D$21)=Inputs!$D$6),$D$1853:$M$1853)</f>
        <v>233.10000000000002</v>
      </c>
      <c r="I1854" s="28">
        <f>IF(MOD(I1846,Inputs!$D$21)=Inputs!$D$6,Inputs!$D$24,Inputs!$D$6)+SUMPRODUCT(--(I1846&gt;$D$1846:$M$1846),--(MOD(I1846-$D$1846:$M$1846,Inputs!$D$21)=Inputs!$D$6),$D$1853:$M$1853)</f>
        <v>621.6</v>
      </c>
      <c r="J1854" s="28">
        <f>IF(MOD(J1846,Inputs!$D$21)=Inputs!$D$6,Inputs!$D$24,Inputs!$D$6)+SUMPRODUCT(--(J1846&gt;$D$1846:$M$1846),--(MOD(J1846-$D$1846:$M$1846,Inputs!$D$21)=Inputs!$D$6),$D$1853:$M$1853)</f>
        <v>466.19999999999982</v>
      </c>
      <c r="K1854" s="28">
        <f>IF(MOD(K1846,Inputs!$D$21)=Inputs!$D$6,Inputs!$D$24,Inputs!$D$6)+SUMPRODUCT(--(K1846&gt;$D$1846:$M$1846),--(MOD(K1846-$D$1846:$M$1846,Inputs!$D$21)=Inputs!$D$6),$D$1853:$M$1853)</f>
        <v>279.10000000000014</v>
      </c>
      <c r="L1854" s="28">
        <f>IF(MOD(L1846,Inputs!$D$21)=Inputs!$D$6,Inputs!$D$24,Inputs!$D$6)+SUMPRODUCT(--(L1846&gt;$D$1846:$M$1846),--(MOD(L1846-$D$1846:$M$1846,Inputs!$D$21)=Inputs!$D$6),$D$1853:$M$1853)</f>
        <v>233.10000000000002</v>
      </c>
      <c r="M1854" s="28">
        <f>IF(MOD(M1846,Inputs!$D$21)=Inputs!$D$6,Inputs!$D$24,Inputs!$D$6)+SUMPRODUCT(--(M1846&gt;$D$1846:$M$1846),--(MOD(M1846-$D$1846:$M$1846,Inputs!$D$21)=Inputs!$D$6),$D$1853:$M$1853)</f>
        <v>621.6</v>
      </c>
    </row>
    <row r="1855" spans="1:13" ht="15" customHeight="1" x14ac:dyDescent="0.2">
      <c r="B1855" s="10" t="s">
        <v>895</v>
      </c>
      <c r="C1855" s="10" t="s">
        <v>896</v>
      </c>
      <c r="D1855" s="28">
        <f t="shared" ref="D1855:M1855" si="402">D1852*D1849</f>
        <v>116.15482546201234</v>
      </c>
      <c r="E1855" s="28">
        <f t="shared" si="402"/>
        <v>589.90000000000009</v>
      </c>
      <c r="F1855" s="28">
        <f t="shared" si="402"/>
        <v>1133.8</v>
      </c>
      <c r="G1855" s="28">
        <f t="shared" si="402"/>
        <v>1483.4499999999998</v>
      </c>
      <c r="H1855" s="28">
        <f t="shared" si="402"/>
        <v>1600</v>
      </c>
      <c r="I1855" s="28">
        <f t="shared" si="402"/>
        <v>1600</v>
      </c>
      <c r="J1855" s="28">
        <f t="shared" si="402"/>
        <v>1600</v>
      </c>
      <c r="K1855" s="28">
        <f t="shared" si="402"/>
        <v>1600</v>
      </c>
      <c r="L1855" s="28">
        <f t="shared" si="402"/>
        <v>1600</v>
      </c>
      <c r="M1855" s="28">
        <f t="shared" si="402"/>
        <v>1600</v>
      </c>
    </row>
    <row r="1856" spans="1:13" ht="15" customHeight="1" x14ac:dyDescent="0.2">
      <c r="B1856" s="10" t="s">
        <v>897</v>
      </c>
      <c r="C1856" s="10" t="s">
        <v>110</v>
      </c>
      <c r="D1856" s="16">
        <f>D1855*($D$1875/Inputs!$D$21+$D$1876/Inputs!$D$22)</f>
        <v>1680.51014411561</v>
      </c>
      <c r="E1856" s="16">
        <f>E1855*($D$1875/Inputs!$D$21+$D$1876/Inputs!$D$22)</f>
        <v>8534.5824426210111</v>
      </c>
      <c r="F1856" s="16">
        <f>F1855*($D$1875/Inputs!$D$21+$D$1876/Inputs!$D$22)</f>
        <v>16403.643962440583</v>
      </c>
      <c r="G1856" s="16">
        <f>G1855*($D$1875/Inputs!$D$21+$D$1876/Inputs!$D$22)</f>
        <v>21462.326368038881</v>
      </c>
      <c r="H1856" s="16">
        <f>H1855*($D$1875/Inputs!$D$21+$D$1876/Inputs!$D$22)</f>
        <v>23148.553836571649</v>
      </c>
      <c r="I1856" s="16">
        <f>I1855*($D$1875/Inputs!$D$21+$D$1876/Inputs!$D$22)</f>
        <v>23148.553836571649</v>
      </c>
      <c r="J1856" s="16">
        <f>J1855*($D$1875/Inputs!$D$21+$D$1876/Inputs!$D$22)</f>
        <v>23148.553836571649</v>
      </c>
      <c r="K1856" s="16">
        <f>K1855*($D$1875/Inputs!$D$21+$D$1876/Inputs!$D$22)</f>
        <v>23148.553836571649</v>
      </c>
      <c r="L1856" s="16">
        <f>L1855*($D$1875/Inputs!$D$21+$D$1876/Inputs!$D$22)</f>
        <v>23148.553836571649</v>
      </c>
      <c r="M1856" s="16">
        <f>M1855*($D$1875/Inputs!$D$21+$D$1876/Inputs!$D$22)</f>
        <v>23148.553836571649</v>
      </c>
    </row>
    <row r="1857" spans="2:13" ht="15" customHeight="1" x14ac:dyDescent="0.2">
      <c r="B1857" s="10" t="s">
        <v>898</v>
      </c>
      <c r="C1857" s="10" t="s">
        <v>110</v>
      </c>
      <c r="D1857" s="16">
        <f t="shared" ref="D1857:M1857" si="403">D1853*($D$1875+$D$1876)</f>
        <v>13977.887419483886</v>
      </c>
      <c r="E1857" s="16">
        <f t="shared" si="403"/>
        <v>37274.36645195703</v>
      </c>
      <c r="F1857" s="16">
        <f t="shared" si="403"/>
        <v>27955.774838967762</v>
      </c>
      <c r="G1857" s="16">
        <f t="shared" si="403"/>
        <v>13977.887419483894</v>
      </c>
      <c r="H1857" s="16">
        <f t="shared" si="403"/>
        <v>0</v>
      </c>
      <c r="I1857" s="16">
        <f t="shared" si="403"/>
        <v>0</v>
      </c>
      <c r="J1857" s="16">
        <f t="shared" si="403"/>
        <v>0</v>
      </c>
      <c r="K1857" s="16">
        <f t="shared" si="403"/>
        <v>0</v>
      </c>
      <c r="L1857" s="16">
        <f t="shared" si="403"/>
        <v>0</v>
      </c>
      <c r="M1857" s="16">
        <f t="shared" si="403"/>
        <v>0</v>
      </c>
    </row>
    <row r="1858" spans="2:13" ht="15" customHeight="1" x14ac:dyDescent="0.2">
      <c r="B1858" s="10" t="s">
        <v>899</v>
      </c>
      <c r="C1858" s="10" t="s">
        <v>110</v>
      </c>
      <c r="D1858" s="16">
        <f t="shared" ref="D1858:M1858" si="404">D1854*$D$1875</f>
        <v>0</v>
      </c>
      <c r="E1858" s="16">
        <f t="shared" si="404"/>
        <v>0</v>
      </c>
      <c r="F1858" s="16">
        <f t="shared" si="404"/>
        <v>0</v>
      </c>
      <c r="G1858" s="16">
        <f t="shared" si="404"/>
        <v>2638.0048485671714</v>
      </c>
      <c r="H1858" s="16">
        <f t="shared" si="404"/>
        <v>13367.802830456689</v>
      </c>
      <c r="I1858" s="16">
        <f t="shared" si="404"/>
        <v>35647.47421455117</v>
      </c>
      <c r="J1858" s="16">
        <f t="shared" si="404"/>
        <v>26735.605660913367</v>
      </c>
      <c r="K1858" s="16">
        <f t="shared" si="404"/>
        <v>16005.807679023867</v>
      </c>
      <c r="L1858" s="16">
        <f t="shared" si="404"/>
        <v>13367.802830456689</v>
      </c>
      <c r="M1858" s="16">
        <f t="shared" si="404"/>
        <v>35647.47421455117</v>
      </c>
    </row>
    <row r="1859" spans="2:13" ht="15" customHeight="1" x14ac:dyDescent="0.2">
      <c r="B1859" s="10" t="s">
        <v>900</v>
      </c>
      <c r="C1859" s="10" t="s">
        <v>199</v>
      </c>
      <c r="D1859" s="28">
        <f>D1853*Inputs!$D$23</f>
        <v>5.8275000000000006</v>
      </c>
      <c r="E1859" s="28">
        <f>E1853*Inputs!$D$23</f>
        <v>15.540000000000001</v>
      </c>
      <c r="F1859" s="28">
        <f>F1853*Inputs!$D$23</f>
        <v>11.654999999999996</v>
      </c>
      <c r="G1859" s="28">
        <f>G1853*Inputs!$D$23</f>
        <v>5.8275000000000041</v>
      </c>
      <c r="H1859" s="28">
        <f>H1853*Inputs!$D$23</f>
        <v>0</v>
      </c>
      <c r="I1859" s="28">
        <f>I1853*Inputs!$D$23</f>
        <v>0</v>
      </c>
      <c r="J1859" s="28">
        <f>J1853*Inputs!$D$23</f>
        <v>0</v>
      </c>
      <c r="K1859" s="28">
        <f>K1853*Inputs!$D$23</f>
        <v>0</v>
      </c>
      <c r="L1859" s="28">
        <f>L1853*Inputs!$D$23</f>
        <v>0</v>
      </c>
      <c r="M1859" s="28">
        <f>M1853*Inputs!$D$23</f>
        <v>0</v>
      </c>
    </row>
    <row r="1860" spans="2:13" ht="15" customHeight="1" x14ac:dyDescent="0.2">
      <c r="B1860" s="3" t="s">
        <v>901</v>
      </c>
      <c r="C1860" s="10" t="s">
        <v>896</v>
      </c>
      <c r="D1860" s="28">
        <f>(D1855*$D$1873*(Inputs!$D$7-Inputs!$D$19)-D1859)/(Inputs!$D$7+$D$1874)^D1848</f>
        <v>50.541318213721269</v>
      </c>
      <c r="E1860" s="28">
        <f>(E1855*$D$1873*(Inputs!$D$7-Inputs!$D$19)-E1859)/(Inputs!$D$7+$D$1874)^E1848</f>
        <v>238.4864713152904</v>
      </c>
      <c r="F1860" s="28">
        <f>(F1855*$D$1873*(Inputs!$D$7-Inputs!$D$19)-F1859)/(Inputs!$D$7+$D$1874)^F1848</f>
        <v>418.74491871678316</v>
      </c>
      <c r="G1860" s="28">
        <f>(G1855*$D$1873*(Inputs!$D$7-Inputs!$D$19)-G1859)/(Inputs!$D$7+$D$1874)^G1848</f>
        <v>490.87392073514752</v>
      </c>
      <c r="H1860" s="28">
        <f>(H1855*$D$1873*(Inputs!$D$7-Inputs!$D$19)-H1859)/(Inputs!$D$7+$D$1874)^H1848</f>
        <v>472.10300862628105</v>
      </c>
      <c r="I1860" s="28">
        <f>(I1855*$D$1873*(Inputs!$D$7-Inputs!$D$19)-I1859)/(Inputs!$D$7+$D$1874)^I1848</f>
        <v>417.68543753228789</v>
      </c>
      <c r="J1860" s="28">
        <f>(J1855*$D$1873*(Inputs!$D$7-Inputs!$D$19)-J1859)/(Inputs!$D$7+$D$1874)^J1848</f>
        <v>369.66405292491049</v>
      </c>
      <c r="K1860" s="28">
        <f>(K1855*$D$1873*(Inputs!$D$7-Inputs!$D$19)-K1859)/(Inputs!$D$7+$D$1874)^K1848</f>
        <v>327.16369723641031</v>
      </c>
      <c r="L1860" s="28">
        <f>(L1855*$D$1873*(Inputs!$D$7-Inputs!$D$19)-L1859)/(Inputs!$D$7+$D$1874)^L1848</f>
        <v>289.54961658427663</v>
      </c>
      <c r="M1860" s="28">
        <f>(M1855*$D$1873*(Inputs!$D$7-Inputs!$D$19)-M1859)/(Inputs!$D$7+$D$1874)^M1848</f>
        <v>256.17430111750662</v>
      </c>
    </row>
    <row r="1861" spans="2:13" ht="15" customHeight="1" x14ac:dyDescent="0.2">
      <c r="B1861" s="10" t="s">
        <v>902</v>
      </c>
      <c r="C1861" s="10" t="s">
        <v>110</v>
      </c>
      <c r="D1861" s="16">
        <f>(D1856*Inputs!$D$19-D1857-D1858)/(Inputs!$D$7+$D$1874)^D1848</f>
        <v>-12346.937146613671</v>
      </c>
      <c r="E1861" s="16">
        <f>(E1856*Inputs!$D$19-E1857-E1858)/(Inputs!$D$7+$D$1874)^E1848</f>
        <v>-28144.165592831177</v>
      </c>
      <c r="F1861" s="16">
        <f>(F1856*Inputs!$D$19-F1857-F1858)/(Inputs!$D$7+$D$1874)^F1848</f>
        <v>-16528.13772562052</v>
      </c>
      <c r="G1861" s="16">
        <f>(G1856*Inputs!$D$19-G1857-G1858)/(Inputs!$D$7+$D$1874)^G1848</f>
        <v>-6462.9033875784253</v>
      </c>
      <c r="H1861" s="16">
        <f>(H1856*Inputs!$D$19-H1857-H1858)/(Inputs!$D$7+$D$1874)^H1848</f>
        <v>-3610.0349541710043</v>
      </c>
      <c r="I1861" s="16">
        <f>(I1856*Inputs!$D$19-I1857-I1858)/(Inputs!$D$7+$D$1874)^I1848</f>
        <v>-14272.365134506323</v>
      </c>
      <c r="J1861" s="16">
        <f>(J1856*Inputs!$D$19-J1857-J1858)/(Inputs!$D$7+$D$1874)^J1848</f>
        <v>-8709.5665200501735</v>
      </c>
      <c r="K1861" s="16">
        <f>(K1856*Inputs!$D$19-K1857-K1858)/(Inputs!$D$7+$D$1874)^K1848</f>
        <v>-3529.1777141306115</v>
      </c>
      <c r="L1861" s="16">
        <f>(L1856*Inputs!$D$19-L1857-L1858)/(Inputs!$D$7+$D$1874)^L1848</f>
        <v>-2214.1020449702382</v>
      </c>
      <c r="M1861" s="16">
        <f>(M1856*Inputs!$D$19-M1857-M1858)/(Inputs!$D$7+$D$1874)^M1848</f>
        <v>-8753.5088252709138</v>
      </c>
    </row>
    <row r="1862" spans="2:13" ht="15" customHeight="1" x14ac:dyDescent="0.2">
      <c r="B1862" s="10" t="s">
        <v>903</v>
      </c>
      <c r="C1862" s="10" t="s">
        <v>110</v>
      </c>
      <c r="D1862" s="16">
        <f t="shared" ref="D1862:M1862" si="405">D1855*$D$1872</f>
        <v>3626.5839956636619</v>
      </c>
      <c r="E1862" s="16">
        <f t="shared" si="405"/>
        <v>18417.847821067455</v>
      </c>
      <c r="F1862" s="16">
        <f t="shared" si="405"/>
        <v>35399.484420285262</v>
      </c>
      <c r="G1862" s="16">
        <f t="shared" si="405"/>
        <v>46316.250805496711</v>
      </c>
      <c r="H1862" s="16">
        <f t="shared" si="405"/>
        <v>49955.172933900532</v>
      </c>
      <c r="I1862" s="16">
        <f t="shared" si="405"/>
        <v>49955.172933900532</v>
      </c>
      <c r="J1862" s="16">
        <f t="shared" si="405"/>
        <v>49955.172933900532</v>
      </c>
      <c r="K1862" s="16">
        <f t="shared" si="405"/>
        <v>49955.172933900532</v>
      </c>
      <c r="L1862" s="16">
        <f t="shared" si="405"/>
        <v>49955.172933900532</v>
      </c>
      <c r="M1862" s="16">
        <f t="shared" si="405"/>
        <v>49955.172933900532</v>
      </c>
    </row>
    <row r="1863" spans="2:13" ht="15" customHeight="1" x14ac:dyDescent="0.2">
      <c r="B1863" s="10" t="s">
        <v>904</v>
      </c>
      <c r="C1863" s="10" t="s">
        <v>110</v>
      </c>
      <c r="D1863" s="16">
        <f t="shared" ref="D1863:M1863" si="406">D1862*$D$1873</f>
        <v>2719.9379967477462</v>
      </c>
      <c r="E1863" s="16">
        <f t="shared" si="406"/>
        <v>13813.385865800592</v>
      </c>
      <c r="F1863" s="16">
        <f t="shared" si="406"/>
        <v>26549.613315213945</v>
      </c>
      <c r="G1863" s="16">
        <f t="shared" si="406"/>
        <v>34737.188104122535</v>
      </c>
      <c r="H1863" s="16">
        <f t="shared" si="406"/>
        <v>37466.379700425401</v>
      </c>
      <c r="I1863" s="16">
        <f t="shared" si="406"/>
        <v>37466.379700425401</v>
      </c>
      <c r="J1863" s="16">
        <f t="shared" si="406"/>
        <v>37466.379700425401</v>
      </c>
      <c r="K1863" s="16">
        <f t="shared" si="406"/>
        <v>37466.379700425401</v>
      </c>
      <c r="L1863" s="16">
        <f t="shared" si="406"/>
        <v>37466.379700425401</v>
      </c>
      <c r="M1863" s="16">
        <f t="shared" si="406"/>
        <v>37466.379700425401</v>
      </c>
    </row>
    <row r="1864" spans="2:13" ht="15" customHeight="1" x14ac:dyDescent="0.2">
      <c r="B1864" s="10" t="s">
        <v>905</v>
      </c>
      <c r="C1864" s="10" t="s">
        <v>110</v>
      </c>
      <c r="D1864" s="16">
        <f t="shared" ref="D1864:M1864" si="407">D1863-D1856</f>
        <v>1039.4278526321361</v>
      </c>
      <c r="E1864" s="16">
        <f t="shared" si="407"/>
        <v>5278.8034231795809</v>
      </c>
      <c r="F1864" s="16">
        <f t="shared" si="407"/>
        <v>10145.969352773362</v>
      </c>
      <c r="G1864" s="16">
        <f t="shared" si="407"/>
        <v>13274.861736083654</v>
      </c>
      <c r="H1864" s="16">
        <f t="shared" si="407"/>
        <v>14317.825863853752</v>
      </c>
      <c r="I1864" s="16">
        <f t="shared" si="407"/>
        <v>14317.825863853752</v>
      </c>
      <c r="J1864" s="16">
        <f t="shared" si="407"/>
        <v>14317.825863853752</v>
      </c>
      <c r="K1864" s="16">
        <f t="shared" si="407"/>
        <v>14317.825863853752</v>
      </c>
      <c r="L1864" s="16">
        <f t="shared" si="407"/>
        <v>14317.825863853752</v>
      </c>
      <c r="M1864" s="16">
        <f t="shared" si="407"/>
        <v>14317.825863853752</v>
      </c>
    </row>
    <row r="1865" spans="2:13" ht="15" customHeight="1" x14ac:dyDescent="0.2">
      <c r="B1865" s="10" t="s">
        <v>906</v>
      </c>
      <c r="C1865" s="10" t="s">
        <v>110</v>
      </c>
      <c r="D1865" s="16">
        <f>MAX(D1864,Inputs!$D$6)*Inputs!$D$19</f>
        <v>311.82835578964085</v>
      </c>
      <c r="E1865" s="16">
        <f>MAX(E1864,Inputs!$D$6)*Inputs!$D$19</f>
        <v>1583.6410269538742</v>
      </c>
      <c r="F1865" s="16">
        <f>MAX(F1864,Inputs!$D$6)*Inputs!$D$19</f>
        <v>3043.7908058320086</v>
      </c>
      <c r="G1865" s="16">
        <f>MAX(G1864,Inputs!$D$6)*Inputs!$D$19</f>
        <v>3982.458520825096</v>
      </c>
      <c r="H1865" s="16">
        <f>MAX(H1864,Inputs!$D$6)*Inputs!$D$19</f>
        <v>4295.347759156125</v>
      </c>
      <c r="I1865" s="16">
        <f>MAX(I1864,Inputs!$D$6)*Inputs!$D$19</f>
        <v>4295.347759156125</v>
      </c>
      <c r="J1865" s="16">
        <f>MAX(J1864,Inputs!$D$6)*Inputs!$D$19</f>
        <v>4295.347759156125</v>
      </c>
      <c r="K1865" s="16">
        <f>MAX(K1864,Inputs!$D$6)*Inputs!$D$19</f>
        <v>4295.347759156125</v>
      </c>
      <c r="L1865" s="16">
        <f>MAX(L1864,Inputs!$D$6)*Inputs!$D$19</f>
        <v>4295.347759156125</v>
      </c>
      <c r="M1865" s="16">
        <f>MAX(M1864,Inputs!$D$6)*Inputs!$D$19</f>
        <v>4295.347759156125</v>
      </c>
    </row>
    <row r="1866" spans="2:13" ht="15" customHeight="1" x14ac:dyDescent="0.2">
      <c r="B1866" s="10" t="s">
        <v>907</v>
      </c>
      <c r="C1866" s="10" t="s">
        <v>110</v>
      </c>
      <c r="D1866" s="16">
        <f t="shared" ref="D1866:M1866" si="408">D1859*$D$1872</f>
        <v>181.94610642019086</v>
      </c>
      <c r="E1866" s="16">
        <f t="shared" si="408"/>
        <v>485.18961712050896</v>
      </c>
      <c r="F1866" s="16">
        <f t="shared" si="408"/>
        <v>363.89221284038155</v>
      </c>
      <c r="G1866" s="16">
        <f t="shared" si="408"/>
        <v>181.94610642019097</v>
      </c>
      <c r="H1866" s="16">
        <f t="shared" si="408"/>
        <v>0</v>
      </c>
      <c r="I1866" s="16">
        <f t="shared" si="408"/>
        <v>0</v>
      </c>
      <c r="J1866" s="16">
        <f t="shared" si="408"/>
        <v>0</v>
      </c>
      <c r="K1866" s="16">
        <f t="shared" si="408"/>
        <v>0</v>
      </c>
      <c r="L1866" s="16">
        <f t="shared" si="408"/>
        <v>0</v>
      </c>
      <c r="M1866" s="16">
        <f t="shared" si="408"/>
        <v>0</v>
      </c>
    </row>
    <row r="1867" spans="2:13" ht="15" customHeight="1" x14ac:dyDescent="0.2">
      <c r="B1867" s="10" t="s">
        <v>908</v>
      </c>
      <c r="C1867" s="10" t="s">
        <v>110</v>
      </c>
      <c r="D1867" s="16">
        <f t="shared" ref="D1867:M1867" si="409">D1863-D1865-D1857-D1858-D1866</f>
        <v>-11751.723884945972</v>
      </c>
      <c r="E1867" s="16">
        <f t="shared" si="409"/>
        <v>-25529.811230230822</v>
      </c>
      <c r="F1867" s="16">
        <f t="shared" si="409"/>
        <v>-4813.844542426209</v>
      </c>
      <c r="G1867" s="16">
        <f t="shared" si="409"/>
        <v>13956.89120882618</v>
      </c>
      <c r="H1867" s="16">
        <f t="shared" si="409"/>
        <v>19803.229110812586</v>
      </c>
      <c r="I1867" s="16">
        <f t="shared" si="409"/>
        <v>-2476.442273281893</v>
      </c>
      <c r="J1867" s="16">
        <f t="shared" si="409"/>
        <v>6435.4262803559104</v>
      </c>
      <c r="K1867" s="16">
        <f t="shared" si="409"/>
        <v>17165.224262245411</v>
      </c>
      <c r="L1867" s="16">
        <f t="shared" si="409"/>
        <v>19803.229110812586</v>
      </c>
      <c r="M1867" s="16">
        <f t="shared" si="409"/>
        <v>-2476.442273281893</v>
      </c>
    </row>
    <row r="1868" spans="2:13" ht="15" customHeight="1" x14ac:dyDescent="0.2">
      <c r="B1868" s="10" t="s">
        <v>909</v>
      </c>
      <c r="C1868" s="10" t="s">
        <v>110</v>
      </c>
      <c r="D1868" s="16">
        <f>D1867/(Inputs!$D$7+$D$1874)^D1848</f>
        <v>-10768.936964317581</v>
      </c>
      <c r="E1868" s="16">
        <f>E1867/(Inputs!$D$7+$D$1874)^E1848</f>
        <v>-20698.145019736778</v>
      </c>
      <c r="F1868" s="16">
        <f>F1867/(Inputs!$D$7+$D$1874)^F1848</f>
        <v>-3454.0909570648805</v>
      </c>
      <c r="G1868" s="16">
        <f>G1867/(Inputs!$D$7+$D$1874)^G1848</f>
        <v>8863.1538618378727</v>
      </c>
      <c r="H1868" s="16">
        <f>H1867/(Inputs!$D$7+$D$1874)^H1848</f>
        <v>11129.957194916875</v>
      </c>
      <c r="I1868" s="16">
        <f>I1867/(Inputs!$D$7+$D$1874)^I1848</f>
        <v>-1231.3974695704776</v>
      </c>
      <c r="J1868" s="16">
        <f>J1867/(Inputs!$D$7+$D$1874)^J1848</f>
        <v>2832.0782870188655</v>
      </c>
      <c r="K1868" s="16">
        <f>K1867/(Inputs!$D$7+$D$1874)^K1848</f>
        <v>6685.5217065813595</v>
      </c>
      <c r="L1868" s="16">
        <f>L1867/(Inputs!$D$7+$D$1874)^L1848</f>
        <v>6826.2111859123443</v>
      </c>
      <c r="M1868" s="16">
        <f>M1867/(Inputs!$D$7+$D$1874)^M1848</f>
        <v>-755.23912930456936</v>
      </c>
    </row>
    <row r="1869" spans="2:13" ht="15" customHeight="1" x14ac:dyDescent="0.2">
      <c r="B1869" s="3" t="s">
        <v>910</v>
      </c>
      <c r="C1869" s="10" t="s">
        <v>896</v>
      </c>
      <c r="D1869" s="28">
        <f>(D1855*$D$1873-D1859)/(Inputs!$D$7+$D$1874)^D1848</f>
        <v>74.490519309095831</v>
      </c>
      <c r="E1869" s="28">
        <f>(E1855*$D$1873-E1859)/(Inputs!$D$7+$D$1874)^E1848</f>
        <v>346.09451503846662</v>
      </c>
      <c r="F1869" s="28">
        <f>(F1855*$D$1873-F1859)/(Inputs!$D$7+$D$1874)^F1848</f>
        <v>601.79110266312398</v>
      </c>
      <c r="G1869" s="28">
        <f>(G1855*$D$1873-G1859)/(Inputs!$D$7+$D$1874)^G1848</f>
        <v>702.83446516544734</v>
      </c>
      <c r="H1869" s="28">
        <f>(H1855*$D$1873-H1859)/(Inputs!$D$7+$D$1874)^H1848</f>
        <v>674.43286946611579</v>
      </c>
      <c r="I1869" s="28">
        <f>(I1855*$D$1873-I1859)/(Inputs!$D$7+$D$1874)^I1848</f>
        <v>596.69348218898278</v>
      </c>
      <c r="J1869" s="28">
        <f>(J1855*$D$1873-J1859)/(Inputs!$D$7+$D$1874)^J1848</f>
        <v>528.09150417844353</v>
      </c>
      <c r="K1869" s="28">
        <f>(K1855*$D$1873-K1859)/(Inputs!$D$7+$D$1874)^K1848</f>
        <v>467.37671033772904</v>
      </c>
      <c r="L1869" s="28">
        <f>(L1855*$D$1873-L1859)/(Inputs!$D$7+$D$1874)^L1848</f>
        <v>413.64230940610946</v>
      </c>
      <c r="M1869" s="28">
        <f>(M1855*$D$1873-M1859)/(Inputs!$D$7+$D$1874)^M1848</f>
        <v>365.96328731072373</v>
      </c>
    </row>
    <row r="1870" spans="2:13" ht="15" customHeight="1" x14ac:dyDescent="0.2">
      <c r="B1870" s="10" t="s">
        <v>911</v>
      </c>
      <c r="C1870" s="10" t="s">
        <v>110</v>
      </c>
      <c r="D1870" s="16">
        <f>(-D1857-D1858)/(Inputs!$D$7+$D$1874)^D1848</f>
        <v>-12808.928289029636</v>
      </c>
      <c r="E1870" s="16">
        <f>(-E1857-E1858)/(Inputs!$D$7+$D$1874)^E1848</f>
        <v>-30219.974420642928</v>
      </c>
      <c r="F1870" s="16">
        <f>(-F1857-F1858)/(Inputs!$D$7+$D$1874)^F1848</f>
        <v>-20059.183095337907</v>
      </c>
      <c r="G1870" s="16">
        <f>(-G1857-G1858)/(Inputs!$D$7+$D$1874)^G1848</f>
        <v>-10551.720115889953</v>
      </c>
      <c r="H1870" s="16">
        <f>(-H1857-H1858)/(Inputs!$D$7+$D$1874)^H1848</f>
        <v>-7513.0713511684744</v>
      </c>
      <c r="I1870" s="16">
        <f>(-I1857-I1858)/(Inputs!$D$7+$D$1874)^I1848</f>
        <v>-17725.512933602091</v>
      </c>
      <c r="J1870" s="16">
        <f>(-J1857-J1858)/(Inputs!$D$7+$D$1874)^J1848</f>
        <v>-11765.705173827875</v>
      </c>
      <c r="K1870" s="16">
        <f>(-K1857-K1858)/(Inputs!$D$7+$D$1874)^K1848</f>
        <v>-6233.95144943378</v>
      </c>
      <c r="L1870" s="16">
        <f>(-L1857-L1858)/(Inputs!$D$7+$D$1874)^L1848</f>
        <v>-4607.9073620630261</v>
      </c>
      <c r="M1870" s="16">
        <f>(-M1857-M1858)/(Inputs!$D$7+$D$1874)^M1848</f>
        <v>-10871.389039901173</v>
      </c>
    </row>
    <row r="1871" spans="2:13" ht="15" customHeight="1" x14ac:dyDescent="0.2">
      <c r="B1871" s="10" t="s">
        <v>912</v>
      </c>
      <c r="C1871" s="10" t="s">
        <v>110</v>
      </c>
      <c r="D1871" s="16">
        <f>Prices!K12</f>
        <v>22209.485599656113</v>
      </c>
    </row>
    <row r="1872" spans="2:13" ht="15" customHeight="1" x14ac:dyDescent="0.2">
      <c r="B1872" s="3" t="s">
        <v>913</v>
      </c>
      <c r="C1872" s="10" t="s">
        <v>914</v>
      </c>
      <c r="D1872" s="28">
        <f>IF(J1879&gt;=J1875,J1879,(D1871-J1878)/J1877)</f>
        <v>31.221983083687832</v>
      </c>
      <c r="G1872" s="99" t="s">
        <v>915</v>
      </c>
      <c r="H1872" s="91"/>
      <c r="I1872" s="91"/>
      <c r="J1872" s="28">
        <f>D1872*Inputs!$D$15</f>
        <v>21.789821994105736</v>
      </c>
      <c r="K1872" s="99" t="s">
        <v>916</v>
      </c>
      <c r="L1872" s="91"/>
      <c r="M1872" s="91"/>
    </row>
    <row r="1873" spans="2:13" ht="15" customHeight="1" x14ac:dyDescent="0.2">
      <c r="B1873" s="10" t="s">
        <v>917</v>
      </c>
      <c r="C1873" s="10" t="s">
        <v>104</v>
      </c>
      <c r="D1873" s="30">
        <f>Inputs!$D$94</f>
        <v>0.75</v>
      </c>
      <c r="G1873" s="99" t="s">
        <v>918</v>
      </c>
      <c r="H1873" s="91"/>
      <c r="I1873" s="91"/>
      <c r="J1873" s="28">
        <f>IF(-D1884/D1883&gt;=J1875,-D1884/D1883,-J1878/J1877)</f>
        <v>27.411702074287536</v>
      </c>
      <c r="K1873" s="99" t="s">
        <v>919</v>
      </c>
      <c r="L1873" s="91"/>
      <c r="M1873" s="91"/>
    </row>
    <row r="1874" spans="2:13" ht="15" customHeight="1" x14ac:dyDescent="0.2">
      <c r="B1874" s="10" t="s">
        <v>920</v>
      </c>
      <c r="C1874" s="10" t="s">
        <v>104</v>
      </c>
      <c r="D1874" s="30">
        <f>Inputs!$D$95</f>
        <v>0.13</v>
      </c>
      <c r="G1874" s="99" t="s">
        <v>918</v>
      </c>
      <c r="H1874" s="91"/>
      <c r="I1874" s="91"/>
      <c r="J1874" s="28">
        <f>J1873*Inputs!$D$15</f>
        <v>19.13062687764527</v>
      </c>
      <c r="K1874" s="99" t="s">
        <v>916</v>
      </c>
      <c r="L1874" s="91"/>
      <c r="M1874" s="91"/>
    </row>
    <row r="1875" spans="2:13" ht="15" customHeight="1" x14ac:dyDescent="0.2">
      <c r="B1875" s="3" t="s">
        <v>921</v>
      </c>
      <c r="C1875" s="10" t="s">
        <v>848</v>
      </c>
      <c r="D1875" s="28">
        <f>Capital!$D$13</f>
        <v>57.347931490590682</v>
      </c>
      <c r="G1875" s="99" t="s">
        <v>922</v>
      </c>
      <c r="H1875" s="91"/>
      <c r="I1875" s="91"/>
      <c r="J1875" s="28">
        <f>($D$1875/Inputs!$D$21+$D$1876/Inputs!$D$22)/$D$1873</f>
        <v>19.290461530476374</v>
      </c>
      <c r="K1875" s="99" t="s">
        <v>919</v>
      </c>
      <c r="L1875" s="91"/>
      <c r="M1875" s="91"/>
    </row>
    <row r="1876" spans="2:13" ht="15" customHeight="1" x14ac:dyDescent="0.2">
      <c r="B1876" s="3" t="s">
        <v>923</v>
      </c>
      <c r="C1876" s="10" t="s">
        <v>848</v>
      </c>
      <c r="D1876" s="28">
        <f>Capital!$D$14</f>
        <v>2.6172655041921802</v>
      </c>
    </row>
    <row r="1877" spans="2:13" ht="15" customHeight="1" x14ac:dyDescent="0.2">
      <c r="B1877" s="10" t="s">
        <v>924</v>
      </c>
      <c r="C1877" s="10" t="s">
        <v>896</v>
      </c>
      <c r="D1877" s="28">
        <f>(M1850*(Inputs!$D$7+Inputs!$D$20)*$D$1873*(Inputs!$D$7-Inputs!$D$19)-M1850*Inputs!$D$20*Inputs!$D$23)/($D$1874-Inputs!$D$20)/(Inputs!$D$7+$D$1874)^M1848</f>
        <v>2497.8446594223992</v>
      </c>
      <c r="G1877" s="92" t="s">
        <v>910</v>
      </c>
      <c r="H1877" s="91"/>
      <c r="I1877" s="91"/>
      <c r="J1877" s="28">
        <f>SUM(D1869:M1869)+(M1850*(Inputs!$D$7+Inputs!$D$20)*$D$1873-M1850*Inputs!$D$20*Inputs!$D$23)/($D$1874-Inputs!$D$20)/(Inputs!$D$7+$D$1874)^M1848</f>
        <v>8341.0050516109004</v>
      </c>
      <c r="K1877" s="99" t="s">
        <v>896</v>
      </c>
      <c r="L1877" s="91"/>
      <c r="M1877" s="91"/>
    </row>
    <row r="1878" spans="2:13" ht="15" customHeight="1" x14ac:dyDescent="0.2">
      <c r="B1878" s="10" t="s">
        <v>925</v>
      </c>
      <c r="C1878" s="10" t="s">
        <v>110</v>
      </c>
      <c r="D1878" s="16">
        <f>(D1881*Inputs!$D$19-D1881-D1882)/($D$1874-Inputs!$D$20)/(Inputs!$D$7+$D$1874)^M1848</f>
        <v>-55207.290798783099</v>
      </c>
      <c r="G1878" s="92" t="s">
        <v>926</v>
      </c>
      <c r="H1878" s="91"/>
      <c r="I1878" s="91"/>
      <c r="J1878" s="16">
        <f>SUM(D1870:M1870)-(D1881+D1882)/($D$1874-Inputs!$D$20)/(Inputs!$D$7+$D$1874)^M1848</f>
        <v>-208239.17898202292</v>
      </c>
      <c r="K1878" s="99" t="s">
        <v>110</v>
      </c>
      <c r="L1878" s="91"/>
      <c r="M1878" s="91"/>
    </row>
    <row r="1879" spans="2:13" ht="15" customHeight="1" x14ac:dyDescent="0.2">
      <c r="B1879" s="10" t="s">
        <v>927</v>
      </c>
      <c r="C1879" s="10" t="s">
        <v>928</v>
      </c>
      <c r="D1879" s="16">
        <f>(M1850*(Inputs!$D$7+Inputs!$D$20)*$D$1872*$D$1873-D1881)-MAX((M1850*(Inputs!$D$7+Inputs!$D$20)*$D$1872*$D$1873-D1881),Inputs!$D$6)*Inputs!$D$19-D1882-M1850*Inputs!$D$20*$D$1872*Inputs!$D$23</f>
        <v>7843.2101944400601</v>
      </c>
      <c r="G1879" s="99" t="s">
        <v>929</v>
      </c>
      <c r="H1879" s="91"/>
      <c r="I1879" s="91"/>
      <c r="J1879" s="28">
        <f>(D1871-D1884)/D1883</f>
        <v>31.221983083687832</v>
      </c>
      <c r="K1879" s="99" t="s">
        <v>919</v>
      </c>
      <c r="L1879" s="91"/>
      <c r="M1879" s="91"/>
    </row>
    <row r="1880" spans="2:13" ht="15" customHeight="1" x14ac:dyDescent="0.2">
      <c r="B1880" s="10" t="s">
        <v>930</v>
      </c>
      <c r="C1880" s="10" t="s">
        <v>110</v>
      </c>
      <c r="D1880" s="16">
        <f>D1879/($D$1874-Inputs!$D$20)</f>
        <v>74697.239947048191</v>
      </c>
      <c r="G1880" s="99" t="s">
        <v>931</v>
      </c>
      <c r="H1880" s="91"/>
      <c r="I1880" s="91"/>
      <c r="J1880" s="16">
        <f>MIN(D1864:M1864,(M1850*(Inputs!$D$7+Inputs!$D$20)*$D$1872*$D$1873-D1881))</f>
        <v>1039.4278526321361</v>
      </c>
      <c r="K1880" s="99" t="s">
        <v>110</v>
      </c>
      <c r="L1880" s="91"/>
      <c r="M1880" s="91"/>
    </row>
    <row r="1881" spans="2:13" ht="15" customHeight="1" x14ac:dyDescent="0.2">
      <c r="B1881" s="10" t="s">
        <v>932</v>
      </c>
      <c r="C1881" s="10" t="s">
        <v>928</v>
      </c>
      <c r="D1881" s="16">
        <f>M1850*(Inputs!$D$7+Inputs!$D$20)*($D$1875/Inputs!$D$21+$D$1876/Inputs!$D$22)</f>
        <v>23727.267682485937</v>
      </c>
      <c r="G1881" s="99" t="s">
        <v>933</v>
      </c>
      <c r="H1881" s="91"/>
      <c r="I1881" s="91"/>
      <c r="J1881" s="31" t="str">
        <f>IF(J1880&lt;Inputs!$D$6,"breached","satisfied")</f>
        <v>satisfied</v>
      </c>
      <c r="K1881" s="99" t="s">
        <v>934</v>
      </c>
      <c r="L1881" s="91"/>
      <c r="M1881" s="91"/>
    </row>
    <row r="1882" spans="2:13" ht="15" customHeight="1" x14ac:dyDescent="0.2">
      <c r="B1882" s="10" t="s">
        <v>935</v>
      </c>
      <c r="C1882" s="10" t="s">
        <v>928</v>
      </c>
      <c r="D1882" s="16">
        <f>M1850*Inputs!$D$20*($D$1875+$D$1876)</f>
        <v>2398.6078797913146</v>
      </c>
    </row>
    <row r="1883" spans="2:13" ht="15" customHeight="1" x14ac:dyDescent="0.2">
      <c r="B1883" s="10" t="s">
        <v>936</v>
      </c>
      <c r="C1883" s="10" t="s">
        <v>896</v>
      </c>
      <c r="D1883" s="28">
        <f>SUM(D1860:M1860)+D1877</f>
        <v>5828.8314024250149</v>
      </c>
      <c r="G1883" s="99" t="s">
        <v>937</v>
      </c>
      <c r="H1883" s="91"/>
      <c r="I1883" s="91"/>
      <c r="J1883" s="16">
        <f>D1885-D1871</f>
        <v>-2.9103830456733704E-11</v>
      </c>
      <c r="K1883" s="99" t="s">
        <v>110</v>
      </c>
      <c r="L1883" s="91"/>
      <c r="M1883" s="91"/>
    </row>
    <row r="1884" spans="2:13" ht="15" customHeight="1" x14ac:dyDescent="0.2">
      <c r="B1884" s="10" t="s">
        <v>938</v>
      </c>
      <c r="C1884" s="10" t="s">
        <v>110</v>
      </c>
      <c r="D1884" s="16">
        <f>SUM(D1861:M1861)+D1878</f>
        <v>-159778.18984452612</v>
      </c>
    </row>
    <row r="1885" spans="2:13" ht="15" customHeight="1" x14ac:dyDescent="0.2">
      <c r="B1885" s="10" t="s">
        <v>939</v>
      </c>
      <c r="C1885" s="10" t="s">
        <v>110</v>
      </c>
      <c r="D1885" s="16">
        <f>SUM(D1868:M1868)+D1880/(Inputs!$D$7+$D$1874)^M1848</f>
        <v>22209.485599656084</v>
      </c>
    </row>
    <row r="1886" spans="2:13" ht="15" customHeight="1" x14ac:dyDescent="0.2">
      <c r="B1886" s="10" t="s">
        <v>940</v>
      </c>
      <c r="C1886" s="10" t="s">
        <v>104</v>
      </c>
      <c r="D1886" s="30">
        <f>IF(ABS(D1871)&gt;Inputs!$D$6,D1885/D1871-Inputs!$D$7,Inputs!$D$6)</f>
        <v>-1.3322676295501878E-15</v>
      </c>
    </row>
    <row r="1887" spans="2:13" ht="15" customHeight="1" x14ac:dyDescent="0.2">
      <c r="B1887" s="10" t="s">
        <v>941</v>
      </c>
      <c r="C1887" s="10" t="s">
        <v>104</v>
      </c>
      <c r="D1887" s="30">
        <f>IF(ABS(D1885)&gt;Inputs!$D$119,D1880/(Inputs!$D$7+$D$1874)^M1848/D1885,Inputs!$D$6)</f>
        <v>1.0257046612432938</v>
      </c>
    </row>
    <row r="1888" spans="2:13" ht="15" customHeight="1" x14ac:dyDescent="0.2">
      <c r="B1888" s="10" t="s">
        <v>942</v>
      </c>
      <c r="C1888" s="10" t="s">
        <v>943</v>
      </c>
      <c r="D1888" s="26">
        <f>$D$1872*Inputs!$D$8/Prices!$P$6/(Inputs!$D$26/Inputs!$D$25)/Inputs!$D$11/Inputs!$D$56</f>
        <v>5.6778124612395837</v>
      </c>
    </row>
    <row r="1892" spans="1:13" ht="15" customHeight="1" x14ac:dyDescent="0.2">
      <c r="A1892" s="104" t="s">
        <v>984</v>
      </c>
      <c r="B1892" s="10" t="s">
        <v>886</v>
      </c>
      <c r="C1892" s="10" t="s">
        <v>107</v>
      </c>
      <c r="D1892" s="28">
        <f>Inputs!$D$60</f>
        <v>1</v>
      </c>
      <c r="E1892" s="28">
        <f>Inputs!$D$62</f>
        <v>2</v>
      </c>
      <c r="F1892" s="28">
        <f>Inputs!$D$64</f>
        <v>3</v>
      </c>
      <c r="G1892" s="28">
        <f>Inputs!$D$66</f>
        <v>4</v>
      </c>
      <c r="H1892" s="28">
        <f>Inputs!$D$68</f>
        <v>5</v>
      </c>
      <c r="I1892" s="28">
        <f>Inputs!$D$70</f>
        <v>6</v>
      </c>
      <c r="J1892" s="28">
        <f>Inputs!$D$72</f>
        <v>7</v>
      </c>
      <c r="K1892" s="28">
        <f>Inputs!$D$74</f>
        <v>8</v>
      </c>
      <c r="L1892" s="28">
        <f>Inputs!$D$76</f>
        <v>9</v>
      </c>
      <c r="M1892" s="28">
        <f>Inputs!$D$78</f>
        <v>10</v>
      </c>
    </row>
    <row r="1893" spans="1:13" ht="15" customHeight="1" x14ac:dyDescent="0.2">
      <c r="A1893" s="91"/>
      <c r="B1893" s="10" t="s">
        <v>887</v>
      </c>
      <c r="C1893" s="10" t="s">
        <v>161</v>
      </c>
      <c r="D1893" s="29">
        <f>Inputs!$D$61</f>
        <v>46568</v>
      </c>
      <c r="E1893" s="29">
        <f>Inputs!$D$63</f>
        <v>46934</v>
      </c>
      <c r="F1893" s="29">
        <f>Inputs!$D$65</f>
        <v>47299</v>
      </c>
      <c r="G1893" s="29">
        <f>Inputs!$D$67</f>
        <v>47664</v>
      </c>
      <c r="H1893" s="29">
        <f>Inputs!$D$69</f>
        <v>48029</v>
      </c>
      <c r="I1893" s="29">
        <f>Inputs!$D$71</f>
        <v>48395</v>
      </c>
      <c r="J1893" s="29">
        <f>Inputs!$D$73</f>
        <v>48760</v>
      </c>
      <c r="K1893" s="29">
        <f>Inputs!$D$75</f>
        <v>49125</v>
      </c>
      <c r="L1893" s="29">
        <f>Inputs!$D$77</f>
        <v>49490</v>
      </c>
      <c r="M1893" s="29">
        <f>Inputs!$D$79</f>
        <v>49856</v>
      </c>
    </row>
    <row r="1894" spans="1:13" ht="15" customHeight="1" x14ac:dyDescent="0.2">
      <c r="A1894" s="91"/>
      <c r="B1894" s="10" t="s">
        <v>888</v>
      </c>
      <c r="C1894" s="10" t="s">
        <v>107</v>
      </c>
      <c r="D1894" s="28">
        <f>(D1893-Inputs!$D$13)/Inputs!$D$10</f>
        <v>0.71457905544147848</v>
      </c>
      <c r="E1894" s="28">
        <f>(E1893-Inputs!$D$13)/Inputs!$D$10</f>
        <v>1.7166324435318274</v>
      </c>
      <c r="F1894" s="28">
        <f>(F1893-Inputs!$D$13)/Inputs!$D$10</f>
        <v>2.7159479808350446</v>
      </c>
      <c r="G1894" s="28">
        <f>(G1893-Inputs!$D$13)/Inputs!$D$10</f>
        <v>3.7152635181382614</v>
      </c>
      <c r="H1894" s="28">
        <f>(H1893-Inputs!$D$13)/Inputs!$D$10</f>
        <v>4.7145790554414786</v>
      </c>
      <c r="I1894" s="28">
        <f>(I1893-Inputs!$D$13)/Inputs!$D$10</f>
        <v>5.7166324435318279</v>
      </c>
      <c r="J1894" s="28">
        <f>(J1893-Inputs!$D$13)/Inputs!$D$10</f>
        <v>6.7159479808350442</v>
      </c>
      <c r="K1894" s="28">
        <f>(K1893-Inputs!$D$13)/Inputs!$D$10</f>
        <v>7.7152635181382614</v>
      </c>
      <c r="L1894" s="28">
        <f>(L1893-Inputs!$D$13)/Inputs!$D$10</f>
        <v>8.7145790554414777</v>
      </c>
      <c r="M1894" s="28">
        <f>(M1893-Inputs!$D$13)/Inputs!$D$10</f>
        <v>9.716632443531827</v>
      </c>
    </row>
    <row r="1895" spans="1:13" ht="15" customHeight="1" x14ac:dyDescent="0.2">
      <c r="A1895" s="91"/>
      <c r="B1895" s="10" t="s">
        <v>889</v>
      </c>
      <c r="C1895" s="10" t="s">
        <v>107</v>
      </c>
      <c r="D1895" s="28">
        <f>D1894</f>
        <v>0.71457905544147848</v>
      </c>
      <c r="E1895" s="28">
        <f>Inputs!$D$7</f>
        <v>1</v>
      </c>
      <c r="F1895" s="28">
        <f>Inputs!$D$7</f>
        <v>1</v>
      </c>
      <c r="G1895" s="28">
        <f>Inputs!$D$7</f>
        <v>1</v>
      </c>
      <c r="H1895" s="28">
        <f>Inputs!$D$7</f>
        <v>1</v>
      </c>
      <c r="I1895" s="28">
        <f>Inputs!$D$7</f>
        <v>1</v>
      </c>
      <c r="J1895" s="28">
        <f>Inputs!$D$7</f>
        <v>1</v>
      </c>
      <c r="K1895" s="28">
        <f>Inputs!$D$7</f>
        <v>1</v>
      </c>
      <c r="L1895" s="28">
        <f>Inputs!$D$7</f>
        <v>1</v>
      </c>
      <c r="M1895" s="28">
        <f>Inputs!$D$7</f>
        <v>1</v>
      </c>
    </row>
    <row r="1896" spans="1:13" ht="15" customHeight="1" x14ac:dyDescent="0.2">
      <c r="A1896" s="91"/>
      <c r="B1896" s="3" t="s">
        <v>890</v>
      </c>
      <c r="C1896" s="10" t="s">
        <v>199</v>
      </c>
      <c r="D1896" s="28">
        <f>Inputs!$D$24+(Inputs!$D$106-Inputs!$D$24)*Inputs!$D$109</f>
        <v>170.32</v>
      </c>
      <c r="E1896" s="28">
        <f>Inputs!$D$24+(Inputs!$D$106-Inputs!$D$24)*Inputs!$D$110</f>
        <v>481.12000000000006</v>
      </c>
      <c r="F1896" s="28">
        <f>Inputs!$D$24+(Inputs!$D$106-Inputs!$D$24)*Inputs!$D$111</f>
        <v>823</v>
      </c>
      <c r="G1896" s="28">
        <f>Inputs!$D$24+(Inputs!$D$106-Inputs!$D$24)*Inputs!$D$112</f>
        <v>1211.5</v>
      </c>
      <c r="H1896" s="28">
        <f>Inputs!$D$24+(Inputs!$D$106-Inputs!$D$24)*Inputs!$D$113</f>
        <v>1600</v>
      </c>
      <c r="I1896" s="28">
        <f>Inputs!$D$24+(Inputs!$D$106-Inputs!$D$24)*Inputs!$D$114</f>
        <v>1600</v>
      </c>
      <c r="J1896" s="28">
        <f>Inputs!$D$24+(Inputs!$D$106-Inputs!$D$24)*Inputs!$D$115</f>
        <v>1600</v>
      </c>
      <c r="K1896" s="28">
        <f>Inputs!$D$24+(Inputs!$D$106-Inputs!$D$24)*Inputs!$D$116</f>
        <v>1600</v>
      </c>
      <c r="L1896" s="28">
        <f>Inputs!$D$24+(Inputs!$D$106-Inputs!$D$24)*Inputs!$D$117</f>
        <v>1600</v>
      </c>
      <c r="M1896" s="28">
        <f>Inputs!$D$24+(Inputs!$D$106-Inputs!$D$24)*Inputs!$D$118</f>
        <v>1600</v>
      </c>
    </row>
    <row r="1897" spans="1:13" ht="15" customHeight="1" x14ac:dyDescent="0.2">
      <c r="A1897" s="91"/>
      <c r="B1897" s="10" t="s">
        <v>891</v>
      </c>
      <c r="C1897" s="10" t="s">
        <v>199</v>
      </c>
      <c r="D1897" s="28">
        <f>Inputs!$D$24</f>
        <v>46</v>
      </c>
      <c r="E1897" s="28">
        <f t="shared" ref="E1897:M1897" si="410">D1896</f>
        <v>170.32</v>
      </c>
      <c r="F1897" s="28">
        <f t="shared" si="410"/>
        <v>481.12000000000006</v>
      </c>
      <c r="G1897" s="28">
        <f t="shared" si="410"/>
        <v>823</v>
      </c>
      <c r="H1897" s="28">
        <f t="shared" si="410"/>
        <v>1211.5</v>
      </c>
      <c r="I1897" s="28">
        <f t="shared" si="410"/>
        <v>1600</v>
      </c>
      <c r="J1897" s="28">
        <f t="shared" si="410"/>
        <v>1600</v>
      </c>
      <c r="K1897" s="28">
        <f t="shared" si="410"/>
        <v>1600</v>
      </c>
      <c r="L1897" s="28">
        <f t="shared" si="410"/>
        <v>1600</v>
      </c>
      <c r="M1897" s="28">
        <f t="shared" si="410"/>
        <v>1600</v>
      </c>
    </row>
    <row r="1898" spans="1:13" ht="15" customHeight="1" x14ac:dyDescent="0.2">
      <c r="B1898" s="10" t="s">
        <v>892</v>
      </c>
      <c r="C1898" s="10" t="s">
        <v>199</v>
      </c>
      <c r="D1898" s="28">
        <f>(D1897+D1896)*Inputs!$D$12</f>
        <v>108.16</v>
      </c>
      <c r="E1898" s="28">
        <f>(E1897+E1896)*Inputs!$D$12</f>
        <v>325.72000000000003</v>
      </c>
      <c r="F1898" s="28">
        <f>(F1897+F1896)*Inputs!$D$12</f>
        <v>652.06000000000006</v>
      </c>
      <c r="G1898" s="28">
        <f>(G1897+G1896)*Inputs!$D$12</f>
        <v>1017.25</v>
      </c>
      <c r="H1898" s="28">
        <f>(H1897+H1896)*Inputs!$D$12</f>
        <v>1405.75</v>
      </c>
      <c r="I1898" s="28">
        <f>(I1897+I1896)*Inputs!$D$12</f>
        <v>1600</v>
      </c>
      <c r="J1898" s="28">
        <f>(J1897+J1896)*Inputs!$D$12</f>
        <v>1600</v>
      </c>
      <c r="K1898" s="28">
        <f>(K1897+K1896)*Inputs!$D$12</f>
        <v>1600</v>
      </c>
      <c r="L1898" s="28">
        <f>(L1897+L1896)*Inputs!$D$12</f>
        <v>1600</v>
      </c>
      <c r="M1898" s="28">
        <f>(M1897+M1896)*Inputs!$D$12</f>
        <v>1600</v>
      </c>
    </row>
    <row r="1899" spans="1:13" ht="15" customHeight="1" x14ac:dyDescent="0.2">
      <c r="B1899" s="10" t="s">
        <v>893</v>
      </c>
      <c r="C1899" s="10" t="s">
        <v>199</v>
      </c>
      <c r="D1899" s="28">
        <f t="shared" ref="D1899:M1899" si="411">D1896-D1897</f>
        <v>124.32</v>
      </c>
      <c r="E1899" s="28">
        <f t="shared" si="411"/>
        <v>310.80000000000007</v>
      </c>
      <c r="F1899" s="28">
        <f t="shared" si="411"/>
        <v>341.87999999999994</v>
      </c>
      <c r="G1899" s="28">
        <f t="shared" si="411"/>
        <v>388.5</v>
      </c>
      <c r="H1899" s="28">
        <f t="shared" si="411"/>
        <v>388.5</v>
      </c>
      <c r="I1899" s="28">
        <f t="shared" si="411"/>
        <v>0</v>
      </c>
      <c r="J1899" s="28">
        <f t="shared" si="411"/>
        <v>0</v>
      </c>
      <c r="K1899" s="28">
        <f t="shared" si="411"/>
        <v>0</v>
      </c>
      <c r="L1899" s="28">
        <f t="shared" si="411"/>
        <v>0</v>
      </c>
      <c r="M1899" s="28">
        <f t="shared" si="411"/>
        <v>0</v>
      </c>
    </row>
    <row r="1900" spans="1:13" ht="15" customHeight="1" x14ac:dyDescent="0.2">
      <c r="B1900" s="10" t="s">
        <v>894</v>
      </c>
      <c r="C1900" s="10" t="s">
        <v>199</v>
      </c>
      <c r="D1900" s="28">
        <f>IF(MOD(D1892,Inputs!$D$21)=Inputs!$D$6,Inputs!$D$24,Inputs!$D$6)+SUMPRODUCT(--(D1892&gt;$D$1892:$M$1892),--(MOD(D1892-$D$1892:$M$1892,Inputs!$D$21)=Inputs!$D$6),$D$1899:$M$1899)</f>
        <v>0</v>
      </c>
      <c r="E1900" s="28">
        <f>IF(MOD(E1892,Inputs!$D$21)=Inputs!$D$6,Inputs!$D$24,Inputs!$D$6)+SUMPRODUCT(--(E1892&gt;$D$1892:$M$1892),--(MOD(E1892-$D$1892:$M$1892,Inputs!$D$21)=Inputs!$D$6),$D$1899:$M$1899)</f>
        <v>0</v>
      </c>
      <c r="F1900" s="28">
        <f>IF(MOD(F1892,Inputs!$D$21)=Inputs!$D$6,Inputs!$D$24,Inputs!$D$6)+SUMPRODUCT(--(F1892&gt;$D$1892:$M$1892),--(MOD(F1892-$D$1892:$M$1892,Inputs!$D$21)=Inputs!$D$6),$D$1899:$M$1899)</f>
        <v>0</v>
      </c>
      <c r="G1900" s="28">
        <f>IF(MOD(G1892,Inputs!$D$21)=Inputs!$D$6,Inputs!$D$24,Inputs!$D$6)+SUMPRODUCT(--(G1892&gt;$D$1892:$M$1892),--(MOD(G1892-$D$1892:$M$1892,Inputs!$D$21)=Inputs!$D$6),$D$1899:$M$1899)</f>
        <v>46</v>
      </c>
      <c r="H1900" s="28">
        <f>IF(MOD(H1892,Inputs!$D$21)=Inputs!$D$6,Inputs!$D$24,Inputs!$D$6)+SUMPRODUCT(--(H1892&gt;$D$1892:$M$1892),--(MOD(H1892-$D$1892:$M$1892,Inputs!$D$21)=Inputs!$D$6),$D$1899:$M$1899)</f>
        <v>124.32</v>
      </c>
      <c r="I1900" s="28">
        <f>IF(MOD(I1892,Inputs!$D$21)=Inputs!$D$6,Inputs!$D$24,Inputs!$D$6)+SUMPRODUCT(--(I1892&gt;$D$1892:$M$1892),--(MOD(I1892-$D$1892:$M$1892,Inputs!$D$21)=Inputs!$D$6),$D$1899:$M$1899)</f>
        <v>310.80000000000007</v>
      </c>
      <c r="J1900" s="28">
        <f>IF(MOD(J1892,Inputs!$D$21)=Inputs!$D$6,Inputs!$D$24,Inputs!$D$6)+SUMPRODUCT(--(J1892&gt;$D$1892:$M$1892),--(MOD(J1892-$D$1892:$M$1892,Inputs!$D$21)=Inputs!$D$6),$D$1899:$M$1899)</f>
        <v>341.87999999999994</v>
      </c>
      <c r="K1900" s="28">
        <f>IF(MOD(K1892,Inputs!$D$21)=Inputs!$D$6,Inputs!$D$24,Inputs!$D$6)+SUMPRODUCT(--(K1892&gt;$D$1892:$M$1892),--(MOD(K1892-$D$1892:$M$1892,Inputs!$D$21)=Inputs!$D$6),$D$1899:$M$1899)</f>
        <v>434.5</v>
      </c>
      <c r="L1900" s="28">
        <f>IF(MOD(L1892,Inputs!$D$21)=Inputs!$D$6,Inputs!$D$24,Inputs!$D$6)+SUMPRODUCT(--(L1892&gt;$D$1892:$M$1892),--(MOD(L1892-$D$1892:$M$1892,Inputs!$D$21)=Inputs!$D$6),$D$1899:$M$1899)</f>
        <v>512.81999999999994</v>
      </c>
      <c r="M1900" s="28">
        <f>IF(MOD(M1892,Inputs!$D$21)=Inputs!$D$6,Inputs!$D$24,Inputs!$D$6)+SUMPRODUCT(--(M1892&gt;$D$1892:$M$1892),--(MOD(M1892-$D$1892:$M$1892,Inputs!$D$21)=Inputs!$D$6),$D$1899:$M$1899)</f>
        <v>310.80000000000007</v>
      </c>
    </row>
    <row r="1901" spans="1:13" ht="15" customHeight="1" x14ac:dyDescent="0.2">
      <c r="B1901" s="10" t="s">
        <v>895</v>
      </c>
      <c r="C1901" s="10" t="s">
        <v>896</v>
      </c>
      <c r="D1901" s="28">
        <f t="shared" ref="D1901:M1901" si="412">D1898*D1895</f>
        <v>77.288870636550314</v>
      </c>
      <c r="E1901" s="28">
        <f t="shared" si="412"/>
        <v>325.72000000000003</v>
      </c>
      <c r="F1901" s="28">
        <f t="shared" si="412"/>
        <v>652.06000000000006</v>
      </c>
      <c r="G1901" s="28">
        <f t="shared" si="412"/>
        <v>1017.25</v>
      </c>
      <c r="H1901" s="28">
        <f t="shared" si="412"/>
        <v>1405.75</v>
      </c>
      <c r="I1901" s="28">
        <f t="shared" si="412"/>
        <v>1600</v>
      </c>
      <c r="J1901" s="28">
        <f t="shared" si="412"/>
        <v>1600</v>
      </c>
      <c r="K1901" s="28">
        <f t="shared" si="412"/>
        <v>1600</v>
      </c>
      <c r="L1901" s="28">
        <f t="shared" si="412"/>
        <v>1600</v>
      </c>
      <c r="M1901" s="28">
        <f t="shared" si="412"/>
        <v>1600</v>
      </c>
    </row>
    <row r="1902" spans="1:13" ht="15" customHeight="1" x14ac:dyDescent="0.2">
      <c r="B1902" s="10" t="s">
        <v>897</v>
      </c>
      <c r="C1902" s="10" t="s">
        <v>110</v>
      </c>
      <c r="D1902" s="16">
        <f>D1901*($D$1921/Inputs!$D$21+$D$1922/Inputs!$D$22)</f>
        <v>1118.2034893112541</v>
      </c>
      <c r="E1902" s="16">
        <f>E1901*($D$1921/Inputs!$D$21+$D$1922/Inputs!$D$22)</f>
        <v>4712.466847280074</v>
      </c>
      <c r="F1902" s="16">
        <f>F1901*($D$1921/Inputs!$D$21+$D$1922/Inputs!$D$22)</f>
        <v>9433.9037591718188</v>
      </c>
      <c r="G1902" s="16">
        <f>G1901*($D$1921/Inputs!$D$21+$D$1922/Inputs!$D$22)</f>
        <v>14717.416493907818</v>
      </c>
      <c r="H1902" s="16">
        <f>H1901*($D$1921/Inputs!$D$21+$D$1922/Inputs!$D$22)</f>
        <v>20338.17472235037</v>
      </c>
      <c r="I1902" s="16">
        <f>I1901*($D$1921/Inputs!$D$21+$D$1922/Inputs!$D$22)</f>
        <v>23148.553836571649</v>
      </c>
      <c r="J1902" s="16">
        <f>J1901*($D$1921/Inputs!$D$21+$D$1922/Inputs!$D$22)</f>
        <v>23148.553836571649</v>
      </c>
      <c r="K1902" s="16">
        <f>K1901*($D$1921/Inputs!$D$21+$D$1922/Inputs!$D$22)</f>
        <v>23148.553836571649</v>
      </c>
      <c r="L1902" s="16">
        <f>L1901*($D$1921/Inputs!$D$21+$D$1922/Inputs!$D$22)</f>
        <v>23148.553836571649</v>
      </c>
      <c r="M1902" s="16">
        <f>M1901*($D$1921/Inputs!$D$21+$D$1922/Inputs!$D$22)</f>
        <v>23148.553836571649</v>
      </c>
    </row>
    <row r="1903" spans="1:13" ht="15" customHeight="1" x14ac:dyDescent="0.2">
      <c r="B1903" s="10" t="s">
        <v>898</v>
      </c>
      <c r="C1903" s="10" t="s">
        <v>110</v>
      </c>
      <c r="D1903" s="16">
        <f t="shared" ref="D1903:M1903" si="413">D1899*($D$1921+$D$1922)</f>
        <v>7454.8732903914051</v>
      </c>
      <c r="E1903" s="16">
        <f t="shared" si="413"/>
        <v>18637.183225978519</v>
      </c>
      <c r="F1903" s="16">
        <f t="shared" si="413"/>
        <v>20500.901548576363</v>
      </c>
      <c r="G1903" s="16">
        <f t="shared" si="413"/>
        <v>23296.479032473144</v>
      </c>
      <c r="H1903" s="16">
        <f t="shared" si="413"/>
        <v>23296.479032473144</v>
      </c>
      <c r="I1903" s="16">
        <f t="shared" si="413"/>
        <v>0</v>
      </c>
      <c r="J1903" s="16">
        <f t="shared" si="413"/>
        <v>0</v>
      </c>
      <c r="K1903" s="16">
        <f t="shared" si="413"/>
        <v>0</v>
      </c>
      <c r="L1903" s="16">
        <f t="shared" si="413"/>
        <v>0</v>
      </c>
      <c r="M1903" s="16">
        <f t="shared" si="413"/>
        <v>0</v>
      </c>
    </row>
    <row r="1904" spans="1:13" ht="15" customHeight="1" x14ac:dyDescent="0.2">
      <c r="B1904" s="10" t="s">
        <v>899</v>
      </c>
      <c r="C1904" s="10" t="s">
        <v>110</v>
      </c>
      <c r="D1904" s="16">
        <f t="shared" ref="D1904:M1904" si="414">D1900*$D$1921</f>
        <v>0</v>
      </c>
      <c r="E1904" s="16">
        <f t="shared" si="414"/>
        <v>0</v>
      </c>
      <c r="F1904" s="16">
        <f t="shared" si="414"/>
        <v>0</v>
      </c>
      <c r="G1904" s="16">
        <f t="shared" si="414"/>
        <v>2638.0048485671714</v>
      </c>
      <c r="H1904" s="16">
        <f t="shared" si="414"/>
        <v>7129.4948429102333</v>
      </c>
      <c r="I1904" s="16">
        <f t="shared" si="414"/>
        <v>17823.737107275589</v>
      </c>
      <c r="J1904" s="16">
        <f t="shared" si="414"/>
        <v>19606.110818003141</v>
      </c>
      <c r="K1904" s="16">
        <f t="shared" si="414"/>
        <v>24917.676232661652</v>
      </c>
      <c r="L1904" s="16">
        <f t="shared" si="414"/>
        <v>29409.166227004709</v>
      </c>
      <c r="M1904" s="16">
        <f t="shared" si="414"/>
        <v>17823.737107275589</v>
      </c>
    </row>
    <row r="1905" spans="2:13" ht="15" customHeight="1" x14ac:dyDescent="0.2">
      <c r="B1905" s="10" t="s">
        <v>900</v>
      </c>
      <c r="C1905" s="10" t="s">
        <v>199</v>
      </c>
      <c r="D1905" s="28">
        <f>D1899*Inputs!$D$23</f>
        <v>3.1080000000000001</v>
      </c>
      <c r="E1905" s="28">
        <f>E1899*Inputs!$D$23</f>
        <v>7.7700000000000022</v>
      </c>
      <c r="F1905" s="28">
        <f>F1899*Inputs!$D$23</f>
        <v>8.5469999999999988</v>
      </c>
      <c r="G1905" s="28">
        <f>G1899*Inputs!$D$23</f>
        <v>9.7125000000000004</v>
      </c>
      <c r="H1905" s="28">
        <f>H1899*Inputs!$D$23</f>
        <v>9.7125000000000004</v>
      </c>
      <c r="I1905" s="28">
        <f>I1899*Inputs!$D$23</f>
        <v>0</v>
      </c>
      <c r="J1905" s="28">
        <f>J1899*Inputs!$D$23</f>
        <v>0</v>
      </c>
      <c r="K1905" s="28">
        <f>K1899*Inputs!$D$23</f>
        <v>0</v>
      </c>
      <c r="L1905" s="28">
        <f>L1899*Inputs!$D$23</f>
        <v>0</v>
      </c>
      <c r="M1905" s="28">
        <f>M1899*Inputs!$D$23</f>
        <v>0</v>
      </c>
    </row>
    <row r="1906" spans="2:13" ht="15" customHeight="1" x14ac:dyDescent="0.2">
      <c r="B1906" s="3" t="s">
        <v>901</v>
      </c>
      <c r="C1906" s="10" t="s">
        <v>896</v>
      </c>
      <c r="D1906" s="28">
        <f>(D1901*$D$1919*(Inputs!$D$7-Inputs!$D$19)-D1905)/(Inputs!$D$7+$D$1920)^D1894</f>
        <v>40.99699201112098</v>
      </c>
      <c r="E1906" s="28">
        <f>(E1901*$D$1919*(Inputs!$D$7-Inputs!$D$19)-E1905)/(Inputs!$D$7+$D$1920)^E1894</f>
        <v>153.02781912726542</v>
      </c>
      <c r="F1906" s="28">
        <f>(F1901*$D$1919*(Inputs!$D$7-Inputs!$D$19)-F1905)/(Inputs!$D$7+$D$1920)^F1894</f>
        <v>268.8019226843403</v>
      </c>
      <c r="G1906" s="28">
        <f>(G1901*$D$1919*(Inputs!$D$7-Inputs!$D$19)-G1905)/(Inputs!$D$7+$D$1920)^G1894</f>
        <v>363.62824610263397</v>
      </c>
      <c r="H1906" s="28">
        <f>(H1901*$D$1919*(Inputs!$D$7-Inputs!$D$19)-H1905)/(Inputs!$D$7+$D$1920)^H1894</f>
        <v>435.07807528321291</v>
      </c>
      <c r="I1906" s="28">
        <f>(I1901*$D$1919*(Inputs!$D$7-Inputs!$D$19)-I1905)/(Inputs!$D$7+$D$1920)^I1894</f>
        <v>431.49711827119876</v>
      </c>
      <c r="J1906" s="28">
        <f>(J1901*$D$1919*(Inputs!$D$7-Inputs!$D$19)-J1905)/(Inputs!$D$7+$D$1920)^J1894</f>
        <v>372.01806500733016</v>
      </c>
      <c r="K1906" s="28">
        <f>(K1901*$D$1919*(Inputs!$D$7-Inputs!$D$19)-K1905)/(Inputs!$D$7+$D$1920)^K1894</f>
        <v>320.73780989845312</v>
      </c>
      <c r="L1906" s="28">
        <f>(L1901*$D$1919*(Inputs!$D$7-Inputs!$D$19)-L1905)/(Inputs!$D$7+$D$1920)^L1894</f>
        <v>276.52620228651875</v>
      </c>
      <c r="M1906" s="28">
        <f>(M1901*$D$1919*(Inputs!$D$7-Inputs!$D$19)-M1905)/(Inputs!$D$7+$D$1920)^M1894</f>
        <v>238.31201718226143</v>
      </c>
    </row>
    <row r="1907" spans="2:13" ht="15" customHeight="1" x14ac:dyDescent="0.2">
      <c r="B1907" s="10" t="s">
        <v>902</v>
      </c>
      <c r="C1907" s="10" t="s">
        <v>110</v>
      </c>
      <c r="D1907" s="16">
        <f>(D1902*Inputs!$D$19-D1903-D1904)/(Inputs!$D$7+$D$1920)^D1894</f>
        <v>-6403.0045740313244</v>
      </c>
      <c r="E1907" s="16">
        <f>(E1902*Inputs!$D$19-E1903-E1904)/(Inputs!$D$7+$D$1920)^E1894</f>
        <v>-13349.632212764713</v>
      </c>
      <c r="F1907" s="16">
        <f>(F1902*Inputs!$D$19-F1903-F1904)/(Inputs!$D$7+$D$1920)^F1894</f>
        <v>-11808.370082432088</v>
      </c>
      <c r="G1907" s="16">
        <f>(G1902*Inputs!$D$19-G1903-G1904)/(Inputs!$D$7+$D$1920)^G1894</f>
        <v>-12397.921878440668</v>
      </c>
      <c r="H1907" s="16">
        <f>(H1902*Inputs!$D$19-H1903-H1904)/(Inputs!$D$7+$D$1920)^H1894</f>
        <v>-12082.366885213038</v>
      </c>
      <c r="I1907" s="16">
        <f>(I1902*Inputs!$D$19-I1903-I1904)/(Inputs!$D$7+$D$1920)^I1894</f>
        <v>-4657.0743222469628</v>
      </c>
      <c r="J1907" s="16">
        <f>(J1902*Inputs!$D$19-J1903-J1904)/(Inputs!$D$7+$D$1920)^J1894</f>
        <v>-4672.9398284057479</v>
      </c>
      <c r="K1907" s="16">
        <f>(K1902*Inputs!$D$19-K1903-K1904)/(Inputs!$D$7+$D$1920)^K1894</f>
        <v>-5718.9047268503064</v>
      </c>
      <c r="L1907" s="16">
        <f>(L1902*Inputs!$D$19-L1903-L1904)/(Inputs!$D$7+$D$1920)^L1894</f>
        <v>-6162.7485564592316</v>
      </c>
      <c r="M1907" s="16">
        <f>(M1902*Inputs!$D$19-M1903-M1904)/(Inputs!$D$7+$D$1920)^M1894</f>
        <v>-2572.0606903447429</v>
      </c>
    </row>
    <row r="1908" spans="2:13" ht="15" customHeight="1" x14ac:dyDescent="0.2">
      <c r="B1908" s="10" t="s">
        <v>903</v>
      </c>
      <c r="C1908" s="10" t="s">
        <v>110</v>
      </c>
      <c r="D1908" s="16">
        <f t="shared" ref="D1908:M1908" si="415">D1901*$D$1918</f>
        <v>2221.3816740244233</v>
      </c>
      <c r="E1908" s="16">
        <f t="shared" si="415"/>
        <v>9361.6122593602158</v>
      </c>
      <c r="F1908" s="16">
        <f t="shared" si="415"/>
        <v>18741.044117150996</v>
      </c>
      <c r="G1908" s="16">
        <f t="shared" si="415"/>
        <v>29237.075005631152</v>
      </c>
      <c r="H1908" s="16">
        <f t="shared" si="415"/>
        <v>40403.065312524937</v>
      </c>
      <c r="I1908" s="16">
        <f t="shared" si="415"/>
        <v>45986.060465971823</v>
      </c>
      <c r="J1908" s="16">
        <f t="shared" si="415"/>
        <v>45986.060465971823</v>
      </c>
      <c r="K1908" s="16">
        <f t="shared" si="415"/>
        <v>45986.060465971823</v>
      </c>
      <c r="L1908" s="16">
        <f t="shared" si="415"/>
        <v>45986.060465971823</v>
      </c>
      <c r="M1908" s="16">
        <f t="shared" si="415"/>
        <v>45986.060465971823</v>
      </c>
    </row>
    <row r="1909" spans="2:13" ht="15" customHeight="1" x14ac:dyDescent="0.2">
      <c r="B1909" s="10" t="s">
        <v>904</v>
      </c>
      <c r="C1909" s="10" t="s">
        <v>110</v>
      </c>
      <c r="D1909" s="16">
        <f t="shared" ref="D1909:M1909" si="416">D1908*$D$1919</f>
        <v>1999.2435066219809</v>
      </c>
      <c r="E1909" s="16">
        <f t="shared" si="416"/>
        <v>8425.451033424195</v>
      </c>
      <c r="F1909" s="16">
        <f t="shared" si="416"/>
        <v>16866.939705435896</v>
      </c>
      <c r="G1909" s="16">
        <f t="shared" si="416"/>
        <v>26313.367505068036</v>
      </c>
      <c r="H1909" s="16">
        <f t="shared" si="416"/>
        <v>36362.758781272445</v>
      </c>
      <c r="I1909" s="16">
        <f t="shared" si="416"/>
        <v>41387.454419374641</v>
      </c>
      <c r="J1909" s="16">
        <f t="shared" si="416"/>
        <v>41387.454419374641</v>
      </c>
      <c r="K1909" s="16">
        <f t="shared" si="416"/>
        <v>41387.454419374641</v>
      </c>
      <c r="L1909" s="16">
        <f t="shared" si="416"/>
        <v>41387.454419374641</v>
      </c>
      <c r="M1909" s="16">
        <f t="shared" si="416"/>
        <v>41387.454419374641</v>
      </c>
    </row>
    <row r="1910" spans="2:13" ht="15" customHeight="1" x14ac:dyDescent="0.2">
      <c r="B1910" s="10" t="s">
        <v>905</v>
      </c>
      <c r="C1910" s="10" t="s">
        <v>110</v>
      </c>
      <c r="D1910" s="16">
        <f t="shared" ref="D1910:M1910" si="417">D1909-D1902</f>
        <v>881.04001731072685</v>
      </c>
      <c r="E1910" s="16">
        <f t="shared" si="417"/>
        <v>3712.9841861441209</v>
      </c>
      <c r="F1910" s="16">
        <f t="shared" si="417"/>
        <v>7433.0359462640772</v>
      </c>
      <c r="G1910" s="16">
        <f t="shared" si="417"/>
        <v>11595.951011160218</v>
      </c>
      <c r="H1910" s="16">
        <f t="shared" si="417"/>
        <v>16024.584058922075</v>
      </c>
      <c r="I1910" s="16">
        <f t="shared" si="417"/>
        <v>18238.900582802991</v>
      </c>
      <c r="J1910" s="16">
        <f t="shared" si="417"/>
        <v>18238.900582802991</v>
      </c>
      <c r="K1910" s="16">
        <f t="shared" si="417"/>
        <v>18238.900582802991</v>
      </c>
      <c r="L1910" s="16">
        <f t="shared" si="417"/>
        <v>18238.900582802991</v>
      </c>
      <c r="M1910" s="16">
        <f t="shared" si="417"/>
        <v>18238.900582802991</v>
      </c>
    </row>
    <row r="1911" spans="2:13" ht="15" customHeight="1" x14ac:dyDescent="0.2">
      <c r="B1911" s="10" t="s">
        <v>906</v>
      </c>
      <c r="C1911" s="10" t="s">
        <v>110</v>
      </c>
      <c r="D1911" s="16">
        <f>MAX(D1910,Inputs!$D$6)*Inputs!$D$19</f>
        <v>264.31200519321806</v>
      </c>
      <c r="E1911" s="16">
        <f>MAX(E1910,Inputs!$D$6)*Inputs!$D$19</f>
        <v>1113.8952558432363</v>
      </c>
      <c r="F1911" s="16">
        <f>MAX(F1910,Inputs!$D$6)*Inputs!$D$19</f>
        <v>2229.9107838792229</v>
      </c>
      <c r="G1911" s="16">
        <f>MAX(G1910,Inputs!$D$6)*Inputs!$D$19</f>
        <v>3478.7853033480651</v>
      </c>
      <c r="H1911" s="16">
        <f>MAX(H1910,Inputs!$D$6)*Inputs!$D$19</f>
        <v>4807.375217676622</v>
      </c>
      <c r="I1911" s="16">
        <f>MAX(I1910,Inputs!$D$6)*Inputs!$D$19</f>
        <v>5471.6701748408968</v>
      </c>
      <c r="J1911" s="16">
        <f>MAX(J1910,Inputs!$D$6)*Inputs!$D$19</f>
        <v>5471.6701748408968</v>
      </c>
      <c r="K1911" s="16">
        <f>MAX(K1910,Inputs!$D$6)*Inputs!$D$19</f>
        <v>5471.6701748408968</v>
      </c>
      <c r="L1911" s="16">
        <f>MAX(L1910,Inputs!$D$6)*Inputs!$D$19</f>
        <v>5471.6701748408968</v>
      </c>
      <c r="M1911" s="16">
        <f>MAX(M1910,Inputs!$D$6)*Inputs!$D$19</f>
        <v>5471.6701748408968</v>
      </c>
    </row>
    <row r="1912" spans="2:13" ht="15" customHeight="1" x14ac:dyDescent="0.2">
      <c r="B1912" s="10" t="s">
        <v>907</v>
      </c>
      <c r="C1912" s="10" t="s">
        <v>110</v>
      </c>
      <c r="D1912" s="16">
        <f t="shared" ref="D1912:M1912" si="418">D1905*$D$1918</f>
        <v>89.327922455150272</v>
      </c>
      <c r="E1912" s="16">
        <f t="shared" si="418"/>
        <v>223.31980613787576</v>
      </c>
      <c r="F1912" s="16">
        <f t="shared" si="418"/>
        <v>245.65178675166322</v>
      </c>
      <c r="G1912" s="16">
        <f t="shared" si="418"/>
        <v>279.14975767234461</v>
      </c>
      <c r="H1912" s="16">
        <f t="shared" si="418"/>
        <v>279.14975767234461</v>
      </c>
      <c r="I1912" s="16">
        <f t="shared" si="418"/>
        <v>0</v>
      </c>
      <c r="J1912" s="16">
        <f t="shared" si="418"/>
        <v>0</v>
      </c>
      <c r="K1912" s="16">
        <f t="shared" si="418"/>
        <v>0</v>
      </c>
      <c r="L1912" s="16">
        <f t="shared" si="418"/>
        <v>0</v>
      </c>
      <c r="M1912" s="16">
        <f t="shared" si="418"/>
        <v>0</v>
      </c>
    </row>
    <row r="1913" spans="2:13" ht="15" customHeight="1" x14ac:dyDescent="0.2">
      <c r="B1913" s="10" t="s">
        <v>908</v>
      </c>
      <c r="C1913" s="10" t="s">
        <v>110</v>
      </c>
      <c r="D1913" s="16">
        <f t="shared" ref="D1913:M1913" si="419">D1909-D1911-D1903-D1904-D1912</f>
        <v>-5809.2697114177927</v>
      </c>
      <c r="E1913" s="16">
        <f t="shared" si="419"/>
        <v>-11548.947254535437</v>
      </c>
      <c r="F1913" s="16">
        <f t="shared" si="419"/>
        <v>-6109.5244137713526</v>
      </c>
      <c r="G1913" s="16">
        <f t="shared" si="419"/>
        <v>-3379.0514369926882</v>
      </c>
      <c r="H1913" s="16">
        <f t="shared" si="419"/>
        <v>850.25993054010223</v>
      </c>
      <c r="I1913" s="16">
        <f t="shared" si="419"/>
        <v>18092.047137258156</v>
      </c>
      <c r="J1913" s="16">
        <f t="shared" si="419"/>
        <v>16309.673426530604</v>
      </c>
      <c r="K1913" s="16">
        <f t="shared" si="419"/>
        <v>10998.108011872093</v>
      </c>
      <c r="L1913" s="16">
        <f t="shared" si="419"/>
        <v>6506.6180175290356</v>
      </c>
      <c r="M1913" s="16">
        <f t="shared" si="419"/>
        <v>18092.047137258156</v>
      </c>
    </row>
    <row r="1914" spans="2:13" ht="15" customHeight="1" x14ac:dyDescent="0.2">
      <c r="B1914" s="10" t="s">
        <v>909</v>
      </c>
      <c r="C1914" s="10" t="s">
        <v>110</v>
      </c>
      <c r="D1914" s="16">
        <f>D1913/(Inputs!$D$7+$D$1920)^D1894</f>
        <v>-5224.6982280648417</v>
      </c>
      <c r="E1914" s="16">
        <f>E1913/(Inputs!$D$7+$D$1920)^E1894</f>
        <v>-8951.4156231633187</v>
      </c>
      <c r="F1914" s="16">
        <f>F1913/(Inputs!$D$7+$D$1920)^F1894</f>
        <v>-4082.656663724862</v>
      </c>
      <c r="G1914" s="16">
        <f>G1913/(Inputs!$D$7+$D$1920)^G1894</f>
        <v>-1946.7778081837839</v>
      </c>
      <c r="H1914" s="16">
        <f>H1913/(Inputs!$D$7+$D$1920)^H1894</f>
        <v>422.33728815726045</v>
      </c>
      <c r="I1914" s="16">
        <f>I1913/(Inputs!$D$7+$D$1920)^I1894</f>
        <v>7744.7085350730031</v>
      </c>
      <c r="J1914" s="16">
        <f>J1913/(Inputs!$D$7+$D$1920)^J1894</f>
        <v>6019.3384415073297</v>
      </c>
      <c r="K1914" s="16">
        <f>K1913/(Inputs!$D$7+$D$1920)^K1894</f>
        <v>3499.5129729707201</v>
      </c>
      <c r="L1914" s="16">
        <f>L1913/(Inputs!$D$7+$D$1920)^L1894</f>
        <v>1784.9706052741487</v>
      </c>
      <c r="M1914" s="16">
        <f>M1913/(Inputs!$D$7+$D$1920)^M1894</f>
        <v>4277.3335795997518</v>
      </c>
    </row>
    <row r="1915" spans="2:13" ht="15" customHeight="1" x14ac:dyDescent="0.2">
      <c r="B1915" s="3" t="s">
        <v>910</v>
      </c>
      <c r="C1915" s="10" t="s">
        <v>896</v>
      </c>
      <c r="D1915" s="28">
        <f>(D1901*$D$1919-D1905)/(Inputs!$D$7+$D$1920)^D1894</f>
        <v>59.765095798928819</v>
      </c>
      <c r="E1915" s="28">
        <f>(E1901*$D$1919-E1905)/(Inputs!$D$7+$D$1920)^E1894</f>
        <v>221.1922031857838</v>
      </c>
      <c r="F1915" s="28">
        <f>(F1901*$D$1919-F1905)/(Inputs!$D$7+$D$1920)^F1894</f>
        <v>386.45052664112239</v>
      </c>
      <c r="G1915" s="28">
        <f>(G1901*$D$1919-G1905)/(Inputs!$D$7+$D$1920)^G1894</f>
        <v>521.867070169518</v>
      </c>
      <c r="H1915" s="28">
        <f>(H1901*$D$1919-H1905)/(Inputs!$D$7+$D$1920)^H1894</f>
        <v>623.60768582417222</v>
      </c>
      <c r="I1915" s="28">
        <f>(I1901*$D$1919-I1905)/(Inputs!$D$7+$D$1920)^I1894</f>
        <v>616.42445467314121</v>
      </c>
      <c r="J1915" s="28">
        <f>(J1901*$D$1919-J1905)/(Inputs!$D$7+$D$1920)^J1894</f>
        <v>531.4543785819003</v>
      </c>
      <c r="K1915" s="28">
        <f>(K1901*$D$1919-K1905)/(Inputs!$D$7+$D$1920)^K1894</f>
        <v>458.19687128350449</v>
      </c>
      <c r="L1915" s="28">
        <f>(L1901*$D$1919-L1905)/(Inputs!$D$7+$D$1920)^L1894</f>
        <v>395.03743183788401</v>
      </c>
      <c r="M1915" s="28">
        <f>(M1901*$D$1919-M1905)/(Inputs!$D$7+$D$1920)^M1894</f>
        <v>340.44573883180209</v>
      </c>
    </row>
    <row r="1916" spans="2:13" ht="15" customHeight="1" x14ac:dyDescent="0.2">
      <c r="B1916" s="10" t="s">
        <v>911</v>
      </c>
      <c r="C1916" s="10" t="s">
        <v>110</v>
      </c>
      <c r="D1916" s="16">
        <f>(-D1903-D1904)/(Inputs!$D$7+$D$1920)^D1894</f>
        <v>-6704.7090607969039</v>
      </c>
      <c r="E1916" s="16">
        <f>(-E1903-E1904)/(Inputs!$D$7+$D$1920)^E1894</f>
        <v>-14445.4009031226</v>
      </c>
      <c r="F1916" s="16">
        <f>(-F1903-F1904)/(Inputs!$D$7+$D$1920)^F1894</f>
        <v>-13699.616639717549</v>
      </c>
      <c r="G1916" s="16">
        <f>(-G1903-G1904)/(Inputs!$D$7+$D$1920)^G1894</f>
        <v>-14941.671835349038</v>
      </c>
      <c r="H1916" s="16">
        <f>(-H1903-H1904)/(Inputs!$D$7+$D$1920)^H1894</f>
        <v>-15113.052884793095</v>
      </c>
      <c r="I1916" s="16">
        <f>(-I1903-I1904)/(Inputs!$D$7+$D$1920)^I1894</f>
        <v>-7629.8523795762403</v>
      </c>
      <c r="J1916" s="16">
        <f>(-J1903-J1904)/(Inputs!$D$7+$D$1920)^J1894</f>
        <v>-7235.9398897150922</v>
      </c>
      <c r="K1916" s="16">
        <f>(-K1903-K1904)/(Inputs!$D$7+$D$1920)^K1894</f>
        <v>-7928.612006570077</v>
      </c>
      <c r="L1916" s="16">
        <f>(-L1903-L1904)/(Inputs!$D$7+$D$1920)^L1894</f>
        <v>-8067.8621519509534</v>
      </c>
      <c r="M1916" s="16">
        <f>(-M1903-M1904)/(Inputs!$D$7+$D$1920)^M1894</f>
        <v>-4213.8995473821142</v>
      </c>
    </row>
    <row r="1917" spans="2:13" ht="15" customHeight="1" x14ac:dyDescent="0.2">
      <c r="B1917" s="10" t="s">
        <v>912</v>
      </c>
      <c r="C1917" s="10" t="s">
        <v>110</v>
      </c>
      <c r="D1917" s="16">
        <f>Prices!K12</f>
        <v>22209.485599656113</v>
      </c>
    </row>
    <row r="1918" spans="2:13" ht="15" customHeight="1" x14ac:dyDescent="0.2">
      <c r="B1918" s="3" t="s">
        <v>913</v>
      </c>
      <c r="C1918" s="10" t="s">
        <v>914</v>
      </c>
      <c r="D1918" s="28">
        <f>IF(J1925&gt;=J1921,J1925,(D1917-J1924)/J1923)</f>
        <v>28.741287791232391</v>
      </c>
      <c r="G1918" s="99" t="s">
        <v>915</v>
      </c>
      <c r="H1918" s="91"/>
      <c r="I1918" s="91"/>
      <c r="J1918" s="28">
        <f>D1918*Inputs!$D$15</f>
        <v>20.058544749501085</v>
      </c>
      <c r="K1918" s="99" t="s">
        <v>916</v>
      </c>
      <c r="L1918" s="91"/>
      <c r="M1918" s="91"/>
    </row>
    <row r="1919" spans="2:13" ht="15" customHeight="1" x14ac:dyDescent="0.2">
      <c r="B1919" s="10" t="s">
        <v>917</v>
      </c>
      <c r="C1919" s="10" t="s">
        <v>104</v>
      </c>
      <c r="D1919" s="30">
        <f>Inputs!$D$107</f>
        <v>0.9</v>
      </c>
      <c r="G1919" s="99" t="s">
        <v>918</v>
      </c>
      <c r="H1919" s="91"/>
      <c r="I1919" s="91"/>
      <c r="J1919" s="28">
        <f>IF(-D1930/D1929&gt;=J1921,-D1930/D1929,-J1924/J1923)</f>
        <v>24.024174528419383</v>
      </c>
      <c r="K1919" s="99" t="s">
        <v>919</v>
      </c>
      <c r="L1919" s="91"/>
      <c r="M1919" s="91"/>
    </row>
    <row r="1920" spans="2:13" ht="15" customHeight="1" x14ac:dyDescent="0.2">
      <c r="B1920" s="10" t="s">
        <v>920</v>
      </c>
      <c r="C1920" s="10" t="s">
        <v>104</v>
      </c>
      <c r="D1920" s="30">
        <f>Inputs!$D$108</f>
        <v>0.16</v>
      </c>
      <c r="G1920" s="99" t="s">
        <v>918</v>
      </c>
      <c r="H1920" s="91"/>
      <c r="I1920" s="91"/>
      <c r="J1920" s="28">
        <f>J1919*Inputs!$D$15</f>
        <v>16.766471403383886</v>
      </c>
      <c r="K1920" s="99" t="s">
        <v>916</v>
      </c>
      <c r="L1920" s="91"/>
      <c r="M1920" s="91"/>
    </row>
    <row r="1921" spans="2:13" ht="15" customHeight="1" x14ac:dyDescent="0.2">
      <c r="B1921" s="3" t="s">
        <v>921</v>
      </c>
      <c r="C1921" s="10" t="s">
        <v>848</v>
      </c>
      <c r="D1921" s="28">
        <f>Capital!$D$13</f>
        <v>57.347931490590682</v>
      </c>
      <c r="G1921" s="99" t="s">
        <v>922</v>
      </c>
      <c r="H1921" s="91"/>
      <c r="I1921" s="91"/>
      <c r="J1921" s="28">
        <f>($D$1921/Inputs!$D$21+$D$1922/Inputs!$D$22)/$D$1919</f>
        <v>16.07538460873031</v>
      </c>
      <c r="K1921" s="99" t="s">
        <v>919</v>
      </c>
      <c r="L1921" s="91"/>
      <c r="M1921" s="91"/>
    </row>
    <row r="1922" spans="2:13" ht="15" customHeight="1" x14ac:dyDescent="0.2">
      <c r="B1922" s="3" t="s">
        <v>923</v>
      </c>
      <c r="C1922" s="10" t="s">
        <v>848</v>
      </c>
      <c r="D1922" s="28">
        <f>Capital!$D$14</f>
        <v>2.6172655041921802</v>
      </c>
    </row>
    <row r="1923" spans="2:13" ht="15" customHeight="1" x14ac:dyDescent="0.2">
      <c r="B1923" s="10" t="s">
        <v>924</v>
      </c>
      <c r="C1923" s="10" t="s">
        <v>896</v>
      </c>
      <c r="D1923" s="28">
        <f>(M1896*(Inputs!$D$7+Inputs!$D$20)*$D$1919*(Inputs!$D$7-Inputs!$D$19)-M1896*Inputs!$D$20*Inputs!$D$23)/($D$1920-Inputs!$D$20)/(Inputs!$D$7+$D$1920)^M1894</f>
        <v>1807.6547922951956</v>
      </c>
      <c r="G1923" s="92" t="s">
        <v>910</v>
      </c>
      <c r="H1923" s="91"/>
      <c r="I1923" s="91"/>
      <c r="J1923" s="28">
        <f>SUM(D1915:M1915)+(M1896*(Inputs!$D$7+Inputs!$D$20)*$D$1919-M1896*Inputs!$D$20*Inputs!$D$23)/($D$1920-Inputs!$D$20)/(Inputs!$D$7+$D$1920)^M1894</f>
        <v>6737.5559875731687</v>
      </c>
      <c r="K1923" s="99" t="s">
        <v>896</v>
      </c>
      <c r="L1923" s="91"/>
      <c r="M1923" s="91"/>
    </row>
    <row r="1924" spans="2:13" ht="15" customHeight="1" x14ac:dyDescent="0.2">
      <c r="B1924" s="10" t="s">
        <v>925</v>
      </c>
      <c r="C1924" s="10" t="s">
        <v>110</v>
      </c>
      <c r="D1924" s="16">
        <f>(D1927*Inputs!$D$19-D1927-D1928)/($D$1920-Inputs!$D$20)/(Inputs!$D$7+$D$1920)^M1894</f>
        <v>-33287.494112345899</v>
      </c>
      <c r="G1924" s="92" t="s">
        <v>926</v>
      </c>
      <c r="H1924" s="91"/>
      <c r="I1924" s="91"/>
      <c r="J1924" s="16">
        <f>SUM(D1916:M1916)-(D1927+D1928)/($D$1920-Inputs!$D$20)/(Inputs!$D$7+$D$1920)^M1894</f>
        <v>-145733.9249554922</v>
      </c>
      <c r="K1924" s="99" t="s">
        <v>110</v>
      </c>
      <c r="L1924" s="91"/>
      <c r="M1924" s="91"/>
    </row>
    <row r="1925" spans="2:13" ht="15" customHeight="1" x14ac:dyDescent="0.2">
      <c r="B1925" s="10" t="s">
        <v>927</v>
      </c>
      <c r="C1925" s="10" t="s">
        <v>928</v>
      </c>
      <c r="D1925" s="16">
        <f>(M1896*(Inputs!$D$7+Inputs!$D$20)*$D$1918*$D$1919-D1927)-MAX((M1896*(Inputs!$D$7+Inputs!$D$20)*$D$1918*$D$1919-D1927),Inputs!$D$6)*Inputs!$D$19-D1928-M1896*Inputs!$D$20*$D$1918*Inputs!$D$23</f>
        <v>10659.062000578604</v>
      </c>
      <c r="G1925" s="99" t="s">
        <v>929</v>
      </c>
      <c r="H1925" s="91"/>
      <c r="I1925" s="91"/>
      <c r="J1925" s="28">
        <f>(D1917-D1930)/D1929</f>
        <v>28.741287791232391</v>
      </c>
      <c r="K1925" s="99" t="s">
        <v>919</v>
      </c>
      <c r="L1925" s="91"/>
      <c r="M1925" s="91"/>
    </row>
    <row r="1926" spans="2:13" ht="15" customHeight="1" x14ac:dyDescent="0.2">
      <c r="B1926" s="10" t="s">
        <v>930</v>
      </c>
      <c r="C1926" s="10" t="s">
        <v>110</v>
      </c>
      <c r="D1926" s="16">
        <f>D1925/($D$1920-Inputs!$D$20)</f>
        <v>78956.014819100761</v>
      </c>
      <c r="G1926" s="99" t="s">
        <v>931</v>
      </c>
      <c r="H1926" s="91"/>
      <c r="I1926" s="91"/>
      <c r="J1926" s="16">
        <f>MIN(D1910:M1910,(M1896*(Inputs!$D$7+Inputs!$D$20)*$D$1918*$D$1919-D1927))</f>
        <v>881.04001731072685</v>
      </c>
      <c r="K1926" s="99" t="s">
        <v>110</v>
      </c>
      <c r="L1926" s="91"/>
      <c r="M1926" s="91"/>
    </row>
    <row r="1927" spans="2:13" ht="15" customHeight="1" x14ac:dyDescent="0.2">
      <c r="B1927" s="10" t="s">
        <v>932</v>
      </c>
      <c r="C1927" s="10" t="s">
        <v>928</v>
      </c>
      <c r="D1927" s="16">
        <f>M1896*(Inputs!$D$7+Inputs!$D$20)*($D$1921/Inputs!$D$21+$D$1922/Inputs!$D$22)</f>
        <v>23727.267682485937</v>
      </c>
      <c r="G1927" s="99" t="s">
        <v>933</v>
      </c>
      <c r="H1927" s="91"/>
      <c r="I1927" s="91"/>
      <c r="J1927" s="31" t="str">
        <f>IF(J1926&lt;Inputs!$D$6,"breached","satisfied")</f>
        <v>satisfied</v>
      </c>
      <c r="K1927" s="99" t="s">
        <v>934</v>
      </c>
      <c r="L1927" s="91"/>
      <c r="M1927" s="91"/>
    </row>
    <row r="1928" spans="2:13" ht="15" customHeight="1" x14ac:dyDescent="0.2">
      <c r="B1928" s="10" t="s">
        <v>935</v>
      </c>
      <c r="C1928" s="10" t="s">
        <v>928</v>
      </c>
      <c r="D1928" s="16">
        <f>M1896*Inputs!$D$20*($D$1921+$D$1922)</f>
        <v>2398.6078797913146</v>
      </c>
    </row>
    <row r="1929" spans="2:13" ht="15" customHeight="1" x14ac:dyDescent="0.2">
      <c r="B1929" s="10" t="s">
        <v>936</v>
      </c>
      <c r="C1929" s="10" t="s">
        <v>896</v>
      </c>
      <c r="D1929" s="28">
        <f>SUM(D1906:M1906)+D1923</f>
        <v>4708.2790601495317</v>
      </c>
      <c r="G1929" s="99" t="s">
        <v>937</v>
      </c>
      <c r="H1929" s="91"/>
      <c r="I1929" s="91"/>
      <c r="J1929" s="16">
        <f>D1931-D1917</f>
        <v>4.0017766878008842E-11</v>
      </c>
      <c r="K1929" s="99" t="s">
        <v>110</v>
      </c>
      <c r="L1929" s="91"/>
      <c r="M1929" s="91"/>
    </row>
    <row r="1930" spans="2:13" ht="15" customHeight="1" x14ac:dyDescent="0.2">
      <c r="B1930" s="10" t="s">
        <v>938</v>
      </c>
      <c r="C1930" s="10" t="s">
        <v>110</v>
      </c>
      <c r="D1930" s="16">
        <f>SUM(D1907:M1907)+D1924</f>
        <v>-113112.51786953473</v>
      </c>
    </row>
    <row r="1931" spans="2:13" ht="15" customHeight="1" x14ac:dyDescent="0.2">
      <c r="B1931" s="10" t="s">
        <v>939</v>
      </c>
      <c r="C1931" s="10" t="s">
        <v>110</v>
      </c>
      <c r="D1931" s="16">
        <f>SUM(D1914:M1914)+D1926/(Inputs!$D$7+$D$1920)^M1894</f>
        <v>22209.485599656153</v>
      </c>
    </row>
    <row r="1932" spans="2:13" ht="15" customHeight="1" x14ac:dyDescent="0.2">
      <c r="B1932" s="10" t="s">
        <v>940</v>
      </c>
      <c r="C1932" s="10" t="s">
        <v>104</v>
      </c>
      <c r="D1932" s="30">
        <f>IF(ABS(D1917)&gt;Inputs!$D$6,D1931/D1917-Inputs!$D$7,Inputs!$D$6)</f>
        <v>1.7763568394002505E-15</v>
      </c>
    </row>
    <row r="1933" spans="2:13" ht="15" customHeight="1" x14ac:dyDescent="0.2">
      <c r="B1933" s="10" t="s">
        <v>941</v>
      </c>
      <c r="C1933" s="10" t="s">
        <v>104</v>
      </c>
      <c r="D1933" s="30">
        <f>IF(ABS(D1931)&gt;Inputs!$D$119,D1926/(Inputs!$D$7+$D$1920)^M1894/D1931,Inputs!$D$6)</f>
        <v>0.84048918721916477</v>
      </c>
    </row>
    <row r="1934" spans="2:13" ht="15" customHeight="1" x14ac:dyDescent="0.2">
      <c r="B1934" s="10" t="s">
        <v>942</v>
      </c>
      <c r="C1934" s="10" t="s">
        <v>943</v>
      </c>
      <c r="D1934" s="26">
        <f>$D$1918*Inputs!$D$8/Prices!$P$6/(Inputs!$D$26/Inputs!$D$25)/Inputs!$D$11/Inputs!$D$56</f>
        <v>5.2266904871392059</v>
      </c>
    </row>
    <row r="1938" spans="1:13" ht="15" customHeight="1" x14ac:dyDescent="0.2">
      <c r="A1938" s="104" t="s">
        <v>985</v>
      </c>
      <c r="B1938" s="10" t="s">
        <v>886</v>
      </c>
      <c r="C1938" s="10" t="s">
        <v>107</v>
      </c>
      <c r="D1938" s="28">
        <f>Inputs!$D$60</f>
        <v>1</v>
      </c>
      <c r="E1938" s="28">
        <f>Inputs!$D$62</f>
        <v>2</v>
      </c>
      <c r="F1938" s="28">
        <f>Inputs!$D$64</f>
        <v>3</v>
      </c>
      <c r="G1938" s="28">
        <f>Inputs!$D$66</f>
        <v>4</v>
      </c>
      <c r="H1938" s="28">
        <f>Inputs!$D$68</f>
        <v>5</v>
      </c>
      <c r="I1938" s="28">
        <f>Inputs!$D$70</f>
        <v>6</v>
      </c>
      <c r="J1938" s="28">
        <f>Inputs!$D$72</f>
        <v>7</v>
      </c>
      <c r="K1938" s="28">
        <f>Inputs!$D$74</f>
        <v>8</v>
      </c>
      <c r="L1938" s="28">
        <f>Inputs!$D$76</f>
        <v>9</v>
      </c>
      <c r="M1938" s="28">
        <f>Inputs!$D$78</f>
        <v>10</v>
      </c>
    </row>
    <row r="1939" spans="1:13" ht="15" customHeight="1" x14ac:dyDescent="0.2">
      <c r="A1939" s="91"/>
      <c r="B1939" s="10" t="s">
        <v>887</v>
      </c>
      <c r="C1939" s="10" t="s">
        <v>161</v>
      </c>
      <c r="D1939" s="29">
        <f>Inputs!$D$61</f>
        <v>46568</v>
      </c>
      <c r="E1939" s="29">
        <f>Inputs!$D$63</f>
        <v>46934</v>
      </c>
      <c r="F1939" s="29">
        <f>Inputs!$D$65</f>
        <v>47299</v>
      </c>
      <c r="G1939" s="29">
        <f>Inputs!$D$67</f>
        <v>47664</v>
      </c>
      <c r="H1939" s="29">
        <f>Inputs!$D$69</f>
        <v>48029</v>
      </c>
      <c r="I1939" s="29">
        <f>Inputs!$D$71</f>
        <v>48395</v>
      </c>
      <c r="J1939" s="29">
        <f>Inputs!$D$73</f>
        <v>48760</v>
      </c>
      <c r="K1939" s="29">
        <f>Inputs!$D$75</f>
        <v>49125</v>
      </c>
      <c r="L1939" s="29">
        <f>Inputs!$D$77</f>
        <v>49490</v>
      </c>
      <c r="M1939" s="29">
        <f>Inputs!$D$79</f>
        <v>49856</v>
      </c>
    </row>
    <row r="1940" spans="1:13" ht="15" customHeight="1" x14ac:dyDescent="0.2">
      <c r="A1940" s="91"/>
      <c r="B1940" s="10" t="s">
        <v>888</v>
      </c>
      <c r="C1940" s="10" t="s">
        <v>107</v>
      </c>
      <c r="D1940" s="28">
        <f>(D1939-Inputs!$D$13)/Inputs!$D$10</f>
        <v>0.71457905544147848</v>
      </c>
      <c r="E1940" s="28">
        <f>(E1939-Inputs!$D$13)/Inputs!$D$10</f>
        <v>1.7166324435318274</v>
      </c>
      <c r="F1940" s="28">
        <f>(F1939-Inputs!$D$13)/Inputs!$D$10</f>
        <v>2.7159479808350446</v>
      </c>
      <c r="G1940" s="28">
        <f>(G1939-Inputs!$D$13)/Inputs!$D$10</f>
        <v>3.7152635181382614</v>
      </c>
      <c r="H1940" s="28">
        <f>(H1939-Inputs!$D$13)/Inputs!$D$10</f>
        <v>4.7145790554414786</v>
      </c>
      <c r="I1940" s="28">
        <f>(I1939-Inputs!$D$13)/Inputs!$D$10</f>
        <v>5.7166324435318279</v>
      </c>
      <c r="J1940" s="28">
        <f>(J1939-Inputs!$D$13)/Inputs!$D$10</f>
        <v>6.7159479808350442</v>
      </c>
      <c r="K1940" s="28">
        <f>(K1939-Inputs!$D$13)/Inputs!$D$10</f>
        <v>7.7152635181382614</v>
      </c>
      <c r="L1940" s="28">
        <f>(L1939-Inputs!$D$13)/Inputs!$D$10</f>
        <v>8.7145790554414777</v>
      </c>
      <c r="M1940" s="28">
        <f>(M1939-Inputs!$D$13)/Inputs!$D$10</f>
        <v>9.716632443531827</v>
      </c>
    </row>
    <row r="1941" spans="1:13" ht="15" customHeight="1" x14ac:dyDescent="0.2">
      <c r="A1941" s="91"/>
      <c r="B1941" s="10" t="s">
        <v>889</v>
      </c>
      <c r="C1941" s="10" t="s">
        <v>107</v>
      </c>
      <c r="D1941" s="28">
        <f>D1940</f>
        <v>0.71457905544147848</v>
      </c>
      <c r="E1941" s="28">
        <f>Inputs!$D$7</f>
        <v>1</v>
      </c>
      <c r="F1941" s="28">
        <f>Inputs!$D$7</f>
        <v>1</v>
      </c>
      <c r="G1941" s="28">
        <f>Inputs!$D$7</f>
        <v>1</v>
      </c>
      <c r="H1941" s="28">
        <f>Inputs!$D$7</f>
        <v>1</v>
      </c>
      <c r="I1941" s="28">
        <f>Inputs!$D$7</f>
        <v>1</v>
      </c>
      <c r="J1941" s="28">
        <f>Inputs!$D$7</f>
        <v>1</v>
      </c>
      <c r="K1941" s="28">
        <f>Inputs!$D$7</f>
        <v>1</v>
      </c>
      <c r="L1941" s="28">
        <f>Inputs!$D$7</f>
        <v>1</v>
      </c>
      <c r="M1941" s="28">
        <f>Inputs!$D$7</f>
        <v>1</v>
      </c>
    </row>
    <row r="1942" spans="1:13" ht="15" customHeight="1" x14ac:dyDescent="0.2">
      <c r="A1942" s="91"/>
      <c r="B1942" s="3" t="s">
        <v>890</v>
      </c>
      <c r="C1942" s="10" t="s">
        <v>199</v>
      </c>
      <c r="D1942" s="28">
        <f>Inputs!$D$24+(Inputs!$D$80-Inputs!$D$24)*Inputs!$D$83</f>
        <v>305.5</v>
      </c>
      <c r="E1942" s="28">
        <f>Inputs!$D$24+(Inputs!$D$80-Inputs!$D$24)*Inputs!$D$84</f>
        <v>651.5</v>
      </c>
      <c r="F1942" s="28">
        <f>Inputs!$D$24+(Inputs!$D$80-Inputs!$D$24)*Inputs!$D$85</f>
        <v>911</v>
      </c>
      <c r="G1942" s="28">
        <f>Inputs!$D$24+(Inputs!$D$80-Inputs!$D$24)*Inputs!$D$86</f>
        <v>911</v>
      </c>
      <c r="H1942" s="28">
        <f>Inputs!$D$24+(Inputs!$D$80-Inputs!$D$24)*Inputs!$D$87</f>
        <v>911</v>
      </c>
      <c r="I1942" s="28">
        <f>Inputs!$D$24+(Inputs!$D$80-Inputs!$D$24)*Inputs!$D$88</f>
        <v>911</v>
      </c>
      <c r="J1942" s="28">
        <f>Inputs!$D$24+(Inputs!$D$80-Inputs!$D$24)*Inputs!$D$89</f>
        <v>911</v>
      </c>
      <c r="K1942" s="28">
        <f>Inputs!$D$24+(Inputs!$D$80-Inputs!$D$24)*Inputs!$D$90</f>
        <v>911</v>
      </c>
      <c r="L1942" s="28">
        <f>Inputs!$D$24+(Inputs!$D$80-Inputs!$D$24)*Inputs!$D$91</f>
        <v>911</v>
      </c>
      <c r="M1942" s="28">
        <f>Inputs!$D$24+(Inputs!$D$80-Inputs!$D$24)*Inputs!$D$92</f>
        <v>911</v>
      </c>
    </row>
    <row r="1943" spans="1:13" ht="15" customHeight="1" x14ac:dyDescent="0.2">
      <c r="A1943" s="91"/>
      <c r="B1943" s="10" t="s">
        <v>891</v>
      </c>
      <c r="C1943" s="10" t="s">
        <v>199</v>
      </c>
      <c r="D1943" s="28">
        <f>Inputs!$D$24</f>
        <v>46</v>
      </c>
      <c r="E1943" s="28">
        <f t="shared" ref="E1943:M1943" si="420">D1942</f>
        <v>305.5</v>
      </c>
      <c r="F1943" s="28">
        <f t="shared" si="420"/>
        <v>651.5</v>
      </c>
      <c r="G1943" s="28">
        <f t="shared" si="420"/>
        <v>911</v>
      </c>
      <c r="H1943" s="28">
        <f t="shared" si="420"/>
        <v>911</v>
      </c>
      <c r="I1943" s="28">
        <f t="shared" si="420"/>
        <v>911</v>
      </c>
      <c r="J1943" s="28">
        <f t="shared" si="420"/>
        <v>911</v>
      </c>
      <c r="K1943" s="28">
        <f t="shared" si="420"/>
        <v>911</v>
      </c>
      <c r="L1943" s="28">
        <f t="shared" si="420"/>
        <v>911</v>
      </c>
      <c r="M1943" s="28">
        <f t="shared" si="420"/>
        <v>911</v>
      </c>
    </row>
    <row r="1944" spans="1:13" ht="15" customHeight="1" x14ac:dyDescent="0.2">
      <c r="B1944" s="10" t="s">
        <v>892</v>
      </c>
      <c r="C1944" s="10" t="s">
        <v>199</v>
      </c>
      <c r="D1944" s="28">
        <f>(D1943+D1942)*Inputs!$D$12</f>
        <v>175.75</v>
      </c>
      <c r="E1944" s="28">
        <f>(E1943+E1942)*Inputs!$D$12</f>
        <v>478.5</v>
      </c>
      <c r="F1944" s="28">
        <f>(F1943+F1942)*Inputs!$D$12</f>
        <v>781.25</v>
      </c>
      <c r="G1944" s="28">
        <f>(G1943+G1942)*Inputs!$D$12</f>
        <v>911</v>
      </c>
      <c r="H1944" s="28">
        <f>(H1943+H1942)*Inputs!$D$12</f>
        <v>911</v>
      </c>
      <c r="I1944" s="28">
        <f>(I1943+I1942)*Inputs!$D$12</f>
        <v>911</v>
      </c>
      <c r="J1944" s="28">
        <f>(J1943+J1942)*Inputs!$D$12</f>
        <v>911</v>
      </c>
      <c r="K1944" s="28">
        <f>(K1943+K1942)*Inputs!$D$12</f>
        <v>911</v>
      </c>
      <c r="L1944" s="28">
        <f>(L1943+L1942)*Inputs!$D$12</f>
        <v>911</v>
      </c>
      <c r="M1944" s="28">
        <f>(M1943+M1942)*Inputs!$D$12</f>
        <v>911</v>
      </c>
    </row>
    <row r="1945" spans="1:13" ht="15" customHeight="1" x14ac:dyDescent="0.2">
      <c r="B1945" s="10" t="s">
        <v>893</v>
      </c>
      <c r="C1945" s="10" t="s">
        <v>199</v>
      </c>
      <c r="D1945" s="28">
        <f t="shared" ref="D1945:M1945" si="421">D1942-D1943</f>
        <v>259.5</v>
      </c>
      <c r="E1945" s="28">
        <f t="shared" si="421"/>
        <v>346</v>
      </c>
      <c r="F1945" s="28">
        <f t="shared" si="421"/>
        <v>259.5</v>
      </c>
      <c r="G1945" s="28">
        <f t="shared" si="421"/>
        <v>0</v>
      </c>
      <c r="H1945" s="28">
        <f t="shared" si="421"/>
        <v>0</v>
      </c>
      <c r="I1945" s="28">
        <f t="shared" si="421"/>
        <v>0</v>
      </c>
      <c r="J1945" s="28">
        <f t="shared" si="421"/>
        <v>0</v>
      </c>
      <c r="K1945" s="28">
        <f t="shared" si="421"/>
        <v>0</v>
      </c>
      <c r="L1945" s="28">
        <f t="shared" si="421"/>
        <v>0</v>
      </c>
      <c r="M1945" s="28">
        <f t="shared" si="421"/>
        <v>0</v>
      </c>
    </row>
    <row r="1946" spans="1:13" ht="15" customHeight="1" x14ac:dyDescent="0.2">
      <c r="B1946" s="10" t="s">
        <v>894</v>
      </c>
      <c r="C1946" s="10" t="s">
        <v>199</v>
      </c>
      <c r="D1946" s="28">
        <f>IF(MOD(D1938,Inputs!$D$21)=Inputs!$D$6,Inputs!$D$24,Inputs!$D$6)+SUMPRODUCT(--(D1938&gt;$D$1938:$M$1938),--(MOD(D1938-$D$1938:$M$1938,Inputs!$D$21)=Inputs!$D$6),$D$1945:$M$1945)</f>
        <v>0</v>
      </c>
      <c r="E1946" s="28">
        <f>IF(MOD(E1938,Inputs!$D$21)=Inputs!$D$6,Inputs!$D$24,Inputs!$D$6)+SUMPRODUCT(--(E1938&gt;$D$1938:$M$1938),--(MOD(E1938-$D$1938:$M$1938,Inputs!$D$21)=Inputs!$D$6),$D$1945:$M$1945)</f>
        <v>0</v>
      </c>
      <c r="F1946" s="28">
        <f>IF(MOD(F1938,Inputs!$D$21)=Inputs!$D$6,Inputs!$D$24,Inputs!$D$6)+SUMPRODUCT(--(F1938&gt;$D$1938:$M$1938),--(MOD(F1938-$D$1938:$M$1938,Inputs!$D$21)=Inputs!$D$6),$D$1945:$M$1945)</f>
        <v>0</v>
      </c>
      <c r="G1946" s="28">
        <f>IF(MOD(G1938,Inputs!$D$21)=Inputs!$D$6,Inputs!$D$24,Inputs!$D$6)+SUMPRODUCT(--(G1938&gt;$D$1938:$M$1938),--(MOD(G1938-$D$1938:$M$1938,Inputs!$D$21)=Inputs!$D$6),$D$1945:$M$1945)</f>
        <v>46</v>
      </c>
      <c r="H1946" s="28">
        <f>IF(MOD(H1938,Inputs!$D$21)=Inputs!$D$6,Inputs!$D$24,Inputs!$D$6)+SUMPRODUCT(--(H1938&gt;$D$1938:$M$1938),--(MOD(H1938-$D$1938:$M$1938,Inputs!$D$21)=Inputs!$D$6),$D$1945:$M$1945)</f>
        <v>259.5</v>
      </c>
      <c r="I1946" s="28">
        <f>IF(MOD(I1938,Inputs!$D$21)=Inputs!$D$6,Inputs!$D$24,Inputs!$D$6)+SUMPRODUCT(--(I1938&gt;$D$1938:$M$1938),--(MOD(I1938-$D$1938:$M$1938,Inputs!$D$21)=Inputs!$D$6),$D$1945:$M$1945)</f>
        <v>346</v>
      </c>
      <c r="J1946" s="28">
        <f>IF(MOD(J1938,Inputs!$D$21)=Inputs!$D$6,Inputs!$D$24,Inputs!$D$6)+SUMPRODUCT(--(J1938&gt;$D$1938:$M$1938),--(MOD(J1938-$D$1938:$M$1938,Inputs!$D$21)=Inputs!$D$6),$D$1945:$M$1945)</f>
        <v>259.5</v>
      </c>
      <c r="K1946" s="28">
        <f>IF(MOD(K1938,Inputs!$D$21)=Inputs!$D$6,Inputs!$D$24,Inputs!$D$6)+SUMPRODUCT(--(K1938&gt;$D$1938:$M$1938),--(MOD(K1938-$D$1938:$M$1938,Inputs!$D$21)=Inputs!$D$6),$D$1945:$M$1945)</f>
        <v>46</v>
      </c>
      <c r="L1946" s="28">
        <f>IF(MOD(L1938,Inputs!$D$21)=Inputs!$D$6,Inputs!$D$24,Inputs!$D$6)+SUMPRODUCT(--(L1938&gt;$D$1938:$M$1938),--(MOD(L1938-$D$1938:$M$1938,Inputs!$D$21)=Inputs!$D$6),$D$1945:$M$1945)</f>
        <v>259.5</v>
      </c>
      <c r="M1946" s="28">
        <f>IF(MOD(M1938,Inputs!$D$21)=Inputs!$D$6,Inputs!$D$24,Inputs!$D$6)+SUMPRODUCT(--(M1938&gt;$D$1938:$M$1938),--(MOD(M1938-$D$1938:$M$1938,Inputs!$D$21)=Inputs!$D$6),$D$1945:$M$1945)</f>
        <v>346</v>
      </c>
    </row>
    <row r="1947" spans="1:13" ht="15" customHeight="1" x14ac:dyDescent="0.2">
      <c r="B1947" s="10" t="s">
        <v>895</v>
      </c>
      <c r="C1947" s="10" t="s">
        <v>896</v>
      </c>
      <c r="D1947" s="28">
        <f t="shared" ref="D1947:M1947" si="422">D1944*D1941</f>
        <v>125.58726899383984</v>
      </c>
      <c r="E1947" s="28">
        <f t="shared" si="422"/>
        <v>478.5</v>
      </c>
      <c r="F1947" s="28">
        <f t="shared" si="422"/>
        <v>781.25</v>
      </c>
      <c r="G1947" s="28">
        <f t="shared" si="422"/>
        <v>911</v>
      </c>
      <c r="H1947" s="28">
        <f t="shared" si="422"/>
        <v>911</v>
      </c>
      <c r="I1947" s="28">
        <f t="shared" si="422"/>
        <v>911</v>
      </c>
      <c r="J1947" s="28">
        <f t="shared" si="422"/>
        <v>911</v>
      </c>
      <c r="K1947" s="28">
        <f t="shared" si="422"/>
        <v>911</v>
      </c>
      <c r="L1947" s="28">
        <f t="shared" si="422"/>
        <v>911</v>
      </c>
      <c r="M1947" s="28">
        <f t="shared" si="422"/>
        <v>911</v>
      </c>
    </row>
    <row r="1948" spans="1:13" ht="15" customHeight="1" x14ac:dyDescent="0.2">
      <c r="B1948" s="10" t="s">
        <v>897</v>
      </c>
      <c r="C1948" s="10" t="s">
        <v>110</v>
      </c>
      <c r="D1948" s="16">
        <f>D1947*($D$1967/Inputs!$D$21+$D$1968/Inputs!$D$22)</f>
        <v>1816.9772859324419</v>
      </c>
      <c r="E1948" s="16">
        <f>E1947*($D$1967/Inputs!$D$21+$D$1968/Inputs!$D$22)</f>
        <v>6922.8643817497086</v>
      </c>
      <c r="F1948" s="16">
        <f>F1947*($D$1967/Inputs!$D$21+$D$1968/Inputs!$D$22)</f>
        <v>11303.0048030135</v>
      </c>
      <c r="G1948" s="16">
        <f>G1947*($D$1967/Inputs!$D$21+$D$1968/Inputs!$D$22)</f>
        <v>13180.207840697982</v>
      </c>
      <c r="H1948" s="16">
        <f>H1947*($D$1967/Inputs!$D$21+$D$1968/Inputs!$D$22)</f>
        <v>13180.207840697982</v>
      </c>
      <c r="I1948" s="16">
        <f>I1947*($D$1967/Inputs!$D$21+$D$1968/Inputs!$D$22)</f>
        <v>13180.207840697982</v>
      </c>
      <c r="J1948" s="16">
        <f>J1947*($D$1967/Inputs!$D$21+$D$1968/Inputs!$D$22)</f>
        <v>13180.207840697982</v>
      </c>
      <c r="K1948" s="16">
        <f>K1947*($D$1967/Inputs!$D$21+$D$1968/Inputs!$D$22)</f>
        <v>13180.207840697982</v>
      </c>
      <c r="L1948" s="16">
        <f>L1947*($D$1967/Inputs!$D$21+$D$1968/Inputs!$D$22)</f>
        <v>13180.207840697982</v>
      </c>
      <c r="M1948" s="16">
        <f>M1947*($D$1967/Inputs!$D$21+$D$1968/Inputs!$D$22)</f>
        <v>13180.207840697982</v>
      </c>
    </row>
    <row r="1949" spans="1:13" ht="15" customHeight="1" x14ac:dyDescent="0.2">
      <c r="B1949" s="10" t="s">
        <v>898</v>
      </c>
      <c r="C1949" s="10" t="s">
        <v>110</v>
      </c>
      <c r="D1949" s="16">
        <f t="shared" ref="D1949:M1949" si="423">D1945*($D$1967+$D$1968)</f>
        <v>15560.968620146154</v>
      </c>
      <c r="E1949" s="16">
        <f t="shared" si="423"/>
        <v>20747.95816019487</v>
      </c>
      <c r="F1949" s="16">
        <f t="shared" si="423"/>
        <v>15560.968620146154</v>
      </c>
      <c r="G1949" s="16">
        <f t="shared" si="423"/>
        <v>0</v>
      </c>
      <c r="H1949" s="16">
        <f t="shared" si="423"/>
        <v>0</v>
      </c>
      <c r="I1949" s="16">
        <f t="shared" si="423"/>
        <v>0</v>
      </c>
      <c r="J1949" s="16">
        <f t="shared" si="423"/>
        <v>0</v>
      </c>
      <c r="K1949" s="16">
        <f t="shared" si="423"/>
        <v>0</v>
      </c>
      <c r="L1949" s="16">
        <f t="shared" si="423"/>
        <v>0</v>
      </c>
      <c r="M1949" s="16">
        <f t="shared" si="423"/>
        <v>0</v>
      </c>
    </row>
    <row r="1950" spans="1:13" ht="15" customHeight="1" x14ac:dyDescent="0.2">
      <c r="B1950" s="10" t="s">
        <v>899</v>
      </c>
      <c r="C1950" s="10" t="s">
        <v>110</v>
      </c>
      <c r="D1950" s="16">
        <f t="shared" ref="D1950:M1950" si="424">D1946*$D$1967</f>
        <v>0</v>
      </c>
      <c r="E1950" s="16">
        <f t="shared" si="424"/>
        <v>0</v>
      </c>
      <c r="F1950" s="16">
        <f t="shared" si="424"/>
        <v>0</v>
      </c>
      <c r="G1950" s="16">
        <f t="shared" si="424"/>
        <v>2638.0048485671714</v>
      </c>
      <c r="H1950" s="16">
        <f t="shared" si="424"/>
        <v>14881.788221808281</v>
      </c>
      <c r="I1950" s="16">
        <f t="shared" si="424"/>
        <v>19842.384295744378</v>
      </c>
      <c r="J1950" s="16">
        <f t="shared" si="424"/>
        <v>14881.788221808281</v>
      </c>
      <c r="K1950" s="16">
        <f t="shared" si="424"/>
        <v>2638.0048485671714</v>
      </c>
      <c r="L1950" s="16">
        <f t="shared" si="424"/>
        <v>14881.788221808281</v>
      </c>
      <c r="M1950" s="16">
        <f t="shared" si="424"/>
        <v>19842.384295744378</v>
      </c>
    </row>
    <row r="1951" spans="1:13" ht="15" customHeight="1" x14ac:dyDescent="0.2">
      <c r="B1951" s="10" t="s">
        <v>900</v>
      </c>
      <c r="C1951" s="10" t="s">
        <v>199</v>
      </c>
      <c r="D1951" s="28">
        <f>D1945*Inputs!$D$23</f>
        <v>6.4875000000000007</v>
      </c>
      <c r="E1951" s="28">
        <f>E1945*Inputs!$D$23</f>
        <v>8.65</v>
      </c>
      <c r="F1951" s="28">
        <f>F1945*Inputs!$D$23</f>
        <v>6.4875000000000007</v>
      </c>
      <c r="G1951" s="28">
        <f>G1945*Inputs!$D$23</f>
        <v>0</v>
      </c>
      <c r="H1951" s="28">
        <f>H1945*Inputs!$D$23</f>
        <v>0</v>
      </c>
      <c r="I1951" s="28">
        <f>I1945*Inputs!$D$23</f>
        <v>0</v>
      </c>
      <c r="J1951" s="28">
        <f>J1945*Inputs!$D$23</f>
        <v>0</v>
      </c>
      <c r="K1951" s="28">
        <f>K1945*Inputs!$D$23</f>
        <v>0</v>
      </c>
      <c r="L1951" s="28">
        <f>L1945*Inputs!$D$23</f>
        <v>0</v>
      </c>
      <c r="M1951" s="28">
        <f>M1945*Inputs!$D$23</f>
        <v>0</v>
      </c>
    </row>
    <row r="1952" spans="1:13" ht="15" customHeight="1" x14ac:dyDescent="0.2">
      <c r="B1952" s="3" t="s">
        <v>901</v>
      </c>
      <c r="C1952" s="10" t="s">
        <v>896</v>
      </c>
      <c r="D1952" s="28">
        <f>(D1947*$D$1965*(Inputs!$D$7-Inputs!$D$19)-D1951)/(Inputs!$D$7+$D$1966)^D1940</f>
        <v>43.213488846686175</v>
      </c>
      <c r="E1952" s="28">
        <f>(E1947*$D$1965*(Inputs!$D$7-Inputs!$D$19)-E1951)/(Inputs!$D$7+$D$1966)^E1940</f>
        <v>163.29332190458183</v>
      </c>
      <c r="F1952" s="28">
        <f>(F1947*$D$1965*(Inputs!$D$7-Inputs!$D$19)-F1951)/(Inputs!$D$7+$D$1966)^F1940</f>
        <v>248.28260771010829</v>
      </c>
      <c r="G1952" s="28">
        <f>(G1947*$D$1965*(Inputs!$D$7-Inputs!$D$19)-G1951)/(Inputs!$D$7+$D$1966)^G1940</f>
        <v>268.5238926419492</v>
      </c>
      <c r="H1952" s="28">
        <f>(H1947*$D$1965*(Inputs!$D$7-Inputs!$D$19)-H1951)/(Inputs!$D$7+$D$1966)^H1940</f>
        <v>244.12855518959191</v>
      </c>
      <c r="I1952" s="28">
        <f>(I1947*$D$1965*(Inputs!$D$7-Inputs!$D$19)-I1951)/(Inputs!$D$7+$D$1966)^I1940</f>
        <v>221.8916197826434</v>
      </c>
      <c r="J1952" s="28">
        <f>(J1947*$D$1965*(Inputs!$D$7-Inputs!$D$19)-J1951)/(Inputs!$D$7+$D$1966)^J1940</f>
        <v>201.73281421346593</v>
      </c>
      <c r="K1952" s="28">
        <f>(K1947*$D$1965*(Inputs!$D$7-Inputs!$D$19)-K1951)/(Inputs!$D$7+$D$1966)^K1940</f>
        <v>183.40543176145695</v>
      </c>
      <c r="L1952" s="28">
        <f>(L1947*$D$1965*(Inputs!$D$7-Inputs!$D$19)-L1951)/(Inputs!$D$7+$D$1966)^L1940</f>
        <v>166.74308803332551</v>
      </c>
      <c r="M1952" s="28">
        <f>(M1947*$D$1965*(Inputs!$D$7-Inputs!$D$19)-M1951)/(Inputs!$D$7+$D$1966)^M1940</f>
        <v>151.55496194429571</v>
      </c>
    </row>
    <row r="1953" spans="2:13" ht="15" customHeight="1" x14ac:dyDescent="0.2">
      <c r="B1953" s="10" t="s">
        <v>902</v>
      </c>
      <c r="C1953" s="10" t="s">
        <v>110</v>
      </c>
      <c r="D1953" s="16">
        <f>(D1948*Inputs!$D$19-D1949-D1950)/(Inputs!$D$7+$D$1966)^D1940</f>
        <v>-14027.24269342025</v>
      </c>
      <c r="E1953" s="16">
        <f>(E1948*Inputs!$D$19-E1949-E1950)/(Inputs!$D$7+$D$1966)^E1940</f>
        <v>-15853.087323826181</v>
      </c>
      <c r="F1953" s="16">
        <f>(F1948*Inputs!$D$19-F1949-F1950)/(Inputs!$D$7+$D$1966)^F1940</f>
        <v>-9394.4767487293357</v>
      </c>
      <c r="G1953" s="16">
        <f>(G1948*Inputs!$D$19-G1949-G1950)/(Inputs!$D$7+$D$1966)^G1940</f>
        <v>923.61320322684639</v>
      </c>
      <c r="H1953" s="16">
        <f>(H1948*Inputs!$D$19-H1949-H1950)/(Inputs!$D$7+$D$1966)^H1940</f>
        <v>-6972.3744918015345</v>
      </c>
      <c r="I1953" s="16">
        <f>(I1948*Inputs!$D$19-I1949-I1950)/(Inputs!$D$7+$D$1966)^I1940</f>
        <v>-9214.0648467907959</v>
      </c>
      <c r="J1953" s="16">
        <f>(J1948*Inputs!$D$19-J1949-J1950)/(Inputs!$D$7+$D$1966)^J1940</f>
        <v>-5761.5411965591911</v>
      </c>
      <c r="K1953" s="16">
        <f>(K1948*Inputs!$D$19-K1949-K1950)/(Inputs!$D$7+$D$1966)^K1940</f>
        <v>630.8402453567694</v>
      </c>
      <c r="L1953" s="16">
        <f>(L1948*Inputs!$D$19-L1949-L1950)/(Inputs!$D$7+$D$1966)^L1940</f>
        <v>-4762.2255937446444</v>
      </c>
      <c r="M1953" s="16">
        <f>(M1948*Inputs!$D$19-M1949-M1950)/(Inputs!$D$7+$D$1966)^M1940</f>
        <v>-6293.3302689644106</v>
      </c>
    </row>
    <row r="1954" spans="2:13" ht="15" customHeight="1" x14ac:dyDescent="0.2">
      <c r="B1954" s="10" t="s">
        <v>903</v>
      </c>
      <c r="C1954" s="10" t="s">
        <v>110</v>
      </c>
      <c r="D1954" s="16">
        <f t="shared" ref="D1954:M1954" si="425">D1947*$D$1964</f>
        <v>4531.5881307611298</v>
      </c>
      <c r="E1954" s="16">
        <f t="shared" si="425"/>
        <v>17265.802003191588</v>
      </c>
      <c r="F1954" s="16">
        <f t="shared" si="425"/>
        <v>28189.984984312283</v>
      </c>
      <c r="G1954" s="16">
        <f t="shared" si="425"/>
        <v>32871.777690506868</v>
      </c>
      <c r="H1954" s="16">
        <f t="shared" si="425"/>
        <v>32871.777690506868</v>
      </c>
      <c r="I1954" s="16">
        <f t="shared" si="425"/>
        <v>32871.777690506868</v>
      </c>
      <c r="J1954" s="16">
        <f t="shared" si="425"/>
        <v>32871.777690506868</v>
      </c>
      <c r="K1954" s="16">
        <f t="shared" si="425"/>
        <v>32871.777690506868</v>
      </c>
      <c r="L1954" s="16">
        <f t="shared" si="425"/>
        <v>32871.777690506868</v>
      </c>
      <c r="M1954" s="16">
        <f t="shared" si="425"/>
        <v>32871.777690506868</v>
      </c>
    </row>
    <row r="1955" spans="2:13" ht="15" customHeight="1" x14ac:dyDescent="0.2">
      <c r="B1955" s="10" t="s">
        <v>904</v>
      </c>
      <c r="C1955" s="10" t="s">
        <v>110</v>
      </c>
      <c r="D1955" s="16">
        <f t="shared" ref="D1955:M1955" si="426">D1954*$D$1965</f>
        <v>2718.9528784566778</v>
      </c>
      <c r="E1955" s="16">
        <f t="shared" si="426"/>
        <v>10359.481201914952</v>
      </c>
      <c r="F1955" s="16">
        <f t="shared" si="426"/>
        <v>16913.990990587368</v>
      </c>
      <c r="G1955" s="16">
        <f t="shared" si="426"/>
        <v>19723.06661430412</v>
      </c>
      <c r="H1955" s="16">
        <f t="shared" si="426"/>
        <v>19723.06661430412</v>
      </c>
      <c r="I1955" s="16">
        <f t="shared" si="426"/>
        <v>19723.06661430412</v>
      </c>
      <c r="J1955" s="16">
        <f t="shared" si="426"/>
        <v>19723.06661430412</v>
      </c>
      <c r="K1955" s="16">
        <f t="shared" si="426"/>
        <v>19723.06661430412</v>
      </c>
      <c r="L1955" s="16">
        <f t="shared" si="426"/>
        <v>19723.06661430412</v>
      </c>
      <c r="M1955" s="16">
        <f t="shared" si="426"/>
        <v>19723.06661430412</v>
      </c>
    </row>
    <row r="1956" spans="2:13" ht="15" customHeight="1" x14ac:dyDescent="0.2">
      <c r="B1956" s="10" t="s">
        <v>905</v>
      </c>
      <c r="C1956" s="10" t="s">
        <v>110</v>
      </c>
      <c r="D1956" s="16">
        <f t="shared" ref="D1956:M1956" si="427">D1955-D1948</f>
        <v>901.97559252423594</v>
      </c>
      <c r="E1956" s="16">
        <f t="shared" si="427"/>
        <v>3436.6168201652436</v>
      </c>
      <c r="F1956" s="16">
        <f t="shared" si="427"/>
        <v>5610.9861875738679</v>
      </c>
      <c r="G1956" s="16">
        <f t="shared" si="427"/>
        <v>6542.8587736061381</v>
      </c>
      <c r="H1956" s="16">
        <f t="shared" si="427"/>
        <v>6542.8587736061381</v>
      </c>
      <c r="I1956" s="16">
        <f t="shared" si="427"/>
        <v>6542.8587736061381</v>
      </c>
      <c r="J1956" s="16">
        <f t="shared" si="427"/>
        <v>6542.8587736061381</v>
      </c>
      <c r="K1956" s="16">
        <f t="shared" si="427"/>
        <v>6542.8587736061381</v>
      </c>
      <c r="L1956" s="16">
        <f t="shared" si="427"/>
        <v>6542.8587736061381</v>
      </c>
      <c r="M1956" s="16">
        <f t="shared" si="427"/>
        <v>6542.8587736061381</v>
      </c>
    </row>
    <row r="1957" spans="2:13" ht="15" customHeight="1" x14ac:dyDescent="0.2">
      <c r="B1957" s="10" t="s">
        <v>906</v>
      </c>
      <c r="C1957" s="10" t="s">
        <v>110</v>
      </c>
      <c r="D1957" s="16">
        <f>MAX(D1956,Inputs!$D$6)*Inputs!$D$19</f>
        <v>270.59267775727079</v>
      </c>
      <c r="E1957" s="16">
        <f>MAX(E1956,Inputs!$D$6)*Inputs!$D$19</f>
        <v>1030.9850460495729</v>
      </c>
      <c r="F1957" s="16">
        <f>MAX(F1956,Inputs!$D$6)*Inputs!$D$19</f>
        <v>1683.2958562721603</v>
      </c>
      <c r="G1957" s="16">
        <f>MAX(G1956,Inputs!$D$6)*Inputs!$D$19</f>
        <v>1962.8576320818413</v>
      </c>
      <c r="H1957" s="16">
        <f>MAX(H1956,Inputs!$D$6)*Inputs!$D$19</f>
        <v>1962.8576320818413</v>
      </c>
      <c r="I1957" s="16">
        <f>MAX(I1956,Inputs!$D$6)*Inputs!$D$19</f>
        <v>1962.8576320818413</v>
      </c>
      <c r="J1957" s="16">
        <f>MAX(J1956,Inputs!$D$6)*Inputs!$D$19</f>
        <v>1962.8576320818413</v>
      </c>
      <c r="K1957" s="16">
        <f>MAX(K1956,Inputs!$D$6)*Inputs!$D$19</f>
        <v>1962.8576320818413</v>
      </c>
      <c r="L1957" s="16">
        <f>MAX(L1956,Inputs!$D$6)*Inputs!$D$19</f>
        <v>1962.8576320818413</v>
      </c>
      <c r="M1957" s="16">
        <f>MAX(M1956,Inputs!$D$6)*Inputs!$D$19</f>
        <v>1962.8576320818413</v>
      </c>
    </row>
    <row r="1958" spans="2:13" ht="15" customHeight="1" x14ac:dyDescent="0.2">
      <c r="B1958" s="10" t="s">
        <v>907</v>
      </c>
      <c r="C1958" s="10" t="s">
        <v>110</v>
      </c>
      <c r="D1958" s="16">
        <f t="shared" ref="D1958:M1958" si="428">D1951*$D$1964</f>
        <v>234.08963530972923</v>
      </c>
      <c r="E1958" s="16">
        <f t="shared" si="428"/>
        <v>312.11951374630559</v>
      </c>
      <c r="F1958" s="16">
        <f t="shared" si="428"/>
        <v>234.08963530972923</v>
      </c>
      <c r="G1958" s="16">
        <f t="shared" si="428"/>
        <v>0</v>
      </c>
      <c r="H1958" s="16">
        <f t="shared" si="428"/>
        <v>0</v>
      </c>
      <c r="I1958" s="16">
        <f t="shared" si="428"/>
        <v>0</v>
      </c>
      <c r="J1958" s="16">
        <f t="shared" si="428"/>
        <v>0</v>
      </c>
      <c r="K1958" s="16">
        <f t="shared" si="428"/>
        <v>0</v>
      </c>
      <c r="L1958" s="16">
        <f t="shared" si="428"/>
        <v>0</v>
      </c>
      <c r="M1958" s="16">
        <f t="shared" si="428"/>
        <v>0</v>
      </c>
    </row>
    <row r="1959" spans="2:13" ht="15" customHeight="1" x14ac:dyDescent="0.2">
      <c r="B1959" s="10" t="s">
        <v>908</v>
      </c>
      <c r="C1959" s="10" t="s">
        <v>110</v>
      </c>
      <c r="D1959" s="16">
        <f t="shared" ref="D1959:M1959" si="429">D1955-D1957-D1949-D1950-D1958</f>
        <v>-13346.698054756476</v>
      </c>
      <c r="E1959" s="16">
        <f t="shared" si="429"/>
        <v>-11731.581518075796</v>
      </c>
      <c r="F1959" s="16">
        <f t="shared" si="429"/>
        <v>-564.36312114067425</v>
      </c>
      <c r="G1959" s="16">
        <f t="shared" si="429"/>
        <v>15122.204133655105</v>
      </c>
      <c r="H1959" s="16">
        <f t="shared" si="429"/>
        <v>2878.4207604139956</v>
      </c>
      <c r="I1959" s="16">
        <f t="shared" si="429"/>
        <v>-2082.1753135221006</v>
      </c>
      <c r="J1959" s="16">
        <f t="shared" si="429"/>
        <v>2878.4207604139956</v>
      </c>
      <c r="K1959" s="16">
        <f t="shared" si="429"/>
        <v>15122.204133655105</v>
      </c>
      <c r="L1959" s="16">
        <f t="shared" si="429"/>
        <v>2878.4207604139956</v>
      </c>
      <c r="M1959" s="16">
        <f t="shared" si="429"/>
        <v>-2082.1753135221006</v>
      </c>
    </row>
    <row r="1960" spans="2:13" ht="15" customHeight="1" x14ac:dyDescent="0.2">
      <c r="B1960" s="10" t="s">
        <v>909</v>
      </c>
      <c r="C1960" s="10" t="s">
        <v>110</v>
      </c>
      <c r="D1960" s="16">
        <f>D1959/(Inputs!$D$7+$D$1966)^D1940</f>
        <v>-12467.962563234229</v>
      </c>
      <c r="E1960" s="16">
        <f>E1959/(Inputs!$D$7+$D$1966)^E1940</f>
        <v>-9960.9448693895301</v>
      </c>
      <c r="F1960" s="16">
        <f>F1959/(Inputs!$D$7+$D$1966)^F1940</f>
        <v>-435.6505302156072</v>
      </c>
      <c r="G1960" s="16">
        <f>G1959/(Inputs!$D$7+$D$1966)^G1940</f>
        <v>10612.809365154053</v>
      </c>
      <c r="H1960" s="16">
        <f>H1959/(Inputs!$D$7+$D$1966)^H1940</f>
        <v>1836.5602986451186</v>
      </c>
      <c r="I1960" s="16">
        <f>I1959/(Inputs!$D$7+$D$1966)^I1940</f>
        <v>-1207.5094166244637</v>
      </c>
      <c r="J1960" s="16">
        <f>J1959/(Inputs!$D$7+$D$1966)^J1940</f>
        <v>1517.6204079472579</v>
      </c>
      <c r="K1960" s="16">
        <f>K1959/(Inputs!$D$7+$D$1966)^K1940</f>
        <v>7248.6915956246503</v>
      </c>
      <c r="L1960" s="16">
        <f>L1959/(Inputs!$D$7+$D$1966)^L1940</f>
        <v>1254.3953955639083</v>
      </c>
      <c r="M1960" s="16">
        <f>M1959/(Inputs!$D$7+$D$1966)^M1940</f>
        <v>-824.74517903453545</v>
      </c>
    </row>
    <row r="1961" spans="2:13" ht="15" customHeight="1" x14ac:dyDescent="0.2">
      <c r="B1961" s="3" t="s">
        <v>910</v>
      </c>
      <c r="C1961" s="10" t="s">
        <v>896</v>
      </c>
      <c r="D1961" s="28">
        <f>(D1947*$D$1965-D1951)/(Inputs!$D$7+$D$1966)^D1940</f>
        <v>64.330856237917445</v>
      </c>
      <c r="E1961" s="28">
        <f>(E1947*$D$1965-E1951)/(Inputs!$D$7+$D$1966)^E1940</f>
        <v>236.42380139523098</v>
      </c>
      <c r="F1961" s="28">
        <f>(F1947*$D$1965-F1951)/(Inputs!$D$7+$D$1966)^F1940</f>
        <v>356.83568908039001</v>
      </c>
      <c r="G1961" s="28">
        <f>(G1947*$D$1965-G1951)/(Inputs!$D$7+$D$1966)^G1940</f>
        <v>383.60556091707036</v>
      </c>
      <c r="H1961" s="28">
        <f>(H1947*$D$1965-H1951)/(Inputs!$D$7+$D$1966)^H1940</f>
        <v>348.75507884227414</v>
      </c>
      <c r="I1961" s="28">
        <f>(I1947*$D$1965-I1951)/(Inputs!$D$7+$D$1966)^I1940</f>
        <v>316.98802826091918</v>
      </c>
      <c r="J1961" s="28">
        <f>(J1947*$D$1965-J1951)/(Inputs!$D$7+$D$1966)^J1940</f>
        <v>288.18973459066564</v>
      </c>
      <c r="K1961" s="28">
        <f>(K1947*$D$1965-K1951)/(Inputs!$D$7+$D$1966)^K1940</f>
        <v>262.00775965922423</v>
      </c>
      <c r="L1961" s="28">
        <f>(L1947*$D$1965-L1951)/(Inputs!$D$7+$D$1966)^L1940</f>
        <v>238.2044114761793</v>
      </c>
      <c r="M1961" s="28">
        <f>(M1947*$D$1965-M1951)/(Inputs!$D$7+$D$1966)^M1940</f>
        <v>216.50708849185102</v>
      </c>
    </row>
    <row r="1962" spans="2:13" ht="15" customHeight="1" x14ac:dyDescent="0.2">
      <c r="B1962" s="10" t="s">
        <v>911</v>
      </c>
      <c r="C1962" s="10" t="s">
        <v>110</v>
      </c>
      <c r="D1962" s="16">
        <f>(-D1949-D1950)/(Inputs!$D$7+$D$1966)^D1940</f>
        <v>-14536.447397527105</v>
      </c>
      <c r="E1962" s="16">
        <f>(-E1949-E1950)/(Inputs!$D$7+$D$1966)^E1940</f>
        <v>-17616.488200475756</v>
      </c>
      <c r="F1962" s="16">
        <f>(-F1949-F1950)/(Inputs!$D$7+$D$1966)^F1940</f>
        <v>-12012.025548964448</v>
      </c>
      <c r="G1962" s="16">
        <f>(-G1949-G1950)/(Inputs!$D$7+$D$1966)^G1940</f>
        <v>-1851.359915178487</v>
      </c>
      <c r="H1962" s="16">
        <f>(-H1949-H1950)/(Inputs!$D$7+$D$1966)^H1940</f>
        <v>-9495.2419037884629</v>
      </c>
      <c r="I1962" s="16">
        <f>(-I1949-I1950)/(Inputs!$D$7+$D$1966)^I1940</f>
        <v>-11507.131858586603</v>
      </c>
      <c r="J1962" s="16">
        <f>(-J1949-J1950)/(Inputs!$D$7+$D$1966)^J1940</f>
        <v>-7846.2835672839774</v>
      </c>
      <c r="K1962" s="16">
        <f>(-K1949-K1950)/(Inputs!$D$7+$D$1966)^K1940</f>
        <v>-1264.5037327904422</v>
      </c>
      <c r="L1962" s="16">
        <f>(-L1949-L1950)/(Inputs!$D$7+$D$1966)^L1940</f>
        <v>-6485.3779822337692</v>
      </c>
      <c r="M1962" s="16">
        <f>(-M1949-M1950)/(Inputs!$D$7+$D$1966)^M1940</f>
        <v>-7859.5258920747219</v>
      </c>
    </row>
    <row r="1963" spans="2:13" ht="15" customHeight="1" x14ac:dyDescent="0.2">
      <c r="B1963" s="10" t="s">
        <v>912</v>
      </c>
      <c r="C1963" s="10" t="s">
        <v>110</v>
      </c>
      <c r="D1963" s="16">
        <f>Prices!I13</f>
        <v>15045.135406218656</v>
      </c>
    </row>
    <row r="1964" spans="2:13" ht="15" customHeight="1" x14ac:dyDescent="0.2">
      <c r="B1964" s="3" t="s">
        <v>913</v>
      </c>
      <c r="C1964" s="10" t="s">
        <v>914</v>
      </c>
      <c r="D1964" s="28">
        <f>IF(J1971&gt;=J1967,J1971,(D1963-J1970)/J1969)</f>
        <v>36.083180779919722</v>
      </c>
      <c r="G1964" s="99" t="s">
        <v>915</v>
      </c>
      <c r="H1964" s="91"/>
      <c r="I1964" s="91"/>
      <c r="J1964" s="28">
        <f>D1964*Inputs!$D$15</f>
        <v>25.182451866305971</v>
      </c>
      <c r="K1964" s="99" t="s">
        <v>916</v>
      </c>
      <c r="L1964" s="91"/>
      <c r="M1964" s="91"/>
    </row>
    <row r="1965" spans="2:13" ht="15" customHeight="1" x14ac:dyDescent="0.2">
      <c r="B1965" s="10" t="s">
        <v>917</v>
      </c>
      <c r="C1965" s="10" t="s">
        <v>104</v>
      </c>
      <c r="D1965" s="30">
        <f>Inputs!$D$81</f>
        <v>0.6</v>
      </c>
      <c r="G1965" s="99" t="s">
        <v>918</v>
      </c>
      <c r="H1965" s="91"/>
      <c r="I1965" s="91"/>
      <c r="J1965" s="28">
        <f>IF(-D1976/D1975&gt;=J1967,-D1976/D1975,-J1970/J1969)</f>
        <v>32.284876648616972</v>
      </c>
      <c r="K1965" s="99" t="s">
        <v>919</v>
      </c>
      <c r="L1965" s="91"/>
      <c r="M1965" s="91"/>
    </row>
    <row r="1966" spans="2:13" ht="15" customHeight="1" x14ac:dyDescent="0.2">
      <c r="B1966" s="10" t="s">
        <v>920</v>
      </c>
      <c r="C1966" s="10" t="s">
        <v>104</v>
      </c>
      <c r="D1966" s="30">
        <f>Inputs!$D$82</f>
        <v>0.1</v>
      </c>
      <c r="G1966" s="99" t="s">
        <v>918</v>
      </c>
      <c r="H1966" s="91"/>
      <c r="I1966" s="91"/>
      <c r="J1966" s="28">
        <f>J1965*Inputs!$D$15</f>
        <v>22.531615413069783</v>
      </c>
      <c r="K1966" s="99" t="s">
        <v>916</v>
      </c>
      <c r="L1966" s="91"/>
      <c r="M1966" s="91"/>
    </row>
    <row r="1967" spans="2:13" ht="15" customHeight="1" x14ac:dyDescent="0.2">
      <c r="B1967" s="3" t="s">
        <v>921</v>
      </c>
      <c r="C1967" s="10" t="s">
        <v>848</v>
      </c>
      <c r="D1967" s="28">
        <f>Capital!$D$13</f>
        <v>57.347931490590682</v>
      </c>
      <c r="G1967" s="99" t="s">
        <v>922</v>
      </c>
      <c r="H1967" s="91"/>
      <c r="I1967" s="91"/>
      <c r="J1967" s="28">
        <f>($D$1967/Inputs!$D$21+$D$1968/Inputs!$D$22)/$D$1965</f>
        <v>24.113076913095469</v>
      </c>
      <c r="K1967" s="99" t="s">
        <v>919</v>
      </c>
      <c r="L1967" s="91"/>
      <c r="M1967" s="91"/>
    </row>
    <row r="1968" spans="2:13" ht="15" customHeight="1" x14ac:dyDescent="0.2">
      <c r="B1968" s="3" t="s">
        <v>923</v>
      </c>
      <c r="C1968" s="10" t="s">
        <v>848</v>
      </c>
      <c r="D1968" s="28">
        <f>Capital!$D$14</f>
        <v>2.6172655041921802</v>
      </c>
    </row>
    <row r="1969" spans="1:13" ht="15" customHeight="1" x14ac:dyDescent="0.2">
      <c r="B1969" s="10" t="s">
        <v>924</v>
      </c>
      <c r="C1969" s="10" t="s">
        <v>896</v>
      </c>
      <c r="D1969" s="28">
        <f>(M1942*(Inputs!$D$7+Inputs!$D$20)*$D$1965*(Inputs!$D$7-Inputs!$D$19)-M1942*Inputs!$D$20*Inputs!$D$23)/($D$1966-Inputs!$D$20)/(Inputs!$D$7+$D$1966)^M1940</f>
        <v>2068.2441036763203</v>
      </c>
      <c r="G1969" s="92" t="s">
        <v>910</v>
      </c>
      <c r="H1969" s="91"/>
      <c r="I1969" s="91"/>
      <c r="J1969" s="28">
        <f>SUM(D1961:M1961)+(M1942*(Inputs!$D$7+Inputs!$D$20)*$D$1965-M1942*Inputs!$D$20*Inputs!$D$23)/($D$1966-Inputs!$D$20)/(Inputs!$D$7+$D$1966)^M1940</f>
        <v>5667.7711754446318</v>
      </c>
      <c r="K1969" s="99" t="s">
        <v>896</v>
      </c>
      <c r="L1969" s="91"/>
      <c r="M1969" s="91"/>
    </row>
    <row r="1970" spans="1:13" ht="15" customHeight="1" x14ac:dyDescent="0.2">
      <c r="B1970" s="10" t="s">
        <v>925</v>
      </c>
      <c r="C1970" s="10" t="s">
        <v>110</v>
      </c>
      <c r="D1970" s="16">
        <f>(D1973*Inputs!$D$19-D1973-D1974)/($D$1966-Inputs!$D$20)/(Inputs!$D$7+$D$1966)^M1940</f>
        <v>-57156.954988173631</v>
      </c>
      <c r="G1970" s="92" t="s">
        <v>926</v>
      </c>
      <c r="H1970" s="91"/>
      <c r="I1970" s="91"/>
      <c r="J1970" s="16">
        <f>SUM(D1962:M1962)-(D1973+D1974)/($D$1966-Inputs!$D$20)/(Inputs!$D$7+$D$1966)^M1940</f>
        <v>-169036.01450291832</v>
      </c>
      <c r="K1970" s="99" t="s">
        <v>110</v>
      </c>
      <c r="L1970" s="91"/>
      <c r="M1970" s="91"/>
    </row>
    <row r="1971" spans="1:13" ht="15" customHeight="1" x14ac:dyDescent="0.2">
      <c r="B1971" s="10" t="s">
        <v>927</v>
      </c>
      <c r="C1971" s="10" t="s">
        <v>928</v>
      </c>
      <c r="D1971" s="16">
        <f>(M1942*(Inputs!$D$7+Inputs!$D$20)*$D$1964*$D$1965-D1973)-MAX((M1942*(Inputs!$D$7+Inputs!$D$20)*$D$1964*$D$1965-D1973),Inputs!$D$6)*Inputs!$D$19-D1974-M1942*Inputs!$D$20*$D$1964*Inputs!$D$23</f>
        <v>3308.248947449656</v>
      </c>
      <c r="G1971" s="99" t="s">
        <v>929</v>
      </c>
      <c r="H1971" s="91"/>
      <c r="I1971" s="91"/>
      <c r="J1971" s="28">
        <f>(D1963-D1976)/D1975</f>
        <v>36.083180779919722</v>
      </c>
      <c r="K1971" s="99" t="s">
        <v>919</v>
      </c>
      <c r="L1971" s="91"/>
      <c r="M1971" s="91"/>
    </row>
    <row r="1972" spans="1:13" ht="15" customHeight="1" x14ac:dyDescent="0.2">
      <c r="B1972" s="10" t="s">
        <v>930</v>
      </c>
      <c r="C1972" s="10" t="s">
        <v>110</v>
      </c>
      <c r="D1972" s="16">
        <f>D1971/($D$1966-Inputs!$D$20)</f>
        <v>44109.985965995409</v>
      </c>
      <c r="G1972" s="99" t="s">
        <v>931</v>
      </c>
      <c r="H1972" s="91"/>
      <c r="I1972" s="91"/>
      <c r="J1972" s="16">
        <f>MIN(D1956:M1956,(M1942*(Inputs!$D$7+Inputs!$D$20)*$D$1964*$D$1965-D1973))</f>
        <v>901.97559252423594</v>
      </c>
      <c r="K1972" s="99" t="s">
        <v>110</v>
      </c>
      <c r="L1972" s="91"/>
      <c r="M1972" s="91"/>
    </row>
    <row r="1973" spans="1:13" ht="15" customHeight="1" x14ac:dyDescent="0.2">
      <c r="B1973" s="10" t="s">
        <v>932</v>
      </c>
      <c r="C1973" s="10" t="s">
        <v>928</v>
      </c>
      <c r="D1973" s="16">
        <f>M1942*(Inputs!$D$7+Inputs!$D$20)*($D$1967/Inputs!$D$21+$D$1968/Inputs!$D$22)</f>
        <v>13509.71303671543</v>
      </c>
      <c r="G1973" s="99" t="s">
        <v>933</v>
      </c>
      <c r="H1973" s="91"/>
      <c r="I1973" s="91"/>
      <c r="J1973" s="31" t="str">
        <f>IF(J1972&lt;Inputs!$D$6,"breached","satisfied")</f>
        <v>satisfied</v>
      </c>
      <c r="K1973" s="99" t="s">
        <v>934</v>
      </c>
      <c r="L1973" s="91"/>
      <c r="M1973" s="91"/>
    </row>
    <row r="1974" spans="1:13" ht="15" customHeight="1" x14ac:dyDescent="0.2">
      <c r="B1974" s="10" t="s">
        <v>935</v>
      </c>
      <c r="C1974" s="10" t="s">
        <v>928</v>
      </c>
      <c r="D1974" s="16">
        <f>M1942*Inputs!$D$20*($D$1967+$D$1968)</f>
        <v>1365.7073615561799</v>
      </c>
    </row>
    <row r="1975" spans="1:13" ht="15" customHeight="1" x14ac:dyDescent="0.2">
      <c r="B1975" s="10" t="s">
        <v>936</v>
      </c>
      <c r="C1975" s="10" t="s">
        <v>896</v>
      </c>
      <c r="D1975" s="28">
        <f>SUM(D1952:M1952)+D1969</f>
        <v>3961.0138857044249</v>
      </c>
      <c r="G1975" s="99" t="s">
        <v>937</v>
      </c>
      <c r="H1975" s="91"/>
      <c r="I1975" s="91"/>
      <c r="J1975" s="16">
        <f>D1977-D1963</f>
        <v>2.5465851649641991E-11</v>
      </c>
      <c r="K1975" s="99" t="s">
        <v>110</v>
      </c>
      <c r="L1975" s="91"/>
      <c r="M1975" s="91"/>
    </row>
    <row r="1976" spans="1:13" ht="15" customHeight="1" x14ac:dyDescent="0.2">
      <c r="B1976" s="10" t="s">
        <v>938</v>
      </c>
      <c r="C1976" s="10" t="s">
        <v>110</v>
      </c>
      <c r="D1976" s="16">
        <f>SUM(D1953:M1953)+D1970</f>
        <v>-127880.84470342637</v>
      </c>
    </row>
    <row r="1977" spans="1:13" ht="15" customHeight="1" x14ac:dyDescent="0.2">
      <c r="B1977" s="10" t="s">
        <v>939</v>
      </c>
      <c r="C1977" s="10" t="s">
        <v>110</v>
      </c>
      <c r="D1977" s="16">
        <f>SUM(D1960:M1960)+D1972/(Inputs!$D$7+$D$1966)^M1940</f>
        <v>15045.135406218682</v>
      </c>
    </row>
    <row r="1978" spans="1:13" ht="15" customHeight="1" x14ac:dyDescent="0.2">
      <c r="B1978" s="10" t="s">
        <v>940</v>
      </c>
      <c r="C1978" s="10" t="s">
        <v>104</v>
      </c>
      <c r="D1978" s="30">
        <f>IF(ABS(D1963)&gt;Inputs!$D$6,D1977/D1963-Inputs!$D$7,Inputs!$D$6)</f>
        <v>1.7763568394002505E-15</v>
      </c>
    </row>
    <row r="1979" spans="1:13" ht="15" customHeight="1" x14ac:dyDescent="0.2">
      <c r="B1979" s="10" t="s">
        <v>941</v>
      </c>
      <c r="C1979" s="10" t="s">
        <v>104</v>
      </c>
      <c r="D1979" s="30">
        <f>IF(ABS(D1977)&gt;Inputs!$D$119,D1972/(Inputs!$D$7+$D$1966)^M1940/D1977,Inputs!$D$6)</f>
        <v>1.1612970192717791</v>
      </c>
    </row>
    <row r="1980" spans="1:13" ht="15" customHeight="1" x14ac:dyDescent="0.2">
      <c r="B1980" s="10" t="s">
        <v>942</v>
      </c>
      <c r="C1980" s="10" t="s">
        <v>943</v>
      </c>
      <c r="D1980" s="26">
        <f>$D$1964*Inputs!$D$8/Prices!$P$6/(Inputs!$D$26/Inputs!$D$25)/Inputs!$D$11/Inputs!$D$56</f>
        <v>6.5618360282959287</v>
      </c>
    </row>
    <row r="1984" spans="1:13" ht="15" customHeight="1" x14ac:dyDescent="0.2">
      <c r="A1984" s="104" t="s">
        <v>986</v>
      </c>
      <c r="B1984" s="10" t="s">
        <v>886</v>
      </c>
      <c r="C1984" s="10" t="s">
        <v>107</v>
      </c>
      <c r="D1984" s="28">
        <f>Inputs!$D$60</f>
        <v>1</v>
      </c>
      <c r="E1984" s="28">
        <f>Inputs!$D$62</f>
        <v>2</v>
      </c>
      <c r="F1984" s="28">
        <f>Inputs!$D$64</f>
        <v>3</v>
      </c>
      <c r="G1984" s="28">
        <f>Inputs!$D$66</f>
        <v>4</v>
      </c>
      <c r="H1984" s="28">
        <f>Inputs!$D$68</f>
        <v>5</v>
      </c>
      <c r="I1984" s="28">
        <f>Inputs!$D$70</f>
        <v>6</v>
      </c>
      <c r="J1984" s="28">
        <f>Inputs!$D$72</f>
        <v>7</v>
      </c>
      <c r="K1984" s="28">
        <f>Inputs!$D$74</f>
        <v>8</v>
      </c>
      <c r="L1984" s="28">
        <f>Inputs!$D$76</f>
        <v>9</v>
      </c>
      <c r="M1984" s="28">
        <f>Inputs!$D$78</f>
        <v>10</v>
      </c>
    </row>
    <row r="1985" spans="1:13" ht="15" customHeight="1" x14ac:dyDescent="0.2">
      <c r="A1985" s="91"/>
      <c r="B1985" s="10" t="s">
        <v>887</v>
      </c>
      <c r="C1985" s="10" t="s">
        <v>161</v>
      </c>
      <c r="D1985" s="29">
        <f>Inputs!$D$61</f>
        <v>46568</v>
      </c>
      <c r="E1985" s="29">
        <f>Inputs!$D$63</f>
        <v>46934</v>
      </c>
      <c r="F1985" s="29">
        <f>Inputs!$D$65</f>
        <v>47299</v>
      </c>
      <c r="G1985" s="29">
        <f>Inputs!$D$67</f>
        <v>47664</v>
      </c>
      <c r="H1985" s="29">
        <f>Inputs!$D$69</f>
        <v>48029</v>
      </c>
      <c r="I1985" s="29">
        <f>Inputs!$D$71</f>
        <v>48395</v>
      </c>
      <c r="J1985" s="29">
        <f>Inputs!$D$73</f>
        <v>48760</v>
      </c>
      <c r="K1985" s="29">
        <f>Inputs!$D$75</f>
        <v>49125</v>
      </c>
      <c r="L1985" s="29">
        <f>Inputs!$D$77</f>
        <v>49490</v>
      </c>
      <c r="M1985" s="29">
        <f>Inputs!$D$79</f>
        <v>49856</v>
      </c>
    </row>
    <row r="1986" spans="1:13" ht="15" customHeight="1" x14ac:dyDescent="0.2">
      <c r="A1986" s="91"/>
      <c r="B1986" s="10" t="s">
        <v>888</v>
      </c>
      <c r="C1986" s="10" t="s">
        <v>107</v>
      </c>
      <c r="D1986" s="28">
        <f>(D1985-Inputs!$D$13)/Inputs!$D$10</f>
        <v>0.71457905544147848</v>
      </c>
      <c r="E1986" s="28">
        <f>(E1985-Inputs!$D$13)/Inputs!$D$10</f>
        <v>1.7166324435318274</v>
      </c>
      <c r="F1986" s="28">
        <f>(F1985-Inputs!$D$13)/Inputs!$D$10</f>
        <v>2.7159479808350446</v>
      </c>
      <c r="G1986" s="28">
        <f>(G1985-Inputs!$D$13)/Inputs!$D$10</f>
        <v>3.7152635181382614</v>
      </c>
      <c r="H1986" s="28">
        <f>(H1985-Inputs!$D$13)/Inputs!$D$10</f>
        <v>4.7145790554414786</v>
      </c>
      <c r="I1986" s="28">
        <f>(I1985-Inputs!$D$13)/Inputs!$D$10</f>
        <v>5.7166324435318279</v>
      </c>
      <c r="J1986" s="28">
        <f>(J1985-Inputs!$D$13)/Inputs!$D$10</f>
        <v>6.7159479808350442</v>
      </c>
      <c r="K1986" s="28">
        <f>(K1985-Inputs!$D$13)/Inputs!$D$10</f>
        <v>7.7152635181382614</v>
      </c>
      <c r="L1986" s="28">
        <f>(L1985-Inputs!$D$13)/Inputs!$D$10</f>
        <v>8.7145790554414777</v>
      </c>
      <c r="M1986" s="28">
        <f>(M1985-Inputs!$D$13)/Inputs!$D$10</f>
        <v>9.716632443531827</v>
      </c>
    </row>
    <row r="1987" spans="1:13" ht="15" customHeight="1" x14ac:dyDescent="0.2">
      <c r="A1987" s="91"/>
      <c r="B1987" s="10" t="s">
        <v>889</v>
      </c>
      <c r="C1987" s="10" t="s">
        <v>107</v>
      </c>
      <c r="D1987" s="28">
        <f>D1986</f>
        <v>0.71457905544147848</v>
      </c>
      <c r="E1987" s="28">
        <f>Inputs!$D$7</f>
        <v>1</v>
      </c>
      <c r="F1987" s="28">
        <f>Inputs!$D$7</f>
        <v>1</v>
      </c>
      <c r="G1987" s="28">
        <f>Inputs!$D$7</f>
        <v>1</v>
      </c>
      <c r="H1987" s="28">
        <f>Inputs!$D$7</f>
        <v>1</v>
      </c>
      <c r="I1987" s="28">
        <f>Inputs!$D$7</f>
        <v>1</v>
      </c>
      <c r="J1987" s="28">
        <f>Inputs!$D$7</f>
        <v>1</v>
      </c>
      <c r="K1987" s="28">
        <f>Inputs!$D$7</f>
        <v>1</v>
      </c>
      <c r="L1987" s="28">
        <f>Inputs!$D$7</f>
        <v>1</v>
      </c>
      <c r="M1987" s="28">
        <f>Inputs!$D$7</f>
        <v>1</v>
      </c>
    </row>
    <row r="1988" spans="1:13" ht="15" customHeight="1" x14ac:dyDescent="0.2">
      <c r="A1988" s="91"/>
      <c r="B1988" s="3" t="s">
        <v>890</v>
      </c>
      <c r="C1988" s="10" t="s">
        <v>199</v>
      </c>
      <c r="D1988" s="28">
        <f>Inputs!$D$24+(Inputs!$D$93-Inputs!$D$24)*Inputs!$D$96</f>
        <v>279.10000000000002</v>
      </c>
      <c r="E1988" s="28">
        <f>Inputs!$D$24+(Inputs!$D$93-Inputs!$D$24)*Inputs!$D$97</f>
        <v>900.7</v>
      </c>
      <c r="F1988" s="28">
        <f>Inputs!$D$24+(Inputs!$D$93-Inputs!$D$24)*Inputs!$D$98</f>
        <v>1366.8999999999999</v>
      </c>
      <c r="G1988" s="28">
        <f>Inputs!$D$24+(Inputs!$D$93-Inputs!$D$24)*Inputs!$D$99</f>
        <v>1600</v>
      </c>
      <c r="H1988" s="28">
        <f>Inputs!$D$24+(Inputs!$D$93-Inputs!$D$24)*Inputs!$D$100</f>
        <v>1600</v>
      </c>
      <c r="I1988" s="28">
        <f>Inputs!$D$24+(Inputs!$D$93-Inputs!$D$24)*Inputs!$D$101</f>
        <v>1600</v>
      </c>
      <c r="J1988" s="28">
        <f>Inputs!$D$24+(Inputs!$D$93-Inputs!$D$24)*Inputs!$D$102</f>
        <v>1600</v>
      </c>
      <c r="K1988" s="28">
        <f>Inputs!$D$24+(Inputs!$D$93-Inputs!$D$24)*Inputs!$D$103</f>
        <v>1600</v>
      </c>
      <c r="L1988" s="28">
        <f>Inputs!$D$24+(Inputs!$D$93-Inputs!$D$24)*Inputs!$D$104</f>
        <v>1600</v>
      </c>
      <c r="M1988" s="28">
        <f>Inputs!$D$24+(Inputs!$D$93-Inputs!$D$24)*Inputs!$D$105</f>
        <v>1600</v>
      </c>
    </row>
    <row r="1989" spans="1:13" ht="15" customHeight="1" x14ac:dyDescent="0.2">
      <c r="A1989" s="91"/>
      <c r="B1989" s="10" t="s">
        <v>891</v>
      </c>
      <c r="C1989" s="10" t="s">
        <v>199</v>
      </c>
      <c r="D1989" s="28">
        <f>Inputs!$D$24</f>
        <v>46</v>
      </c>
      <c r="E1989" s="28">
        <f t="shared" ref="E1989:M1989" si="430">D1988</f>
        <v>279.10000000000002</v>
      </c>
      <c r="F1989" s="28">
        <f t="shared" si="430"/>
        <v>900.7</v>
      </c>
      <c r="G1989" s="28">
        <f t="shared" si="430"/>
        <v>1366.8999999999999</v>
      </c>
      <c r="H1989" s="28">
        <f t="shared" si="430"/>
        <v>1600</v>
      </c>
      <c r="I1989" s="28">
        <f t="shared" si="430"/>
        <v>1600</v>
      </c>
      <c r="J1989" s="28">
        <f t="shared" si="430"/>
        <v>1600</v>
      </c>
      <c r="K1989" s="28">
        <f t="shared" si="430"/>
        <v>1600</v>
      </c>
      <c r="L1989" s="28">
        <f t="shared" si="430"/>
        <v>1600</v>
      </c>
      <c r="M1989" s="28">
        <f t="shared" si="430"/>
        <v>1600</v>
      </c>
    </row>
    <row r="1990" spans="1:13" ht="15" customHeight="1" x14ac:dyDescent="0.2">
      <c r="B1990" s="10" t="s">
        <v>892</v>
      </c>
      <c r="C1990" s="10" t="s">
        <v>199</v>
      </c>
      <c r="D1990" s="28">
        <f>(D1989+D1988)*Inputs!$D$12</f>
        <v>162.55000000000001</v>
      </c>
      <c r="E1990" s="28">
        <f>(E1989+E1988)*Inputs!$D$12</f>
        <v>589.90000000000009</v>
      </c>
      <c r="F1990" s="28">
        <f>(F1989+F1988)*Inputs!$D$12</f>
        <v>1133.8</v>
      </c>
      <c r="G1990" s="28">
        <f>(G1989+G1988)*Inputs!$D$12</f>
        <v>1483.4499999999998</v>
      </c>
      <c r="H1990" s="28">
        <f>(H1989+H1988)*Inputs!$D$12</f>
        <v>1600</v>
      </c>
      <c r="I1990" s="28">
        <f>(I1989+I1988)*Inputs!$D$12</f>
        <v>1600</v>
      </c>
      <c r="J1990" s="28">
        <f>(J1989+J1988)*Inputs!$D$12</f>
        <v>1600</v>
      </c>
      <c r="K1990" s="28">
        <f>(K1989+K1988)*Inputs!$D$12</f>
        <v>1600</v>
      </c>
      <c r="L1990" s="28">
        <f>(L1989+L1988)*Inputs!$D$12</f>
        <v>1600</v>
      </c>
      <c r="M1990" s="28">
        <f>(M1989+M1988)*Inputs!$D$12</f>
        <v>1600</v>
      </c>
    </row>
    <row r="1991" spans="1:13" ht="15" customHeight="1" x14ac:dyDescent="0.2">
      <c r="B1991" s="10" t="s">
        <v>893</v>
      </c>
      <c r="C1991" s="10" t="s">
        <v>199</v>
      </c>
      <c r="D1991" s="28">
        <f t="shared" ref="D1991:M1991" si="431">D1988-D1989</f>
        <v>233.10000000000002</v>
      </c>
      <c r="E1991" s="28">
        <f t="shared" si="431"/>
        <v>621.6</v>
      </c>
      <c r="F1991" s="28">
        <f t="shared" si="431"/>
        <v>466.19999999999982</v>
      </c>
      <c r="G1991" s="28">
        <f t="shared" si="431"/>
        <v>233.10000000000014</v>
      </c>
      <c r="H1991" s="28">
        <f t="shared" si="431"/>
        <v>0</v>
      </c>
      <c r="I1991" s="28">
        <f t="shared" si="431"/>
        <v>0</v>
      </c>
      <c r="J1991" s="28">
        <f t="shared" si="431"/>
        <v>0</v>
      </c>
      <c r="K1991" s="28">
        <f t="shared" si="431"/>
        <v>0</v>
      </c>
      <c r="L1991" s="28">
        <f t="shared" si="431"/>
        <v>0</v>
      </c>
      <c r="M1991" s="28">
        <f t="shared" si="431"/>
        <v>0</v>
      </c>
    </row>
    <row r="1992" spans="1:13" ht="15" customHeight="1" x14ac:dyDescent="0.2">
      <c r="B1992" s="10" t="s">
        <v>894</v>
      </c>
      <c r="C1992" s="10" t="s">
        <v>199</v>
      </c>
      <c r="D1992" s="28">
        <f>IF(MOD(D1984,Inputs!$D$21)=Inputs!$D$6,Inputs!$D$24,Inputs!$D$6)+SUMPRODUCT(--(D1984&gt;$D$1984:$M$1984),--(MOD(D1984-$D$1984:$M$1984,Inputs!$D$21)=Inputs!$D$6),$D$1991:$M$1991)</f>
        <v>0</v>
      </c>
      <c r="E1992" s="28">
        <f>IF(MOD(E1984,Inputs!$D$21)=Inputs!$D$6,Inputs!$D$24,Inputs!$D$6)+SUMPRODUCT(--(E1984&gt;$D$1984:$M$1984),--(MOD(E1984-$D$1984:$M$1984,Inputs!$D$21)=Inputs!$D$6),$D$1991:$M$1991)</f>
        <v>0</v>
      </c>
      <c r="F1992" s="28">
        <f>IF(MOD(F1984,Inputs!$D$21)=Inputs!$D$6,Inputs!$D$24,Inputs!$D$6)+SUMPRODUCT(--(F1984&gt;$D$1984:$M$1984),--(MOD(F1984-$D$1984:$M$1984,Inputs!$D$21)=Inputs!$D$6),$D$1991:$M$1991)</f>
        <v>0</v>
      </c>
      <c r="G1992" s="28">
        <f>IF(MOD(G1984,Inputs!$D$21)=Inputs!$D$6,Inputs!$D$24,Inputs!$D$6)+SUMPRODUCT(--(G1984&gt;$D$1984:$M$1984),--(MOD(G1984-$D$1984:$M$1984,Inputs!$D$21)=Inputs!$D$6),$D$1991:$M$1991)</f>
        <v>46</v>
      </c>
      <c r="H1992" s="28">
        <f>IF(MOD(H1984,Inputs!$D$21)=Inputs!$D$6,Inputs!$D$24,Inputs!$D$6)+SUMPRODUCT(--(H1984&gt;$D$1984:$M$1984),--(MOD(H1984-$D$1984:$M$1984,Inputs!$D$21)=Inputs!$D$6),$D$1991:$M$1991)</f>
        <v>233.10000000000002</v>
      </c>
      <c r="I1992" s="28">
        <f>IF(MOD(I1984,Inputs!$D$21)=Inputs!$D$6,Inputs!$D$24,Inputs!$D$6)+SUMPRODUCT(--(I1984&gt;$D$1984:$M$1984),--(MOD(I1984-$D$1984:$M$1984,Inputs!$D$21)=Inputs!$D$6),$D$1991:$M$1991)</f>
        <v>621.6</v>
      </c>
      <c r="J1992" s="28">
        <f>IF(MOD(J1984,Inputs!$D$21)=Inputs!$D$6,Inputs!$D$24,Inputs!$D$6)+SUMPRODUCT(--(J1984&gt;$D$1984:$M$1984),--(MOD(J1984-$D$1984:$M$1984,Inputs!$D$21)=Inputs!$D$6),$D$1991:$M$1991)</f>
        <v>466.19999999999982</v>
      </c>
      <c r="K1992" s="28">
        <f>IF(MOD(K1984,Inputs!$D$21)=Inputs!$D$6,Inputs!$D$24,Inputs!$D$6)+SUMPRODUCT(--(K1984&gt;$D$1984:$M$1984),--(MOD(K1984-$D$1984:$M$1984,Inputs!$D$21)=Inputs!$D$6),$D$1991:$M$1991)</f>
        <v>279.10000000000014</v>
      </c>
      <c r="L1992" s="28">
        <f>IF(MOD(L1984,Inputs!$D$21)=Inputs!$D$6,Inputs!$D$24,Inputs!$D$6)+SUMPRODUCT(--(L1984&gt;$D$1984:$M$1984),--(MOD(L1984-$D$1984:$M$1984,Inputs!$D$21)=Inputs!$D$6),$D$1991:$M$1991)</f>
        <v>233.10000000000002</v>
      </c>
      <c r="M1992" s="28">
        <f>IF(MOD(M1984,Inputs!$D$21)=Inputs!$D$6,Inputs!$D$24,Inputs!$D$6)+SUMPRODUCT(--(M1984&gt;$D$1984:$M$1984),--(MOD(M1984-$D$1984:$M$1984,Inputs!$D$21)=Inputs!$D$6),$D$1991:$M$1991)</f>
        <v>621.6</v>
      </c>
    </row>
    <row r="1993" spans="1:13" ht="15" customHeight="1" x14ac:dyDescent="0.2">
      <c r="B1993" s="10" t="s">
        <v>895</v>
      </c>
      <c r="C1993" s="10" t="s">
        <v>896</v>
      </c>
      <c r="D1993" s="28">
        <f t="shared" ref="D1993:M1993" si="432">D1990*D1987</f>
        <v>116.15482546201234</v>
      </c>
      <c r="E1993" s="28">
        <f t="shared" si="432"/>
        <v>589.90000000000009</v>
      </c>
      <c r="F1993" s="28">
        <f t="shared" si="432"/>
        <v>1133.8</v>
      </c>
      <c r="G1993" s="28">
        <f t="shared" si="432"/>
        <v>1483.4499999999998</v>
      </c>
      <c r="H1993" s="28">
        <f t="shared" si="432"/>
        <v>1600</v>
      </c>
      <c r="I1993" s="28">
        <f t="shared" si="432"/>
        <v>1600</v>
      </c>
      <c r="J1993" s="28">
        <f t="shared" si="432"/>
        <v>1600</v>
      </c>
      <c r="K1993" s="28">
        <f t="shared" si="432"/>
        <v>1600</v>
      </c>
      <c r="L1993" s="28">
        <f t="shared" si="432"/>
        <v>1600</v>
      </c>
      <c r="M1993" s="28">
        <f t="shared" si="432"/>
        <v>1600</v>
      </c>
    </row>
    <row r="1994" spans="1:13" ht="15" customHeight="1" x14ac:dyDescent="0.2">
      <c r="B1994" s="10" t="s">
        <v>897</v>
      </c>
      <c r="C1994" s="10" t="s">
        <v>110</v>
      </c>
      <c r="D1994" s="16">
        <f>D1993*($D$2013/Inputs!$D$21+$D$2014/Inputs!$D$22)</f>
        <v>1680.51014411561</v>
      </c>
      <c r="E1994" s="16">
        <f>E1993*($D$2013/Inputs!$D$21+$D$2014/Inputs!$D$22)</f>
        <v>8534.5824426210111</v>
      </c>
      <c r="F1994" s="16">
        <f>F1993*($D$2013/Inputs!$D$21+$D$2014/Inputs!$D$22)</f>
        <v>16403.643962440583</v>
      </c>
      <c r="G1994" s="16">
        <f>G1993*($D$2013/Inputs!$D$21+$D$2014/Inputs!$D$22)</f>
        <v>21462.326368038881</v>
      </c>
      <c r="H1994" s="16">
        <f>H1993*($D$2013/Inputs!$D$21+$D$2014/Inputs!$D$22)</f>
        <v>23148.553836571649</v>
      </c>
      <c r="I1994" s="16">
        <f>I1993*($D$2013/Inputs!$D$21+$D$2014/Inputs!$D$22)</f>
        <v>23148.553836571649</v>
      </c>
      <c r="J1994" s="16">
        <f>J1993*($D$2013/Inputs!$D$21+$D$2014/Inputs!$D$22)</f>
        <v>23148.553836571649</v>
      </c>
      <c r="K1994" s="16">
        <f>K1993*($D$2013/Inputs!$D$21+$D$2014/Inputs!$D$22)</f>
        <v>23148.553836571649</v>
      </c>
      <c r="L1994" s="16">
        <f>L1993*($D$2013/Inputs!$D$21+$D$2014/Inputs!$D$22)</f>
        <v>23148.553836571649</v>
      </c>
      <c r="M1994" s="16">
        <f>M1993*($D$2013/Inputs!$D$21+$D$2014/Inputs!$D$22)</f>
        <v>23148.553836571649</v>
      </c>
    </row>
    <row r="1995" spans="1:13" ht="15" customHeight="1" x14ac:dyDescent="0.2">
      <c r="B1995" s="10" t="s">
        <v>898</v>
      </c>
      <c r="C1995" s="10" t="s">
        <v>110</v>
      </c>
      <c r="D1995" s="16">
        <f t="shared" ref="D1995:M1995" si="433">D1991*($D$2013+$D$2014)</f>
        <v>13977.887419483886</v>
      </c>
      <c r="E1995" s="16">
        <f t="shared" si="433"/>
        <v>37274.36645195703</v>
      </c>
      <c r="F1995" s="16">
        <f t="shared" si="433"/>
        <v>27955.774838967762</v>
      </c>
      <c r="G1995" s="16">
        <f t="shared" si="433"/>
        <v>13977.887419483894</v>
      </c>
      <c r="H1995" s="16">
        <f t="shared" si="433"/>
        <v>0</v>
      </c>
      <c r="I1995" s="16">
        <f t="shared" si="433"/>
        <v>0</v>
      </c>
      <c r="J1995" s="16">
        <f t="shared" si="433"/>
        <v>0</v>
      </c>
      <c r="K1995" s="16">
        <f t="shared" si="433"/>
        <v>0</v>
      </c>
      <c r="L1995" s="16">
        <f t="shared" si="433"/>
        <v>0</v>
      </c>
      <c r="M1995" s="16">
        <f t="shared" si="433"/>
        <v>0</v>
      </c>
    </row>
    <row r="1996" spans="1:13" ht="15" customHeight="1" x14ac:dyDescent="0.2">
      <c r="B1996" s="10" t="s">
        <v>899</v>
      </c>
      <c r="C1996" s="10" t="s">
        <v>110</v>
      </c>
      <c r="D1996" s="16">
        <f t="shared" ref="D1996:M1996" si="434">D1992*$D$2013</f>
        <v>0</v>
      </c>
      <c r="E1996" s="16">
        <f t="shared" si="434"/>
        <v>0</v>
      </c>
      <c r="F1996" s="16">
        <f t="shared" si="434"/>
        <v>0</v>
      </c>
      <c r="G1996" s="16">
        <f t="shared" si="434"/>
        <v>2638.0048485671714</v>
      </c>
      <c r="H1996" s="16">
        <f t="shared" si="434"/>
        <v>13367.802830456689</v>
      </c>
      <c r="I1996" s="16">
        <f t="shared" si="434"/>
        <v>35647.47421455117</v>
      </c>
      <c r="J1996" s="16">
        <f t="shared" si="434"/>
        <v>26735.605660913367</v>
      </c>
      <c r="K1996" s="16">
        <f t="shared" si="434"/>
        <v>16005.807679023867</v>
      </c>
      <c r="L1996" s="16">
        <f t="shared" si="434"/>
        <v>13367.802830456689</v>
      </c>
      <c r="M1996" s="16">
        <f t="shared" si="434"/>
        <v>35647.47421455117</v>
      </c>
    </row>
    <row r="1997" spans="1:13" ht="15" customHeight="1" x14ac:dyDescent="0.2">
      <c r="B1997" s="10" t="s">
        <v>900</v>
      </c>
      <c r="C1997" s="10" t="s">
        <v>199</v>
      </c>
      <c r="D1997" s="28">
        <f>D1991*Inputs!$D$23</f>
        <v>5.8275000000000006</v>
      </c>
      <c r="E1997" s="28">
        <f>E1991*Inputs!$D$23</f>
        <v>15.540000000000001</v>
      </c>
      <c r="F1997" s="28">
        <f>F1991*Inputs!$D$23</f>
        <v>11.654999999999996</v>
      </c>
      <c r="G1997" s="28">
        <f>G1991*Inputs!$D$23</f>
        <v>5.8275000000000041</v>
      </c>
      <c r="H1997" s="28">
        <f>H1991*Inputs!$D$23</f>
        <v>0</v>
      </c>
      <c r="I1997" s="28">
        <f>I1991*Inputs!$D$23</f>
        <v>0</v>
      </c>
      <c r="J1997" s="28">
        <f>J1991*Inputs!$D$23</f>
        <v>0</v>
      </c>
      <c r="K1997" s="28">
        <f>K1991*Inputs!$D$23</f>
        <v>0</v>
      </c>
      <c r="L1997" s="28">
        <f>L1991*Inputs!$D$23</f>
        <v>0</v>
      </c>
      <c r="M1997" s="28">
        <f>M1991*Inputs!$D$23</f>
        <v>0</v>
      </c>
    </row>
    <row r="1998" spans="1:13" ht="15" customHeight="1" x14ac:dyDescent="0.2">
      <c r="B1998" s="3" t="s">
        <v>901</v>
      </c>
      <c r="C1998" s="10" t="s">
        <v>896</v>
      </c>
      <c r="D1998" s="28">
        <f>(D1993*$D$2011*(Inputs!$D$7-Inputs!$D$19)-D1997)/(Inputs!$D$7+$D$2012)^D1986</f>
        <v>50.541318213721269</v>
      </c>
      <c r="E1998" s="28">
        <f>(E1993*$D$2011*(Inputs!$D$7-Inputs!$D$19)-E1997)/(Inputs!$D$7+$D$2012)^E1986</f>
        <v>238.4864713152904</v>
      </c>
      <c r="F1998" s="28">
        <f>(F1993*$D$2011*(Inputs!$D$7-Inputs!$D$19)-F1997)/(Inputs!$D$7+$D$2012)^F1986</f>
        <v>418.74491871678316</v>
      </c>
      <c r="G1998" s="28">
        <f>(G1993*$D$2011*(Inputs!$D$7-Inputs!$D$19)-G1997)/(Inputs!$D$7+$D$2012)^G1986</f>
        <v>490.87392073514752</v>
      </c>
      <c r="H1998" s="28">
        <f>(H1993*$D$2011*(Inputs!$D$7-Inputs!$D$19)-H1997)/(Inputs!$D$7+$D$2012)^H1986</f>
        <v>472.10300862628105</v>
      </c>
      <c r="I1998" s="28">
        <f>(I1993*$D$2011*(Inputs!$D$7-Inputs!$D$19)-I1997)/(Inputs!$D$7+$D$2012)^I1986</f>
        <v>417.68543753228789</v>
      </c>
      <c r="J1998" s="28">
        <f>(J1993*$D$2011*(Inputs!$D$7-Inputs!$D$19)-J1997)/(Inputs!$D$7+$D$2012)^J1986</f>
        <v>369.66405292491049</v>
      </c>
      <c r="K1998" s="28">
        <f>(K1993*$D$2011*(Inputs!$D$7-Inputs!$D$19)-K1997)/(Inputs!$D$7+$D$2012)^K1986</f>
        <v>327.16369723641031</v>
      </c>
      <c r="L1998" s="28">
        <f>(L1993*$D$2011*(Inputs!$D$7-Inputs!$D$19)-L1997)/(Inputs!$D$7+$D$2012)^L1986</f>
        <v>289.54961658427663</v>
      </c>
      <c r="M1998" s="28">
        <f>(M1993*$D$2011*(Inputs!$D$7-Inputs!$D$19)-M1997)/(Inputs!$D$7+$D$2012)^M1986</f>
        <v>256.17430111750662</v>
      </c>
    </row>
    <row r="1999" spans="1:13" ht="15" customHeight="1" x14ac:dyDescent="0.2">
      <c r="B1999" s="10" t="s">
        <v>902</v>
      </c>
      <c r="C1999" s="10" t="s">
        <v>110</v>
      </c>
      <c r="D1999" s="16">
        <f>(D1994*Inputs!$D$19-D1995-D1996)/(Inputs!$D$7+$D$2012)^D1986</f>
        <v>-12346.937146613671</v>
      </c>
      <c r="E1999" s="16">
        <f>(E1994*Inputs!$D$19-E1995-E1996)/(Inputs!$D$7+$D$2012)^E1986</f>
        <v>-28144.165592831177</v>
      </c>
      <c r="F1999" s="16">
        <f>(F1994*Inputs!$D$19-F1995-F1996)/(Inputs!$D$7+$D$2012)^F1986</f>
        <v>-16528.13772562052</v>
      </c>
      <c r="G1999" s="16">
        <f>(G1994*Inputs!$D$19-G1995-G1996)/(Inputs!$D$7+$D$2012)^G1986</f>
        <v>-6462.9033875784253</v>
      </c>
      <c r="H1999" s="16">
        <f>(H1994*Inputs!$D$19-H1995-H1996)/(Inputs!$D$7+$D$2012)^H1986</f>
        <v>-3610.0349541710043</v>
      </c>
      <c r="I1999" s="16">
        <f>(I1994*Inputs!$D$19-I1995-I1996)/(Inputs!$D$7+$D$2012)^I1986</f>
        <v>-14272.365134506323</v>
      </c>
      <c r="J1999" s="16">
        <f>(J1994*Inputs!$D$19-J1995-J1996)/(Inputs!$D$7+$D$2012)^J1986</f>
        <v>-8709.5665200501735</v>
      </c>
      <c r="K1999" s="16">
        <f>(K1994*Inputs!$D$19-K1995-K1996)/(Inputs!$D$7+$D$2012)^K1986</f>
        <v>-3529.1777141306115</v>
      </c>
      <c r="L1999" s="16">
        <f>(L1994*Inputs!$D$19-L1995-L1996)/(Inputs!$D$7+$D$2012)^L1986</f>
        <v>-2214.1020449702382</v>
      </c>
      <c r="M1999" s="16">
        <f>(M1994*Inputs!$D$19-M1995-M1996)/(Inputs!$D$7+$D$2012)^M1986</f>
        <v>-8753.5088252709138</v>
      </c>
    </row>
    <row r="2000" spans="1:13" ht="15" customHeight="1" x14ac:dyDescent="0.2">
      <c r="B2000" s="10" t="s">
        <v>903</v>
      </c>
      <c r="C2000" s="10" t="s">
        <v>110</v>
      </c>
      <c r="D2000" s="16">
        <f t="shared" ref="D2000:M2000" si="435">D1993*$D$2010</f>
        <v>3483.8154390158838</v>
      </c>
      <c r="E2000" s="16">
        <f t="shared" si="435"/>
        <v>17692.788218665766</v>
      </c>
      <c r="F2000" s="16">
        <f t="shared" si="435"/>
        <v>34005.904869169761</v>
      </c>
      <c r="G2000" s="16">
        <f t="shared" si="435"/>
        <v>44492.908430208037</v>
      </c>
      <c r="H2000" s="16">
        <f t="shared" si="435"/>
        <v>47988.576283887473</v>
      </c>
      <c r="I2000" s="16">
        <f t="shared" si="435"/>
        <v>47988.576283887473</v>
      </c>
      <c r="J2000" s="16">
        <f t="shared" si="435"/>
        <v>47988.576283887473</v>
      </c>
      <c r="K2000" s="16">
        <f t="shared" si="435"/>
        <v>47988.576283887473</v>
      </c>
      <c r="L2000" s="16">
        <f t="shared" si="435"/>
        <v>47988.576283887473</v>
      </c>
      <c r="M2000" s="16">
        <f t="shared" si="435"/>
        <v>47988.576283887473</v>
      </c>
    </row>
    <row r="2001" spans="2:13" ht="15" customHeight="1" x14ac:dyDescent="0.2">
      <c r="B2001" s="10" t="s">
        <v>904</v>
      </c>
      <c r="C2001" s="10" t="s">
        <v>110</v>
      </c>
      <c r="D2001" s="16">
        <f t="shared" ref="D2001:M2001" si="436">D2000*$D$2011</f>
        <v>2612.861579261913</v>
      </c>
      <c r="E2001" s="16">
        <f t="shared" si="436"/>
        <v>13269.591163999325</v>
      </c>
      <c r="F2001" s="16">
        <f t="shared" si="436"/>
        <v>25504.428651877322</v>
      </c>
      <c r="G2001" s="16">
        <f t="shared" si="436"/>
        <v>33369.681322656026</v>
      </c>
      <c r="H2001" s="16">
        <f t="shared" si="436"/>
        <v>35991.432212915606</v>
      </c>
      <c r="I2001" s="16">
        <f t="shared" si="436"/>
        <v>35991.432212915606</v>
      </c>
      <c r="J2001" s="16">
        <f t="shared" si="436"/>
        <v>35991.432212915606</v>
      </c>
      <c r="K2001" s="16">
        <f t="shared" si="436"/>
        <v>35991.432212915606</v>
      </c>
      <c r="L2001" s="16">
        <f t="shared" si="436"/>
        <v>35991.432212915606</v>
      </c>
      <c r="M2001" s="16">
        <f t="shared" si="436"/>
        <v>35991.432212915606</v>
      </c>
    </row>
    <row r="2002" spans="2:13" ht="15" customHeight="1" x14ac:dyDescent="0.2">
      <c r="B2002" s="10" t="s">
        <v>905</v>
      </c>
      <c r="C2002" s="10" t="s">
        <v>110</v>
      </c>
      <c r="D2002" s="16">
        <f t="shared" ref="D2002:M2002" si="437">D2001-D1994</f>
        <v>932.35143514630295</v>
      </c>
      <c r="E2002" s="16">
        <f t="shared" si="437"/>
        <v>4735.0087213783136</v>
      </c>
      <c r="F2002" s="16">
        <f t="shared" si="437"/>
        <v>9100.7846894367394</v>
      </c>
      <c r="G2002" s="16">
        <f t="shared" si="437"/>
        <v>11907.354954617145</v>
      </c>
      <c r="H2002" s="16">
        <f t="shared" si="437"/>
        <v>12842.878376343957</v>
      </c>
      <c r="I2002" s="16">
        <f t="shared" si="437"/>
        <v>12842.878376343957</v>
      </c>
      <c r="J2002" s="16">
        <f t="shared" si="437"/>
        <v>12842.878376343957</v>
      </c>
      <c r="K2002" s="16">
        <f t="shared" si="437"/>
        <v>12842.878376343957</v>
      </c>
      <c r="L2002" s="16">
        <f t="shared" si="437"/>
        <v>12842.878376343957</v>
      </c>
      <c r="M2002" s="16">
        <f t="shared" si="437"/>
        <v>12842.878376343957</v>
      </c>
    </row>
    <row r="2003" spans="2:13" ht="15" customHeight="1" x14ac:dyDescent="0.2">
      <c r="B2003" s="10" t="s">
        <v>906</v>
      </c>
      <c r="C2003" s="10" t="s">
        <v>110</v>
      </c>
      <c r="D2003" s="16">
        <f>MAX(D2002,Inputs!$D$6)*Inputs!$D$19</f>
        <v>279.70543054389088</v>
      </c>
      <c r="E2003" s="16">
        <f>MAX(E2002,Inputs!$D$6)*Inputs!$D$19</f>
        <v>1420.502616413494</v>
      </c>
      <c r="F2003" s="16">
        <f>MAX(F2002,Inputs!$D$6)*Inputs!$D$19</f>
        <v>2730.2354068310219</v>
      </c>
      <c r="G2003" s="16">
        <f>MAX(G2002,Inputs!$D$6)*Inputs!$D$19</f>
        <v>3572.2064863851433</v>
      </c>
      <c r="H2003" s="16">
        <f>MAX(H2002,Inputs!$D$6)*Inputs!$D$19</f>
        <v>3852.8635129031868</v>
      </c>
      <c r="I2003" s="16">
        <f>MAX(I2002,Inputs!$D$6)*Inputs!$D$19</f>
        <v>3852.8635129031868</v>
      </c>
      <c r="J2003" s="16">
        <f>MAX(J2002,Inputs!$D$6)*Inputs!$D$19</f>
        <v>3852.8635129031868</v>
      </c>
      <c r="K2003" s="16">
        <f>MAX(K2002,Inputs!$D$6)*Inputs!$D$19</f>
        <v>3852.8635129031868</v>
      </c>
      <c r="L2003" s="16">
        <f>MAX(L2002,Inputs!$D$6)*Inputs!$D$19</f>
        <v>3852.8635129031868</v>
      </c>
      <c r="M2003" s="16">
        <f>MAX(M2002,Inputs!$D$6)*Inputs!$D$19</f>
        <v>3852.8635129031868</v>
      </c>
    </row>
    <row r="2004" spans="2:13" ht="15" customHeight="1" x14ac:dyDescent="0.2">
      <c r="B2004" s="10" t="s">
        <v>907</v>
      </c>
      <c r="C2004" s="10" t="s">
        <v>110</v>
      </c>
      <c r="D2004" s="16">
        <f t="shared" ref="D2004:M2004" si="438">D1997*$D$2010</f>
        <v>174.78339268397141</v>
      </c>
      <c r="E2004" s="16">
        <f t="shared" si="438"/>
        <v>466.08904715725708</v>
      </c>
      <c r="F2004" s="16">
        <f t="shared" si="438"/>
        <v>349.56678536794266</v>
      </c>
      <c r="G2004" s="16">
        <f t="shared" si="438"/>
        <v>174.78339268397153</v>
      </c>
      <c r="H2004" s="16">
        <f t="shared" si="438"/>
        <v>0</v>
      </c>
      <c r="I2004" s="16">
        <f t="shared" si="438"/>
        <v>0</v>
      </c>
      <c r="J2004" s="16">
        <f t="shared" si="438"/>
        <v>0</v>
      </c>
      <c r="K2004" s="16">
        <f t="shared" si="438"/>
        <v>0</v>
      </c>
      <c r="L2004" s="16">
        <f t="shared" si="438"/>
        <v>0</v>
      </c>
      <c r="M2004" s="16">
        <f t="shared" si="438"/>
        <v>0</v>
      </c>
    </row>
    <row r="2005" spans="2:13" ht="15" customHeight="1" x14ac:dyDescent="0.2">
      <c r="B2005" s="10" t="s">
        <v>908</v>
      </c>
      <c r="C2005" s="10" t="s">
        <v>110</v>
      </c>
      <c r="D2005" s="16">
        <f t="shared" ref="D2005:M2005" si="439">D2001-D2003-D1995-D1996-D2004</f>
        <v>-11819.514663449836</v>
      </c>
      <c r="E2005" s="16">
        <f t="shared" si="439"/>
        <v>-25891.366951528456</v>
      </c>
      <c r="F2005" s="16">
        <f t="shared" si="439"/>
        <v>-5531.1483792894051</v>
      </c>
      <c r="G2005" s="16">
        <f t="shared" si="439"/>
        <v>13006.799175535843</v>
      </c>
      <c r="H2005" s="16">
        <f t="shared" si="439"/>
        <v>18770.765869555733</v>
      </c>
      <c r="I2005" s="16">
        <f t="shared" si="439"/>
        <v>-3508.9055145387501</v>
      </c>
      <c r="J2005" s="16">
        <f t="shared" si="439"/>
        <v>5402.9630390990533</v>
      </c>
      <c r="K2005" s="16">
        <f t="shared" si="439"/>
        <v>16132.761020988553</v>
      </c>
      <c r="L2005" s="16">
        <f t="shared" si="439"/>
        <v>18770.765869555733</v>
      </c>
      <c r="M2005" s="16">
        <f t="shared" si="439"/>
        <v>-3508.9055145387501</v>
      </c>
    </row>
    <row r="2006" spans="2:13" ht="15" customHeight="1" x14ac:dyDescent="0.2">
      <c r="B2006" s="10" t="s">
        <v>909</v>
      </c>
      <c r="C2006" s="10" t="s">
        <v>110</v>
      </c>
      <c r="D2006" s="16">
        <f>D2005/(Inputs!$D$7+$D$2012)^D1986</f>
        <v>-10831.05845624655</v>
      </c>
      <c r="E2006" s="16">
        <f>E2005/(Inputs!$D$7+$D$2012)^E1986</f>
        <v>-20991.27420446308</v>
      </c>
      <c r="F2006" s="16">
        <f>F2005/(Inputs!$D$7+$D$2012)^F1986</f>
        <v>-3968.7799285388874</v>
      </c>
      <c r="G2006" s="16">
        <f>G2005/(Inputs!$D$7+$D$2012)^G1986</f>
        <v>8259.8094817775473</v>
      </c>
      <c r="H2006" s="16">
        <f>H2005/(Inputs!$D$7+$D$2012)^H1986</f>
        <v>10549.68457290092</v>
      </c>
      <c r="I2006" s="16">
        <f>I2005/(Inputs!$D$7+$D$2012)^I1986</f>
        <v>-1744.7842084518759</v>
      </c>
      <c r="J2006" s="16">
        <f>J2005/(Inputs!$D$7+$D$2012)^J1986</f>
        <v>2377.7157319486282</v>
      </c>
      <c r="K2006" s="16">
        <f>K2005/(Inputs!$D$7+$D$2012)^K1986</f>
        <v>6283.3973122119769</v>
      </c>
      <c r="L2006" s="16">
        <f>L2005/(Inputs!$D$7+$D$2012)^L1986</f>
        <v>6470.3191196703428</v>
      </c>
      <c r="M2006" s="16">
        <f>M2005/(Inputs!$D$7+$D$2012)^M1986</f>
        <v>-1070.1088308027729</v>
      </c>
    </row>
    <row r="2007" spans="2:13" ht="15" customHeight="1" x14ac:dyDescent="0.2">
      <c r="B2007" s="3" t="s">
        <v>910</v>
      </c>
      <c r="C2007" s="10" t="s">
        <v>896</v>
      </c>
      <c r="D2007" s="28">
        <f>(D1993*$D$2011-D1997)/(Inputs!$D$7+$D$2012)^D1986</f>
        <v>74.490519309095831</v>
      </c>
      <c r="E2007" s="28">
        <f>(E1993*$D$2011-E1997)/(Inputs!$D$7+$D$2012)^E1986</f>
        <v>346.09451503846662</v>
      </c>
      <c r="F2007" s="28">
        <f>(F1993*$D$2011-F1997)/(Inputs!$D$7+$D$2012)^F1986</f>
        <v>601.79110266312398</v>
      </c>
      <c r="G2007" s="28">
        <f>(G1993*$D$2011-G1997)/(Inputs!$D$7+$D$2012)^G1986</f>
        <v>702.83446516544734</v>
      </c>
      <c r="H2007" s="28">
        <f>(H1993*$D$2011-H1997)/(Inputs!$D$7+$D$2012)^H1986</f>
        <v>674.43286946611579</v>
      </c>
      <c r="I2007" s="28">
        <f>(I1993*$D$2011-I1997)/(Inputs!$D$7+$D$2012)^I1986</f>
        <v>596.69348218898278</v>
      </c>
      <c r="J2007" s="28">
        <f>(J1993*$D$2011-J1997)/(Inputs!$D$7+$D$2012)^J1986</f>
        <v>528.09150417844353</v>
      </c>
      <c r="K2007" s="28">
        <f>(K1993*$D$2011-K1997)/(Inputs!$D$7+$D$2012)^K1986</f>
        <v>467.37671033772904</v>
      </c>
      <c r="L2007" s="28">
        <f>(L1993*$D$2011-L1997)/(Inputs!$D$7+$D$2012)^L1986</f>
        <v>413.64230940610946</v>
      </c>
      <c r="M2007" s="28">
        <f>(M1993*$D$2011-M1997)/(Inputs!$D$7+$D$2012)^M1986</f>
        <v>365.96328731072373</v>
      </c>
    </row>
    <row r="2008" spans="2:13" ht="15" customHeight="1" x14ac:dyDescent="0.2">
      <c r="B2008" s="10" t="s">
        <v>911</v>
      </c>
      <c r="C2008" s="10" t="s">
        <v>110</v>
      </c>
      <c r="D2008" s="16">
        <f>(-D1995-D1996)/(Inputs!$D$7+$D$2012)^D1986</f>
        <v>-12808.928289029636</v>
      </c>
      <c r="E2008" s="16">
        <f>(-E1995-E1996)/(Inputs!$D$7+$D$2012)^E1986</f>
        <v>-30219.974420642928</v>
      </c>
      <c r="F2008" s="16">
        <f>(-F1995-F1996)/(Inputs!$D$7+$D$2012)^F1986</f>
        <v>-20059.183095337907</v>
      </c>
      <c r="G2008" s="16">
        <f>(-G1995-G1996)/(Inputs!$D$7+$D$2012)^G1986</f>
        <v>-10551.720115889953</v>
      </c>
      <c r="H2008" s="16">
        <f>(-H1995-H1996)/(Inputs!$D$7+$D$2012)^H1986</f>
        <v>-7513.0713511684744</v>
      </c>
      <c r="I2008" s="16">
        <f>(-I1995-I1996)/(Inputs!$D$7+$D$2012)^I1986</f>
        <v>-17725.512933602091</v>
      </c>
      <c r="J2008" s="16">
        <f>(-J1995-J1996)/(Inputs!$D$7+$D$2012)^J1986</f>
        <v>-11765.705173827875</v>
      </c>
      <c r="K2008" s="16">
        <f>(-K1995-K1996)/(Inputs!$D$7+$D$2012)^K1986</f>
        <v>-6233.95144943378</v>
      </c>
      <c r="L2008" s="16">
        <f>(-L1995-L1996)/(Inputs!$D$7+$D$2012)^L1986</f>
        <v>-4607.9073620630261</v>
      </c>
      <c r="M2008" s="16">
        <f>(-M1995-M1996)/(Inputs!$D$7+$D$2012)^M1986</f>
        <v>-10871.389039901173</v>
      </c>
    </row>
    <row r="2009" spans="2:13" ht="15" customHeight="1" x14ac:dyDescent="0.2">
      <c r="B2009" s="10" t="s">
        <v>912</v>
      </c>
      <c r="C2009" s="10" t="s">
        <v>110</v>
      </c>
      <c r="D2009" s="16">
        <f>Prices!I13</f>
        <v>15045.135406218656</v>
      </c>
    </row>
    <row r="2010" spans="2:13" ht="15" customHeight="1" x14ac:dyDescent="0.2">
      <c r="B2010" s="3" t="s">
        <v>913</v>
      </c>
      <c r="C2010" s="10" t="s">
        <v>914</v>
      </c>
      <c r="D2010" s="28">
        <f>IF(J2017&gt;=J2013,J2017,(D2009-J2016)/J2015)</f>
        <v>29.992860177429669</v>
      </c>
      <c r="G2010" s="99" t="s">
        <v>915</v>
      </c>
      <c r="H2010" s="91"/>
      <c r="I2010" s="91"/>
      <c r="J2010" s="28">
        <f>D2010*Inputs!$D$15</f>
        <v>20.932017117828167</v>
      </c>
      <c r="K2010" s="99" t="s">
        <v>916</v>
      </c>
      <c r="L2010" s="91"/>
      <c r="M2010" s="91"/>
    </row>
    <row r="2011" spans="2:13" ht="15" customHeight="1" x14ac:dyDescent="0.2">
      <c r="B2011" s="10" t="s">
        <v>917</v>
      </c>
      <c r="C2011" s="10" t="s">
        <v>104</v>
      </c>
      <c r="D2011" s="30">
        <f>Inputs!$D$94</f>
        <v>0.75</v>
      </c>
      <c r="G2011" s="99" t="s">
        <v>918</v>
      </c>
      <c r="H2011" s="91"/>
      <c r="I2011" s="91"/>
      <c r="J2011" s="28">
        <f>IF(-D2022/D2021&gt;=J2013,-D2022/D2021,-J2016/J2015)</f>
        <v>27.411702074287536</v>
      </c>
      <c r="K2011" s="99" t="s">
        <v>919</v>
      </c>
      <c r="L2011" s="91"/>
      <c r="M2011" s="91"/>
    </row>
    <row r="2012" spans="2:13" ht="15" customHeight="1" x14ac:dyDescent="0.2">
      <c r="B2012" s="10" t="s">
        <v>920</v>
      </c>
      <c r="C2012" s="10" t="s">
        <v>104</v>
      </c>
      <c r="D2012" s="30">
        <f>Inputs!$D$95</f>
        <v>0.13</v>
      </c>
      <c r="G2012" s="99" t="s">
        <v>918</v>
      </c>
      <c r="H2012" s="91"/>
      <c r="I2012" s="91"/>
      <c r="J2012" s="28">
        <f>J2011*Inputs!$D$15</f>
        <v>19.13062687764527</v>
      </c>
      <c r="K2012" s="99" t="s">
        <v>916</v>
      </c>
      <c r="L2012" s="91"/>
      <c r="M2012" s="91"/>
    </row>
    <row r="2013" spans="2:13" ht="15" customHeight="1" x14ac:dyDescent="0.2">
      <c r="B2013" s="3" t="s">
        <v>921</v>
      </c>
      <c r="C2013" s="10" t="s">
        <v>848</v>
      </c>
      <c r="D2013" s="28">
        <f>Capital!$D$13</f>
        <v>57.347931490590682</v>
      </c>
      <c r="G2013" s="99" t="s">
        <v>922</v>
      </c>
      <c r="H2013" s="91"/>
      <c r="I2013" s="91"/>
      <c r="J2013" s="28">
        <f>($D$2013/Inputs!$D$21+$D$2014/Inputs!$D$22)/$D$2011</f>
        <v>19.290461530476374</v>
      </c>
      <c r="K2013" s="99" t="s">
        <v>919</v>
      </c>
      <c r="L2013" s="91"/>
      <c r="M2013" s="91"/>
    </row>
    <row r="2014" spans="2:13" ht="15" customHeight="1" x14ac:dyDescent="0.2">
      <c r="B2014" s="3" t="s">
        <v>923</v>
      </c>
      <c r="C2014" s="10" t="s">
        <v>848</v>
      </c>
      <c r="D2014" s="28">
        <f>Capital!$D$14</f>
        <v>2.6172655041921802</v>
      </c>
    </row>
    <row r="2015" spans="2:13" ht="15" customHeight="1" x14ac:dyDescent="0.2">
      <c r="B2015" s="10" t="s">
        <v>924</v>
      </c>
      <c r="C2015" s="10" t="s">
        <v>896</v>
      </c>
      <c r="D2015" s="28">
        <f>(M1988*(Inputs!$D$7+Inputs!$D$20)*$D$2011*(Inputs!$D$7-Inputs!$D$19)-M1988*Inputs!$D$20*Inputs!$D$23)/($D$2012-Inputs!$D$20)/(Inputs!$D$7+$D$2012)^M1986</f>
        <v>2497.8446594223992</v>
      </c>
      <c r="G2015" s="92" t="s">
        <v>910</v>
      </c>
      <c r="H2015" s="91"/>
      <c r="I2015" s="91"/>
      <c r="J2015" s="28">
        <f>SUM(D2007:M2007)+(M1988*(Inputs!$D$7+Inputs!$D$20)*$D$2011-M1988*Inputs!$D$20*Inputs!$D$23)/($D$2012-Inputs!$D$20)/(Inputs!$D$7+$D$2012)^M1986</f>
        <v>8341.0050516109004</v>
      </c>
      <c r="K2015" s="99" t="s">
        <v>896</v>
      </c>
      <c r="L2015" s="91"/>
      <c r="M2015" s="91"/>
    </row>
    <row r="2016" spans="2:13" ht="15" customHeight="1" x14ac:dyDescent="0.2">
      <c r="B2016" s="10" t="s">
        <v>925</v>
      </c>
      <c r="C2016" s="10" t="s">
        <v>110</v>
      </c>
      <c r="D2016" s="16">
        <f>(D2019*Inputs!$D$19-D2019-D2020)/($D$2012-Inputs!$D$20)/(Inputs!$D$7+$D$2012)^M1986</f>
        <v>-55207.290798783099</v>
      </c>
      <c r="G2016" s="92" t="s">
        <v>926</v>
      </c>
      <c r="H2016" s="91"/>
      <c r="I2016" s="91"/>
      <c r="J2016" s="16">
        <f>SUM(D2008:M2008)-(D2019+D2020)/($D$2012-Inputs!$D$20)/(Inputs!$D$7+$D$2012)^M1986</f>
        <v>-208239.17898202292</v>
      </c>
      <c r="K2016" s="99" t="s">
        <v>110</v>
      </c>
      <c r="L2016" s="91"/>
      <c r="M2016" s="91"/>
    </row>
    <row r="2017" spans="1:13" ht="15" customHeight="1" x14ac:dyDescent="0.2">
      <c r="B2017" s="10" t="s">
        <v>927</v>
      </c>
      <c r="C2017" s="10" t="s">
        <v>928</v>
      </c>
      <c r="D2017" s="16">
        <f>(M1988*(Inputs!$D$7+Inputs!$D$20)*$D$2010*$D$2011-D2019)-MAX((M1988*(Inputs!$D$7+Inputs!$D$20)*$D$2010*$D$2011-D2019),Inputs!$D$6)*Inputs!$D$19-D2020-M1988*Inputs!$D$20*$D$2010*Inputs!$D$23</f>
        <v>6786.164495058043</v>
      </c>
      <c r="G2017" s="99" t="s">
        <v>929</v>
      </c>
      <c r="H2017" s="91"/>
      <c r="I2017" s="91"/>
      <c r="J2017" s="28">
        <f>(D2009-D2022)/D2021</f>
        <v>29.992860177429669</v>
      </c>
      <c r="K2017" s="99" t="s">
        <v>919</v>
      </c>
      <c r="L2017" s="91"/>
      <c r="M2017" s="91"/>
    </row>
    <row r="2018" spans="1:13" ht="15" customHeight="1" x14ac:dyDescent="0.2">
      <c r="B2018" s="10" t="s">
        <v>930</v>
      </c>
      <c r="C2018" s="10" t="s">
        <v>110</v>
      </c>
      <c r="D2018" s="16">
        <f>D2017/($D$2012-Inputs!$D$20)</f>
        <v>64630.13804817183</v>
      </c>
      <c r="G2018" s="99" t="s">
        <v>931</v>
      </c>
      <c r="H2018" s="91"/>
      <c r="I2018" s="91"/>
      <c r="J2018" s="16">
        <f>MIN(D2002:M2002,(M1988*(Inputs!$D$7+Inputs!$D$20)*$D$2010*$D$2011-D2019))</f>
        <v>932.35143514630295</v>
      </c>
      <c r="K2018" s="99" t="s">
        <v>110</v>
      </c>
      <c r="L2018" s="91"/>
      <c r="M2018" s="91"/>
    </row>
    <row r="2019" spans="1:13" ht="15" customHeight="1" x14ac:dyDescent="0.2">
      <c r="B2019" s="10" t="s">
        <v>932</v>
      </c>
      <c r="C2019" s="10" t="s">
        <v>928</v>
      </c>
      <c r="D2019" s="16">
        <f>M1988*(Inputs!$D$7+Inputs!$D$20)*($D$2013/Inputs!$D$21+$D$2014/Inputs!$D$22)</f>
        <v>23727.267682485937</v>
      </c>
      <c r="G2019" s="99" t="s">
        <v>933</v>
      </c>
      <c r="H2019" s="91"/>
      <c r="I2019" s="91"/>
      <c r="J2019" s="31" t="str">
        <f>IF(J2018&lt;Inputs!$D$6,"breached","satisfied")</f>
        <v>satisfied</v>
      </c>
      <c r="K2019" s="99" t="s">
        <v>934</v>
      </c>
      <c r="L2019" s="91"/>
      <c r="M2019" s="91"/>
    </row>
    <row r="2020" spans="1:13" ht="15" customHeight="1" x14ac:dyDescent="0.2">
      <c r="B2020" s="10" t="s">
        <v>935</v>
      </c>
      <c r="C2020" s="10" t="s">
        <v>928</v>
      </c>
      <c r="D2020" s="16">
        <f>M1988*Inputs!$D$20*($D$2013+$D$2014)</f>
        <v>2398.6078797913146</v>
      </c>
    </row>
    <row r="2021" spans="1:13" ht="15" customHeight="1" x14ac:dyDescent="0.2">
      <c r="B2021" s="10" t="s">
        <v>936</v>
      </c>
      <c r="C2021" s="10" t="s">
        <v>896</v>
      </c>
      <c r="D2021" s="28">
        <f>SUM(D1998:M1998)+D2015</f>
        <v>5828.8314024250149</v>
      </c>
      <c r="G2021" s="99" t="s">
        <v>937</v>
      </c>
      <c r="H2021" s="91"/>
      <c r="I2021" s="91"/>
      <c r="J2021" s="16">
        <f>D2023-D2009</f>
        <v>-3.4560798667371273E-11</v>
      </c>
      <c r="K2021" s="99" t="s">
        <v>110</v>
      </c>
      <c r="L2021" s="91"/>
      <c r="M2021" s="91"/>
    </row>
    <row r="2022" spans="1:13" ht="15" customHeight="1" x14ac:dyDescent="0.2">
      <c r="B2022" s="10" t="s">
        <v>938</v>
      </c>
      <c r="C2022" s="10" t="s">
        <v>110</v>
      </c>
      <c r="D2022" s="16">
        <f>SUM(D1999:M1999)+D2016</f>
        <v>-159778.18984452612</v>
      </c>
    </row>
    <row r="2023" spans="1:13" ht="15" customHeight="1" x14ac:dyDescent="0.2">
      <c r="B2023" s="10" t="s">
        <v>939</v>
      </c>
      <c r="C2023" s="10" t="s">
        <v>110</v>
      </c>
      <c r="D2023" s="16">
        <f>SUM(D2006:M2006)+D2018/(Inputs!$D$7+$D$2012)^M1986</f>
        <v>15045.135406218622</v>
      </c>
    </row>
    <row r="2024" spans="1:13" ht="15" customHeight="1" x14ac:dyDescent="0.2">
      <c r="B2024" s="10" t="s">
        <v>940</v>
      </c>
      <c r="C2024" s="10" t="s">
        <v>104</v>
      </c>
      <c r="D2024" s="30">
        <f>IF(ABS(D2009)&gt;Inputs!$D$6,D2023/D2009-Inputs!$D$7,Inputs!$D$6)</f>
        <v>-2.3314683517128287E-15</v>
      </c>
    </row>
    <row r="2025" spans="1:13" ht="15" customHeight="1" x14ac:dyDescent="0.2">
      <c r="B2025" s="10" t="s">
        <v>941</v>
      </c>
      <c r="C2025" s="10" t="s">
        <v>104</v>
      </c>
      <c r="D2025" s="30">
        <f>IF(ABS(D2023)&gt;Inputs!$D$119,D2018/(Inputs!$D$7+$D$2012)^M1986/D2023,Inputs!$D$6)</f>
        <v>1.3100722781175851</v>
      </c>
    </row>
    <row r="2026" spans="1:13" ht="15" customHeight="1" x14ac:dyDescent="0.2">
      <c r="B2026" s="10" t="s">
        <v>942</v>
      </c>
      <c r="C2026" s="10" t="s">
        <v>943</v>
      </c>
      <c r="D2026" s="26">
        <f>$D$2010*Inputs!$D$8/Prices!$P$6/(Inputs!$D$26/Inputs!$D$25)/Inputs!$D$11/Inputs!$D$56</f>
        <v>5.454292727248256</v>
      </c>
    </row>
    <row r="2030" spans="1:13" ht="15" customHeight="1" x14ac:dyDescent="0.2">
      <c r="A2030" s="104" t="s">
        <v>987</v>
      </c>
      <c r="B2030" s="10" t="s">
        <v>886</v>
      </c>
      <c r="C2030" s="10" t="s">
        <v>107</v>
      </c>
      <c r="D2030" s="28">
        <f>Inputs!$D$60</f>
        <v>1</v>
      </c>
      <c r="E2030" s="28">
        <f>Inputs!$D$62</f>
        <v>2</v>
      </c>
      <c r="F2030" s="28">
        <f>Inputs!$D$64</f>
        <v>3</v>
      </c>
      <c r="G2030" s="28">
        <f>Inputs!$D$66</f>
        <v>4</v>
      </c>
      <c r="H2030" s="28">
        <f>Inputs!$D$68</f>
        <v>5</v>
      </c>
      <c r="I2030" s="28">
        <f>Inputs!$D$70</f>
        <v>6</v>
      </c>
      <c r="J2030" s="28">
        <f>Inputs!$D$72</f>
        <v>7</v>
      </c>
      <c r="K2030" s="28">
        <f>Inputs!$D$74</f>
        <v>8</v>
      </c>
      <c r="L2030" s="28">
        <f>Inputs!$D$76</f>
        <v>9</v>
      </c>
      <c r="M2030" s="28">
        <f>Inputs!$D$78</f>
        <v>10</v>
      </c>
    </row>
    <row r="2031" spans="1:13" ht="15" customHeight="1" x14ac:dyDescent="0.2">
      <c r="A2031" s="91"/>
      <c r="B2031" s="10" t="s">
        <v>887</v>
      </c>
      <c r="C2031" s="10" t="s">
        <v>161</v>
      </c>
      <c r="D2031" s="29">
        <f>Inputs!$D$61</f>
        <v>46568</v>
      </c>
      <c r="E2031" s="29">
        <f>Inputs!$D$63</f>
        <v>46934</v>
      </c>
      <c r="F2031" s="29">
        <f>Inputs!$D$65</f>
        <v>47299</v>
      </c>
      <c r="G2031" s="29">
        <f>Inputs!$D$67</f>
        <v>47664</v>
      </c>
      <c r="H2031" s="29">
        <f>Inputs!$D$69</f>
        <v>48029</v>
      </c>
      <c r="I2031" s="29">
        <f>Inputs!$D$71</f>
        <v>48395</v>
      </c>
      <c r="J2031" s="29">
        <f>Inputs!$D$73</f>
        <v>48760</v>
      </c>
      <c r="K2031" s="29">
        <f>Inputs!$D$75</f>
        <v>49125</v>
      </c>
      <c r="L2031" s="29">
        <f>Inputs!$D$77</f>
        <v>49490</v>
      </c>
      <c r="M2031" s="29">
        <f>Inputs!$D$79</f>
        <v>49856</v>
      </c>
    </row>
    <row r="2032" spans="1:13" ht="15" customHeight="1" x14ac:dyDescent="0.2">
      <c r="A2032" s="91"/>
      <c r="B2032" s="10" t="s">
        <v>888</v>
      </c>
      <c r="C2032" s="10" t="s">
        <v>107</v>
      </c>
      <c r="D2032" s="28">
        <f>(D2031-Inputs!$D$13)/Inputs!$D$10</f>
        <v>0.71457905544147848</v>
      </c>
      <c r="E2032" s="28">
        <f>(E2031-Inputs!$D$13)/Inputs!$D$10</f>
        <v>1.7166324435318274</v>
      </c>
      <c r="F2032" s="28">
        <f>(F2031-Inputs!$D$13)/Inputs!$D$10</f>
        <v>2.7159479808350446</v>
      </c>
      <c r="G2032" s="28">
        <f>(G2031-Inputs!$D$13)/Inputs!$D$10</f>
        <v>3.7152635181382614</v>
      </c>
      <c r="H2032" s="28">
        <f>(H2031-Inputs!$D$13)/Inputs!$D$10</f>
        <v>4.7145790554414786</v>
      </c>
      <c r="I2032" s="28">
        <f>(I2031-Inputs!$D$13)/Inputs!$D$10</f>
        <v>5.7166324435318279</v>
      </c>
      <c r="J2032" s="28">
        <f>(J2031-Inputs!$D$13)/Inputs!$D$10</f>
        <v>6.7159479808350442</v>
      </c>
      <c r="K2032" s="28">
        <f>(K2031-Inputs!$D$13)/Inputs!$D$10</f>
        <v>7.7152635181382614</v>
      </c>
      <c r="L2032" s="28">
        <f>(L2031-Inputs!$D$13)/Inputs!$D$10</f>
        <v>8.7145790554414777</v>
      </c>
      <c r="M2032" s="28">
        <f>(M2031-Inputs!$D$13)/Inputs!$D$10</f>
        <v>9.716632443531827</v>
      </c>
    </row>
    <row r="2033" spans="1:13" ht="15" customHeight="1" x14ac:dyDescent="0.2">
      <c r="A2033" s="91"/>
      <c r="B2033" s="10" t="s">
        <v>889</v>
      </c>
      <c r="C2033" s="10" t="s">
        <v>107</v>
      </c>
      <c r="D2033" s="28">
        <f>D2032</f>
        <v>0.71457905544147848</v>
      </c>
      <c r="E2033" s="28">
        <f>Inputs!$D$7</f>
        <v>1</v>
      </c>
      <c r="F2033" s="28">
        <f>Inputs!$D$7</f>
        <v>1</v>
      </c>
      <c r="G2033" s="28">
        <f>Inputs!$D$7</f>
        <v>1</v>
      </c>
      <c r="H2033" s="28">
        <f>Inputs!$D$7</f>
        <v>1</v>
      </c>
      <c r="I2033" s="28">
        <f>Inputs!$D$7</f>
        <v>1</v>
      </c>
      <c r="J2033" s="28">
        <f>Inputs!$D$7</f>
        <v>1</v>
      </c>
      <c r="K2033" s="28">
        <f>Inputs!$D$7</f>
        <v>1</v>
      </c>
      <c r="L2033" s="28">
        <f>Inputs!$D$7</f>
        <v>1</v>
      </c>
      <c r="M2033" s="28">
        <f>Inputs!$D$7</f>
        <v>1</v>
      </c>
    </row>
    <row r="2034" spans="1:13" ht="15" customHeight="1" x14ac:dyDescent="0.2">
      <c r="A2034" s="91"/>
      <c r="B2034" s="3" t="s">
        <v>890</v>
      </c>
      <c r="C2034" s="10" t="s">
        <v>199</v>
      </c>
      <c r="D2034" s="28">
        <f>Inputs!$D$24+(Inputs!$D$106-Inputs!$D$24)*Inputs!$D$109</f>
        <v>170.32</v>
      </c>
      <c r="E2034" s="28">
        <f>Inputs!$D$24+(Inputs!$D$106-Inputs!$D$24)*Inputs!$D$110</f>
        <v>481.12000000000006</v>
      </c>
      <c r="F2034" s="28">
        <f>Inputs!$D$24+(Inputs!$D$106-Inputs!$D$24)*Inputs!$D$111</f>
        <v>823</v>
      </c>
      <c r="G2034" s="28">
        <f>Inputs!$D$24+(Inputs!$D$106-Inputs!$D$24)*Inputs!$D$112</f>
        <v>1211.5</v>
      </c>
      <c r="H2034" s="28">
        <f>Inputs!$D$24+(Inputs!$D$106-Inputs!$D$24)*Inputs!$D$113</f>
        <v>1600</v>
      </c>
      <c r="I2034" s="28">
        <f>Inputs!$D$24+(Inputs!$D$106-Inputs!$D$24)*Inputs!$D$114</f>
        <v>1600</v>
      </c>
      <c r="J2034" s="28">
        <f>Inputs!$D$24+(Inputs!$D$106-Inputs!$D$24)*Inputs!$D$115</f>
        <v>1600</v>
      </c>
      <c r="K2034" s="28">
        <f>Inputs!$D$24+(Inputs!$D$106-Inputs!$D$24)*Inputs!$D$116</f>
        <v>1600</v>
      </c>
      <c r="L2034" s="28">
        <f>Inputs!$D$24+(Inputs!$D$106-Inputs!$D$24)*Inputs!$D$117</f>
        <v>1600</v>
      </c>
      <c r="M2034" s="28">
        <f>Inputs!$D$24+(Inputs!$D$106-Inputs!$D$24)*Inputs!$D$118</f>
        <v>1600</v>
      </c>
    </row>
    <row r="2035" spans="1:13" ht="15" customHeight="1" x14ac:dyDescent="0.2">
      <c r="A2035" s="91"/>
      <c r="B2035" s="10" t="s">
        <v>891</v>
      </c>
      <c r="C2035" s="10" t="s">
        <v>199</v>
      </c>
      <c r="D2035" s="28">
        <f>Inputs!$D$24</f>
        <v>46</v>
      </c>
      <c r="E2035" s="28">
        <f t="shared" ref="E2035:M2035" si="440">D2034</f>
        <v>170.32</v>
      </c>
      <c r="F2035" s="28">
        <f t="shared" si="440"/>
        <v>481.12000000000006</v>
      </c>
      <c r="G2035" s="28">
        <f t="shared" si="440"/>
        <v>823</v>
      </c>
      <c r="H2035" s="28">
        <f t="shared" si="440"/>
        <v>1211.5</v>
      </c>
      <c r="I2035" s="28">
        <f t="shared" si="440"/>
        <v>1600</v>
      </c>
      <c r="J2035" s="28">
        <f t="shared" si="440"/>
        <v>1600</v>
      </c>
      <c r="K2035" s="28">
        <f t="shared" si="440"/>
        <v>1600</v>
      </c>
      <c r="L2035" s="28">
        <f t="shared" si="440"/>
        <v>1600</v>
      </c>
      <c r="M2035" s="28">
        <f t="shared" si="440"/>
        <v>1600</v>
      </c>
    </row>
    <row r="2036" spans="1:13" ht="15" customHeight="1" x14ac:dyDescent="0.2">
      <c r="B2036" s="10" t="s">
        <v>892</v>
      </c>
      <c r="C2036" s="10" t="s">
        <v>199</v>
      </c>
      <c r="D2036" s="28">
        <f>(D2035+D2034)*Inputs!$D$12</f>
        <v>108.16</v>
      </c>
      <c r="E2036" s="28">
        <f>(E2035+E2034)*Inputs!$D$12</f>
        <v>325.72000000000003</v>
      </c>
      <c r="F2036" s="28">
        <f>(F2035+F2034)*Inputs!$D$12</f>
        <v>652.06000000000006</v>
      </c>
      <c r="G2036" s="28">
        <f>(G2035+G2034)*Inputs!$D$12</f>
        <v>1017.25</v>
      </c>
      <c r="H2036" s="28">
        <f>(H2035+H2034)*Inputs!$D$12</f>
        <v>1405.75</v>
      </c>
      <c r="I2036" s="28">
        <f>(I2035+I2034)*Inputs!$D$12</f>
        <v>1600</v>
      </c>
      <c r="J2036" s="28">
        <f>(J2035+J2034)*Inputs!$D$12</f>
        <v>1600</v>
      </c>
      <c r="K2036" s="28">
        <f>(K2035+K2034)*Inputs!$D$12</f>
        <v>1600</v>
      </c>
      <c r="L2036" s="28">
        <f>(L2035+L2034)*Inputs!$D$12</f>
        <v>1600</v>
      </c>
      <c r="M2036" s="28">
        <f>(M2035+M2034)*Inputs!$D$12</f>
        <v>1600</v>
      </c>
    </row>
    <row r="2037" spans="1:13" ht="15" customHeight="1" x14ac:dyDescent="0.2">
      <c r="B2037" s="10" t="s">
        <v>893</v>
      </c>
      <c r="C2037" s="10" t="s">
        <v>199</v>
      </c>
      <c r="D2037" s="28">
        <f t="shared" ref="D2037:M2037" si="441">D2034-D2035</f>
        <v>124.32</v>
      </c>
      <c r="E2037" s="28">
        <f t="shared" si="441"/>
        <v>310.80000000000007</v>
      </c>
      <c r="F2037" s="28">
        <f t="shared" si="441"/>
        <v>341.87999999999994</v>
      </c>
      <c r="G2037" s="28">
        <f t="shared" si="441"/>
        <v>388.5</v>
      </c>
      <c r="H2037" s="28">
        <f t="shared" si="441"/>
        <v>388.5</v>
      </c>
      <c r="I2037" s="28">
        <f t="shared" si="441"/>
        <v>0</v>
      </c>
      <c r="J2037" s="28">
        <f t="shared" si="441"/>
        <v>0</v>
      </c>
      <c r="K2037" s="28">
        <f t="shared" si="441"/>
        <v>0</v>
      </c>
      <c r="L2037" s="28">
        <f t="shared" si="441"/>
        <v>0</v>
      </c>
      <c r="M2037" s="28">
        <f t="shared" si="441"/>
        <v>0</v>
      </c>
    </row>
    <row r="2038" spans="1:13" ht="15" customHeight="1" x14ac:dyDescent="0.2">
      <c r="B2038" s="10" t="s">
        <v>894</v>
      </c>
      <c r="C2038" s="10" t="s">
        <v>199</v>
      </c>
      <c r="D2038" s="28">
        <f>IF(MOD(D2030,Inputs!$D$21)=Inputs!$D$6,Inputs!$D$24,Inputs!$D$6)+SUMPRODUCT(--(D2030&gt;$D$2030:$M$2030),--(MOD(D2030-$D$2030:$M$2030,Inputs!$D$21)=Inputs!$D$6),$D$2037:$M$2037)</f>
        <v>0</v>
      </c>
      <c r="E2038" s="28">
        <f>IF(MOD(E2030,Inputs!$D$21)=Inputs!$D$6,Inputs!$D$24,Inputs!$D$6)+SUMPRODUCT(--(E2030&gt;$D$2030:$M$2030),--(MOD(E2030-$D$2030:$M$2030,Inputs!$D$21)=Inputs!$D$6),$D$2037:$M$2037)</f>
        <v>0</v>
      </c>
      <c r="F2038" s="28">
        <f>IF(MOD(F2030,Inputs!$D$21)=Inputs!$D$6,Inputs!$D$24,Inputs!$D$6)+SUMPRODUCT(--(F2030&gt;$D$2030:$M$2030),--(MOD(F2030-$D$2030:$M$2030,Inputs!$D$21)=Inputs!$D$6),$D$2037:$M$2037)</f>
        <v>0</v>
      </c>
      <c r="G2038" s="28">
        <f>IF(MOD(G2030,Inputs!$D$21)=Inputs!$D$6,Inputs!$D$24,Inputs!$D$6)+SUMPRODUCT(--(G2030&gt;$D$2030:$M$2030),--(MOD(G2030-$D$2030:$M$2030,Inputs!$D$21)=Inputs!$D$6),$D$2037:$M$2037)</f>
        <v>46</v>
      </c>
      <c r="H2038" s="28">
        <f>IF(MOD(H2030,Inputs!$D$21)=Inputs!$D$6,Inputs!$D$24,Inputs!$D$6)+SUMPRODUCT(--(H2030&gt;$D$2030:$M$2030),--(MOD(H2030-$D$2030:$M$2030,Inputs!$D$21)=Inputs!$D$6),$D$2037:$M$2037)</f>
        <v>124.32</v>
      </c>
      <c r="I2038" s="28">
        <f>IF(MOD(I2030,Inputs!$D$21)=Inputs!$D$6,Inputs!$D$24,Inputs!$D$6)+SUMPRODUCT(--(I2030&gt;$D$2030:$M$2030),--(MOD(I2030-$D$2030:$M$2030,Inputs!$D$21)=Inputs!$D$6),$D$2037:$M$2037)</f>
        <v>310.80000000000007</v>
      </c>
      <c r="J2038" s="28">
        <f>IF(MOD(J2030,Inputs!$D$21)=Inputs!$D$6,Inputs!$D$24,Inputs!$D$6)+SUMPRODUCT(--(J2030&gt;$D$2030:$M$2030),--(MOD(J2030-$D$2030:$M$2030,Inputs!$D$21)=Inputs!$D$6),$D$2037:$M$2037)</f>
        <v>341.87999999999994</v>
      </c>
      <c r="K2038" s="28">
        <f>IF(MOD(K2030,Inputs!$D$21)=Inputs!$D$6,Inputs!$D$24,Inputs!$D$6)+SUMPRODUCT(--(K2030&gt;$D$2030:$M$2030),--(MOD(K2030-$D$2030:$M$2030,Inputs!$D$21)=Inputs!$D$6),$D$2037:$M$2037)</f>
        <v>434.5</v>
      </c>
      <c r="L2038" s="28">
        <f>IF(MOD(L2030,Inputs!$D$21)=Inputs!$D$6,Inputs!$D$24,Inputs!$D$6)+SUMPRODUCT(--(L2030&gt;$D$2030:$M$2030),--(MOD(L2030-$D$2030:$M$2030,Inputs!$D$21)=Inputs!$D$6),$D$2037:$M$2037)</f>
        <v>512.81999999999994</v>
      </c>
      <c r="M2038" s="28">
        <f>IF(MOD(M2030,Inputs!$D$21)=Inputs!$D$6,Inputs!$D$24,Inputs!$D$6)+SUMPRODUCT(--(M2030&gt;$D$2030:$M$2030),--(MOD(M2030-$D$2030:$M$2030,Inputs!$D$21)=Inputs!$D$6),$D$2037:$M$2037)</f>
        <v>310.80000000000007</v>
      </c>
    </row>
    <row r="2039" spans="1:13" ht="15" customHeight="1" x14ac:dyDescent="0.2">
      <c r="B2039" s="10" t="s">
        <v>895</v>
      </c>
      <c r="C2039" s="10" t="s">
        <v>896</v>
      </c>
      <c r="D2039" s="28">
        <f t="shared" ref="D2039:M2039" si="442">D2036*D2033</f>
        <v>77.288870636550314</v>
      </c>
      <c r="E2039" s="28">
        <f t="shared" si="442"/>
        <v>325.72000000000003</v>
      </c>
      <c r="F2039" s="28">
        <f t="shared" si="442"/>
        <v>652.06000000000006</v>
      </c>
      <c r="G2039" s="28">
        <f t="shared" si="442"/>
        <v>1017.25</v>
      </c>
      <c r="H2039" s="28">
        <f t="shared" si="442"/>
        <v>1405.75</v>
      </c>
      <c r="I2039" s="28">
        <f t="shared" si="442"/>
        <v>1600</v>
      </c>
      <c r="J2039" s="28">
        <f t="shared" si="442"/>
        <v>1600</v>
      </c>
      <c r="K2039" s="28">
        <f t="shared" si="442"/>
        <v>1600</v>
      </c>
      <c r="L2039" s="28">
        <f t="shared" si="442"/>
        <v>1600</v>
      </c>
      <c r="M2039" s="28">
        <f t="shared" si="442"/>
        <v>1600</v>
      </c>
    </row>
    <row r="2040" spans="1:13" ht="15" customHeight="1" x14ac:dyDescent="0.2">
      <c r="B2040" s="10" t="s">
        <v>897</v>
      </c>
      <c r="C2040" s="10" t="s">
        <v>110</v>
      </c>
      <c r="D2040" s="16">
        <f>D2039*($D$2059/Inputs!$D$21+$D$2060/Inputs!$D$22)</f>
        <v>1118.2034893112541</v>
      </c>
      <c r="E2040" s="16">
        <f>E2039*($D$2059/Inputs!$D$21+$D$2060/Inputs!$D$22)</f>
        <v>4712.466847280074</v>
      </c>
      <c r="F2040" s="16">
        <f>F2039*($D$2059/Inputs!$D$21+$D$2060/Inputs!$D$22)</f>
        <v>9433.9037591718188</v>
      </c>
      <c r="G2040" s="16">
        <f>G2039*($D$2059/Inputs!$D$21+$D$2060/Inputs!$D$22)</f>
        <v>14717.416493907818</v>
      </c>
      <c r="H2040" s="16">
        <f>H2039*($D$2059/Inputs!$D$21+$D$2060/Inputs!$D$22)</f>
        <v>20338.17472235037</v>
      </c>
      <c r="I2040" s="16">
        <f>I2039*($D$2059/Inputs!$D$21+$D$2060/Inputs!$D$22)</f>
        <v>23148.553836571649</v>
      </c>
      <c r="J2040" s="16">
        <f>J2039*($D$2059/Inputs!$D$21+$D$2060/Inputs!$D$22)</f>
        <v>23148.553836571649</v>
      </c>
      <c r="K2040" s="16">
        <f>K2039*($D$2059/Inputs!$D$21+$D$2060/Inputs!$D$22)</f>
        <v>23148.553836571649</v>
      </c>
      <c r="L2040" s="16">
        <f>L2039*($D$2059/Inputs!$D$21+$D$2060/Inputs!$D$22)</f>
        <v>23148.553836571649</v>
      </c>
      <c r="M2040" s="16">
        <f>M2039*($D$2059/Inputs!$D$21+$D$2060/Inputs!$D$22)</f>
        <v>23148.553836571649</v>
      </c>
    </row>
    <row r="2041" spans="1:13" ht="15" customHeight="1" x14ac:dyDescent="0.2">
      <c r="B2041" s="10" t="s">
        <v>898</v>
      </c>
      <c r="C2041" s="10" t="s">
        <v>110</v>
      </c>
      <c r="D2041" s="16">
        <f t="shared" ref="D2041:M2041" si="443">D2037*($D$2059+$D$2060)</f>
        <v>7454.8732903914051</v>
      </c>
      <c r="E2041" s="16">
        <f t="shared" si="443"/>
        <v>18637.183225978519</v>
      </c>
      <c r="F2041" s="16">
        <f t="shared" si="443"/>
        <v>20500.901548576363</v>
      </c>
      <c r="G2041" s="16">
        <f t="shared" si="443"/>
        <v>23296.479032473144</v>
      </c>
      <c r="H2041" s="16">
        <f t="shared" si="443"/>
        <v>23296.479032473144</v>
      </c>
      <c r="I2041" s="16">
        <f t="shared" si="443"/>
        <v>0</v>
      </c>
      <c r="J2041" s="16">
        <f t="shared" si="443"/>
        <v>0</v>
      </c>
      <c r="K2041" s="16">
        <f t="shared" si="443"/>
        <v>0</v>
      </c>
      <c r="L2041" s="16">
        <f t="shared" si="443"/>
        <v>0</v>
      </c>
      <c r="M2041" s="16">
        <f t="shared" si="443"/>
        <v>0</v>
      </c>
    </row>
    <row r="2042" spans="1:13" ht="15" customHeight="1" x14ac:dyDescent="0.2">
      <c r="B2042" s="10" t="s">
        <v>899</v>
      </c>
      <c r="C2042" s="10" t="s">
        <v>110</v>
      </c>
      <c r="D2042" s="16">
        <f t="shared" ref="D2042:M2042" si="444">D2038*$D$2059</f>
        <v>0</v>
      </c>
      <c r="E2042" s="16">
        <f t="shared" si="444"/>
        <v>0</v>
      </c>
      <c r="F2042" s="16">
        <f t="shared" si="444"/>
        <v>0</v>
      </c>
      <c r="G2042" s="16">
        <f t="shared" si="444"/>
        <v>2638.0048485671714</v>
      </c>
      <c r="H2042" s="16">
        <f t="shared" si="444"/>
        <v>7129.4948429102333</v>
      </c>
      <c r="I2042" s="16">
        <f t="shared" si="444"/>
        <v>17823.737107275589</v>
      </c>
      <c r="J2042" s="16">
        <f t="shared" si="444"/>
        <v>19606.110818003141</v>
      </c>
      <c r="K2042" s="16">
        <f t="shared" si="444"/>
        <v>24917.676232661652</v>
      </c>
      <c r="L2042" s="16">
        <f t="shared" si="444"/>
        <v>29409.166227004709</v>
      </c>
      <c r="M2042" s="16">
        <f t="shared" si="444"/>
        <v>17823.737107275589</v>
      </c>
    </row>
    <row r="2043" spans="1:13" ht="15" customHeight="1" x14ac:dyDescent="0.2">
      <c r="B2043" s="10" t="s">
        <v>900</v>
      </c>
      <c r="C2043" s="10" t="s">
        <v>199</v>
      </c>
      <c r="D2043" s="28">
        <f>D2037*Inputs!$D$23</f>
        <v>3.1080000000000001</v>
      </c>
      <c r="E2043" s="28">
        <f>E2037*Inputs!$D$23</f>
        <v>7.7700000000000022</v>
      </c>
      <c r="F2043" s="28">
        <f>F2037*Inputs!$D$23</f>
        <v>8.5469999999999988</v>
      </c>
      <c r="G2043" s="28">
        <f>G2037*Inputs!$D$23</f>
        <v>9.7125000000000004</v>
      </c>
      <c r="H2043" s="28">
        <f>H2037*Inputs!$D$23</f>
        <v>9.7125000000000004</v>
      </c>
      <c r="I2043" s="28">
        <f>I2037*Inputs!$D$23</f>
        <v>0</v>
      </c>
      <c r="J2043" s="28">
        <f>J2037*Inputs!$D$23</f>
        <v>0</v>
      </c>
      <c r="K2043" s="28">
        <f>K2037*Inputs!$D$23</f>
        <v>0</v>
      </c>
      <c r="L2043" s="28">
        <f>L2037*Inputs!$D$23</f>
        <v>0</v>
      </c>
      <c r="M2043" s="28">
        <f>M2037*Inputs!$D$23</f>
        <v>0</v>
      </c>
    </row>
    <row r="2044" spans="1:13" ht="15" customHeight="1" x14ac:dyDescent="0.2">
      <c r="B2044" s="3" t="s">
        <v>901</v>
      </c>
      <c r="C2044" s="10" t="s">
        <v>896</v>
      </c>
      <c r="D2044" s="28">
        <f>(D2039*$D$2057*(Inputs!$D$7-Inputs!$D$19)-D2043)/(Inputs!$D$7+$D$2058)^D2032</f>
        <v>40.99699201112098</v>
      </c>
      <c r="E2044" s="28">
        <f>(E2039*$D$2057*(Inputs!$D$7-Inputs!$D$19)-E2043)/(Inputs!$D$7+$D$2058)^E2032</f>
        <v>153.02781912726542</v>
      </c>
      <c r="F2044" s="28">
        <f>(F2039*$D$2057*(Inputs!$D$7-Inputs!$D$19)-F2043)/(Inputs!$D$7+$D$2058)^F2032</f>
        <v>268.8019226843403</v>
      </c>
      <c r="G2044" s="28">
        <f>(G2039*$D$2057*(Inputs!$D$7-Inputs!$D$19)-G2043)/(Inputs!$D$7+$D$2058)^G2032</f>
        <v>363.62824610263397</v>
      </c>
      <c r="H2044" s="28">
        <f>(H2039*$D$2057*(Inputs!$D$7-Inputs!$D$19)-H2043)/(Inputs!$D$7+$D$2058)^H2032</f>
        <v>435.07807528321291</v>
      </c>
      <c r="I2044" s="28">
        <f>(I2039*$D$2057*(Inputs!$D$7-Inputs!$D$19)-I2043)/(Inputs!$D$7+$D$2058)^I2032</f>
        <v>431.49711827119876</v>
      </c>
      <c r="J2044" s="28">
        <f>(J2039*$D$2057*(Inputs!$D$7-Inputs!$D$19)-J2043)/(Inputs!$D$7+$D$2058)^J2032</f>
        <v>372.01806500733016</v>
      </c>
      <c r="K2044" s="28">
        <f>(K2039*$D$2057*(Inputs!$D$7-Inputs!$D$19)-K2043)/(Inputs!$D$7+$D$2058)^K2032</f>
        <v>320.73780989845312</v>
      </c>
      <c r="L2044" s="28">
        <f>(L2039*$D$2057*(Inputs!$D$7-Inputs!$D$19)-L2043)/(Inputs!$D$7+$D$2058)^L2032</f>
        <v>276.52620228651875</v>
      </c>
      <c r="M2044" s="28">
        <f>(M2039*$D$2057*(Inputs!$D$7-Inputs!$D$19)-M2043)/(Inputs!$D$7+$D$2058)^M2032</f>
        <v>238.31201718226143</v>
      </c>
    </row>
    <row r="2045" spans="1:13" ht="15" customHeight="1" x14ac:dyDescent="0.2">
      <c r="B2045" s="10" t="s">
        <v>902</v>
      </c>
      <c r="C2045" s="10" t="s">
        <v>110</v>
      </c>
      <c r="D2045" s="16">
        <f>(D2040*Inputs!$D$19-D2041-D2042)/(Inputs!$D$7+$D$2058)^D2032</f>
        <v>-6403.0045740313244</v>
      </c>
      <c r="E2045" s="16">
        <f>(E2040*Inputs!$D$19-E2041-E2042)/(Inputs!$D$7+$D$2058)^E2032</f>
        <v>-13349.632212764713</v>
      </c>
      <c r="F2045" s="16">
        <f>(F2040*Inputs!$D$19-F2041-F2042)/(Inputs!$D$7+$D$2058)^F2032</f>
        <v>-11808.370082432088</v>
      </c>
      <c r="G2045" s="16">
        <f>(G2040*Inputs!$D$19-G2041-G2042)/(Inputs!$D$7+$D$2058)^G2032</f>
        <v>-12397.921878440668</v>
      </c>
      <c r="H2045" s="16">
        <f>(H2040*Inputs!$D$19-H2041-H2042)/(Inputs!$D$7+$D$2058)^H2032</f>
        <v>-12082.366885213038</v>
      </c>
      <c r="I2045" s="16">
        <f>(I2040*Inputs!$D$19-I2041-I2042)/(Inputs!$D$7+$D$2058)^I2032</f>
        <v>-4657.0743222469628</v>
      </c>
      <c r="J2045" s="16">
        <f>(J2040*Inputs!$D$19-J2041-J2042)/(Inputs!$D$7+$D$2058)^J2032</f>
        <v>-4672.9398284057479</v>
      </c>
      <c r="K2045" s="16">
        <f>(K2040*Inputs!$D$19-K2041-K2042)/(Inputs!$D$7+$D$2058)^K2032</f>
        <v>-5718.9047268503064</v>
      </c>
      <c r="L2045" s="16">
        <f>(L2040*Inputs!$D$19-L2041-L2042)/(Inputs!$D$7+$D$2058)^L2032</f>
        <v>-6162.7485564592316</v>
      </c>
      <c r="M2045" s="16">
        <f>(M2040*Inputs!$D$19-M2041-M2042)/(Inputs!$D$7+$D$2058)^M2032</f>
        <v>-2572.0606903447429</v>
      </c>
    </row>
    <row r="2046" spans="1:13" ht="15" customHeight="1" x14ac:dyDescent="0.2">
      <c r="B2046" s="10" t="s">
        <v>903</v>
      </c>
      <c r="C2046" s="10" t="s">
        <v>110</v>
      </c>
      <c r="D2046" s="16">
        <f t="shared" ref="D2046:M2046" si="445">D2039*$D$2056</f>
        <v>2103.7751073316781</v>
      </c>
      <c r="E2046" s="16">
        <f t="shared" si="445"/>
        <v>8865.9806038881343</v>
      </c>
      <c r="F2046" s="16">
        <f t="shared" si="445"/>
        <v>17748.83738355427</v>
      </c>
      <c r="G2046" s="16">
        <f t="shared" si="445"/>
        <v>27689.177113180656</v>
      </c>
      <c r="H2046" s="16">
        <f t="shared" si="445"/>
        <v>38264.006612783196</v>
      </c>
      <c r="I2046" s="16">
        <f t="shared" si="445"/>
        <v>43551.421362584464</v>
      </c>
      <c r="J2046" s="16">
        <f t="shared" si="445"/>
        <v>43551.421362584464</v>
      </c>
      <c r="K2046" s="16">
        <f t="shared" si="445"/>
        <v>43551.421362584464</v>
      </c>
      <c r="L2046" s="16">
        <f t="shared" si="445"/>
        <v>43551.421362584464</v>
      </c>
      <c r="M2046" s="16">
        <f t="shared" si="445"/>
        <v>43551.421362584464</v>
      </c>
    </row>
    <row r="2047" spans="1:13" ht="15" customHeight="1" x14ac:dyDescent="0.2">
      <c r="B2047" s="10" t="s">
        <v>904</v>
      </c>
      <c r="C2047" s="10" t="s">
        <v>110</v>
      </c>
      <c r="D2047" s="16">
        <f t="shared" ref="D2047:M2047" si="446">D2046*$D$2057</f>
        <v>1893.3975965985103</v>
      </c>
      <c r="E2047" s="16">
        <f t="shared" si="446"/>
        <v>7979.3825434993214</v>
      </c>
      <c r="F2047" s="16">
        <f t="shared" si="446"/>
        <v>15973.953645198842</v>
      </c>
      <c r="G2047" s="16">
        <f t="shared" si="446"/>
        <v>24920.25940186259</v>
      </c>
      <c r="H2047" s="16">
        <f t="shared" si="446"/>
        <v>34437.605951504876</v>
      </c>
      <c r="I2047" s="16">
        <f t="shared" si="446"/>
        <v>39196.27922632602</v>
      </c>
      <c r="J2047" s="16">
        <f t="shared" si="446"/>
        <v>39196.27922632602</v>
      </c>
      <c r="K2047" s="16">
        <f t="shared" si="446"/>
        <v>39196.27922632602</v>
      </c>
      <c r="L2047" s="16">
        <f t="shared" si="446"/>
        <v>39196.27922632602</v>
      </c>
      <c r="M2047" s="16">
        <f t="shared" si="446"/>
        <v>39196.27922632602</v>
      </c>
    </row>
    <row r="2048" spans="1:13" ht="15" customHeight="1" x14ac:dyDescent="0.2">
      <c r="B2048" s="10" t="s">
        <v>905</v>
      </c>
      <c r="C2048" s="10" t="s">
        <v>110</v>
      </c>
      <c r="D2048" s="16">
        <f t="shared" ref="D2048:M2048" si="447">D2047-D2040</f>
        <v>775.1941072872562</v>
      </c>
      <c r="E2048" s="16">
        <f t="shared" si="447"/>
        <v>3266.9156962192474</v>
      </c>
      <c r="F2048" s="16">
        <f t="shared" si="447"/>
        <v>6540.0498860270236</v>
      </c>
      <c r="G2048" s="16">
        <f t="shared" si="447"/>
        <v>10202.842907954771</v>
      </c>
      <c r="H2048" s="16">
        <f t="shared" si="447"/>
        <v>14099.431229154507</v>
      </c>
      <c r="I2048" s="16">
        <f t="shared" si="447"/>
        <v>16047.725389754371</v>
      </c>
      <c r="J2048" s="16">
        <f t="shared" si="447"/>
        <v>16047.725389754371</v>
      </c>
      <c r="K2048" s="16">
        <f t="shared" si="447"/>
        <v>16047.725389754371</v>
      </c>
      <c r="L2048" s="16">
        <f t="shared" si="447"/>
        <v>16047.725389754371</v>
      </c>
      <c r="M2048" s="16">
        <f t="shared" si="447"/>
        <v>16047.725389754371</v>
      </c>
    </row>
    <row r="2049" spans="2:13" ht="15" customHeight="1" x14ac:dyDescent="0.2">
      <c r="B2049" s="10" t="s">
        <v>906</v>
      </c>
      <c r="C2049" s="10" t="s">
        <v>110</v>
      </c>
      <c r="D2049" s="16">
        <f>MAX(D2048,Inputs!$D$6)*Inputs!$D$19</f>
        <v>232.55823218617684</v>
      </c>
      <c r="E2049" s="16">
        <f>MAX(E2048,Inputs!$D$6)*Inputs!$D$19</f>
        <v>980.07470886577414</v>
      </c>
      <c r="F2049" s="16">
        <f>MAX(F2048,Inputs!$D$6)*Inputs!$D$19</f>
        <v>1962.014965808107</v>
      </c>
      <c r="G2049" s="16">
        <f>MAX(G2048,Inputs!$D$6)*Inputs!$D$19</f>
        <v>3060.8528723864315</v>
      </c>
      <c r="H2049" s="16">
        <f>MAX(H2048,Inputs!$D$6)*Inputs!$D$19</f>
        <v>4229.829368746352</v>
      </c>
      <c r="I2049" s="16">
        <f>MAX(I2048,Inputs!$D$6)*Inputs!$D$19</f>
        <v>4814.3176169263106</v>
      </c>
      <c r="J2049" s="16">
        <f>MAX(J2048,Inputs!$D$6)*Inputs!$D$19</f>
        <v>4814.3176169263106</v>
      </c>
      <c r="K2049" s="16">
        <f>MAX(K2048,Inputs!$D$6)*Inputs!$D$19</f>
        <v>4814.3176169263106</v>
      </c>
      <c r="L2049" s="16">
        <f>MAX(L2048,Inputs!$D$6)*Inputs!$D$19</f>
        <v>4814.3176169263106</v>
      </c>
      <c r="M2049" s="16">
        <f>MAX(M2048,Inputs!$D$6)*Inputs!$D$19</f>
        <v>4814.3176169263106</v>
      </c>
    </row>
    <row r="2050" spans="2:13" ht="15" customHeight="1" x14ac:dyDescent="0.2">
      <c r="B2050" s="10" t="s">
        <v>907</v>
      </c>
      <c r="C2050" s="10" t="s">
        <v>110</v>
      </c>
      <c r="D2050" s="16">
        <f t="shared" ref="D2050:M2050" si="448">D2043*$D$2056</f>
        <v>84.598635996820335</v>
      </c>
      <c r="E2050" s="16">
        <f t="shared" si="448"/>
        <v>211.49658999205087</v>
      </c>
      <c r="F2050" s="16">
        <f t="shared" si="448"/>
        <v>232.64624899125587</v>
      </c>
      <c r="G2050" s="16">
        <f t="shared" si="448"/>
        <v>264.3707374900635</v>
      </c>
      <c r="H2050" s="16">
        <f t="shared" si="448"/>
        <v>264.3707374900635</v>
      </c>
      <c r="I2050" s="16">
        <f t="shared" si="448"/>
        <v>0</v>
      </c>
      <c r="J2050" s="16">
        <f t="shared" si="448"/>
        <v>0</v>
      </c>
      <c r="K2050" s="16">
        <f t="shared" si="448"/>
        <v>0</v>
      </c>
      <c r="L2050" s="16">
        <f t="shared" si="448"/>
        <v>0</v>
      </c>
      <c r="M2050" s="16">
        <f t="shared" si="448"/>
        <v>0</v>
      </c>
    </row>
    <row r="2051" spans="2:13" ht="15" customHeight="1" x14ac:dyDescent="0.2">
      <c r="B2051" s="10" t="s">
        <v>908</v>
      </c>
      <c r="C2051" s="10" t="s">
        <v>110</v>
      </c>
      <c r="D2051" s="16">
        <f t="shared" ref="D2051:M2051" si="449">D2047-D2049-D2041-D2042-D2050</f>
        <v>-5878.6325619758918</v>
      </c>
      <c r="E2051" s="16">
        <f t="shared" si="449"/>
        <v>-11849.371981337024</v>
      </c>
      <c r="F2051" s="16">
        <f t="shared" si="449"/>
        <v>-6721.6091181768825</v>
      </c>
      <c r="G2051" s="16">
        <f t="shared" si="449"/>
        <v>-4339.4480890542218</v>
      </c>
      <c r="H2051" s="16">
        <f t="shared" si="449"/>
        <v>-482.56803011491621</v>
      </c>
      <c r="I2051" s="16">
        <f t="shared" si="449"/>
        <v>16558.224502124121</v>
      </c>
      <c r="J2051" s="16">
        <f t="shared" si="449"/>
        <v>14775.85079139657</v>
      </c>
      <c r="K2051" s="16">
        <f t="shared" si="449"/>
        <v>9464.2853767380584</v>
      </c>
      <c r="L2051" s="16">
        <f t="shared" si="449"/>
        <v>4972.7953823950011</v>
      </c>
      <c r="M2051" s="16">
        <f t="shared" si="449"/>
        <v>16558.224502124121</v>
      </c>
    </row>
    <row r="2052" spans="2:13" ht="15" customHeight="1" x14ac:dyDescent="0.2">
      <c r="B2052" s="10" t="s">
        <v>909</v>
      </c>
      <c r="C2052" s="10" t="s">
        <v>110</v>
      </c>
      <c r="D2052" s="16">
        <f>D2051/(Inputs!$D$7+$D$2058)^D2032</f>
        <v>-5287.0812779845501</v>
      </c>
      <c r="E2052" s="16">
        <f>E2051/(Inputs!$D$7+$D$2058)^E2032</f>
        <v>-9184.2703183841513</v>
      </c>
      <c r="F2052" s="16">
        <f>F2051/(Inputs!$D$7+$D$2058)^F2032</f>
        <v>-4491.6789587454869</v>
      </c>
      <c r="G2052" s="16">
        <f>G2051/(Inputs!$D$7+$D$2058)^G2032</f>
        <v>-2500.0925250948076</v>
      </c>
      <c r="H2052" s="16">
        <f>H2051/(Inputs!$D$7+$D$2058)^H2032</f>
        <v>-239.69902128712914</v>
      </c>
      <c r="I2052" s="16">
        <f>I2051/(Inputs!$D$7+$D$2058)^I2032</f>
        <v>7088.12118685924</v>
      </c>
      <c r="J2052" s="16">
        <f>J2051/(Inputs!$D$7+$D$2058)^J2032</f>
        <v>5453.2573613614886</v>
      </c>
      <c r="K2052" s="16">
        <f>K2051/(Inputs!$D$7+$D$2058)^K2032</f>
        <v>3011.4624642747235</v>
      </c>
      <c r="L2052" s="16">
        <f>L2051/(Inputs!$D$7+$D$2058)^L2032</f>
        <v>1364.1946645254231</v>
      </c>
      <c r="M2052" s="16">
        <f>M2051/(Inputs!$D$7+$D$2058)^M2032</f>
        <v>3914.7062322003439</v>
      </c>
    </row>
    <row r="2053" spans="2:13" ht="15" customHeight="1" x14ac:dyDescent="0.2">
      <c r="B2053" s="3" t="s">
        <v>910</v>
      </c>
      <c r="C2053" s="10" t="s">
        <v>896</v>
      </c>
      <c r="D2053" s="28">
        <f>(D2039*$D$2057-D2043)/(Inputs!$D$7+$D$2058)^D2032</f>
        <v>59.765095798928819</v>
      </c>
      <c r="E2053" s="28">
        <f>(E2039*$D$2057-E2043)/(Inputs!$D$7+$D$2058)^E2032</f>
        <v>221.1922031857838</v>
      </c>
      <c r="F2053" s="28">
        <f>(F2039*$D$2057-F2043)/(Inputs!$D$7+$D$2058)^F2032</f>
        <v>386.45052664112239</v>
      </c>
      <c r="G2053" s="28">
        <f>(G2039*$D$2057-G2043)/(Inputs!$D$7+$D$2058)^G2032</f>
        <v>521.867070169518</v>
      </c>
      <c r="H2053" s="28">
        <f>(H2039*$D$2057-H2043)/(Inputs!$D$7+$D$2058)^H2032</f>
        <v>623.60768582417222</v>
      </c>
      <c r="I2053" s="28">
        <f>(I2039*$D$2057-I2043)/(Inputs!$D$7+$D$2058)^I2032</f>
        <v>616.42445467314121</v>
      </c>
      <c r="J2053" s="28">
        <f>(J2039*$D$2057-J2043)/(Inputs!$D$7+$D$2058)^J2032</f>
        <v>531.4543785819003</v>
      </c>
      <c r="K2053" s="28">
        <f>(K2039*$D$2057-K2043)/(Inputs!$D$7+$D$2058)^K2032</f>
        <v>458.19687128350449</v>
      </c>
      <c r="L2053" s="28">
        <f>(L2039*$D$2057-L2043)/(Inputs!$D$7+$D$2058)^L2032</f>
        <v>395.03743183788401</v>
      </c>
      <c r="M2053" s="28">
        <f>(M2039*$D$2057-M2043)/(Inputs!$D$7+$D$2058)^M2032</f>
        <v>340.44573883180209</v>
      </c>
    </row>
    <row r="2054" spans="2:13" ht="15" customHeight="1" x14ac:dyDescent="0.2">
      <c r="B2054" s="10" t="s">
        <v>911</v>
      </c>
      <c r="C2054" s="10" t="s">
        <v>110</v>
      </c>
      <c r="D2054" s="16">
        <f>(-D2041-D2042)/(Inputs!$D$7+$D$2058)^D2032</f>
        <v>-6704.7090607969039</v>
      </c>
      <c r="E2054" s="16">
        <f>(-E2041-E2042)/(Inputs!$D$7+$D$2058)^E2032</f>
        <v>-14445.4009031226</v>
      </c>
      <c r="F2054" s="16">
        <f>(-F2041-F2042)/(Inputs!$D$7+$D$2058)^F2032</f>
        <v>-13699.616639717549</v>
      </c>
      <c r="G2054" s="16">
        <f>(-G2041-G2042)/(Inputs!$D$7+$D$2058)^G2032</f>
        <v>-14941.671835349038</v>
      </c>
      <c r="H2054" s="16">
        <f>(-H2041-H2042)/(Inputs!$D$7+$D$2058)^H2032</f>
        <v>-15113.052884793095</v>
      </c>
      <c r="I2054" s="16">
        <f>(-I2041-I2042)/(Inputs!$D$7+$D$2058)^I2032</f>
        <v>-7629.8523795762403</v>
      </c>
      <c r="J2054" s="16">
        <f>(-J2041-J2042)/(Inputs!$D$7+$D$2058)^J2032</f>
        <v>-7235.9398897150922</v>
      </c>
      <c r="K2054" s="16">
        <f>(-K2041-K2042)/(Inputs!$D$7+$D$2058)^K2032</f>
        <v>-7928.612006570077</v>
      </c>
      <c r="L2054" s="16">
        <f>(-L2041-L2042)/(Inputs!$D$7+$D$2058)^L2032</f>
        <v>-8067.8621519509534</v>
      </c>
      <c r="M2054" s="16">
        <f>(-M2041-M2042)/(Inputs!$D$7+$D$2058)^M2032</f>
        <v>-4213.8995473821142</v>
      </c>
    </row>
    <row r="2055" spans="2:13" ht="15" customHeight="1" x14ac:dyDescent="0.2">
      <c r="B2055" s="10" t="s">
        <v>912</v>
      </c>
      <c r="C2055" s="10" t="s">
        <v>110</v>
      </c>
      <c r="D2055" s="16">
        <f>Prices!I13</f>
        <v>15045.135406218656</v>
      </c>
    </row>
    <row r="2056" spans="2:13" ht="15" customHeight="1" x14ac:dyDescent="0.2">
      <c r="B2056" s="3" t="s">
        <v>913</v>
      </c>
      <c r="C2056" s="10" t="s">
        <v>914</v>
      </c>
      <c r="D2056" s="28">
        <f>IF(J2063&gt;=J2059,J2063,(D2055-J2062)/J2061)</f>
        <v>27.219638351615291</v>
      </c>
      <c r="G2056" s="99" t="s">
        <v>915</v>
      </c>
      <c r="H2056" s="91"/>
      <c r="I2056" s="91"/>
      <c r="J2056" s="28">
        <f>D2056*Inputs!$D$15</f>
        <v>18.996585605592312</v>
      </c>
      <c r="K2056" s="99" t="s">
        <v>916</v>
      </c>
      <c r="L2056" s="91"/>
      <c r="M2056" s="91"/>
    </row>
    <row r="2057" spans="2:13" ht="15" customHeight="1" x14ac:dyDescent="0.2">
      <c r="B2057" s="10" t="s">
        <v>917</v>
      </c>
      <c r="C2057" s="10" t="s">
        <v>104</v>
      </c>
      <c r="D2057" s="30">
        <f>Inputs!$D$107</f>
        <v>0.9</v>
      </c>
      <c r="G2057" s="99" t="s">
        <v>918</v>
      </c>
      <c r="H2057" s="91"/>
      <c r="I2057" s="91"/>
      <c r="J2057" s="28">
        <f>IF(-D2068/D2067&gt;=J2059,-D2068/D2067,-J2062/J2061)</f>
        <v>24.024174528419383</v>
      </c>
      <c r="K2057" s="99" t="s">
        <v>919</v>
      </c>
      <c r="L2057" s="91"/>
      <c r="M2057" s="91"/>
    </row>
    <row r="2058" spans="2:13" ht="15" customHeight="1" x14ac:dyDescent="0.2">
      <c r="B2058" s="10" t="s">
        <v>920</v>
      </c>
      <c r="C2058" s="10" t="s">
        <v>104</v>
      </c>
      <c r="D2058" s="30">
        <f>Inputs!$D$108</f>
        <v>0.16</v>
      </c>
      <c r="G2058" s="99" t="s">
        <v>918</v>
      </c>
      <c r="H2058" s="91"/>
      <c r="I2058" s="91"/>
      <c r="J2058" s="28">
        <f>J2057*Inputs!$D$15</f>
        <v>16.766471403383886</v>
      </c>
      <c r="K2058" s="99" t="s">
        <v>916</v>
      </c>
      <c r="L2058" s="91"/>
      <c r="M2058" s="91"/>
    </row>
    <row r="2059" spans="2:13" ht="15" customHeight="1" x14ac:dyDescent="0.2">
      <c r="B2059" s="3" t="s">
        <v>921</v>
      </c>
      <c r="C2059" s="10" t="s">
        <v>848</v>
      </c>
      <c r="D2059" s="28">
        <f>Capital!$D$13</f>
        <v>57.347931490590682</v>
      </c>
      <c r="G2059" s="99" t="s">
        <v>922</v>
      </c>
      <c r="H2059" s="91"/>
      <c r="I2059" s="91"/>
      <c r="J2059" s="28">
        <f>($D$2059/Inputs!$D$21+$D$2060/Inputs!$D$22)/$D$2057</f>
        <v>16.07538460873031</v>
      </c>
      <c r="K2059" s="99" t="s">
        <v>919</v>
      </c>
      <c r="L2059" s="91"/>
      <c r="M2059" s="91"/>
    </row>
    <row r="2060" spans="2:13" ht="15" customHeight="1" x14ac:dyDescent="0.2">
      <c r="B2060" s="3" t="s">
        <v>923</v>
      </c>
      <c r="C2060" s="10" t="s">
        <v>848</v>
      </c>
      <c r="D2060" s="28">
        <f>Capital!$D$14</f>
        <v>2.6172655041921802</v>
      </c>
    </row>
    <row r="2061" spans="2:13" ht="15" customHeight="1" x14ac:dyDescent="0.2">
      <c r="B2061" s="10" t="s">
        <v>924</v>
      </c>
      <c r="C2061" s="10" t="s">
        <v>896</v>
      </c>
      <c r="D2061" s="28">
        <f>(M2034*(Inputs!$D$7+Inputs!$D$20)*$D$2057*(Inputs!$D$7-Inputs!$D$19)-M2034*Inputs!$D$20*Inputs!$D$23)/($D$2058-Inputs!$D$20)/(Inputs!$D$7+$D$2058)^M2032</f>
        <v>1807.6547922951956</v>
      </c>
      <c r="G2061" s="92" t="s">
        <v>910</v>
      </c>
      <c r="H2061" s="91"/>
      <c r="I2061" s="91"/>
      <c r="J2061" s="28">
        <f>SUM(D2053:M2053)+(M2034*(Inputs!$D$7+Inputs!$D$20)*$D$2057-M2034*Inputs!$D$20*Inputs!$D$23)/($D$2058-Inputs!$D$20)/(Inputs!$D$7+$D$2058)^M2032</f>
        <v>6737.5559875731687</v>
      </c>
      <c r="K2061" s="99" t="s">
        <v>896</v>
      </c>
      <c r="L2061" s="91"/>
      <c r="M2061" s="91"/>
    </row>
    <row r="2062" spans="2:13" ht="15" customHeight="1" x14ac:dyDescent="0.2">
      <c r="B2062" s="10" t="s">
        <v>925</v>
      </c>
      <c r="C2062" s="10" t="s">
        <v>110</v>
      </c>
      <c r="D2062" s="16">
        <f>(D2065*Inputs!$D$19-D2065-D2066)/($D$2058-Inputs!$D$20)/(Inputs!$D$7+$D$2058)^M2032</f>
        <v>-33287.494112345899</v>
      </c>
      <c r="G2062" s="92" t="s">
        <v>926</v>
      </c>
      <c r="H2062" s="91"/>
      <c r="I2062" s="91"/>
      <c r="J2062" s="16">
        <f>SUM(D2054:M2054)-(D2065+D2066)/($D$2058-Inputs!$D$20)/(Inputs!$D$7+$D$2058)^M2032</f>
        <v>-145733.9249554922</v>
      </c>
      <c r="K2062" s="99" t="s">
        <v>110</v>
      </c>
      <c r="L2062" s="91"/>
      <c r="M2062" s="91"/>
    </row>
    <row r="2063" spans="2:13" ht="15" customHeight="1" x14ac:dyDescent="0.2">
      <c r="B2063" s="10" t="s">
        <v>927</v>
      </c>
      <c r="C2063" s="10" t="s">
        <v>928</v>
      </c>
      <c r="D2063" s="16">
        <f>(M2034*(Inputs!$D$7+Inputs!$D$20)*$D$2056*$D$2057-D2065)-MAX((M2034*(Inputs!$D$7+Inputs!$D$20)*$D$2056*$D$2057-D2065),Inputs!$D$6)*Inputs!$D$19-D2066-M2034*Inputs!$D$20*$D$2056*Inputs!$D$23</f>
        <v>9088.4154490058318</v>
      </c>
      <c r="G2063" s="99" t="s">
        <v>929</v>
      </c>
      <c r="H2063" s="91"/>
      <c r="I2063" s="91"/>
      <c r="J2063" s="28">
        <f>(D2055-D2068)/D2067</f>
        <v>27.219638351615291</v>
      </c>
      <c r="K2063" s="99" t="s">
        <v>919</v>
      </c>
      <c r="L2063" s="91"/>
      <c r="M2063" s="91"/>
    </row>
    <row r="2064" spans="2:13" ht="15" customHeight="1" x14ac:dyDescent="0.2">
      <c r="B2064" s="10" t="s">
        <v>930</v>
      </c>
      <c r="C2064" s="10" t="s">
        <v>110</v>
      </c>
      <c r="D2064" s="16">
        <f>D2063/($D$2058-Inputs!$D$20)</f>
        <v>67321.59591856171</v>
      </c>
      <c r="G2064" s="99" t="s">
        <v>931</v>
      </c>
      <c r="H2064" s="91"/>
      <c r="I2064" s="91"/>
      <c r="J2064" s="16">
        <f>MIN(D2048:M2048,(M2034*(Inputs!$D$7+Inputs!$D$20)*$D$2056*$D$2057-D2065))</f>
        <v>775.1941072872562</v>
      </c>
      <c r="K2064" s="99" t="s">
        <v>110</v>
      </c>
      <c r="L2064" s="91"/>
      <c r="M2064" s="91"/>
    </row>
    <row r="2065" spans="1:13" ht="15" customHeight="1" x14ac:dyDescent="0.2">
      <c r="B2065" s="10" t="s">
        <v>932</v>
      </c>
      <c r="C2065" s="10" t="s">
        <v>928</v>
      </c>
      <c r="D2065" s="16">
        <f>M2034*(Inputs!$D$7+Inputs!$D$20)*($D$2059/Inputs!$D$21+$D$2060/Inputs!$D$22)</f>
        <v>23727.267682485937</v>
      </c>
      <c r="G2065" s="99" t="s">
        <v>933</v>
      </c>
      <c r="H2065" s="91"/>
      <c r="I2065" s="91"/>
      <c r="J2065" s="31" t="str">
        <f>IF(J2064&lt;Inputs!$D$6,"breached","satisfied")</f>
        <v>satisfied</v>
      </c>
      <c r="K2065" s="99" t="s">
        <v>934</v>
      </c>
      <c r="L2065" s="91"/>
      <c r="M2065" s="91"/>
    </row>
    <row r="2066" spans="1:13" ht="15" customHeight="1" x14ac:dyDescent="0.2">
      <c r="B2066" s="10" t="s">
        <v>935</v>
      </c>
      <c r="C2066" s="10" t="s">
        <v>928</v>
      </c>
      <c r="D2066" s="16">
        <f>M2034*Inputs!$D$20*($D$2059+$D$2060)</f>
        <v>2398.6078797913146</v>
      </c>
    </row>
    <row r="2067" spans="1:13" ht="15" customHeight="1" x14ac:dyDescent="0.2">
      <c r="B2067" s="10" t="s">
        <v>936</v>
      </c>
      <c r="C2067" s="10" t="s">
        <v>896</v>
      </c>
      <c r="D2067" s="28">
        <f>SUM(D2044:M2044)+D2061</f>
        <v>4708.2790601495317</v>
      </c>
      <c r="G2067" s="99" t="s">
        <v>937</v>
      </c>
      <c r="H2067" s="91"/>
      <c r="I2067" s="91"/>
      <c r="J2067" s="16">
        <f>D2069-D2055</f>
        <v>2.7284841053187847E-11</v>
      </c>
      <c r="K2067" s="99" t="s">
        <v>110</v>
      </c>
      <c r="L2067" s="91"/>
      <c r="M2067" s="91"/>
    </row>
    <row r="2068" spans="1:13" ht="15" customHeight="1" x14ac:dyDescent="0.2">
      <c r="B2068" s="10" t="s">
        <v>938</v>
      </c>
      <c r="C2068" s="10" t="s">
        <v>110</v>
      </c>
      <c r="D2068" s="16">
        <f>SUM(D2045:M2045)+D2062</f>
        <v>-113112.51786953473</v>
      </c>
    </row>
    <row r="2069" spans="1:13" ht="15" customHeight="1" x14ac:dyDescent="0.2">
      <c r="B2069" s="10" t="s">
        <v>939</v>
      </c>
      <c r="C2069" s="10" t="s">
        <v>110</v>
      </c>
      <c r="D2069" s="16">
        <f>SUM(D2052:M2052)+D2064/(Inputs!$D$7+$D$2058)^M2032</f>
        <v>15045.135406218684</v>
      </c>
    </row>
    <row r="2070" spans="1:13" ht="15" customHeight="1" x14ac:dyDescent="0.2">
      <c r="B2070" s="10" t="s">
        <v>940</v>
      </c>
      <c r="C2070" s="10" t="s">
        <v>104</v>
      </c>
      <c r="D2070" s="30">
        <f>IF(ABS(D2055)&gt;Inputs!$D$6,D2069/D2055-Inputs!$D$7,Inputs!$D$6)</f>
        <v>1.7763568394002505E-15</v>
      </c>
    </row>
    <row r="2071" spans="1:13" ht="15" customHeight="1" x14ac:dyDescent="0.2">
      <c r="B2071" s="10" t="s">
        <v>941</v>
      </c>
      <c r="C2071" s="10" t="s">
        <v>104</v>
      </c>
      <c r="D2071" s="30">
        <f>IF(ABS(D2069)&gt;Inputs!$D$119,D2064/(Inputs!$D$7+$D$2058)^M2032/D2069,Inputs!$D$6)</f>
        <v>1.0578977967798722</v>
      </c>
    </row>
    <row r="2072" spans="1:13" ht="15" customHeight="1" x14ac:dyDescent="0.2">
      <c r="B2072" s="10" t="s">
        <v>942</v>
      </c>
      <c r="C2072" s="10" t="s">
        <v>943</v>
      </c>
      <c r="D2072" s="26">
        <f>$D$2056*Inputs!$D$8/Prices!$P$6/(Inputs!$D$26/Inputs!$D$25)/Inputs!$D$11/Inputs!$D$56</f>
        <v>4.9499739145006769</v>
      </c>
    </row>
    <row r="2076" spans="1:13" ht="15" customHeight="1" x14ac:dyDescent="0.2">
      <c r="A2076" s="104" t="s">
        <v>988</v>
      </c>
      <c r="B2076" s="10" t="s">
        <v>886</v>
      </c>
      <c r="C2076" s="10" t="s">
        <v>107</v>
      </c>
      <c r="D2076" s="28">
        <f>Inputs!$D$60</f>
        <v>1</v>
      </c>
      <c r="E2076" s="28">
        <f>Inputs!$D$62</f>
        <v>2</v>
      </c>
      <c r="F2076" s="28">
        <f>Inputs!$D$64</f>
        <v>3</v>
      </c>
      <c r="G2076" s="28">
        <f>Inputs!$D$66</f>
        <v>4</v>
      </c>
      <c r="H2076" s="28">
        <f>Inputs!$D$68</f>
        <v>5</v>
      </c>
      <c r="I2076" s="28">
        <f>Inputs!$D$70</f>
        <v>6</v>
      </c>
      <c r="J2076" s="28">
        <f>Inputs!$D$72</f>
        <v>7</v>
      </c>
      <c r="K2076" s="28">
        <f>Inputs!$D$74</f>
        <v>8</v>
      </c>
      <c r="L2076" s="28">
        <f>Inputs!$D$76</f>
        <v>9</v>
      </c>
      <c r="M2076" s="28">
        <f>Inputs!$D$78</f>
        <v>10</v>
      </c>
    </row>
    <row r="2077" spans="1:13" ht="15" customHeight="1" x14ac:dyDescent="0.2">
      <c r="A2077" s="91"/>
      <c r="B2077" s="10" t="s">
        <v>887</v>
      </c>
      <c r="C2077" s="10" t="s">
        <v>161</v>
      </c>
      <c r="D2077" s="29">
        <f>Inputs!$D$61</f>
        <v>46568</v>
      </c>
      <c r="E2077" s="29">
        <f>Inputs!$D$63</f>
        <v>46934</v>
      </c>
      <c r="F2077" s="29">
        <f>Inputs!$D$65</f>
        <v>47299</v>
      </c>
      <c r="G2077" s="29">
        <f>Inputs!$D$67</f>
        <v>47664</v>
      </c>
      <c r="H2077" s="29">
        <f>Inputs!$D$69</f>
        <v>48029</v>
      </c>
      <c r="I2077" s="29">
        <f>Inputs!$D$71</f>
        <v>48395</v>
      </c>
      <c r="J2077" s="29">
        <f>Inputs!$D$73</f>
        <v>48760</v>
      </c>
      <c r="K2077" s="29">
        <f>Inputs!$D$75</f>
        <v>49125</v>
      </c>
      <c r="L2077" s="29">
        <f>Inputs!$D$77</f>
        <v>49490</v>
      </c>
      <c r="M2077" s="29">
        <f>Inputs!$D$79</f>
        <v>49856</v>
      </c>
    </row>
    <row r="2078" spans="1:13" ht="15" customHeight="1" x14ac:dyDescent="0.2">
      <c r="A2078" s="91"/>
      <c r="B2078" s="10" t="s">
        <v>888</v>
      </c>
      <c r="C2078" s="10" t="s">
        <v>107</v>
      </c>
      <c r="D2078" s="28">
        <f>(D2077-Inputs!$D$13)/Inputs!$D$10</f>
        <v>0.71457905544147848</v>
      </c>
      <c r="E2078" s="28">
        <f>(E2077-Inputs!$D$13)/Inputs!$D$10</f>
        <v>1.7166324435318274</v>
      </c>
      <c r="F2078" s="28">
        <f>(F2077-Inputs!$D$13)/Inputs!$D$10</f>
        <v>2.7159479808350446</v>
      </c>
      <c r="G2078" s="28">
        <f>(G2077-Inputs!$D$13)/Inputs!$D$10</f>
        <v>3.7152635181382614</v>
      </c>
      <c r="H2078" s="28">
        <f>(H2077-Inputs!$D$13)/Inputs!$D$10</f>
        <v>4.7145790554414786</v>
      </c>
      <c r="I2078" s="28">
        <f>(I2077-Inputs!$D$13)/Inputs!$D$10</f>
        <v>5.7166324435318279</v>
      </c>
      <c r="J2078" s="28">
        <f>(J2077-Inputs!$D$13)/Inputs!$D$10</f>
        <v>6.7159479808350442</v>
      </c>
      <c r="K2078" s="28">
        <f>(K2077-Inputs!$D$13)/Inputs!$D$10</f>
        <v>7.7152635181382614</v>
      </c>
      <c r="L2078" s="28">
        <f>(L2077-Inputs!$D$13)/Inputs!$D$10</f>
        <v>8.7145790554414777</v>
      </c>
      <c r="M2078" s="28">
        <f>(M2077-Inputs!$D$13)/Inputs!$D$10</f>
        <v>9.716632443531827</v>
      </c>
    </row>
    <row r="2079" spans="1:13" ht="15" customHeight="1" x14ac:dyDescent="0.2">
      <c r="A2079" s="91"/>
      <c r="B2079" s="10" t="s">
        <v>889</v>
      </c>
      <c r="C2079" s="10" t="s">
        <v>107</v>
      </c>
      <c r="D2079" s="28">
        <f>D2078</f>
        <v>0.71457905544147848</v>
      </c>
      <c r="E2079" s="28">
        <f>Inputs!$D$7</f>
        <v>1</v>
      </c>
      <c r="F2079" s="28">
        <f>Inputs!$D$7</f>
        <v>1</v>
      </c>
      <c r="G2079" s="28">
        <f>Inputs!$D$7</f>
        <v>1</v>
      </c>
      <c r="H2079" s="28">
        <f>Inputs!$D$7</f>
        <v>1</v>
      </c>
      <c r="I2079" s="28">
        <f>Inputs!$D$7</f>
        <v>1</v>
      </c>
      <c r="J2079" s="28">
        <f>Inputs!$D$7</f>
        <v>1</v>
      </c>
      <c r="K2079" s="28">
        <f>Inputs!$D$7</f>
        <v>1</v>
      </c>
      <c r="L2079" s="28">
        <f>Inputs!$D$7</f>
        <v>1</v>
      </c>
      <c r="M2079" s="28">
        <f>Inputs!$D$7</f>
        <v>1</v>
      </c>
    </row>
    <row r="2080" spans="1:13" ht="15" customHeight="1" x14ac:dyDescent="0.2">
      <c r="A2080" s="91"/>
      <c r="B2080" s="3" t="s">
        <v>890</v>
      </c>
      <c r="C2080" s="10" t="s">
        <v>199</v>
      </c>
      <c r="D2080" s="28">
        <f>Inputs!$D$24+(Inputs!$D$80-Inputs!$D$24)*Inputs!$D$83</f>
        <v>305.5</v>
      </c>
      <c r="E2080" s="28">
        <f>Inputs!$D$24+(Inputs!$D$80-Inputs!$D$24)*Inputs!$D$84</f>
        <v>651.5</v>
      </c>
      <c r="F2080" s="28">
        <f>Inputs!$D$24+(Inputs!$D$80-Inputs!$D$24)*Inputs!$D$85</f>
        <v>911</v>
      </c>
      <c r="G2080" s="28">
        <f>Inputs!$D$24+(Inputs!$D$80-Inputs!$D$24)*Inputs!$D$86</f>
        <v>911</v>
      </c>
      <c r="H2080" s="28">
        <f>Inputs!$D$24+(Inputs!$D$80-Inputs!$D$24)*Inputs!$D$87</f>
        <v>911</v>
      </c>
      <c r="I2080" s="28">
        <f>Inputs!$D$24+(Inputs!$D$80-Inputs!$D$24)*Inputs!$D$88</f>
        <v>911</v>
      </c>
      <c r="J2080" s="28">
        <f>Inputs!$D$24+(Inputs!$D$80-Inputs!$D$24)*Inputs!$D$89</f>
        <v>911</v>
      </c>
      <c r="K2080" s="28">
        <f>Inputs!$D$24+(Inputs!$D$80-Inputs!$D$24)*Inputs!$D$90</f>
        <v>911</v>
      </c>
      <c r="L2080" s="28">
        <f>Inputs!$D$24+(Inputs!$D$80-Inputs!$D$24)*Inputs!$D$91</f>
        <v>911</v>
      </c>
      <c r="M2080" s="28">
        <f>Inputs!$D$24+(Inputs!$D$80-Inputs!$D$24)*Inputs!$D$92</f>
        <v>911</v>
      </c>
    </row>
    <row r="2081" spans="1:13" ht="15" customHeight="1" x14ac:dyDescent="0.2">
      <c r="A2081" s="91"/>
      <c r="B2081" s="10" t="s">
        <v>891</v>
      </c>
      <c r="C2081" s="10" t="s">
        <v>199</v>
      </c>
      <c r="D2081" s="28">
        <f>Inputs!$D$24</f>
        <v>46</v>
      </c>
      <c r="E2081" s="28">
        <f t="shared" ref="E2081:M2081" si="450">D2080</f>
        <v>305.5</v>
      </c>
      <c r="F2081" s="28">
        <f t="shared" si="450"/>
        <v>651.5</v>
      </c>
      <c r="G2081" s="28">
        <f t="shared" si="450"/>
        <v>911</v>
      </c>
      <c r="H2081" s="28">
        <f t="shared" si="450"/>
        <v>911</v>
      </c>
      <c r="I2081" s="28">
        <f t="shared" si="450"/>
        <v>911</v>
      </c>
      <c r="J2081" s="28">
        <f t="shared" si="450"/>
        <v>911</v>
      </c>
      <c r="K2081" s="28">
        <f t="shared" si="450"/>
        <v>911</v>
      </c>
      <c r="L2081" s="28">
        <f t="shared" si="450"/>
        <v>911</v>
      </c>
      <c r="M2081" s="28">
        <f t="shared" si="450"/>
        <v>911</v>
      </c>
    </row>
    <row r="2082" spans="1:13" ht="15" customHeight="1" x14ac:dyDescent="0.2">
      <c r="B2082" s="10" t="s">
        <v>892</v>
      </c>
      <c r="C2082" s="10" t="s">
        <v>199</v>
      </c>
      <c r="D2082" s="28">
        <f>(D2081+D2080)*Inputs!$D$12</f>
        <v>175.75</v>
      </c>
      <c r="E2082" s="28">
        <f>(E2081+E2080)*Inputs!$D$12</f>
        <v>478.5</v>
      </c>
      <c r="F2082" s="28">
        <f>(F2081+F2080)*Inputs!$D$12</f>
        <v>781.25</v>
      </c>
      <c r="G2082" s="28">
        <f>(G2081+G2080)*Inputs!$D$12</f>
        <v>911</v>
      </c>
      <c r="H2082" s="28">
        <f>(H2081+H2080)*Inputs!$D$12</f>
        <v>911</v>
      </c>
      <c r="I2082" s="28">
        <f>(I2081+I2080)*Inputs!$D$12</f>
        <v>911</v>
      </c>
      <c r="J2082" s="28">
        <f>(J2081+J2080)*Inputs!$D$12</f>
        <v>911</v>
      </c>
      <c r="K2082" s="28">
        <f>(K2081+K2080)*Inputs!$D$12</f>
        <v>911</v>
      </c>
      <c r="L2082" s="28">
        <f>(L2081+L2080)*Inputs!$D$12</f>
        <v>911</v>
      </c>
      <c r="M2082" s="28">
        <f>(M2081+M2080)*Inputs!$D$12</f>
        <v>911</v>
      </c>
    </row>
    <row r="2083" spans="1:13" ht="15" customHeight="1" x14ac:dyDescent="0.2">
      <c r="B2083" s="10" t="s">
        <v>893</v>
      </c>
      <c r="C2083" s="10" t="s">
        <v>199</v>
      </c>
      <c r="D2083" s="28">
        <f t="shared" ref="D2083:M2083" si="451">D2080-D2081</f>
        <v>259.5</v>
      </c>
      <c r="E2083" s="28">
        <f t="shared" si="451"/>
        <v>346</v>
      </c>
      <c r="F2083" s="28">
        <f t="shared" si="451"/>
        <v>259.5</v>
      </c>
      <c r="G2083" s="28">
        <f t="shared" si="451"/>
        <v>0</v>
      </c>
      <c r="H2083" s="28">
        <f t="shared" si="451"/>
        <v>0</v>
      </c>
      <c r="I2083" s="28">
        <f t="shared" si="451"/>
        <v>0</v>
      </c>
      <c r="J2083" s="28">
        <f t="shared" si="451"/>
        <v>0</v>
      </c>
      <c r="K2083" s="28">
        <f t="shared" si="451"/>
        <v>0</v>
      </c>
      <c r="L2083" s="28">
        <f t="shared" si="451"/>
        <v>0</v>
      </c>
      <c r="M2083" s="28">
        <f t="shared" si="451"/>
        <v>0</v>
      </c>
    </row>
    <row r="2084" spans="1:13" ht="15" customHeight="1" x14ac:dyDescent="0.2">
      <c r="B2084" s="10" t="s">
        <v>894</v>
      </c>
      <c r="C2084" s="10" t="s">
        <v>199</v>
      </c>
      <c r="D2084" s="28">
        <f>IF(MOD(D2076,Inputs!$D$21)=Inputs!$D$6,Inputs!$D$24,Inputs!$D$6)+SUMPRODUCT(--(D2076&gt;$D$2076:$M$2076),--(MOD(D2076-$D$2076:$M$2076,Inputs!$D$21)=Inputs!$D$6),$D$2083:$M$2083)</f>
        <v>0</v>
      </c>
      <c r="E2084" s="28">
        <f>IF(MOD(E2076,Inputs!$D$21)=Inputs!$D$6,Inputs!$D$24,Inputs!$D$6)+SUMPRODUCT(--(E2076&gt;$D$2076:$M$2076),--(MOD(E2076-$D$2076:$M$2076,Inputs!$D$21)=Inputs!$D$6),$D$2083:$M$2083)</f>
        <v>0</v>
      </c>
      <c r="F2084" s="28">
        <f>IF(MOD(F2076,Inputs!$D$21)=Inputs!$D$6,Inputs!$D$24,Inputs!$D$6)+SUMPRODUCT(--(F2076&gt;$D$2076:$M$2076),--(MOD(F2076-$D$2076:$M$2076,Inputs!$D$21)=Inputs!$D$6),$D$2083:$M$2083)</f>
        <v>0</v>
      </c>
      <c r="G2084" s="28">
        <f>IF(MOD(G2076,Inputs!$D$21)=Inputs!$D$6,Inputs!$D$24,Inputs!$D$6)+SUMPRODUCT(--(G2076&gt;$D$2076:$M$2076),--(MOD(G2076-$D$2076:$M$2076,Inputs!$D$21)=Inputs!$D$6),$D$2083:$M$2083)</f>
        <v>46</v>
      </c>
      <c r="H2084" s="28">
        <f>IF(MOD(H2076,Inputs!$D$21)=Inputs!$D$6,Inputs!$D$24,Inputs!$D$6)+SUMPRODUCT(--(H2076&gt;$D$2076:$M$2076),--(MOD(H2076-$D$2076:$M$2076,Inputs!$D$21)=Inputs!$D$6),$D$2083:$M$2083)</f>
        <v>259.5</v>
      </c>
      <c r="I2084" s="28">
        <f>IF(MOD(I2076,Inputs!$D$21)=Inputs!$D$6,Inputs!$D$24,Inputs!$D$6)+SUMPRODUCT(--(I2076&gt;$D$2076:$M$2076),--(MOD(I2076-$D$2076:$M$2076,Inputs!$D$21)=Inputs!$D$6),$D$2083:$M$2083)</f>
        <v>346</v>
      </c>
      <c r="J2084" s="28">
        <f>IF(MOD(J2076,Inputs!$D$21)=Inputs!$D$6,Inputs!$D$24,Inputs!$D$6)+SUMPRODUCT(--(J2076&gt;$D$2076:$M$2076),--(MOD(J2076-$D$2076:$M$2076,Inputs!$D$21)=Inputs!$D$6),$D$2083:$M$2083)</f>
        <v>259.5</v>
      </c>
      <c r="K2084" s="28">
        <f>IF(MOD(K2076,Inputs!$D$21)=Inputs!$D$6,Inputs!$D$24,Inputs!$D$6)+SUMPRODUCT(--(K2076&gt;$D$2076:$M$2076),--(MOD(K2076-$D$2076:$M$2076,Inputs!$D$21)=Inputs!$D$6),$D$2083:$M$2083)</f>
        <v>46</v>
      </c>
      <c r="L2084" s="28">
        <f>IF(MOD(L2076,Inputs!$D$21)=Inputs!$D$6,Inputs!$D$24,Inputs!$D$6)+SUMPRODUCT(--(L2076&gt;$D$2076:$M$2076),--(MOD(L2076-$D$2076:$M$2076,Inputs!$D$21)=Inputs!$D$6),$D$2083:$M$2083)</f>
        <v>259.5</v>
      </c>
      <c r="M2084" s="28">
        <f>IF(MOD(M2076,Inputs!$D$21)=Inputs!$D$6,Inputs!$D$24,Inputs!$D$6)+SUMPRODUCT(--(M2076&gt;$D$2076:$M$2076),--(MOD(M2076-$D$2076:$M$2076,Inputs!$D$21)=Inputs!$D$6),$D$2083:$M$2083)</f>
        <v>346</v>
      </c>
    </row>
    <row r="2085" spans="1:13" ht="15" customHeight="1" x14ac:dyDescent="0.2">
      <c r="B2085" s="10" t="s">
        <v>895</v>
      </c>
      <c r="C2085" s="10" t="s">
        <v>896</v>
      </c>
      <c r="D2085" s="28">
        <f t="shared" ref="D2085:M2085" si="452">D2082*D2079</f>
        <v>125.58726899383984</v>
      </c>
      <c r="E2085" s="28">
        <f t="shared" si="452"/>
        <v>478.5</v>
      </c>
      <c r="F2085" s="28">
        <f t="shared" si="452"/>
        <v>781.25</v>
      </c>
      <c r="G2085" s="28">
        <f t="shared" si="452"/>
        <v>911</v>
      </c>
      <c r="H2085" s="28">
        <f t="shared" si="452"/>
        <v>911</v>
      </c>
      <c r="I2085" s="28">
        <f t="shared" si="452"/>
        <v>911</v>
      </c>
      <c r="J2085" s="28">
        <f t="shared" si="452"/>
        <v>911</v>
      </c>
      <c r="K2085" s="28">
        <f t="shared" si="452"/>
        <v>911</v>
      </c>
      <c r="L2085" s="28">
        <f t="shared" si="452"/>
        <v>911</v>
      </c>
      <c r="M2085" s="28">
        <f t="shared" si="452"/>
        <v>911</v>
      </c>
    </row>
    <row r="2086" spans="1:13" ht="15" customHeight="1" x14ac:dyDescent="0.2">
      <c r="B2086" s="10" t="s">
        <v>897</v>
      </c>
      <c r="C2086" s="10" t="s">
        <v>110</v>
      </c>
      <c r="D2086" s="16">
        <f>D2085*($D$2105/Inputs!$D$21+$D$2106/Inputs!$D$22)</f>
        <v>1816.9772859324419</v>
      </c>
      <c r="E2086" s="16">
        <f>E2085*($D$2105/Inputs!$D$21+$D$2106/Inputs!$D$22)</f>
        <v>6922.8643817497086</v>
      </c>
      <c r="F2086" s="16">
        <f>F2085*($D$2105/Inputs!$D$21+$D$2106/Inputs!$D$22)</f>
        <v>11303.0048030135</v>
      </c>
      <c r="G2086" s="16">
        <f>G2085*($D$2105/Inputs!$D$21+$D$2106/Inputs!$D$22)</f>
        <v>13180.207840697982</v>
      </c>
      <c r="H2086" s="16">
        <f>H2085*($D$2105/Inputs!$D$21+$D$2106/Inputs!$D$22)</f>
        <v>13180.207840697982</v>
      </c>
      <c r="I2086" s="16">
        <f>I2085*($D$2105/Inputs!$D$21+$D$2106/Inputs!$D$22)</f>
        <v>13180.207840697982</v>
      </c>
      <c r="J2086" s="16">
        <f>J2085*($D$2105/Inputs!$D$21+$D$2106/Inputs!$D$22)</f>
        <v>13180.207840697982</v>
      </c>
      <c r="K2086" s="16">
        <f>K2085*($D$2105/Inputs!$D$21+$D$2106/Inputs!$D$22)</f>
        <v>13180.207840697982</v>
      </c>
      <c r="L2086" s="16">
        <f>L2085*($D$2105/Inputs!$D$21+$D$2106/Inputs!$D$22)</f>
        <v>13180.207840697982</v>
      </c>
      <c r="M2086" s="16">
        <f>M2085*($D$2105/Inputs!$D$21+$D$2106/Inputs!$D$22)</f>
        <v>13180.207840697982</v>
      </c>
    </row>
    <row r="2087" spans="1:13" ht="15" customHeight="1" x14ac:dyDescent="0.2">
      <c r="B2087" s="10" t="s">
        <v>898</v>
      </c>
      <c r="C2087" s="10" t="s">
        <v>110</v>
      </c>
      <c r="D2087" s="16">
        <f t="shared" ref="D2087:M2087" si="453">D2083*($D$2105+$D$2106)</f>
        <v>15560.968620146154</v>
      </c>
      <c r="E2087" s="16">
        <f t="shared" si="453"/>
        <v>20747.95816019487</v>
      </c>
      <c r="F2087" s="16">
        <f t="shared" si="453"/>
        <v>15560.968620146154</v>
      </c>
      <c r="G2087" s="16">
        <f t="shared" si="453"/>
        <v>0</v>
      </c>
      <c r="H2087" s="16">
        <f t="shared" si="453"/>
        <v>0</v>
      </c>
      <c r="I2087" s="16">
        <f t="shared" si="453"/>
        <v>0</v>
      </c>
      <c r="J2087" s="16">
        <f t="shared" si="453"/>
        <v>0</v>
      </c>
      <c r="K2087" s="16">
        <f t="shared" si="453"/>
        <v>0</v>
      </c>
      <c r="L2087" s="16">
        <f t="shared" si="453"/>
        <v>0</v>
      </c>
      <c r="M2087" s="16">
        <f t="shared" si="453"/>
        <v>0</v>
      </c>
    </row>
    <row r="2088" spans="1:13" ht="15" customHeight="1" x14ac:dyDescent="0.2">
      <c r="B2088" s="10" t="s">
        <v>899</v>
      </c>
      <c r="C2088" s="10" t="s">
        <v>110</v>
      </c>
      <c r="D2088" s="16">
        <f t="shared" ref="D2088:M2088" si="454">D2084*$D$2105</f>
        <v>0</v>
      </c>
      <c r="E2088" s="16">
        <f t="shared" si="454"/>
        <v>0</v>
      </c>
      <c r="F2088" s="16">
        <f t="shared" si="454"/>
        <v>0</v>
      </c>
      <c r="G2088" s="16">
        <f t="shared" si="454"/>
        <v>2638.0048485671714</v>
      </c>
      <c r="H2088" s="16">
        <f t="shared" si="454"/>
        <v>14881.788221808281</v>
      </c>
      <c r="I2088" s="16">
        <f t="shared" si="454"/>
        <v>19842.384295744378</v>
      </c>
      <c r="J2088" s="16">
        <f t="shared" si="454"/>
        <v>14881.788221808281</v>
      </c>
      <c r="K2088" s="16">
        <f t="shared" si="454"/>
        <v>2638.0048485671714</v>
      </c>
      <c r="L2088" s="16">
        <f t="shared" si="454"/>
        <v>14881.788221808281</v>
      </c>
      <c r="M2088" s="16">
        <f t="shared" si="454"/>
        <v>19842.384295744378</v>
      </c>
    </row>
    <row r="2089" spans="1:13" ht="15" customHeight="1" x14ac:dyDescent="0.2">
      <c r="B2089" s="10" t="s">
        <v>900</v>
      </c>
      <c r="C2089" s="10" t="s">
        <v>199</v>
      </c>
      <c r="D2089" s="28">
        <f>D2083*Inputs!$D$23</f>
        <v>6.4875000000000007</v>
      </c>
      <c r="E2089" s="28">
        <f>E2083*Inputs!$D$23</f>
        <v>8.65</v>
      </c>
      <c r="F2089" s="28">
        <f>F2083*Inputs!$D$23</f>
        <v>6.4875000000000007</v>
      </c>
      <c r="G2089" s="28">
        <f>G2083*Inputs!$D$23</f>
        <v>0</v>
      </c>
      <c r="H2089" s="28">
        <f>H2083*Inputs!$D$23</f>
        <v>0</v>
      </c>
      <c r="I2089" s="28">
        <f>I2083*Inputs!$D$23</f>
        <v>0</v>
      </c>
      <c r="J2089" s="28">
        <f>J2083*Inputs!$D$23</f>
        <v>0</v>
      </c>
      <c r="K2089" s="28">
        <f>K2083*Inputs!$D$23</f>
        <v>0</v>
      </c>
      <c r="L2089" s="28">
        <f>L2083*Inputs!$D$23</f>
        <v>0</v>
      </c>
      <c r="M2089" s="28">
        <f>M2083*Inputs!$D$23</f>
        <v>0</v>
      </c>
    </row>
    <row r="2090" spans="1:13" ht="15" customHeight="1" x14ac:dyDescent="0.2">
      <c r="B2090" s="3" t="s">
        <v>901</v>
      </c>
      <c r="C2090" s="10" t="s">
        <v>896</v>
      </c>
      <c r="D2090" s="28">
        <f>(D2085*$D$2103*(Inputs!$D$7-Inputs!$D$19)-D2089)/(Inputs!$D$7+$D$2104)^D2078</f>
        <v>43.213488846686175</v>
      </c>
      <c r="E2090" s="28">
        <f>(E2085*$D$2103*(Inputs!$D$7-Inputs!$D$19)-E2089)/(Inputs!$D$7+$D$2104)^E2078</f>
        <v>163.29332190458183</v>
      </c>
      <c r="F2090" s="28">
        <f>(F2085*$D$2103*(Inputs!$D$7-Inputs!$D$19)-F2089)/(Inputs!$D$7+$D$2104)^F2078</f>
        <v>248.28260771010829</v>
      </c>
      <c r="G2090" s="28">
        <f>(G2085*$D$2103*(Inputs!$D$7-Inputs!$D$19)-G2089)/(Inputs!$D$7+$D$2104)^G2078</f>
        <v>268.5238926419492</v>
      </c>
      <c r="H2090" s="28">
        <f>(H2085*$D$2103*(Inputs!$D$7-Inputs!$D$19)-H2089)/(Inputs!$D$7+$D$2104)^H2078</f>
        <v>244.12855518959191</v>
      </c>
      <c r="I2090" s="28">
        <f>(I2085*$D$2103*(Inputs!$D$7-Inputs!$D$19)-I2089)/(Inputs!$D$7+$D$2104)^I2078</f>
        <v>221.8916197826434</v>
      </c>
      <c r="J2090" s="28">
        <f>(J2085*$D$2103*(Inputs!$D$7-Inputs!$D$19)-J2089)/(Inputs!$D$7+$D$2104)^J2078</f>
        <v>201.73281421346593</v>
      </c>
      <c r="K2090" s="28">
        <f>(K2085*$D$2103*(Inputs!$D$7-Inputs!$D$19)-K2089)/(Inputs!$D$7+$D$2104)^K2078</f>
        <v>183.40543176145695</v>
      </c>
      <c r="L2090" s="28">
        <f>(L2085*$D$2103*(Inputs!$D$7-Inputs!$D$19)-L2089)/(Inputs!$D$7+$D$2104)^L2078</f>
        <v>166.74308803332551</v>
      </c>
      <c r="M2090" s="28">
        <f>(M2085*$D$2103*(Inputs!$D$7-Inputs!$D$19)-M2089)/(Inputs!$D$7+$D$2104)^M2078</f>
        <v>151.55496194429571</v>
      </c>
    </row>
    <row r="2091" spans="1:13" ht="15" customHeight="1" x14ac:dyDescent="0.2">
      <c r="B2091" s="10" t="s">
        <v>902</v>
      </c>
      <c r="C2091" s="10" t="s">
        <v>110</v>
      </c>
      <c r="D2091" s="16">
        <f>(D2086*Inputs!$D$19-D2087-D2088)/(Inputs!$D$7+$D$2104)^D2078</f>
        <v>-14027.24269342025</v>
      </c>
      <c r="E2091" s="16">
        <f>(E2086*Inputs!$D$19-E2087-E2088)/(Inputs!$D$7+$D$2104)^E2078</f>
        <v>-15853.087323826181</v>
      </c>
      <c r="F2091" s="16">
        <f>(F2086*Inputs!$D$19-F2087-F2088)/(Inputs!$D$7+$D$2104)^F2078</f>
        <v>-9394.4767487293357</v>
      </c>
      <c r="G2091" s="16">
        <f>(G2086*Inputs!$D$19-G2087-G2088)/(Inputs!$D$7+$D$2104)^G2078</f>
        <v>923.61320322684639</v>
      </c>
      <c r="H2091" s="16">
        <f>(H2086*Inputs!$D$19-H2087-H2088)/(Inputs!$D$7+$D$2104)^H2078</f>
        <v>-6972.3744918015345</v>
      </c>
      <c r="I2091" s="16">
        <f>(I2086*Inputs!$D$19-I2087-I2088)/(Inputs!$D$7+$D$2104)^I2078</f>
        <v>-9214.0648467907959</v>
      </c>
      <c r="J2091" s="16">
        <f>(J2086*Inputs!$D$19-J2087-J2088)/(Inputs!$D$7+$D$2104)^J2078</f>
        <v>-5761.5411965591911</v>
      </c>
      <c r="K2091" s="16">
        <f>(K2086*Inputs!$D$19-K2087-K2088)/(Inputs!$D$7+$D$2104)^K2078</f>
        <v>630.8402453567694</v>
      </c>
      <c r="L2091" s="16">
        <f>(L2086*Inputs!$D$19-L2087-L2088)/(Inputs!$D$7+$D$2104)^L2078</f>
        <v>-4762.2255937446444</v>
      </c>
      <c r="M2091" s="16">
        <f>(M2086*Inputs!$D$19-M2087-M2088)/(Inputs!$D$7+$D$2104)^M2078</f>
        <v>-6293.3302689644106</v>
      </c>
    </row>
    <row r="2092" spans="1:13" ht="15" customHeight="1" x14ac:dyDescent="0.2">
      <c r="B2092" s="10" t="s">
        <v>903</v>
      </c>
      <c r="C2092" s="10" t="s">
        <v>110</v>
      </c>
      <c r="D2092" s="16">
        <f t="shared" ref="D2092:M2092" si="455">D2085*$D$2102</f>
        <v>4985.8915999595392</v>
      </c>
      <c r="E2092" s="16">
        <f t="shared" si="455"/>
        <v>18996.743457313834</v>
      </c>
      <c r="F2092" s="16">
        <f t="shared" si="455"/>
        <v>31016.104129626819</v>
      </c>
      <c r="G2092" s="16">
        <f t="shared" si="455"/>
        <v>36167.258703475243</v>
      </c>
      <c r="H2092" s="16">
        <f t="shared" si="455"/>
        <v>36167.258703475243</v>
      </c>
      <c r="I2092" s="16">
        <f t="shared" si="455"/>
        <v>36167.258703475243</v>
      </c>
      <c r="J2092" s="16">
        <f t="shared" si="455"/>
        <v>36167.258703475243</v>
      </c>
      <c r="K2092" s="16">
        <f t="shared" si="455"/>
        <v>36167.258703475243</v>
      </c>
      <c r="L2092" s="16">
        <f t="shared" si="455"/>
        <v>36167.258703475243</v>
      </c>
      <c r="M2092" s="16">
        <f t="shared" si="455"/>
        <v>36167.258703475243</v>
      </c>
    </row>
    <row r="2093" spans="1:13" ht="15" customHeight="1" x14ac:dyDescent="0.2">
      <c r="B2093" s="10" t="s">
        <v>904</v>
      </c>
      <c r="C2093" s="10" t="s">
        <v>110</v>
      </c>
      <c r="D2093" s="16">
        <f t="shared" ref="D2093:M2093" si="456">D2092*$D$2103</f>
        <v>2991.5349599757233</v>
      </c>
      <c r="E2093" s="16">
        <f t="shared" si="456"/>
        <v>11398.0460743883</v>
      </c>
      <c r="F2093" s="16">
        <f t="shared" si="456"/>
        <v>18609.662477776092</v>
      </c>
      <c r="G2093" s="16">
        <f t="shared" si="456"/>
        <v>21700.355222085145</v>
      </c>
      <c r="H2093" s="16">
        <f t="shared" si="456"/>
        <v>21700.355222085145</v>
      </c>
      <c r="I2093" s="16">
        <f t="shared" si="456"/>
        <v>21700.355222085145</v>
      </c>
      <c r="J2093" s="16">
        <f t="shared" si="456"/>
        <v>21700.355222085145</v>
      </c>
      <c r="K2093" s="16">
        <f t="shared" si="456"/>
        <v>21700.355222085145</v>
      </c>
      <c r="L2093" s="16">
        <f t="shared" si="456"/>
        <v>21700.355222085145</v>
      </c>
      <c r="M2093" s="16">
        <f t="shared" si="456"/>
        <v>21700.355222085145</v>
      </c>
    </row>
    <row r="2094" spans="1:13" ht="15" customHeight="1" x14ac:dyDescent="0.2">
      <c r="B2094" s="10" t="s">
        <v>905</v>
      </c>
      <c r="C2094" s="10" t="s">
        <v>110</v>
      </c>
      <c r="D2094" s="16">
        <f t="shared" ref="D2094:M2094" si="457">D2093-D2086</f>
        <v>1174.5576740432814</v>
      </c>
      <c r="E2094" s="16">
        <f t="shared" si="457"/>
        <v>4475.1816926385909</v>
      </c>
      <c r="F2094" s="16">
        <f t="shared" si="457"/>
        <v>7306.6576747625913</v>
      </c>
      <c r="G2094" s="16">
        <f t="shared" si="457"/>
        <v>8520.1473813871635</v>
      </c>
      <c r="H2094" s="16">
        <f t="shared" si="457"/>
        <v>8520.1473813871635</v>
      </c>
      <c r="I2094" s="16">
        <f t="shared" si="457"/>
        <v>8520.1473813871635</v>
      </c>
      <c r="J2094" s="16">
        <f t="shared" si="457"/>
        <v>8520.1473813871635</v>
      </c>
      <c r="K2094" s="16">
        <f t="shared" si="457"/>
        <v>8520.1473813871635</v>
      </c>
      <c r="L2094" s="16">
        <f t="shared" si="457"/>
        <v>8520.1473813871635</v>
      </c>
      <c r="M2094" s="16">
        <f t="shared" si="457"/>
        <v>8520.1473813871635</v>
      </c>
    </row>
    <row r="2095" spans="1:13" ht="15" customHeight="1" x14ac:dyDescent="0.2">
      <c r="B2095" s="10" t="s">
        <v>906</v>
      </c>
      <c r="C2095" s="10" t="s">
        <v>110</v>
      </c>
      <c r="D2095" s="16">
        <f>MAX(D2094,Inputs!$D$6)*Inputs!$D$19</f>
        <v>352.36730221298438</v>
      </c>
      <c r="E2095" s="16">
        <f>MAX(E2094,Inputs!$D$6)*Inputs!$D$19</f>
        <v>1342.5545077915772</v>
      </c>
      <c r="F2095" s="16">
        <f>MAX(F2094,Inputs!$D$6)*Inputs!$D$19</f>
        <v>2191.9973024287774</v>
      </c>
      <c r="G2095" s="16">
        <f>MAX(G2094,Inputs!$D$6)*Inputs!$D$19</f>
        <v>2556.0442144161489</v>
      </c>
      <c r="H2095" s="16">
        <f>MAX(H2094,Inputs!$D$6)*Inputs!$D$19</f>
        <v>2556.0442144161489</v>
      </c>
      <c r="I2095" s="16">
        <f>MAX(I2094,Inputs!$D$6)*Inputs!$D$19</f>
        <v>2556.0442144161489</v>
      </c>
      <c r="J2095" s="16">
        <f>MAX(J2094,Inputs!$D$6)*Inputs!$D$19</f>
        <v>2556.0442144161489</v>
      </c>
      <c r="K2095" s="16">
        <f>MAX(K2094,Inputs!$D$6)*Inputs!$D$19</f>
        <v>2556.0442144161489</v>
      </c>
      <c r="L2095" s="16">
        <f>MAX(L2094,Inputs!$D$6)*Inputs!$D$19</f>
        <v>2556.0442144161489</v>
      </c>
      <c r="M2095" s="16">
        <f>MAX(M2094,Inputs!$D$6)*Inputs!$D$19</f>
        <v>2556.0442144161489</v>
      </c>
    </row>
    <row r="2096" spans="1:13" ht="15" customHeight="1" x14ac:dyDescent="0.2">
      <c r="B2096" s="10" t="s">
        <v>907</v>
      </c>
      <c r="C2096" s="10" t="s">
        <v>110</v>
      </c>
      <c r="D2096" s="16">
        <f t="shared" ref="D2096:M2096" si="458">D2089*$D$2102</f>
        <v>257.55772869242116</v>
      </c>
      <c r="E2096" s="16">
        <f t="shared" si="458"/>
        <v>343.41030492322818</v>
      </c>
      <c r="F2096" s="16">
        <f t="shared" si="458"/>
        <v>257.55772869242116</v>
      </c>
      <c r="G2096" s="16">
        <f t="shared" si="458"/>
        <v>0</v>
      </c>
      <c r="H2096" s="16">
        <f t="shared" si="458"/>
        <v>0</v>
      </c>
      <c r="I2096" s="16">
        <f t="shared" si="458"/>
        <v>0</v>
      </c>
      <c r="J2096" s="16">
        <f t="shared" si="458"/>
        <v>0</v>
      </c>
      <c r="K2096" s="16">
        <f t="shared" si="458"/>
        <v>0</v>
      </c>
      <c r="L2096" s="16">
        <f t="shared" si="458"/>
        <v>0</v>
      </c>
      <c r="M2096" s="16">
        <f t="shared" si="458"/>
        <v>0</v>
      </c>
    </row>
    <row r="2097" spans="2:13" ht="15" customHeight="1" x14ac:dyDescent="0.2">
      <c r="B2097" s="10" t="s">
        <v>908</v>
      </c>
      <c r="C2097" s="10" t="s">
        <v>110</v>
      </c>
      <c r="D2097" s="16">
        <f t="shared" ref="D2097:M2097" si="459">D2093-D2095-D2087-D2088-D2096</f>
        <v>-13179.358691075837</v>
      </c>
      <c r="E2097" s="16">
        <f t="shared" si="459"/>
        <v>-11035.876898521377</v>
      </c>
      <c r="F2097" s="16">
        <f t="shared" si="459"/>
        <v>599.13882650873768</v>
      </c>
      <c r="G2097" s="16">
        <f t="shared" si="459"/>
        <v>16506.306159101823</v>
      </c>
      <c r="H2097" s="16">
        <f t="shared" si="459"/>
        <v>4262.5227858607141</v>
      </c>
      <c r="I2097" s="16">
        <f t="shared" si="459"/>
        <v>-698.07328807538215</v>
      </c>
      <c r="J2097" s="16">
        <f t="shared" si="459"/>
        <v>4262.5227858607141</v>
      </c>
      <c r="K2097" s="16">
        <f t="shared" si="459"/>
        <v>16506.306159101823</v>
      </c>
      <c r="L2097" s="16">
        <f t="shared" si="459"/>
        <v>4262.5227858607141</v>
      </c>
      <c r="M2097" s="16">
        <f t="shared" si="459"/>
        <v>-698.07328807538215</v>
      </c>
    </row>
    <row r="2098" spans="2:13" ht="15" customHeight="1" x14ac:dyDescent="0.2">
      <c r="B2098" s="10" t="s">
        <v>909</v>
      </c>
      <c r="C2098" s="10" t="s">
        <v>110</v>
      </c>
      <c r="D2098" s="16">
        <f>D2097/(Inputs!$D$7+$D$2104)^D2078</f>
        <v>-12311.640683982447</v>
      </c>
      <c r="E2098" s="16">
        <f>E2097/(Inputs!$D$7+$D$2104)^E2078</f>
        <v>-9370.2422987187492</v>
      </c>
      <c r="F2098" s="16">
        <f>F2097/(Inputs!$D$7+$D$2104)^F2078</f>
        <v>462.49504559003088</v>
      </c>
      <c r="G2098" s="16">
        <f>G2097/(Inputs!$D$7+$D$2104)^G2078</f>
        <v>11584.176423035397</v>
      </c>
      <c r="H2098" s="16">
        <f>H2097/(Inputs!$D$7+$D$2104)^H2078</f>
        <v>2719.6788698314003</v>
      </c>
      <c r="I2098" s="16">
        <f>I2097/(Inputs!$D$7+$D$2104)^I2078</f>
        <v>-404.83145841315769</v>
      </c>
      <c r="J2098" s="16">
        <f>J2097/(Inputs!$D$7+$D$2104)^J2078</f>
        <v>2247.3752476104351</v>
      </c>
      <c r="K2098" s="16">
        <f>K2097/(Inputs!$D$7+$D$2104)^K2078</f>
        <v>7912.1483662559885</v>
      </c>
      <c r="L2098" s="16">
        <f>L2097/(Inputs!$D$7+$D$2104)^L2078</f>
        <v>1857.5772623669147</v>
      </c>
      <c r="M2098" s="16">
        <f>M2097/(Inputs!$D$7+$D$2104)^M2078</f>
        <v>-276.50533325125167</v>
      </c>
    </row>
    <row r="2099" spans="2:13" ht="15" customHeight="1" x14ac:dyDescent="0.2">
      <c r="B2099" s="3" t="s">
        <v>910</v>
      </c>
      <c r="C2099" s="10" t="s">
        <v>896</v>
      </c>
      <c r="D2099" s="28">
        <f>(D2085*$D$2103-D2089)/(Inputs!$D$7+$D$2104)^D2078</f>
        <v>64.330856237917445</v>
      </c>
      <c r="E2099" s="28">
        <f>(E2085*$D$2103-E2089)/(Inputs!$D$7+$D$2104)^E2078</f>
        <v>236.42380139523098</v>
      </c>
      <c r="F2099" s="28">
        <f>(F2085*$D$2103-F2089)/(Inputs!$D$7+$D$2104)^F2078</f>
        <v>356.83568908039001</v>
      </c>
      <c r="G2099" s="28">
        <f>(G2085*$D$2103-G2089)/(Inputs!$D$7+$D$2104)^G2078</f>
        <v>383.60556091707036</v>
      </c>
      <c r="H2099" s="28">
        <f>(H2085*$D$2103-H2089)/(Inputs!$D$7+$D$2104)^H2078</f>
        <v>348.75507884227414</v>
      </c>
      <c r="I2099" s="28">
        <f>(I2085*$D$2103-I2089)/(Inputs!$D$7+$D$2104)^I2078</f>
        <v>316.98802826091918</v>
      </c>
      <c r="J2099" s="28">
        <f>(J2085*$D$2103-J2089)/(Inputs!$D$7+$D$2104)^J2078</f>
        <v>288.18973459066564</v>
      </c>
      <c r="K2099" s="28">
        <f>(K2085*$D$2103-K2089)/(Inputs!$D$7+$D$2104)^K2078</f>
        <v>262.00775965922423</v>
      </c>
      <c r="L2099" s="28">
        <f>(L2085*$D$2103-L2089)/(Inputs!$D$7+$D$2104)^L2078</f>
        <v>238.2044114761793</v>
      </c>
      <c r="M2099" s="28">
        <f>(M2085*$D$2103-M2089)/(Inputs!$D$7+$D$2104)^M2078</f>
        <v>216.50708849185102</v>
      </c>
    </row>
    <row r="2100" spans="2:13" ht="15" customHeight="1" x14ac:dyDescent="0.2">
      <c r="B2100" s="10" t="s">
        <v>911</v>
      </c>
      <c r="C2100" s="10" t="s">
        <v>110</v>
      </c>
      <c r="D2100" s="16">
        <f>(-D2087-D2088)/(Inputs!$D$7+$D$2104)^D2078</f>
        <v>-14536.447397527105</v>
      </c>
      <c r="E2100" s="16">
        <f>(-E2087-E2088)/(Inputs!$D$7+$D$2104)^E2078</f>
        <v>-17616.488200475756</v>
      </c>
      <c r="F2100" s="16">
        <f>(-F2087-F2088)/(Inputs!$D$7+$D$2104)^F2078</f>
        <v>-12012.025548964448</v>
      </c>
      <c r="G2100" s="16">
        <f>(-G2087-G2088)/(Inputs!$D$7+$D$2104)^G2078</f>
        <v>-1851.359915178487</v>
      </c>
      <c r="H2100" s="16">
        <f>(-H2087-H2088)/(Inputs!$D$7+$D$2104)^H2078</f>
        <v>-9495.2419037884629</v>
      </c>
      <c r="I2100" s="16">
        <f>(-I2087-I2088)/(Inputs!$D$7+$D$2104)^I2078</f>
        <v>-11507.131858586603</v>
      </c>
      <c r="J2100" s="16">
        <f>(-J2087-J2088)/(Inputs!$D$7+$D$2104)^J2078</f>
        <v>-7846.2835672839774</v>
      </c>
      <c r="K2100" s="16">
        <f>(-K2087-K2088)/(Inputs!$D$7+$D$2104)^K2078</f>
        <v>-1264.5037327904422</v>
      </c>
      <c r="L2100" s="16">
        <f>(-L2087-L2088)/(Inputs!$D$7+$D$2104)^L2078</f>
        <v>-6485.3779822337692</v>
      </c>
      <c r="M2100" s="16">
        <f>(-M2087-M2088)/(Inputs!$D$7+$D$2104)^M2078</f>
        <v>-7859.5258920747219</v>
      </c>
    </row>
    <row r="2101" spans="2:13" ht="15" customHeight="1" x14ac:dyDescent="0.2">
      <c r="B2101" s="10" t="s">
        <v>912</v>
      </c>
      <c r="C2101" s="10" t="s">
        <v>110</v>
      </c>
      <c r="D2101" s="16">
        <f>Prices!K13</f>
        <v>29373.835793093567</v>
      </c>
    </row>
    <row r="2102" spans="2:13" ht="15" customHeight="1" x14ac:dyDescent="0.2">
      <c r="B2102" s="3" t="s">
        <v>913</v>
      </c>
      <c r="C2102" s="10" t="s">
        <v>914</v>
      </c>
      <c r="D2102" s="28">
        <f>IF(J2109&gt;=J2105,J2109,(D2101-J2108)/J2107)</f>
        <v>39.70061328592233</v>
      </c>
      <c r="G2102" s="99" t="s">
        <v>915</v>
      </c>
      <c r="H2102" s="91"/>
      <c r="I2102" s="91"/>
      <c r="J2102" s="28">
        <f>D2102*Inputs!$D$15</f>
        <v>27.707058012245191</v>
      </c>
      <c r="K2102" s="99" t="s">
        <v>916</v>
      </c>
      <c r="L2102" s="91"/>
      <c r="M2102" s="91"/>
    </row>
    <row r="2103" spans="2:13" ht="15" customHeight="1" x14ac:dyDescent="0.2">
      <c r="B2103" s="10" t="s">
        <v>917</v>
      </c>
      <c r="C2103" s="10" t="s">
        <v>104</v>
      </c>
      <c r="D2103" s="30">
        <f>Inputs!$D$81</f>
        <v>0.6</v>
      </c>
      <c r="G2103" s="99" t="s">
        <v>918</v>
      </c>
      <c r="H2103" s="91"/>
      <c r="I2103" s="91"/>
      <c r="J2103" s="28">
        <f>IF(-D2114/D2113&gt;=J2105,-D2114/D2113,-J2108/J2107)</f>
        <v>32.284876648616972</v>
      </c>
      <c r="K2103" s="99" t="s">
        <v>919</v>
      </c>
      <c r="L2103" s="91"/>
      <c r="M2103" s="91"/>
    </row>
    <row r="2104" spans="2:13" ht="15" customHeight="1" x14ac:dyDescent="0.2">
      <c r="B2104" s="10" t="s">
        <v>920</v>
      </c>
      <c r="C2104" s="10" t="s">
        <v>104</v>
      </c>
      <c r="D2104" s="30">
        <f>Inputs!$D$82</f>
        <v>0.1</v>
      </c>
      <c r="G2104" s="99" t="s">
        <v>918</v>
      </c>
      <c r="H2104" s="91"/>
      <c r="I2104" s="91"/>
      <c r="J2104" s="28">
        <f>J2103*Inputs!$D$15</f>
        <v>22.531615413069783</v>
      </c>
      <c r="K2104" s="99" t="s">
        <v>916</v>
      </c>
      <c r="L2104" s="91"/>
      <c r="M2104" s="91"/>
    </row>
    <row r="2105" spans="2:13" ht="15" customHeight="1" x14ac:dyDescent="0.2">
      <c r="B2105" s="3" t="s">
        <v>921</v>
      </c>
      <c r="C2105" s="10" t="s">
        <v>848</v>
      </c>
      <c r="D2105" s="28">
        <f>Capital!$D$13</f>
        <v>57.347931490590682</v>
      </c>
      <c r="G2105" s="99" t="s">
        <v>922</v>
      </c>
      <c r="H2105" s="91"/>
      <c r="I2105" s="91"/>
      <c r="J2105" s="28">
        <f>($D$2105/Inputs!$D$21+$D$2106/Inputs!$D$22)/$D$2103</f>
        <v>24.113076913095469</v>
      </c>
      <c r="K2105" s="99" t="s">
        <v>919</v>
      </c>
      <c r="L2105" s="91"/>
      <c r="M2105" s="91"/>
    </row>
    <row r="2106" spans="2:13" ht="15" customHeight="1" x14ac:dyDescent="0.2">
      <c r="B2106" s="3" t="s">
        <v>923</v>
      </c>
      <c r="C2106" s="10" t="s">
        <v>848</v>
      </c>
      <c r="D2106" s="28">
        <f>Capital!$D$14</f>
        <v>2.6172655041921802</v>
      </c>
    </row>
    <row r="2107" spans="2:13" ht="15" customHeight="1" x14ac:dyDescent="0.2">
      <c r="B2107" s="10" t="s">
        <v>924</v>
      </c>
      <c r="C2107" s="10" t="s">
        <v>896</v>
      </c>
      <c r="D2107" s="28">
        <f>(M2080*(Inputs!$D$7+Inputs!$D$20)*$D$2103*(Inputs!$D$7-Inputs!$D$19)-M2080*Inputs!$D$20*Inputs!$D$23)/($D$2104-Inputs!$D$20)/(Inputs!$D$7+$D$2104)^M2078</f>
        <v>2068.2441036763203</v>
      </c>
      <c r="G2107" s="92" t="s">
        <v>910</v>
      </c>
      <c r="H2107" s="91"/>
      <c r="I2107" s="91"/>
      <c r="J2107" s="28">
        <f>SUM(D2099:M2099)+(M2080*(Inputs!$D$7+Inputs!$D$20)*$D$2103-M2080*Inputs!$D$20*Inputs!$D$23)/($D$2104-Inputs!$D$20)/(Inputs!$D$7+$D$2104)^M2078</f>
        <v>5667.7711754446318</v>
      </c>
      <c r="K2107" s="99" t="s">
        <v>896</v>
      </c>
      <c r="L2107" s="91"/>
      <c r="M2107" s="91"/>
    </row>
    <row r="2108" spans="2:13" ht="15" customHeight="1" x14ac:dyDescent="0.2">
      <c r="B2108" s="10" t="s">
        <v>925</v>
      </c>
      <c r="C2108" s="10" t="s">
        <v>110</v>
      </c>
      <c r="D2108" s="16">
        <f>(D2111*Inputs!$D$19-D2111-D2112)/($D$2104-Inputs!$D$20)/(Inputs!$D$7+$D$2104)^M2078</f>
        <v>-57156.954988173631</v>
      </c>
      <c r="G2108" s="92" t="s">
        <v>926</v>
      </c>
      <c r="H2108" s="91"/>
      <c r="I2108" s="91"/>
      <c r="J2108" s="16">
        <f>SUM(D2100:M2100)-(D2111+D2112)/($D$2104-Inputs!$D$20)/(Inputs!$D$7+$D$2104)^M2078</f>
        <v>-169036.01450291832</v>
      </c>
      <c r="K2108" s="99" t="s">
        <v>110</v>
      </c>
      <c r="L2108" s="91"/>
      <c r="M2108" s="91"/>
    </row>
    <row r="2109" spans="2:13" ht="15" customHeight="1" x14ac:dyDescent="0.2">
      <c r="B2109" s="10" t="s">
        <v>927</v>
      </c>
      <c r="C2109" s="10" t="s">
        <v>928</v>
      </c>
      <c r="D2109" s="16">
        <f>(M2080*(Inputs!$D$7+Inputs!$D$20)*$D$2102*$D$2103-D2111)-MAX((M2080*(Inputs!$D$7+Inputs!$D$20)*$D$2102*$D$2103-D2111),Inputs!$D$6)*Inputs!$D$19-D2112-M2080*Inputs!$D$20*$D$2102*Inputs!$D$23</f>
        <v>4724.8938478994351</v>
      </c>
      <c r="G2109" s="99" t="s">
        <v>929</v>
      </c>
      <c r="H2109" s="91"/>
      <c r="I2109" s="91"/>
      <c r="J2109" s="28">
        <f>(D2101-D2114)/D2113</f>
        <v>39.70061328592233</v>
      </c>
      <c r="K2109" s="99" t="s">
        <v>919</v>
      </c>
      <c r="L2109" s="91"/>
      <c r="M2109" s="91"/>
    </row>
    <row r="2110" spans="2:13" ht="15" customHeight="1" x14ac:dyDescent="0.2">
      <c r="B2110" s="10" t="s">
        <v>930</v>
      </c>
      <c r="C2110" s="10" t="s">
        <v>110</v>
      </c>
      <c r="D2110" s="16">
        <f>D2109/($D$2104-Inputs!$D$20)</f>
        <v>62998.584638659122</v>
      </c>
      <c r="G2110" s="99" t="s">
        <v>931</v>
      </c>
      <c r="H2110" s="91"/>
      <c r="I2110" s="91"/>
      <c r="J2110" s="16">
        <f>MIN(D2094:M2094,(M2080*(Inputs!$D$7+Inputs!$D$20)*$D$2102*$D$2103-D2111))</f>
        <v>1174.5576740432814</v>
      </c>
      <c r="K2110" s="99" t="s">
        <v>110</v>
      </c>
      <c r="L2110" s="91"/>
      <c r="M2110" s="91"/>
    </row>
    <row r="2111" spans="2:13" ht="15" customHeight="1" x14ac:dyDescent="0.2">
      <c r="B2111" s="10" t="s">
        <v>932</v>
      </c>
      <c r="C2111" s="10" t="s">
        <v>928</v>
      </c>
      <c r="D2111" s="16">
        <f>M2080*(Inputs!$D$7+Inputs!$D$20)*($D$2105/Inputs!$D$21+$D$2106/Inputs!$D$22)</f>
        <v>13509.71303671543</v>
      </c>
      <c r="G2111" s="99" t="s">
        <v>933</v>
      </c>
      <c r="H2111" s="91"/>
      <c r="I2111" s="91"/>
      <c r="J2111" s="31" t="str">
        <f>IF(J2110&lt;Inputs!$D$6,"breached","satisfied")</f>
        <v>satisfied</v>
      </c>
      <c r="K2111" s="99" t="s">
        <v>934</v>
      </c>
      <c r="L2111" s="91"/>
      <c r="M2111" s="91"/>
    </row>
    <row r="2112" spans="2:13" ht="15" customHeight="1" x14ac:dyDescent="0.2">
      <c r="B2112" s="10" t="s">
        <v>935</v>
      </c>
      <c r="C2112" s="10" t="s">
        <v>928</v>
      </c>
      <c r="D2112" s="16">
        <f>M2080*Inputs!$D$20*($D$2105+$D$2106)</f>
        <v>1365.7073615561799</v>
      </c>
    </row>
    <row r="2113" spans="1:13" ht="15" customHeight="1" x14ac:dyDescent="0.2">
      <c r="B2113" s="10" t="s">
        <v>936</v>
      </c>
      <c r="C2113" s="10" t="s">
        <v>896</v>
      </c>
      <c r="D2113" s="28">
        <f>SUM(D2090:M2090)+D2107</f>
        <v>3961.0138857044249</v>
      </c>
      <c r="G2113" s="99" t="s">
        <v>937</v>
      </c>
      <c r="H2113" s="91"/>
      <c r="I2113" s="91"/>
      <c r="J2113" s="16">
        <f>D2115-D2101</f>
        <v>0</v>
      </c>
      <c r="K2113" s="99" t="s">
        <v>110</v>
      </c>
      <c r="L2113" s="91"/>
      <c r="M2113" s="91"/>
    </row>
    <row r="2114" spans="1:13" ht="15" customHeight="1" x14ac:dyDescent="0.2">
      <c r="B2114" s="10" t="s">
        <v>938</v>
      </c>
      <c r="C2114" s="10" t="s">
        <v>110</v>
      </c>
      <c r="D2114" s="16">
        <f>SUM(D2091:M2091)+D2108</f>
        <v>-127880.84470342637</v>
      </c>
    </row>
    <row r="2115" spans="1:13" ht="15" customHeight="1" x14ac:dyDescent="0.2">
      <c r="B2115" s="10" t="s">
        <v>939</v>
      </c>
      <c r="C2115" s="10" t="s">
        <v>110</v>
      </c>
      <c r="D2115" s="16">
        <f>SUM(D2098:M2098)+D2110/(Inputs!$D$7+$D$2104)^M2078</f>
        <v>29373.835793093567</v>
      </c>
    </row>
    <row r="2116" spans="1:13" ht="15" customHeight="1" x14ac:dyDescent="0.2">
      <c r="B2116" s="10" t="s">
        <v>940</v>
      </c>
      <c r="C2116" s="10" t="s">
        <v>104</v>
      </c>
      <c r="D2116" s="30">
        <f>IF(ABS(D2101)&gt;Inputs!$D$6,D2115/D2101-Inputs!$D$7,Inputs!$D$6)</f>
        <v>0</v>
      </c>
    </row>
    <row r="2117" spans="1:13" ht="15" customHeight="1" x14ac:dyDescent="0.2">
      <c r="B2117" s="10" t="s">
        <v>941</v>
      </c>
      <c r="C2117" s="10" t="s">
        <v>104</v>
      </c>
      <c r="D2117" s="30">
        <f>IF(ABS(D2115)&gt;Inputs!$D$119,D2110/(Inputs!$D$7+$D$2104)^M2078/D2115,Inputs!$D$6)</f>
        <v>0.84951807208768226</v>
      </c>
    </row>
    <row r="2118" spans="1:13" ht="15" customHeight="1" x14ac:dyDescent="0.2">
      <c r="B2118" s="10" t="s">
        <v>942</v>
      </c>
      <c r="C2118" s="10" t="s">
        <v>943</v>
      </c>
      <c r="D2118" s="26">
        <f>$D$2102*Inputs!$D$8/Prices!$P$6/(Inputs!$D$26/Inputs!$D$25)/Inputs!$D$11/Inputs!$D$56</f>
        <v>7.2196771175445349</v>
      </c>
    </row>
    <row r="2122" spans="1:13" ht="15" customHeight="1" x14ac:dyDescent="0.2">
      <c r="A2122" s="104" t="s">
        <v>989</v>
      </c>
      <c r="B2122" s="10" t="s">
        <v>886</v>
      </c>
      <c r="C2122" s="10" t="s">
        <v>107</v>
      </c>
      <c r="D2122" s="28">
        <f>Inputs!$D$60</f>
        <v>1</v>
      </c>
      <c r="E2122" s="28">
        <f>Inputs!$D$62</f>
        <v>2</v>
      </c>
      <c r="F2122" s="28">
        <f>Inputs!$D$64</f>
        <v>3</v>
      </c>
      <c r="G2122" s="28">
        <f>Inputs!$D$66</f>
        <v>4</v>
      </c>
      <c r="H2122" s="28">
        <f>Inputs!$D$68</f>
        <v>5</v>
      </c>
      <c r="I2122" s="28">
        <f>Inputs!$D$70</f>
        <v>6</v>
      </c>
      <c r="J2122" s="28">
        <f>Inputs!$D$72</f>
        <v>7</v>
      </c>
      <c r="K2122" s="28">
        <f>Inputs!$D$74</f>
        <v>8</v>
      </c>
      <c r="L2122" s="28">
        <f>Inputs!$D$76</f>
        <v>9</v>
      </c>
      <c r="M2122" s="28">
        <f>Inputs!$D$78</f>
        <v>10</v>
      </c>
    </row>
    <row r="2123" spans="1:13" ht="15" customHeight="1" x14ac:dyDescent="0.2">
      <c r="A2123" s="91"/>
      <c r="B2123" s="10" t="s">
        <v>887</v>
      </c>
      <c r="C2123" s="10" t="s">
        <v>161</v>
      </c>
      <c r="D2123" s="29">
        <f>Inputs!$D$61</f>
        <v>46568</v>
      </c>
      <c r="E2123" s="29">
        <f>Inputs!$D$63</f>
        <v>46934</v>
      </c>
      <c r="F2123" s="29">
        <f>Inputs!$D$65</f>
        <v>47299</v>
      </c>
      <c r="G2123" s="29">
        <f>Inputs!$D$67</f>
        <v>47664</v>
      </c>
      <c r="H2123" s="29">
        <f>Inputs!$D$69</f>
        <v>48029</v>
      </c>
      <c r="I2123" s="29">
        <f>Inputs!$D$71</f>
        <v>48395</v>
      </c>
      <c r="J2123" s="29">
        <f>Inputs!$D$73</f>
        <v>48760</v>
      </c>
      <c r="K2123" s="29">
        <f>Inputs!$D$75</f>
        <v>49125</v>
      </c>
      <c r="L2123" s="29">
        <f>Inputs!$D$77</f>
        <v>49490</v>
      </c>
      <c r="M2123" s="29">
        <f>Inputs!$D$79</f>
        <v>49856</v>
      </c>
    </row>
    <row r="2124" spans="1:13" ht="15" customHeight="1" x14ac:dyDescent="0.2">
      <c r="A2124" s="91"/>
      <c r="B2124" s="10" t="s">
        <v>888</v>
      </c>
      <c r="C2124" s="10" t="s">
        <v>107</v>
      </c>
      <c r="D2124" s="28">
        <f>(D2123-Inputs!$D$13)/Inputs!$D$10</f>
        <v>0.71457905544147848</v>
      </c>
      <c r="E2124" s="28">
        <f>(E2123-Inputs!$D$13)/Inputs!$D$10</f>
        <v>1.7166324435318274</v>
      </c>
      <c r="F2124" s="28">
        <f>(F2123-Inputs!$D$13)/Inputs!$D$10</f>
        <v>2.7159479808350446</v>
      </c>
      <c r="G2124" s="28">
        <f>(G2123-Inputs!$D$13)/Inputs!$D$10</f>
        <v>3.7152635181382614</v>
      </c>
      <c r="H2124" s="28">
        <f>(H2123-Inputs!$D$13)/Inputs!$D$10</f>
        <v>4.7145790554414786</v>
      </c>
      <c r="I2124" s="28">
        <f>(I2123-Inputs!$D$13)/Inputs!$D$10</f>
        <v>5.7166324435318279</v>
      </c>
      <c r="J2124" s="28">
        <f>(J2123-Inputs!$D$13)/Inputs!$D$10</f>
        <v>6.7159479808350442</v>
      </c>
      <c r="K2124" s="28">
        <f>(K2123-Inputs!$D$13)/Inputs!$D$10</f>
        <v>7.7152635181382614</v>
      </c>
      <c r="L2124" s="28">
        <f>(L2123-Inputs!$D$13)/Inputs!$D$10</f>
        <v>8.7145790554414777</v>
      </c>
      <c r="M2124" s="28">
        <f>(M2123-Inputs!$D$13)/Inputs!$D$10</f>
        <v>9.716632443531827</v>
      </c>
    </row>
    <row r="2125" spans="1:13" ht="15" customHeight="1" x14ac:dyDescent="0.2">
      <c r="A2125" s="91"/>
      <c r="B2125" s="10" t="s">
        <v>889</v>
      </c>
      <c r="C2125" s="10" t="s">
        <v>107</v>
      </c>
      <c r="D2125" s="28">
        <f>D2124</f>
        <v>0.71457905544147848</v>
      </c>
      <c r="E2125" s="28">
        <f>Inputs!$D$7</f>
        <v>1</v>
      </c>
      <c r="F2125" s="28">
        <f>Inputs!$D$7</f>
        <v>1</v>
      </c>
      <c r="G2125" s="28">
        <f>Inputs!$D$7</f>
        <v>1</v>
      </c>
      <c r="H2125" s="28">
        <f>Inputs!$D$7</f>
        <v>1</v>
      </c>
      <c r="I2125" s="28">
        <f>Inputs!$D$7</f>
        <v>1</v>
      </c>
      <c r="J2125" s="28">
        <f>Inputs!$D$7</f>
        <v>1</v>
      </c>
      <c r="K2125" s="28">
        <f>Inputs!$D$7</f>
        <v>1</v>
      </c>
      <c r="L2125" s="28">
        <f>Inputs!$D$7</f>
        <v>1</v>
      </c>
      <c r="M2125" s="28">
        <f>Inputs!$D$7</f>
        <v>1</v>
      </c>
    </row>
    <row r="2126" spans="1:13" ht="15" customHeight="1" x14ac:dyDescent="0.2">
      <c r="A2126" s="91"/>
      <c r="B2126" s="3" t="s">
        <v>890</v>
      </c>
      <c r="C2126" s="10" t="s">
        <v>199</v>
      </c>
      <c r="D2126" s="28">
        <f>Inputs!$D$24+(Inputs!$D$93-Inputs!$D$24)*Inputs!$D$96</f>
        <v>279.10000000000002</v>
      </c>
      <c r="E2126" s="28">
        <f>Inputs!$D$24+(Inputs!$D$93-Inputs!$D$24)*Inputs!$D$97</f>
        <v>900.7</v>
      </c>
      <c r="F2126" s="28">
        <f>Inputs!$D$24+(Inputs!$D$93-Inputs!$D$24)*Inputs!$D$98</f>
        <v>1366.8999999999999</v>
      </c>
      <c r="G2126" s="28">
        <f>Inputs!$D$24+(Inputs!$D$93-Inputs!$D$24)*Inputs!$D$99</f>
        <v>1600</v>
      </c>
      <c r="H2126" s="28">
        <f>Inputs!$D$24+(Inputs!$D$93-Inputs!$D$24)*Inputs!$D$100</f>
        <v>1600</v>
      </c>
      <c r="I2126" s="28">
        <f>Inputs!$D$24+(Inputs!$D$93-Inputs!$D$24)*Inputs!$D$101</f>
        <v>1600</v>
      </c>
      <c r="J2126" s="28">
        <f>Inputs!$D$24+(Inputs!$D$93-Inputs!$D$24)*Inputs!$D$102</f>
        <v>1600</v>
      </c>
      <c r="K2126" s="28">
        <f>Inputs!$D$24+(Inputs!$D$93-Inputs!$D$24)*Inputs!$D$103</f>
        <v>1600</v>
      </c>
      <c r="L2126" s="28">
        <f>Inputs!$D$24+(Inputs!$D$93-Inputs!$D$24)*Inputs!$D$104</f>
        <v>1600</v>
      </c>
      <c r="M2126" s="28">
        <f>Inputs!$D$24+(Inputs!$D$93-Inputs!$D$24)*Inputs!$D$105</f>
        <v>1600</v>
      </c>
    </row>
    <row r="2127" spans="1:13" ht="15" customHeight="1" x14ac:dyDescent="0.2">
      <c r="A2127" s="91"/>
      <c r="B2127" s="10" t="s">
        <v>891</v>
      </c>
      <c r="C2127" s="10" t="s">
        <v>199</v>
      </c>
      <c r="D2127" s="28">
        <f>Inputs!$D$24</f>
        <v>46</v>
      </c>
      <c r="E2127" s="28">
        <f t="shared" ref="E2127:M2127" si="460">D2126</f>
        <v>279.10000000000002</v>
      </c>
      <c r="F2127" s="28">
        <f t="shared" si="460"/>
        <v>900.7</v>
      </c>
      <c r="G2127" s="28">
        <f t="shared" si="460"/>
        <v>1366.8999999999999</v>
      </c>
      <c r="H2127" s="28">
        <f t="shared" si="460"/>
        <v>1600</v>
      </c>
      <c r="I2127" s="28">
        <f t="shared" si="460"/>
        <v>1600</v>
      </c>
      <c r="J2127" s="28">
        <f t="shared" si="460"/>
        <v>1600</v>
      </c>
      <c r="K2127" s="28">
        <f t="shared" si="460"/>
        <v>1600</v>
      </c>
      <c r="L2127" s="28">
        <f t="shared" si="460"/>
        <v>1600</v>
      </c>
      <c r="M2127" s="28">
        <f t="shared" si="460"/>
        <v>1600</v>
      </c>
    </row>
    <row r="2128" spans="1:13" ht="15" customHeight="1" x14ac:dyDescent="0.2">
      <c r="B2128" s="10" t="s">
        <v>892</v>
      </c>
      <c r="C2128" s="10" t="s">
        <v>199</v>
      </c>
      <c r="D2128" s="28">
        <f>(D2127+D2126)*Inputs!$D$12</f>
        <v>162.55000000000001</v>
      </c>
      <c r="E2128" s="28">
        <f>(E2127+E2126)*Inputs!$D$12</f>
        <v>589.90000000000009</v>
      </c>
      <c r="F2128" s="28">
        <f>(F2127+F2126)*Inputs!$D$12</f>
        <v>1133.8</v>
      </c>
      <c r="G2128" s="28">
        <f>(G2127+G2126)*Inputs!$D$12</f>
        <v>1483.4499999999998</v>
      </c>
      <c r="H2128" s="28">
        <f>(H2127+H2126)*Inputs!$D$12</f>
        <v>1600</v>
      </c>
      <c r="I2128" s="28">
        <f>(I2127+I2126)*Inputs!$D$12</f>
        <v>1600</v>
      </c>
      <c r="J2128" s="28">
        <f>(J2127+J2126)*Inputs!$D$12</f>
        <v>1600</v>
      </c>
      <c r="K2128" s="28">
        <f>(K2127+K2126)*Inputs!$D$12</f>
        <v>1600</v>
      </c>
      <c r="L2128" s="28">
        <f>(L2127+L2126)*Inputs!$D$12</f>
        <v>1600</v>
      </c>
      <c r="M2128" s="28">
        <f>(M2127+M2126)*Inputs!$D$12</f>
        <v>1600</v>
      </c>
    </row>
    <row r="2129" spans="2:13" ht="15" customHeight="1" x14ac:dyDescent="0.2">
      <c r="B2129" s="10" t="s">
        <v>893</v>
      </c>
      <c r="C2129" s="10" t="s">
        <v>199</v>
      </c>
      <c r="D2129" s="28">
        <f t="shared" ref="D2129:M2129" si="461">D2126-D2127</f>
        <v>233.10000000000002</v>
      </c>
      <c r="E2129" s="28">
        <f t="shared" si="461"/>
        <v>621.6</v>
      </c>
      <c r="F2129" s="28">
        <f t="shared" si="461"/>
        <v>466.19999999999982</v>
      </c>
      <c r="G2129" s="28">
        <f t="shared" si="461"/>
        <v>233.10000000000014</v>
      </c>
      <c r="H2129" s="28">
        <f t="shared" si="461"/>
        <v>0</v>
      </c>
      <c r="I2129" s="28">
        <f t="shared" si="461"/>
        <v>0</v>
      </c>
      <c r="J2129" s="28">
        <f t="shared" si="461"/>
        <v>0</v>
      </c>
      <c r="K2129" s="28">
        <f t="shared" si="461"/>
        <v>0</v>
      </c>
      <c r="L2129" s="28">
        <f t="shared" si="461"/>
        <v>0</v>
      </c>
      <c r="M2129" s="28">
        <f t="shared" si="461"/>
        <v>0</v>
      </c>
    </row>
    <row r="2130" spans="2:13" ht="15" customHeight="1" x14ac:dyDescent="0.2">
      <c r="B2130" s="10" t="s">
        <v>894</v>
      </c>
      <c r="C2130" s="10" t="s">
        <v>199</v>
      </c>
      <c r="D2130" s="28">
        <f>IF(MOD(D2122,Inputs!$D$21)=Inputs!$D$6,Inputs!$D$24,Inputs!$D$6)+SUMPRODUCT(--(D2122&gt;$D$2122:$M$2122),--(MOD(D2122-$D$2122:$M$2122,Inputs!$D$21)=Inputs!$D$6),$D$2129:$M$2129)</f>
        <v>0</v>
      </c>
      <c r="E2130" s="28">
        <f>IF(MOD(E2122,Inputs!$D$21)=Inputs!$D$6,Inputs!$D$24,Inputs!$D$6)+SUMPRODUCT(--(E2122&gt;$D$2122:$M$2122),--(MOD(E2122-$D$2122:$M$2122,Inputs!$D$21)=Inputs!$D$6),$D$2129:$M$2129)</f>
        <v>0</v>
      </c>
      <c r="F2130" s="28">
        <f>IF(MOD(F2122,Inputs!$D$21)=Inputs!$D$6,Inputs!$D$24,Inputs!$D$6)+SUMPRODUCT(--(F2122&gt;$D$2122:$M$2122),--(MOD(F2122-$D$2122:$M$2122,Inputs!$D$21)=Inputs!$D$6),$D$2129:$M$2129)</f>
        <v>0</v>
      </c>
      <c r="G2130" s="28">
        <f>IF(MOD(G2122,Inputs!$D$21)=Inputs!$D$6,Inputs!$D$24,Inputs!$D$6)+SUMPRODUCT(--(G2122&gt;$D$2122:$M$2122),--(MOD(G2122-$D$2122:$M$2122,Inputs!$D$21)=Inputs!$D$6),$D$2129:$M$2129)</f>
        <v>46</v>
      </c>
      <c r="H2130" s="28">
        <f>IF(MOD(H2122,Inputs!$D$21)=Inputs!$D$6,Inputs!$D$24,Inputs!$D$6)+SUMPRODUCT(--(H2122&gt;$D$2122:$M$2122),--(MOD(H2122-$D$2122:$M$2122,Inputs!$D$21)=Inputs!$D$6),$D$2129:$M$2129)</f>
        <v>233.10000000000002</v>
      </c>
      <c r="I2130" s="28">
        <f>IF(MOD(I2122,Inputs!$D$21)=Inputs!$D$6,Inputs!$D$24,Inputs!$D$6)+SUMPRODUCT(--(I2122&gt;$D$2122:$M$2122),--(MOD(I2122-$D$2122:$M$2122,Inputs!$D$21)=Inputs!$D$6),$D$2129:$M$2129)</f>
        <v>621.6</v>
      </c>
      <c r="J2130" s="28">
        <f>IF(MOD(J2122,Inputs!$D$21)=Inputs!$D$6,Inputs!$D$24,Inputs!$D$6)+SUMPRODUCT(--(J2122&gt;$D$2122:$M$2122),--(MOD(J2122-$D$2122:$M$2122,Inputs!$D$21)=Inputs!$D$6),$D$2129:$M$2129)</f>
        <v>466.19999999999982</v>
      </c>
      <c r="K2130" s="28">
        <f>IF(MOD(K2122,Inputs!$D$21)=Inputs!$D$6,Inputs!$D$24,Inputs!$D$6)+SUMPRODUCT(--(K2122&gt;$D$2122:$M$2122),--(MOD(K2122-$D$2122:$M$2122,Inputs!$D$21)=Inputs!$D$6),$D$2129:$M$2129)</f>
        <v>279.10000000000014</v>
      </c>
      <c r="L2130" s="28">
        <f>IF(MOD(L2122,Inputs!$D$21)=Inputs!$D$6,Inputs!$D$24,Inputs!$D$6)+SUMPRODUCT(--(L2122&gt;$D$2122:$M$2122),--(MOD(L2122-$D$2122:$M$2122,Inputs!$D$21)=Inputs!$D$6),$D$2129:$M$2129)</f>
        <v>233.10000000000002</v>
      </c>
      <c r="M2130" s="28">
        <f>IF(MOD(M2122,Inputs!$D$21)=Inputs!$D$6,Inputs!$D$24,Inputs!$D$6)+SUMPRODUCT(--(M2122&gt;$D$2122:$M$2122),--(MOD(M2122-$D$2122:$M$2122,Inputs!$D$21)=Inputs!$D$6),$D$2129:$M$2129)</f>
        <v>621.6</v>
      </c>
    </row>
    <row r="2131" spans="2:13" ht="15" customHeight="1" x14ac:dyDescent="0.2">
      <c r="B2131" s="10" t="s">
        <v>895</v>
      </c>
      <c r="C2131" s="10" t="s">
        <v>896</v>
      </c>
      <c r="D2131" s="28">
        <f t="shared" ref="D2131:M2131" si="462">D2128*D2125</f>
        <v>116.15482546201234</v>
      </c>
      <c r="E2131" s="28">
        <f t="shared" si="462"/>
        <v>589.90000000000009</v>
      </c>
      <c r="F2131" s="28">
        <f t="shared" si="462"/>
        <v>1133.8</v>
      </c>
      <c r="G2131" s="28">
        <f t="shared" si="462"/>
        <v>1483.4499999999998</v>
      </c>
      <c r="H2131" s="28">
        <f t="shared" si="462"/>
        <v>1600</v>
      </c>
      <c r="I2131" s="28">
        <f t="shared" si="462"/>
        <v>1600</v>
      </c>
      <c r="J2131" s="28">
        <f t="shared" si="462"/>
        <v>1600</v>
      </c>
      <c r="K2131" s="28">
        <f t="shared" si="462"/>
        <v>1600</v>
      </c>
      <c r="L2131" s="28">
        <f t="shared" si="462"/>
        <v>1600</v>
      </c>
      <c r="M2131" s="28">
        <f t="shared" si="462"/>
        <v>1600</v>
      </c>
    </row>
    <row r="2132" spans="2:13" ht="15" customHeight="1" x14ac:dyDescent="0.2">
      <c r="B2132" s="10" t="s">
        <v>897</v>
      </c>
      <c r="C2132" s="10" t="s">
        <v>110</v>
      </c>
      <c r="D2132" s="16">
        <f>D2131*($D$2151/Inputs!$D$21+$D$2152/Inputs!$D$22)</f>
        <v>1680.51014411561</v>
      </c>
      <c r="E2132" s="16">
        <f>E2131*($D$2151/Inputs!$D$21+$D$2152/Inputs!$D$22)</f>
        <v>8534.5824426210111</v>
      </c>
      <c r="F2132" s="16">
        <f>F2131*($D$2151/Inputs!$D$21+$D$2152/Inputs!$D$22)</f>
        <v>16403.643962440583</v>
      </c>
      <c r="G2132" s="16">
        <f>G2131*($D$2151/Inputs!$D$21+$D$2152/Inputs!$D$22)</f>
        <v>21462.326368038881</v>
      </c>
      <c r="H2132" s="16">
        <f>H2131*($D$2151/Inputs!$D$21+$D$2152/Inputs!$D$22)</f>
        <v>23148.553836571649</v>
      </c>
      <c r="I2132" s="16">
        <f>I2131*($D$2151/Inputs!$D$21+$D$2152/Inputs!$D$22)</f>
        <v>23148.553836571649</v>
      </c>
      <c r="J2132" s="16">
        <f>J2131*($D$2151/Inputs!$D$21+$D$2152/Inputs!$D$22)</f>
        <v>23148.553836571649</v>
      </c>
      <c r="K2132" s="16">
        <f>K2131*($D$2151/Inputs!$D$21+$D$2152/Inputs!$D$22)</f>
        <v>23148.553836571649</v>
      </c>
      <c r="L2132" s="16">
        <f>L2131*($D$2151/Inputs!$D$21+$D$2152/Inputs!$D$22)</f>
        <v>23148.553836571649</v>
      </c>
      <c r="M2132" s="16">
        <f>M2131*($D$2151/Inputs!$D$21+$D$2152/Inputs!$D$22)</f>
        <v>23148.553836571649</v>
      </c>
    </row>
    <row r="2133" spans="2:13" ht="15" customHeight="1" x14ac:dyDescent="0.2">
      <c r="B2133" s="10" t="s">
        <v>898</v>
      </c>
      <c r="C2133" s="10" t="s">
        <v>110</v>
      </c>
      <c r="D2133" s="16">
        <f t="shared" ref="D2133:M2133" si="463">D2129*($D$2151+$D$2152)</f>
        <v>13977.887419483886</v>
      </c>
      <c r="E2133" s="16">
        <f t="shared" si="463"/>
        <v>37274.36645195703</v>
      </c>
      <c r="F2133" s="16">
        <f t="shared" si="463"/>
        <v>27955.774838967762</v>
      </c>
      <c r="G2133" s="16">
        <f t="shared" si="463"/>
        <v>13977.887419483894</v>
      </c>
      <c r="H2133" s="16">
        <f t="shared" si="463"/>
        <v>0</v>
      </c>
      <c r="I2133" s="16">
        <f t="shared" si="463"/>
        <v>0</v>
      </c>
      <c r="J2133" s="16">
        <f t="shared" si="463"/>
        <v>0</v>
      </c>
      <c r="K2133" s="16">
        <f t="shared" si="463"/>
        <v>0</v>
      </c>
      <c r="L2133" s="16">
        <f t="shared" si="463"/>
        <v>0</v>
      </c>
      <c r="M2133" s="16">
        <f t="shared" si="463"/>
        <v>0</v>
      </c>
    </row>
    <row r="2134" spans="2:13" ht="15" customHeight="1" x14ac:dyDescent="0.2">
      <c r="B2134" s="10" t="s">
        <v>899</v>
      </c>
      <c r="C2134" s="10" t="s">
        <v>110</v>
      </c>
      <c r="D2134" s="16">
        <f t="shared" ref="D2134:M2134" si="464">D2130*$D$2151</f>
        <v>0</v>
      </c>
      <c r="E2134" s="16">
        <f t="shared" si="464"/>
        <v>0</v>
      </c>
      <c r="F2134" s="16">
        <f t="shared" si="464"/>
        <v>0</v>
      </c>
      <c r="G2134" s="16">
        <f t="shared" si="464"/>
        <v>2638.0048485671714</v>
      </c>
      <c r="H2134" s="16">
        <f t="shared" si="464"/>
        <v>13367.802830456689</v>
      </c>
      <c r="I2134" s="16">
        <f t="shared" si="464"/>
        <v>35647.47421455117</v>
      </c>
      <c r="J2134" s="16">
        <f t="shared" si="464"/>
        <v>26735.605660913367</v>
      </c>
      <c r="K2134" s="16">
        <f t="shared" si="464"/>
        <v>16005.807679023867</v>
      </c>
      <c r="L2134" s="16">
        <f t="shared" si="464"/>
        <v>13367.802830456689</v>
      </c>
      <c r="M2134" s="16">
        <f t="shared" si="464"/>
        <v>35647.47421455117</v>
      </c>
    </row>
    <row r="2135" spans="2:13" ht="15" customHeight="1" x14ac:dyDescent="0.2">
      <c r="B2135" s="10" t="s">
        <v>900</v>
      </c>
      <c r="C2135" s="10" t="s">
        <v>199</v>
      </c>
      <c r="D2135" s="28">
        <f>D2129*Inputs!$D$23</f>
        <v>5.8275000000000006</v>
      </c>
      <c r="E2135" s="28">
        <f>E2129*Inputs!$D$23</f>
        <v>15.540000000000001</v>
      </c>
      <c r="F2135" s="28">
        <f>F2129*Inputs!$D$23</f>
        <v>11.654999999999996</v>
      </c>
      <c r="G2135" s="28">
        <f>G2129*Inputs!$D$23</f>
        <v>5.8275000000000041</v>
      </c>
      <c r="H2135" s="28">
        <f>H2129*Inputs!$D$23</f>
        <v>0</v>
      </c>
      <c r="I2135" s="28">
        <f>I2129*Inputs!$D$23</f>
        <v>0</v>
      </c>
      <c r="J2135" s="28">
        <f>J2129*Inputs!$D$23</f>
        <v>0</v>
      </c>
      <c r="K2135" s="28">
        <f>K2129*Inputs!$D$23</f>
        <v>0</v>
      </c>
      <c r="L2135" s="28">
        <f>L2129*Inputs!$D$23</f>
        <v>0</v>
      </c>
      <c r="M2135" s="28">
        <f>M2129*Inputs!$D$23</f>
        <v>0</v>
      </c>
    </row>
    <row r="2136" spans="2:13" ht="15" customHeight="1" x14ac:dyDescent="0.2">
      <c r="B2136" s="3" t="s">
        <v>901</v>
      </c>
      <c r="C2136" s="10" t="s">
        <v>896</v>
      </c>
      <c r="D2136" s="28">
        <f>(D2131*$D$2149*(Inputs!$D$7-Inputs!$D$19)-D2135)/(Inputs!$D$7+$D$2150)^D2124</f>
        <v>50.541318213721269</v>
      </c>
      <c r="E2136" s="28">
        <f>(E2131*$D$2149*(Inputs!$D$7-Inputs!$D$19)-E2135)/(Inputs!$D$7+$D$2150)^E2124</f>
        <v>238.4864713152904</v>
      </c>
      <c r="F2136" s="28">
        <f>(F2131*$D$2149*(Inputs!$D$7-Inputs!$D$19)-F2135)/(Inputs!$D$7+$D$2150)^F2124</f>
        <v>418.74491871678316</v>
      </c>
      <c r="G2136" s="28">
        <f>(G2131*$D$2149*(Inputs!$D$7-Inputs!$D$19)-G2135)/(Inputs!$D$7+$D$2150)^G2124</f>
        <v>490.87392073514752</v>
      </c>
      <c r="H2136" s="28">
        <f>(H2131*$D$2149*(Inputs!$D$7-Inputs!$D$19)-H2135)/(Inputs!$D$7+$D$2150)^H2124</f>
        <v>472.10300862628105</v>
      </c>
      <c r="I2136" s="28">
        <f>(I2131*$D$2149*(Inputs!$D$7-Inputs!$D$19)-I2135)/(Inputs!$D$7+$D$2150)^I2124</f>
        <v>417.68543753228789</v>
      </c>
      <c r="J2136" s="28">
        <f>(J2131*$D$2149*(Inputs!$D$7-Inputs!$D$19)-J2135)/(Inputs!$D$7+$D$2150)^J2124</f>
        <v>369.66405292491049</v>
      </c>
      <c r="K2136" s="28">
        <f>(K2131*$D$2149*(Inputs!$D$7-Inputs!$D$19)-K2135)/(Inputs!$D$7+$D$2150)^K2124</f>
        <v>327.16369723641031</v>
      </c>
      <c r="L2136" s="28">
        <f>(L2131*$D$2149*(Inputs!$D$7-Inputs!$D$19)-L2135)/(Inputs!$D$7+$D$2150)^L2124</f>
        <v>289.54961658427663</v>
      </c>
      <c r="M2136" s="28">
        <f>(M2131*$D$2149*(Inputs!$D$7-Inputs!$D$19)-M2135)/(Inputs!$D$7+$D$2150)^M2124</f>
        <v>256.17430111750662</v>
      </c>
    </row>
    <row r="2137" spans="2:13" ht="15" customHeight="1" x14ac:dyDescent="0.2">
      <c r="B2137" s="10" t="s">
        <v>902</v>
      </c>
      <c r="C2137" s="10" t="s">
        <v>110</v>
      </c>
      <c r="D2137" s="16">
        <f>(D2132*Inputs!$D$19-D2133-D2134)/(Inputs!$D$7+$D$2150)^D2124</f>
        <v>-12346.937146613671</v>
      </c>
      <c r="E2137" s="16">
        <f>(E2132*Inputs!$D$19-E2133-E2134)/(Inputs!$D$7+$D$2150)^E2124</f>
        <v>-28144.165592831177</v>
      </c>
      <c r="F2137" s="16">
        <f>(F2132*Inputs!$D$19-F2133-F2134)/(Inputs!$D$7+$D$2150)^F2124</f>
        <v>-16528.13772562052</v>
      </c>
      <c r="G2137" s="16">
        <f>(G2132*Inputs!$D$19-G2133-G2134)/(Inputs!$D$7+$D$2150)^G2124</f>
        <v>-6462.9033875784253</v>
      </c>
      <c r="H2137" s="16">
        <f>(H2132*Inputs!$D$19-H2133-H2134)/(Inputs!$D$7+$D$2150)^H2124</f>
        <v>-3610.0349541710043</v>
      </c>
      <c r="I2137" s="16">
        <f>(I2132*Inputs!$D$19-I2133-I2134)/(Inputs!$D$7+$D$2150)^I2124</f>
        <v>-14272.365134506323</v>
      </c>
      <c r="J2137" s="16">
        <f>(J2132*Inputs!$D$19-J2133-J2134)/(Inputs!$D$7+$D$2150)^J2124</f>
        <v>-8709.5665200501735</v>
      </c>
      <c r="K2137" s="16">
        <f>(K2132*Inputs!$D$19-K2133-K2134)/(Inputs!$D$7+$D$2150)^K2124</f>
        <v>-3529.1777141306115</v>
      </c>
      <c r="L2137" s="16">
        <f>(L2132*Inputs!$D$19-L2133-L2134)/(Inputs!$D$7+$D$2150)^L2124</f>
        <v>-2214.1020449702382</v>
      </c>
      <c r="M2137" s="16">
        <f>(M2132*Inputs!$D$19-M2133-M2134)/(Inputs!$D$7+$D$2150)^M2124</f>
        <v>-8753.5088252709138</v>
      </c>
    </row>
    <row r="2138" spans="2:13" ht="15" customHeight="1" x14ac:dyDescent="0.2">
      <c r="B2138" s="10" t="s">
        <v>903</v>
      </c>
      <c r="C2138" s="10" t="s">
        <v>110</v>
      </c>
      <c r="D2138" s="16">
        <f t="shared" ref="D2138:M2138" si="465">D2131*$D$2148</f>
        <v>3769.3525523114399</v>
      </c>
      <c r="E2138" s="16">
        <f t="shared" si="465"/>
        <v>19142.907423469143</v>
      </c>
      <c r="F2138" s="16">
        <f t="shared" si="465"/>
        <v>36793.063971400763</v>
      </c>
      <c r="G2138" s="16">
        <f t="shared" si="465"/>
        <v>48139.593180785378</v>
      </c>
      <c r="H2138" s="16">
        <f t="shared" si="465"/>
        <v>51921.769583913592</v>
      </c>
      <c r="I2138" s="16">
        <f t="shared" si="465"/>
        <v>51921.769583913592</v>
      </c>
      <c r="J2138" s="16">
        <f t="shared" si="465"/>
        <v>51921.769583913592</v>
      </c>
      <c r="K2138" s="16">
        <f t="shared" si="465"/>
        <v>51921.769583913592</v>
      </c>
      <c r="L2138" s="16">
        <f t="shared" si="465"/>
        <v>51921.769583913592</v>
      </c>
      <c r="M2138" s="16">
        <f t="shared" si="465"/>
        <v>51921.769583913592</v>
      </c>
    </row>
    <row r="2139" spans="2:13" ht="15" customHeight="1" x14ac:dyDescent="0.2">
      <c r="B2139" s="10" t="s">
        <v>904</v>
      </c>
      <c r="C2139" s="10" t="s">
        <v>110</v>
      </c>
      <c r="D2139" s="16">
        <f t="shared" ref="D2139:M2139" si="466">D2138*$D$2149</f>
        <v>2827.0144142335798</v>
      </c>
      <c r="E2139" s="16">
        <f t="shared" si="466"/>
        <v>14357.180567601858</v>
      </c>
      <c r="F2139" s="16">
        <f t="shared" si="466"/>
        <v>27594.797978550574</v>
      </c>
      <c r="G2139" s="16">
        <f t="shared" si="466"/>
        <v>36104.694885589037</v>
      </c>
      <c r="H2139" s="16">
        <f t="shared" si="466"/>
        <v>38941.327187935196</v>
      </c>
      <c r="I2139" s="16">
        <f t="shared" si="466"/>
        <v>38941.327187935196</v>
      </c>
      <c r="J2139" s="16">
        <f t="shared" si="466"/>
        <v>38941.327187935196</v>
      </c>
      <c r="K2139" s="16">
        <f t="shared" si="466"/>
        <v>38941.327187935196</v>
      </c>
      <c r="L2139" s="16">
        <f t="shared" si="466"/>
        <v>38941.327187935196</v>
      </c>
      <c r="M2139" s="16">
        <f t="shared" si="466"/>
        <v>38941.327187935196</v>
      </c>
    </row>
    <row r="2140" spans="2:13" ht="15" customHeight="1" x14ac:dyDescent="0.2">
      <c r="B2140" s="10" t="s">
        <v>905</v>
      </c>
      <c r="C2140" s="10" t="s">
        <v>110</v>
      </c>
      <c r="D2140" s="16">
        <f t="shared" ref="D2140:M2140" si="467">D2139-D2132</f>
        <v>1146.5042701179698</v>
      </c>
      <c r="E2140" s="16">
        <f t="shared" si="467"/>
        <v>5822.5981249808465</v>
      </c>
      <c r="F2140" s="16">
        <f t="shared" si="467"/>
        <v>11191.154016109991</v>
      </c>
      <c r="G2140" s="16">
        <f t="shared" si="467"/>
        <v>14642.368517550156</v>
      </c>
      <c r="H2140" s="16">
        <f t="shared" si="467"/>
        <v>15792.773351363547</v>
      </c>
      <c r="I2140" s="16">
        <f t="shared" si="467"/>
        <v>15792.773351363547</v>
      </c>
      <c r="J2140" s="16">
        <f t="shared" si="467"/>
        <v>15792.773351363547</v>
      </c>
      <c r="K2140" s="16">
        <f t="shared" si="467"/>
        <v>15792.773351363547</v>
      </c>
      <c r="L2140" s="16">
        <f t="shared" si="467"/>
        <v>15792.773351363547</v>
      </c>
      <c r="M2140" s="16">
        <f t="shared" si="467"/>
        <v>15792.773351363547</v>
      </c>
    </row>
    <row r="2141" spans="2:13" ht="15" customHeight="1" x14ac:dyDescent="0.2">
      <c r="B2141" s="10" t="s">
        <v>906</v>
      </c>
      <c r="C2141" s="10" t="s">
        <v>110</v>
      </c>
      <c r="D2141" s="16">
        <f>MAX(D2140,Inputs!$D$6)*Inputs!$D$19</f>
        <v>343.95128103539093</v>
      </c>
      <c r="E2141" s="16">
        <f>MAX(E2140,Inputs!$D$6)*Inputs!$D$19</f>
        <v>1746.7794374942539</v>
      </c>
      <c r="F2141" s="16">
        <f>MAX(F2140,Inputs!$D$6)*Inputs!$D$19</f>
        <v>3357.346204832997</v>
      </c>
      <c r="G2141" s="16">
        <f>MAX(G2140,Inputs!$D$6)*Inputs!$D$19</f>
        <v>4392.7105552650464</v>
      </c>
      <c r="H2141" s="16">
        <f>MAX(H2140,Inputs!$D$6)*Inputs!$D$19</f>
        <v>4737.8320054090636</v>
      </c>
      <c r="I2141" s="16">
        <f>MAX(I2140,Inputs!$D$6)*Inputs!$D$19</f>
        <v>4737.8320054090636</v>
      </c>
      <c r="J2141" s="16">
        <f>MAX(J2140,Inputs!$D$6)*Inputs!$D$19</f>
        <v>4737.8320054090636</v>
      </c>
      <c r="K2141" s="16">
        <f>MAX(K2140,Inputs!$D$6)*Inputs!$D$19</f>
        <v>4737.8320054090636</v>
      </c>
      <c r="L2141" s="16">
        <f>MAX(L2140,Inputs!$D$6)*Inputs!$D$19</f>
        <v>4737.8320054090636</v>
      </c>
      <c r="M2141" s="16">
        <f>MAX(M2140,Inputs!$D$6)*Inputs!$D$19</f>
        <v>4737.8320054090636</v>
      </c>
    </row>
    <row r="2142" spans="2:13" ht="15" customHeight="1" x14ac:dyDescent="0.2">
      <c r="B2142" s="10" t="s">
        <v>907</v>
      </c>
      <c r="C2142" s="10" t="s">
        <v>110</v>
      </c>
      <c r="D2142" s="16">
        <f t="shared" ref="D2142:M2142" si="468">D2135*$D$2148</f>
        <v>189.1088201564103</v>
      </c>
      <c r="E2142" s="16">
        <f t="shared" si="468"/>
        <v>504.29018708376077</v>
      </c>
      <c r="F2142" s="16">
        <f t="shared" si="468"/>
        <v>378.21764031282044</v>
      </c>
      <c r="G2142" s="16">
        <f t="shared" si="468"/>
        <v>189.10882015641042</v>
      </c>
      <c r="H2142" s="16">
        <f t="shared" si="468"/>
        <v>0</v>
      </c>
      <c r="I2142" s="16">
        <f t="shared" si="468"/>
        <v>0</v>
      </c>
      <c r="J2142" s="16">
        <f t="shared" si="468"/>
        <v>0</v>
      </c>
      <c r="K2142" s="16">
        <f t="shared" si="468"/>
        <v>0</v>
      </c>
      <c r="L2142" s="16">
        <f t="shared" si="468"/>
        <v>0</v>
      </c>
      <c r="M2142" s="16">
        <f t="shared" si="468"/>
        <v>0</v>
      </c>
    </row>
    <row r="2143" spans="2:13" ht="15" customHeight="1" x14ac:dyDescent="0.2">
      <c r="B2143" s="10" t="s">
        <v>908</v>
      </c>
      <c r="C2143" s="10" t="s">
        <v>110</v>
      </c>
      <c r="D2143" s="16">
        <f t="shared" ref="D2143:M2143" si="469">D2139-D2141-D2133-D2134-D2142</f>
        <v>-11683.933106442108</v>
      </c>
      <c r="E2143" s="16">
        <f t="shared" si="469"/>
        <v>-25168.255508933187</v>
      </c>
      <c r="F2143" s="16">
        <f t="shared" si="469"/>
        <v>-4096.5407055630048</v>
      </c>
      <c r="G2143" s="16">
        <f t="shared" si="469"/>
        <v>14906.983242116514</v>
      </c>
      <c r="H2143" s="16">
        <f t="shared" si="469"/>
        <v>20835.69235206944</v>
      </c>
      <c r="I2143" s="16">
        <f t="shared" si="469"/>
        <v>-1443.9790320250395</v>
      </c>
      <c r="J2143" s="16">
        <f t="shared" si="469"/>
        <v>7467.8895216127639</v>
      </c>
      <c r="K2143" s="16">
        <f t="shared" si="469"/>
        <v>18197.687503502264</v>
      </c>
      <c r="L2143" s="16">
        <f t="shared" si="469"/>
        <v>20835.69235206944</v>
      </c>
      <c r="M2143" s="16">
        <f t="shared" si="469"/>
        <v>-1443.9790320250395</v>
      </c>
    </row>
    <row r="2144" spans="2:13" ht="15" customHeight="1" x14ac:dyDescent="0.2">
      <c r="B2144" s="10" t="s">
        <v>909</v>
      </c>
      <c r="C2144" s="10" t="s">
        <v>110</v>
      </c>
      <c r="D2144" s="16">
        <f>D2143/(Inputs!$D$7+$D$2150)^D2124</f>
        <v>-10706.815472388615</v>
      </c>
      <c r="E2144" s="16">
        <f>E2143/(Inputs!$D$7+$D$2150)^E2124</f>
        <v>-20405.015835010472</v>
      </c>
      <c r="F2144" s="16">
        <f>F2143/(Inputs!$D$7+$D$2150)^F2124</f>
        <v>-2939.4019855908673</v>
      </c>
      <c r="G2144" s="16">
        <f>G2143/(Inputs!$D$7+$D$2150)^G2124</f>
        <v>9466.4982418981963</v>
      </c>
      <c r="H2144" s="16">
        <f>H2143/(Inputs!$D$7+$D$2150)^H2124</f>
        <v>11710.22981693283</v>
      </c>
      <c r="I2144" s="16">
        <f>I2143/(Inputs!$D$7+$D$2150)^I2124</f>
        <v>-718.01073068908124</v>
      </c>
      <c r="J2144" s="16">
        <f>J2143/(Inputs!$D$7+$D$2150)^J2124</f>
        <v>3286.4408420891014</v>
      </c>
      <c r="K2144" s="16">
        <f>K2143/(Inputs!$D$7+$D$2150)^K2124</f>
        <v>7087.6461009507411</v>
      </c>
      <c r="L2144" s="16">
        <f>L2143/(Inputs!$D$7+$D$2150)^L2124</f>
        <v>7182.1032521543466</v>
      </c>
      <c r="M2144" s="16">
        <f>M2143/(Inputs!$D$7+$D$2150)^M2124</f>
        <v>-440.3694278063669</v>
      </c>
    </row>
    <row r="2145" spans="2:13" ht="15" customHeight="1" x14ac:dyDescent="0.2">
      <c r="B2145" s="3" t="s">
        <v>910</v>
      </c>
      <c r="C2145" s="10" t="s">
        <v>896</v>
      </c>
      <c r="D2145" s="28">
        <f>(D2131*$D$2149-D2135)/(Inputs!$D$7+$D$2150)^D2124</f>
        <v>74.490519309095831</v>
      </c>
      <c r="E2145" s="28">
        <f>(E2131*$D$2149-E2135)/(Inputs!$D$7+$D$2150)^E2124</f>
        <v>346.09451503846662</v>
      </c>
      <c r="F2145" s="28">
        <f>(F2131*$D$2149-F2135)/(Inputs!$D$7+$D$2150)^F2124</f>
        <v>601.79110266312398</v>
      </c>
      <c r="G2145" s="28">
        <f>(G2131*$D$2149-G2135)/(Inputs!$D$7+$D$2150)^G2124</f>
        <v>702.83446516544734</v>
      </c>
      <c r="H2145" s="28">
        <f>(H2131*$D$2149-H2135)/(Inputs!$D$7+$D$2150)^H2124</f>
        <v>674.43286946611579</v>
      </c>
      <c r="I2145" s="28">
        <f>(I2131*$D$2149-I2135)/(Inputs!$D$7+$D$2150)^I2124</f>
        <v>596.69348218898278</v>
      </c>
      <c r="J2145" s="28">
        <f>(J2131*$D$2149-J2135)/(Inputs!$D$7+$D$2150)^J2124</f>
        <v>528.09150417844353</v>
      </c>
      <c r="K2145" s="28">
        <f>(K2131*$D$2149-K2135)/(Inputs!$D$7+$D$2150)^K2124</f>
        <v>467.37671033772904</v>
      </c>
      <c r="L2145" s="28">
        <f>(L2131*$D$2149-L2135)/(Inputs!$D$7+$D$2150)^L2124</f>
        <v>413.64230940610946</v>
      </c>
      <c r="M2145" s="28">
        <f>(M2131*$D$2149-M2135)/(Inputs!$D$7+$D$2150)^M2124</f>
        <v>365.96328731072373</v>
      </c>
    </row>
    <row r="2146" spans="2:13" ht="15" customHeight="1" x14ac:dyDescent="0.2">
      <c r="B2146" s="10" t="s">
        <v>911</v>
      </c>
      <c r="C2146" s="10" t="s">
        <v>110</v>
      </c>
      <c r="D2146" s="16">
        <f>(-D2133-D2134)/(Inputs!$D$7+$D$2150)^D2124</f>
        <v>-12808.928289029636</v>
      </c>
      <c r="E2146" s="16">
        <f>(-E2133-E2134)/(Inputs!$D$7+$D$2150)^E2124</f>
        <v>-30219.974420642928</v>
      </c>
      <c r="F2146" s="16">
        <f>(-F2133-F2134)/(Inputs!$D$7+$D$2150)^F2124</f>
        <v>-20059.183095337907</v>
      </c>
      <c r="G2146" s="16">
        <f>(-G2133-G2134)/(Inputs!$D$7+$D$2150)^G2124</f>
        <v>-10551.720115889953</v>
      </c>
      <c r="H2146" s="16">
        <f>(-H2133-H2134)/(Inputs!$D$7+$D$2150)^H2124</f>
        <v>-7513.0713511684744</v>
      </c>
      <c r="I2146" s="16">
        <f>(-I2133-I2134)/(Inputs!$D$7+$D$2150)^I2124</f>
        <v>-17725.512933602091</v>
      </c>
      <c r="J2146" s="16">
        <f>(-J2133-J2134)/(Inputs!$D$7+$D$2150)^J2124</f>
        <v>-11765.705173827875</v>
      </c>
      <c r="K2146" s="16">
        <f>(-K2133-K2134)/(Inputs!$D$7+$D$2150)^K2124</f>
        <v>-6233.95144943378</v>
      </c>
      <c r="L2146" s="16">
        <f>(-L2133-L2134)/(Inputs!$D$7+$D$2150)^L2124</f>
        <v>-4607.9073620630261</v>
      </c>
      <c r="M2146" s="16">
        <f>(-M2133-M2134)/(Inputs!$D$7+$D$2150)^M2124</f>
        <v>-10871.389039901173</v>
      </c>
    </row>
    <row r="2147" spans="2:13" ht="15" customHeight="1" x14ac:dyDescent="0.2">
      <c r="B2147" s="10" t="s">
        <v>912</v>
      </c>
      <c r="C2147" s="10" t="s">
        <v>110</v>
      </c>
      <c r="D2147" s="16">
        <f>Prices!K13</f>
        <v>29373.835793093567</v>
      </c>
    </row>
    <row r="2148" spans="2:13" ht="15" customHeight="1" x14ac:dyDescent="0.2">
      <c r="B2148" s="3" t="s">
        <v>913</v>
      </c>
      <c r="C2148" s="10" t="s">
        <v>914</v>
      </c>
      <c r="D2148" s="28">
        <f>IF(J2155&gt;=J2151,J2155,(D2147-J2154)/J2153)</f>
        <v>32.451105989945994</v>
      </c>
      <c r="G2148" s="99" t="s">
        <v>915</v>
      </c>
      <c r="H2148" s="91"/>
      <c r="I2148" s="91"/>
      <c r="J2148" s="28">
        <f>D2148*Inputs!$D$15</f>
        <v>22.647626870383309</v>
      </c>
      <c r="K2148" s="99" t="s">
        <v>916</v>
      </c>
      <c r="L2148" s="91"/>
      <c r="M2148" s="91"/>
    </row>
    <row r="2149" spans="2:13" ht="15" customHeight="1" x14ac:dyDescent="0.2">
      <c r="B2149" s="10" t="s">
        <v>917</v>
      </c>
      <c r="C2149" s="10" t="s">
        <v>104</v>
      </c>
      <c r="D2149" s="30">
        <f>Inputs!$D$94</f>
        <v>0.75</v>
      </c>
      <c r="G2149" s="99" t="s">
        <v>918</v>
      </c>
      <c r="H2149" s="91"/>
      <c r="I2149" s="91"/>
      <c r="J2149" s="28">
        <f>IF(-D2160/D2159&gt;=J2151,-D2160/D2159,-J2154/J2153)</f>
        <v>27.411702074287536</v>
      </c>
      <c r="K2149" s="99" t="s">
        <v>919</v>
      </c>
      <c r="L2149" s="91"/>
      <c r="M2149" s="91"/>
    </row>
    <row r="2150" spans="2:13" ht="15" customHeight="1" x14ac:dyDescent="0.2">
      <c r="B2150" s="10" t="s">
        <v>920</v>
      </c>
      <c r="C2150" s="10" t="s">
        <v>104</v>
      </c>
      <c r="D2150" s="30">
        <f>Inputs!$D$95</f>
        <v>0.13</v>
      </c>
      <c r="G2150" s="99" t="s">
        <v>918</v>
      </c>
      <c r="H2150" s="91"/>
      <c r="I2150" s="91"/>
      <c r="J2150" s="28">
        <f>J2149*Inputs!$D$15</f>
        <v>19.13062687764527</v>
      </c>
      <c r="K2150" s="99" t="s">
        <v>916</v>
      </c>
      <c r="L2150" s="91"/>
      <c r="M2150" s="91"/>
    </row>
    <row r="2151" spans="2:13" ht="15" customHeight="1" x14ac:dyDescent="0.2">
      <c r="B2151" s="3" t="s">
        <v>921</v>
      </c>
      <c r="C2151" s="10" t="s">
        <v>848</v>
      </c>
      <c r="D2151" s="28">
        <f>Capital!$D$13</f>
        <v>57.347931490590682</v>
      </c>
      <c r="G2151" s="99" t="s">
        <v>922</v>
      </c>
      <c r="H2151" s="91"/>
      <c r="I2151" s="91"/>
      <c r="J2151" s="28">
        <f>($D$2151/Inputs!$D$21+$D$2152/Inputs!$D$22)/$D$2149</f>
        <v>19.290461530476374</v>
      </c>
      <c r="K2151" s="99" t="s">
        <v>919</v>
      </c>
      <c r="L2151" s="91"/>
      <c r="M2151" s="91"/>
    </row>
    <row r="2152" spans="2:13" ht="15" customHeight="1" x14ac:dyDescent="0.2">
      <c r="B2152" s="3" t="s">
        <v>923</v>
      </c>
      <c r="C2152" s="10" t="s">
        <v>848</v>
      </c>
      <c r="D2152" s="28">
        <f>Capital!$D$14</f>
        <v>2.6172655041921802</v>
      </c>
    </row>
    <row r="2153" spans="2:13" ht="15" customHeight="1" x14ac:dyDescent="0.2">
      <c r="B2153" s="10" t="s">
        <v>924</v>
      </c>
      <c r="C2153" s="10" t="s">
        <v>896</v>
      </c>
      <c r="D2153" s="28">
        <f>(M2126*(Inputs!$D$7+Inputs!$D$20)*$D$2149*(Inputs!$D$7-Inputs!$D$19)-M2126*Inputs!$D$20*Inputs!$D$23)/($D$2150-Inputs!$D$20)/(Inputs!$D$7+$D$2150)^M2124</f>
        <v>2497.8446594223992</v>
      </c>
      <c r="G2153" s="92" t="s">
        <v>910</v>
      </c>
      <c r="H2153" s="91"/>
      <c r="I2153" s="91"/>
      <c r="J2153" s="28">
        <f>SUM(D2145:M2145)+(M2126*(Inputs!$D$7+Inputs!$D$20)*$D$2149-M2126*Inputs!$D$20*Inputs!$D$23)/($D$2150-Inputs!$D$20)/(Inputs!$D$7+$D$2150)^M2124</f>
        <v>8341.0050516109004</v>
      </c>
      <c r="K2153" s="99" t="s">
        <v>896</v>
      </c>
      <c r="L2153" s="91"/>
      <c r="M2153" s="91"/>
    </row>
    <row r="2154" spans="2:13" ht="15" customHeight="1" x14ac:dyDescent="0.2">
      <c r="B2154" s="10" t="s">
        <v>925</v>
      </c>
      <c r="C2154" s="10" t="s">
        <v>110</v>
      </c>
      <c r="D2154" s="16">
        <f>(D2157*Inputs!$D$19-D2157-D2158)/($D$2150-Inputs!$D$20)/(Inputs!$D$7+$D$2150)^M2124</f>
        <v>-55207.290798783099</v>
      </c>
      <c r="G2154" s="92" t="s">
        <v>926</v>
      </c>
      <c r="H2154" s="91"/>
      <c r="I2154" s="91"/>
      <c r="J2154" s="16">
        <f>SUM(D2146:M2146)-(D2157+D2158)/($D$2150-Inputs!$D$20)/(Inputs!$D$7+$D$2150)^M2124</f>
        <v>-208239.17898202292</v>
      </c>
      <c r="K2154" s="99" t="s">
        <v>110</v>
      </c>
      <c r="L2154" s="91"/>
      <c r="M2154" s="91"/>
    </row>
    <row r="2155" spans="2:13" ht="15" customHeight="1" x14ac:dyDescent="0.2">
      <c r="B2155" s="10" t="s">
        <v>927</v>
      </c>
      <c r="C2155" s="10" t="s">
        <v>928</v>
      </c>
      <c r="D2155" s="16">
        <f>(M2126*(Inputs!$D$7+Inputs!$D$20)*$D$2148*$D$2149-D2157)-MAX((M2126*(Inputs!$D$7+Inputs!$D$20)*$D$2148*$D$2149-D2157),Inputs!$D$6)*Inputs!$D$19-D2158-M2126*Inputs!$D$20*$D$2148*Inputs!$D$23</f>
        <v>8900.2558938220809</v>
      </c>
      <c r="G2155" s="99" t="s">
        <v>929</v>
      </c>
      <c r="H2155" s="91"/>
      <c r="I2155" s="91"/>
      <c r="J2155" s="28">
        <f>(D2147-D2160)/D2159</f>
        <v>32.451105989945994</v>
      </c>
      <c r="K2155" s="99" t="s">
        <v>919</v>
      </c>
      <c r="L2155" s="91"/>
      <c r="M2155" s="91"/>
    </row>
    <row r="2156" spans="2:13" ht="15" customHeight="1" x14ac:dyDescent="0.2">
      <c r="B2156" s="10" t="s">
        <v>930</v>
      </c>
      <c r="C2156" s="10" t="s">
        <v>110</v>
      </c>
      <c r="D2156" s="16">
        <f>D2155/($D$2150-Inputs!$D$20)</f>
        <v>84764.341845924573</v>
      </c>
      <c r="G2156" s="99" t="s">
        <v>931</v>
      </c>
      <c r="H2156" s="91"/>
      <c r="I2156" s="91"/>
      <c r="J2156" s="16">
        <f>MIN(D2140:M2140,(M2126*(Inputs!$D$7+Inputs!$D$20)*$D$2148*$D$2149-D2157))</f>
        <v>1146.5042701179698</v>
      </c>
      <c r="K2156" s="99" t="s">
        <v>110</v>
      </c>
      <c r="L2156" s="91"/>
      <c r="M2156" s="91"/>
    </row>
    <row r="2157" spans="2:13" ht="15" customHeight="1" x14ac:dyDescent="0.2">
      <c r="B2157" s="10" t="s">
        <v>932</v>
      </c>
      <c r="C2157" s="10" t="s">
        <v>928</v>
      </c>
      <c r="D2157" s="16">
        <f>M2126*(Inputs!$D$7+Inputs!$D$20)*($D$2151/Inputs!$D$21+$D$2152/Inputs!$D$22)</f>
        <v>23727.267682485937</v>
      </c>
      <c r="G2157" s="99" t="s">
        <v>933</v>
      </c>
      <c r="H2157" s="91"/>
      <c r="I2157" s="91"/>
      <c r="J2157" s="31" t="str">
        <f>IF(J2156&lt;Inputs!$D$6,"breached","satisfied")</f>
        <v>satisfied</v>
      </c>
      <c r="K2157" s="99" t="s">
        <v>934</v>
      </c>
      <c r="L2157" s="91"/>
      <c r="M2157" s="91"/>
    </row>
    <row r="2158" spans="2:13" ht="15" customHeight="1" x14ac:dyDescent="0.2">
      <c r="B2158" s="10" t="s">
        <v>935</v>
      </c>
      <c r="C2158" s="10" t="s">
        <v>928</v>
      </c>
      <c r="D2158" s="16">
        <f>M2126*Inputs!$D$20*($D$2151+$D$2152)</f>
        <v>2398.6078797913146</v>
      </c>
    </row>
    <row r="2159" spans="2:13" ht="15" customHeight="1" x14ac:dyDescent="0.2">
      <c r="B2159" s="10" t="s">
        <v>936</v>
      </c>
      <c r="C2159" s="10" t="s">
        <v>896</v>
      </c>
      <c r="D2159" s="28">
        <f>SUM(D2136:M2136)+D2153</f>
        <v>5828.8314024250149</v>
      </c>
      <c r="G2159" s="99" t="s">
        <v>937</v>
      </c>
      <c r="H2159" s="91"/>
      <c r="I2159" s="91"/>
      <c r="J2159" s="16">
        <f>D2161-D2147</f>
        <v>0</v>
      </c>
      <c r="K2159" s="99" t="s">
        <v>110</v>
      </c>
      <c r="L2159" s="91"/>
      <c r="M2159" s="91"/>
    </row>
    <row r="2160" spans="2:13" ht="15" customHeight="1" x14ac:dyDescent="0.2">
      <c r="B2160" s="10" t="s">
        <v>938</v>
      </c>
      <c r="C2160" s="10" t="s">
        <v>110</v>
      </c>
      <c r="D2160" s="16">
        <f>SUM(D2137:M2137)+D2154</f>
        <v>-159778.18984452612</v>
      </c>
    </row>
    <row r="2161" spans="1:13" ht="15" customHeight="1" x14ac:dyDescent="0.2">
      <c r="B2161" s="10" t="s">
        <v>939</v>
      </c>
      <c r="C2161" s="10" t="s">
        <v>110</v>
      </c>
      <c r="D2161" s="16">
        <f>SUM(D2144:M2144)+D2156/(Inputs!$D$7+$D$2150)^M2124</f>
        <v>29373.83579309356</v>
      </c>
    </row>
    <row r="2162" spans="1:13" ht="15" customHeight="1" x14ac:dyDescent="0.2">
      <c r="B2162" s="10" t="s">
        <v>940</v>
      </c>
      <c r="C2162" s="10" t="s">
        <v>104</v>
      </c>
      <c r="D2162" s="30">
        <f>IF(ABS(D2147)&gt;Inputs!$D$6,D2161/D2147-Inputs!$D$7,Inputs!$D$6)</f>
        <v>-2.2204460492503131E-16</v>
      </c>
    </row>
    <row r="2163" spans="1:13" ht="15" customHeight="1" x14ac:dyDescent="0.2">
      <c r="B2163" s="10" t="s">
        <v>941</v>
      </c>
      <c r="C2163" s="10" t="s">
        <v>104</v>
      </c>
      <c r="D2163" s="30">
        <f>IF(ABS(D2161)&gt;Inputs!$D$119,D2156/(Inputs!$D$7+$D$2150)^M2124/D2161,Inputs!$D$6)</f>
        <v>0.88005295503938852</v>
      </c>
    </row>
    <row r="2164" spans="1:13" ht="15" customHeight="1" x14ac:dyDescent="0.2">
      <c r="B2164" s="10" t="s">
        <v>942</v>
      </c>
      <c r="C2164" s="10" t="s">
        <v>943</v>
      </c>
      <c r="D2164" s="26">
        <f>$D$2148*Inputs!$D$8/Prices!$P$6/(Inputs!$D$26/Inputs!$D$25)/Inputs!$D$11/Inputs!$D$56</f>
        <v>5.9013321952309097</v>
      </c>
    </row>
    <row r="2168" spans="1:13" ht="15" customHeight="1" x14ac:dyDescent="0.2">
      <c r="A2168" s="104" t="s">
        <v>990</v>
      </c>
      <c r="B2168" s="10" t="s">
        <v>886</v>
      </c>
      <c r="C2168" s="10" t="s">
        <v>107</v>
      </c>
      <c r="D2168" s="28">
        <f>Inputs!$D$60</f>
        <v>1</v>
      </c>
      <c r="E2168" s="28">
        <f>Inputs!$D$62</f>
        <v>2</v>
      </c>
      <c r="F2168" s="28">
        <f>Inputs!$D$64</f>
        <v>3</v>
      </c>
      <c r="G2168" s="28">
        <f>Inputs!$D$66</f>
        <v>4</v>
      </c>
      <c r="H2168" s="28">
        <f>Inputs!$D$68</f>
        <v>5</v>
      </c>
      <c r="I2168" s="28">
        <f>Inputs!$D$70</f>
        <v>6</v>
      </c>
      <c r="J2168" s="28">
        <f>Inputs!$D$72</f>
        <v>7</v>
      </c>
      <c r="K2168" s="28">
        <f>Inputs!$D$74</f>
        <v>8</v>
      </c>
      <c r="L2168" s="28">
        <f>Inputs!$D$76</f>
        <v>9</v>
      </c>
      <c r="M2168" s="28">
        <f>Inputs!$D$78</f>
        <v>10</v>
      </c>
    </row>
    <row r="2169" spans="1:13" ht="15" customHeight="1" x14ac:dyDescent="0.2">
      <c r="A2169" s="91"/>
      <c r="B2169" s="10" t="s">
        <v>887</v>
      </c>
      <c r="C2169" s="10" t="s">
        <v>161</v>
      </c>
      <c r="D2169" s="29">
        <f>Inputs!$D$61</f>
        <v>46568</v>
      </c>
      <c r="E2169" s="29">
        <f>Inputs!$D$63</f>
        <v>46934</v>
      </c>
      <c r="F2169" s="29">
        <f>Inputs!$D$65</f>
        <v>47299</v>
      </c>
      <c r="G2169" s="29">
        <f>Inputs!$D$67</f>
        <v>47664</v>
      </c>
      <c r="H2169" s="29">
        <f>Inputs!$D$69</f>
        <v>48029</v>
      </c>
      <c r="I2169" s="29">
        <f>Inputs!$D$71</f>
        <v>48395</v>
      </c>
      <c r="J2169" s="29">
        <f>Inputs!$D$73</f>
        <v>48760</v>
      </c>
      <c r="K2169" s="29">
        <f>Inputs!$D$75</f>
        <v>49125</v>
      </c>
      <c r="L2169" s="29">
        <f>Inputs!$D$77</f>
        <v>49490</v>
      </c>
      <c r="M2169" s="29">
        <f>Inputs!$D$79</f>
        <v>49856</v>
      </c>
    </row>
    <row r="2170" spans="1:13" ht="15" customHeight="1" x14ac:dyDescent="0.2">
      <c r="A2170" s="91"/>
      <c r="B2170" s="10" t="s">
        <v>888</v>
      </c>
      <c r="C2170" s="10" t="s">
        <v>107</v>
      </c>
      <c r="D2170" s="28">
        <f>(D2169-Inputs!$D$13)/Inputs!$D$10</f>
        <v>0.71457905544147848</v>
      </c>
      <c r="E2170" s="28">
        <f>(E2169-Inputs!$D$13)/Inputs!$D$10</f>
        <v>1.7166324435318274</v>
      </c>
      <c r="F2170" s="28">
        <f>(F2169-Inputs!$D$13)/Inputs!$D$10</f>
        <v>2.7159479808350446</v>
      </c>
      <c r="G2170" s="28">
        <f>(G2169-Inputs!$D$13)/Inputs!$D$10</f>
        <v>3.7152635181382614</v>
      </c>
      <c r="H2170" s="28">
        <f>(H2169-Inputs!$D$13)/Inputs!$D$10</f>
        <v>4.7145790554414786</v>
      </c>
      <c r="I2170" s="28">
        <f>(I2169-Inputs!$D$13)/Inputs!$D$10</f>
        <v>5.7166324435318279</v>
      </c>
      <c r="J2170" s="28">
        <f>(J2169-Inputs!$D$13)/Inputs!$D$10</f>
        <v>6.7159479808350442</v>
      </c>
      <c r="K2170" s="28">
        <f>(K2169-Inputs!$D$13)/Inputs!$D$10</f>
        <v>7.7152635181382614</v>
      </c>
      <c r="L2170" s="28">
        <f>(L2169-Inputs!$D$13)/Inputs!$D$10</f>
        <v>8.7145790554414777</v>
      </c>
      <c r="M2170" s="28">
        <f>(M2169-Inputs!$D$13)/Inputs!$D$10</f>
        <v>9.716632443531827</v>
      </c>
    </row>
    <row r="2171" spans="1:13" ht="15" customHeight="1" x14ac:dyDescent="0.2">
      <c r="A2171" s="91"/>
      <c r="B2171" s="10" t="s">
        <v>889</v>
      </c>
      <c r="C2171" s="10" t="s">
        <v>107</v>
      </c>
      <c r="D2171" s="28">
        <f>D2170</f>
        <v>0.71457905544147848</v>
      </c>
      <c r="E2171" s="28">
        <f>Inputs!$D$7</f>
        <v>1</v>
      </c>
      <c r="F2171" s="28">
        <f>Inputs!$D$7</f>
        <v>1</v>
      </c>
      <c r="G2171" s="28">
        <f>Inputs!$D$7</f>
        <v>1</v>
      </c>
      <c r="H2171" s="28">
        <f>Inputs!$D$7</f>
        <v>1</v>
      </c>
      <c r="I2171" s="28">
        <f>Inputs!$D$7</f>
        <v>1</v>
      </c>
      <c r="J2171" s="28">
        <f>Inputs!$D$7</f>
        <v>1</v>
      </c>
      <c r="K2171" s="28">
        <f>Inputs!$D$7</f>
        <v>1</v>
      </c>
      <c r="L2171" s="28">
        <f>Inputs!$D$7</f>
        <v>1</v>
      </c>
      <c r="M2171" s="28">
        <f>Inputs!$D$7</f>
        <v>1</v>
      </c>
    </row>
    <row r="2172" spans="1:13" ht="15" customHeight="1" x14ac:dyDescent="0.2">
      <c r="A2172" s="91"/>
      <c r="B2172" s="3" t="s">
        <v>890</v>
      </c>
      <c r="C2172" s="10" t="s">
        <v>199</v>
      </c>
      <c r="D2172" s="28">
        <f>Inputs!$D$24+(Inputs!$D$106-Inputs!$D$24)*Inputs!$D$109</f>
        <v>170.32</v>
      </c>
      <c r="E2172" s="28">
        <f>Inputs!$D$24+(Inputs!$D$106-Inputs!$D$24)*Inputs!$D$110</f>
        <v>481.12000000000006</v>
      </c>
      <c r="F2172" s="28">
        <f>Inputs!$D$24+(Inputs!$D$106-Inputs!$D$24)*Inputs!$D$111</f>
        <v>823</v>
      </c>
      <c r="G2172" s="28">
        <f>Inputs!$D$24+(Inputs!$D$106-Inputs!$D$24)*Inputs!$D$112</f>
        <v>1211.5</v>
      </c>
      <c r="H2172" s="28">
        <f>Inputs!$D$24+(Inputs!$D$106-Inputs!$D$24)*Inputs!$D$113</f>
        <v>1600</v>
      </c>
      <c r="I2172" s="28">
        <f>Inputs!$D$24+(Inputs!$D$106-Inputs!$D$24)*Inputs!$D$114</f>
        <v>1600</v>
      </c>
      <c r="J2172" s="28">
        <f>Inputs!$D$24+(Inputs!$D$106-Inputs!$D$24)*Inputs!$D$115</f>
        <v>1600</v>
      </c>
      <c r="K2172" s="28">
        <f>Inputs!$D$24+(Inputs!$D$106-Inputs!$D$24)*Inputs!$D$116</f>
        <v>1600</v>
      </c>
      <c r="L2172" s="28">
        <f>Inputs!$D$24+(Inputs!$D$106-Inputs!$D$24)*Inputs!$D$117</f>
        <v>1600</v>
      </c>
      <c r="M2172" s="28">
        <f>Inputs!$D$24+(Inputs!$D$106-Inputs!$D$24)*Inputs!$D$118</f>
        <v>1600</v>
      </c>
    </row>
    <row r="2173" spans="1:13" ht="15" customHeight="1" x14ac:dyDescent="0.2">
      <c r="A2173" s="91"/>
      <c r="B2173" s="10" t="s">
        <v>891</v>
      </c>
      <c r="C2173" s="10" t="s">
        <v>199</v>
      </c>
      <c r="D2173" s="28">
        <f>Inputs!$D$24</f>
        <v>46</v>
      </c>
      <c r="E2173" s="28">
        <f t="shared" ref="E2173:M2173" si="470">D2172</f>
        <v>170.32</v>
      </c>
      <c r="F2173" s="28">
        <f t="shared" si="470"/>
        <v>481.12000000000006</v>
      </c>
      <c r="G2173" s="28">
        <f t="shared" si="470"/>
        <v>823</v>
      </c>
      <c r="H2173" s="28">
        <f t="shared" si="470"/>
        <v>1211.5</v>
      </c>
      <c r="I2173" s="28">
        <f t="shared" si="470"/>
        <v>1600</v>
      </c>
      <c r="J2173" s="28">
        <f t="shared" si="470"/>
        <v>1600</v>
      </c>
      <c r="K2173" s="28">
        <f t="shared" si="470"/>
        <v>1600</v>
      </c>
      <c r="L2173" s="28">
        <f t="shared" si="470"/>
        <v>1600</v>
      </c>
      <c r="M2173" s="28">
        <f t="shared" si="470"/>
        <v>1600</v>
      </c>
    </row>
    <row r="2174" spans="1:13" ht="15" customHeight="1" x14ac:dyDescent="0.2">
      <c r="B2174" s="10" t="s">
        <v>892</v>
      </c>
      <c r="C2174" s="10" t="s">
        <v>199</v>
      </c>
      <c r="D2174" s="28">
        <f>(D2173+D2172)*Inputs!$D$12</f>
        <v>108.16</v>
      </c>
      <c r="E2174" s="28">
        <f>(E2173+E2172)*Inputs!$D$12</f>
        <v>325.72000000000003</v>
      </c>
      <c r="F2174" s="28">
        <f>(F2173+F2172)*Inputs!$D$12</f>
        <v>652.06000000000006</v>
      </c>
      <c r="G2174" s="28">
        <f>(G2173+G2172)*Inputs!$D$12</f>
        <v>1017.25</v>
      </c>
      <c r="H2174" s="28">
        <f>(H2173+H2172)*Inputs!$D$12</f>
        <v>1405.75</v>
      </c>
      <c r="I2174" s="28">
        <f>(I2173+I2172)*Inputs!$D$12</f>
        <v>1600</v>
      </c>
      <c r="J2174" s="28">
        <f>(J2173+J2172)*Inputs!$D$12</f>
        <v>1600</v>
      </c>
      <c r="K2174" s="28">
        <f>(K2173+K2172)*Inputs!$D$12</f>
        <v>1600</v>
      </c>
      <c r="L2174" s="28">
        <f>(L2173+L2172)*Inputs!$D$12</f>
        <v>1600</v>
      </c>
      <c r="M2174" s="28">
        <f>(M2173+M2172)*Inputs!$D$12</f>
        <v>1600</v>
      </c>
    </row>
    <row r="2175" spans="1:13" ht="15" customHeight="1" x14ac:dyDescent="0.2">
      <c r="B2175" s="10" t="s">
        <v>893</v>
      </c>
      <c r="C2175" s="10" t="s">
        <v>199</v>
      </c>
      <c r="D2175" s="28">
        <f t="shared" ref="D2175:M2175" si="471">D2172-D2173</f>
        <v>124.32</v>
      </c>
      <c r="E2175" s="28">
        <f t="shared" si="471"/>
        <v>310.80000000000007</v>
      </c>
      <c r="F2175" s="28">
        <f t="shared" si="471"/>
        <v>341.87999999999994</v>
      </c>
      <c r="G2175" s="28">
        <f t="shared" si="471"/>
        <v>388.5</v>
      </c>
      <c r="H2175" s="28">
        <f t="shared" si="471"/>
        <v>388.5</v>
      </c>
      <c r="I2175" s="28">
        <f t="shared" si="471"/>
        <v>0</v>
      </c>
      <c r="J2175" s="28">
        <f t="shared" si="471"/>
        <v>0</v>
      </c>
      <c r="K2175" s="28">
        <f t="shared" si="471"/>
        <v>0</v>
      </c>
      <c r="L2175" s="28">
        <f t="shared" si="471"/>
        <v>0</v>
      </c>
      <c r="M2175" s="28">
        <f t="shared" si="471"/>
        <v>0</v>
      </c>
    </row>
    <row r="2176" spans="1:13" ht="15" customHeight="1" x14ac:dyDescent="0.2">
      <c r="B2176" s="10" t="s">
        <v>894</v>
      </c>
      <c r="C2176" s="10" t="s">
        <v>199</v>
      </c>
      <c r="D2176" s="28">
        <f>IF(MOD(D2168,Inputs!$D$21)=Inputs!$D$6,Inputs!$D$24,Inputs!$D$6)+SUMPRODUCT(--(D2168&gt;$D$2168:$M$2168),--(MOD(D2168-$D$2168:$M$2168,Inputs!$D$21)=Inputs!$D$6),$D$2175:$M$2175)</f>
        <v>0</v>
      </c>
      <c r="E2176" s="28">
        <f>IF(MOD(E2168,Inputs!$D$21)=Inputs!$D$6,Inputs!$D$24,Inputs!$D$6)+SUMPRODUCT(--(E2168&gt;$D$2168:$M$2168),--(MOD(E2168-$D$2168:$M$2168,Inputs!$D$21)=Inputs!$D$6),$D$2175:$M$2175)</f>
        <v>0</v>
      </c>
      <c r="F2176" s="28">
        <f>IF(MOD(F2168,Inputs!$D$21)=Inputs!$D$6,Inputs!$D$24,Inputs!$D$6)+SUMPRODUCT(--(F2168&gt;$D$2168:$M$2168),--(MOD(F2168-$D$2168:$M$2168,Inputs!$D$21)=Inputs!$D$6),$D$2175:$M$2175)</f>
        <v>0</v>
      </c>
      <c r="G2176" s="28">
        <f>IF(MOD(G2168,Inputs!$D$21)=Inputs!$D$6,Inputs!$D$24,Inputs!$D$6)+SUMPRODUCT(--(G2168&gt;$D$2168:$M$2168),--(MOD(G2168-$D$2168:$M$2168,Inputs!$D$21)=Inputs!$D$6),$D$2175:$M$2175)</f>
        <v>46</v>
      </c>
      <c r="H2176" s="28">
        <f>IF(MOD(H2168,Inputs!$D$21)=Inputs!$D$6,Inputs!$D$24,Inputs!$D$6)+SUMPRODUCT(--(H2168&gt;$D$2168:$M$2168),--(MOD(H2168-$D$2168:$M$2168,Inputs!$D$21)=Inputs!$D$6),$D$2175:$M$2175)</f>
        <v>124.32</v>
      </c>
      <c r="I2176" s="28">
        <f>IF(MOD(I2168,Inputs!$D$21)=Inputs!$D$6,Inputs!$D$24,Inputs!$D$6)+SUMPRODUCT(--(I2168&gt;$D$2168:$M$2168),--(MOD(I2168-$D$2168:$M$2168,Inputs!$D$21)=Inputs!$D$6),$D$2175:$M$2175)</f>
        <v>310.80000000000007</v>
      </c>
      <c r="J2176" s="28">
        <f>IF(MOD(J2168,Inputs!$D$21)=Inputs!$D$6,Inputs!$D$24,Inputs!$D$6)+SUMPRODUCT(--(J2168&gt;$D$2168:$M$2168),--(MOD(J2168-$D$2168:$M$2168,Inputs!$D$21)=Inputs!$D$6),$D$2175:$M$2175)</f>
        <v>341.87999999999994</v>
      </c>
      <c r="K2176" s="28">
        <f>IF(MOD(K2168,Inputs!$D$21)=Inputs!$D$6,Inputs!$D$24,Inputs!$D$6)+SUMPRODUCT(--(K2168&gt;$D$2168:$M$2168),--(MOD(K2168-$D$2168:$M$2168,Inputs!$D$21)=Inputs!$D$6),$D$2175:$M$2175)</f>
        <v>434.5</v>
      </c>
      <c r="L2176" s="28">
        <f>IF(MOD(L2168,Inputs!$D$21)=Inputs!$D$6,Inputs!$D$24,Inputs!$D$6)+SUMPRODUCT(--(L2168&gt;$D$2168:$M$2168),--(MOD(L2168-$D$2168:$M$2168,Inputs!$D$21)=Inputs!$D$6),$D$2175:$M$2175)</f>
        <v>512.81999999999994</v>
      </c>
      <c r="M2176" s="28">
        <f>IF(MOD(M2168,Inputs!$D$21)=Inputs!$D$6,Inputs!$D$24,Inputs!$D$6)+SUMPRODUCT(--(M2168&gt;$D$2168:$M$2168),--(MOD(M2168-$D$2168:$M$2168,Inputs!$D$21)=Inputs!$D$6),$D$2175:$M$2175)</f>
        <v>310.80000000000007</v>
      </c>
    </row>
    <row r="2177" spans="2:13" ht="15" customHeight="1" x14ac:dyDescent="0.2">
      <c r="B2177" s="10" t="s">
        <v>895</v>
      </c>
      <c r="C2177" s="10" t="s">
        <v>896</v>
      </c>
      <c r="D2177" s="28">
        <f t="shared" ref="D2177:M2177" si="472">D2174*D2171</f>
        <v>77.288870636550314</v>
      </c>
      <c r="E2177" s="28">
        <f t="shared" si="472"/>
        <v>325.72000000000003</v>
      </c>
      <c r="F2177" s="28">
        <f t="shared" si="472"/>
        <v>652.06000000000006</v>
      </c>
      <c r="G2177" s="28">
        <f t="shared" si="472"/>
        <v>1017.25</v>
      </c>
      <c r="H2177" s="28">
        <f t="shared" si="472"/>
        <v>1405.75</v>
      </c>
      <c r="I2177" s="28">
        <f t="shared" si="472"/>
        <v>1600</v>
      </c>
      <c r="J2177" s="28">
        <f t="shared" si="472"/>
        <v>1600</v>
      </c>
      <c r="K2177" s="28">
        <f t="shared" si="472"/>
        <v>1600</v>
      </c>
      <c r="L2177" s="28">
        <f t="shared" si="472"/>
        <v>1600</v>
      </c>
      <c r="M2177" s="28">
        <f t="shared" si="472"/>
        <v>1600</v>
      </c>
    </row>
    <row r="2178" spans="2:13" ht="15" customHeight="1" x14ac:dyDescent="0.2">
      <c r="B2178" s="10" t="s">
        <v>897</v>
      </c>
      <c r="C2178" s="10" t="s">
        <v>110</v>
      </c>
      <c r="D2178" s="16">
        <f>D2177*($D$2197/Inputs!$D$21+$D$2198/Inputs!$D$22)</f>
        <v>1118.2034893112541</v>
      </c>
      <c r="E2178" s="16">
        <f>E2177*($D$2197/Inputs!$D$21+$D$2198/Inputs!$D$22)</f>
        <v>4712.466847280074</v>
      </c>
      <c r="F2178" s="16">
        <f>F2177*($D$2197/Inputs!$D$21+$D$2198/Inputs!$D$22)</f>
        <v>9433.9037591718188</v>
      </c>
      <c r="G2178" s="16">
        <f>G2177*($D$2197/Inputs!$D$21+$D$2198/Inputs!$D$22)</f>
        <v>14717.416493907818</v>
      </c>
      <c r="H2178" s="16">
        <f>H2177*($D$2197/Inputs!$D$21+$D$2198/Inputs!$D$22)</f>
        <v>20338.17472235037</v>
      </c>
      <c r="I2178" s="16">
        <f>I2177*($D$2197/Inputs!$D$21+$D$2198/Inputs!$D$22)</f>
        <v>23148.553836571649</v>
      </c>
      <c r="J2178" s="16">
        <f>J2177*($D$2197/Inputs!$D$21+$D$2198/Inputs!$D$22)</f>
        <v>23148.553836571649</v>
      </c>
      <c r="K2178" s="16">
        <f>K2177*($D$2197/Inputs!$D$21+$D$2198/Inputs!$D$22)</f>
        <v>23148.553836571649</v>
      </c>
      <c r="L2178" s="16">
        <f>L2177*($D$2197/Inputs!$D$21+$D$2198/Inputs!$D$22)</f>
        <v>23148.553836571649</v>
      </c>
      <c r="M2178" s="16">
        <f>M2177*($D$2197/Inputs!$D$21+$D$2198/Inputs!$D$22)</f>
        <v>23148.553836571649</v>
      </c>
    </row>
    <row r="2179" spans="2:13" ht="15" customHeight="1" x14ac:dyDescent="0.2">
      <c r="B2179" s="10" t="s">
        <v>898</v>
      </c>
      <c r="C2179" s="10" t="s">
        <v>110</v>
      </c>
      <c r="D2179" s="16">
        <f t="shared" ref="D2179:M2179" si="473">D2175*($D$2197+$D$2198)</f>
        <v>7454.8732903914051</v>
      </c>
      <c r="E2179" s="16">
        <f t="shared" si="473"/>
        <v>18637.183225978519</v>
      </c>
      <c r="F2179" s="16">
        <f t="shared" si="473"/>
        <v>20500.901548576363</v>
      </c>
      <c r="G2179" s="16">
        <f t="shared" si="473"/>
        <v>23296.479032473144</v>
      </c>
      <c r="H2179" s="16">
        <f t="shared" si="473"/>
        <v>23296.479032473144</v>
      </c>
      <c r="I2179" s="16">
        <f t="shared" si="473"/>
        <v>0</v>
      </c>
      <c r="J2179" s="16">
        <f t="shared" si="473"/>
        <v>0</v>
      </c>
      <c r="K2179" s="16">
        <f t="shared" si="473"/>
        <v>0</v>
      </c>
      <c r="L2179" s="16">
        <f t="shared" si="473"/>
        <v>0</v>
      </c>
      <c r="M2179" s="16">
        <f t="shared" si="473"/>
        <v>0</v>
      </c>
    </row>
    <row r="2180" spans="2:13" ht="15" customHeight="1" x14ac:dyDescent="0.2">
      <c r="B2180" s="10" t="s">
        <v>899</v>
      </c>
      <c r="C2180" s="10" t="s">
        <v>110</v>
      </c>
      <c r="D2180" s="16">
        <f t="shared" ref="D2180:M2180" si="474">D2176*$D$2197</f>
        <v>0</v>
      </c>
      <c r="E2180" s="16">
        <f t="shared" si="474"/>
        <v>0</v>
      </c>
      <c r="F2180" s="16">
        <f t="shared" si="474"/>
        <v>0</v>
      </c>
      <c r="G2180" s="16">
        <f t="shared" si="474"/>
        <v>2638.0048485671714</v>
      </c>
      <c r="H2180" s="16">
        <f t="shared" si="474"/>
        <v>7129.4948429102333</v>
      </c>
      <c r="I2180" s="16">
        <f t="shared" si="474"/>
        <v>17823.737107275589</v>
      </c>
      <c r="J2180" s="16">
        <f t="shared" si="474"/>
        <v>19606.110818003141</v>
      </c>
      <c r="K2180" s="16">
        <f t="shared" si="474"/>
        <v>24917.676232661652</v>
      </c>
      <c r="L2180" s="16">
        <f t="shared" si="474"/>
        <v>29409.166227004709</v>
      </c>
      <c r="M2180" s="16">
        <f t="shared" si="474"/>
        <v>17823.737107275589</v>
      </c>
    </row>
    <row r="2181" spans="2:13" ht="15" customHeight="1" x14ac:dyDescent="0.2">
      <c r="B2181" s="10" t="s">
        <v>900</v>
      </c>
      <c r="C2181" s="10" t="s">
        <v>199</v>
      </c>
      <c r="D2181" s="28">
        <f>D2175*Inputs!$D$23</f>
        <v>3.1080000000000001</v>
      </c>
      <c r="E2181" s="28">
        <f>E2175*Inputs!$D$23</f>
        <v>7.7700000000000022</v>
      </c>
      <c r="F2181" s="28">
        <f>F2175*Inputs!$D$23</f>
        <v>8.5469999999999988</v>
      </c>
      <c r="G2181" s="28">
        <f>G2175*Inputs!$D$23</f>
        <v>9.7125000000000004</v>
      </c>
      <c r="H2181" s="28">
        <f>H2175*Inputs!$D$23</f>
        <v>9.7125000000000004</v>
      </c>
      <c r="I2181" s="28">
        <f>I2175*Inputs!$D$23</f>
        <v>0</v>
      </c>
      <c r="J2181" s="28">
        <f>J2175*Inputs!$D$23</f>
        <v>0</v>
      </c>
      <c r="K2181" s="28">
        <f>K2175*Inputs!$D$23</f>
        <v>0</v>
      </c>
      <c r="L2181" s="28">
        <f>L2175*Inputs!$D$23</f>
        <v>0</v>
      </c>
      <c r="M2181" s="28">
        <f>M2175*Inputs!$D$23</f>
        <v>0</v>
      </c>
    </row>
    <row r="2182" spans="2:13" ht="15" customHeight="1" x14ac:dyDescent="0.2">
      <c r="B2182" s="3" t="s">
        <v>901</v>
      </c>
      <c r="C2182" s="10" t="s">
        <v>896</v>
      </c>
      <c r="D2182" s="28">
        <f>(D2177*$D$2195*(Inputs!$D$7-Inputs!$D$19)-D2181)/(Inputs!$D$7+$D$2196)^D2170</f>
        <v>40.99699201112098</v>
      </c>
      <c r="E2182" s="28">
        <f>(E2177*$D$2195*(Inputs!$D$7-Inputs!$D$19)-E2181)/(Inputs!$D$7+$D$2196)^E2170</f>
        <v>153.02781912726542</v>
      </c>
      <c r="F2182" s="28">
        <f>(F2177*$D$2195*(Inputs!$D$7-Inputs!$D$19)-F2181)/(Inputs!$D$7+$D$2196)^F2170</f>
        <v>268.8019226843403</v>
      </c>
      <c r="G2182" s="28">
        <f>(G2177*$D$2195*(Inputs!$D$7-Inputs!$D$19)-G2181)/(Inputs!$D$7+$D$2196)^G2170</f>
        <v>363.62824610263397</v>
      </c>
      <c r="H2182" s="28">
        <f>(H2177*$D$2195*(Inputs!$D$7-Inputs!$D$19)-H2181)/(Inputs!$D$7+$D$2196)^H2170</f>
        <v>435.07807528321291</v>
      </c>
      <c r="I2182" s="28">
        <f>(I2177*$D$2195*(Inputs!$D$7-Inputs!$D$19)-I2181)/(Inputs!$D$7+$D$2196)^I2170</f>
        <v>431.49711827119876</v>
      </c>
      <c r="J2182" s="28">
        <f>(J2177*$D$2195*(Inputs!$D$7-Inputs!$D$19)-J2181)/(Inputs!$D$7+$D$2196)^J2170</f>
        <v>372.01806500733016</v>
      </c>
      <c r="K2182" s="28">
        <f>(K2177*$D$2195*(Inputs!$D$7-Inputs!$D$19)-K2181)/(Inputs!$D$7+$D$2196)^K2170</f>
        <v>320.73780989845312</v>
      </c>
      <c r="L2182" s="28">
        <f>(L2177*$D$2195*(Inputs!$D$7-Inputs!$D$19)-L2181)/(Inputs!$D$7+$D$2196)^L2170</f>
        <v>276.52620228651875</v>
      </c>
      <c r="M2182" s="28">
        <f>(M2177*$D$2195*(Inputs!$D$7-Inputs!$D$19)-M2181)/(Inputs!$D$7+$D$2196)^M2170</f>
        <v>238.31201718226143</v>
      </c>
    </row>
    <row r="2183" spans="2:13" ht="15" customHeight="1" x14ac:dyDescent="0.2">
      <c r="B2183" s="10" t="s">
        <v>902</v>
      </c>
      <c r="C2183" s="10" t="s">
        <v>110</v>
      </c>
      <c r="D2183" s="16">
        <f>(D2178*Inputs!$D$19-D2179-D2180)/(Inputs!$D$7+$D$2196)^D2170</f>
        <v>-6403.0045740313244</v>
      </c>
      <c r="E2183" s="16">
        <f>(E2178*Inputs!$D$19-E2179-E2180)/(Inputs!$D$7+$D$2196)^E2170</f>
        <v>-13349.632212764713</v>
      </c>
      <c r="F2183" s="16">
        <f>(F2178*Inputs!$D$19-F2179-F2180)/(Inputs!$D$7+$D$2196)^F2170</f>
        <v>-11808.370082432088</v>
      </c>
      <c r="G2183" s="16">
        <f>(G2178*Inputs!$D$19-G2179-G2180)/(Inputs!$D$7+$D$2196)^G2170</f>
        <v>-12397.921878440668</v>
      </c>
      <c r="H2183" s="16">
        <f>(H2178*Inputs!$D$19-H2179-H2180)/(Inputs!$D$7+$D$2196)^H2170</f>
        <v>-12082.366885213038</v>
      </c>
      <c r="I2183" s="16">
        <f>(I2178*Inputs!$D$19-I2179-I2180)/(Inputs!$D$7+$D$2196)^I2170</f>
        <v>-4657.0743222469628</v>
      </c>
      <c r="J2183" s="16">
        <f>(J2178*Inputs!$D$19-J2179-J2180)/(Inputs!$D$7+$D$2196)^J2170</f>
        <v>-4672.9398284057479</v>
      </c>
      <c r="K2183" s="16">
        <f>(K2178*Inputs!$D$19-K2179-K2180)/(Inputs!$D$7+$D$2196)^K2170</f>
        <v>-5718.9047268503064</v>
      </c>
      <c r="L2183" s="16">
        <f>(L2178*Inputs!$D$19-L2179-L2180)/(Inputs!$D$7+$D$2196)^L2170</f>
        <v>-6162.7485564592316</v>
      </c>
      <c r="M2183" s="16">
        <f>(M2178*Inputs!$D$19-M2179-M2180)/(Inputs!$D$7+$D$2196)^M2170</f>
        <v>-2572.0606903447429</v>
      </c>
    </row>
    <row r="2184" spans="2:13" ht="15" customHeight="1" x14ac:dyDescent="0.2">
      <c r="B2184" s="10" t="s">
        <v>903</v>
      </c>
      <c r="C2184" s="10" t="s">
        <v>110</v>
      </c>
      <c r="D2184" s="16">
        <f t="shared" ref="D2184:M2184" si="475">D2177*$D$2194</f>
        <v>2338.9882407171681</v>
      </c>
      <c r="E2184" s="16">
        <f t="shared" si="475"/>
        <v>9857.2439148322956</v>
      </c>
      <c r="F2184" s="16">
        <f t="shared" si="475"/>
        <v>19733.250850747718</v>
      </c>
      <c r="G2184" s="16">
        <f t="shared" si="475"/>
        <v>30784.97289808164</v>
      </c>
      <c r="H2184" s="16">
        <f t="shared" si="475"/>
        <v>42542.124012266664</v>
      </c>
      <c r="I2184" s="16">
        <f t="shared" si="475"/>
        <v>48420.699569359182</v>
      </c>
      <c r="J2184" s="16">
        <f t="shared" si="475"/>
        <v>48420.699569359182</v>
      </c>
      <c r="K2184" s="16">
        <f t="shared" si="475"/>
        <v>48420.699569359182</v>
      </c>
      <c r="L2184" s="16">
        <f t="shared" si="475"/>
        <v>48420.699569359182</v>
      </c>
      <c r="M2184" s="16">
        <f t="shared" si="475"/>
        <v>48420.699569359182</v>
      </c>
    </row>
    <row r="2185" spans="2:13" ht="15" customHeight="1" x14ac:dyDescent="0.2">
      <c r="B2185" s="10" t="s">
        <v>904</v>
      </c>
      <c r="C2185" s="10" t="s">
        <v>110</v>
      </c>
      <c r="D2185" s="16">
        <f t="shared" ref="D2185:M2185" si="476">D2184*$D$2195</f>
        <v>2105.0894166454514</v>
      </c>
      <c r="E2185" s="16">
        <f t="shared" si="476"/>
        <v>8871.5195233490667</v>
      </c>
      <c r="F2185" s="16">
        <f t="shared" si="476"/>
        <v>17759.925765672946</v>
      </c>
      <c r="G2185" s="16">
        <f t="shared" si="476"/>
        <v>27706.475608273475</v>
      </c>
      <c r="H2185" s="16">
        <f t="shared" si="476"/>
        <v>38287.911611039999</v>
      </c>
      <c r="I2185" s="16">
        <f t="shared" si="476"/>
        <v>43578.629612423261</v>
      </c>
      <c r="J2185" s="16">
        <f t="shared" si="476"/>
        <v>43578.629612423261</v>
      </c>
      <c r="K2185" s="16">
        <f t="shared" si="476"/>
        <v>43578.629612423261</v>
      </c>
      <c r="L2185" s="16">
        <f t="shared" si="476"/>
        <v>43578.629612423261</v>
      </c>
      <c r="M2185" s="16">
        <f t="shared" si="476"/>
        <v>43578.629612423261</v>
      </c>
    </row>
    <row r="2186" spans="2:13" ht="15" customHeight="1" x14ac:dyDescent="0.2">
      <c r="B2186" s="10" t="s">
        <v>905</v>
      </c>
      <c r="C2186" s="10" t="s">
        <v>110</v>
      </c>
      <c r="D2186" s="16">
        <f t="shared" ref="D2186:M2186" si="477">D2185-D2178</f>
        <v>986.88592733419728</v>
      </c>
      <c r="E2186" s="16">
        <f t="shared" si="477"/>
        <v>4159.0526760689927</v>
      </c>
      <c r="F2186" s="16">
        <f t="shared" si="477"/>
        <v>8326.0220065011272</v>
      </c>
      <c r="G2186" s="16">
        <f t="shared" si="477"/>
        <v>12989.059114365657</v>
      </c>
      <c r="H2186" s="16">
        <f t="shared" si="477"/>
        <v>17949.736888689629</v>
      </c>
      <c r="I2186" s="16">
        <f t="shared" si="477"/>
        <v>20430.075775851612</v>
      </c>
      <c r="J2186" s="16">
        <f t="shared" si="477"/>
        <v>20430.075775851612</v>
      </c>
      <c r="K2186" s="16">
        <f t="shared" si="477"/>
        <v>20430.075775851612</v>
      </c>
      <c r="L2186" s="16">
        <f t="shared" si="477"/>
        <v>20430.075775851612</v>
      </c>
      <c r="M2186" s="16">
        <f t="shared" si="477"/>
        <v>20430.075775851612</v>
      </c>
    </row>
    <row r="2187" spans="2:13" ht="15" customHeight="1" x14ac:dyDescent="0.2">
      <c r="B2187" s="10" t="s">
        <v>906</v>
      </c>
      <c r="C2187" s="10" t="s">
        <v>110</v>
      </c>
      <c r="D2187" s="16">
        <f>MAX(D2186,Inputs!$D$6)*Inputs!$D$19</f>
        <v>296.06577820025916</v>
      </c>
      <c r="E2187" s="16">
        <f>MAX(E2186,Inputs!$D$6)*Inputs!$D$19</f>
        <v>1247.7158028206977</v>
      </c>
      <c r="F2187" s="16">
        <f>MAX(F2186,Inputs!$D$6)*Inputs!$D$19</f>
        <v>2497.8066019503381</v>
      </c>
      <c r="G2187" s="16">
        <f>MAX(G2186,Inputs!$D$6)*Inputs!$D$19</f>
        <v>3896.7177343096969</v>
      </c>
      <c r="H2187" s="16">
        <f>MAX(H2186,Inputs!$D$6)*Inputs!$D$19</f>
        <v>5384.9210666068884</v>
      </c>
      <c r="I2187" s="16">
        <f>MAX(I2186,Inputs!$D$6)*Inputs!$D$19</f>
        <v>6129.022732755483</v>
      </c>
      <c r="J2187" s="16">
        <f>MAX(J2186,Inputs!$D$6)*Inputs!$D$19</f>
        <v>6129.022732755483</v>
      </c>
      <c r="K2187" s="16">
        <f>MAX(K2186,Inputs!$D$6)*Inputs!$D$19</f>
        <v>6129.022732755483</v>
      </c>
      <c r="L2187" s="16">
        <f>MAX(L2186,Inputs!$D$6)*Inputs!$D$19</f>
        <v>6129.022732755483</v>
      </c>
      <c r="M2187" s="16">
        <f>MAX(M2186,Inputs!$D$6)*Inputs!$D$19</f>
        <v>6129.022732755483</v>
      </c>
    </row>
    <row r="2188" spans="2:13" ht="15" customHeight="1" x14ac:dyDescent="0.2">
      <c r="B2188" s="10" t="s">
        <v>907</v>
      </c>
      <c r="C2188" s="10" t="s">
        <v>110</v>
      </c>
      <c r="D2188" s="16">
        <f t="shared" ref="D2188:M2188" si="478">D2181*$D$2194</f>
        <v>94.05720891348021</v>
      </c>
      <c r="E2188" s="16">
        <f t="shared" si="478"/>
        <v>235.14302228370059</v>
      </c>
      <c r="F2188" s="16">
        <f t="shared" si="478"/>
        <v>258.65732451207055</v>
      </c>
      <c r="G2188" s="16">
        <f t="shared" si="478"/>
        <v>293.92877785462565</v>
      </c>
      <c r="H2188" s="16">
        <f t="shared" si="478"/>
        <v>293.92877785462565</v>
      </c>
      <c r="I2188" s="16">
        <f t="shared" si="478"/>
        <v>0</v>
      </c>
      <c r="J2188" s="16">
        <f t="shared" si="478"/>
        <v>0</v>
      </c>
      <c r="K2188" s="16">
        <f t="shared" si="478"/>
        <v>0</v>
      </c>
      <c r="L2188" s="16">
        <f t="shared" si="478"/>
        <v>0</v>
      </c>
      <c r="M2188" s="16">
        <f t="shared" si="478"/>
        <v>0</v>
      </c>
    </row>
    <row r="2189" spans="2:13" ht="15" customHeight="1" x14ac:dyDescent="0.2">
      <c r="B2189" s="10" t="s">
        <v>908</v>
      </c>
      <c r="C2189" s="10" t="s">
        <v>110</v>
      </c>
      <c r="D2189" s="16">
        <f t="shared" ref="D2189:M2189" si="479">D2185-D2187-D2179-D2180-D2188</f>
        <v>-5739.9068608596936</v>
      </c>
      <c r="E2189" s="16">
        <f t="shared" si="479"/>
        <v>-11248.52252773385</v>
      </c>
      <c r="F2189" s="16">
        <f t="shared" si="479"/>
        <v>-5497.4397093658263</v>
      </c>
      <c r="G2189" s="16">
        <f t="shared" si="479"/>
        <v>-2418.6547849311619</v>
      </c>
      <c r="H2189" s="16">
        <f t="shared" si="479"/>
        <v>2183.0878911951058</v>
      </c>
      <c r="I2189" s="16">
        <f t="shared" si="479"/>
        <v>19625.86977239219</v>
      </c>
      <c r="J2189" s="16">
        <f t="shared" si="479"/>
        <v>17843.496061664639</v>
      </c>
      <c r="K2189" s="16">
        <f t="shared" si="479"/>
        <v>12531.930647006127</v>
      </c>
      <c r="L2189" s="16">
        <f t="shared" si="479"/>
        <v>8040.4406526630701</v>
      </c>
      <c r="M2189" s="16">
        <f t="shared" si="479"/>
        <v>19625.86977239219</v>
      </c>
    </row>
    <row r="2190" spans="2:13" ht="15" customHeight="1" x14ac:dyDescent="0.2">
      <c r="B2190" s="10" t="s">
        <v>909</v>
      </c>
      <c r="C2190" s="10" t="s">
        <v>110</v>
      </c>
      <c r="D2190" s="16">
        <f>D2189/(Inputs!$D$7+$D$2196)^D2170</f>
        <v>-5162.3151781451324</v>
      </c>
      <c r="E2190" s="16">
        <f>E2189/(Inputs!$D$7+$D$2196)^E2170</f>
        <v>-8718.5609279424898</v>
      </c>
      <c r="F2190" s="16">
        <f>F2189/(Inputs!$D$7+$D$2196)^F2170</f>
        <v>-3673.634368704239</v>
      </c>
      <c r="G2190" s="16">
        <f>G2189/(Inputs!$D$7+$D$2196)^G2170</f>
        <v>-1393.4630912727646</v>
      </c>
      <c r="H2190" s="16">
        <f>H2189/(Inputs!$D$7+$D$2196)^H2170</f>
        <v>1084.3735976016426</v>
      </c>
      <c r="I2190" s="16">
        <f>I2189/(Inputs!$D$7+$D$2196)^I2170</f>
        <v>8401.2958832867644</v>
      </c>
      <c r="J2190" s="16">
        <f>J2189/(Inputs!$D$7+$D$2196)^J2170</f>
        <v>6585.4195216531707</v>
      </c>
      <c r="K2190" s="16">
        <f>K2189/(Inputs!$D$7+$D$2196)^K2170</f>
        <v>3987.5634816667166</v>
      </c>
      <c r="L2190" s="16">
        <f>L2189/(Inputs!$D$7+$D$2196)^L2170</f>
        <v>2205.7465460228741</v>
      </c>
      <c r="M2190" s="16">
        <f>M2189/(Inputs!$D$7+$D$2196)^M2170</f>
        <v>4639.9609269991606</v>
      </c>
    </row>
    <row r="2191" spans="2:13" ht="15" customHeight="1" x14ac:dyDescent="0.2">
      <c r="B2191" s="3" t="s">
        <v>910</v>
      </c>
      <c r="C2191" s="10" t="s">
        <v>896</v>
      </c>
      <c r="D2191" s="28">
        <f>(D2177*$D$2195-D2181)/(Inputs!$D$7+$D$2196)^D2170</f>
        <v>59.765095798928819</v>
      </c>
      <c r="E2191" s="28">
        <f>(E2177*$D$2195-E2181)/(Inputs!$D$7+$D$2196)^E2170</f>
        <v>221.1922031857838</v>
      </c>
      <c r="F2191" s="28">
        <f>(F2177*$D$2195-F2181)/(Inputs!$D$7+$D$2196)^F2170</f>
        <v>386.45052664112239</v>
      </c>
      <c r="G2191" s="28">
        <f>(G2177*$D$2195-G2181)/(Inputs!$D$7+$D$2196)^G2170</f>
        <v>521.867070169518</v>
      </c>
      <c r="H2191" s="28">
        <f>(H2177*$D$2195-H2181)/(Inputs!$D$7+$D$2196)^H2170</f>
        <v>623.60768582417222</v>
      </c>
      <c r="I2191" s="28">
        <f>(I2177*$D$2195-I2181)/(Inputs!$D$7+$D$2196)^I2170</f>
        <v>616.42445467314121</v>
      </c>
      <c r="J2191" s="28">
        <f>(J2177*$D$2195-J2181)/(Inputs!$D$7+$D$2196)^J2170</f>
        <v>531.4543785819003</v>
      </c>
      <c r="K2191" s="28">
        <f>(K2177*$D$2195-K2181)/(Inputs!$D$7+$D$2196)^K2170</f>
        <v>458.19687128350449</v>
      </c>
      <c r="L2191" s="28">
        <f>(L2177*$D$2195-L2181)/(Inputs!$D$7+$D$2196)^L2170</f>
        <v>395.03743183788401</v>
      </c>
      <c r="M2191" s="28">
        <f>(M2177*$D$2195-M2181)/(Inputs!$D$7+$D$2196)^M2170</f>
        <v>340.44573883180209</v>
      </c>
    </row>
    <row r="2192" spans="2:13" ht="15" customHeight="1" x14ac:dyDescent="0.2">
      <c r="B2192" s="10" t="s">
        <v>911</v>
      </c>
      <c r="C2192" s="10" t="s">
        <v>110</v>
      </c>
      <c r="D2192" s="16">
        <f>(-D2179-D2180)/(Inputs!$D$7+$D$2196)^D2170</f>
        <v>-6704.7090607969039</v>
      </c>
      <c r="E2192" s="16">
        <f>(-E2179-E2180)/(Inputs!$D$7+$D$2196)^E2170</f>
        <v>-14445.4009031226</v>
      </c>
      <c r="F2192" s="16">
        <f>(-F2179-F2180)/(Inputs!$D$7+$D$2196)^F2170</f>
        <v>-13699.616639717549</v>
      </c>
      <c r="G2192" s="16">
        <f>(-G2179-G2180)/(Inputs!$D$7+$D$2196)^G2170</f>
        <v>-14941.671835349038</v>
      </c>
      <c r="H2192" s="16">
        <f>(-H2179-H2180)/(Inputs!$D$7+$D$2196)^H2170</f>
        <v>-15113.052884793095</v>
      </c>
      <c r="I2192" s="16">
        <f>(-I2179-I2180)/(Inputs!$D$7+$D$2196)^I2170</f>
        <v>-7629.8523795762403</v>
      </c>
      <c r="J2192" s="16">
        <f>(-J2179-J2180)/(Inputs!$D$7+$D$2196)^J2170</f>
        <v>-7235.9398897150922</v>
      </c>
      <c r="K2192" s="16">
        <f>(-K2179-K2180)/(Inputs!$D$7+$D$2196)^K2170</f>
        <v>-7928.612006570077</v>
      </c>
      <c r="L2192" s="16">
        <f>(-L2179-L2180)/(Inputs!$D$7+$D$2196)^L2170</f>
        <v>-8067.8621519509534</v>
      </c>
      <c r="M2192" s="16">
        <f>(-M2179-M2180)/(Inputs!$D$7+$D$2196)^M2170</f>
        <v>-4213.8995473821142</v>
      </c>
    </row>
    <row r="2193" spans="2:13" ht="15" customHeight="1" x14ac:dyDescent="0.2">
      <c r="B2193" s="10" t="s">
        <v>912</v>
      </c>
      <c r="C2193" s="10" t="s">
        <v>110</v>
      </c>
      <c r="D2193" s="16">
        <f>Prices!K13</f>
        <v>29373.835793093567</v>
      </c>
    </row>
    <row r="2194" spans="2:13" ht="15" customHeight="1" x14ac:dyDescent="0.2">
      <c r="B2194" s="3" t="s">
        <v>913</v>
      </c>
      <c r="C2194" s="10" t="s">
        <v>914</v>
      </c>
      <c r="D2194" s="28">
        <f>IF(J2201&gt;=J2197,J2201,(D2193-J2200)/J2199)</f>
        <v>30.262937230849488</v>
      </c>
      <c r="G2194" s="99" t="s">
        <v>915</v>
      </c>
      <c r="H2194" s="91"/>
      <c r="I2194" s="91"/>
      <c r="J2194" s="28">
        <f>D2194*Inputs!$D$15</f>
        <v>21.120503893409857</v>
      </c>
      <c r="K2194" s="99" t="s">
        <v>916</v>
      </c>
      <c r="L2194" s="91"/>
      <c r="M2194" s="91"/>
    </row>
    <row r="2195" spans="2:13" ht="15" customHeight="1" x14ac:dyDescent="0.2">
      <c r="B2195" s="10" t="s">
        <v>917</v>
      </c>
      <c r="C2195" s="10" t="s">
        <v>104</v>
      </c>
      <c r="D2195" s="30">
        <f>Inputs!$D$107</f>
        <v>0.9</v>
      </c>
      <c r="G2195" s="99" t="s">
        <v>918</v>
      </c>
      <c r="H2195" s="91"/>
      <c r="I2195" s="91"/>
      <c r="J2195" s="28">
        <f>IF(-D2206/D2205&gt;=J2197,-D2206/D2205,-J2200/J2199)</f>
        <v>24.024174528419383</v>
      </c>
      <c r="K2195" s="99" t="s">
        <v>919</v>
      </c>
      <c r="L2195" s="91"/>
      <c r="M2195" s="91"/>
    </row>
    <row r="2196" spans="2:13" ht="15" customHeight="1" x14ac:dyDescent="0.2">
      <c r="B2196" s="10" t="s">
        <v>920</v>
      </c>
      <c r="C2196" s="10" t="s">
        <v>104</v>
      </c>
      <c r="D2196" s="30">
        <f>Inputs!$D$108</f>
        <v>0.16</v>
      </c>
      <c r="G2196" s="99" t="s">
        <v>918</v>
      </c>
      <c r="H2196" s="91"/>
      <c r="I2196" s="91"/>
      <c r="J2196" s="28">
        <f>J2195*Inputs!$D$15</f>
        <v>16.766471403383886</v>
      </c>
      <c r="K2196" s="99" t="s">
        <v>916</v>
      </c>
      <c r="L2196" s="91"/>
      <c r="M2196" s="91"/>
    </row>
    <row r="2197" spans="2:13" ht="15" customHeight="1" x14ac:dyDescent="0.2">
      <c r="B2197" s="3" t="s">
        <v>921</v>
      </c>
      <c r="C2197" s="10" t="s">
        <v>848</v>
      </c>
      <c r="D2197" s="28">
        <f>Capital!$D$13</f>
        <v>57.347931490590682</v>
      </c>
      <c r="G2197" s="99" t="s">
        <v>922</v>
      </c>
      <c r="H2197" s="91"/>
      <c r="I2197" s="91"/>
      <c r="J2197" s="28">
        <f>($D$2197/Inputs!$D$21+$D$2198/Inputs!$D$22)/$D$2195</f>
        <v>16.07538460873031</v>
      </c>
      <c r="K2197" s="99" t="s">
        <v>919</v>
      </c>
      <c r="L2197" s="91"/>
      <c r="M2197" s="91"/>
    </row>
    <row r="2198" spans="2:13" ht="15" customHeight="1" x14ac:dyDescent="0.2">
      <c r="B2198" s="3" t="s">
        <v>923</v>
      </c>
      <c r="C2198" s="10" t="s">
        <v>848</v>
      </c>
      <c r="D2198" s="28">
        <f>Capital!$D$14</f>
        <v>2.6172655041921802</v>
      </c>
    </row>
    <row r="2199" spans="2:13" ht="15" customHeight="1" x14ac:dyDescent="0.2">
      <c r="B2199" s="10" t="s">
        <v>924</v>
      </c>
      <c r="C2199" s="10" t="s">
        <v>896</v>
      </c>
      <c r="D2199" s="28">
        <f>(M2172*(Inputs!$D$7+Inputs!$D$20)*$D$2195*(Inputs!$D$7-Inputs!$D$19)-M2172*Inputs!$D$20*Inputs!$D$23)/($D$2196-Inputs!$D$20)/(Inputs!$D$7+$D$2196)^M2170</f>
        <v>1807.6547922951956</v>
      </c>
      <c r="G2199" s="92" t="s">
        <v>910</v>
      </c>
      <c r="H2199" s="91"/>
      <c r="I2199" s="91"/>
      <c r="J2199" s="28">
        <f>SUM(D2191:M2191)+(M2172*(Inputs!$D$7+Inputs!$D$20)*$D$2195-M2172*Inputs!$D$20*Inputs!$D$23)/($D$2196-Inputs!$D$20)/(Inputs!$D$7+$D$2196)^M2170</f>
        <v>6737.5559875731687</v>
      </c>
      <c r="K2199" s="99" t="s">
        <v>896</v>
      </c>
      <c r="L2199" s="91"/>
      <c r="M2199" s="91"/>
    </row>
    <row r="2200" spans="2:13" ht="15" customHeight="1" x14ac:dyDescent="0.2">
      <c r="B2200" s="10" t="s">
        <v>925</v>
      </c>
      <c r="C2200" s="10" t="s">
        <v>110</v>
      </c>
      <c r="D2200" s="16">
        <f>(D2203*Inputs!$D$19-D2203-D2204)/($D$2196-Inputs!$D$20)/(Inputs!$D$7+$D$2196)^M2170</f>
        <v>-33287.494112345899</v>
      </c>
      <c r="G2200" s="92" t="s">
        <v>926</v>
      </c>
      <c r="H2200" s="91"/>
      <c r="I2200" s="91"/>
      <c r="J2200" s="16">
        <f>SUM(D2192:M2192)-(D2203+D2204)/($D$2196-Inputs!$D$20)/(Inputs!$D$7+$D$2196)^M2170</f>
        <v>-145733.9249554922</v>
      </c>
      <c r="K2200" s="99" t="s">
        <v>110</v>
      </c>
      <c r="L2200" s="91"/>
      <c r="M2200" s="91"/>
    </row>
    <row r="2201" spans="2:13" ht="15" customHeight="1" x14ac:dyDescent="0.2">
      <c r="B2201" s="10" t="s">
        <v>927</v>
      </c>
      <c r="C2201" s="10" t="s">
        <v>928</v>
      </c>
      <c r="D2201" s="16">
        <f>(M2172*(Inputs!$D$7+Inputs!$D$20)*$D$2194*$D$2195-D2203)-MAX((M2172*(Inputs!$D$7+Inputs!$D$20)*$D$2194*$D$2195-D2203),Inputs!$D$6)*Inputs!$D$19-D2204-M2172*Inputs!$D$20*$D$2194*Inputs!$D$23</f>
        <v>12229.708552151365</v>
      </c>
      <c r="G2201" s="99" t="s">
        <v>929</v>
      </c>
      <c r="H2201" s="91"/>
      <c r="I2201" s="91"/>
      <c r="J2201" s="28">
        <f>(D2193-D2206)/D2205</f>
        <v>30.262937230849488</v>
      </c>
      <c r="K2201" s="99" t="s">
        <v>919</v>
      </c>
      <c r="L2201" s="91"/>
      <c r="M2201" s="91"/>
    </row>
    <row r="2202" spans="2:13" ht="15" customHeight="1" x14ac:dyDescent="0.2">
      <c r="B2202" s="10" t="s">
        <v>930</v>
      </c>
      <c r="C2202" s="10" t="s">
        <v>110</v>
      </c>
      <c r="D2202" s="16">
        <f>D2201/($D$2196-Inputs!$D$20)</f>
        <v>90590.433719639739</v>
      </c>
      <c r="G2202" s="99" t="s">
        <v>931</v>
      </c>
      <c r="H2202" s="91"/>
      <c r="I2202" s="91"/>
      <c r="J2202" s="16">
        <f>MIN(D2186:M2186,(M2172*(Inputs!$D$7+Inputs!$D$20)*$D$2194*$D$2195-D2203))</f>
        <v>986.88592733419728</v>
      </c>
      <c r="K2202" s="99" t="s">
        <v>110</v>
      </c>
      <c r="L2202" s="91"/>
      <c r="M2202" s="91"/>
    </row>
    <row r="2203" spans="2:13" ht="15" customHeight="1" x14ac:dyDescent="0.2">
      <c r="B2203" s="10" t="s">
        <v>932</v>
      </c>
      <c r="C2203" s="10" t="s">
        <v>928</v>
      </c>
      <c r="D2203" s="16">
        <f>M2172*(Inputs!$D$7+Inputs!$D$20)*($D$2197/Inputs!$D$21+$D$2198/Inputs!$D$22)</f>
        <v>23727.267682485937</v>
      </c>
      <c r="G2203" s="99" t="s">
        <v>933</v>
      </c>
      <c r="H2203" s="91"/>
      <c r="I2203" s="91"/>
      <c r="J2203" s="31" t="str">
        <f>IF(J2202&lt;Inputs!$D$6,"breached","satisfied")</f>
        <v>satisfied</v>
      </c>
      <c r="K2203" s="99" t="s">
        <v>934</v>
      </c>
      <c r="L2203" s="91"/>
      <c r="M2203" s="91"/>
    </row>
    <row r="2204" spans="2:13" ht="15" customHeight="1" x14ac:dyDescent="0.2">
      <c r="B2204" s="10" t="s">
        <v>935</v>
      </c>
      <c r="C2204" s="10" t="s">
        <v>928</v>
      </c>
      <c r="D2204" s="16">
        <f>M2172*Inputs!$D$20*($D$2197+$D$2198)</f>
        <v>2398.6078797913146</v>
      </c>
    </row>
    <row r="2205" spans="2:13" ht="15" customHeight="1" x14ac:dyDescent="0.2">
      <c r="B2205" s="10" t="s">
        <v>936</v>
      </c>
      <c r="C2205" s="10" t="s">
        <v>896</v>
      </c>
      <c r="D2205" s="28">
        <f>SUM(D2182:M2182)+D2199</f>
        <v>4708.2790601495317</v>
      </c>
      <c r="G2205" s="99" t="s">
        <v>937</v>
      </c>
      <c r="H2205" s="91"/>
      <c r="I2205" s="91"/>
      <c r="J2205" s="16">
        <f>D2207-D2193</f>
        <v>0</v>
      </c>
      <c r="K2205" s="99" t="s">
        <v>110</v>
      </c>
      <c r="L2205" s="91"/>
      <c r="M2205" s="91"/>
    </row>
    <row r="2206" spans="2:13" ht="15" customHeight="1" x14ac:dyDescent="0.2">
      <c r="B2206" s="10" t="s">
        <v>938</v>
      </c>
      <c r="C2206" s="10" t="s">
        <v>110</v>
      </c>
      <c r="D2206" s="16">
        <f>SUM(D2183:M2183)+D2200</f>
        <v>-113112.51786953473</v>
      </c>
    </row>
    <row r="2207" spans="2:13" ht="15" customHeight="1" x14ac:dyDescent="0.2">
      <c r="B2207" s="10" t="s">
        <v>939</v>
      </c>
      <c r="C2207" s="10" t="s">
        <v>110</v>
      </c>
      <c r="D2207" s="16">
        <f>SUM(D2190:M2190)+D2202/(Inputs!$D$7+$D$2196)^M2170</f>
        <v>29373.835793093589</v>
      </c>
    </row>
    <row r="2208" spans="2:13" ht="15" customHeight="1" x14ac:dyDescent="0.2">
      <c r="B2208" s="10" t="s">
        <v>940</v>
      </c>
      <c r="C2208" s="10" t="s">
        <v>104</v>
      </c>
      <c r="D2208" s="30">
        <f>IF(ABS(D2193)&gt;Inputs!$D$6,D2207/D2193-Inputs!$D$7,Inputs!$D$6)</f>
        <v>6.6613381477509392E-16</v>
      </c>
    </row>
    <row r="2209" spans="1:13" ht="15" customHeight="1" x14ac:dyDescent="0.2">
      <c r="B2209" s="10" t="s">
        <v>941</v>
      </c>
      <c r="C2209" s="10" t="s">
        <v>104</v>
      </c>
      <c r="D2209" s="30">
        <f>IF(ABS(D2207)&gt;Inputs!$D$119,D2202/(Inputs!$D$7+$D$2196)^M2170/D2207,Inputs!$D$6)</f>
        <v>0.72913355793197354</v>
      </c>
    </row>
    <row r="2210" spans="1:13" ht="15" customHeight="1" x14ac:dyDescent="0.2">
      <c r="B2210" s="10" t="s">
        <v>942</v>
      </c>
      <c r="C2210" s="10" t="s">
        <v>943</v>
      </c>
      <c r="D2210" s="26">
        <f>$D$2194*Inputs!$D$8/Prices!$P$6/(Inputs!$D$26/Inputs!$D$25)/Inputs!$D$11/Inputs!$D$56</f>
        <v>5.5034070597777331</v>
      </c>
    </row>
    <row r="2214" spans="1:13" ht="15" customHeight="1" x14ac:dyDescent="0.2">
      <c r="A2214" s="104" t="s">
        <v>991</v>
      </c>
      <c r="B2214" s="10" t="s">
        <v>886</v>
      </c>
      <c r="C2214" s="10" t="s">
        <v>107</v>
      </c>
      <c r="D2214" s="28">
        <f>Inputs!$D$60</f>
        <v>1</v>
      </c>
      <c r="E2214" s="28">
        <f>Inputs!$D$62</f>
        <v>2</v>
      </c>
      <c r="F2214" s="28">
        <f>Inputs!$D$64</f>
        <v>3</v>
      </c>
      <c r="G2214" s="28">
        <f>Inputs!$D$66</f>
        <v>4</v>
      </c>
      <c r="H2214" s="28">
        <f>Inputs!$D$68</f>
        <v>5</v>
      </c>
      <c r="I2214" s="28">
        <f>Inputs!$D$70</f>
        <v>6</v>
      </c>
      <c r="J2214" s="28">
        <f>Inputs!$D$72</f>
        <v>7</v>
      </c>
      <c r="K2214" s="28">
        <f>Inputs!$D$74</f>
        <v>8</v>
      </c>
      <c r="L2214" s="28">
        <f>Inputs!$D$76</f>
        <v>9</v>
      </c>
      <c r="M2214" s="28">
        <f>Inputs!$D$78</f>
        <v>10</v>
      </c>
    </row>
    <row r="2215" spans="1:13" ht="15" customHeight="1" x14ac:dyDescent="0.2">
      <c r="A2215" s="91"/>
      <c r="B2215" s="10" t="s">
        <v>887</v>
      </c>
      <c r="C2215" s="10" t="s">
        <v>161</v>
      </c>
      <c r="D2215" s="29">
        <f>Inputs!$D$61</f>
        <v>46568</v>
      </c>
      <c r="E2215" s="29">
        <f>Inputs!$D$63</f>
        <v>46934</v>
      </c>
      <c r="F2215" s="29">
        <f>Inputs!$D$65</f>
        <v>47299</v>
      </c>
      <c r="G2215" s="29">
        <f>Inputs!$D$67</f>
        <v>47664</v>
      </c>
      <c r="H2215" s="29">
        <f>Inputs!$D$69</f>
        <v>48029</v>
      </c>
      <c r="I2215" s="29">
        <f>Inputs!$D$71</f>
        <v>48395</v>
      </c>
      <c r="J2215" s="29">
        <f>Inputs!$D$73</f>
        <v>48760</v>
      </c>
      <c r="K2215" s="29">
        <f>Inputs!$D$75</f>
        <v>49125</v>
      </c>
      <c r="L2215" s="29">
        <f>Inputs!$D$77</f>
        <v>49490</v>
      </c>
      <c r="M2215" s="29">
        <f>Inputs!$D$79</f>
        <v>49856</v>
      </c>
    </row>
    <row r="2216" spans="1:13" ht="15" customHeight="1" x14ac:dyDescent="0.2">
      <c r="A2216" s="91"/>
      <c r="B2216" s="10" t="s">
        <v>888</v>
      </c>
      <c r="C2216" s="10" t="s">
        <v>107</v>
      </c>
      <c r="D2216" s="28">
        <f>(D2215-Inputs!$D$13)/Inputs!$D$10</f>
        <v>0.71457905544147848</v>
      </c>
      <c r="E2216" s="28">
        <f>(E2215-Inputs!$D$13)/Inputs!$D$10</f>
        <v>1.7166324435318274</v>
      </c>
      <c r="F2216" s="28">
        <f>(F2215-Inputs!$D$13)/Inputs!$D$10</f>
        <v>2.7159479808350446</v>
      </c>
      <c r="G2216" s="28">
        <f>(G2215-Inputs!$D$13)/Inputs!$D$10</f>
        <v>3.7152635181382614</v>
      </c>
      <c r="H2216" s="28">
        <f>(H2215-Inputs!$D$13)/Inputs!$D$10</f>
        <v>4.7145790554414786</v>
      </c>
      <c r="I2216" s="28">
        <f>(I2215-Inputs!$D$13)/Inputs!$D$10</f>
        <v>5.7166324435318279</v>
      </c>
      <c r="J2216" s="28">
        <f>(J2215-Inputs!$D$13)/Inputs!$D$10</f>
        <v>6.7159479808350442</v>
      </c>
      <c r="K2216" s="28">
        <f>(K2215-Inputs!$D$13)/Inputs!$D$10</f>
        <v>7.7152635181382614</v>
      </c>
      <c r="L2216" s="28">
        <f>(L2215-Inputs!$D$13)/Inputs!$D$10</f>
        <v>8.7145790554414777</v>
      </c>
      <c r="M2216" s="28">
        <f>(M2215-Inputs!$D$13)/Inputs!$D$10</f>
        <v>9.716632443531827</v>
      </c>
    </row>
    <row r="2217" spans="1:13" ht="15" customHeight="1" x14ac:dyDescent="0.2">
      <c r="A2217" s="91"/>
      <c r="B2217" s="10" t="s">
        <v>889</v>
      </c>
      <c r="C2217" s="10" t="s">
        <v>107</v>
      </c>
      <c r="D2217" s="28">
        <f>D2216</f>
        <v>0.71457905544147848</v>
      </c>
      <c r="E2217" s="28">
        <f>Inputs!$D$7</f>
        <v>1</v>
      </c>
      <c r="F2217" s="28">
        <f>Inputs!$D$7</f>
        <v>1</v>
      </c>
      <c r="G2217" s="28">
        <f>Inputs!$D$7</f>
        <v>1</v>
      </c>
      <c r="H2217" s="28">
        <f>Inputs!$D$7</f>
        <v>1</v>
      </c>
      <c r="I2217" s="28">
        <f>Inputs!$D$7</f>
        <v>1</v>
      </c>
      <c r="J2217" s="28">
        <f>Inputs!$D$7</f>
        <v>1</v>
      </c>
      <c r="K2217" s="28">
        <f>Inputs!$D$7</f>
        <v>1</v>
      </c>
      <c r="L2217" s="28">
        <f>Inputs!$D$7</f>
        <v>1</v>
      </c>
      <c r="M2217" s="28">
        <f>Inputs!$D$7</f>
        <v>1</v>
      </c>
    </row>
    <row r="2218" spans="1:13" ht="15" customHeight="1" x14ac:dyDescent="0.2">
      <c r="A2218" s="91"/>
      <c r="B2218" s="3" t="s">
        <v>890</v>
      </c>
      <c r="C2218" s="10" t="s">
        <v>199</v>
      </c>
      <c r="D2218" s="28">
        <f>Inputs!$D$24+(Inputs!$D$80-Inputs!$D$24)*Inputs!$D$83</f>
        <v>305.5</v>
      </c>
      <c r="E2218" s="28">
        <f>Inputs!$D$24+(Inputs!$D$80-Inputs!$D$24)*Inputs!$D$84</f>
        <v>651.5</v>
      </c>
      <c r="F2218" s="28">
        <f>Inputs!$D$24+(Inputs!$D$80-Inputs!$D$24)*Inputs!$D$85</f>
        <v>911</v>
      </c>
      <c r="G2218" s="28">
        <f>Inputs!$D$24+(Inputs!$D$80-Inputs!$D$24)*Inputs!$D$86</f>
        <v>911</v>
      </c>
      <c r="H2218" s="28">
        <f>Inputs!$D$24+(Inputs!$D$80-Inputs!$D$24)*Inputs!$D$87</f>
        <v>911</v>
      </c>
      <c r="I2218" s="28">
        <f>Inputs!$D$24+(Inputs!$D$80-Inputs!$D$24)*Inputs!$D$88</f>
        <v>911</v>
      </c>
      <c r="J2218" s="28">
        <f>Inputs!$D$24+(Inputs!$D$80-Inputs!$D$24)*Inputs!$D$89</f>
        <v>911</v>
      </c>
      <c r="K2218" s="28">
        <f>Inputs!$D$24+(Inputs!$D$80-Inputs!$D$24)*Inputs!$D$90</f>
        <v>911</v>
      </c>
      <c r="L2218" s="28">
        <f>Inputs!$D$24+(Inputs!$D$80-Inputs!$D$24)*Inputs!$D$91</f>
        <v>911</v>
      </c>
      <c r="M2218" s="28">
        <f>Inputs!$D$24+(Inputs!$D$80-Inputs!$D$24)*Inputs!$D$92</f>
        <v>911</v>
      </c>
    </row>
    <row r="2219" spans="1:13" ht="15" customHeight="1" x14ac:dyDescent="0.2">
      <c r="A2219" s="91"/>
      <c r="B2219" s="10" t="s">
        <v>891</v>
      </c>
      <c r="C2219" s="10" t="s">
        <v>199</v>
      </c>
      <c r="D2219" s="28">
        <f>Inputs!$D$24</f>
        <v>46</v>
      </c>
      <c r="E2219" s="28">
        <f t="shared" ref="E2219:M2219" si="480">D2218</f>
        <v>305.5</v>
      </c>
      <c r="F2219" s="28">
        <f t="shared" si="480"/>
        <v>651.5</v>
      </c>
      <c r="G2219" s="28">
        <f t="shared" si="480"/>
        <v>911</v>
      </c>
      <c r="H2219" s="28">
        <f t="shared" si="480"/>
        <v>911</v>
      </c>
      <c r="I2219" s="28">
        <f t="shared" si="480"/>
        <v>911</v>
      </c>
      <c r="J2219" s="28">
        <f t="shared" si="480"/>
        <v>911</v>
      </c>
      <c r="K2219" s="28">
        <f t="shared" si="480"/>
        <v>911</v>
      </c>
      <c r="L2219" s="28">
        <f t="shared" si="480"/>
        <v>911</v>
      </c>
      <c r="M2219" s="28">
        <f t="shared" si="480"/>
        <v>911</v>
      </c>
    </row>
    <row r="2220" spans="1:13" ht="15" customHeight="1" x14ac:dyDescent="0.2">
      <c r="B2220" s="10" t="s">
        <v>892</v>
      </c>
      <c r="C2220" s="10" t="s">
        <v>199</v>
      </c>
      <c r="D2220" s="28">
        <f>(D2219+D2218)*Inputs!$D$12</f>
        <v>175.75</v>
      </c>
      <c r="E2220" s="28">
        <f>(E2219+E2218)*Inputs!$D$12</f>
        <v>478.5</v>
      </c>
      <c r="F2220" s="28">
        <f>(F2219+F2218)*Inputs!$D$12</f>
        <v>781.25</v>
      </c>
      <c r="G2220" s="28">
        <f>(G2219+G2218)*Inputs!$D$12</f>
        <v>911</v>
      </c>
      <c r="H2220" s="28">
        <f>(H2219+H2218)*Inputs!$D$12</f>
        <v>911</v>
      </c>
      <c r="I2220" s="28">
        <f>(I2219+I2218)*Inputs!$D$12</f>
        <v>911</v>
      </c>
      <c r="J2220" s="28">
        <f>(J2219+J2218)*Inputs!$D$12</f>
        <v>911</v>
      </c>
      <c r="K2220" s="28">
        <f>(K2219+K2218)*Inputs!$D$12</f>
        <v>911</v>
      </c>
      <c r="L2220" s="28">
        <f>(L2219+L2218)*Inputs!$D$12</f>
        <v>911</v>
      </c>
      <c r="M2220" s="28">
        <f>(M2219+M2218)*Inputs!$D$12</f>
        <v>911</v>
      </c>
    </row>
    <row r="2221" spans="1:13" ht="15" customHeight="1" x14ac:dyDescent="0.2">
      <c r="B2221" s="10" t="s">
        <v>893</v>
      </c>
      <c r="C2221" s="10" t="s">
        <v>199</v>
      </c>
      <c r="D2221" s="28">
        <f t="shared" ref="D2221:M2221" si="481">D2218-D2219</f>
        <v>259.5</v>
      </c>
      <c r="E2221" s="28">
        <f t="shared" si="481"/>
        <v>346</v>
      </c>
      <c r="F2221" s="28">
        <f t="shared" si="481"/>
        <v>259.5</v>
      </c>
      <c r="G2221" s="28">
        <f t="shared" si="481"/>
        <v>0</v>
      </c>
      <c r="H2221" s="28">
        <f t="shared" si="481"/>
        <v>0</v>
      </c>
      <c r="I2221" s="28">
        <f t="shared" si="481"/>
        <v>0</v>
      </c>
      <c r="J2221" s="28">
        <f t="shared" si="481"/>
        <v>0</v>
      </c>
      <c r="K2221" s="28">
        <f t="shared" si="481"/>
        <v>0</v>
      </c>
      <c r="L2221" s="28">
        <f t="shared" si="481"/>
        <v>0</v>
      </c>
      <c r="M2221" s="28">
        <f t="shared" si="481"/>
        <v>0</v>
      </c>
    </row>
    <row r="2222" spans="1:13" ht="15" customHeight="1" x14ac:dyDescent="0.2">
      <c r="B2222" s="10" t="s">
        <v>894</v>
      </c>
      <c r="C2222" s="10" t="s">
        <v>199</v>
      </c>
      <c r="D2222" s="28">
        <f>IF(MOD(D2214,Inputs!$D$21)=Inputs!$D$6,Inputs!$D$24,Inputs!$D$6)+SUMPRODUCT(--(D2214&gt;$D$2214:$M$2214),--(MOD(D2214-$D$2214:$M$2214,Inputs!$D$21)=Inputs!$D$6),$D$2221:$M$2221)</f>
        <v>0</v>
      </c>
      <c r="E2222" s="28">
        <f>IF(MOD(E2214,Inputs!$D$21)=Inputs!$D$6,Inputs!$D$24,Inputs!$D$6)+SUMPRODUCT(--(E2214&gt;$D$2214:$M$2214),--(MOD(E2214-$D$2214:$M$2214,Inputs!$D$21)=Inputs!$D$6),$D$2221:$M$2221)</f>
        <v>0</v>
      </c>
      <c r="F2222" s="28">
        <f>IF(MOD(F2214,Inputs!$D$21)=Inputs!$D$6,Inputs!$D$24,Inputs!$D$6)+SUMPRODUCT(--(F2214&gt;$D$2214:$M$2214),--(MOD(F2214-$D$2214:$M$2214,Inputs!$D$21)=Inputs!$D$6),$D$2221:$M$2221)</f>
        <v>0</v>
      </c>
      <c r="G2222" s="28">
        <f>IF(MOD(G2214,Inputs!$D$21)=Inputs!$D$6,Inputs!$D$24,Inputs!$D$6)+SUMPRODUCT(--(G2214&gt;$D$2214:$M$2214),--(MOD(G2214-$D$2214:$M$2214,Inputs!$D$21)=Inputs!$D$6),$D$2221:$M$2221)</f>
        <v>46</v>
      </c>
      <c r="H2222" s="28">
        <f>IF(MOD(H2214,Inputs!$D$21)=Inputs!$D$6,Inputs!$D$24,Inputs!$D$6)+SUMPRODUCT(--(H2214&gt;$D$2214:$M$2214),--(MOD(H2214-$D$2214:$M$2214,Inputs!$D$21)=Inputs!$D$6),$D$2221:$M$2221)</f>
        <v>259.5</v>
      </c>
      <c r="I2222" s="28">
        <f>IF(MOD(I2214,Inputs!$D$21)=Inputs!$D$6,Inputs!$D$24,Inputs!$D$6)+SUMPRODUCT(--(I2214&gt;$D$2214:$M$2214),--(MOD(I2214-$D$2214:$M$2214,Inputs!$D$21)=Inputs!$D$6),$D$2221:$M$2221)</f>
        <v>346</v>
      </c>
      <c r="J2222" s="28">
        <f>IF(MOD(J2214,Inputs!$D$21)=Inputs!$D$6,Inputs!$D$24,Inputs!$D$6)+SUMPRODUCT(--(J2214&gt;$D$2214:$M$2214),--(MOD(J2214-$D$2214:$M$2214,Inputs!$D$21)=Inputs!$D$6),$D$2221:$M$2221)</f>
        <v>259.5</v>
      </c>
      <c r="K2222" s="28">
        <f>IF(MOD(K2214,Inputs!$D$21)=Inputs!$D$6,Inputs!$D$24,Inputs!$D$6)+SUMPRODUCT(--(K2214&gt;$D$2214:$M$2214),--(MOD(K2214-$D$2214:$M$2214,Inputs!$D$21)=Inputs!$D$6),$D$2221:$M$2221)</f>
        <v>46</v>
      </c>
      <c r="L2222" s="28">
        <f>IF(MOD(L2214,Inputs!$D$21)=Inputs!$D$6,Inputs!$D$24,Inputs!$D$6)+SUMPRODUCT(--(L2214&gt;$D$2214:$M$2214),--(MOD(L2214-$D$2214:$M$2214,Inputs!$D$21)=Inputs!$D$6),$D$2221:$M$2221)</f>
        <v>259.5</v>
      </c>
      <c r="M2222" s="28">
        <f>IF(MOD(M2214,Inputs!$D$21)=Inputs!$D$6,Inputs!$D$24,Inputs!$D$6)+SUMPRODUCT(--(M2214&gt;$D$2214:$M$2214),--(MOD(M2214-$D$2214:$M$2214,Inputs!$D$21)=Inputs!$D$6),$D$2221:$M$2221)</f>
        <v>346</v>
      </c>
    </row>
    <row r="2223" spans="1:13" ht="15" customHeight="1" x14ac:dyDescent="0.2">
      <c r="B2223" s="10" t="s">
        <v>895</v>
      </c>
      <c r="C2223" s="10" t="s">
        <v>896</v>
      </c>
      <c r="D2223" s="28">
        <f t="shared" ref="D2223:M2223" si="482">D2220*D2217</f>
        <v>125.58726899383984</v>
      </c>
      <c r="E2223" s="28">
        <f t="shared" si="482"/>
        <v>478.5</v>
      </c>
      <c r="F2223" s="28">
        <f t="shared" si="482"/>
        <v>781.25</v>
      </c>
      <c r="G2223" s="28">
        <f t="shared" si="482"/>
        <v>911</v>
      </c>
      <c r="H2223" s="28">
        <f t="shared" si="482"/>
        <v>911</v>
      </c>
      <c r="I2223" s="28">
        <f t="shared" si="482"/>
        <v>911</v>
      </c>
      <c r="J2223" s="28">
        <f t="shared" si="482"/>
        <v>911</v>
      </c>
      <c r="K2223" s="28">
        <f t="shared" si="482"/>
        <v>911</v>
      </c>
      <c r="L2223" s="28">
        <f t="shared" si="482"/>
        <v>911</v>
      </c>
      <c r="M2223" s="28">
        <f t="shared" si="482"/>
        <v>911</v>
      </c>
    </row>
    <row r="2224" spans="1:13" ht="15" customHeight="1" x14ac:dyDescent="0.2">
      <c r="B2224" s="10" t="s">
        <v>897</v>
      </c>
      <c r="C2224" s="10" t="s">
        <v>110</v>
      </c>
      <c r="D2224" s="16">
        <f>D2223*($D$2243/Inputs!$D$21+$D$2244/Inputs!$D$22)</f>
        <v>1816.9772859324419</v>
      </c>
      <c r="E2224" s="16">
        <f>E2223*($D$2243/Inputs!$D$21+$D$2244/Inputs!$D$22)</f>
        <v>6922.8643817497086</v>
      </c>
      <c r="F2224" s="16">
        <f>F2223*($D$2243/Inputs!$D$21+$D$2244/Inputs!$D$22)</f>
        <v>11303.0048030135</v>
      </c>
      <c r="G2224" s="16">
        <f>G2223*($D$2243/Inputs!$D$21+$D$2244/Inputs!$D$22)</f>
        <v>13180.207840697982</v>
      </c>
      <c r="H2224" s="16">
        <f>H2223*($D$2243/Inputs!$D$21+$D$2244/Inputs!$D$22)</f>
        <v>13180.207840697982</v>
      </c>
      <c r="I2224" s="16">
        <f>I2223*($D$2243/Inputs!$D$21+$D$2244/Inputs!$D$22)</f>
        <v>13180.207840697982</v>
      </c>
      <c r="J2224" s="16">
        <f>J2223*($D$2243/Inputs!$D$21+$D$2244/Inputs!$D$22)</f>
        <v>13180.207840697982</v>
      </c>
      <c r="K2224" s="16">
        <f>K2223*($D$2243/Inputs!$D$21+$D$2244/Inputs!$D$22)</f>
        <v>13180.207840697982</v>
      </c>
      <c r="L2224" s="16">
        <f>L2223*($D$2243/Inputs!$D$21+$D$2244/Inputs!$D$22)</f>
        <v>13180.207840697982</v>
      </c>
      <c r="M2224" s="16">
        <f>M2223*($D$2243/Inputs!$D$21+$D$2244/Inputs!$D$22)</f>
        <v>13180.207840697982</v>
      </c>
    </row>
    <row r="2225" spans="2:13" ht="15" customHeight="1" x14ac:dyDescent="0.2">
      <c r="B2225" s="10" t="s">
        <v>898</v>
      </c>
      <c r="C2225" s="10" t="s">
        <v>110</v>
      </c>
      <c r="D2225" s="16">
        <f t="shared" ref="D2225:M2225" si="483">D2221*($D$2243+$D$2244)</f>
        <v>15560.968620146154</v>
      </c>
      <c r="E2225" s="16">
        <f t="shared" si="483"/>
        <v>20747.95816019487</v>
      </c>
      <c r="F2225" s="16">
        <f t="shared" si="483"/>
        <v>15560.968620146154</v>
      </c>
      <c r="G2225" s="16">
        <f t="shared" si="483"/>
        <v>0</v>
      </c>
      <c r="H2225" s="16">
        <f t="shared" si="483"/>
        <v>0</v>
      </c>
      <c r="I2225" s="16">
        <f t="shared" si="483"/>
        <v>0</v>
      </c>
      <c r="J2225" s="16">
        <f t="shared" si="483"/>
        <v>0</v>
      </c>
      <c r="K2225" s="16">
        <f t="shared" si="483"/>
        <v>0</v>
      </c>
      <c r="L2225" s="16">
        <f t="shared" si="483"/>
        <v>0</v>
      </c>
      <c r="M2225" s="16">
        <f t="shared" si="483"/>
        <v>0</v>
      </c>
    </row>
    <row r="2226" spans="2:13" ht="15" customHeight="1" x14ac:dyDescent="0.2">
      <c r="B2226" s="10" t="s">
        <v>899</v>
      </c>
      <c r="C2226" s="10" t="s">
        <v>110</v>
      </c>
      <c r="D2226" s="16">
        <f t="shared" ref="D2226:M2226" si="484">D2222*$D$2243</f>
        <v>0</v>
      </c>
      <c r="E2226" s="16">
        <f t="shared" si="484"/>
        <v>0</v>
      </c>
      <c r="F2226" s="16">
        <f t="shared" si="484"/>
        <v>0</v>
      </c>
      <c r="G2226" s="16">
        <f t="shared" si="484"/>
        <v>2638.0048485671714</v>
      </c>
      <c r="H2226" s="16">
        <f t="shared" si="484"/>
        <v>14881.788221808281</v>
      </c>
      <c r="I2226" s="16">
        <f t="shared" si="484"/>
        <v>19842.384295744378</v>
      </c>
      <c r="J2226" s="16">
        <f t="shared" si="484"/>
        <v>14881.788221808281</v>
      </c>
      <c r="K2226" s="16">
        <f t="shared" si="484"/>
        <v>2638.0048485671714</v>
      </c>
      <c r="L2226" s="16">
        <f t="shared" si="484"/>
        <v>14881.788221808281</v>
      </c>
      <c r="M2226" s="16">
        <f t="shared" si="484"/>
        <v>19842.384295744378</v>
      </c>
    </row>
    <row r="2227" spans="2:13" ht="15" customHeight="1" x14ac:dyDescent="0.2">
      <c r="B2227" s="10" t="s">
        <v>900</v>
      </c>
      <c r="C2227" s="10" t="s">
        <v>199</v>
      </c>
      <c r="D2227" s="28">
        <f>D2221*Inputs!$D$23</f>
        <v>6.4875000000000007</v>
      </c>
      <c r="E2227" s="28">
        <f>E2221*Inputs!$D$23</f>
        <v>8.65</v>
      </c>
      <c r="F2227" s="28">
        <f>F2221*Inputs!$D$23</f>
        <v>6.4875000000000007</v>
      </c>
      <c r="G2227" s="28">
        <f>G2221*Inputs!$D$23</f>
        <v>0</v>
      </c>
      <c r="H2227" s="28">
        <f>H2221*Inputs!$D$23</f>
        <v>0</v>
      </c>
      <c r="I2227" s="28">
        <f>I2221*Inputs!$D$23</f>
        <v>0</v>
      </c>
      <c r="J2227" s="28">
        <f>J2221*Inputs!$D$23</f>
        <v>0</v>
      </c>
      <c r="K2227" s="28">
        <f>K2221*Inputs!$D$23</f>
        <v>0</v>
      </c>
      <c r="L2227" s="28">
        <f>L2221*Inputs!$D$23</f>
        <v>0</v>
      </c>
      <c r="M2227" s="28">
        <f>M2221*Inputs!$D$23</f>
        <v>0</v>
      </c>
    </row>
    <row r="2228" spans="2:13" ht="15" customHeight="1" x14ac:dyDescent="0.2">
      <c r="B2228" s="3" t="s">
        <v>901</v>
      </c>
      <c r="C2228" s="10" t="s">
        <v>896</v>
      </c>
      <c r="D2228" s="28">
        <f>(D2223*$D$2241*(Inputs!$D$7-Inputs!$D$19)-D2227)/(Inputs!$D$7+$D$2242)^D2216</f>
        <v>43.213488846686175</v>
      </c>
      <c r="E2228" s="28">
        <f>(E2223*$D$2241*(Inputs!$D$7-Inputs!$D$19)-E2227)/(Inputs!$D$7+$D$2242)^E2216</f>
        <v>163.29332190458183</v>
      </c>
      <c r="F2228" s="28">
        <f>(F2223*$D$2241*(Inputs!$D$7-Inputs!$D$19)-F2227)/(Inputs!$D$7+$D$2242)^F2216</f>
        <v>248.28260771010829</v>
      </c>
      <c r="G2228" s="28">
        <f>(G2223*$D$2241*(Inputs!$D$7-Inputs!$D$19)-G2227)/(Inputs!$D$7+$D$2242)^G2216</f>
        <v>268.5238926419492</v>
      </c>
      <c r="H2228" s="28">
        <f>(H2223*$D$2241*(Inputs!$D$7-Inputs!$D$19)-H2227)/(Inputs!$D$7+$D$2242)^H2216</f>
        <v>244.12855518959191</v>
      </c>
      <c r="I2228" s="28">
        <f>(I2223*$D$2241*(Inputs!$D$7-Inputs!$D$19)-I2227)/(Inputs!$D$7+$D$2242)^I2216</f>
        <v>221.8916197826434</v>
      </c>
      <c r="J2228" s="28">
        <f>(J2223*$D$2241*(Inputs!$D$7-Inputs!$D$19)-J2227)/(Inputs!$D$7+$D$2242)^J2216</f>
        <v>201.73281421346593</v>
      </c>
      <c r="K2228" s="28">
        <f>(K2223*$D$2241*(Inputs!$D$7-Inputs!$D$19)-K2227)/(Inputs!$D$7+$D$2242)^K2216</f>
        <v>183.40543176145695</v>
      </c>
      <c r="L2228" s="28">
        <f>(L2223*$D$2241*(Inputs!$D$7-Inputs!$D$19)-L2227)/(Inputs!$D$7+$D$2242)^L2216</f>
        <v>166.74308803332551</v>
      </c>
      <c r="M2228" s="28">
        <f>(M2223*$D$2241*(Inputs!$D$7-Inputs!$D$19)-M2227)/(Inputs!$D$7+$D$2242)^M2216</f>
        <v>151.55496194429571</v>
      </c>
    </row>
    <row r="2229" spans="2:13" ht="15" customHeight="1" x14ac:dyDescent="0.2">
      <c r="B2229" s="10" t="s">
        <v>902</v>
      </c>
      <c r="C2229" s="10" t="s">
        <v>110</v>
      </c>
      <c r="D2229" s="16">
        <f>(D2224*Inputs!$D$19-D2225-D2226)/(Inputs!$D$7+$D$2242)^D2216</f>
        <v>-14027.24269342025</v>
      </c>
      <c r="E2229" s="16">
        <f>(E2224*Inputs!$D$19-E2225-E2226)/(Inputs!$D$7+$D$2242)^E2216</f>
        <v>-15853.087323826181</v>
      </c>
      <c r="F2229" s="16">
        <f>(F2224*Inputs!$D$19-F2225-F2226)/(Inputs!$D$7+$D$2242)^F2216</f>
        <v>-9394.4767487293357</v>
      </c>
      <c r="G2229" s="16">
        <f>(G2224*Inputs!$D$19-G2225-G2226)/(Inputs!$D$7+$D$2242)^G2216</f>
        <v>923.61320322684639</v>
      </c>
      <c r="H2229" s="16">
        <f>(H2224*Inputs!$D$19-H2225-H2226)/(Inputs!$D$7+$D$2242)^H2216</f>
        <v>-6972.3744918015345</v>
      </c>
      <c r="I2229" s="16">
        <f>(I2224*Inputs!$D$19-I2225-I2226)/(Inputs!$D$7+$D$2242)^I2216</f>
        <v>-9214.0648467907959</v>
      </c>
      <c r="J2229" s="16">
        <f>(J2224*Inputs!$D$19-J2225-J2226)/(Inputs!$D$7+$D$2242)^J2216</f>
        <v>-5761.5411965591911</v>
      </c>
      <c r="K2229" s="16">
        <f>(K2224*Inputs!$D$19-K2225-K2226)/(Inputs!$D$7+$D$2242)^K2216</f>
        <v>630.8402453567694</v>
      </c>
      <c r="L2229" s="16">
        <f>(L2224*Inputs!$D$19-L2225-L2226)/(Inputs!$D$7+$D$2242)^L2216</f>
        <v>-4762.2255937446444</v>
      </c>
      <c r="M2229" s="16">
        <f>(M2224*Inputs!$D$19-M2225-M2226)/(Inputs!$D$7+$D$2242)^M2216</f>
        <v>-6293.3302689644106</v>
      </c>
    </row>
    <row r="2230" spans="2:13" ht="15" customHeight="1" x14ac:dyDescent="0.2">
      <c r="B2230" s="10" t="s">
        <v>903</v>
      </c>
      <c r="C2230" s="10" t="s">
        <v>110</v>
      </c>
      <c r="D2230" s="16">
        <f t="shared" ref="D2230:M2230" si="485">D2223*$D$2240</f>
        <v>4546.0099943908326</v>
      </c>
      <c r="E2230" s="16">
        <f t="shared" si="485"/>
        <v>17320.750739652696</v>
      </c>
      <c r="F2230" s="16">
        <f t="shared" si="485"/>
        <v>28279.70013658029</v>
      </c>
      <c r="G2230" s="16">
        <f t="shared" si="485"/>
        <v>32976.392735263544</v>
      </c>
      <c r="H2230" s="16">
        <f t="shared" si="485"/>
        <v>32976.392735263544</v>
      </c>
      <c r="I2230" s="16">
        <f t="shared" si="485"/>
        <v>32976.392735263544</v>
      </c>
      <c r="J2230" s="16">
        <f t="shared" si="485"/>
        <v>32976.392735263544</v>
      </c>
      <c r="K2230" s="16">
        <f t="shared" si="485"/>
        <v>32976.392735263544</v>
      </c>
      <c r="L2230" s="16">
        <f t="shared" si="485"/>
        <v>32976.392735263544</v>
      </c>
      <c r="M2230" s="16">
        <f t="shared" si="485"/>
        <v>32976.392735263544</v>
      </c>
    </row>
    <row r="2231" spans="2:13" ht="15" customHeight="1" x14ac:dyDescent="0.2">
      <c r="B2231" s="10" t="s">
        <v>904</v>
      </c>
      <c r="C2231" s="10" t="s">
        <v>110</v>
      </c>
      <c r="D2231" s="16">
        <f t="shared" ref="D2231:M2231" si="486">D2230*$D$2241</f>
        <v>2727.6059966344997</v>
      </c>
      <c r="E2231" s="16">
        <f t="shared" si="486"/>
        <v>10392.450443791617</v>
      </c>
      <c r="F2231" s="16">
        <f t="shared" si="486"/>
        <v>16967.820081948172</v>
      </c>
      <c r="G2231" s="16">
        <f t="shared" si="486"/>
        <v>19785.835641158126</v>
      </c>
      <c r="H2231" s="16">
        <f t="shared" si="486"/>
        <v>19785.835641158126</v>
      </c>
      <c r="I2231" s="16">
        <f t="shared" si="486"/>
        <v>19785.835641158126</v>
      </c>
      <c r="J2231" s="16">
        <f t="shared" si="486"/>
        <v>19785.835641158126</v>
      </c>
      <c r="K2231" s="16">
        <f t="shared" si="486"/>
        <v>19785.835641158126</v>
      </c>
      <c r="L2231" s="16">
        <f t="shared" si="486"/>
        <v>19785.835641158126</v>
      </c>
      <c r="M2231" s="16">
        <f t="shared" si="486"/>
        <v>19785.835641158126</v>
      </c>
    </row>
    <row r="2232" spans="2:13" ht="15" customHeight="1" x14ac:dyDescent="0.2">
      <c r="B2232" s="10" t="s">
        <v>905</v>
      </c>
      <c r="C2232" s="10" t="s">
        <v>110</v>
      </c>
      <c r="D2232" s="16">
        <f t="shared" ref="D2232:M2232" si="487">D2231-D2224</f>
        <v>910.62871070205779</v>
      </c>
      <c r="E2232" s="16">
        <f t="shared" si="487"/>
        <v>3469.586062041908</v>
      </c>
      <c r="F2232" s="16">
        <f t="shared" si="487"/>
        <v>5664.8152789346714</v>
      </c>
      <c r="G2232" s="16">
        <f t="shared" si="487"/>
        <v>6605.6278004601445</v>
      </c>
      <c r="H2232" s="16">
        <f t="shared" si="487"/>
        <v>6605.6278004601445</v>
      </c>
      <c r="I2232" s="16">
        <f t="shared" si="487"/>
        <v>6605.6278004601445</v>
      </c>
      <c r="J2232" s="16">
        <f t="shared" si="487"/>
        <v>6605.6278004601445</v>
      </c>
      <c r="K2232" s="16">
        <f t="shared" si="487"/>
        <v>6605.6278004601445</v>
      </c>
      <c r="L2232" s="16">
        <f t="shared" si="487"/>
        <v>6605.6278004601445</v>
      </c>
      <c r="M2232" s="16">
        <f t="shared" si="487"/>
        <v>6605.6278004601445</v>
      </c>
    </row>
    <row r="2233" spans="2:13" ht="15" customHeight="1" x14ac:dyDescent="0.2">
      <c r="B2233" s="10" t="s">
        <v>906</v>
      </c>
      <c r="C2233" s="10" t="s">
        <v>110</v>
      </c>
      <c r="D2233" s="16">
        <f>MAX(D2232,Inputs!$D$6)*Inputs!$D$19</f>
        <v>273.18861321061735</v>
      </c>
      <c r="E2233" s="16">
        <f>MAX(E2232,Inputs!$D$6)*Inputs!$D$19</f>
        <v>1040.8758186125724</v>
      </c>
      <c r="F2233" s="16">
        <f>MAX(F2232,Inputs!$D$6)*Inputs!$D$19</f>
        <v>1699.4445836804014</v>
      </c>
      <c r="G2233" s="16">
        <f>MAX(G2232,Inputs!$D$6)*Inputs!$D$19</f>
        <v>1981.6883401380433</v>
      </c>
      <c r="H2233" s="16">
        <f>MAX(H2232,Inputs!$D$6)*Inputs!$D$19</f>
        <v>1981.6883401380433</v>
      </c>
      <c r="I2233" s="16">
        <f>MAX(I2232,Inputs!$D$6)*Inputs!$D$19</f>
        <v>1981.6883401380433</v>
      </c>
      <c r="J2233" s="16">
        <f>MAX(J2232,Inputs!$D$6)*Inputs!$D$19</f>
        <v>1981.6883401380433</v>
      </c>
      <c r="K2233" s="16">
        <f>MAX(K2232,Inputs!$D$6)*Inputs!$D$19</f>
        <v>1981.6883401380433</v>
      </c>
      <c r="L2233" s="16">
        <f>MAX(L2232,Inputs!$D$6)*Inputs!$D$19</f>
        <v>1981.6883401380433</v>
      </c>
      <c r="M2233" s="16">
        <f>MAX(M2232,Inputs!$D$6)*Inputs!$D$19</f>
        <v>1981.6883401380433</v>
      </c>
    </row>
    <row r="2234" spans="2:13" ht="15" customHeight="1" x14ac:dyDescent="0.2">
      <c r="B2234" s="10" t="s">
        <v>907</v>
      </c>
      <c r="C2234" s="10" t="s">
        <v>110</v>
      </c>
      <c r="D2234" s="16">
        <f t="shared" ref="D2234:M2234" si="488">D2227*$D$2240</f>
        <v>234.83462993416273</v>
      </c>
      <c r="E2234" s="16">
        <f t="shared" si="488"/>
        <v>313.11283991221694</v>
      </c>
      <c r="F2234" s="16">
        <f t="shared" si="488"/>
        <v>234.83462993416273</v>
      </c>
      <c r="G2234" s="16">
        <f t="shared" si="488"/>
        <v>0</v>
      </c>
      <c r="H2234" s="16">
        <f t="shared" si="488"/>
        <v>0</v>
      </c>
      <c r="I2234" s="16">
        <f t="shared" si="488"/>
        <v>0</v>
      </c>
      <c r="J2234" s="16">
        <f t="shared" si="488"/>
        <v>0</v>
      </c>
      <c r="K2234" s="16">
        <f t="shared" si="488"/>
        <v>0</v>
      </c>
      <c r="L2234" s="16">
        <f t="shared" si="488"/>
        <v>0</v>
      </c>
      <c r="M2234" s="16">
        <f t="shared" si="488"/>
        <v>0</v>
      </c>
    </row>
    <row r="2235" spans="2:13" ht="15" customHeight="1" x14ac:dyDescent="0.2">
      <c r="B2235" s="10" t="s">
        <v>908</v>
      </c>
      <c r="C2235" s="10" t="s">
        <v>110</v>
      </c>
      <c r="D2235" s="16">
        <f t="shared" ref="D2235:M2235" si="489">D2231-D2233-D2225-D2226-D2234</f>
        <v>-13341.385866656434</v>
      </c>
      <c r="E2235" s="16">
        <f t="shared" si="489"/>
        <v>-11709.496374928043</v>
      </c>
      <c r="F2235" s="16">
        <f t="shared" si="489"/>
        <v>-527.42775181254535</v>
      </c>
      <c r="G2235" s="16">
        <f t="shared" si="489"/>
        <v>15166.14245245291</v>
      </c>
      <c r="H2235" s="16">
        <f t="shared" si="489"/>
        <v>2922.3590792118011</v>
      </c>
      <c r="I2235" s="16">
        <f t="shared" si="489"/>
        <v>-2038.2369947242951</v>
      </c>
      <c r="J2235" s="16">
        <f t="shared" si="489"/>
        <v>2922.3590792118011</v>
      </c>
      <c r="K2235" s="16">
        <f t="shared" si="489"/>
        <v>15166.14245245291</v>
      </c>
      <c r="L2235" s="16">
        <f t="shared" si="489"/>
        <v>2922.3590792118011</v>
      </c>
      <c r="M2235" s="16">
        <f t="shared" si="489"/>
        <v>-2038.2369947242951</v>
      </c>
    </row>
    <row r="2236" spans="2:13" ht="15" customHeight="1" x14ac:dyDescent="0.2">
      <c r="B2236" s="10" t="s">
        <v>909</v>
      </c>
      <c r="C2236" s="10" t="s">
        <v>110</v>
      </c>
      <c r="D2236" s="16">
        <f>D2235/(Inputs!$D$7+$D$2242)^D2216</f>
        <v>-12463.000125177381</v>
      </c>
      <c r="E2236" s="16">
        <f>E2235/(Inputs!$D$7+$D$2242)^E2216</f>
        <v>-9942.193016283587</v>
      </c>
      <c r="F2236" s="16">
        <f>F2235/(Inputs!$D$7+$D$2242)^F2216</f>
        <v>-407.13889891165849</v>
      </c>
      <c r="G2236" s="16">
        <f>G2235/(Inputs!$D$7+$D$2242)^G2216</f>
        <v>10643.645412406497</v>
      </c>
      <c r="H2236" s="16">
        <f>H2235/(Inputs!$D$7+$D$2242)^H2216</f>
        <v>1864.5948976874267</v>
      </c>
      <c r="I2236" s="16">
        <f>I2235/(Inputs!$D$7+$D$2242)^I2216</f>
        <v>-1182.028404841046</v>
      </c>
      <c r="J2236" s="16">
        <f>J2235/(Inputs!$D$7+$D$2242)^J2216</f>
        <v>1540.7864753323654</v>
      </c>
      <c r="K2236" s="16">
        <f>K2235/(Inputs!$D$7+$D$2242)^K2216</f>
        <v>7269.7530308083415</v>
      </c>
      <c r="L2236" s="16">
        <f>L2235/(Inputs!$D$7+$D$2242)^L2216</f>
        <v>1273.5434039255695</v>
      </c>
      <c r="M2236" s="16">
        <f>M2235/(Inputs!$D$7+$D$2242)^M2216</f>
        <v>-807.34130513014532</v>
      </c>
    </row>
    <row r="2237" spans="2:13" ht="15" customHeight="1" x14ac:dyDescent="0.2">
      <c r="B2237" s="3" t="s">
        <v>910</v>
      </c>
      <c r="C2237" s="10" t="s">
        <v>896</v>
      </c>
      <c r="D2237" s="28">
        <f>(D2223*$D$2241-D2227)/(Inputs!$D$7+$D$2242)^D2216</f>
        <v>64.330856237917445</v>
      </c>
      <c r="E2237" s="28">
        <f>(E2223*$D$2241-E2227)/(Inputs!$D$7+$D$2242)^E2216</f>
        <v>236.42380139523098</v>
      </c>
      <c r="F2237" s="28">
        <f>(F2223*$D$2241-F2227)/(Inputs!$D$7+$D$2242)^F2216</f>
        <v>356.83568908039001</v>
      </c>
      <c r="G2237" s="28">
        <f>(G2223*$D$2241-G2227)/(Inputs!$D$7+$D$2242)^G2216</f>
        <v>383.60556091707036</v>
      </c>
      <c r="H2237" s="28">
        <f>(H2223*$D$2241-H2227)/(Inputs!$D$7+$D$2242)^H2216</f>
        <v>348.75507884227414</v>
      </c>
      <c r="I2237" s="28">
        <f>(I2223*$D$2241-I2227)/(Inputs!$D$7+$D$2242)^I2216</f>
        <v>316.98802826091918</v>
      </c>
      <c r="J2237" s="28">
        <f>(J2223*$D$2241-J2227)/(Inputs!$D$7+$D$2242)^J2216</f>
        <v>288.18973459066564</v>
      </c>
      <c r="K2237" s="28">
        <f>(K2223*$D$2241-K2227)/(Inputs!$D$7+$D$2242)^K2216</f>
        <v>262.00775965922423</v>
      </c>
      <c r="L2237" s="28">
        <f>(L2223*$D$2241-L2227)/(Inputs!$D$7+$D$2242)^L2216</f>
        <v>238.2044114761793</v>
      </c>
      <c r="M2237" s="28">
        <f>(M2223*$D$2241-M2227)/(Inputs!$D$7+$D$2242)^M2216</f>
        <v>216.50708849185102</v>
      </c>
    </row>
    <row r="2238" spans="2:13" ht="15" customHeight="1" x14ac:dyDescent="0.2">
      <c r="B2238" s="10" t="s">
        <v>911</v>
      </c>
      <c r="C2238" s="10" t="s">
        <v>110</v>
      </c>
      <c r="D2238" s="16">
        <f>(-D2225-D2226)/(Inputs!$D$7+$D$2242)^D2216</f>
        <v>-14536.447397527105</v>
      </c>
      <c r="E2238" s="16">
        <f>(-E2225-E2226)/(Inputs!$D$7+$D$2242)^E2216</f>
        <v>-17616.488200475756</v>
      </c>
      <c r="F2238" s="16">
        <f>(-F2225-F2226)/(Inputs!$D$7+$D$2242)^F2216</f>
        <v>-12012.025548964448</v>
      </c>
      <c r="G2238" s="16">
        <f>(-G2225-G2226)/(Inputs!$D$7+$D$2242)^G2216</f>
        <v>-1851.359915178487</v>
      </c>
      <c r="H2238" s="16">
        <f>(-H2225-H2226)/(Inputs!$D$7+$D$2242)^H2216</f>
        <v>-9495.2419037884629</v>
      </c>
      <c r="I2238" s="16">
        <f>(-I2225-I2226)/(Inputs!$D$7+$D$2242)^I2216</f>
        <v>-11507.131858586603</v>
      </c>
      <c r="J2238" s="16">
        <f>(-J2225-J2226)/(Inputs!$D$7+$D$2242)^J2216</f>
        <v>-7846.2835672839774</v>
      </c>
      <c r="K2238" s="16">
        <f>(-K2225-K2226)/(Inputs!$D$7+$D$2242)^K2216</f>
        <v>-1264.5037327904422</v>
      </c>
      <c r="L2238" s="16">
        <f>(-L2225-L2226)/(Inputs!$D$7+$D$2242)^L2216</f>
        <v>-6485.3779822337692</v>
      </c>
      <c r="M2238" s="16">
        <f>(-M2225-M2226)/(Inputs!$D$7+$D$2242)^M2216</f>
        <v>-7859.5258920747219</v>
      </c>
    </row>
    <row r="2239" spans="2:13" ht="15" customHeight="1" x14ac:dyDescent="0.2">
      <c r="B2239" s="10" t="s">
        <v>912</v>
      </c>
      <c r="C2239" s="10" t="s">
        <v>110</v>
      </c>
      <c r="D2239" s="16">
        <f>Prices!I14</f>
        <v>15500</v>
      </c>
    </row>
    <row r="2240" spans="2:13" ht="15" customHeight="1" x14ac:dyDescent="0.2">
      <c r="B2240" s="3" t="s">
        <v>913</v>
      </c>
      <c r="C2240" s="10" t="s">
        <v>914</v>
      </c>
      <c r="D2240" s="28">
        <f>IF(J2247&gt;=J2243,J2247,(D2239-J2246)/J2245)</f>
        <v>36.198016174822769</v>
      </c>
      <c r="G2240" s="99" t="s">
        <v>915</v>
      </c>
      <c r="H2240" s="91"/>
      <c r="I2240" s="91"/>
      <c r="J2240" s="28">
        <f>D2240*Inputs!$D$15</f>
        <v>25.26259548840881</v>
      </c>
      <c r="K2240" s="99" t="s">
        <v>916</v>
      </c>
      <c r="L2240" s="91"/>
      <c r="M2240" s="91"/>
    </row>
    <row r="2241" spans="2:13" ht="15" customHeight="1" x14ac:dyDescent="0.2">
      <c r="B2241" s="10" t="s">
        <v>917</v>
      </c>
      <c r="C2241" s="10" t="s">
        <v>104</v>
      </c>
      <c r="D2241" s="30">
        <f>Inputs!$D$81</f>
        <v>0.6</v>
      </c>
      <c r="G2241" s="99" t="s">
        <v>918</v>
      </c>
      <c r="H2241" s="91"/>
      <c r="I2241" s="91"/>
      <c r="J2241" s="28">
        <f>IF(-D2252/D2251&gt;=J2243,-D2252/D2251,-J2246/J2245)</f>
        <v>32.284876648616972</v>
      </c>
      <c r="K2241" s="99" t="s">
        <v>919</v>
      </c>
      <c r="L2241" s="91"/>
      <c r="M2241" s="91"/>
    </row>
    <row r="2242" spans="2:13" ht="15" customHeight="1" x14ac:dyDescent="0.2">
      <c r="B2242" s="10" t="s">
        <v>920</v>
      </c>
      <c r="C2242" s="10" t="s">
        <v>104</v>
      </c>
      <c r="D2242" s="30">
        <f>Inputs!$D$82</f>
        <v>0.1</v>
      </c>
      <c r="G2242" s="99" t="s">
        <v>918</v>
      </c>
      <c r="H2242" s="91"/>
      <c r="I2242" s="91"/>
      <c r="J2242" s="28">
        <f>J2241*Inputs!$D$15</f>
        <v>22.531615413069783</v>
      </c>
      <c r="K2242" s="99" t="s">
        <v>916</v>
      </c>
      <c r="L2242" s="91"/>
      <c r="M2242" s="91"/>
    </row>
    <row r="2243" spans="2:13" ht="15" customHeight="1" x14ac:dyDescent="0.2">
      <c r="B2243" s="3" t="s">
        <v>921</v>
      </c>
      <c r="C2243" s="10" t="s">
        <v>848</v>
      </c>
      <c r="D2243" s="28">
        <f>Capital!$D$13</f>
        <v>57.347931490590682</v>
      </c>
      <c r="G2243" s="99" t="s">
        <v>922</v>
      </c>
      <c r="H2243" s="91"/>
      <c r="I2243" s="91"/>
      <c r="J2243" s="28">
        <f>($D$2243/Inputs!$D$21+$D$2244/Inputs!$D$22)/$D$2241</f>
        <v>24.113076913095469</v>
      </c>
      <c r="K2243" s="99" t="s">
        <v>919</v>
      </c>
      <c r="L2243" s="91"/>
      <c r="M2243" s="91"/>
    </row>
    <row r="2244" spans="2:13" ht="15" customHeight="1" x14ac:dyDescent="0.2">
      <c r="B2244" s="3" t="s">
        <v>923</v>
      </c>
      <c r="C2244" s="10" t="s">
        <v>848</v>
      </c>
      <c r="D2244" s="28">
        <f>Capital!$D$14</f>
        <v>2.6172655041921802</v>
      </c>
    </row>
    <row r="2245" spans="2:13" ht="15" customHeight="1" x14ac:dyDescent="0.2">
      <c r="B2245" s="10" t="s">
        <v>924</v>
      </c>
      <c r="C2245" s="10" t="s">
        <v>896</v>
      </c>
      <c r="D2245" s="28">
        <f>(M2218*(Inputs!$D$7+Inputs!$D$20)*$D$2241*(Inputs!$D$7-Inputs!$D$19)-M2218*Inputs!$D$20*Inputs!$D$23)/($D$2242-Inputs!$D$20)/(Inputs!$D$7+$D$2242)^M2216</f>
        <v>2068.2441036763203</v>
      </c>
      <c r="G2245" s="92" t="s">
        <v>910</v>
      </c>
      <c r="H2245" s="91"/>
      <c r="I2245" s="91"/>
      <c r="J2245" s="28">
        <f>SUM(D2237:M2237)+(M2218*(Inputs!$D$7+Inputs!$D$20)*$D$2241-M2218*Inputs!$D$20*Inputs!$D$23)/($D$2242-Inputs!$D$20)/(Inputs!$D$7+$D$2242)^M2216</f>
        <v>5667.7711754446318</v>
      </c>
      <c r="K2245" s="99" t="s">
        <v>896</v>
      </c>
      <c r="L2245" s="91"/>
      <c r="M2245" s="91"/>
    </row>
    <row r="2246" spans="2:13" ht="15" customHeight="1" x14ac:dyDescent="0.2">
      <c r="B2246" s="10" t="s">
        <v>925</v>
      </c>
      <c r="C2246" s="10" t="s">
        <v>110</v>
      </c>
      <c r="D2246" s="16">
        <f>(D2249*Inputs!$D$19-D2249-D2250)/($D$2242-Inputs!$D$20)/(Inputs!$D$7+$D$2242)^M2216</f>
        <v>-57156.954988173631</v>
      </c>
      <c r="G2246" s="92" t="s">
        <v>926</v>
      </c>
      <c r="H2246" s="91"/>
      <c r="I2246" s="91"/>
      <c r="J2246" s="16">
        <f>SUM(D2238:M2238)-(D2249+D2250)/($D$2242-Inputs!$D$20)/(Inputs!$D$7+$D$2242)^M2216</f>
        <v>-169036.01450291832</v>
      </c>
      <c r="K2246" s="99" t="s">
        <v>110</v>
      </c>
      <c r="L2246" s="91"/>
      <c r="M2246" s="91"/>
    </row>
    <row r="2247" spans="2:13" ht="15" customHeight="1" x14ac:dyDescent="0.2">
      <c r="B2247" s="10" t="s">
        <v>927</v>
      </c>
      <c r="C2247" s="10" t="s">
        <v>928</v>
      </c>
      <c r="D2247" s="16">
        <f>(M2218*(Inputs!$D$7+Inputs!$D$20)*$D$2240*$D$2241-D2249)-MAX((M2218*(Inputs!$D$7+Inputs!$D$20)*$D$2240*$D$2241-D2249),Inputs!$D$6)*Inputs!$D$19-D2250-M2218*Inputs!$D$20*$D$2240*Inputs!$D$23</f>
        <v>3353.2203398144311</v>
      </c>
      <c r="G2247" s="99" t="s">
        <v>929</v>
      </c>
      <c r="H2247" s="91"/>
      <c r="I2247" s="91"/>
      <c r="J2247" s="28">
        <f>(D2239-D2252)/D2251</f>
        <v>36.198016174822769</v>
      </c>
      <c r="K2247" s="99" t="s">
        <v>919</v>
      </c>
      <c r="L2247" s="91"/>
      <c r="M2247" s="91"/>
    </row>
    <row r="2248" spans="2:13" ht="15" customHeight="1" x14ac:dyDescent="0.2">
      <c r="B2248" s="10" t="s">
        <v>930</v>
      </c>
      <c r="C2248" s="10" t="s">
        <v>110</v>
      </c>
      <c r="D2248" s="16">
        <f>D2247/($D$2242-Inputs!$D$20)</f>
        <v>44709.604530859076</v>
      </c>
      <c r="G2248" s="99" t="s">
        <v>931</v>
      </c>
      <c r="H2248" s="91"/>
      <c r="I2248" s="91"/>
      <c r="J2248" s="16">
        <f>MIN(D2232:M2232,(M2218*(Inputs!$D$7+Inputs!$D$20)*$D$2240*$D$2241-D2249))</f>
        <v>910.62871070205779</v>
      </c>
      <c r="K2248" s="99" t="s">
        <v>110</v>
      </c>
      <c r="L2248" s="91"/>
      <c r="M2248" s="91"/>
    </row>
    <row r="2249" spans="2:13" ht="15" customHeight="1" x14ac:dyDescent="0.2">
      <c r="B2249" s="10" t="s">
        <v>932</v>
      </c>
      <c r="C2249" s="10" t="s">
        <v>928</v>
      </c>
      <c r="D2249" s="16">
        <f>M2218*(Inputs!$D$7+Inputs!$D$20)*($D$2243/Inputs!$D$21+$D$2244/Inputs!$D$22)</f>
        <v>13509.71303671543</v>
      </c>
      <c r="G2249" s="99" t="s">
        <v>933</v>
      </c>
      <c r="H2249" s="91"/>
      <c r="I2249" s="91"/>
      <c r="J2249" s="31" t="str">
        <f>IF(J2248&lt;Inputs!$D$6,"breached","satisfied")</f>
        <v>satisfied</v>
      </c>
      <c r="K2249" s="99" t="s">
        <v>934</v>
      </c>
      <c r="L2249" s="91"/>
      <c r="M2249" s="91"/>
    </row>
    <row r="2250" spans="2:13" ht="15" customHeight="1" x14ac:dyDescent="0.2">
      <c r="B2250" s="10" t="s">
        <v>935</v>
      </c>
      <c r="C2250" s="10" t="s">
        <v>928</v>
      </c>
      <c r="D2250" s="16">
        <f>M2218*Inputs!$D$20*($D$2243+$D$2244)</f>
        <v>1365.7073615561799</v>
      </c>
    </row>
    <row r="2251" spans="2:13" ht="15" customHeight="1" x14ac:dyDescent="0.2">
      <c r="B2251" s="10" t="s">
        <v>936</v>
      </c>
      <c r="C2251" s="10" t="s">
        <v>896</v>
      </c>
      <c r="D2251" s="28">
        <f>SUM(D2228:M2228)+D2245</f>
        <v>3961.0138857044249</v>
      </c>
      <c r="G2251" s="99" t="s">
        <v>937</v>
      </c>
      <c r="H2251" s="91"/>
      <c r="I2251" s="91"/>
      <c r="J2251" s="16">
        <f>D2253-D2239</f>
        <v>0</v>
      </c>
      <c r="K2251" s="99" t="s">
        <v>110</v>
      </c>
      <c r="L2251" s="91"/>
      <c r="M2251" s="91"/>
    </row>
    <row r="2252" spans="2:13" ht="15" customHeight="1" x14ac:dyDescent="0.2">
      <c r="B2252" s="10" t="s">
        <v>938</v>
      </c>
      <c r="C2252" s="10" t="s">
        <v>110</v>
      </c>
      <c r="D2252" s="16">
        <f>SUM(D2229:M2229)+D2246</f>
        <v>-127880.84470342637</v>
      </c>
    </row>
    <row r="2253" spans="2:13" ht="15" customHeight="1" x14ac:dyDescent="0.2">
      <c r="B2253" s="10" t="s">
        <v>939</v>
      </c>
      <c r="C2253" s="10" t="s">
        <v>110</v>
      </c>
      <c r="D2253" s="16">
        <f>SUM(D2236:M2236)+D2248/(Inputs!$D$7+$D$2242)^M2216</f>
        <v>15500.000000000007</v>
      </c>
    </row>
    <row r="2254" spans="2:13" ht="15" customHeight="1" x14ac:dyDescent="0.2">
      <c r="B2254" s="10" t="s">
        <v>940</v>
      </c>
      <c r="C2254" s="10" t="s">
        <v>104</v>
      </c>
      <c r="D2254" s="30">
        <f>IF(ABS(D2239)&gt;Inputs!$D$6,D2253/D2239-Inputs!$D$7,Inputs!$D$6)</f>
        <v>4.4408920985006262E-16</v>
      </c>
    </row>
    <row r="2255" spans="2:13" ht="15" customHeight="1" x14ac:dyDescent="0.2">
      <c r="B2255" s="10" t="s">
        <v>941</v>
      </c>
      <c r="C2255" s="10" t="s">
        <v>104</v>
      </c>
      <c r="D2255" s="30">
        <f>IF(ABS(D2253)&gt;Inputs!$D$119,D2248/(Inputs!$D$7+$D$2242)^M2216/D2253,Inputs!$D$6)</f>
        <v>1.1425405503344268</v>
      </c>
    </row>
    <row r="2256" spans="2:13" ht="15" customHeight="1" x14ac:dyDescent="0.2">
      <c r="B2256" s="10" t="s">
        <v>942</v>
      </c>
      <c r="C2256" s="10" t="s">
        <v>943</v>
      </c>
      <c r="D2256" s="26">
        <f>$D$2240*Inputs!$D$8/Prices!$P$6/(Inputs!$D$26/Inputs!$D$25)/Inputs!$D$11/Inputs!$D$56</f>
        <v>6.5827191936741247</v>
      </c>
    </row>
    <row r="2260" spans="1:13" ht="15" customHeight="1" x14ac:dyDescent="0.2">
      <c r="A2260" s="104" t="s">
        <v>992</v>
      </c>
      <c r="B2260" s="10" t="s">
        <v>886</v>
      </c>
      <c r="C2260" s="10" t="s">
        <v>107</v>
      </c>
      <c r="D2260" s="28">
        <f>Inputs!$D$60</f>
        <v>1</v>
      </c>
      <c r="E2260" s="28">
        <f>Inputs!$D$62</f>
        <v>2</v>
      </c>
      <c r="F2260" s="28">
        <f>Inputs!$D$64</f>
        <v>3</v>
      </c>
      <c r="G2260" s="28">
        <f>Inputs!$D$66</f>
        <v>4</v>
      </c>
      <c r="H2260" s="28">
        <f>Inputs!$D$68</f>
        <v>5</v>
      </c>
      <c r="I2260" s="28">
        <f>Inputs!$D$70</f>
        <v>6</v>
      </c>
      <c r="J2260" s="28">
        <f>Inputs!$D$72</f>
        <v>7</v>
      </c>
      <c r="K2260" s="28">
        <f>Inputs!$D$74</f>
        <v>8</v>
      </c>
      <c r="L2260" s="28">
        <f>Inputs!$D$76</f>
        <v>9</v>
      </c>
      <c r="M2260" s="28">
        <f>Inputs!$D$78</f>
        <v>10</v>
      </c>
    </row>
    <row r="2261" spans="1:13" ht="15" customHeight="1" x14ac:dyDescent="0.2">
      <c r="A2261" s="91"/>
      <c r="B2261" s="10" t="s">
        <v>887</v>
      </c>
      <c r="C2261" s="10" t="s">
        <v>161</v>
      </c>
      <c r="D2261" s="29">
        <f>Inputs!$D$61</f>
        <v>46568</v>
      </c>
      <c r="E2261" s="29">
        <f>Inputs!$D$63</f>
        <v>46934</v>
      </c>
      <c r="F2261" s="29">
        <f>Inputs!$D$65</f>
        <v>47299</v>
      </c>
      <c r="G2261" s="29">
        <f>Inputs!$D$67</f>
        <v>47664</v>
      </c>
      <c r="H2261" s="29">
        <f>Inputs!$D$69</f>
        <v>48029</v>
      </c>
      <c r="I2261" s="29">
        <f>Inputs!$D$71</f>
        <v>48395</v>
      </c>
      <c r="J2261" s="29">
        <f>Inputs!$D$73</f>
        <v>48760</v>
      </c>
      <c r="K2261" s="29">
        <f>Inputs!$D$75</f>
        <v>49125</v>
      </c>
      <c r="L2261" s="29">
        <f>Inputs!$D$77</f>
        <v>49490</v>
      </c>
      <c r="M2261" s="29">
        <f>Inputs!$D$79</f>
        <v>49856</v>
      </c>
    </row>
    <row r="2262" spans="1:13" ht="15" customHeight="1" x14ac:dyDescent="0.2">
      <c r="A2262" s="91"/>
      <c r="B2262" s="10" t="s">
        <v>888</v>
      </c>
      <c r="C2262" s="10" t="s">
        <v>107</v>
      </c>
      <c r="D2262" s="28">
        <f>(D2261-Inputs!$D$13)/Inputs!$D$10</f>
        <v>0.71457905544147848</v>
      </c>
      <c r="E2262" s="28">
        <f>(E2261-Inputs!$D$13)/Inputs!$D$10</f>
        <v>1.7166324435318274</v>
      </c>
      <c r="F2262" s="28">
        <f>(F2261-Inputs!$D$13)/Inputs!$D$10</f>
        <v>2.7159479808350446</v>
      </c>
      <c r="G2262" s="28">
        <f>(G2261-Inputs!$D$13)/Inputs!$D$10</f>
        <v>3.7152635181382614</v>
      </c>
      <c r="H2262" s="28">
        <f>(H2261-Inputs!$D$13)/Inputs!$D$10</f>
        <v>4.7145790554414786</v>
      </c>
      <c r="I2262" s="28">
        <f>(I2261-Inputs!$D$13)/Inputs!$D$10</f>
        <v>5.7166324435318279</v>
      </c>
      <c r="J2262" s="28">
        <f>(J2261-Inputs!$D$13)/Inputs!$D$10</f>
        <v>6.7159479808350442</v>
      </c>
      <c r="K2262" s="28">
        <f>(K2261-Inputs!$D$13)/Inputs!$D$10</f>
        <v>7.7152635181382614</v>
      </c>
      <c r="L2262" s="28">
        <f>(L2261-Inputs!$D$13)/Inputs!$D$10</f>
        <v>8.7145790554414777</v>
      </c>
      <c r="M2262" s="28">
        <f>(M2261-Inputs!$D$13)/Inputs!$D$10</f>
        <v>9.716632443531827</v>
      </c>
    </row>
    <row r="2263" spans="1:13" ht="15" customHeight="1" x14ac:dyDescent="0.2">
      <c r="A2263" s="91"/>
      <c r="B2263" s="10" t="s">
        <v>889</v>
      </c>
      <c r="C2263" s="10" t="s">
        <v>107</v>
      </c>
      <c r="D2263" s="28">
        <f>D2262</f>
        <v>0.71457905544147848</v>
      </c>
      <c r="E2263" s="28">
        <f>Inputs!$D$7</f>
        <v>1</v>
      </c>
      <c r="F2263" s="28">
        <f>Inputs!$D$7</f>
        <v>1</v>
      </c>
      <c r="G2263" s="28">
        <f>Inputs!$D$7</f>
        <v>1</v>
      </c>
      <c r="H2263" s="28">
        <f>Inputs!$D$7</f>
        <v>1</v>
      </c>
      <c r="I2263" s="28">
        <f>Inputs!$D$7</f>
        <v>1</v>
      </c>
      <c r="J2263" s="28">
        <f>Inputs!$D$7</f>
        <v>1</v>
      </c>
      <c r="K2263" s="28">
        <f>Inputs!$D$7</f>
        <v>1</v>
      </c>
      <c r="L2263" s="28">
        <f>Inputs!$D$7</f>
        <v>1</v>
      </c>
      <c r="M2263" s="28">
        <f>Inputs!$D$7</f>
        <v>1</v>
      </c>
    </row>
    <row r="2264" spans="1:13" ht="15" customHeight="1" x14ac:dyDescent="0.2">
      <c r="A2264" s="91"/>
      <c r="B2264" s="3" t="s">
        <v>890</v>
      </c>
      <c r="C2264" s="10" t="s">
        <v>199</v>
      </c>
      <c r="D2264" s="28">
        <f>Inputs!$D$24+(Inputs!$D$93-Inputs!$D$24)*Inputs!$D$96</f>
        <v>279.10000000000002</v>
      </c>
      <c r="E2264" s="28">
        <f>Inputs!$D$24+(Inputs!$D$93-Inputs!$D$24)*Inputs!$D$97</f>
        <v>900.7</v>
      </c>
      <c r="F2264" s="28">
        <f>Inputs!$D$24+(Inputs!$D$93-Inputs!$D$24)*Inputs!$D$98</f>
        <v>1366.8999999999999</v>
      </c>
      <c r="G2264" s="28">
        <f>Inputs!$D$24+(Inputs!$D$93-Inputs!$D$24)*Inputs!$D$99</f>
        <v>1600</v>
      </c>
      <c r="H2264" s="28">
        <f>Inputs!$D$24+(Inputs!$D$93-Inputs!$D$24)*Inputs!$D$100</f>
        <v>1600</v>
      </c>
      <c r="I2264" s="28">
        <f>Inputs!$D$24+(Inputs!$D$93-Inputs!$D$24)*Inputs!$D$101</f>
        <v>1600</v>
      </c>
      <c r="J2264" s="28">
        <f>Inputs!$D$24+(Inputs!$D$93-Inputs!$D$24)*Inputs!$D$102</f>
        <v>1600</v>
      </c>
      <c r="K2264" s="28">
        <f>Inputs!$D$24+(Inputs!$D$93-Inputs!$D$24)*Inputs!$D$103</f>
        <v>1600</v>
      </c>
      <c r="L2264" s="28">
        <f>Inputs!$D$24+(Inputs!$D$93-Inputs!$D$24)*Inputs!$D$104</f>
        <v>1600</v>
      </c>
      <c r="M2264" s="28">
        <f>Inputs!$D$24+(Inputs!$D$93-Inputs!$D$24)*Inputs!$D$105</f>
        <v>1600</v>
      </c>
    </row>
    <row r="2265" spans="1:13" ht="15" customHeight="1" x14ac:dyDescent="0.2">
      <c r="A2265" s="91"/>
      <c r="B2265" s="10" t="s">
        <v>891</v>
      </c>
      <c r="C2265" s="10" t="s">
        <v>199</v>
      </c>
      <c r="D2265" s="28">
        <f>Inputs!$D$24</f>
        <v>46</v>
      </c>
      <c r="E2265" s="28">
        <f t="shared" ref="E2265:M2265" si="490">D2264</f>
        <v>279.10000000000002</v>
      </c>
      <c r="F2265" s="28">
        <f t="shared" si="490"/>
        <v>900.7</v>
      </c>
      <c r="G2265" s="28">
        <f t="shared" si="490"/>
        <v>1366.8999999999999</v>
      </c>
      <c r="H2265" s="28">
        <f t="shared" si="490"/>
        <v>1600</v>
      </c>
      <c r="I2265" s="28">
        <f t="shared" si="490"/>
        <v>1600</v>
      </c>
      <c r="J2265" s="28">
        <f t="shared" si="490"/>
        <v>1600</v>
      </c>
      <c r="K2265" s="28">
        <f t="shared" si="490"/>
        <v>1600</v>
      </c>
      <c r="L2265" s="28">
        <f t="shared" si="490"/>
        <v>1600</v>
      </c>
      <c r="M2265" s="28">
        <f t="shared" si="490"/>
        <v>1600</v>
      </c>
    </row>
    <row r="2266" spans="1:13" ht="15" customHeight="1" x14ac:dyDescent="0.2">
      <c r="B2266" s="10" t="s">
        <v>892</v>
      </c>
      <c r="C2266" s="10" t="s">
        <v>199</v>
      </c>
      <c r="D2266" s="28">
        <f>(D2265+D2264)*Inputs!$D$12</f>
        <v>162.55000000000001</v>
      </c>
      <c r="E2266" s="28">
        <f>(E2265+E2264)*Inputs!$D$12</f>
        <v>589.90000000000009</v>
      </c>
      <c r="F2266" s="28">
        <f>(F2265+F2264)*Inputs!$D$12</f>
        <v>1133.8</v>
      </c>
      <c r="G2266" s="28">
        <f>(G2265+G2264)*Inputs!$D$12</f>
        <v>1483.4499999999998</v>
      </c>
      <c r="H2266" s="28">
        <f>(H2265+H2264)*Inputs!$D$12</f>
        <v>1600</v>
      </c>
      <c r="I2266" s="28">
        <f>(I2265+I2264)*Inputs!$D$12</f>
        <v>1600</v>
      </c>
      <c r="J2266" s="28">
        <f>(J2265+J2264)*Inputs!$D$12</f>
        <v>1600</v>
      </c>
      <c r="K2266" s="28">
        <f>(K2265+K2264)*Inputs!$D$12</f>
        <v>1600</v>
      </c>
      <c r="L2266" s="28">
        <f>(L2265+L2264)*Inputs!$D$12</f>
        <v>1600</v>
      </c>
      <c r="M2266" s="28">
        <f>(M2265+M2264)*Inputs!$D$12</f>
        <v>1600</v>
      </c>
    </row>
    <row r="2267" spans="1:13" ht="15" customHeight="1" x14ac:dyDescent="0.2">
      <c r="B2267" s="10" t="s">
        <v>893</v>
      </c>
      <c r="C2267" s="10" t="s">
        <v>199</v>
      </c>
      <c r="D2267" s="28">
        <f t="shared" ref="D2267:M2267" si="491">D2264-D2265</f>
        <v>233.10000000000002</v>
      </c>
      <c r="E2267" s="28">
        <f t="shared" si="491"/>
        <v>621.6</v>
      </c>
      <c r="F2267" s="28">
        <f t="shared" si="491"/>
        <v>466.19999999999982</v>
      </c>
      <c r="G2267" s="28">
        <f t="shared" si="491"/>
        <v>233.10000000000014</v>
      </c>
      <c r="H2267" s="28">
        <f t="shared" si="491"/>
        <v>0</v>
      </c>
      <c r="I2267" s="28">
        <f t="shared" si="491"/>
        <v>0</v>
      </c>
      <c r="J2267" s="28">
        <f t="shared" si="491"/>
        <v>0</v>
      </c>
      <c r="K2267" s="28">
        <f t="shared" si="491"/>
        <v>0</v>
      </c>
      <c r="L2267" s="28">
        <f t="shared" si="491"/>
        <v>0</v>
      </c>
      <c r="M2267" s="28">
        <f t="shared" si="491"/>
        <v>0</v>
      </c>
    </row>
    <row r="2268" spans="1:13" ht="15" customHeight="1" x14ac:dyDescent="0.2">
      <c r="B2268" s="10" t="s">
        <v>894</v>
      </c>
      <c r="C2268" s="10" t="s">
        <v>199</v>
      </c>
      <c r="D2268" s="28">
        <f>IF(MOD(D2260,Inputs!$D$21)=Inputs!$D$6,Inputs!$D$24,Inputs!$D$6)+SUMPRODUCT(--(D2260&gt;$D$2260:$M$2260),--(MOD(D2260-$D$2260:$M$2260,Inputs!$D$21)=Inputs!$D$6),$D$2267:$M$2267)</f>
        <v>0</v>
      </c>
      <c r="E2268" s="28">
        <f>IF(MOD(E2260,Inputs!$D$21)=Inputs!$D$6,Inputs!$D$24,Inputs!$D$6)+SUMPRODUCT(--(E2260&gt;$D$2260:$M$2260),--(MOD(E2260-$D$2260:$M$2260,Inputs!$D$21)=Inputs!$D$6),$D$2267:$M$2267)</f>
        <v>0</v>
      </c>
      <c r="F2268" s="28">
        <f>IF(MOD(F2260,Inputs!$D$21)=Inputs!$D$6,Inputs!$D$24,Inputs!$D$6)+SUMPRODUCT(--(F2260&gt;$D$2260:$M$2260),--(MOD(F2260-$D$2260:$M$2260,Inputs!$D$21)=Inputs!$D$6),$D$2267:$M$2267)</f>
        <v>0</v>
      </c>
      <c r="G2268" s="28">
        <f>IF(MOD(G2260,Inputs!$D$21)=Inputs!$D$6,Inputs!$D$24,Inputs!$D$6)+SUMPRODUCT(--(G2260&gt;$D$2260:$M$2260),--(MOD(G2260-$D$2260:$M$2260,Inputs!$D$21)=Inputs!$D$6),$D$2267:$M$2267)</f>
        <v>46</v>
      </c>
      <c r="H2268" s="28">
        <f>IF(MOD(H2260,Inputs!$D$21)=Inputs!$D$6,Inputs!$D$24,Inputs!$D$6)+SUMPRODUCT(--(H2260&gt;$D$2260:$M$2260),--(MOD(H2260-$D$2260:$M$2260,Inputs!$D$21)=Inputs!$D$6),$D$2267:$M$2267)</f>
        <v>233.10000000000002</v>
      </c>
      <c r="I2268" s="28">
        <f>IF(MOD(I2260,Inputs!$D$21)=Inputs!$D$6,Inputs!$D$24,Inputs!$D$6)+SUMPRODUCT(--(I2260&gt;$D$2260:$M$2260),--(MOD(I2260-$D$2260:$M$2260,Inputs!$D$21)=Inputs!$D$6),$D$2267:$M$2267)</f>
        <v>621.6</v>
      </c>
      <c r="J2268" s="28">
        <f>IF(MOD(J2260,Inputs!$D$21)=Inputs!$D$6,Inputs!$D$24,Inputs!$D$6)+SUMPRODUCT(--(J2260&gt;$D$2260:$M$2260),--(MOD(J2260-$D$2260:$M$2260,Inputs!$D$21)=Inputs!$D$6),$D$2267:$M$2267)</f>
        <v>466.19999999999982</v>
      </c>
      <c r="K2268" s="28">
        <f>IF(MOD(K2260,Inputs!$D$21)=Inputs!$D$6,Inputs!$D$24,Inputs!$D$6)+SUMPRODUCT(--(K2260&gt;$D$2260:$M$2260),--(MOD(K2260-$D$2260:$M$2260,Inputs!$D$21)=Inputs!$D$6),$D$2267:$M$2267)</f>
        <v>279.10000000000014</v>
      </c>
      <c r="L2268" s="28">
        <f>IF(MOD(L2260,Inputs!$D$21)=Inputs!$D$6,Inputs!$D$24,Inputs!$D$6)+SUMPRODUCT(--(L2260&gt;$D$2260:$M$2260),--(MOD(L2260-$D$2260:$M$2260,Inputs!$D$21)=Inputs!$D$6),$D$2267:$M$2267)</f>
        <v>233.10000000000002</v>
      </c>
      <c r="M2268" s="28">
        <f>IF(MOD(M2260,Inputs!$D$21)=Inputs!$D$6,Inputs!$D$24,Inputs!$D$6)+SUMPRODUCT(--(M2260&gt;$D$2260:$M$2260),--(MOD(M2260-$D$2260:$M$2260,Inputs!$D$21)=Inputs!$D$6),$D$2267:$M$2267)</f>
        <v>621.6</v>
      </c>
    </row>
    <row r="2269" spans="1:13" ht="15" customHeight="1" x14ac:dyDescent="0.2">
      <c r="B2269" s="10" t="s">
        <v>895</v>
      </c>
      <c r="C2269" s="10" t="s">
        <v>896</v>
      </c>
      <c r="D2269" s="28">
        <f t="shared" ref="D2269:M2269" si="492">D2266*D2263</f>
        <v>116.15482546201234</v>
      </c>
      <c r="E2269" s="28">
        <f t="shared" si="492"/>
        <v>589.90000000000009</v>
      </c>
      <c r="F2269" s="28">
        <f t="shared" si="492"/>
        <v>1133.8</v>
      </c>
      <c r="G2269" s="28">
        <f t="shared" si="492"/>
        <v>1483.4499999999998</v>
      </c>
      <c r="H2269" s="28">
        <f t="shared" si="492"/>
        <v>1600</v>
      </c>
      <c r="I2269" s="28">
        <f t="shared" si="492"/>
        <v>1600</v>
      </c>
      <c r="J2269" s="28">
        <f t="shared" si="492"/>
        <v>1600</v>
      </c>
      <c r="K2269" s="28">
        <f t="shared" si="492"/>
        <v>1600</v>
      </c>
      <c r="L2269" s="28">
        <f t="shared" si="492"/>
        <v>1600</v>
      </c>
      <c r="M2269" s="28">
        <f t="shared" si="492"/>
        <v>1600</v>
      </c>
    </row>
    <row r="2270" spans="1:13" ht="15" customHeight="1" x14ac:dyDescent="0.2">
      <c r="B2270" s="10" t="s">
        <v>897</v>
      </c>
      <c r="C2270" s="10" t="s">
        <v>110</v>
      </c>
      <c r="D2270" s="16">
        <f>D2269*($D$2289/Inputs!$D$21+$D$2290/Inputs!$D$22)</f>
        <v>1680.51014411561</v>
      </c>
      <c r="E2270" s="16">
        <f>E2269*($D$2289/Inputs!$D$21+$D$2290/Inputs!$D$22)</f>
        <v>8534.5824426210111</v>
      </c>
      <c r="F2270" s="16">
        <f>F2269*($D$2289/Inputs!$D$21+$D$2290/Inputs!$D$22)</f>
        <v>16403.643962440583</v>
      </c>
      <c r="G2270" s="16">
        <f>G2269*($D$2289/Inputs!$D$21+$D$2290/Inputs!$D$22)</f>
        <v>21462.326368038881</v>
      </c>
      <c r="H2270" s="16">
        <f>H2269*($D$2289/Inputs!$D$21+$D$2290/Inputs!$D$22)</f>
        <v>23148.553836571649</v>
      </c>
      <c r="I2270" s="16">
        <f>I2269*($D$2289/Inputs!$D$21+$D$2290/Inputs!$D$22)</f>
        <v>23148.553836571649</v>
      </c>
      <c r="J2270" s="16">
        <f>J2269*($D$2289/Inputs!$D$21+$D$2290/Inputs!$D$22)</f>
        <v>23148.553836571649</v>
      </c>
      <c r="K2270" s="16">
        <f>K2269*($D$2289/Inputs!$D$21+$D$2290/Inputs!$D$22)</f>
        <v>23148.553836571649</v>
      </c>
      <c r="L2270" s="16">
        <f>L2269*($D$2289/Inputs!$D$21+$D$2290/Inputs!$D$22)</f>
        <v>23148.553836571649</v>
      </c>
      <c r="M2270" s="16">
        <f>M2269*($D$2289/Inputs!$D$21+$D$2290/Inputs!$D$22)</f>
        <v>23148.553836571649</v>
      </c>
    </row>
    <row r="2271" spans="1:13" ht="15" customHeight="1" x14ac:dyDescent="0.2">
      <c r="B2271" s="10" t="s">
        <v>898</v>
      </c>
      <c r="C2271" s="10" t="s">
        <v>110</v>
      </c>
      <c r="D2271" s="16">
        <f t="shared" ref="D2271:M2271" si="493">D2267*($D$2289+$D$2290)</f>
        <v>13977.887419483886</v>
      </c>
      <c r="E2271" s="16">
        <f t="shared" si="493"/>
        <v>37274.36645195703</v>
      </c>
      <c r="F2271" s="16">
        <f t="shared" si="493"/>
        <v>27955.774838967762</v>
      </c>
      <c r="G2271" s="16">
        <f t="shared" si="493"/>
        <v>13977.887419483894</v>
      </c>
      <c r="H2271" s="16">
        <f t="shared" si="493"/>
        <v>0</v>
      </c>
      <c r="I2271" s="16">
        <f t="shared" si="493"/>
        <v>0</v>
      </c>
      <c r="J2271" s="16">
        <f t="shared" si="493"/>
        <v>0</v>
      </c>
      <c r="K2271" s="16">
        <f t="shared" si="493"/>
        <v>0</v>
      </c>
      <c r="L2271" s="16">
        <f t="shared" si="493"/>
        <v>0</v>
      </c>
      <c r="M2271" s="16">
        <f t="shared" si="493"/>
        <v>0</v>
      </c>
    </row>
    <row r="2272" spans="1:13" ht="15" customHeight="1" x14ac:dyDescent="0.2">
      <c r="B2272" s="10" t="s">
        <v>899</v>
      </c>
      <c r="C2272" s="10" t="s">
        <v>110</v>
      </c>
      <c r="D2272" s="16">
        <f t="shared" ref="D2272:M2272" si="494">D2268*$D$2289</f>
        <v>0</v>
      </c>
      <c r="E2272" s="16">
        <f t="shared" si="494"/>
        <v>0</v>
      </c>
      <c r="F2272" s="16">
        <f t="shared" si="494"/>
        <v>0</v>
      </c>
      <c r="G2272" s="16">
        <f t="shared" si="494"/>
        <v>2638.0048485671714</v>
      </c>
      <c r="H2272" s="16">
        <f t="shared" si="494"/>
        <v>13367.802830456689</v>
      </c>
      <c r="I2272" s="16">
        <f t="shared" si="494"/>
        <v>35647.47421455117</v>
      </c>
      <c r="J2272" s="16">
        <f t="shared" si="494"/>
        <v>26735.605660913367</v>
      </c>
      <c r="K2272" s="16">
        <f t="shared" si="494"/>
        <v>16005.807679023867</v>
      </c>
      <c r="L2272" s="16">
        <f t="shared" si="494"/>
        <v>13367.802830456689</v>
      </c>
      <c r="M2272" s="16">
        <f t="shared" si="494"/>
        <v>35647.47421455117</v>
      </c>
    </row>
    <row r="2273" spans="2:13" ht="15" customHeight="1" x14ac:dyDescent="0.2">
      <c r="B2273" s="10" t="s">
        <v>900</v>
      </c>
      <c r="C2273" s="10" t="s">
        <v>199</v>
      </c>
      <c r="D2273" s="28">
        <f>D2267*Inputs!$D$23</f>
        <v>5.8275000000000006</v>
      </c>
      <c r="E2273" s="28">
        <f>E2267*Inputs!$D$23</f>
        <v>15.540000000000001</v>
      </c>
      <c r="F2273" s="28">
        <f>F2267*Inputs!$D$23</f>
        <v>11.654999999999996</v>
      </c>
      <c r="G2273" s="28">
        <f>G2267*Inputs!$D$23</f>
        <v>5.8275000000000041</v>
      </c>
      <c r="H2273" s="28">
        <f>H2267*Inputs!$D$23</f>
        <v>0</v>
      </c>
      <c r="I2273" s="28">
        <f>I2267*Inputs!$D$23</f>
        <v>0</v>
      </c>
      <c r="J2273" s="28">
        <f>J2267*Inputs!$D$23</f>
        <v>0</v>
      </c>
      <c r="K2273" s="28">
        <f>K2267*Inputs!$D$23</f>
        <v>0</v>
      </c>
      <c r="L2273" s="28">
        <f>L2267*Inputs!$D$23</f>
        <v>0</v>
      </c>
      <c r="M2273" s="28">
        <f>M2267*Inputs!$D$23</f>
        <v>0</v>
      </c>
    </row>
    <row r="2274" spans="2:13" ht="15" customHeight="1" x14ac:dyDescent="0.2">
      <c r="B2274" s="3" t="s">
        <v>901</v>
      </c>
      <c r="C2274" s="10" t="s">
        <v>896</v>
      </c>
      <c r="D2274" s="28">
        <f>(D2269*$D$2287*(Inputs!$D$7-Inputs!$D$19)-D2273)/(Inputs!$D$7+$D$2288)^D2262</f>
        <v>50.541318213721269</v>
      </c>
      <c r="E2274" s="28">
        <f>(E2269*$D$2287*(Inputs!$D$7-Inputs!$D$19)-E2273)/(Inputs!$D$7+$D$2288)^E2262</f>
        <v>238.4864713152904</v>
      </c>
      <c r="F2274" s="28">
        <f>(F2269*$D$2287*(Inputs!$D$7-Inputs!$D$19)-F2273)/(Inputs!$D$7+$D$2288)^F2262</f>
        <v>418.74491871678316</v>
      </c>
      <c r="G2274" s="28">
        <f>(G2269*$D$2287*(Inputs!$D$7-Inputs!$D$19)-G2273)/(Inputs!$D$7+$D$2288)^G2262</f>
        <v>490.87392073514752</v>
      </c>
      <c r="H2274" s="28">
        <f>(H2269*$D$2287*(Inputs!$D$7-Inputs!$D$19)-H2273)/(Inputs!$D$7+$D$2288)^H2262</f>
        <v>472.10300862628105</v>
      </c>
      <c r="I2274" s="28">
        <f>(I2269*$D$2287*(Inputs!$D$7-Inputs!$D$19)-I2273)/(Inputs!$D$7+$D$2288)^I2262</f>
        <v>417.68543753228789</v>
      </c>
      <c r="J2274" s="28">
        <f>(J2269*$D$2287*(Inputs!$D$7-Inputs!$D$19)-J2273)/(Inputs!$D$7+$D$2288)^J2262</f>
        <v>369.66405292491049</v>
      </c>
      <c r="K2274" s="28">
        <f>(K2269*$D$2287*(Inputs!$D$7-Inputs!$D$19)-K2273)/(Inputs!$D$7+$D$2288)^K2262</f>
        <v>327.16369723641031</v>
      </c>
      <c r="L2274" s="28">
        <f>(L2269*$D$2287*(Inputs!$D$7-Inputs!$D$19)-L2273)/(Inputs!$D$7+$D$2288)^L2262</f>
        <v>289.54961658427663</v>
      </c>
      <c r="M2274" s="28">
        <f>(M2269*$D$2287*(Inputs!$D$7-Inputs!$D$19)-M2273)/(Inputs!$D$7+$D$2288)^M2262</f>
        <v>256.17430111750662</v>
      </c>
    </row>
    <row r="2275" spans="2:13" ht="15" customHeight="1" x14ac:dyDescent="0.2">
      <c r="B2275" s="10" t="s">
        <v>902</v>
      </c>
      <c r="C2275" s="10" t="s">
        <v>110</v>
      </c>
      <c r="D2275" s="16">
        <f>(D2270*Inputs!$D$19-D2271-D2272)/(Inputs!$D$7+$D$2288)^D2262</f>
        <v>-12346.937146613671</v>
      </c>
      <c r="E2275" s="16">
        <f>(E2270*Inputs!$D$19-E2271-E2272)/(Inputs!$D$7+$D$2288)^E2262</f>
        <v>-28144.165592831177</v>
      </c>
      <c r="F2275" s="16">
        <f>(F2270*Inputs!$D$19-F2271-F2272)/(Inputs!$D$7+$D$2288)^F2262</f>
        <v>-16528.13772562052</v>
      </c>
      <c r="G2275" s="16">
        <f>(G2270*Inputs!$D$19-G2271-G2272)/(Inputs!$D$7+$D$2288)^G2262</f>
        <v>-6462.9033875784253</v>
      </c>
      <c r="H2275" s="16">
        <f>(H2270*Inputs!$D$19-H2271-H2272)/(Inputs!$D$7+$D$2288)^H2262</f>
        <v>-3610.0349541710043</v>
      </c>
      <c r="I2275" s="16">
        <f>(I2270*Inputs!$D$19-I2271-I2272)/(Inputs!$D$7+$D$2288)^I2262</f>
        <v>-14272.365134506323</v>
      </c>
      <c r="J2275" s="16">
        <f>(J2270*Inputs!$D$19-J2271-J2272)/(Inputs!$D$7+$D$2288)^J2262</f>
        <v>-8709.5665200501735</v>
      </c>
      <c r="K2275" s="16">
        <f>(K2270*Inputs!$D$19-K2271-K2272)/(Inputs!$D$7+$D$2288)^K2262</f>
        <v>-3529.1777141306115</v>
      </c>
      <c r="L2275" s="16">
        <f>(L2270*Inputs!$D$19-L2271-L2272)/(Inputs!$D$7+$D$2288)^L2262</f>
        <v>-2214.1020449702382</v>
      </c>
      <c r="M2275" s="16">
        <f>(M2270*Inputs!$D$19-M2271-M2272)/(Inputs!$D$7+$D$2288)^M2262</f>
        <v>-8753.5088252709138</v>
      </c>
    </row>
    <row r="2276" spans="2:13" ht="15" customHeight="1" x14ac:dyDescent="0.2">
      <c r="B2276" s="10" t="s">
        <v>903</v>
      </c>
      <c r="C2276" s="10" t="s">
        <v>110</v>
      </c>
      <c r="D2276" s="16">
        <f t="shared" ref="D2276:M2276" si="495">D2269*$D$2286</f>
        <v>3492.8798146774516</v>
      </c>
      <c r="E2276" s="16">
        <f t="shared" si="495"/>
        <v>17738.82225282225</v>
      </c>
      <c r="F2276" s="16">
        <f t="shared" si="495"/>
        <v>34094.383234870082</v>
      </c>
      <c r="G2276" s="16">
        <f t="shared" si="495"/>
        <v>44608.672437615118</v>
      </c>
      <c r="H2276" s="16">
        <f t="shared" si="495"/>
        <v>48113.435505196801</v>
      </c>
      <c r="I2276" s="16">
        <f t="shared" si="495"/>
        <v>48113.435505196801</v>
      </c>
      <c r="J2276" s="16">
        <f t="shared" si="495"/>
        <v>48113.435505196801</v>
      </c>
      <c r="K2276" s="16">
        <f t="shared" si="495"/>
        <v>48113.435505196801</v>
      </c>
      <c r="L2276" s="16">
        <f t="shared" si="495"/>
        <v>48113.435505196801</v>
      </c>
      <c r="M2276" s="16">
        <f t="shared" si="495"/>
        <v>48113.435505196801</v>
      </c>
    </row>
    <row r="2277" spans="2:13" ht="15" customHeight="1" x14ac:dyDescent="0.2">
      <c r="B2277" s="10" t="s">
        <v>904</v>
      </c>
      <c r="C2277" s="10" t="s">
        <v>110</v>
      </c>
      <c r="D2277" s="16">
        <f t="shared" ref="D2277:M2277" si="496">D2276*$D$2287</f>
        <v>2619.6598610080887</v>
      </c>
      <c r="E2277" s="16">
        <f t="shared" si="496"/>
        <v>13304.116689616687</v>
      </c>
      <c r="F2277" s="16">
        <f t="shared" si="496"/>
        <v>25570.787426152561</v>
      </c>
      <c r="G2277" s="16">
        <f t="shared" si="496"/>
        <v>33456.50432821134</v>
      </c>
      <c r="H2277" s="16">
        <f t="shared" si="496"/>
        <v>36085.076628897601</v>
      </c>
      <c r="I2277" s="16">
        <f t="shared" si="496"/>
        <v>36085.076628897601</v>
      </c>
      <c r="J2277" s="16">
        <f t="shared" si="496"/>
        <v>36085.076628897601</v>
      </c>
      <c r="K2277" s="16">
        <f t="shared" si="496"/>
        <v>36085.076628897601</v>
      </c>
      <c r="L2277" s="16">
        <f t="shared" si="496"/>
        <v>36085.076628897601</v>
      </c>
      <c r="M2277" s="16">
        <f t="shared" si="496"/>
        <v>36085.076628897601</v>
      </c>
    </row>
    <row r="2278" spans="2:13" ht="15" customHeight="1" x14ac:dyDescent="0.2">
      <c r="B2278" s="10" t="s">
        <v>905</v>
      </c>
      <c r="C2278" s="10" t="s">
        <v>110</v>
      </c>
      <c r="D2278" s="16">
        <f t="shared" ref="D2278:M2278" si="497">D2277-D2270</f>
        <v>939.14971689247864</v>
      </c>
      <c r="E2278" s="16">
        <f t="shared" si="497"/>
        <v>4769.5342469956759</v>
      </c>
      <c r="F2278" s="16">
        <f t="shared" si="497"/>
        <v>9167.1434637119783</v>
      </c>
      <c r="G2278" s="16">
        <f t="shared" si="497"/>
        <v>11994.177960172459</v>
      </c>
      <c r="H2278" s="16">
        <f t="shared" si="497"/>
        <v>12936.522792325952</v>
      </c>
      <c r="I2278" s="16">
        <f t="shared" si="497"/>
        <v>12936.522792325952</v>
      </c>
      <c r="J2278" s="16">
        <f t="shared" si="497"/>
        <v>12936.522792325952</v>
      </c>
      <c r="K2278" s="16">
        <f t="shared" si="497"/>
        <v>12936.522792325952</v>
      </c>
      <c r="L2278" s="16">
        <f t="shared" si="497"/>
        <v>12936.522792325952</v>
      </c>
      <c r="M2278" s="16">
        <f t="shared" si="497"/>
        <v>12936.522792325952</v>
      </c>
    </row>
    <row r="2279" spans="2:13" ht="15" customHeight="1" x14ac:dyDescent="0.2">
      <c r="B2279" s="10" t="s">
        <v>906</v>
      </c>
      <c r="C2279" s="10" t="s">
        <v>110</v>
      </c>
      <c r="D2279" s="16">
        <f>MAX(D2278,Inputs!$D$6)*Inputs!$D$19</f>
        <v>281.74491506774359</v>
      </c>
      <c r="E2279" s="16">
        <f>MAX(E2278,Inputs!$D$6)*Inputs!$D$19</f>
        <v>1430.8602740987028</v>
      </c>
      <c r="F2279" s="16">
        <f>MAX(F2278,Inputs!$D$6)*Inputs!$D$19</f>
        <v>2750.1430391135932</v>
      </c>
      <c r="G2279" s="16">
        <f>MAX(G2278,Inputs!$D$6)*Inputs!$D$19</f>
        <v>3598.2533880517376</v>
      </c>
      <c r="H2279" s="16">
        <f>MAX(H2278,Inputs!$D$6)*Inputs!$D$19</f>
        <v>3880.9568376977854</v>
      </c>
      <c r="I2279" s="16">
        <f>MAX(I2278,Inputs!$D$6)*Inputs!$D$19</f>
        <v>3880.9568376977854</v>
      </c>
      <c r="J2279" s="16">
        <f>MAX(J2278,Inputs!$D$6)*Inputs!$D$19</f>
        <v>3880.9568376977854</v>
      </c>
      <c r="K2279" s="16">
        <f>MAX(K2278,Inputs!$D$6)*Inputs!$D$19</f>
        <v>3880.9568376977854</v>
      </c>
      <c r="L2279" s="16">
        <f>MAX(L2278,Inputs!$D$6)*Inputs!$D$19</f>
        <v>3880.9568376977854</v>
      </c>
      <c r="M2279" s="16">
        <f>MAX(M2278,Inputs!$D$6)*Inputs!$D$19</f>
        <v>3880.9568376977854</v>
      </c>
    </row>
    <row r="2280" spans="2:13" ht="15" customHeight="1" x14ac:dyDescent="0.2">
      <c r="B2280" s="10" t="s">
        <v>907</v>
      </c>
      <c r="C2280" s="10" t="s">
        <v>110</v>
      </c>
      <c r="D2280" s="16">
        <f t="shared" ref="D2280:M2280" si="498">D2273*$D$2286</f>
        <v>175.238153379084</v>
      </c>
      <c r="E2280" s="16">
        <f t="shared" si="498"/>
        <v>467.30174234422401</v>
      </c>
      <c r="F2280" s="16">
        <f t="shared" si="498"/>
        <v>350.47630675816782</v>
      </c>
      <c r="G2280" s="16">
        <f t="shared" si="498"/>
        <v>175.23815337908411</v>
      </c>
      <c r="H2280" s="16">
        <f t="shared" si="498"/>
        <v>0</v>
      </c>
      <c r="I2280" s="16">
        <f t="shared" si="498"/>
        <v>0</v>
      </c>
      <c r="J2280" s="16">
        <f t="shared" si="498"/>
        <v>0</v>
      </c>
      <c r="K2280" s="16">
        <f t="shared" si="498"/>
        <v>0</v>
      </c>
      <c r="L2280" s="16">
        <f t="shared" si="498"/>
        <v>0</v>
      </c>
      <c r="M2280" s="16">
        <f t="shared" si="498"/>
        <v>0</v>
      </c>
    </row>
    <row r="2281" spans="2:13" ht="15" customHeight="1" x14ac:dyDescent="0.2">
      <c r="B2281" s="10" t="s">
        <v>908</v>
      </c>
      <c r="C2281" s="10" t="s">
        <v>110</v>
      </c>
      <c r="D2281" s="16">
        <f t="shared" ref="D2281:M2281" si="499">D2277-D2279-D2271-D2272-D2280</f>
        <v>-11815.210626922624</v>
      </c>
      <c r="E2281" s="16">
        <f t="shared" si="499"/>
        <v>-25868.411778783269</v>
      </c>
      <c r="F2281" s="16">
        <f t="shared" si="499"/>
        <v>-5485.6067586869631</v>
      </c>
      <c r="G2281" s="16">
        <f t="shared" si="499"/>
        <v>13067.120518729453</v>
      </c>
      <c r="H2281" s="16">
        <f t="shared" si="499"/>
        <v>18836.316960743126</v>
      </c>
      <c r="I2281" s="16">
        <f t="shared" si="499"/>
        <v>-3443.354423351353</v>
      </c>
      <c r="J2281" s="16">
        <f t="shared" si="499"/>
        <v>5468.5141302864504</v>
      </c>
      <c r="K2281" s="16">
        <f t="shared" si="499"/>
        <v>16198.31211217595</v>
      </c>
      <c r="L2281" s="16">
        <f t="shared" si="499"/>
        <v>18836.316960743126</v>
      </c>
      <c r="M2281" s="16">
        <f t="shared" si="499"/>
        <v>-3443.354423351353</v>
      </c>
    </row>
    <row r="2282" spans="2:13" ht="15" customHeight="1" x14ac:dyDescent="0.2">
      <c r="B2282" s="10" t="s">
        <v>909</v>
      </c>
      <c r="C2282" s="10" t="s">
        <v>110</v>
      </c>
      <c r="D2282" s="16">
        <f>D2281/(Inputs!$D$7+$D$2288)^D2262</f>
        <v>-10827.114362723978</v>
      </c>
      <c r="E2282" s="16">
        <f>E2281/(Inputs!$D$7+$D$2288)^E2262</f>
        <v>-20972.663432524805</v>
      </c>
      <c r="F2282" s="16">
        <f>F2281/(Inputs!$D$7+$D$2288)^F2262</f>
        <v>-3936.1023257400043</v>
      </c>
      <c r="G2282" s="16">
        <f>G2281/(Inputs!$D$7+$D$2288)^G2262</f>
        <v>8298.1158164675799</v>
      </c>
      <c r="H2282" s="16">
        <f>H2281/(Inputs!$D$7+$D$2288)^H2262</f>
        <v>10586.52608167271</v>
      </c>
      <c r="I2282" s="16">
        <f>I2281/(Inputs!$D$7+$D$2288)^I2262</f>
        <v>-1712.1892844002962</v>
      </c>
      <c r="J2282" s="16">
        <f>J2281/(Inputs!$D$7+$D$2288)^J2262</f>
        <v>2406.563210570037</v>
      </c>
      <c r="K2282" s="16">
        <f>K2281/(Inputs!$D$7+$D$2288)^K2262</f>
        <v>6308.9281900104888</v>
      </c>
      <c r="L2282" s="16">
        <f>L2281/(Inputs!$D$7+$D$2288)^L2262</f>
        <v>6492.9147069560458</v>
      </c>
      <c r="M2282" s="16">
        <f>M2281/(Inputs!$D$7+$D$2288)^M2262</f>
        <v>-1050.1177534546523</v>
      </c>
    </row>
    <row r="2283" spans="2:13" ht="15" customHeight="1" x14ac:dyDescent="0.2">
      <c r="B2283" s="3" t="s">
        <v>910</v>
      </c>
      <c r="C2283" s="10" t="s">
        <v>896</v>
      </c>
      <c r="D2283" s="28">
        <f>(D2269*$D$2287-D2273)/(Inputs!$D$7+$D$2288)^D2262</f>
        <v>74.490519309095831</v>
      </c>
      <c r="E2283" s="28">
        <f>(E2269*$D$2287-E2273)/(Inputs!$D$7+$D$2288)^E2262</f>
        <v>346.09451503846662</v>
      </c>
      <c r="F2283" s="28">
        <f>(F2269*$D$2287-F2273)/(Inputs!$D$7+$D$2288)^F2262</f>
        <v>601.79110266312398</v>
      </c>
      <c r="G2283" s="28">
        <f>(G2269*$D$2287-G2273)/(Inputs!$D$7+$D$2288)^G2262</f>
        <v>702.83446516544734</v>
      </c>
      <c r="H2283" s="28">
        <f>(H2269*$D$2287-H2273)/(Inputs!$D$7+$D$2288)^H2262</f>
        <v>674.43286946611579</v>
      </c>
      <c r="I2283" s="28">
        <f>(I2269*$D$2287-I2273)/(Inputs!$D$7+$D$2288)^I2262</f>
        <v>596.69348218898278</v>
      </c>
      <c r="J2283" s="28">
        <f>(J2269*$D$2287-J2273)/(Inputs!$D$7+$D$2288)^J2262</f>
        <v>528.09150417844353</v>
      </c>
      <c r="K2283" s="28">
        <f>(K2269*$D$2287-K2273)/(Inputs!$D$7+$D$2288)^K2262</f>
        <v>467.37671033772904</v>
      </c>
      <c r="L2283" s="28">
        <f>(L2269*$D$2287-L2273)/(Inputs!$D$7+$D$2288)^L2262</f>
        <v>413.64230940610946</v>
      </c>
      <c r="M2283" s="28">
        <f>(M2269*$D$2287-M2273)/(Inputs!$D$7+$D$2288)^M2262</f>
        <v>365.96328731072373</v>
      </c>
    </row>
    <row r="2284" spans="2:13" ht="15" customHeight="1" x14ac:dyDescent="0.2">
      <c r="B2284" s="10" t="s">
        <v>911</v>
      </c>
      <c r="C2284" s="10" t="s">
        <v>110</v>
      </c>
      <c r="D2284" s="16">
        <f>(-D2271-D2272)/(Inputs!$D$7+$D$2288)^D2262</f>
        <v>-12808.928289029636</v>
      </c>
      <c r="E2284" s="16">
        <f>(-E2271-E2272)/(Inputs!$D$7+$D$2288)^E2262</f>
        <v>-30219.974420642928</v>
      </c>
      <c r="F2284" s="16">
        <f>(-F2271-F2272)/(Inputs!$D$7+$D$2288)^F2262</f>
        <v>-20059.183095337907</v>
      </c>
      <c r="G2284" s="16">
        <f>(-G2271-G2272)/(Inputs!$D$7+$D$2288)^G2262</f>
        <v>-10551.720115889953</v>
      </c>
      <c r="H2284" s="16">
        <f>(-H2271-H2272)/(Inputs!$D$7+$D$2288)^H2262</f>
        <v>-7513.0713511684744</v>
      </c>
      <c r="I2284" s="16">
        <f>(-I2271-I2272)/(Inputs!$D$7+$D$2288)^I2262</f>
        <v>-17725.512933602091</v>
      </c>
      <c r="J2284" s="16">
        <f>(-J2271-J2272)/(Inputs!$D$7+$D$2288)^J2262</f>
        <v>-11765.705173827875</v>
      </c>
      <c r="K2284" s="16">
        <f>(-K2271-K2272)/(Inputs!$D$7+$D$2288)^K2262</f>
        <v>-6233.95144943378</v>
      </c>
      <c r="L2284" s="16">
        <f>(-L2271-L2272)/(Inputs!$D$7+$D$2288)^L2262</f>
        <v>-4607.9073620630261</v>
      </c>
      <c r="M2284" s="16">
        <f>(-M2271-M2272)/(Inputs!$D$7+$D$2288)^M2262</f>
        <v>-10871.389039901173</v>
      </c>
    </row>
    <row r="2285" spans="2:13" ht="15" customHeight="1" x14ac:dyDescent="0.2">
      <c r="B2285" s="10" t="s">
        <v>912</v>
      </c>
      <c r="C2285" s="10" t="s">
        <v>110</v>
      </c>
      <c r="D2285" s="16">
        <f>Prices!I14</f>
        <v>15500</v>
      </c>
    </row>
    <row r="2286" spans="2:13" ht="15" customHeight="1" x14ac:dyDescent="0.2">
      <c r="B2286" s="3" t="s">
        <v>913</v>
      </c>
      <c r="C2286" s="10" t="s">
        <v>914</v>
      </c>
      <c r="D2286" s="28">
        <f>IF(J2293&gt;=J2289,J2293,(D2285-J2292)/J2291)</f>
        <v>30.070897190748003</v>
      </c>
      <c r="G2286" s="99" t="s">
        <v>915</v>
      </c>
      <c r="H2286" s="91"/>
      <c r="I2286" s="91"/>
      <c r="J2286" s="28">
        <f>D2286*Inputs!$D$15</f>
        <v>20.98647914942303</v>
      </c>
      <c r="K2286" s="99" t="s">
        <v>916</v>
      </c>
      <c r="L2286" s="91"/>
      <c r="M2286" s="91"/>
    </row>
    <row r="2287" spans="2:13" ht="15" customHeight="1" x14ac:dyDescent="0.2">
      <c r="B2287" s="10" t="s">
        <v>917</v>
      </c>
      <c r="C2287" s="10" t="s">
        <v>104</v>
      </c>
      <c r="D2287" s="30">
        <f>Inputs!$D$94</f>
        <v>0.75</v>
      </c>
      <c r="G2287" s="99" t="s">
        <v>918</v>
      </c>
      <c r="H2287" s="91"/>
      <c r="I2287" s="91"/>
      <c r="J2287" s="28">
        <f>IF(-D2298/D2297&gt;=J2289,-D2298/D2297,-J2292/J2291)</f>
        <v>27.411702074287536</v>
      </c>
      <c r="K2287" s="99" t="s">
        <v>919</v>
      </c>
      <c r="L2287" s="91"/>
      <c r="M2287" s="91"/>
    </row>
    <row r="2288" spans="2:13" ht="15" customHeight="1" x14ac:dyDescent="0.2">
      <c r="B2288" s="10" t="s">
        <v>920</v>
      </c>
      <c r="C2288" s="10" t="s">
        <v>104</v>
      </c>
      <c r="D2288" s="30">
        <f>Inputs!$D$95</f>
        <v>0.13</v>
      </c>
      <c r="G2288" s="99" t="s">
        <v>918</v>
      </c>
      <c r="H2288" s="91"/>
      <c r="I2288" s="91"/>
      <c r="J2288" s="28">
        <f>J2287*Inputs!$D$15</f>
        <v>19.13062687764527</v>
      </c>
      <c r="K2288" s="99" t="s">
        <v>916</v>
      </c>
      <c r="L2288" s="91"/>
      <c r="M2288" s="91"/>
    </row>
    <row r="2289" spans="2:13" ht="15" customHeight="1" x14ac:dyDescent="0.2">
      <c r="B2289" s="3" t="s">
        <v>921</v>
      </c>
      <c r="C2289" s="10" t="s">
        <v>848</v>
      </c>
      <c r="D2289" s="28">
        <f>Capital!$D$13</f>
        <v>57.347931490590682</v>
      </c>
      <c r="G2289" s="99" t="s">
        <v>922</v>
      </c>
      <c r="H2289" s="91"/>
      <c r="I2289" s="91"/>
      <c r="J2289" s="28">
        <f>($D$2289/Inputs!$D$21+$D$2290/Inputs!$D$22)/$D$2287</f>
        <v>19.290461530476374</v>
      </c>
      <c r="K2289" s="99" t="s">
        <v>919</v>
      </c>
      <c r="L2289" s="91"/>
      <c r="M2289" s="91"/>
    </row>
    <row r="2290" spans="2:13" ht="15" customHeight="1" x14ac:dyDescent="0.2">
      <c r="B2290" s="3" t="s">
        <v>923</v>
      </c>
      <c r="C2290" s="10" t="s">
        <v>848</v>
      </c>
      <c r="D2290" s="28">
        <f>Capital!$D$14</f>
        <v>2.6172655041921802</v>
      </c>
    </row>
    <row r="2291" spans="2:13" ht="15" customHeight="1" x14ac:dyDescent="0.2">
      <c r="B2291" s="10" t="s">
        <v>924</v>
      </c>
      <c r="C2291" s="10" t="s">
        <v>896</v>
      </c>
      <c r="D2291" s="28">
        <f>(M2264*(Inputs!$D$7+Inputs!$D$20)*$D$2287*(Inputs!$D$7-Inputs!$D$19)-M2264*Inputs!$D$20*Inputs!$D$23)/($D$2288-Inputs!$D$20)/(Inputs!$D$7+$D$2288)^M2262</f>
        <v>2497.8446594223992</v>
      </c>
      <c r="G2291" s="92" t="s">
        <v>910</v>
      </c>
      <c r="H2291" s="91"/>
      <c r="I2291" s="91"/>
      <c r="J2291" s="28">
        <f>SUM(D2283:M2283)+(M2264*(Inputs!$D$7+Inputs!$D$20)*$D$2287-M2264*Inputs!$D$20*Inputs!$D$23)/($D$2288-Inputs!$D$20)/(Inputs!$D$7+$D$2288)^M2262</f>
        <v>8341.0050516109004</v>
      </c>
      <c r="K2291" s="99" t="s">
        <v>896</v>
      </c>
      <c r="L2291" s="91"/>
      <c r="M2291" s="91"/>
    </row>
    <row r="2292" spans="2:13" ht="15" customHeight="1" x14ac:dyDescent="0.2">
      <c r="B2292" s="10" t="s">
        <v>925</v>
      </c>
      <c r="C2292" s="10" t="s">
        <v>110</v>
      </c>
      <c r="D2292" s="16">
        <f>(D2295*Inputs!$D$19-D2295-D2296)/($D$2288-Inputs!$D$20)/(Inputs!$D$7+$D$2288)^M2262</f>
        <v>-55207.290798783099</v>
      </c>
      <c r="G2292" s="92" t="s">
        <v>926</v>
      </c>
      <c r="H2292" s="91"/>
      <c r="I2292" s="91"/>
      <c r="J2292" s="16">
        <f>SUM(D2284:M2284)-(D2295+D2296)/($D$2288-Inputs!$D$20)/(Inputs!$D$7+$D$2288)^M2262</f>
        <v>-208239.17898202292</v>
      </c>
      <c r="K2292" s="99" t="s">
        <v>110</v>
      </c>
      <c r="L2292" s="91"/>
      <c r="M2292" s="91"/>
    </row>
    <row r="2293" spans="2:13" ht="15" customHeight="1" x14ac:dyDescent="0.2">
      <c r="B2293" s="10" t="s">
        <v>927</v>
      </c>
      <c r="C2293" s="10" t="s">
        <v>928</v>
      </c>
      <c r="D2293" s="16">
        <f>(M2264*(Inputs!$D$7+Inputs!$D$20)*$D$2286*$D$2287-D2295)-MAX((M2264*(Inputs!$D$7+Inputs!$D$20)*$D$2286*$D$2287-D2295),Inputs!$D$6)*Inputs!$D$19-D2296-M2264*Inputs!$D$20*$D$2286*Inputs!$D$23</f>
        <v>6853.2763265118083</v>
      </c>
      <c r="G2293" s="99" t="s">
        <v>929</v>
      </c>
      <c r="H2293" s="91"/>
      <c r="I2293" s="91"/>
      <c r="J2293" s="28">
        <f>(D2285-D2298)/D2297</f>
        <v>30.070897190748003</v>
      </c>
      <c r="K2293" s="99" t="s">
        <v>919</v>
      </c>
      <c r="L2293" s="91"/>
      <c r="M2293" s="91"/>
    </row>
    <row r="2294" spans="2:13" ht="15" customHeight="1" x14ac:dyDescent="0.2">
      <c r="B2294" s="10" t="s">
        <v>930</v>
      </c>
      <c r="C2294" s="10" t="s">
        <v>110</v>
      </c>
      <c r="D2294" s="16">
        <f>D2293/($D$2288-Inputs!$D$20)</f>
        <v>65269.298347731499</v>
      </c>
      <c r="G2294" s="99" t="s">
        <v>931</v>
      </c>
      <c r="H2294" s="91"/>
      <c r="I2294" s="91"/>
      <c r="J2294" s="16">
        <f>MIN(D2278:M2278,(M2264*(Inputs!$D$7+Inputs!$D$20)*$D$2286*$D$2287-D2295))</f>
        <v>939.14971689247864</v>
      </c>
      <c r="K2294" s="99" t="s">
        <v>110</v>
      </c>
      <c r="L2294" s="91"/>
      <c r="M2294" s="91"/>
    </row>
    <row r="2295" spans="2:13" ht="15" customHeight="1" x14ac:dyDescent="0.2">
      <c r="B2295" s="10" t="s">
        <v>932</v>
      </c>
      <c r="C2295" s="10" t="s">
        <v>928</v>
      </c>
      <c r="D2295" s="16">
        <f>M2264*(Inputs!$D$7+Inputs!$D$20)*($D$2289/Inputs!$D$21+$D$2290/Inputs!$D$22)</f>
        <v>23727.267682485937</v>
      </c>
      <c r="G2295" s="99" t="s">
        <v>933</v>
      </c>
      <c r="H2295" s="91"/>
      <c r="I2295" s="91"/>
      <c r="J2295" s="31" t="str">
        <f>IF(J2294&lt;Inputs!$D$6,"breached","satisfied")</f>
        <v>satisfied</v>
      </c>
      <c r="K2295" s="99" t="s">
        <v>934</v>
      </c>
      <c r="L2295" s="91"/>
      <c r="M2295" s="91"/>
    </row>
    <row r="2296" spans="2:13" ht="15" customHeight="1" x14ac:dyDescent="0.2">
      <c r="B2296" s="10" t="s">
        <v>935</v>
      </c>
      <c r="C2296" s="10" t="s">
        <v>928</v>
      </c>
      <c r="D2296" s="16">
        <f>M2264*Inputs!$D$20*($D$2289+$D$2290)</f>
        <v>2398.6078797913146</v>
      </c>
    </row>
    <row r="2297" spans="2:13" ht="15" customHeight="1" x14ac:dyDescent="0.2">
      <c r="B2297" s="10" t="s">
        <v>936</v>
      </c>
      <c r="C2297" s="10" t="s">
        <v>896</v>
      </c>
      <c r="D2297" s="28">
        <f>SUM(D2274:M2274)+D2291</f>
        <v>5828.8314024250149</v>
      </c>
      <c r="G2297" s="99" t="s">
        <v>937</v>
      </c>
      <c r="H2297" s="91"/>
      <c r="I2297" s="91"/>
      <c r="J2297" s="16">
        <f>D2299-D2285</f>
        <v>-2.9103830456733704E-11</v>
      </c>
      <c r="K2297" s="99" t="s">
        <v>110</v>
      </c>
      <c r="L2297" s="91"/>
      <c r="M2297" s="91"/>
    </row>
    <row r="2298" spans="2:13" ht="15" customHeight="1" x14ac:dyDescent="0.2">
      <c r="B2298" s="10" t="s">
        <v>938</v>
      </c>
      <c r="C2298" s="10" t="s">
        <v>110</v>
      </c>
      <c r="D2298" s="16">
        <f>SUM(D2275:M2275)+D2292</f>
        <v>-159778.18984452612</v>
      </c>
    </row>
    <row r="2299" spans="2:13" ht="15" customHeight="1" x14ac:dyDescent="0.2">
      <c r="B2299" s="10" t="s">
        <v>939</v>
      </c>
      <c r="C2299" s="10" t="s">
        <v>110</v>
      </c>
      <c r="D2299" s="16">
        <f>SUM(D2282:M2282)+D2294/(Inputs!$D$7+$D$2288)^M2262</f>
        <v>15499.999999999971</v>
      </c>
    </row>
    <row r="2300" spans="2:13" ht="15" customHeight="1" x14ac:dyDescent="0.2">
      <c r="B2300" s="10" t="s">
        <v>940</v>
      </c>
      <c r="C2300" s="10" t="s">
        <v>104</v>
      </c>
      <c r="D2300" s="30">
        <f>IF(ABS(D2285)&gt;Inputs!$D$6,D2299/D2285-Inputs!$D$7,Inputs!$D$6)</f>
        <v>-1.8873791418627661E-15</v>
      </c>
    </row>
    <row r="2301" spans="2:13" ht="15" customHeight="1" x14ac:dyDescent="0.2">
      <c r="B2301" s="10" t="s">
        <v>941</v>
      </c>
      <c r="C2301" s="10" t="s">
        <v>104</v>
      </c>
      <c r="D2301" s="30">
        <f>IF(ABS(D2299)&gt;Inputs!$D$119,D2294/(Inputs!$D$7+$D$2288)^M2262/D2299,Inputs!$D$6)</f>
        <v>1.2842025260107663</v>
      </c>
    </row>
    <row r="2302" spans="2:13" ht="15" customHeight="1" x14ac:dyDescent="0.2">
      <c r="B2302" s="10" t="s">
        <v>942</v>
      </c>
      <c r="C2302" s="10" t="s">
        <v>943</v>
      </c>
      <c r="D2302" s="26">
        <f>$D$2286*Inputs!$D$8/Prices!$P$6/(Inputs!$D$26/Inputs!$D$25)/Inputs!$D$11/Inputs!$D$56</f>
        <v>5.4684839951593665</v>
      </c>
    </row>
    <row r="2306" spans="1:13" ht="15" customHeight="1" x14ac:dyDescent="0.2">
      <c r="A2306" s="104" t="s">
        <v>993</v>
      </c>
      <c r="B2306" s="10" t="s">
        <v>886</v>
      </c>
      <c r="C2306" s="10" t="s">
        <v>107</v>
      </c>
      <c r="D2306" s="28">
        <f>Inputs!$D$60</f>
        <v>1</v>
      </c>
      <c r="E2306" s="28">
        <f>Inputs!$D$62</f>
        <v>2</v>
      </c>
      <c r="F2306" s="28">
        <f>Inputs!$D$64</f>
        <v>3</v>
      </c>
      <c r="G2306" s="28">
        <f>Inputs!$D$66</f>
        <v>4</v>
      </c>
      <c r="H2306" s="28">
        <f>Inputs!$D$68</f>
        <v>5</v>
      </c>
      <c r="I2306" s="28">
        <f>Inputs!$D$70</f>
        <v>6</v>
      </c>
      <c r="J2306" s="28">
        <f>Inputs!$D$72</f>
        <v>7</v>
      </c>
      <c r="K2306" s="28">
        <f>Inputs!$D$74</f>
        <v>8</v>
      </c>
      <c r="L2306" s="28">
        <f>Inputs!$D$76</f>
        <v>9</v>
      </c>
      <c r="M2306" s="28">
        <f>Inputs!$D$78</f>
        <v>10</v>
      </c>
    </row>
    <row r="2307" spans="1:13" ht="15" customHeight="1" x14ac:dyDescent="0.2">
      <c r="A2307" s="91"/>
      <c r="B2307" s="10" t="s">
        <v>887</v>
      </c>
      <c r="C2307" s="10" t="s">
        <v>161</v>
      </c>
      <c r="D2307" s="29">
        <f>Inputs!$D$61</f>
        <v>46568</v>
      </c>
      <c r="E2307" s="29">
        <f>Inputs!$D$63</f>
        <v>46934</v>
      </c>
      <c r="F2307" s="29">
        <f>Inputs!$D$65</f>
        <v>47299</v>
      </c>
      <c r="G2307" s="29">
        <f>Inputs!$D$67</f>
        <v>47664</v>
      </c>
      <c r="H2307" s="29">
        <f>Inputs!$D$69</f>
        <v>48029</v>
      </c>
      <c r="I2307" s="29">
        <f>Inputs!$D$71</f>
        <v>48395</v>
      </c>
      <c r="J2307" s="29">
        <f>Inputs!$D$73</f>
        <v>48760</v>
      </c>
      <c r="K2307" s="29">
        <f>Inputs!$D$75</f>
        <v>49125</v>
      </c>
      <c r="L2307" s="29">
        <f>Inputs!$D$77</f>
        <v>49490</v>
      </c>
      <c r="M2307" s="29">
        <f>Inputs!$D$79</f>
        <v>49856</v>
      </c>
    </row>
    <row r="2308" spans="1:13" ht="15" customHeight="1" x14ac:dyDescent="0.2">
      <c r="A2308" s="91"/>
      <c r="B2308" s="10" t="s">
        <v>888</v>
      </c>
      <c r="C2308" s="10" t="s">
        <v>107</v>
      </c>
      <c r="D2308" s="28">
        <f>(D2307-Inputs!$D$13)/Inputs!$D$10</f>
        <v>0.71457905544147848</v>
      </c>
      <c r="E2308" s="28">
        <f>(E2307-Inputs!$D$13)/Inputs!$D$10</f>
        <v>1.7166324435318274</v>
      </c>
      <c r="F2308" s="28">
        <f>(F2307-Inputs!$D$13)/Inputs!$D$10</f>
        <v>2.7159479808350446</v>
      </c>
      <c r="G2308" s="28">
        <f>(G2307-Inputs!$D$13)/Inputs!$D$10</f>
        <v>3.7152635181382614</v>
      </c>
      <c r="H2308" s="28">
        <f>(H2307-Inputs!$D$13)/Inputs!$D$10</f>
        <v>4.7145790554414786</v>
      </c>
      <c r="I2308" s="28">
        <f>(I2307-Inputs!$D$13)/Inputs!$D$10</f>
        <v>5.7166324435318279</v>
      </c>
      <c r="J2308" s="28">
        <f>(J2307-Inputs!$D$13)/Inputs!$D$10</f>
        <v>6.7159479808350442</v>
      </c>
      <c r="K2308" s="28">
        <f>(K2307-Inputs!$D$13)/Inputs!$D$10</f>
        <v>7.7152635181382614</v>
      </c>
      <c r="L2308" s="28">
        <f>(L2307-Inputs!$D$13)/Inputs!$D$10</f>
        <v>8.7145790554414777</v>
      </c>
      <c r="M2308" s="28">
        <f>(M2307-Inputs!$D$13)/Inputs!$D$10</f>
        <v>9.716632443531827</v>
      </c>
    </row>
    <row r="2309" spans="1:13" ht="15" customHeight="1" x14ac:dyDescent="0.2">
      <c r="A2309" s="91"/>
      <c r="B2309" s="10" t="s">
        <v>889</v>
      </c>
      <c r="C2309" s="10" t="s">
        <v>107</v>
      </c>
      <c r="D2309" s="28">
        <f>D2308</f>
        <v>0.71457905544147848</v>
      </c>
      <c r="E2309" s="28">
        <f>Inputs!$D$7</f>
        <v>1</v>
      </c>
      <c r="F2309" s="28">
        <f>Inputs!$D$7</f>
        <v>1</v>
      </c>
      <c r="G2309" s="28">
        <f>Inputs!$D$7</f>
        <v>1</v>
      </c>
      <c r="H2309" s="28">
        <f>Inputs!$D$7</f>
        <v>1</v>
      </c>
      <c r="I2309" s="28">
        <f>Inputs!$D$7</f>
        <v>1</v>
      </c>
      <c r="J2309" s="28">
        <f>Inputs!$D$7</f>
        <v>1</v>
      </c>
      <c r="K2309" s="28">
        <f>Inputs!$D$7</f>
        <v>1</v>
      </c>
      <c r="L2309" s="28">
        <f>Inputs!$D$7</f>
        <v>1</v>
      </c>
      <c r="M2309" s="28">
        <f>Inputs!$D$7</f>
        <v>1</v>
      </c>
    </row>
    <row r="2310" spans="1:13" ht="15" customHeight="1" x14ac:dyDescent="0.2">
      <c r="A2310" s="91"/>
      <c r="B2310" s="3" t="s">
        <v>890</v>
      </c>
      <c r="C2310" s="10" t="s">
        <v>199</v>
      </c>
      <c r="D2310" s="28">
        <f>Inputs!$D$24+(Inputs!$D$106-Inputs!$D$24)*Inputs!$D$109</f>
        <v>170.32</v>
      </c>
      <c r="E2310" s="28">
        <f>Inputs!$D$24+(Inputs!$D$106-Inputs!$D$24)*Inputs!$D$110</f>
        <v>481.12000000000006</v>
      </c>
      <c r="F2310" s="28">
        <f>Inputs!$D$24+(Inputs!$D$106-Inputs!$D$24)*Inputs!$D$111</f>
        <v>823</v>
      </c>
      <c r="G2310" s="28">
        <f>Inputs!$D$24+(Inputs!$D$106-Inputs!$D$24)*Inputs!$D$112</f>
        <v>1211.5</v>
      </c>
      <c r="H2310" s="28">
        <f>Inputs!$D$24+(Inputs!$D$106-Inputs!$D$24)*Inputs!$D$113</f>
        <v>1600</v>
      </c>
      <c r="I2310" s="28">
        <f>Inputs!$D$24+(Inputs!$D$106-Inputs!$D$24)*Inputs!$D$114</f>
        <v>1600</v>
      </c>
      <c r="J2310" s="28">
        <f>Inputs!$D$24+(Inputs!$D$106-Inputs!$D$24)*Inputs!$D$115</f>
        <v>1600</v>
      </c>
      <c r="K2310" s="28">
        <f>Inputs!$D$24+(Inputs!$D$106-Inputs!$D$24)*Inputs!$D$116</f>
        <v>1600</v>
      </c>
      <c r="L2310" s="28">
        <f>Inputs!$D$24+(Inputs!$D$106-Inputs!$D$24)*Inputs!$D$117</f>
        <v>1600</v>
      </c>
      <c r="M2310" s="28">
        <f>Inputs!$D$24+(Inputs!$D$106-Inputs!$D$24)*Inputs!$D$118</f>
        <v>1600</v>
      </c>
    </row>
    <row r="2311" spans="1:13" ht="15" customHeight="1" x14ac:dyDescent="0.2">
      <c r="A2311" s="91"/>
      <c r="B2311" s="10" t="s">
        <v>891</v>
      </c>
      <c r="C2311" s="10" t="s">
        <v>199</v>
      </c>
      <c r="D2311" s="28">
        <f>Inputs!$D$24</f>
        <v>46</v>
      </c>
      <c r="E2311" s="28">
        <f t="shared" ref="E2311:M2311" si="500">D2310</f>
        <v>170.32</v>
      </c>
      <c r="F2311" s="28">
        <f t="shared" si="500"/>
        <v>481.12000000000006</v>
      </c>
      <c r="G2311" s="28">
        <f t="shared" si="500"/>
        <v>823</v>
      </c>
      <c r="H2311" s="28">
        <f t="shared" si="500"/>
        <v>1211.5</v>
      </c>
      <c r="I2311" s="28">
        <f t="shared" si="500"/>
        <v>1600</v>
      </c>
      <c r="J2311" s="28">
        <f t="shared" si="500"/>
        <v>1600</v>
      </c>
      <c r="K2311" s="28">
        <f t="shared" si="500"/>
        <v>1600</v>
      </c>
      <c r="L2311" s="28">
        <f t="shared" si="500"/>
        <v>1600</v>
      </c>
      <c r="M2311" s="28">
        <f t="shared" si="500"/>
        <v>1600</v>
      </c>
    </row>
    <row r="2312" spans="1:13" ht="15" customHeight="1" x14ac:dyDescent="0.2">
      <c r="B2312" s="10" t="s">
        <v>892</v>
      </c>
      <c r="C2312" s="10" t="s">
        <v>199</v>
      </c>
      <c r="D2312" s="28">
        <f>(D2311+D2310)*Inputs!$D$12</f>
        <v>108.16</v>
      </c>
      <c r="E2312" s="28">
        <f>(E2311+E2310)*Inputs!$D$12</f>
        <v>325.72000000000003</v>
      </c>
      <c r="F2312" s="28">
        <f>(F2311+F2310)*Inputs!$D$12</f>
        <v>652.06000000000006</v>
      </c>
      <c r="G2312" s="28">
        <f>(G2311+G2310)*Inputs!$D$12</f>
        <v>1017.25</v>
      </c>
      <c r="H2312" s="28">
        <f>(H2311+H2310)*Inputs!$D$12</f>
        <v>1405.75</v>
      </c>
      <c r="I2312" s="28">
        <f>(I2311+I2310)*Inputs!$D$12</f>
        <v>1600</v>
      </c>
      <c r="J2312" s="28">
        <f>(J2311+J2310)*Inputs!$D$12</f>
        <v>1600</v>
      </c>
      <c r="K2312" s="28">
        <f>(K2311+K2310)*Inputs!$D$12</f>
        <v>1600</v>
      </c>
      <c r="L2312" s="28">
        <f>(L2311+L2310)*Inputs!$D$12</f>
        <v>1600</v>
      </c>
      <c r="M2312" s="28">
        <f>(M2311+M2310)*Inputs!$D$12</f>
        <v>1600</v>
      </c>
    </row>
    <row r="2313" spans="1:13" ht="15" customHeight="1" x14ac:dyDescent="0.2">
      <c r="B2313" s="10" t="s">
        <v>893</v>
      </c>
      <c r="C2313" s="10" t="s">
        <v>199</v>
      </c>
      <c r="D2313" s="28">
        <f t="shared" ref="D2313:M2313" si="501">D2310-D2311</f>
        <v>124.32</v>
      </c>
      <c r="E2313" s="28">
        <f t="shared" si="501"/>
        <v>310.80000000000007</v>
      </c>
      <c r="F2313" s="28">
        <f t="shared" si="501"/>
        <v>341.87999999999994</v>
      </c>
      <c r="G2313" s="28">
        <f t="shared" si="501"/>
        <v>388.5</v>
      </c>
      <c r="H2313" s="28">
        <f t="shared" si="501"/>
        <v>388.5</v>
      </c>
      <c r="I2313" s="28">
        <f t="shared" si="501"/>
        <v>0</v>
      </c>
      <c r="J2313" s="28">
        <f t="shared" si="501"/>
        <v>0</v>
      </c>
      <c r="K2313" s="28">
        <f t="shared" si="501"/>
        <v>0</v>
      </c>
      <c r="L2313" s="28">
        <f t="shared" si="501"/>
        <v>0</v>
      </c>
      <c r="M2313" s="28">
        <f t="shared" si="501"/>
        <v>0</v>
      </c>
    </row>
    <row r="2314" spans="1:13" ht="15" customHeight="1" x14ac:dyDescent="0.2">
      <c r="B2314" s="10" t="s">
        <v>894</v>
      </c>
      <c r="C2314" s="10" t="s">
        <v>199</v>
      </c>
      <c r="D2314" s="28">
        <f>IF(MOD(D2306,Inputs!$D$21)=Inputs!$D$6,Inputs!$D$24,Inputs!$D$6)+SUMPRODUCT(--(D2306&gt;$D$2306:$M$2306),--(MOD(D2306-$D$2306:$M$2306,Inputs!$D$21)=Inputs!$D$6),$D$2313:$M$2313)</f>
        <v>0</v>
      </c>
      <c r="E2314" s="28">
        <f>IF(MOD(E2306,Inputs!$D$21)=Inputs!$D$6,Inputs!$D$24,Inputs!$D$6)+SUMPRODUCT(--(E2306&gt;$D$2306:$M$2306),--(MOD(E2306-$D$2306:$M$2306,Inputs!$D$21)=Inputs!$D$6),$D$2313:$M$2313)</f>
        <v>0</v>
      </c>
      <c r="F2314" s="28">
        <f>IF(MOD(F2306,Inputs!$D$21)=Inputs!$D$6,Inputs!$D$24,Inputs!$D$6)+SUMPRODUCT(--(F2306&gt;$D$2306:$M$2306),--(MOD(F2306-$D$2306:$M$2306,Inputs!$D$21)=Inputs!$D$6),$D$2313:$M$2313)</f>
        <v>0</v>
      </c>
      <c r="G2314" s="28">
        <f>IF(MOD(G2306,Inputs!$D$21)=Inputs!$D$6,Inputs!$D$24,Inputs!$D$6)+SUMPRODUCT(--(G2306&gt;$D$2306:$M$2306),--(MOD(G2306-$D$2306:$M$2306,Inputs!$D$21)=Inputs!$D$6),$D$2313:$M$2313)</f>
        <v>46</v>
      </c>
      <c r="H2314" s="28">
        <f>IF(MOD(H2306,Inputs!$D$21)=Inputs!$D$6,Inputs!$D$24,Inputs!$D$6)+SUMPRODUCT(--(H2306&gt;$D$2306:$M$2306),--(MOD(H2306-$D$2306:$M$2306,Inputs!$D$21)=Inputs!$D$6),$D$2313:$M$2313)</f>
        <v>124.32</v>
      </c>
      <c r="I2314" s="28">
        <f>IF(MOD(I2306,Inputs!$D$21)=Inputs!$D$6,Inputs!$D$24,Inputs!$D$6)+SUMPRODUCT(--(I2306&gt;$D$2306:$M$2306),--(MOD(I2306-$D$2306:$M$2306,Inputs!$D$21)=Inputs!$D$6),$D$2313:$M$2313)</f>
        <v>310.80000000000007</v>
      </c>
      <c r="J2314" s="28">
        <f>IF(MOD(J2306,Inputs!$D$21)=Inputs!$D$6,Inputs!$D$24,Inputs!$D$6)+SUMPRODUCT(--(J2306&gt;$D$2306:$M$2306),--(MOD(J2306-$D$2306:$M$2306,Inputs!$D$21)=Inputs!$D$6),$D$2313:$M$2313)</f>
        <v>341.87999999999994</v>
      </c>
      <c r="K2314" s="28">
        <f>IF(MOD(K2306,Inputs!$D$21)=Inputs!$D$6,Inputs!$D$24,Inputs!$D$6)+SUMPRODUCT(--(K2306&gt;$D$2306:$M$2306),--(MOD(K2306-$D$2306:$M$2306,Inputs!$D$21)=Inputs!$D$6),$D$2313:$M$2313)</f>
        <v>434.5</v>
      </c>
      <c r="L2314" s="28">
        <f>IF(MOD(L2306,Inputs!$D$21)=Inputs!$D$6,Inputs!$D$24,Inputs!$D$6)+SUMPRODUCT(--(L2306&gt;$D$2306:$M$2306),--(MOD(L2306-$D$2306:$M$2306,Inputs!$D$21)=Inputs!$D$6),$D$2313:$M$2313)</f>
        <v>512.81999999999994</v>
      </c>
      <c r="M2314" s="28">
        <f>IF(MOD(M2306,Inputs!$D$21)=Inputs!$D$6,Inputs!$D$24,Inputs!$D$6)+SUMPRODUCT(--(M2306&gt;$D$2306:$M$2306),--(MOD(M2306-$D$2306:$M$2306,Inputs!$D$21)=Inputs!$D$6),$D$2313:$M$2313)</f>
        <v>310.80000000000007</v>
      </c>
    </row>
    <row r="2315" spans="1:13" ht="15" customHeight="1" x14ac:dyDescent="0.2">
      <c r="B2315" s="10" t="s">
        <v>895</v>
      </c>
      <c r="C2315" s="10" t="s">
        <v>896</v>
      </c>
      <c r="D2315" s="28">
        <f t="shared" ref="D2315:M2315" si="502">D2312*D2309</f>
        <v>77.288870636550314</v>
      </c>
      <c r="E2315" s="28">
        <f t="shared" si="502"/>
        <v>325.72000000000003</v>
      </c>
      <c r="F2315" s="28">
        <f t="shared" si="502"/>
        <v>652.06000000000006</v>
      </c>
      <c r="G2315" s="28">
        <f t="shared" si="502"/>
        <v>1017.25</v>
      </c>
      <c r="H2315" s="28">
        <f t="shared" si="502"/>
        <v>1405.75</v>
      </c>
      <c r="I2315" s="28">
        <f t="shared" si="502"/>
        <v>1600</v>
      </c>
      <c r="J2315" s="28">
        <f t="shared" si="502"/>
        <v>1600</v>
      </c>
      <c r="K2315" s="28">
        <f t="shared" si="502"/>
        <v>1600</v>
      </c>
      <c r="L2315" s="28">
        <f t="shared" si="502"/>
        <v>1600</v>
      </c>
      <c r="M2315" s="28">
        <f t="shared" si="502"/>
        <v>1600</v>
      </c>
    </row>
    <row r="2316" spans="1:13" ht="15" customHeight="1" x14ac:dyDescent="0.2">
      <c r="B2316" s="10" t="s">
        <v>897</v>
      </c>
      <c r="C2316" s="10" t="s">
        <v>110</v>
      </c>
      <c r="D2316" s="16">
        <f>D2315*($D$2335/Inputs!$D$21+$D$2336/Inputs!$D$22)</f>
        <v>1118.2034893112541</v>
      </c>
      <c r="E2316" s="16">
        <f>E2315*($D$2335/Inputs!$D$21+$D$2336/Inputs!$D$22)</f>
        <v>4712.466847280074</v>
      </c>
      <c r="F2316" s="16">
        <f>F2315*($D$2335/Inputs!$D$21+$D$2336/Inputs!$D$22)</f>
        <v>9433.9037591718188</v>
      </c>
      <c r="G2316" s="16">
        <f>G2315*($D$2335/Inputs!$D$21+$D$2336/Inputs!$D$22)</f>
        <v>14717.416493907818</v>
      </c>
      <c r="H2316" s="16">
        <f>H2315*($D$2335/Inputs!$D$21+$D$2336/Inputs!$D$22)</f>
        <v>20338.17472235037</v>
      </c>
      <c r="I2316" s="16">
        <f>I2315*($D$2335/Inputs!$D$21+$D$2336/Inputs!$D$22)</f>
        <v>23148.553836571649</v>
      </c>
      <c r="J2316" s="16">
        <f>J2315*($D$2335/Inputs!$D$21+$D$2336/Inputs!$D$22)</f>
        <v>23148.553836571649</v>
      </c>
      <c r="K2316" s="16">
        <f>K2315*($D$2335/Inputs!$D$21+$D$2336/Inputs!$D$22)</f>
        <v>23148.553836571649</v>
      </c>
      <c r="L2316" s="16">
        <f>L2315*($D$2335/Inputs!$D$21+$D$2336/Inputs!$D$22)</f>
        <v>23148.553836571649</v>
      </c>
      <c r="M2316" s="16">
        <f>M2315*($D$2335/Inputs!$D$21+$D$2336/Inputs!$D$22)</f>
        <v>23148.553836571649</v>
      </c>
    </row>
    <row r="2317" spans="1:13" ht="15" customHeight="1" x14ac:dyDescent="0.2">
      <c r="B2317" s="10" t="s">
        <v>898</v>
      </c>
      <c r="C2317" s="10" t="s">
        <v>110</v>
      </c>
      <c r="D2317" s="16">
        <f t="shared" ref="D2317:M2317" si="503">D2313*($D$2335+$D$2336)</f>
        <v>7454.8732903914051</v>
      </c>
      <c r="E2317" s="16">
        <f t="shared" si="503"/>
        <v>18637.183225978519</v>
      </c>
      <c r="F2317" s="16">
        <f t="shared" si="503"/>
        <v>20500.901548576363</v>
      </c>
      <c r="G2317" s="16">
        <f t="shared" si="503"/>
        <v>23296.479032473144</v>
      </c>
      <c r="H2317" s="16">
        <f t="shared" si="503"/>
        <v>23296.479032473144</v>
      </c>
      <c r="I2317" s="16">
        <f t="shared" si="503"/>
        <v>0</v>
      </c>
      <c r="J2317" s="16">
        <f t="shared" si="503"/>
        <v>0</v>
      </c>
      <c r="K2317" s="16">
        <f t="shared" si="503"/>
        <v>0</v>
      </c>
      <c r="L2317" s="16">
        <f t="shared" si="503"/>
        <v>0</v>
      </c>
      <c r="M2317" s="16">
        <f t="shared" si="503"/>
        <v>0</v>
      </c>
    </row>
    <row r="2318" spans="1:13" ht="15" customHeight="1" x14ac:dyDescent="0.2">
      <c r="B2318" s="10" t="s">
        <v>899</v>
      </c>
      <c r="C2318" s="10" t="s">
        <v>110</v>
      </c>
      <c r="D2318" s="16">
        <f t="shared" ref="D2318:M2318" si="504">D2314*$D$2335</f>
        <v>0</v>
      </c>
      <c r="E2318" s="16">
        <f t="shared" si="504"/>
        <v>0</v>
      </c>
      <c r="F2318" s="16">
        <f t="shared" si="504"/>
        <v>0</v>
      </c>
      <c r="G2318" s="16">
        <f t="shared" si="504"/>
        <v>2638.0048485671714</v>
      </c>
      <c r="H2318" s="16">
        <f t="shared" si="504"/>
        <v>7129.4948429102333</v>
      </c>
      <c r="I2318" s="16">
        <f t="shared" si="504"/>
        <v>17823.737107275589</v>
      </c>
      <c r="J2318" s="16">
        <f t="shared" si="504"/>
        <v>19606.110818003141</v>
      </c>
      <c r="K2318" s="16">
        <f t="shared" si="504"/>
        <v>24917.676232661652</v>
      </c>
      <c r="L2318" s="16">
        <f t="shared" si="504"/>
        <v>29409.166227004709</v>
      </c>
      <c r="M2318" s="16">
        <f t="shared" si="504"/>
        <v>17823.737107275589</v>
      </c>
    </row>
    <row r="2319" spans="1:13" ht="15" customHeight="1" x14ac:dyDescent="0.2">
      <c r="B2319" s="10" t="s">
        <v>900</v>
      </c>
      <c r="C2319" s="10" t="s">
        <v>199</v>
      </c>
      <c r="D2319" s="28">
        <f>D2313*Inputs!$D$23</f>
        <v>3.1080000000000001</v>
      </c>
      <c r="E2319" s="28">
        <f>E2313*Inputs!$D$23</f>
        <v>7.7700000000000022</v>
      </c>
      <c r="F2319" s="28">
        <f>F2313*Inputs!$D$23</f>
        <v>8.5469999999999988</v>
      </c>
      <c r="G2319" s="28">
        <f>G2313*Inputs!$D$23</f>
        <v>9.7125000000000004</v>
      </c>
      <c r="H2319" s="28">
        <f>H2313*Inputs!$D$23</f>
        <v>9.7125000000000004</v>
      </c>
      <c r="I2319" s="28">
        <f>I2313*Inputs!$D$23</f>
        <v>0</v>
      </c>
      <c r="J2319" s="28">
        <f>J2313*Inputs!$D$23</f>
        <v>0</v>
      </c>
      <c r="K2319" s="28">
        <f>K2313*Inputs!$D$23</f>
        <v>0</v>
      </c>
      <c r="L2319" s="28">
        <f>L2313*Inputs!$D$23</f>
        <v>0</v>
      </c>
      <c r="M2319" s="28">
        <f>M2313*Inputs!$D$23</f>
        <v>0</v>
      </c>
    </row>
    <row r="2320" spans="1:13" ht="15" customHeight="1" x14ac:dyDescent="0.2">
      <c r="B2320" s="3" t="s">
        <v>901</v>
      </c>
      <c r="C2320" s="10" t="s">
        <v>896</v>
      </c>
      <c r="D2320" s="28">
        <f>(D2315*$D$2333*(Inputs!$D$7-Inputs!$D$19)-D2319)/(Inputs!$D$7+$D$2334)^D2308</f>
        <v>40.99699201112098</v>
      </c>
      <c r="E2320" s="28">
        <f>(E2315*$D$2333*(Inputs!$D$7-Inputs!$D$19)-E2319)/(Inputs!$D$7+$D$2334)^E2308</f>
        <v>153.02781912726542</v>
      </c>
      <c r="F2320" s="28">
        <f>(F2315*$D$2333*(Inputs!$D$7-Inputs!$D$19)-F2319)/(Inputs!$D$7+$D$2334)^F2308</f>
        <v>268.8019226843403</v>
      </c>
      <c r="G2320" s="28">
        <f>(G2315*$D$2333*(Inputs!$D$7-Inputs!$D$19)-G2319)/(Inputs!$D$7+$D$2334)^G2308</f>
        <v>363.62824610263397</v>
      </c>
      <c r="H2320" s="28">
        <f>(H2315*$D$2333*(Inputs!$D$7-Inputs!$D$19)-H2319)/(Inputs!$D$7+$D$2334)^H2308</f>
        <v>435.07807528321291</v>
      </c>
      <c r="I2320" s="28">
        <f>(I2315*$D$2333*(Inputs!$D$7-Inputs!$D$19)-I2319)/(Inputs!$D$7+$D$2334)^I2308</f>
        <v>431.49711827119876</v>
      </c>
      <c r="J2320" s="28">
        <f>(J2315*$D$2333*(Inputs!$D$7-Inputs!$D$19)-J2319)/(Inputs!$D$7+$D$2334)^J2308</f>
        <v>372.01806500733016</v>
      </c>
      <c r="K2320" s="28">
        <f>(K2315*$D$2333*(Inputs!$D$7-Inputs!$D$19)-K2319)/(Inputs!$D$7+$D$2334)^K2308</f>
        <v>320.73780989845312</v>
      </c>
      <c r="L2320" s="28">
        <f>(L2315*$D$2333*(Inputs!$D$7-Inputs!$D$19)-L2319)/(Inputs!$D$7+$D$2334)^L2308</f>
        <v>276.52620228651875</v>
      </c>
      <c r="M2320" s="28">
        <f>(M2315*$D$2333*(Inputs!$D$7-Inputs!$D$19)-M2319)/(Inputs!$D$7+$D$2334)^M2308</f>
        <v>238.31201718226143</v>
      </c>
    </row>
    <row r="2321" spans="2:13" ht="15" customHeight="1" x14ac:dyDescent="0.2">
      <c r="B2321" s="10" t="s">
        <v>902</v>
      </c>
      <c r="C2321" s="10" t="s">
        <v>110</v>
      </c>
      <c r="D2321" s="16">
        <f>(D2316*Inputs!$D$19-D2317-D2318)/(Inputs!$D$7+$D$2334)^D2308</f>
        <v>-6403.0045740313244</v>
      </c>
      <c r="E2321" s="16">
        <f>(E2316*Inputs!$D$19-E2317-E2318)/(Inputs!$D$7+$D$2334)^E2308</f>
        <v>-13349.632212764713</v>
      </c>
      <c r="F2321" s="16">
        <f>(F2316*Inputs!$D$19-F2317-F2318)/(Inputs!$D$7+$D$2334)^F2308</f>
        <v>-11808.370082432088</v>
      </c>
      <c r="G2321" s="16">
        <f>(G2316*Inputs!$D$19-G2317-G2318)/(Inputs!$D$7+$D$2334)^G2308</f>
        <v>-12397.921878440668</v>
      </c>
      <c r="H2321" s="16">
        <f>(H2316*Inputs!$D$19-H2317-H2318)/(Inputs!$D$7+$D$2334)^H2308</f>
        <v>-12082.366885213038</v>
      </c>
      <c r="I2321" s="16">
        <f>(I2316*Inputs!$D$19-I2317-I2318)/(Inputs!$D$7+$D$2334)^I2308</f>
        <v>-4657.0743222469628</v>
      </c>
      <c r="J2321" s="16">
        <f>(J2316*Inputs!$D$19-J2317-J2318)/(Inputs!$D$7+$D$2334)^J2308</f>
        <v>-4672.9398284057479</v>
      </c>
      <c r="K2321" s="16">
        <f>(K2316*Inputs!$D$19-K2317-K2318)/(Inputs!$D$7+$D$2334)^K2308</f>
        <v>-5718.9047268503064</v>
      </c>
      <c r="L2321" s="16">
        <f>(L2316*Inputs!$D$19-L2317-L2318)/(Inputs!$D$7+$D$2334)^L2308</f>
        <v>-6162.7485564592316</v>
      </c>
      <c r="M2321" s="16">
        <f>(M2316*Inputs!$D$19-M2317-M2318)/(Inputs!$D$7+$D$2334)^M2308</f>
        <v>-2572.0606903447429</v>
      </c>
    </row>
    <row r="2322" spans="2:13" ht="15" customHeight="1" x14ac:dyDescent="0.2">
      <c r="B2322" s="10" t="s">
        <v>903</v>
      </c>
      <c r="C2322" s="10" t="s">
        <v>110</v>
      </c>
      <c r="D2322" s="16">
        <f t="shared" ref="D2322:M2322" si="505">D2315*$D$2332</f>
        <v>2111.2419482509999</v>
      </c>
      <c r="E2322" s="16">
        <f t="shared" si="505"/>
        <v>8897.4482576940554</v>
      </c>
      <c r="F2322" s="16">
        <f t="shared" si="505"/>
        <v>17811.832589070324</v>
      </c>
      <c r="G2322" s="16">
        <f t="shared" si="505"/>
        <v>27787.453150372334</v>
      </c>
      <c r="H2322" s="16">
        <f t="shared" si="505"/>
        <v>38399.815449629794</v>
      </c>
      <c r="I2322" s="16">
        <f t="shared" si="505"/>
        <v>43705.996599258528</v>
      </c>
      <c r="J2322" s="16">
        <f t="shared" si="505"/>
        <v>43705.996599258528</v>
      </c>
      <c r="K2322" s="16">
        <f t="shared" si="505"/>
        <v>43705.996599258528</v>
      </c>
      <c r="L2322" s="16">
        <f t="shared" si="505"/>
        <v>43705.996599258528</v>
      </c>
      <c r="M2322" s="16">
        <f t="shared" si="505"/>
        <v>43705.996599258528</v>
      </c>
    </row>
    <row r="2323" spans="2:13" ht="15" customHeight="1" x14ac:dyDescent="0.2">
      <c r="B2323" s="10" t="s">
        <v>904</v>
      </c>
      <c r="C2323" s="10" t="s">
        <v>110</v>
      </c>
      <c r="D2323" s="16">
        <f t="shared" ref="D2323:M2323" si="506">D2322*$D$2333</f>
        <v>1900.1177534259</v>
      </c>
      <c r="E2323" s="16">
        <f t="shared" si="506"/>
        <v>8007.7034319246504</v>
      </c>
      <c r="F2323" s="16">
        <f t="shared" si="506"/>
        <v>16030.649330163291</v>
      </c>
      <c r="G2323" s="16">
        <f t="shared" si="506"/>
        <v>25008.707835335103</v>
      </c>
      <c r="H2323" s="16">
        <f t="shared" si="506"/>
        <v>34559.833904666819</v>
      </c>
      <c r="I2323" s="16">
        <f t="shared" si="506"/>
        <v>39335.396939332677</v>
      </c>
      <c r="J2323" s="16">
        <f t="shared" si="506"/>
        <v>39335.396939332677</v>
      </c>
      <c r="K2323" s="16">
        <f t="shared" si="506"/>
        <v>39335.396939332677</v>
      </c>
      <c r="L2323" s="16">
        <f t="shared" si="506"/>
        <v>39335.396939332677</v>
      </c>
      <c r="M2323" s="16">
        <f t="shared" si="506"/>
        <v>39335.396939332677</v>
      </c>
    </row>
    <row r="2324" spans="2:13" ht="15" customHeight="1" x14ac:dyDescent="0.2">
      <c r="B2324" s="10" t="s">
        <v>905</v>
      </c>
      <c r="C2324" s="10" t="s">
        <v>110</v>
      </c>
      <c r="D2324" s="16">
        <f t="shared" ref="D2324:M2324" si="507">D2323-D2316</f>
        <v>781.9142641146459</v>
      </c>
      <c r="E2324" s="16">
        <f t="shared" si="507"/>
        <v>3295.2365846445764</v>
      </c>
      <c r="F2324" s="16">
        <f t="shared" si="507"/>
        <v>6596.7455709914721</v>
      </c>
      <c r="G2324" s="16">
        <f t="shared" si="507"/>
        <v>10291.291341427284</v>
      </c>
      <c r="H2324" s="16">
        <f t="shared" si="507"/>
        <v>14221.659182316449</v>
      </c>
      <c r="I2324" s="16">
        <f t="shared" si="507"/>
        <v>16186.843102761028</v>
      </c>
      <c r="J2324" s="16">
        <f t="shared" si="507"/>
        <v>16186.843102761028</v>
      </c>
      <c r="K2324" s="16">
        <f t="shared" si="507"/>
        <v>16186.843102761028</v>
      </c>
      <c r="L2324" s="16">
        <f t="shared" si="507"/>
        <v>16186.843102761028</v>
      </c>
      <c r="M2324" s="16">
        <f t="shared" si="507"/>
        <v>16186.843102761028</v>
      </c>
    </row>
    <row r="2325" spans="2:13" ht="15" customHeight="1" x14ac:dyDescent="0.2">
      <c r="B2325" s="10" t="s">
        <v>906</v>
      </c>
      <c r="C2325" s="10" t="s">
        <v>110</v>
      </c>
      <c r="D2325" s="16">
        <f>MAX(D2324,Inputs!$D$6)*Inputs!$D$19</f>
        <v>234.57427923439377</v>
      </c>
      <c r="E2325" s="16">
        <f>MAX(E2324,Inputs!$D$6)*Inputs!$D$19</f>
        <v>988.57097539337292</v>
      </c>
      <c r="F2325" s="16">
        <f>MAX(F2324,Inputs!$D$6)*Inputs!$D$19</f>
        <v>1979.0236712974415</v>
      </c>
      <c r="G2325" s="16">
        <f>MAX(G2324,Inputs!$D$6)*Inputs!$D$19</f>
        <v>3087.3874024281854</v>
      </c>
      <c r="H2325" s="16">
        <f>MAX(H2324,Inputs!$D$6)*Inputs!$D$19</f>
        <v>4266.4977546949349</v>
      </c>
      <c r="I2325" s="16">
        <f>MAX(I2324,Inputs!$D$6)*Inputs!$D$19</f>
        <v>4856.0529308283085</v>
      </c>
      <c r="J2325" s="16">
        <f>MAX(J2324,Inputs!$D$6)*Inputs!$D$19</f>
        <v>4856.0529308283085</v>
      </c>
      <c r="K2325" s="16">
        <f>MAX(K2324,Inputs!$D$6)*Inputs!$D$19</f>
        <v>4856.0529308283085</v>
      </c>
      <c r="L2325" s="16">
        <f>MAX(L2324,Inputs!$D$6)*Inputs!$D$19</f>
        <v>4856.0529308283085</v>
      </c>
      <c r="M2325" s="16">
        <f>MAX(M2324,Inputs!$D$6)*Inputs!$D$19</f>
        <v>4856.0529308283085</v>
      </c>
    </row>
    <row r="2326" spans="2:13" ht="15" customHeight="1" x14ac:dyDescent="0.2">
      <c r="B2326" s="10" t="s">
        <v>907</v>
      </c>
      <c r="C2326" s="10" t="s">
        <v>110</v>
      </c>
      <c r="D2326" s="16">
        <f t="shared" ref="D2326:M2326" si="508">D2319*$D$2332</f>
        <v>84.898898394059685</v>
      </c>
      <c r="E2326" s="16">
        <f t="shared" si="508"/>
        <v>212.24724598514928</v>
      </c>
      <c r="F2326" s="16">
        <f t="shared" si="508"/>
        <v>233.4719705836641</v>
      </c>
      <c r="G2326" s="16">
        <f t="shared" si="508"/>
        <v>265.30905748143653</v>
      </c>
      <c r="H2326" s="16">
        <f t="shared" si="508"/>
        <v>265.30905748143653</v>
      </c>
      <c r="I2326" s="16">
        <f t="shared" si="508"/>
        <v>0</v>
      </c>
      <c r="J2326" s="16">
        <f t="shared" si="508"/>
        <v>0</v>
      </c>
      <c r="K2326" s="16">
        <f t="shared" si="508"/>
        <v>0</v>
      </c>
      <c r="L2326" s="16">
        <f t="shared" si="508"/>
        <v>0</v>
      </c>
      <c r="M2326" s="16">
        <f t="shared" si="508"/>
        <v>0</v>
      </c>
    </row>
    <row r="2327" spans="2:13" ht="15" customHeight="1" x14ac:dyDescent="0.2">
      <c r="B2327" s="10" t="s">
        <v>908</v>
      </c>
      <c r="C2327" s="10" t="s">
        <v>110</v>
      </c>
      <c r="D2327" s="16">
        <f t="shared" ref="D2327:M2327" si="509">D2323-D2325-D2317-D2318-D2326</f>
        <v>-5874.228714593959</v>
      </c>
      <c r="E2327" s="16">
        <f t="shared" si="509"/>
        <v>-11830.29801543239</v>
      </c>
      <c r="F2327" s="16">
        <f t="shared" si="509"/>
        <v>-6682.7478602941783</v>
      </c>
      <c r="G2327" s="16">
        <f t="shared" si="509"/>
        <v>-4278.4725056148363</v>
      </c>
      <c r="H2327" s="16">
        <f t="shared" si="509"/>
        <v>-397.94678289292881</v>
      </c>
      <c r="I2327" s="16">
        <f t="shared" si="509"/>
        <v>16655.606901228781</v>
      </c>
      <c r="J2327" s="16">
        <f t="shared" si="509"/>
        <v>14873.233190501229</v>
      </c>
      <c r="K2327" s="16">
        <f t="shared" si="509"/>
        <v>9561.6677758427177</v>
      </c>
      <c r="L2327" s="16">
        <f t="shared" si="509"/>
        <v>5070.1777814996603</v>
      </c>
      <c r="M2327" s="16">
        <f t="shared" si="509"/>
        <v>16655.606901228781</v>
      </c>
    </row>
    <row r="2328" spans="2:13" ht="15" customHeight="1" x14ac:dyDescent="0.2">
      <c r="B2328" s="10" t="s">
        <v>909</v>
      </c>
      <c r="C2328" s="10" t="s">
        <v>110</v>
      </c>
      <c r="D2328" s="16">
        <f>D2327/(Inputs!$D$7+$D$2334)^D2308</f>
        <v>-5283.1205781451481</v>
      </c>
      <c r="E2328" s="16">
        <f>E2327/(Inputs!$D$7+$D$2334)^E2308</f>
        <v>-9169.486373784579</v>
      </c>
      <c r="F2328" s="16">
        <f>F2327/(Inputs!$D$7+$D$2334)^F2308</f>
        <v>-4465.7101332346301</v>
      </c>
      <c r="G2328" s="16">
        <f>G2327/(Inputs!$D$7+$D$2334)^G2308</f>
        <v>-2464.9625737181273</v>
      </c>
      <c r="H2328" s="16">
        <f>H2327/(Inputs!$D$7+$D$2334)^H2308</f>
        <v>-197.66633600050471</v>
      </c>
      <c r="I2328" s="16">
        <f>I2327/(Inputs!$D$7+$D$2334)^I2308</f>
        <v>7129.8079175973317</v>
      </c>
      <c r="J2328" s="16">
        <f>J2327/(Inputs!$D$7+$D$2334)^J2308</f>
        <v>5489.1978491399477</v>
      </c>
      <c r="K2328" s="16">
        <f>K2327/(Inputs!$D$7+$D$2334)^K2308</f>
        <v>3042.4487910718321</v>
      </c>
      <c r="L2328" s="16">
        <f>L2327/(Inputs!$D$7+$D$2334)^L2308</f>
        <v>1390.9097290035597</v>
      </c>
      <c r="M2328" s="16">
        <f>M2327/(Inputs!$D$7+$D$2334)^M2308</f>
        <v>3937.7294424867318</v>
      </c>
    </row>
    <row r="2329" spans="2:13" ht="15" customHeight="1" x14ac:dyDescent="0.2">
      <c r="B2329" s="3" t="s">
        <v>910</v>
      </c>
      <c r="C2329" s="10" t="s">
        <v>896</v>
      </c>
      <c r="D2329" s="28">
        <f>(D2315*$D$2333-D2319)/(Inputs!$D$7+$D$2334)^D2308</f>
        <v>59.765095798928819</v>
      </c>
      <c r="E2329" s="28">
        <f>(E2315*$D$2333-E2319)/(Inputs!$D$7+$D$2334)^E2308</f>
        <v>221.1922031857838</v>
      </c>
      <c r="F2329" s="28">
        <f>(F2315*$D$2333-F2319)/(Inputs!$D$7+$D$2334)^F2308</f>
        <v>386.45052664112239</v>
      </c>
      <c r="G2329" s="28">
        <f>(G2315*$D$2333-G2319)/(Inputs!$D$7+$D$2334)^G2308</f>
        <v>521.867070169518</v>
      </c>
      <c r="H2329" s="28">
        <f>(H2315*$D$2333-H2319)/(Inputs!$D$7+$D$2334)^H2308</f>
        <v>623.60768582417222</v>
      </c>
      <c r="I2329" s="28">
        <f>(I2315*$D$2333-I2319)/(Inputs!$D$7+$D$2334)^I2308</f>
        <v>616.42445467314121</v>
      </c>
      <c r="J2329" s="28">
        <f>(J2315*$D$2333-J2319)/(Inputs!$D$7+$D$2334)^J2308</f>
        <v>531.4543785819003</v>
      </c>
      <c r="K2329" s="28">
        <f>(K2315*$D$2333-K2319)/(Inputs!$D$7+$D$2334)^K2308</f>
        <v>458.19687128350449</v>
      </c>
      <c r="L2329" s="28">
        <f>(L2315*$D$2333-L2319)/(Inputs!$D$7+$D$2334)^L2308</f>
        <v>395.03743183788401</v>
      </c>
      <c r="M2329" s="28">
        <f>(M2315*$D$2333-M2319)/(Inputs!$D$7+$D$2334)^M2308</f>
        <v>340.44573883180209</v>
      </c>
    </row>
    <row r="2330" spans="2:13" ht="15" customHeight="1" x14ac:dyDescent="0.2">
      <c r="B2330" s="10" t="s">
        <v>911</v>
      </c>
      <c r="C2330" s="10" t="s">
        <v>110</v>
      </c>
      <c r="D2330" s="16">
        <f>(-D2317-D2318)/(Inputs!$D$7+$D$2334)^D2308</f>
        <v>-6704.7090607969039</v>
      </c>
      <c r="E2330" s="16">
        <f>(-E2317-E2318)/(Inputs!$D$7+$D$2334)^E2308</f>
        <v>-14445.4009031226</v>
      </c>
      <c r="F2330" s="16">
        <f>(-F2317-F2318)/(Inputs!$D$7+$D$2334)^F2308</f>
        <v>-13699.616639717549</v>
      </c>
      <c r="G2330" s="16">
        <f>(-G2317-G2318)/(Inputs!$D$7+$D$2334)^G2308</f>
        <v>-14941.671835349038</v>
      </c>
      <c r="H2330" s="16">
        <f>(-H2317-H2318)/(Inputs!$D$7+$D$2334)^H2308</f>
        <v>-15113.052884793095</v>
      </c>
      <c r="I2330" s="16">
        <f>(-I2317-I2318)/(Inputs!$D$7+$D$2334)^I2308</f>
        <v>-7629.8523795762403</v>
      </c>
      <c r="J2330" s="16">
        <f>(-J2317-J2318)/(Inputs!$D$7+$D$2334)^J2308</f>
        <v>-7235.9398897150922</v>
      </c>
      <c r="K2330" s="16">
        <f>(-K2317-K2318)/(Inputs!$D$7+$D$2334)^K2308</f>
        <v>-7928.612006570077</v>
      </c>
      <c r="L2330" s="16">
        <f>(-L2317-L2318)/(Inputs!$D$7+$D$2334)^L2308</f>
        <v>-8067.8621519509534</v>
      </c>
      <c r="M2330" s="16">
        <f>(-M2317-M2318)/(Inputs!$D$7+$D$2334)^M2308</f>
        <v>-4213.8995473821142</v>
      </c>
    </row>
    <row r="2331" spans="2:13" ht="15" customHeight="1" x14ac:dyDescent="0.2">
      <c r="B2331" s="10" t="s">
        <v>912</v>
      </c>
      <c r="C2331" s="10" t="s">
        <v>110</v>
      </c>
      <c r="D2331" s="16">
        <f>Prices!I14</f>
        <v>15500</v>
      </c>
    </row>
    <row r="2332" spans="2:13" ht="15" customHeight="1" x14ac:dyDescent="0.2">
      <c r="B2332" s="3" t="s">
        <v>913</v>
      </c>
      <c r="C2332" s="10" t="s">
        <v>914</v>
      </c>
      <c r="D2332" s="28">
        <f>IF(J2339&gt;=J2335,J2339,(D2331-J2338)/J2337)</f>
        <v>27.316247874536579</v>
      </c>
      <c r="G2332" s="99" t="s">
        <v>915</v>
      </c>
      <c r="H2332" s="91"/>
      <c r="I2332" s="91"/>
      <c r="J2332" s="28">
        <f>D2332*Inputs!$D$15</f>
        <v>19.064009391639079</v>
      </c>
      <c r="K2332" s="99" t="s">
        <v>916</v>
      </c>
      <c r="L2332" s="91"/>
      <c r="M2332" s="91"/>
    </row>
    <row r="2333" spans="2:13" ht="15" customHeight="1" x14ac:dyDescent="0.2">
      <c r="B2333" s="10" t="s">
        <v>917</v>
      </c>
      <c r="C2333" s="10" t="s">
        <v>104</v>
      </c>
      <c r="D2333" s="30">
        <f>Inputs!$D$107</f>
        <v>0.9</v>
      </c>
      <c r="G2333" s="99" t="s">
        <v>918</v>
      </c>
      <c r="H2333" s="91"/>
      <c r="I2333" s="91"/>
      <c r="J2333" s="28">
        <f>IF(-D2344/D2343&gt;=J2335,-D2344/D2343,-J2338/J2337)</f>
        <v>24.024174528419383</v>
      </c>
      <c r="K2333" s="99" t="s">
        <v>919</v>
      </c>
      <c r="L2333" s="91"/>
      <c r="M2333" s="91"/>
    </row>
    <row r="2334" spans="2:13" ht="15" customHeight="1" x14ac:dyDescent="0.2">
      <c r="B2334" s="10" t="s">
        <v>920</v>
      </c>
      <c r="C2334" s="10" t="s">
        <v>104</v>
      </c>
      <c r="D2334" s="30">
        <f>Inputs!$D$108</f>
        <v>0.16</v>
      </c>
      <c r="G2334" s="99" t="s">
        <v>918</v>
      </c>
      <c r="H2334" s="91"/>
      <c r="I2334" s="91"/>
      <c r="J2334" s="28">
        <f>J2333*Inputs!$D$15</f>
        <v>16.766471403383886</v>
      </c>
      <c r="K2334" s="99" t="s">
        <v>916</v>
      </c>
      <c r="L2334" s="91"/>
      <c r="M2334" s="91"/>
    </row>
    <row r="2335" spans="2:13" ht="15" customHeight="1" x14ac:dyDescent="0.2">
      <c r="B2335" s="3" t="s">
        <v>921</v>
      </c>
      <c r="C2335" s="10" t="s">
        <v>848</v>
      </c>
      <c r="D2335" s="28">
        <f>Capital!$D$13</f>
        <v>57.347931490590682</v>
      </c>
      <c r="G2335" s="99" t="s">
        <v>922</v>
      </c>
      <c r="H2335" s="91"/>
      <c r="I2335" s="91"/>
      <c r="J2335" s="28">
        <f>($D$2335/Inputs!$D$21+$D$2336/Inputs!$D$22)/$D$2333</f>
        <v>16.07538460873031</v>
      </c>
      <c r="K2335" s="99" t="s">
        <v>919</v>
      </c>
      <c r="L2335" s="91"/>
      <c r="M2335" s="91"/>
    </row>
    <row r="2336" spans="2:13" ht="15" customHeight="1" x14ac:dyDescent="0.2">
      <c r="B2336" s="3" t="s">
        <v>923</v>
      </c>
      <c r="C2336" s="10" t="s">
        <v>848</v>
      </c>
      <c r="D2336" s="28">
        <f>Capital!$D$14</f>
        <v>2.6172655041921802</v>
      </c>
    </row>
    <row r="2337" spans="1:13" ht="15" customHeight="1" x14ac:dyDescent="0.2">
      <c r="B2337" s="10" t="s">
        <v>924</v>
      </c>
      <c r="C2337" s="10" t="s">
        <v>896</v>
      </c>
      <c r="D2337" s="28">
        <f>(M2310*(Inputs!$D$7+Inputs!$D$20)*$D$2333*(Inputs!$D$7-Inputs!$D$19)-M2310*Inputs!$D$20*Inputs!$D$23)/($D$2334-Inputs!$D$20)/(Inputs!$D$7+$D$2334)^M2308</f>
        <v>1807.6547922951956</v>
      </c>
      <c r="G2337" s="92" t="s">
        <v>910</v>
      </c>
      <c r="H2337" s="91"/>
      <c r="I2337" s="91"/>
      <c r="J2337" s="28">
        <f>SUM(D2329:M2329)+(M2310*(Inputs!$D$7+Inputs!$D$20)*$D$2333-M2310*Inputs!$D$20*Inputs!$D$23)/($D$2334-Inputs!$D$20)/(Inputs!$D$7+$D$2334)^M2308</f>
        <v>6737.5559875731687</v>
      </c>
      <c r="K2337" s="99" t="s">
        <v>896</v>
      </c>
      <c r="L2337" s="91"/>
      <c r="M2337" s="91"/>
    </row>
    <row r="2338" spans="1:13" ht="15" customHeight="1" x14ac:dyDescent="0.2">
      <c r="B2338" s="10" t="s">
        <v>925</v>
      </c>
      <c r="C2338" s="10" t="s">
        <v>110</v>
      </c>
      <c r="D2338" s="16">
        <f>(D2341*Inputs!$D$19-D2341-D2342)/($D$2334-Inputs!$D$20)/(Inputs!$D$7+$D$2334)^M2308</f>
        <v>-33287.494112345899</v>
      </c>
      <c r="G2338" s="92" t="s">
        <v>926</v>
      </c>
      <c r="H2338" s="91"/>
      <c r="I2338" s="91"/>
      <c r="J2338" s="16">
        <f>SUM(D2330:M2330)-(D2341+D2342)/($D$2334-Inputs!$D$20)/(Inputs!$D$7+$D$2334)^M2308</f>
        <v>-145733.9249554922</v>
      </c>
      <c r="K2338" s="99" t="s">
        <v>110</v>
      </c>
      <c r="L2338" s="91"/>
      <c r="M2338" s="91"/>
    </row>
    <row r="2339" spans="1:13" ht="15" customHeight="1" x14ac:dyDescent="0.2">
      <c r="B2339" s="10" t="s">
        <v>927</v>
      </c>
      <c r="C2339" s="10" t="s">
        <v>928</v>
      </c>
      <c r="D2339" s="16">
        <f>(M2310*(Inputs!$D$7+Inputs!$D$20)*$D$2332*$D$2333-D2341)-MAX((M2310*(Inputs!$D$7+Inputs!$D$20)*$D$2332*$D$2333-D2341),Inputs!$D$6)*Inputs!$D$19-D2342-M2310*Inputs!$D$20*$D$2332*Inputs!$D$23</f>
        <v>9188.1357985651848</v>
      </c>
      <c r="G2339" s="99" t="s">
        <v>929</v>
      </c>
      <c r="H2339" s="91"/>
      <c r="I2339" s="91"/>
      <c r="J2339" s="28">
        <f>(D2331-D2344)/D2343</f>
        <v>27.316247874536579</v>
      </c>
      <c r="K2339" s="99" t="s">
        <v>919</v>
      </c>
      <c r="L2339" s="91"/>
      <c r="M2339" s="91"/>
    </row>
    <row r="2340" spans="1:13" ht="15" customHeight="1" x14ac:dyDescent="0.2">
      <c r="B2340" s="10" t="s">
        <v>930</v>
      </c>
      <c r="C2340" s="10" t="s">
        <v>110</v>
      </c>
      <c r="D2340" s="16">
        <f>D2339/($D$2334-Inputs!$D$20)</f>
        <v>68060.265174556916</v>
      </c>
      <c r="G2340" s="99" t="s">
        <v>931</v>
      </c>
      <c r="H2340" s="91"/>
      <c r="I2340" s="91"/>
      <c r="J2340" s="16">
        <f>MIN(D2324:M2324,(M2310*(Inputs!$D$7+Inputs!$D$20)*$D$2332*$D$2333-D2341))</f>
        <v>781.9142641146459</v>
      </c>
      <c r="K2340" s="99" t="s">
        <v>110</v>
      </c>
      <c r="L2340" s="91"/>
      <c r="M2340" s="91"/>
    </row>
    <row r="2341" spans="1:13" ht="15" customHeight="1" x14ac:dyDescent="0.2">
      <c r="B2341" s="10" t="s">
        <v>932</v>
      </c>
      <c r="C2341" s="10" t="s">
        <v>928</v>
      </c>
      <c r="D2341" s="16">
        <f>M2310*(Inputs!$D$7+Inputs!$D$20)*($D$2335/Inputs!$D$21+$D$2336/Inputs!$D$22)</f>
        <v>23727.267682485937</v>
      </c>
      <c r="G2341" s="99" t="s">
        <v>933</v>
      </c>
      <c r="H2341" s="91"/>
      <c r="I2341" s="91"/>
      <c r="J2341" s="31" t="str">
        <f>IF(J2340&lt;Inputs!$D$6,"breached","satisfied")</f>
        <v>satisfied</v>
      </c>
      <c r="K2341" s="99" t="s">
        <v>934</v>
      </c>
      <c r="L2341" s="91"/>
      <c r="M2341" s="91"/>
    </row>
    <row r="2342" spans="1:13" ht="15" customHeight="1" x14ac:dyDescent="0.2">
      <c r="B2342" s="10" t="s">
        <v>935</v>
      </c>
      <c r="C2342" s="10" t="s">
        <v>928</v>
      </c>
      <c r="D2342" s="16">
        <f>M2310*Inputs!$D$20*($D$2335+$D$2336)</f>
        <v>2398.6078797913146</v>
      </c>
    </row>
    <row r="2343" spans="1:13" ht="15" customHeight="1" x14ac:dyDescent="0.2">
      <c r="B2343" s="10" t="s">
        <v>936</v>
      </c>
      <c r="C2343" s="10" t="s">
        <v>896</v>
      </c>
      <c r="D2343" s="28">
        <f>SUM(D2320:M2320)+D2337</f>
        <v>4708.2790601495317</v>
      </c>
      <c r="G2343" s="99" t="s">
        <v>937</v>
      </c>
      <c r="H2343" s="91"/>
      <c r="I2343" s="91"/>
      <c r="J2343" s="16">
        <f>D2345-D2331</f>
        <v>2.5465851649641991E-11</v>
      </c>
      <c r="K2343" s="99" t="s">
        <v>110</v>
      </c>
      <c r="L2343" s="91"/>
      <c r="M2343" s="91"/>
    </row>
    <row r="2344" spans="1:13" ht="15" customHeight="1" x14ac:dyDescent="0.2">
      <c r="B2344" s="10" t="s">
        <v>938</v>
      </c>
      <c r="C2344" s="10" t="s">
        <v>110</v>
      </c>
      <c r="D2344" s="16">
        <f>SUM(D2321:M2321)+D2338</f>
        <v>-113112.51786953473</v>
      </c>
    </row>
    <row r="2345" spans="1:13" ht="15" customHeight="1" x14ac:dyDescent="0.2">
      <c r="B2345" s="10" t="s">
        <v>939</v>
      </c>
      <c r="C2345" s="10" t="s">
        <v>110</v>
      </c>
      <c r="D2345" s="16">
        <f>SUM(D2328:M2328)+D2340/(Inputs!$D$7+$D$2334)^M2308</f>
        <v>15500.000000000025</v>
      </c>
    </row>
    <row r="2346" spans="1:13" ht="15" customHeight="1" x14ac:dyDescent="0.2">
      <c r="B2346" s="10" t="s">
        <v>940</v>
      </c>
      <c r="C2346" s="10" t="s">
        <v>104</v>
      </c>
      <c r="D2346" s="30">
        <f>IF(ABS(D2331)&gt;Inputs!$D$6,D2345/D2331-Inputs!$D$7,Inputs!$D$6)</f>
        <v>1.5543122344752192E-15</v>
      </c>
    </row>
    <row r="2347" spans="1:13" ht="15" customHeight="1" x14ac:dyDescent="0.2">
      <c r="B2347" s="10" t="s">
        <v>941</v>
      </c>
      <c r="C2347" s="10" t="s">
        <v>104</v>
      </c>
      <c r="D2347" s="30">
        <f>IF(ABS(D2345)&gt;Inputs!$D$119,D2340/(Inputs!$D$7+$D$2334)^M2308/D2345,Inputs!$D$6)</f>
        <v>1.0381195010053925</v>
      </c>
    </row>
    <row r="2348" spans="1:13" ht="15" customHeight="1" x14ac:dyDescent="0.2">
      <c r="B2348" s="10" t="s">
        <v>942</v>
      </c>
      <c r="C2348" s="10" t="s">
        <v>943</v>
      </c>
      <c r="D2348" s="26">
        <f>$D$2332*Inputs!$D$8/Prices!$P$6/(Inputs!$D$26/Inputs!$D$25)/Inputs!$D$11/Inputs!$D$56</f>
        <v>4.9675426496974966</v>
      </c>
    </row>
    <row r="2352" spans="1:13" ht="15" customHeight="1" x14ac:dyDescent="0.2">
      <c r="A2352" s="104" t="s">
        <v>994</v>
      </c>
      <c r="B2352" s="10" t="s">
        <v>886</v>
      </c>
      <c r="C2352" s="10" t="s">
        <v>107</v>
      </c>
      <c r="D2352" s="28">
        <f>Inputs!$D$60</f>
        <v>1</v>
      </c>
      <c r="E2352" s="28">
        <f>Inputs!$D$62</f>
        <v>2</v>
      </c>
      <c r="F2352" s="28">
        <f>Inputs!$D$64</f>
        <v>3</v>
      </c>
      <c r="G2352" s="28">
        <f>Inputs!$D$66</f>
        <v>4</v>
      </c>
      <c r="H2352" s="28">
        <f>Inputs!$D$68</f>
        <v>5</v>
      </c>
      <c r="I2352" s="28">
        <f>Inputs!$D$70</f>
        <v>6</v>
      </c>
      <c r="J2352" s="28">
        <f>Inputs!$D$72</f>
        <v>7</v>
      </c>
      <c r="K2352" s="28">
        <f>Inputs!$D$74</f>
        <v>8</v>
      </c>
      <c r="L2352" s="28">
        <f>Inputs!$D$76</f>
        <v>9</v>
      </c>
      <c r="M2352" s="28">
        <f>Inputs!$D$78</f>
        <v>10</v>
      </c>
    </row>
    <row r="2353" spans="1:13" ht="15" customHeight="1" x14ac:dyDescent="0.2">
      <c r="A2353" s="91"/>
      <c r="B2353" s="10" t="s">
        <v>887</v>
      </c>
      <c r="C2353" s="10" t="s">
        <v>161</v>
      </c>
      <c r="D2353" s="29">
        <f>Inputs!$D$61</f>
        <v>46568</v>
      </c>
      <c r="E2353" s="29">
        <f>Inputs!$D$63</f>
        <v>46934</v>
      </c>
      <c r="F2353" s="29">
        <f>Inputs!$D$65</f>
        <v>47299</v>
      </c>
      <c r="G2353" s="29">
        <f>Inputs!$D$67</f>
        <v>47664</v>
      </c>
      <c r="H2353" s="29">
        <f>Inputs!$D$69</f>
        <v>48029</v>
      </c>
      <c r="I2353" s="29">
        <f>Inputs!$D$71</f>
        <v>48395</v>
      </c>
      <c r="J2353" s="29">
        <f>Inputs!$D$73</f>
        <v>48760</v>
      </c>
      <c r="K2353" s="29">
        <f>Inputs!$D$75</f>
        <v>49125</v>
      </c>
      <c r="L2353" s="29">
        <f>Inputs!$D$77</f>
        <v>49490</v>
      </c>
      <c r="M2353" s="29">
        <f>Inputs!$D$79</f>
        <v>49856</v>
      </c>
    </row>
    <row r="2354" spans="1:13" ht="15" customHeight="1" x14ac:dyDescent="0.2">
      <c r="A2354" s="91"/>
      <c r="B2354" s="10" t="s">
        <v>888</v>
      </c>
      <c r="C2354" s="10" t="s">
        <v>107</v>
      </c>
      <c r="D2354" s="28">
        <f>(D2353-Inputs!$D$13)/Inputs!$D$10</f>
        <v>0.71457905544147848</v>
      </c>
      <c r="E2354" s="28">
        <f>(E2353-Inputs!$D$13)/Inputs!$D$10</f>
        <v>1.7166324435318274</v>
      </c>
      <c r="F2354" s="28">
        <f>(F2353-Inputs!$D$13)/Inputs!$D$10</f>
        <v>2.7159479808350446</v>
      </c>
      <c r="G2354" s="28">
        <f>(G2353-Inputs!$D$13)/Inputs!$D$10</f>
        <v>3.7152635181382614</v>
      </c>
      <c r="H2354" s="28">
        <f>(H2353-Inputs!$D$13)/Inputs!$D$10</f>
        <v>4.7145790554414786</v>
      </c>
      <c r="I2354" s="28">
        <f>(I2353-Inputs!$D$13)/Inputs!$D$10</f>
        <v>5.7166324435318279</v>
      </c>
      <c r="J2354" s="28">
        <f>(J2353-Inputs!$D$13)/Inputs!$D$10</f>
        <v>6.7159479808350442</v>
      </c>
      <c r="K2354" s="28">
        <f>(K2353-Inputs!$D$13)/Inputs!$D$10</f>
        <v>7.7152635181382614</v>
      </c>
      <c r="L2354" s="28">
        <f>(L2353-Inputs!$D$13)/Inputs!$D$10</f>
        <v>8.7145790554414777</v>
      </c>
      <c r="M2354" s="28">
        <f>(M2353-Inputs!$D$13)/Inputs!$D$10</f>
        <v>9.716632443531827</v>
      </c>
    </row>
    <row r="2355" spans="1:13" ht="15" customHeight="1" x14ac:dyDescent="0.2">
      <c r="A2355" s="91"/>
      <c r="B2355" s="10" t="s">
        <v>889</v>
      </c>
      <c r="C2355" s="10" t="s">
        <v>107</v>
      </c>
      <c r="D2355" s="28">
        <f>D2354</f>
        <v>0.71457905544147848</v>
      </c>
      <c r="E2355" s="28">
        <f>Inputs!$D$7</f>
        <v>1</v>
      </c>
      <c r="F2355" s="28">
        <f>Inputs!$D$7</f>
        <v>1</v>
      </c>
      <c r="G2355" s="28">
        <f>Inputs!$D$7</f>
        <v>1</v>
      </c>
      <c r="H2355" s="28">
        <f>Inputs!$D$7</f>
        <v>1</v>
      </c>
      <c r="I2355" s="28">
        <f>Inputs!$D$7</f>
        <v>1</v>
      </c>
      <c r="J2355" s="28">
        <f>Inputs!$D$7</f>
        <v>1</v>
      </c>
      <c r="K2355" s="28">
        <f>Inputs!$D$7</f>
        <v>1</v>
      </c>
      <c r="L2355" s="28">
        <f>Inputs!$D$7</f>
        <v>1</v>
      </c>
      <c r="M2355" s="28">
        <f>Inputs!$D$7</f>
        <v>1</v>
      </c>
    </row>
    <row r="2356" spans="1:13" ht="15" customHeight="1" x14ac:dyDescent="0.2">
      <c r="A2356" s="91"/>
      <c r="B2356" s="3" t="s">
        <v>890</v>
      </c>
      <c r="C2356" s="10" t="s">
        <v>199</v>
      </c>
      <c r="D2356" s="28">
        <f>Inputs!$D$24+(Inputs!$D$80-Inputs!$D$24)*Inputs!$D$83</f>
        <v>305.5</v>
      </c>
      <c r="E2356" s="28">
        <f>Inputs!$D$24+(Inputs!$D$80-Inputs!$D$24)*Inputs!$D$84</f>
        <v>651.5</v>
      </c>
      <c r="F2356" s="28">
        <f>Inputs!$D$24+(Inputs!$D$80-Inputs!$D$24)*Inputs!$D$85</f>
        <v>911</v>
      </c>
      <c r="G2356" s="28">
        <f>Inputs!$D$24+(Inputs!$D$80-Inputs!$D$24)*Inputs!$D$86</f>
        <v>911</v>
      </c>
      <c r="H2356" s="28">
        <f>Inputs!$D$24+(Inputs!$D$80-Inputs!$D$24)*Inputs!$D$87</f>
        <v>911</v>
      </c>
      <c r="I2356" s="28">
        <f>Inputs!$D$24+(Inputs!$D$80-Inputs!$D$24)*Inputs!$D$88</f>
        <v>911</v>
      </c>
      <c r="J2356" s="28">
        <f>Inputs!$D$24+(Inputs!$D$80-Inputs!$D$24)*Inputs!$D$89</f>
        <v>911</v>
      </c>
      <c r="K2356" s="28">
        <f>Inputs!$D$24+(Inputs!$D$80-Inputs!$D$24)*Inputs!$D$90</f>
        <v>911</v>
      </c>
      <c r="L2356" s="28">
        <f>Inputs!$D$24+(Inputs!$D$80-Inputs!$D$24)*Inputs!$D$91</f>
        <v>911</v>
      </c>
      <c r="M2356" s="28">
        <f>Inputs!$D$24+(Inputs!$D$80-Inputs!$D$24)*Inputs!$D$92</f>
        <v>911</v>
      </c>
    </row>
    <row r="2357" spans="1:13" ht="15" customHeight="1" x14ac:dyDescent="0.2">
      <c r="A2357" s="91"/>
      <c r="B2357" s="10" t="s">
        <v>891</v>
      </c>
      <c r="C2357" s="10" t="s">
        <v>199</v>
      </c>
      <c r="D2357" s="28">
        <f>Inputs!$D$24</f>
        <v>46</v>
      </c>
      <c r="E2357" s="28">
        <f t="shared" ref="E2357:M2357" si="510">D2356</f>
        <v>305.5</v>
      </c>
      <c r="F2357" s="28">
        <f t="shared" si="510"/>
        <v>651.5</v>
      </c>
      <c r="G2357" s="28">
        <f t="shared" si="510"/>
        <v>911</v>
      </c>
      <c r="H2357" s="28">
        <f t="shared" si="510"/>
        <v>911</v>
      </c>
      <c r="I2357" s="28">
        <f t="shared" si="510"/>
        <v>911</v>
      </c>
      <c r="J2357" s="28">
        <f t="shared" si="510"/>
        <v>911</v>
      </c>
      <c r="K2357" s="28">
        <f t="shared" si="510"/>
        <v>911</v>
      </c>
      <c r="L2357" s="28">
        <f t="shared" si="510"/>
        <v>911</v>
      </c>
      <c r="M2357" s="28">
        <f t="shared" si="510"/>
        <v>911</v>
      </c>
    </row>
    <row r="2358" spans="1:13" ht="15" customHeight="1" x14ac:dyDescent="0.2">
      <c r="B2358" s="10" t="s">
        <v>892</v>
      </c>
      <c r="C2358" s="10" t="s">
        <v>199</v>
      </c>
      <c r="D2358" s="28">
        <f>(D2357+D2356)*Inputs!$D$12</f>
        <v>175.75</v>
      </c>
      <c r="E2358" s="28">
        <f>(E2357+E2356)*Inputs!$D$12</f>
        <v>478.5</v>
      </c>
      <c r="F2358" s="28">
        <f>(F2357+F2356)*Inputs!$D$12</f>
        <v>781.25</v>
      </c>
      <c r="G2358" s="28">
        <f>(G2357+G2356)*Inputs!$D$12</f>
        <v>911</v>
      </c>
      <c r="H2358" s="28">
        <f>(H2357+H2356)*Inputs!$D$12</f>
        <v>911</v>
      </c>
      <c r="I2358" s="28">
        <f>(I2357+I2356)*Inputs!$D$12</f>
        <v>911</v>
      </c>
      <c r="J2358" s="28">
        <f>(J2357+J2356)*Inputs!$D$12</f>
        <v>911</v>
      </c>
      <c r="K2358" s="28">
        <f>(K2357+K2356)*Inputs!$D$12</f>
        <v>911</v>
      </c>
      <c r="L2358" s="28">
        <f>(L2357+L2356)*Inputs!$D$12</f>
        <v>911</v>
      </c>
      <c r="M2358" s="28">
        <f>(M2357+M2356)*Inputs!$D$12</f>
        <v>911</v>
      </c>
    </row>
    <row r="2359" spans="1:13" ht="15" customHeight="1" x14ac:dyDescent="0.2">
      <c r="B2359" s="10" t="s">
        <v>893</v>
      </c>
      <c r="C2359" s="10" t="s">
        <v>199</v>
      </c>
      <c r="D2359" s="28">
        <f t="shared" ref="D2359:M2359" si="511">D2356-D2357</f>
        <v>259.5</v>
      </c>
      <c r="E2359" s="28">
        <f t="shared" si="511"/>
        <v>346</v>
      </c>
      <c r="F2359" s="28">
        <f t="shared" si="511"/>
        <v>259.5</v>
      </c>
      <c r="G2359" s="28">
        <f t="shared" si="511"/>
        <v>0</v>
      </c>
      <c r="H2359" s="28">
        <f t="shared" si="511"/>
        <v>0</v>
      </c>
      <c r="I2359" s="28">
        <f t="shared" si="511"/>
        <v>0</v>
      </c>
      <c r="J2359" s="28">
        <f t="shared" si="511"/>
        <v>0</v>
      </c>
      <c r="K2359" s="28">
        <f t="shared" si="511"/>
        <v>0</v>
      </c>
      <c r="L2359" s="28">
        <f t="shared" si="511"/>
        <v>0</v>
      </c>
      <c r="M2359" s="28">
        <f t="shared" si="511"/>
        <v>0</v>
      </c>
    </row>
    <row r="2360" spans="1:13" ht="15" customHeight="1" x14ac:dyDescent="0.2">
      <c r="B2360" s="10" t="s">
        <v>894</v>
      </c>
      <c r="C2360" s="10" t="s">
        <v>199</v>
      </c>
      <c r="D2360" s="28">
        <f>IF(MOD(D2352,Inputs!$D$21)=Inputs!$D$6,Inputs!$D$24,Inputs!$D$6)+SUMPRODUCT(--(D2352&gt;$D$2352:$M$2352),--(MOD(D2352-$D$2352:$M$2352,Inputs!$D$21)=Inputs!$D$6),$D$2359:$M$2359)</f>
        <v>0</v>
      </c>
      <c r="E2360" s="28">
        <f>IF(MOD(E2352,Inputs!$D$21)=Inputs!$D$6,Inputs!$D$24,Inputs!$D$6)+SUMPRODUCT(--(E2352&gt;$D$2352:$M$2352),--(MOD(E2352-$D$2352:$M$2352,Inputs!$D$21)=Inputs!$D$6),$D$2359:$M$2359)</f>
        <v>0</v>
      </c>
      <c r="F2360" s="28">
        <f>IF(MOD(F2352,Inputs!$D$21)=Inputs!$D$6,Inputs!$D$24,Inputs!$D$6)+SUMPRODUCT(--(F2352&gt;$D$2352:$M$2352),--(MOD(F2352-$D$2352:$M$2352,Inputs!$D$21)=Inputs!$D$6),$D$2359:$M$2359)</f>
        <v>0</v>
      </c>
      <c r="G2360" s="28">
        <f>IF(MOD(G2352,Inputs!$D$21)=Inputs!$D$6,Inputs!$D$24,Inputs!$D$6)+SUMPRODUCT(--(G2352&gt;$D$2352:$M$2352),--(MOD(G2352-$D$2352:$M$2352,Inputs!$D$21)=Inputs!$D$6),$D$2359:$M$2359)</f>
        <v>46</v>
      </c>
      <c r="H2360" s="28">
        <f>IF(MOD(H2352,Inputs!$D$21)=Inputs!$D$6,Inputs!$D$24,Inputs!$D$6)+SUMPRODUCT(--(H2352&gt;$D$2352:$M$2352),--(MOD(H2352-$D$2352:$M$2352,Inputs!$D$21)=Inputs!$D$6),$D$2359:$M$2359)</f>
        <v>259.5</v>
      </c>
      <c r="I2360" s="28">
        <f>IF(MOD(I2352,Inputs!$D$21)=Inputs!$D$6,Inputs!$D$24,Inputs!$D$6)+SUMPRODUCT(--(I2352&gt;$D$2352:$M$2352),--(MOD(I2352-$D$2352:$M$2352,Inputs!$D$21)=Inputs!$D$6),$D$2359:$M$2359)</f>
        <v>346</v>
      </c>
      <c r="J2360" s="28">
        <f>IF(MOD(J2352,Inputs!$D$21)=Inputs!$D$6,Inputs!$D$24,Inputs!$D$6)+SUMPRODUCT(--(J2352&gt;$D$2352:$M$2352),--(MOD(J2352-$D$2352:$M$2352,Inputs!$D$21)=Inputs!$D$6),$D$2359:$M$2359)</f>
        <v>259.5</v>
      </c>
      <c r="K2360" s="28">
        <f>IF(MOD(K2352,Inputs!$D$21)=Inputs!$D$6,Inputs!$D$24,Inputs!$D$6)+SUMPRODUCT(--(K2352&gt;$D$2352:$M$2352),--(MOD(K2352-$D$2352:$M$2352,Inputs!$D$21)=Inputs!$D$6),$D$2359:$M$2359)</f>
        <v>46</v>
      </c>
      <c r="L2360" s="28">
        <f>IF(MOD(L2352,Inputs!$D$21)=Inputs!$D$6,Inputs!$D$24,Inputs!$D$6)+SUMPRODUCT(--(L2352&gt;$D$2352:$M$2352),--(MOD(L2352-$D$2352:$M$2352,Inputs!$D$21)=Inputs!$D$6),$D$2359:$M$2359)</f>
        <v>259.5</v>
      </c>
      <c r="M2360" s="28">
        <f>IF(MOD(M2352,Inputs!$D$21)=Inputs!$D$6,Inputs!$D$24,Inputs!$D$6)+SUMPRODUCT(--(M2352&gt;$D$2352:$M$2352),--(MOD(M2352-$D$2352:$M$2352,Inputs!$D$21)=Inputs!$D$6),$D$2359:$M$2359)</f>
        <v>346</v>
      </c>
    </row>
    <row r="2361" spans="1:13" ht="15" customHeight="1" x14ac:dyDescent="0.2">
      <c r="B2361" s="10" t="s">
        <v>895</v>
      </c>
      <c r="C2361" s="10" t="s">
        <v>896</v>
      </c>
      <c r="D2361" s="28">
        <f t="shared" ref="D2361:M2361" si="512">D2358*D2355</f>
        <v>125.58726899383984</v>
      </c>
      <c r="E2361" s="28">
        <f t="shared" si="512"/>
        <v>478.5</v>
      </c>
      <c r="F2361" s="28">
        <f t="shared" si="512"/>
        <v>781.25</v>
      </c>
      <c r="G2361" s="28">
        <f t="shared" si="512"/>
        <v>911</v>
      </c>
      <c r="H2361" s="28">
        <f t="shared" si="512"/>
        <v>911</v>
      </c>
      <c r="I2361" s="28">
        <f t="shared" si="512"/>
        <v>911</v>
      </c>
      <c r="J2361" s="28">
        <f t="shared" si="512"/>
        <v>911</v>
      </c>
      <c r="K2361" s="28">
        <f t="shared" si="512"/>
        <v>911</v>
      </c>
      <c r="L2361" s="28">
        <f t="shared" si="512"/>
        <v>911</v>
      </c>
      <c r="M2361" s="28">
        <f t="shared" si="512"/>
        <v>911</v>
      </c>
    </row>
    <row r="2362" spans="1:13" ht="15" customHeight="1" x14ac:dyDescent="0.2">
      <c r="B2362" s="10" t="s">
        <v>897</v>
      </c>
      <c r="C2362" s="10" t="s">
        <v>110</v>
      </c>
      <c r="D2362" s="16">
        <f>D2361*($D$2381/Inputs!$D$21+$D$2382/Inputs!$D$22)</f>
        <v>1816.9772859324419</v>
      </c>
      <c r="E2362" s="16">
        <f>E2361*($D$2381/Inputs!$D$21+$D$2382/Inputs!$D$22)</f>
        <v>6922.8643817497086</v>
      </c>
      <c r="F2362" s="16">
        <f>F2361*($D$2381/Inputs!$D$21+$D$2382/Inputs!$D$22)</f>
        <v>11303.0048030135</v>
      </c>
      <c r="G2362" s="16">
        <f>G2361*($D$2381/Inputs!$D$21+$D$2382/Inputs!$D$22)</f>
        <v>13180.207840697982</v>
      </c>
      <c r="H2362" s="16">
        <f>H2361*($D$2381/Inputs!$D$21+$D$2382/Inputs!$D$22)</f>
        <v>13180.207840697982</v>
      </c>
      <c r="I2362" s="16">
        <f>I2361*($D$2381/Inputs!$D$21+$D$2382/Inputs!$D$22)</f>
        <v>13180.207840697982</v>
      </c>
      <c r="J2362" s="16">
        <f>J2361*($D$2381/Inputs!$D$21+$D$2382/Inputs!$D$22)</f>
        <v>13180.207840697982</v>
      </c>
      <c r="K2362" s="16">
        <f>K2361*($D$2381/Inputs!$D$21+$D$2382/Inputs!$D$22)</f>
        <v>13180.207840697982</v>
      </c>
      <c r="L2362" s="16">
        <f>L2361*($D$2381/Inputs!$D$21+$D$2382/Inputs!$D$22)</f>
        <v>13180.207840697982</v>
      </c>
      <c r="M2362" s="16">
        <f>M2361*($D$2381/Inputs!$D$21+$D$2382/Inputs!$D$22)</f>
        <v>13180.207840697982</v>
      </c>
    </row>
    <row r="2363" spans="1:13" ht="15" customHeight="1" x14ac:dyDescent="0.2">
      <c r="B2363" s="10" t="s">
        <v>898</v>
      </c>
      <c r="C2363" s="10" t="s">
        <v>110</v>
      </c>
      <c r="D2363" s="16">
        <f t="shared" ref="D2363:M2363" si="513">D2359*($D$2381+$D$2382)</f>
        <v>15560.968620146154</v>
      </c>
      <c r="E2363" s="16">
        <f t="shared" si="513"/>
        <v>20747.95816019487</v>
      </c>
      <c r="F2363" s="16">
        <f t="shared" si="513"/>
        <v>15560.968620146154</v>
      </c>
      <c r="G2363" s="16">
        <f t="shared" si="513"/>
        <v>0</v>
      </c>
      <c r="H2363" s="16">
        <f t="shared" si="513"/>
        <v>0</v>
      </c>
      <c r="I2363" s="16">
        <f t="shared" si="513"/>
        <v>0</v>
      </c>
      <c r="J2363" s="16">
        <f t="shared" si="513"/>
        <v>0</v>
      </c>
      <c r="K2363" s="16">
        <f t="shared" si="513"/>
        <v>0</v>
      </c>
      <c r="L2363" s="16">
        <f t="shared" si="513"/>
        <v>0</v>
      </c>
      <c r="M2363" s="16">
        <f t="shared" si="513"/>
        <v>0</v>
      </c>
    </row>
    <row r="2364" spans="1:13" ht="15" customHeight="1" x14ac:dyDescent="0.2">
      <c r="B2364" s="10" t="s">
        <v>899</v>
      </c>
      <c r="C2364" s="10" t="s">
        <v>110</v>
      </c>
      <c r="D2364" s="16">
        <f t="shared" ref="D2364:M2364" si="514">D2360*$D$2381</f>
        <v>0</v>
      </c>
      <c r="E2364" s="16">
        <f t="shared" si="514"/>
        <v>0</v>
      </c>
      <c r="F2364" s="16">
        <f t="shared" si="514"/>
        <v>0</v>
      </c>
      <c r="G2364" s="16">
        <f t="shared" si="514"/>
        <v>2638.0048485671714</v>
      </c>
      <c r="H2364" s="16">
        <f t="shared" si="514"/>
        <v>14881.788221808281</v>
      </c>
      <c r="I2364" s="16">
        <f t="shared" si="514"/>
        <v>19842.384295744378</v>
      </c>
      <c r="J2364" s="16">
        <f t="shared" si="514"/>
        <v>14881.788221808281</v>
      </c>
      <c r="K2364" s="16">
        <f t="shared" si="514"/>
        <v>2638.0048485671714</v>
      </c>
      <c r="L2364" s="16">
        <f t="shared" si="514"/>
        <v>14881.788221808281</v>
      </c>
      <c r="M2364" s="16">
        <f t="shared" si="514"/>
        <v>19842.384295744378</v>
      </c>
    </row>
    <row r="2365" spans="1:13" ht="15" customHeight="1" x14ac:dyDescent="0.2">
      <c r="B2365" s="10" t="s">
        <v>900</v>
      </c>
      <c r="C2365" s="10" t="s">
        <v>199</v>
      </c>
      <c r="D2365" s="28">
        <f>D2359*Inputs!$D$23</f>
        <v>6.4875000000000007</v>
      </c>
      <c r="E2365" s="28">
        <f>E2359*Inputs!$D$23</f>
        <v>8.65</v>
      </c>
      <c r="F2365" s="28">
        <f>F2359*Inputs!$D$23</f>
        <v>6.4875000000000007</v>
      </c>
      <c r="G2365" s="28">
        <f>G2359*Inputs!$D$23</f>
        <v>0</v>
      </c>
      <c r="H2365" s="28">
        <f>H2359*Inputs!$D$23</f>
        <v>0</v>
      </c>
      <c r="I2365" s="28">
        <f>I2359*Inputs!$D$23</f>
        <v>0</v>
      </c>
      <c r="J2365" s="28">
        <f>J2359*Inputs!$D$23</f>
        <v>0</v>
      </c>
      <c r="K2365" s="28">
        <f>K2359*Inputs!$D$23</f>
        <v>0</v>
      </c>
      <c r="L2365" s="28">
        <f>L2359*Inputs!$D$23</f>
        <v>0</v>
      </c>
      <c r="M2365" s="28">
        <f>M2359*Inputs!$D$23</f>
        <v>0</v>
      </c>
    </row>
    <row r="2366" spans="1:13" ht="15" customHeight="1" x14ac:dyDescent="0.2">
      <c r="B2366" s="3" t="s">
        <v>901</v>
      </c>
      <c r="C2366" s="10" t="s">
        <v>896</v>
      </c>
      <c r="D2366" s="28">
        <f>(D2361*$D$2379*(Inputs!$D$7-Inputs!$D$19)-D2365)/(Inputs!$D$7+$D$2380)^D2354</f>
        <v>43.213488846686175</v>
      </c>
      <c r="E2366" s="28">
        <f>(E2361*$D$2379*(Inputs!$D$7-Inputs!$D$19)-E2365)/(Inputs!$D$7+$D$2380)^E2354</f>
        <v>163.29332190458183</v>
      </c>
      <c r="F2366" s="28">
        <f>(F2361*$D$2379*(Inputs!$D$7-Inputs!$D$19)-F2365)/(Inputs!$D$7+$D$2380)^F2354</f>
        <v>248.28260771010829</v>
      </c>
      <c r="G2366" s="28">
        <f>(G2361*$D$2379*(Inputs!$D$7-Inputs!$D$19)-G2365)/(Inputs!$D$7+$D$2380)^G2354</f>
        <v>268.5238926419492</v>
      </c>
      <c r="H2366" s="28">
        <f>(H2361*$D$2379*(Inputs!$D$7-Inputs!$D$19)-H2365)/(Inputs!$D$7+$D$2380)^H2354</f>
        <v>244.12855518959191</v>
      </c>
      <c r="I2366" s="28">
        <f>(I2361*$D$2379*(Inputs!$D$7-Inputs!$D$19)-I2365)/(Inputs!$D$7+$D$2380)^I2354</f>
        <v>221.8916197826434</v>
      </c>
      <c r="J2366" s="28">
        <f>(J2361*$D$2379*(Inputs!$D$7-Inputs!$D$19)-J2365)/(Inputs!$D$7+$D$2380)^J2354</f>
        <v>201.73281421346593</v>
      </c>
      <c r="K2366" s="28">
        <f>(K2361*$D$2379*(Inputs!$D$7-Inputs!$D$19)-K2365)/(Inputs!$D$7+$D$2380)^K2354</f>
        <v>183.40543176145695</v>
      </c>
      <c r="L2366" s="28">
        <f>(L2361*$D$2379*(Inputs!$D$7-Inputs!$D$19)-L2365)/(Inputs!$D$7+$D$2380)^L2354</f>
        <v>166.74308803332551</v>
      </c>
      <c r="M2366" s="28">
        <f>(M2361*$D$2379*(Inputs!$D$7-Inputs!$D$19)-M2365)/(Inputs!$D$7+$D$2380)^M2354</f>
        <v>151.55496194429571</v>
      </c>
    </row>
    <row r="2367" spans="1:13" ht="15" customHeight="1" x14ac:dyDescent="0.2">
      <c r="B2367" s="10" t="s">
        <v>902</v>
      </c>
      <c r="C2367" s="10" t="s">
        <v>110</v>
      </c>
      <c r="D2367" s="16">
        <f>(D2362*Inputs!$D$19-D2363-D2364)/(Inputs!$D$7+$D$2380)^D2354</f>
        <v>-14027.24269342025</v>
      </c>
      <c r="E2367" s="16">
        <f>(E2362*Inputs!$D$19-E2363-E2364)/(Inputs!$D$7+$D$2380)^E2354</f>
        <v>-15853.087323826181</v>
      </c>
      <c r="F2367" s="16">
        <f>(F2362*Inputs!$D$19-F2363-F2364)/(Inputs!$D$7+$D$2380)^F2354</f>
        <v>-9394.4767487293357</v>
      </c>
      <c r="G2367" s="16">
        <f>(G2362*Inputs!$D$19-G2363-G2364)/(Inputs!$D$7+$D$2380)^G2354</f>
        <v>923.61320322684639</v>
      </c>
      <c r="H2367" s="16">
        <f>(H2362*Inputs!$D$19-H2363-H2364)/(Inputs!$D$7+$D$2380)^H2354</f>
        <v>-6972.3744918015345</v>
      </c>
      <c r="I2367" s="16">
        <f>(I2362*Inputs!$D$19-I2363-I2364)/(Inputs!$D$7+$D$2380)^I2354</f>
        <v>-9214.0648467907959</v>
      </c>
      <c r="J2367" s="16">
        <f>(J2362*Inputs!$D$19-J2363-J2364)/(Inputs!$D$7+$D$2380)^J2354</f>
        <v>-5761.5411965591911</v>
      </c>
      <c r="K2367" s="16">
        <f>(K2362*Inputs!$D$19-K2363-K2364)/(Inputs!$D$7+$D$2380)^K2354</f>
        <v>630.8402453567694</v>
      </c>
      <c r="L2367" s="16">
        <f>(L2362*Inputs!$D$19-L2363-L2364)/(Inputs!$D$7+$D$2380)^L2354</f>
        <v>-4762.2255937446444</v>
      </c>
      <c r="M2367" s="16">
        <f>(M2362*Inputs!$D$19-M2363-M2364)/(Inputs!$D$7+$D$2380)^M2354</f>
        <v>-6293.3302689644106</v>
      </c>
    </row>
    <row r="2368" spans="1:13" ht="15" customHeight="1" x14ac:dyDescent="0.2">
      <c r="B2368" s="10" t="s">
        <v>903</v>
      </c>
      <c r="C2368" s="10" t="s">
        <v>110</v>
      </c>
      <c r="D2368" s="16">
        <f t="shared" ref="D2368:M2368" si="515">D2361*$D$2378</f>
        <v>5000.3134635892429</v>
      </c>
      <c r="E2368" s="16">
        <f t="shared" si="515"/>
        <v>19051.692193774947</v>
      </c>
      <c r="F2368" s="16">
        <f t="shared" si="515"/>
        <v>31105.81928189483</v>
      </c>
      <c r="G2368" s="16">
        <f t="shared" si="515"/>
        <v>36271.873748231927</v>
      </c>
      <c r="H2368" s="16">
        <f t="shared" si="515"/>
        <v>36271.873748231927</v>
      </c>
      <c r="I2368" s="16">
        <f t="shared" si="515"/>
        <v>36271.873748231927</v>
      </c>
      <c r="J2368" s="16">
        <f t="shared" si="515"/>
        <v>36271.873748231927</v>
      </c>
      <c r="K2368" s="16">
        <f t="shared" si="515"/>
        <v>36271.873748231927</v>
      </c>
      <c r="L2368" s="16">
        <f t="shared" si="515"/>
        <v>36271.873748231927</v>
      </c>
      <c r="M2368" s="16">
        <f t="shared" si="515"/>
        <v>36271.873748231927</v>
      </c>
    </row>
    <row r="2369" spans="2:13" ht="15" customHeight="1" x14ac:dyDescent="0.2">
      <c r="B2369" s="10" t="s">
        <v>904</v>
      </c>
      <c r="C2369" s="10" t="s">
        <v>110</v>
      </c>
      <c r="D2369" s="16">
        <f t="shared" ref="D2369:M2369" si="516">D2368*$D$2379</f>
        <v>3000.1880781535456</v>
      </c>
      <c r="E2369" s="16">
        <f t="shared" si="516"/>
        <v>11431.015316264968</v>
      </c>
      <c r="F2369" s="16">
        <f t="shared" si="516"/>
        <v>18663.491569136899</v>
      </c>
      <c r="G2369" s="16">
        <f t="shared" si="516"/>
        <v>21763.124248939155</v>
      </c>
      <c r="H2369" s="16">
        <f t="shared" si="516"/>
        <v>21763.124248939155</v>
      </c>
      <c r="I2369" s="16">
        <f t="shared" si="516"/>
        <v>21763.124248939155</v>
      </c>
      <c r="J2369" s="16">
        <f t="shared" si="516"/>
        <v>21763.124248939155</v>
      </c>
      <c r="K2369" s="16">
        <f t="shared" si="516"/>
        <v>21763.124248939155</v>
      </c>
      <c r="L2369" s="16">
        <f t="shared" si="516"/>
        <v>21763.124248939155</v>
      </c>
      <c r="M2369" s="16">
        <f t="shared" si="516"/>
        <v>21763.124248939155</v>
      </c>
    </row>
    <row r="2370" spans="2:13" ht="15" customHeight="1" x14ac:dyDescent="0.2">
      <c r="B2370" s="10" t="s">
        <v>905</v>
      </c>
      <c r="C2370" s="10" t="s">
        <v>110</v>
      </c>
      <c r="D2370" s="16">
        <f t="shared" ref="D2370:M2370" si="517">D2369-D2362</f>
        <v>1183.2107922211037</v>
      </c>
      <c r="E2370" s="16">
        <f t="shared" si="517"/>
        <v>4508.150934515259</v>
      </c>
      <c r="F2370" s="16">
        <f t="shared" si="517"/>
        <v>7360.4867661233984</v>
      </c>
      <c r="G2370" s="16">
        <f t="shared" si="517"/>
        <v>8582.9164082411735</v>
      </c>
      <c r="H2370" s="16">
        <f t="shared" si="517"/>
        <v>8582.9164082411735</v>
      </c>
      <c r="I2370" s="16">
        <f t="shared" si="517"/>
        <v>8582.9164082411735</v>
      </c>
      <c r="J2370" s="16">
        <f t="shared" si="517"/>
        <v>8582.9164082411735</v>
      </c>
      <c r="K2370" s="16">
        <f t="shared" si="517"/>
        <v>8582.9164082411735</v>
      </c>
      <c r="L2370" s="16">
        <f t="shared" si="517"/>
        <v>8582.9164082411735</v>
      </c>
      <c r="M2370" s="16">
        <f t="shared" si="517"/>
        <v>8582.9164082411735</v>
      </c>
    </row>
    <row r="2371" spans="2:13" ht="15" customHeight="1" x14ac:dyDescent="0.2">
      <c r="B2371" s="10" t="s">
        <v>906</v>
      </c>
      <c r="C2371" s="10" t="s">
        <v>110</v>
      </c>
      <c r="D2371" s="16">
        <f>MAX(D2370,Inputs!$D$6)*Inputs!$D$19</f>
        <v>354.96323766633111</v>
      </c>
      <c r="E2371" s="16">
        <f>MAX(E2370,Inputs!$D$6)*Inputs!$D$19</f>
        <v>1352.4452803545776</v>
      </c>
      <c r="F2371" s="16">
        <f>MAX(F2370,Inputs!$D$6)*Inputs!$D$19</f>
        <v>2208.1460298370193</v>
      </c>
      <c r="G2371" s="16">
        <f>MAX(G2370,Inputs!$D$6)*Inputs!$D$19</f>
        <v>2574.874922472352</v>
      </c>
      <c r="H2371" s="16">
        <f>MAX(H2370,Inputs!$D$6)*Inputs!$D$19</f>
        <v>2574.874922472352</v>
      </c>
      <c r="I2371" s="16">
        <f>MAX(I2370,Inputs!$D$6)*Inputs!$D$19</f>
        <v>2574.874922472352</v>
      </c>
      <c r="J2371" s="16">
        <f>MAX(J2370,Inputs!$D$6)*Inputs!$D$19</f>
        <v>2574.874922472352</v>
      </c>
      <c r="K2371" s="16">
        <f>MAX(K2370,Inputs!$D$6)*Inputs!$D$19</f>
        <v>2574.874922472352</v>
      </c>
      <c r="L2371" s="16">
        <f>MAX(L2370,Inputs!$D$6)*Inputs!$D$19</f>
        <v>2574.874922472352</v>
      </c>
      <c r="M2371" s="16">
        <f>MAX(M2370,Inputs!$D$6)*Inputs!$D$19</f>
        <v>2574.874922472352</v>
      </c>
    </row>
    <row r="2372" spans="2:13" ht="15" customHeight="1" x14ac:dyDescent="0.2">
      <c r="B2372" s="10" t="s">
        <v>907</v>
      </c>
      <c r="C2372" s="10" t="s">
        <v>110</v>
      </c>
      <c r="D2372" s="16">
        <f t="shared" ref="D2372:M2372" si="518">D2365*$D$2378</f>
        <v>258.30272331685472</v>
      </c>
      <c r="E2372" s="16">
        <f t="shared" si="518"/>
        <v>344.40363108913959</v>
      </c>
      <c r="F2372" s="16">
        <f t="shared" si="518"/>
        <v>258.30272331685472</v>
      </c>
      <c r="G2372" s="16">
        <f t="shared" si="518"/>
        <v>0</v>
      </c>
      <c r="H2372" s="16">
        <f t="shared" si="518"/>
        <v>0</v>
      </c>
      <c r="I2372" s="16">
        <f t="shared" si="518"/>
        <v>0</v>
      </c>
      <c r="J2372" s="16">
        <f t="shared" si="518"/>
        <v>0</v>
      </c>
      <c r="K2372" s="16">
        <f t="shared" si="518"/>
        <v>0</v>
      </c>
      <c r="L2372" s="16">
        <f t="shared" si="518"/>
        <v>0</v>
      </c>
      <c r="M2372" s="16">
        <f t="shared" si="518"/>
        <v>0</v>
      </c>
    </row>
    <row r="2373" spans="2:13" ht="15" customHeight="1" x14ac:dyDescent="0.2">
      <c r="B2373" s="10" t="s">
        <v>908</v>
      </c>
      <c r="C2373" s="10" t="s">
        <v>110</v>
      </c>
      <c r="D2373" s="16">
        <f t="shared" ref="D2373:M2373" si="519">D2369-D2371-D2363-D2364-D2372</f>
        <v>-13174.046502975794</v>
      </c>
      <c r="E2373" s="16">
        <f t="shared" si="519"/>
        <v>-11013.791755373619</v>
      </c>
      <c r="F2373" s="16">
        <f t="shared" si="519"/>
        <v>636.07419583687192</v>
      </c>
      <c r="G2373" s="16">
        <f t="shared" si="519"/>
        <v>16550.244477899632</v>
      </c>
      <c r="H2373" s="16">
        <f t="shared" si="519"/>
        <v>4306.4611046585233</v>
      </c>
      <c r="I2373" s="16">
        <f t="shared" si="519"/>
        <v>-654.13496927757296</v>
      </c>
      <c r="J2373" s="16">
        <f t="shared" si="519"/>
        <v>4306.4611046585233</v>
      </c>
      <c r="K2373" s="16">
        <f t="shared" si="519"/>
        <v>16550.244477899632</v>
      </c>
      <c r="L2373" s="16">
        <f t="shared" si="519"/>
        <v>4306.4611046585233</v>
      </c>
      <c r="M2373" s="16">
        <f t="shared" si="519"/>
        <v>-654.13496927757296</v>
      </c>
    </row>
    <row r="2374" spans="2:13" ht="15" customHeight="1" x14ac:dyDescent="0.2">
      <c r="B2374" s="10" t="s">
        <v>909</v>
      </c>
      <c r="C2374" s="10" t="s">
        <v>110</v>
      </c>
      <c r="D2374" s="16">
        <f>D2373/(Inputs!$D$7+$D$2380)^D2354</f>
        <v>-12306.678245925597</v>
      </c>
      <c r="E2374" s="16">
        <f>E2373/(Inputs!$D$7+$D$2380)^E2354</f>
        <v>-9351.4904456128024</v>
      </c>
      <c r="F2374" s="16">
        <f>F2373/(Inputs!$D$7+$D$2380)^F2354</f>
        <v>491.00667689398369</v>
      </c>
      <c r="G2374" s="16">
        <f>G2373/(Inputs!$D$7+$D$2380)^G2354</f>
        <v>11615.012470287842</v>
      </c>
      <c r="H2374" s="16">
        <f>H2373/(Inputs!$D$7+$D$2380)^H2354</f>
        <v>2747.713468873711</v>
      </c>
      <c r="I2374" s="16">
        <f>I2373/(Inputs!$D$7+$D$2380)^I2354</f>
        <v>-379.35044662973797</v>
      </c>
      <c r="J2374" s="16">
        <f>J2373/(Inputs!$D$7+$D$2380)^J2354</f>
        <v>2270.5413149955443</v>
      </c>
      <c r="K2374" s="16">
        <f>K2373/(Inputs!$D$7+$D$2380)^K2354</f>
        <v>7933.2098014396815</v>
      </c>
      <c r="L2374" s="16">
        <f>L2373/(Inputs!$D$7+$D$2380)^L2354</f>
        <v>1876.7252707285775</v>
      </c>
      <c r="M2374" s="16">
        <f>M2373/(Inputs!$D$7+$D$2380)^M2354</f>
        <v>-259.10145934686011</v>
      </c>
    </row>
    <row r="2375" spans="2:13" ht="15" customHeight="1" x14ac:dyDescent="0.2">
      <c r="B2375" s="3" t="s">
        <v>910</v>
      </c>
      <c r="C2375" s="10" t="s">
        <v>896</v>
      </c>
      <c r="D2375" s="28">
        <f>(D2361*$D$2379-D2365)/(Inputs!$D$7+$D$2380)^D2354</f>
        <v>64.330856237917445</v>
      </c>
      <c r="E2375" s="28">
        <f>(E2361*$D$2379-E2365)/(Inputs!$D$7+$D$2380)^E2354</f>
        <v>236.42380139523098</v>
      </c>
      <c r="F2375" s="28">
        <f>(F2361*$D$2379-F2365)/(Inputs!$D$7+$D$2380)^F2354</f>
        <v>356.83568908039001</v>
      </c>
      <c r="G2375" s="28">
        <f>(G2361*$D$2379-G2365)/(Inputs!$D$7+$D$2380)^G2354</f>
        <v>383.60556091707036</v>
      </c>
      <c r="H2375" s="28">
        <f>(H2361*$D$2379-H2365)/(Inputs!$D$7+$D$2380)^H2354</f>
        <v>348.75507884227414</v>
      </c>
      <c r="I2375" s="28">
        <f>(I2361*$D$2379-I2365)/(Inputs!$D$7+$D$2380)^I2354</f>
        <v>316.98802826091918</v>
      </c>
      <c r="J2375" s="28">
        <f>(J2361*$D$2379-J2365)/(Inputs!$D$7+$D$2380)^J2354</f>
        <v>288.18973459066564</v>
      </c>
      <c r="K2375" s="28">
        <f>(K2361*$D$2379-K2365)/(Inputs!$D$7+$D$2380)^K2354</f>
        <v>262.00775965922423</v>
      </c>
      <c r="L2375" s="28">
        <f>(L2361*$D$2379-L2365)/(Inputs!$D$7+$D$2380)^L2354</f>
        <v>238.2044114761793</v>
      </c>
      <c r="M2375" s="28">
        <f>(M2361*$D$2379-M2365)/(Inputs!$D$7+$D$2380)^M2354</f>
        <v>216.50708849185102</v>
      </c>
    </row>
    <row r="2376" spans="2:13" ht="15" customHeight="1" x14ac:dyDescent="0.2">
      <c r="B2376" s="10" t="s">
        <v>911</v>
      </c>
      <c r="C2376" s="10" t="s">
        <v>110</v>
      </c>
      <c r="D2376" s="16">
        <f>(-D2363-D2364)/(Inputs!$D$7+$D$2380)^D2354</f>
        <v>-14536.447397527105</v>
      </c>
      <c r="E2376" s="16">
        <f>(-E2363-E2364)/(Inputs!$D$7+$D$2380)^E2354</f>
        <v>-17616.488200475756</v>
      </c>
      <c r="F2376" s="16">
        <f>(-F2363-F2364)/(Inputs!$D$7+$D$2380)^F2354</f>
        <v>-12012.025548964448</v>
      </c>
      <c r="G2376" s="16">
        <f>(-G2363-G2364)/(Inputs!$D$7+$D$2380)^G2354</f>
        <v>-1851.359915178487</v>
      </c>
      <c r="H2376" s="16">
        <f>(-H2363-H2364)/(Inputs!$D$7+$D$2380)^H2354</f>
        <v>-9495.2419037884629</v>
      </c>
      <c r="I2376" s="16">
        <f>(-I2363-I2364)/(Inputs!$D$7+$D$2380)^I2354</f>
        <v>-11507.131858586603</v>
      </c>
      <c r="J2376" s="16">
        <f>(-J2363-J2364)/(Inputs!$D$7+$D$2380)^J2354</f>
        <v>-7846.2835672839774</v>
      </c>
      <c r="K2376" s="16">
        <f>(-K2363-K2364)/(Inputs!$D$7+$D$2380)^K2354</f>
        <v>-1264.5037327904422</v>
      </c>
      <c r="L2376" s="16">
        <f>(-L2363-L2364)/(Inputs!$D$7+$D$2380)^L2354</f>
        <v>-6485.3779822337692</v>
      </c>
      <c r="M2376" s="16">
        <f>(-M2363-M2364)/(Inputs!$D$7+$D$2380)^M2354</f>
        <v>-7859.5258920747219</v>
      </c>
    </row>
    <row r="2377" spans="2:13" ht="15" customHeight="1" x14ac:dyDescent="0.2">
      <c r="B2377" s="10" t="s">
        <v>912</v>
      </c>
      <c r="C2377" s="10" t="s">
        <v>110</v>
      </c>
      <c r="D2377" s="16">
        <f>Prices!K14</f>
        <v>29828.700386874909</v>
      </c>
    </row>
    <row r="2378" spans="2:13" ht="15" customHeight="1" x14ac:dyDescent="0.2">
      <c r="B2378" s="3" t="s">
        <v>913</v>
      </c>
      <c r="C2378" s="10" t="s">
        <v>914</v>
      </c>
      <c r="D2378" s="28">
        <f>IF(J2385&gt;=J2381,J2385,(D2377-J2384)/J2383)</f>
        <v>39.815448680825384</v>
      </c>
      <c r="G2378" s="99" t="s">
        <v>915</v>
      </c>
      <c r="H2378" s="91"/>
      <c r="I2378" s="91"/>
      <c r="J2378" s="28">
        <f>D2378*Inputs!$D$15</f>
        <v>27.787201634348033</v>
      </c>
      <c r="K2378" s="99" t="s">
        <v>916</v>
      </c>
      <c r="L2378" s="91"/>
      <c r="M2378" s="91"/>
    </row>
    <row r="2379" spans="2:13" ht="15" customHeight="1" x14ac:dyDescent="0.2">
      <c r="B2379" s="10" t="s">
        <v>917</v>
      </c>
      <c r="C2379" s="10" t="s">
        <v>104</v>
      </c>
      <c r="D2379" s="30">
        <f>Inputs!$D$81</f>
        <v>0.6</v>
      </c>
      <c r="G2379" s="99" t="s">
        <v>918</v>
      </c>
      <c r="H2379" s="91"/>
      <c r="I2379" s="91"/>
      <c r="J2379" s="28">
        <f>IF(-D2390/D2389&gt;=J2381,-D2390/D2389,-J2384/J2383)</f>
        <v>32.284876648616972</v>
      </c>
      <c r="K2379" s="99" t="s">
        <v>919</v>
      </c>
      <c r="L2379" s="91"/>
      <c r="M2379" s="91"/>
    </row>
    <row r="2380" spans="2:13" ht="15" customHeight="1" x14ac:dyDescent="0.2">
      <c r="B2380" s="10" t="s">
        <v>920</v>
      </c>
      <c r="C2380" s="10" t="s">
        <v>104</v>
      </c>
      <c r="D2380" s="30">
        <f>Inputs!$D$82</f>
        <v>0.1</v>
      </c>
      <c r="G2380" s="99" t="s">
        <v>918</v>
      </c>
      <c r="H2380" s="91"/>
      <c r="I2380" s="91"/>
      <c r="J2380" s="28">
        <f>J2379*Inputs!$D$15</f>
        <v>22.531615413069783</v>
      </c>
      <c r="K2380" s="99" t="s">
        <v>916</v>
      </c>
      <c r="L2380" s="91"/>
      <c r="M2380" s="91"/>
    </row>
    <row r="2381" spans="2:13" ht="15" customHeight="1" x14ac:dyDescent="0.2">
      <c r="B2381" s="3" t="s">
        <v>921</v>
      </c>
      <c r="C2381" s="10" t="s">
        <v>848</v>
      </c>
      <c r="D2381" s="28">
        <f>Capital!$D$13</f>
        <v>57.347931490590682</v>
      </c>
      <c r="G2381" s="99" t="s">
        <v>922</v>
      </c>
      <c r="H2381" s="91"/>
      <c r="I2381" s="91"/>
      <c r="J2381" s="28">
        <f>($D$2381/Inputs!$D$21+$D$2382/Inputs!$D$22)/$D$2379</f>
        <v>24.113076913095469</v>
      </c>
      <c r="K2381" s="99" t="s">
        <v>919</v>
      </c>
      <c r="L2381" s="91"/>
      <c r="M2381" s="91"/>
    </row>
    <row r="2382" spans="2:13" ht="15" customHeight="1" x14ac:dyDescent="0.2">
      <c r="B2382" s="3" t="s">
        <v>923</v>
      </c>
      <c r="C2382" s="10" t="s">
        <v>848</v>
      </c>
      <c r="D2382" s="28">
        <f>Capital!$D$14</f>
        <v>2.6172655041921802</v>
      </c>
    </row>
    <row r="2383" spans="2:13" ht="15" customHeight="1" x14ac:dyDescent="0.2">
      <c r="B2383" s="10" t="s">
        <v>924</v>
      </c>
      <c r="C2383" s="10" t="s">
        <v>896</v>
      </c>
      <c r="D2383" s="28">
        <f>(M2356*(Inputs!$D$7+Inputs!$D$20)*$D$2379*(Inputs!$D$7-Inputs!$D$19)-M2356*Inputs!$D$20*Inputs!$D$23)/($D$2380-Inputs!$D$20)/(Inputs!$D$7+$D$2380)^M2354</f>
        <v>2068.2441036763203</v>
      </c>
      <c r="G2383" s="92" t="s">
        <v>910</v>
      </c>
      <c r="H2383" s="91"/>
      <c r="I2383" s="91"/>
      <c r="J2383" s="28">
        <f>SUM(D2375:M2375)+(M2356*(Inputs!$D$7+Inputs!$D$20)*$D$2379-M2356*Inputs!$D$20*Inputs!$D$23)/($D$2380-Inputs!$D$20)/(Inputs!$D$7+$D$2380)^M2354</f>
        <v>5667.7711754446318</v>
      </c>
      <c r="K2383" s="99" t="s">
        <v>896</v>
      </c>
      <c r="L2383" s="91"/>
      <c r="M2383" s="91"/>
    </row>
    <row r="2384" spans="2:13" ht="15" customHeight="1" x14ac:dyDescent="0.2">
      <c r="B2384" s="10" t="s">
        <v>925</v>
      </c>
      <c r="C2384" s="10" t="s">
        <v>110</v>
      </c>
      <c r="D2384" s="16">
        <f>(D2387*Inputs!$D$19-D2387-D2388)/($D$2380-Inputs!$D$20)/(Inputs!$D$7+$D$2380)^M2354</f>
        <v>-57156.954988173631</v>
      </c>
      <c r="G2384" s="92" t="s">
        <v>926</v>
      </c>
      <c r="H2384" s="91"/>
      <c r="I2384" s="91"/>
      <c r="J2384" s="16">
        <f>SUM(D2376:M2376)-(D2387+D2388)/($D$2380-Inputs!$D$20)/(Inputs!$D$7+$D$2380)^M2354</f>
        <v>-169036.01450291832</v>
      </c>
      <c r="K2384" s="99" t="s">
        <v>110</v>
      </c>
      <c r="L2384" s="91"/>
      <c r="M2384" s="91"/>
    </row>
    <row r="2385" spans="1:13" ht="15" customHeight="1" x14ac:dyDescent="0.2">
      <c r="B2385" s="10" t="s">
        <v>927</v>
      </c>
      <c r="C2385" s="10" t="s">
        <v>928</v>
      </c>
      <c r="D2385" s="16">
        <f>(M2356*(Inputs!$D$7+Inputs!$D$20)*$D$2378*$D$2379-D2387)-MAX((M2356*(Inputs!$D$7+Inputs!$D$20)*$D$2378*$D$2379-D2387),Inputs!$D$6)*Inputs!$D$19-D2388-M2356*Inputs!$D$20*$D$2378*Inputs!$D$23</f>
        <v>4769.8652402642147</v>
      </c>
      <c r="G2385" s="99" t="s">
        <v>929</v>
      </c>
      <c r="H2385" s="91"/>
      <c r="I2385" s="91"/>
      <c r="J2385" s="28">
        <f>(D2377-D2390)/D2389</f>
        <v>39.815448680825384</v>
      </c>
      <c r="K2385" s="99" t="s">
        <v>919</v>
      </c>
      <c r="L2385" s="91"/>
      <c r="M2385" s="91"/>
    </row>
    <row r="2386" spans="1:13" ht="15" customHeight="1" x14ac:dyDescent="0.2">
      <c r="B2386" s="10" t="s">
        <v>930</v>
      </c>
      <c r="C2386" s="10" t="s">
        <v>110</v>
      </c>
      <c r="D2386" s="16">
        <f>D2385/($D$2380-Inputs!$D$20)</f>
        <v>63598.203203522855</v>
      </c>
      <c r="G2386" s="99" t="s">
        <v>931</v>
      </c>
      <c r="H2386" s="91"/>
      <c r="I2386" s="91"/>
      <c r="J2386" s="16">
        <f>MIN(D2370:M2370,(M2356*(Inputs!$D$7+Inputs!$D$20)*$D$2378*$D$2379-D2387))</f>
        <v>1183.2107922211037</v>
      </c>
      <c r="K2386" s="99" t="s">
        <v>110</v>
      </c>
      <c r="L2386" s="91"/>
      <c r="M2386" s="91"/>
    </row>
    <row r="2387" spans="1:13" ht="15" customHeight="1" x14ac:dyDescent="0.2">
      <c r="B2387" s="10" t="s">
        <v>932</v>
      </c>
      <c r="C2387" s="10" t="s">
        <v>928</v>
      </c>
      <c r="D2387" s="16">
        <f>M2356*(Inputs!$D$7+Inputs!$D$20)*($D$2381/Inputs!$D$21+$D$2382/Inputs!$D$22)</f>
        <v>13509.71303671543</v>
      </c>
      <c r="G2387" s="99" t="s">
        <v>933</v>
      </c>
      <c r="H2387" s="91"/>
      <c r="I2387" s="91"/>
      <c r="J2387" s="31" t="str">
        <f>IF(J2386&lt;Inputs!$D$6,"breached","satisfied")</f>
        <v>satisfied</v>
      </c>
      <c r="K2387" s="99" t="s">
        <v>934</v>
      </c>
      <c r="L2387" s="91"/>
      <c r="M2387" s="91"/>
    </row>
    <row r="2388" spans="1:13" ht="15" customHeight="1" x14ac:dyDescent="0.2">
      <c r="B2388" s="10" t="s">
        <v>935</v>
      </c>
      <c r="C2388" s="10" t="s">
        <v>928</v>
      </c>
      <c r="D2388" s="16">
        <f>M2356*Inputs!$D$20*($D$2381+$D$2382)</f>
        <v>1365.7073615561799</v>
      </c>
    </row>
    <row r="2389" spans="1:13" ht="15" customHeight="1" x14ac:dyDescent="0.2">
      <c r="B2389" s="10" t="s">
        <v>936</v>
      </c>
      <c r="C2389" s="10" t="s">
        <v>896</v>
      </c>
      <c r="D2389" s="28">
        <f>SUM(D2366:M2366)+D2383</f>
        <v>3961.0138857044249</v>
      </c>
      <c r="G2389" s="99" t="s">
        <v>937</v>
      </c>
      <c r="H2389" s="91"/>
      <c r="I2389" s="91"/>
      <c r="J2389" s="16">
        <f>D2391-D2377</f>
        <v>0</v>
      </c>
      <c r="K2389" s="99" t="s">
        <v>110</v>
      </c>
      <c r="L2389" s="91"/>
      <c r="M2389" s="91"/>
    </row>
    <row r="2390" spans="1:13" ht="15" customHeight="1" x14ac:dyDescent="0.2">
      <c r="B2390" s="10" t="s">
        <v>938</v>
      </c>
      <c r="C2390" s="10" t="s">
        <v>110</v>
      </c>
      <c r="D2390" s="16">
        <f>SUM(D2367:M2367)+D2384</f>
        <v>-127880.84470342637</v>
      </c>
    </row>
    <row r="2391" spans="1:13" ht="15" customHeight="1" x14ac:dyDescent="0.2">
      <c r="B2391" s="10" t="s">
        <v>939</v>
      </c>
      <c r="C2391" s="10" t="s">
        <v>110</v>
      </c>
      <c r="D2391" s="16">
        <f>SUM(D2374:M2374)+D2386/(Inputs!$D$7+$D$2380)^M2354</f>
        <v>29828.700386874934</v>
      </c>
    </row>
    <row r="2392" spans="1:13" ht="15" customHeight="1" x14ac:dyDescent="0.2">
      <c r="B2392" s="10" t="s">
        <v>940</v>
      </c>
      <c r="C2392" s="10" t="s">
        <v>104</v>
      </c>
      <c r="D2392" s="30">
        <f>IF(ABS(D2377)&gt;Inputs!$D$6,D2391/D2377-Inputs!$D$7,Inputs!$D$6)</f>
        <v>8.8817841970012523E-16</v>
      </c>
    </row>
    <row r="2393" spans="1:13" ht="15" customHeight="1" x14ac:dyDescent="0.2">
      <c r="B2393" s="10" t="s">
        <v>941</v>
      </c>
      <c r="C2393" s="10" t="s">
        <v>104</v>
      </c>
      <c r="D2393" s="30">
        <f>IF(ABS(D2391)&gt;Inputs!$D$119,D2386/(Inputs!$D$7+$D$2380)^M2354/D2391,Inputs!$D$6)</f>
        <v>0.84452596507540267</v>
      </c>
    </row>
    <row r="2394" spans="1:13" ht="15" customHeight="1" x14ac:dyDescent="0.2">
      <c r="B2394" s="10" t="s">
        <v>942</v>
      </c>
      <c r="C2394" s="10" t="s">
        <v>943</v>
      </c>
      <c r="D2394" s="26">
        <f>$D$2378*Inputs!$D$8/Prices!$P$6/(Inputs!$D$26/Inputs!$D$25)/Inputs!$D$11/Inputs!$D$56</f>
        <v>7.2405602829227309</v>
      </c>
    </row>
    <row r="2398" spans="1:13" ht="15" customHeight="1" x14ac:dyDescent="0.2">
      <c r="A2398" s="104" t="s">
        <v>995</v>
      </c>
      <c r="B2398" s="10" t="s">
        <v>886</v>
      </c>
      <c r="C2398" s="10" t="s">
        <v>107</v>
      </c>
      <c r="D2398" s="28">
        <f>Inputs!$D$60</f>
        <v>1</v>
      </c>
      <c r="E2398" s="28">
        <f>Inputs!$D$62</f>
        <v>2</v>
      </c>
      <c r="F2398" s="28">
        <f>Inputs!$D$64</f>
        <v>3</v>
      </c>
      <c r="G2398" s="28">
        <f>Inputs!$D$66</f>
        <v>4</v>
      </c>
      <c r="H2398" s="28">
        <f>Inputs!$D$68</f>
        <v>5</v>
      </c>
      <c r="I2398" s="28">
        <f>Inputs!$D$70</f>
        <v>6</v>
      </c>
      <c r="J2398" s="28">
        <f>Inputs!$D$72</f>
        <v>7</v>
      </c>
      <c r="K2398" s="28">
        <f>Inputs!$D$74</f>
        <v>8</v>
      </c>
      <c r="L2398" s="28">
        <f>Inputs!$D$76</f>
        <v>9</v>
      </c>
      <c r="M2398" s="28">
        <f>Inputs!$D$78</f>
        <v>10</v>
      </c>
    </row>
    <row r="2399" spans="1:13" ht="15" customHeight="1" x14ac:dyDescent="0.2">
      <c r="A2399" s="91"/>
      <c r="B2399" s="10" t="s">
        <v>887</v>
      </c>
      <c r="C2399" s="10" t="s">
        <v>161</v>
      </c>
      <c r="D2399" s="29">
        <f>Inputs!$D$61</f>
        <v>46568</v>
      </c>
      <c r="E2399" s="29">
        <f>Inputs!$D$63</f>
        <v>46934</v>
      </c>
      <c r="F2399" s="29">
        <f>Inputs!$D$65</f>
        <v>47299</v>
      </c>
      <c r="G2399" s="29">
        <f>Inputs!$D$67</f>
        <v>47664</v>
      </c>
      <c r="H2399" s="29">
        <f>Inputs!$D$69</f>
        <v>48029</v>
      </c>
      <c r="I2399" s="29">
        <f>Inputs!$D$71</f>
        <v>48395</v>
      </c>
      <c r="J2399" s="29">
        <f>Inputs!$D$73</f>
        <v>48760</v>
      </c>
      <c r="K2399" s="29">
        <f>Inputs!$D$75</f>
        <v>49125</v>
      </c>
      <c r="L2399" s="29">
        <f>Inputs!$D$77</f>
        <v>49490</v>
      </c>
      <c r="M2399" s="29">
        <f>Inputs!$D$79</f>
        <v>49856</v>
      </c>
    </row>
    <row r="2400" spans="1:13" ht="15" customHeight="1" x14ac:dyDescent="0.2">
      <c r="A2400" s="91"/>
      <c r="B2400" s="10" t="s">
        <v>888</v>
      </c>
      <c r="C2400" s="10" t="s">
        <v>107</v>
      </c>
      <c r="D2400" s="28">
        <f>(D2399-Inputs!$D$13)/Inputs!$D$10</f>
        <v>0.71457905544147848</v>
      </c>
      <c r="E2400" s="28">
        <f>(E2399-Inputs!$D$13)/Inputs!$D$10</f>
        <v>1.7166324435318274</v>
      </c>
      <c r="F2400" s="28">
        <f>(F2399-Inputs!$D$13)/Inputs!$D$10</f>
        <v>2.7159479808350446</v>
      </c>
      <c r="G2400" s="28">
        <f>(G2399-Inputs!$D$13)/Inputs!$D$10</f>
        <v>3.7152635181382614</v>
      </c>
      <c r="H2400" s="28">
        <f>(H2399-Inputs!$D$13)/Inputs!$D$10</f>
        <v>4.7145790554414786</v>
      </c>
      <c r="I2400" s="28">
        <f>(I2399-Inputs!$D$13)/Inputs!$D$10</f>
        <v>5.7166324435318279</v>
      </c>
      <c r="J2400" s="28">
        <f>(J2399-Inputs!$D$13)/Inputs!$D$10</f>
        <v>6.7159479808350442</v>
      </c>
      <c r="K2400" s="28">
        <f>(K2399-Inputs!$D$13)/Inputs!$D$10</f>
        <v>7.7152635181382614</v>
      </c>
      <c r="L2400" s="28">
        <f>(L2399-Inputs!$D$13)/Inputs!$D$10</f>
        <v>8.7145790554414777</v>
      </c>
      <c r="M2400" s="28">
        <f>(M2399-Inputs!$D$13)/Inputs!$D$10</f>
        <v>9.716632443531827</v>
      </c>
    </row>
    <row r="2401" spans="1:13" ht="15" customHeight="1" x14ac:dyDescent="0.2">
      <c r="A2401" s="91"/>
      <c r="B2401" s="10" t="s">
        <v>889</v>
      </c>
      <c r="C2401" s="10" t="s">
        <v>107</v>
      </c>
      <c r="D2401" s="28">
        <f>D2400</f>
        <v>0.71457905544147848</v>
      </c>
      <c r="E2401" s="28">
        <f>Inputs!$D$7</f>
        <v>1</v>
      </c>
      <c r="F2401" s="28">
        <f>Inputs!$D$7</f>
        <v>1</v>
      </c>
      <c r="G2401" s="28">
        <f>Inputs!$D$7</f>
        <v>1</v>
      </c>
      <c r="H2401" s="28">
        <f>Inputs!$D$7</f>
        <v>1</v>
      </c>
      <c r="I2401" s="28">
        <f>Inputs!$D$7</f>
        <v>1</v>
      </c>
      <c r="J2401" s="28">
        <f>Inputs!$D$7</f>
        <v>1</v>
      </c>
      <c r="K2401" s="28">
        <f>Inputs!$D$7</f>
        <v>1</v>
      </c>
      <c r="L2401" s="28">
        <f>Inputs!$D$7</f>
        <v>1</v>
      </c>
      <c r="M2401" s="28">
        <f>Inputs!$D$7</f>
        <v>1</v>
      </c>
    </row>
    <row r="2402" spans="1:13" ht="15" customHeight="1" x14ac:dyDescent="0.2">
      <c r="A2402" s="91"/>
      <c r="B2402" s="3" t="s">
        <v>890</v>
      </c>
      <c r="C2402" s="10" t="s">
        <v>199</v>
      </c>
      <c r="D2402" s="28">
        <f>Inputs!$D$24+(Inputs!$D$93-Inputs!$D$24)*Inputs!$D$96</f>
        <v>279.10000000000002</v>
      </c>
      <c r="E2402" s="28">
        <f>Inputs!$D$24+(Inputs!$D$93-Inputs!$D$24)*Inputs!$D$97</f>
        <v>900.7</v>
      </c>
      <c r="F2402" s="28">
        <f>Inputs!$D$24+(Inputs!$D$93-Inputs!$D$24)*Inputs!$D$98</f>
        <v>1366.8999999999999</v>
      </c>
      <c r="G2402" s="28">
        <f>Inputs!$D$24+(Inputs!$D$93-Inputs!$D$24)*Inputs!$D$99</f>
        <v>1600</v>
      </c>
      <c r="H2402" s="28">
        <f>Inputs!$D$24+(Inputs!$D$93-Inputs!$D$24)*Inputs!$D$100</f>
        <v>1600</v>
      </c>
      <c r="I2402" s="28">
        <f>Inputs!$D$24+(Inputs!$D$93-Inputs!$D$24)*Inputs!$D$101</f>
        <v>1600</v>
      </c>
      <c r="J2402" s="28">
        <f>Inputs!$D$24+(Inputs!$D$93-Inputs!$D$24)*Inputs!$D$102</f>
        <v>1600</v>
      </c>
      <c r="K2402" s="28">
        <f>Inputs!$D$24+(Inputs!$D$93-Inputs!$D$24)*Inputs!$D$103</f>
        <v>1600</v>
      </c>
      <c r="L2402" s="28">
        <f>Inputs!$D$24+(Inputs!$D$93-Inputs!$D$24)*Inputs!$D$104</f>
        <v>1600</v>
      </c>
      <c r="M2402" s="28">
        <f>Inputs!$D$24+(Inputs!$D$93-Inputs!$D$24)*Inputs!$D$105</f>
        <v>1600</v>
      </c>
    </row>
    <row r="2403" spans="1:13" ht="15" customHeight="1" x14ac:dyDescent="0.2">
      <c r="A2403" s="91"/>
      <c r="B2403" s="10" t="s">
        <v>891</v>
      </c>
      <c r="C2403" s="10" t="s">
        <v>199</v>
      </c>
      <c r="D2403" s="28">
        <f>Inputs!$D$24</f>
        <v>46</v>
      </c>
      <c r="E2403" s="28">
        <f t="shared" ref="E2403:M2403" si="520">D2402</f>
        <v>279.10000000000002</v>
      </c>
      <c r="F2403" s="28">
        <f t="shared" si="520"/>
        <v>900.7</v>
      </c>
      <c r="G2403" s="28">
        <f t="shared" si="520"/>
        <v>1366.8999999999999</v>
      </c>
      <c r="H2403" s="28">
        <f t="shared" si="520"/>
        <v>1600</v>
      </c>
      <c r="I2403" s="28">
        <f t="shared" si="520"/>
        <v>1600</v>
      </c>
      <c r="J2403" s="28">
        <f t="shared" si="520"/>
        <v>1600</v>
      </c>
      <c r="K2403" s="28">
        <f t="shared" si="520"/>
        <v>1600</v>
      </c>
      <c r="L2403" s="28">
        <f t="shared" si="520"/>
        <v>1600</v>
      </c>
      <c r="M2403" s="28">
        <f t="shared" si="520"/>
        <v>1600</v>
      </c>
    </row>
    <row r="2404" spans="1:13" ht="15" customHeight="1" x14ac:dyDescent="0.2">
      <c r="B2404" s="10" t="s">
        <v>892</v>
      </c>
      <c r="C2404" s="10" t="s">
        <v>199</v>
      </c>
      <c r="D2404" s="28">
        <f>(D2403+D2402)*Inputs!$D$12</f>
        <v>162.55000000000001</v>
      </c>
      <c r="E2404" s="28">
        <f>(E2403+E2402)*Inputs!$D$12</f>
        <v>589.90000000000009</v>
      </c>
      <c r="F2404" s="28">
        <f>(F2403+F2402)*Inputs!$D$12</f>
        <v>1133.8</v>
      </c>
      <c r="G2404" s="28">
        <f>(G2403+G2402)*Inputs!$D$12</f>
        <v>1483.4499999999998</v>
      </c>
      <c r="H2404" s="28">
        <f>(H2403+H2402)*Inputs!$D$12</f>
        <v>1600</v>
      </c>
      <c r="I2404" s="28">
        <f>(I2403+I2402)*Inputs!$D$12</f>
        <v>1600</v>
      </c>
      <c r="J2404" s="28">
        <f>(J2403+J2402)*Inputs!$D$12</f>
        <v>1600</v>
      </c>
      <c r="K2404" s="28">
        <f>(K2403+K2402)*Inputs!$D$12</f>
        <v>1600</v>
      </c>
      <c r="L2404" s="28">
        <f>(L2403+L2402)*Inputs!$D$12</f>
        <v>1600</v>
      </c>
      <c r="M2404" s="28">
        <f>(M2403+M2402)*Inputs!$D$12</f>
        <v>1600</v>
      </c>
    </row>
    <row r="2405" spans="1:13" ht="15" customHeight="1" x14ac:dyDescent="0.2">
      <c r="B2405" s="10" t="s">
        <v>893</v>
      </c>
      <c r="C2405" s="10" t="s">
        <v>199</v>
      </c>
      <c r="D2405" s="28">
        <f t="shared" ref="D2405:M2405" si="521">D2402-D2403</f>
        <v>233.10000000000002</v>
      </c>
      <c r="E2405" s="28">
        <f t="shared" si="521"/>
        <v>621.6</v>
      </c>
      <c r="F2405" s="28">
        <f t="shared" si="521"/>
        <v>466.19999999999982</v>
      </c>
      <c r="G2405" s="28">
        <f t="shared" si="521"/>
        <v>233.10000000000014</v>
      </c>
      <c r="H2405" s="28">
        <f t="shared" si="521"/>
        <v>0</v>
      </c>
      <c r="I2405" s="28">
        <f t="shared" si="521"/>
        <v>0</v>
      </c>
      <c r="J2405" s="28">
        <f t="shared" si="521"/>
        <v>0</v>
      </c>
      <c r="K2405" s="28">
        <f t="shared" si="521"/>
        <v>0</v>
      </c>
      <c r="L2405" s="28">
        <f t="shared" si="521"/>
        <v>0</v>
      </c>
      <c r="M2405" s="28">
        <f t="shared" si="521"/>
        <v>0</v>
      </c>
    </row>
    <row r="2406" spans="1:13" ht="15" customHeight="1" x14ac:dyDescent="0.2">
      <c r="B2406" s="10" t="s">
        <v>894</v>
      </c>
      <c r="C2406" s="10" t="s">
        <v>199</v>
      </c>
      <c r="D2406" s="28">
        <f>IF(MOD(D2398,Inputs!$D$21)=Inputs!$D$6,Inputs!$D$24,Inputs!$D$6)+SUMPRODUCT(--(D2398&gt;$D$2398:$M$2398),--(MOD(D2398-$D$2398:$M$2398,Inputs!$D$21)=Inputs!$D$6),$D$2405:$M$2405)</f>
        <v>0</v>
      </c>
      <c r="E2406" s="28">
        <f>IF(MOD(E2398,Inputs!$D$21)=Inputs!$D$6,Inputs!$D$24,Inputs!$D$6)+SUMPRODUCT(--(E2398&gt;$D$2398:$M$2398),--(MOD(E2398-$D$2398:$M$2398,Inputs!$D$21)=Inputs!$D$6),$D$2405:$M$2405)</f>
        <v>0</v>
      </c>
      <c r="F2406" s="28">
        <f>IF(MOD(F2398,Inputs!$D$21)=Inputs!$D$6,Inputs!$D$24,Inputs!$D$6)+SUMPRODUCT(--(F2398&gt;$D$2398:$M$2398),--(MOD(F2398-$D$2398:$M$2398,Inputs!$D$21)=Inputs!$D$6),$D$2405:$M$2405)</f>
        <v>0</v>
      </c>
      <c r="G2406" s="28">
        <f>IF(MOD(G2398,Inputs!$D$21)=Inputs!$D$6,Inputs!$D$24,Inputs!$D$6)+SUMPRODUCT(--(G2398&gt;$D$2398:$M$2398),--(MOD(G2398-$D$2398:$M$2398,Inputs!$D$21)=Inputs!$D$6),$D$2405:$M$2405)</f>
        <v>46</v>
      </c>
      <c r="H2406" s="28">
        <f>IF(MOD(H2398,Inputs!$D$21)=Inputs!$D$6,Inputs!$D$24,Inputs!$D$6)+SUMPRODUCT(--(H2398&gt;$D$2398:$M$2398),--(MOD(H2398-$D$2398:$M$2398,Inputs!$D$21)=Inputs!$D$6),$D$2405:$M$2405)</f>
        <v>233.10000000000002</v>
      </c>
      <c r="I2406" s="28">
        <f>IF(MOD(I2398,Inputs!$D$21)=Inputs!$D$6,Inputs!$D$24,Inputs!$D$6)+SUMPRODUCT(--(I2398&gt;$D$2398:$M$2398),--(MOD(I2398-$D$2398:$M$2398,Inputs!$D$21)=Inputs!$D$6),$D$2405:$M$2405)</f>
        <v>621.6</v>
      </c>
      <c r="J2406" s="28">
        <f>IF(MOD(J2398,Inputs!$D$21)=Inputs!$D$6,Inputs!$D$24,Inputs!$D$6)+SUMPRODUCT(--(J2398&gt;$D$2398:$M$2398),--(MOD(J2398-$D$2398:$M$2398,Inputs!$D$21)=Inputs!$D$6),$D$2405:$M$2405)</f>
        <v>466.19999999999982</v>
      </c>
      <c r="K2406" s="28">
        <f>IF(MOD(K2398,Inputs!$D$21)=Inputs!$D$6,Inputs!$D$24,Inputs!$D$6)+SUMPRODUCT(--(K2398&gt;$D$2398:$M$2398),--(MOD(K2398-$D$2398:$M$2398,Inputs!$D$21)=Inputs!$D$6),$D$2405:$M$2405)</f>
        <v>279.10000000000014</v>
      </c>
      <c r="L2406" s="28">
        <f>IF(MOD(L2398,Inputs!$D$21)=Inputs!$D$6,Inputs!$D$24,Inputs!$D$6)+SUMPRODUCT(--(L2398&gt;$D$2398:$M$2398),--(MOD(L2398-$D$2398:$M$2398,Inputs!$D$21)=Inputs!$D$6),$D$2405:$M$2405)</f>
        <v>233.10000000000002</v>
      </c>
      <c r="M2406" s="28">
        <f>IF(MOD(M2398,Inputs!$D$21)=Inputs!$D$6,Inputs!$D$24,Inputs!$D$6)+SUMPRODUCT(--(M2398&gt;$D$2398:$M$2398),--(MOD(M2398-$D$2398:$M$2398,Inputs!$D$21)=Inputs!$D$6),$D$2405:$M$2405)</f>
        <v>621.6</v>
      </c>
    </row>
    <row r="2407" spans="1:13" ht="15" customHeight="1" x14ac:dyDescent="0.2">
      <c r="B2407" s="10" t="s">
        <v>895</v>
      </c>
      <c r="C2407" s="10" t="s">
        <v>896</v>
      </c>
      <c r="D2407" s="28">
        <f t="shared" ref="D2407:M2407" si="522">D2404*D2401</f>
        <v>116.15482546201234</v>
      </c>
      <c r="E2407" s="28">
        <f t="shared" si="522"/>
        <v>589.90000000000009</v>
      </c>
      <c r="F2407" s="28">
        <f t="shared" si="522"/>
        <v>1133.8</v>
      </c>
      <c r="G2407" s="28">
        <f t="shared" si="522"/>
        <v>1483.4499999999998</v>
      </c>
      <c r="H2407" s="28">
        <f t="shared" si="522"/>
        <v>1600</v>
      </c>
      <c r="I2407" s="28">
        <f t="shared" si="522"/>
        <v>1600</v>
      </c>
      <c r="J2407" s="28">
        <f t="shared" si="522"/>
        <v>1600</v>
      </c>
      <c r="K2407" s="28">
        <f t="shared" si="522"/>
        <v>1600</v>
      </c>
      <c r="L2407" s="28">
        <f t="shared" si="522"/>
        <v>1600</v>
      </c>
      <c r="M2407" s="28">
        <f t="shared" si="522"/>
        <v>1600</v>
      </c>
    </row>
    <row r="2408" spans="1:13" ht="15" customHeight="1" x14ac:dyDescent="0.2">
      <c r="B2408" s="10" t="s">
        <v>897</v>
      </c>
      <c r="C2408" s="10" t="s">
        <v>110</v>
      </c>
      <c r="D2408" s="16">
        <f>D2407*($D$2427/Inputs!$D$21+$D$2428/Inputs!$D$22)</f>
        <v>1680.51014411561</v>
      </c>
      <c r="E2408" s="16">
        <f>E2407*($D$2427/Inputs!$D$21+$D$2428/Inputs!$D$22)</f>
        <v>8534.5824426210111</v>
      </c>
      <c r="F2408" s="16">
        <f>F2407*($D$2427/Inputs!$D$21+$D$2428/Inputs!$D$22)</f>
        <v>16403.643962440583</v>
      </c>
      <c r="G2408" s="16">
        <f>G2407*($D$2427/Inputs!$D$21+$D$2428/Inputs!$D$22)</f>
        <v>21462.326368038881</v>
      </c>
      <c r="H2408" s="16">
        <f>H2407*($D$2427/Inputs!$D$21+$D$2428/Inputs!$D$22)</f>
        <v>23148.553836571649</v>
      </c>
      <c r="I2408" s="16">
        <f>I2407*($D$2427/Inputs!$D$21+$D$2428/Inputs!$D$22)</f>
        <v>23148.553836571649</v>
      </c>
      <c r="J2408" s="16">
        <f>J2407*($D$2427/Inputs!$D$21+$D$2428/Inputs!$D$22)</f>
        <v>23148.553836571649</v>
      </c>
      <c r="K2408" s="16">
        <f>K2407*($D$2427/Inputs!$D$21+$D$2428/Inputs!$D$22)</f>
        <v>23148.553836571649</v>
      </c>
      <c r="L2408" s="16">
        <f>L2407*($D$2427/Inputs!$D$21+$D$2428/Inputs!$D$22)</f>
        <v>23148.553836571649</v>
      </c>
      <c r="M2408" s="16">
        <f>M2407*($D$2427/Inputs!$D$21+$D$2428/Inputs!$D$22)</f>
        <v>23148.553836571649</v>
      </c>
    </row>
    <row r="2409" spans="1:13" ht="15" customHeight="1" x14ac:dyDescent="0.2">
      <c r="B2409" s="10" t="s">
        <v>898</v>
      </c>
      <c r="C2409" s="10" t="s">
        <v>110</v>
      </c>
      <c r="D2409" s="16">
        <f t="shared" ref="D2409:M2409" si="523">D2405*($D$2427+$D$2428)</f>
        <v>13977.887419483886</v>
      </c>
      <c r="E2409" s="16">
        <f t="shared" si="523"/>
        <v>37274.36645195703</v>
      </c>
      <c r="F2409" s="16">
        <f t="shared" si="523"/>
        <v>27955.774838967762</v>
      </c>
      <c r="G2409" s="16">
        <f t="shared" si="523"/>
        <v>13977.887419483894</v>
      </c>
      <c r="H2409" s="16">
        <f t="shared" si="523"/>
        <v>0</v>
      </c>
      <c r="I2409" s="16">
        <f t="shared" si="523"/>
        <v>0</v>
      </c>
      <c r="J2409" s="16">
        <f t="shared" si="523"/>
        <v>0</v>
      </c>
      <c r="K2409" s="16">
        <f t="shared" si="523"/>
        <v>0</v>
      </c>
      <c r="L2409" s="16">
        <f t="shared" si="523"/>
        <v>0</v>
      </c>
      <c r="M2409" s="16">
        <f t="shared" si="523"/>
        <v>0</v>
      </c>
    </row>
    <row r="2410" spans="1:13" ht="15" customHeight="1" x14ac:dyDescent="0.2">
      <c r="B2410" s="10" t="s">
        <v>899</v>
      </c>
      <c r="C2410" s="10" t="s">
        <v>110</v>
      </c>
      <c r="D2410" s="16">
        <f t="shared" ref="D2410:M2410" si="524">D2406*$D$2427</f>
        <v>0</v>
      </c>
      <c r="E2410" s="16">
        <f t="shared" si="524"/>
        <v>0</v>
      </c>
      <c r="F2410" s="16">
        <f t="shared" si="524"/>
        <v>0</v>
      </c>
      <c r="G2410" s="16">
        <f t="shared" si="524"/>
        <v>2638.0048485671714</v>
      </c>
      <c r="H2410" s="16">
        <f t="shared" si="524"/>
        <v>13367.802830456689</v>
      </c>
      <c r="I2410" s="16">
        <f t="shared" si="524"/>
        <v>35647.47421455117</v>
      </c>
      <c r="J2410" s="16">
        <f t="shared" si="524"/>
        <v>26735.605660913367</v>
      </c>
      <c r="K2410" s="16">
        <f t="shared" si="524"/>
        <v>16005.807679023867</v>
      </c>
      <c r="L2410" s="16">
        <f t="shared" si="524"/>
        <v>13367.802830456689</v>
      </c>
      <c r="M2410" s="16">
        <f t="shared" si="524"/>
        <v>35647.47421455117</v>
      </c>
    </row>
    <row r="2411" spans="1:13" ht="15" customHeight="1" x14ac:dyDescent="0.2">
      <c r="B2411" s="10" t="s">
        <v>900</v>
      </c>
      <c r="C2411" s="10" t="s">
        <v>199</v>
      </c>
      <c r="D2411" s="28">
        <f>D2405*Inputs!$D$23</f>
        <v>5.8275000000000006</v>
      </c>
      <c r="E2411" s="28">
        <f>E2405*Inputs!$D$23</f>
        <v>15.540000000000001</v>
      </c>
      <c r="F2411" s="28">
        <f>F2405*Inputs!$D$23</f>
        <v>11.654999999999996</v>
      </c>
      <c r="G2411" s="28">
        <f>G2405*Inputs!$D$23</f>
        <v>5.8275000000000041</v>
      </c>
      <c r="H2411" s="28">
        <f>H2405*Inputs!$D$23</f>
        <v>0</v>
      </c>
      <c r="I2411" s="28">
        <f>I2405*Inputs!$D$23</f>
        <v>0</v>
      </c>
      <c r="J2411" s="28">
        <f>J2405*Inputs!$D$23</f>
        <v>0</v>
      </c>
      <c r="K2411" s="28">
        <f>K2405*Inputs!$D$23</f>
        <v>0</v>
      </c>
      <c r="L2411" s="28">
        <f>L2405*Inputs!$D$23</f>
        <v>0</v>
      </c>
      <c r="M2411" s="28">
        <f>M2405*Inputs!$D$23</f>
        <v>0</v>
      </c>
    </row>
    <row r="2412" spans="1:13" ht="15" customHeight="1" x14ac:dyDescent="0.2">
      <c r="B2412" s="3" t="s">
        <v>901</v>
      </c>
      <c r="C2412" s="10" t="s">
        <v>896</v>
      </c>
      <c r="D2412" s="28">
        <f>(D2407*$D$2425*(Inputs!$D$7-Inputs!$D$19)-D2411)/(Inputs!$D$7+$D$2426)^D2400</f>
        <v>50.541318213721269</v>
      </c>
      <c r="E2412" s="28">
        <f>(E2407*$D$2425*(Inputs!$D$7-Inputs!$D$19)-E2411)/(Inputs!$D$7+$D$2426)^E2400</f>
        <v>238.4864713152904</v>
      </c>
      <c r="F2412" s="28">
        <f>(F2407*$D$2425*(Inputs!$D$7-Inputs!$D$19)-F2411)/(Inputs!$D$7+$D$2426)^F2400</f>
        <v>418.74491871678316</v>
      </c>
      <c r="G2412" s="28">
        <f>(G2407*$D$2425*(Inputs!$D$7-Inputs!$D$19)-G2411)/(Inputs!$D$7+$D$2426)^G2400</f>
        <v>490.87392073514752</v>
      </c>
      <c r="H2412" s="28">
        <f>(H2407*$D$2425*(Inputs!$D$7-Inputs!$D$19)-H2411)/(Inputs!$D$7+$D$2426)^H2400</f>
        <v>472.10300862628105</v>
      </c>
      <c r="I2412" s="28">
        <f>(I2407*$D$2425*(Inputs!$D$7-Inputs!$D$19)-I2411)/(Inputs!$D$7+$D$2426)^I2400</f>
        <v>417.68543753228789</v>
      </c>
      <c r="J2412" s="28">
        <f>(J2407*$D$2425*(Inputs!$D$7-Inputs!$D$19)-J2411)/(Inputs!$D$7+$D$2426)^J2400</f>
        <v>369.66405292491049</v>
      </c>
      <c r="K2412" s="28">
        <f>(K2407*$D$2425*(Inputs!$D$7-Inputs!$D$19)-K2411)/(Inputs!$D$7+$D$2426)^K2400</f>
        <v>327.16369723641031</v>
      </c>
      <c r="L2412" s="28">
        <f>(L2407*$D$2425*(Inputs!$D$7-Inputs!$D$19)-L2411)/(Inputs!$D$7+$D$2426)^L2400</f>
        <v>289.54961658427663</v>
      </c>
      <c r="M2412" s="28">
        <f>(M2407*$D$2425*(Inputs!$D$7-Inputs!$D$19)-M2411)/(Inputs!$D$7+$D$2426)^M2400</f>
        <v>256.17430111750662</v>
      </c>
    </row>
    <row r="2413" spans="1:13" ht="15" customHeight="1" x14ac:dyDescent="0.2">
      <c r="B2413" s="10" t="s">
        <v>902</v>
      </c>
      <c r="C2413" s="10" t="s">
        <v>110</v>
      </c>
      <c r="D2413" s="16">
        <f>(D2408*Inputs!$D$19-D2409-D2410)/(Inputs!$D$7+$D$2426)^D2400</f>
        <v>-12346.937146613671</v>
      </c>
      <c r="E2413" s="16">
        <f>(E2408*Inputs!$D$19-E2409-E2410)/(Inputs!$D$7+$D$2426)^E2400</f>
        <v>-28144.165592831177</v>
      </c>
      <c r="F2413" s="16">
        <f>(F2408*Inputs!$D$19-F2409-F2410)/(Inputs!$D$7+$D$2426)^F2400</f>
        <v>-16528.13772562052</v>
      </c>
      <c r="G2413" s="16">
        <f>(G2408*Inputs!$D$19-G2409-G2410)/(Inputs!$D$7+$D$2426)^G2400</f>
        <v>-6462.9033875784253</v>
      </c>
      <c r="H2413" s="16">
        <f>(H2408*Inputs!$D$19-H2409-H2410)/(Inputs!$D$7+$D$2426)^H2400</f>
        <v>-3610.0349541710043</v>
      </c>
      <c r="I2413" s="16">
        <f>(I2408*Inputs!$D$19-I2409-I2410)/(Inputs!$D$7+$D$2426)^I2400</f>
        <v>-14272.365134506323</v>
      </c>
      <c r="J2413" s="16">
        <f>(J2408*Inputs!$D$19-J2409-J2410)/(Inputs!$D$7+$D$2426)^J2400</f>
        <v>-8709.5665200501735</v>
      </c>
      <c r="K2413" s="16">
        <f>(K2408*Inputs!$D$19-K2409-K2410)/(Inputs!$D$7+$D$2426)^K2400</f>
        <v>-3529.1777141306115</v>
      </c>
      <c r="L2413" s="16">
        <f>(L2408*Inputs!$D$19-L2409-L2410)/(Inputs!$D$7+$D$2426)^L2400</f>
        <v>-2214.1020449702382</v>
      </c>
      <c r="M2413" s="16">
        <f>(M2408*Inputs!$D$19-M2409-M2410)/(Inputs!$D$7+$D$2426)^M2400</f>
        <v>-8753.5088252709138</v>
      </c>
    </row>
    <row r="2414" spans="1:13" ht="15" customHeight="1" x14ac:dyDescent="0.2">
      <c r="B2414" s="10" t="s">
        <v>903</v>
      </c>
      <c r="C2414" s="10" t="s">
        <v>110</v>
      </c>
      <c r="D2414" s="16">
        <f t="shared" ref="D2414:M2414" si="525">D2407*$D$2424</f>
        <v>3778.4169279730068</v>
      </c>
      <c r="E2414" s="16">
        <f t="shared" si="525"/>
        <v>19188.941457625624</v>
      </c>
      <c r="F2414" s="16">
        <f t="shared" si="525"/>
        <v>36881.542337101084</v>
      </c>
      <c r="G2414" s="16">
        <f t="shared" si="525"/>
        <v>48255.357188192444</v>
      </c>
      <c r="H2414" s="16">
        <f t="shared" si="525"/>
        <v>52046.628805222907</v>
      </c>
      <c r="I2414" s="16">
        <f t="shared" si="525"/>
        <v>52046.628805222907</v>
      </c>
      <c r="J2414" s="16">
        <f t="shared" si="525"/>
        <v>52046.628805222907</v>
      </c>
      <c r="K2414" s="16">
        <f t="shared" si="525"/>
        <v>52046.628805222907</v>
      </c>
      <c r="L2414" s="16">
        <f t="shared" si="525"/>
        <v>52046.628805222907</v>
      </c>
      <c r="M2414" s="16">
        <f t="shared" si="525"/>
        <v>52046.628805222907</v>
      </c>
    </row>
    <row r="2415" spans="1:13" ht="15" customHeight="1" x14ac:dyDescent="0.2">
      <c r="B2415" s="10" t="s">
        <v>904</v>
      </c>
      <c r="C2415" s="10" t="s">
        <v>110</v>
      </c>
      <c r="D2415" s="16">
        <f t="shared" ref="D2415:M2415" si="526">D2414*$D$2425</f>
        <v>2833.8126959797551</v>
      </c>
      <c r="E2415" s="16">
        <f t="shared" si="526"/>
        <v>14391.706093219218</v>
      </c>
      <c r="F2415" s="16">
        <f t="shared" si="526"/>
        <v>27661.156752825813</v>
      </c>
      <c r="G2415" s="16">
        <f t="shared" si="526"/>
        <v>36191.517891144336</v>
      </c>
      <c r="H2415" s="16">
        <f t="shared" si="526"/>
        <v>39034.971603917176</v>
      </c>
      <c r="I2415" s="16">
        <f t="shared" si="526"/>
        <v>39034.971603917176</v>
      </c>
      <c r="J2415" s="16">
        <f t="shared" si="526"/>
        <v>39034.971603917176</v>
      </c>
      <c r="K2415" s="16">
        <f t="shared" si="526"/>
        <v>39034.971603917176</v>
      </c>
      <c r="L2415" s="16">
        <f t="shared" si="526"/>
        <v>39034.971603917176</v>
      </c>
      <c r="M2415" s="16">
        <f t="shared" si="526"/>
        <v>39034.971603917176</v>
      </c>
    </row>
    <row r="2416" spans="1:13" ht="15" customHeight="1" x14ac:dyDescent="0.2">
      <c r="B2416" s="10" t="s">
        <v>905</v>
      </c>
      <c r="C2416" s="10" t="s">
        <v>110</v>
      </c>
      <c r="D2416" s="16">
        <f t="shared" ref="D2416:M2416" si="527">D2415-D2408</f>
        <v>1153.302551864145</v>
      </c>
      <c r="E2416" s="16">
        <f t="shared" si="527"/>
        <v>5857.123650598207</v>
      </c>
      <c r="F2416" s="16">
        <f t="shared" si="527"/>
        <v>11257.51279038523</v>
      </c>
      <c r="G2416" s="16">
        <f t="shared" si="527"/>
        <v>14729.191523105455</v>
      </c>
      <c r="H2416" s="16">
        <f t="shared" si="527"/>
        <v>15886.417767345527</v>
      </c>
      <c r="I2416" s="16">
        <f t="shared" si="527"/>
        <v>15886.417767345527</v>
      </c>
      <c r="J2416" s="16">
        <f t="shared" si="527"/>
        <v>15886.417767345527</v>
      </c>
      <c r="K2416" s="16">
        <f t="shared" si="527"/>
        <v>15886.417767345527</v>
      </c>
      <c r="L2416" s="16">
        <f t="shared" si="527"/>
        <v>15886.417767345527</v>
      </c>
      <c r="M2416" s="16">
        <f t="shared" si="527"/>
        <v>15886.417767345527</v>
      </c>
    </row>
    <row r="2417" spans="2:13" ht="15" customHeight="1" x14ac:dyDescent="0.2">
      <c r="B2417" s="10" t="s">
        <v>906</v>
      </c>
      <c r="C2417" s="10" t="s">
        <v>110</v>
      </c>
      <c r="D2417" s="16">
        <f>MAX(D2416,Inputs!$D$6)*Inputs!$D$19</f>
        <v>345.99076555924347</v>
      </c>
      <c r="E2417" s="16">
        <f>MAX(E2416,Inputs!$D$6)*Inputs!$D$19</f>
        <v>1757.137095179462</v>
      </c>
      <c r="F2417" s="16">
        <f>MAX(F2416,Inputs!$D$6)*Inputs!$D$19</f>
        <v>3377.2538371155688</v>
      </c>
      <c r="G2417" s="16">
        <f>MAX(G2416,Inputs!$D$6)*Inputs!$D$19</f>
        <v>4418.7574569316366</v>
      </c>
      <c r="H2417" s="16">
        <f>MAX(H2416,Inputs!$D$6)*Inputs!$D$19</f>
        <v>4765.9253302036577</v>
      </c>
      <c r="I2417" s="16">
        <f>MAX(I2416,Inputs!$D$6)*Inputs!$D$19</f>
        <v>4765.9253302036577</v>
      </c>
      <c r="J2417" s="16">
        <f>MAX(J2416,Inputs!$D$6)*Inputs!$D$19</f>
        <v>4765.9253302036577</v>
      </c>
      <c r="K2417" s="16">
        <f>MAX(K2416,Inputs!$D$6)*Inputs!$D$19</f>
        <v>4765.9253302036577</v>
      </c>
      <c r="L2417" s="16">
        <f>MAX(L2416,Inputs!$D$6)*Inputs!$D$19</f>
        <v>4765.9253302036577</v>
      </c>
      <c r="M2417" s="16">
        <f>MAX(M2416,Inputs!$D$6)*Inputs!$D$19</f>
        <v>4765.9253302036577</v>
      </c>
    </row>
    <row r="2418" spans="2:13" ht="15" customHeight="1" x14ac:dyDescent="0.2">
      <c r="B2418" s="10" t="s">
        <v>907</v>
      </c>
      <c r="C2418" s="10" t="s">
        <v>110</v>
      </c>
      <c r="D2418" s="16">
        <f t="shared" ref="D2418:M2418" si="528">D2411*$D$2424</f>
        <v>189.56358085152283</v>
      </c>
      <c r="E2418" s="16">
        <f t="shared" si="528"/>
        <v>505.50288227072753</v>
      </c>
      <c r="F2418" s="16">
        <f t="shared" si="528"/>
        <v>379.12716170304549</v>
      </c>
      <c r="G2418" s="16">
        <f t="shared" si="528"/>
        <v>189.56358085152294</v>
      </c>
      <c r="H2418" s="16">
        <f t="shared" si="528"/>
        <v>0</v>
      </c>
      <c r="I2418" s="16">
        <f t="shared" si="528"/>
        <v>0</v>
      </c>
      <c r="J2418" s="16">
        <f t="shared" si="528"/>
        <v>0</v>
      </c>
      <c r="K2418" s="16">
        <f t="shared" si="528"/>
        <v>0</v>
      </c>
      <c r="L2418" s="16">
        <f t="shared" si="528"/>
        <v>0</v>
      </c>
      <c r="M2418" s="16">
        <f t="shared" si="528"/>
        <v>0</v>
      </c>
    </row>
    <row r="2419" spans="2:13" ht="15" customHeight="1" x14ac:dyDescent="0.2">
      <c r="B2419" s="10" t="s">
        <v>908</v>
      </c>
      <c r="C2419" s="10" t="s">
        <v>110</v>
      </c>
      <c r="D2419" s="16">
        <f t="shared" ref="D2419:M2419" si="529">D2415-D2417-D2409-D2410-D2418</f>
        <v>-11679.629069914898</v>
      </c>
      <c r="E2419" s="16">
        <f t="shared" si="529"/>
        <v>-25145.300336188</v>
      </c>
      <c r="F2419" s="16">
        <f t="shared" si="529"/>
        <v>-4050.9990849605624</v>
      </c>
      <c r="G2419" s="16">
        <f t="shared" si="529"/>
        <v>14967.304585310112</v>
      </c>
      <c r="H2419" s="16">
        <f t="shared" si="529"/>
        <v>20901.243443256826</v>
      </c>
      <c r="I2419" s="16">
        <f t="shared" si="529"/>
        <v>-1378.4279408376533</v>
      </c>
      <c r="J2419" s="16">
        <f t="shared" si="529"/>
        <v>7533.4406128001501</v>
      </c>
      <c r="K2419" s="16">
        <f t="shared" si="529"/>
        <v>18263.23859468965</v>
      </c>
      <c r="L2419" s="16">
        <f t="shared" si="529"/>
        <v>20901.243443256826</v>
      </c>
      <c r="M2419" s="16">
        <f t="shared" si="529"/>
        <v>-1378.4279408376533</v>
      </c>
    </row>
    <row r="2420" spans="2:13" ht="15" customHeight="1" x14ac:dyDescent="0.2">
      <c r="B2420" s="10" t="s">
        <v>909</v>
      </c>
      <c r="C2420" s="10" t="s">
        <v>110</v>
      </c>
      <c r="D2420" s="16">
        <f>D2419/(Inputs!$D$7+$D$2426)^D2400</f>
        <v>-10702.871378866044</v>
      </c>
      <c r="E2420" s="16">
        <f>E2419/(Inputs!$D$7+$D$2426)^E2400</f>
        <v>-20386.405063072201</v>
      </c>
      <c r="F2420" s="16">
        <f>F2419/(Inputs!$D$7+$D$2426)^F2400</f>
        <v>-2906.7243827919842</v>
      </c>
      <c r="G2420" s="16">
        <f>G2419/(Inputs!$D$7+$D$2426)^G2400</f>
        <v>9504.8045765882234</v>
      </c>
      <c r="H2420" s="16">
        <f>H2419/(Inputs!$D$7+$D$2426)^H2400</f>
        <v>11747.071325704617</v>
      </c>
      <c r="I2420" s="16">
        <f>I2419/(Inputs!$D$7+$D$2426)^I2400</f>
        <v>-685.41580663750699</v>
      </c>
      <c r="J2420" s="16">
        <f>J2419/(Inputs!$D$7+$D$2426)^J2400</f>
        <v>3315.2883207105056</v>
      </c>
      <c r="K2420" s="16">
        <f>K2419/(Inputs!$D$7+$D$2426)^K2400</f>
        <v>7113.1769787492485</v>
      </c>
      <c r="L2420" s="16">
        <f>L2419/(Inputs!$D$7+$D$2426)^L2400</f>
        <v>7204.6988394400469</v>
      </c>
      <c r="M2420" s="16">
        <f>M2419/(Inputs!$D$7+$D$2426)^M2400</f>
        <v>-420.37835045824954</v>
      </c>
    </row>
    <row r="2421" spans="2:13" ht="15" customHeight="1" x14ac:dyDescent="0.2">
      <c r="B2421" s="3" t="s">
        <v>910</v>
      </c>
      <c r="C2421" s="10" t="s">
        <v>896</v>
      </c>
      <c r="D2421" s="28">
        <f>(D2407*$D$2425-D2411)/(Inputs!$D$7+$D$2426)^D2400</f>
        <v>74.490519309095831</v>
      </c>
      <c r="E2421" s="28">
        <f>(E2407*$D$2425-E2411)/(Inputs!$D$7+$D$2426)^E2400</f>
        <v>346.09451503846662</v>
      </c>
      <c r="F2421" s="28">
        <f>(F2407*$D$2425-F2411)/(Inputs!$D$7+$D$2426)^F2400</f>
        <v>601.79110266312398</v>
      </c>
      <c r="G2421" s="28">
        <f>(G2407*$D$2425-G2411)/(Inputs!$D$7+$D$2426)^G2400</f>
        <v>702.83446516544734</v>
      </c>
      <c r="H2421" s="28">
        <f>(H2407*$D$2425-H2411)/(Inputs!$D$7+$D$2426)^H2400</f>
        <v>674.43286946611579</v>
      </c>
      <c r="I2421" s="28">
        <f>(I2407*$D$2425-I2411)/(Inputs!$D$7+$D$2426)^I2400</f>
        <v>596.69348218898278</v>
      </c>
      <c r="J2421" s="28">
        <f>(J2407*$D$2425-J2411)/(Inputs!$D$7+$D$2426)^J2400</f>
        <v>528.09150417844353</v>
      </c>
      <c r="K2421" s="28">
        <f>(K2407*$D$2425-K2411)/(Inputs!$D$7+$D$2426)^K2400</f>
        <v>467.37671033772904</v>
      </c>
      <c r="L2421" s="28">
        <f>(L2407*$D$2425-L2411)/(Inputs!$D$7+$D$2426)^L2400</f>
        <v>413.64230940610946</v>
      </c>
      <c r="M2421" s="28">
        <f>(M2407*$D$2425-M2411)/(Inputs!$D$7+$D$2426)^M2400</f>
        <v>365.96328731072373</v>
      </c>
    </row>
    <row r="2422" spans="2:13" ht="15" customHeight="1" x14ac:dyDescent="0.2">
      <c r="B2422" s="10" t="s">
        <v>911</v>
      </c>
      <c r="C2422" s="10" t="s">
        <v>110</v>
      </c>
      <c r="D2422" s="16">
        <f>(-D2409-D2410)/(Inputs!$D$7+$D$2426)^D2400</f>
        <v>-12808.928289029636</v>
      </c>
      <c r="E2422" s="16">
        <f>(-E2409-E2410)/(Inputs!$D$7+$D$2426)^E2400</f>
        <v>-30219.974420642928</v>
      </c>
      <c r="F2422" s="16">
        <f>(-F2409-F2410)/(Inputs!$D$7+$D$2426)^F2400</f>
        <v>-20059.183095337907</v>
      </c>
      <c r="G2422" s="16">
        <f>(-G2409-G2410)/(Inputs!$D$7+$D$2426)^G2400</f>
        <v>-10551.720115889953</v>
      </c>
      <c r="H2422" s="16">
        <f>(-H2409-H2410)/(Inputs!$D$7+$D$2426)^H2400</f>
        <v>-7513.0713511684744</v>
      </c>
      <c r="I2422" s="16">
        <f>(-I2409-I2410)/(Inputs!$D$7+$D$2426)^I2400</f>
        <v>-17725.512933602091</v>
      </c>
      <c r="J2422" s="16">
        <f>(-J2409-J2410)/(Inputs!$D$7+$D$2426)^J2400</f>
        <v>-11765.705173827875</v>
      </c>
      <c r="K2422" s="16">
        <f>(-K2409-K2410)/(Inputs!$D$7+$D$2426)^K2400</f>
        <v>-6233.95144943378</v>
      </c>
      <c r="L2422" s="16">
        <f>(-L2409-L2410)/(Inputs!$D$7+$D$2426)^L2400</f>
        <v>-4607.9073620630261</v>
      </c>
      <c r="M2422" s="16">
        <f>(-M2409-M2410)/(Inputs!$D$7+$D$2426)^M2400</f>
        <v>-10871.389039901173</v>
      </c>
    </row>
    <row r="2423" spans="2:13" ht="15" customHeight="1" x14ac:dyDescent="0.2">
      <c r="B2423" s="10" t="s">
        <v>912</v>
      </c>
      <c r="C2423" s="10" t="s">
        <v>110</v>
      </c>
      <c r="D2423" s="16">
        <f>Prices!K14</f>
        <v>29828.700386874909</v>
      </c>
    </row>
    <row r="2424" spans="2:13" ht="15" customHeight="1" x14ac:dyDescent="0.2">
      <c r="B2424" s="3" t="s">
        <v>913</v>
      </c>
      <c r="C2424" s="10" t="s">
        <v>914</v>
      </c>
      <c r="D2424" s="28">
        <f>IF(J2431&gt;=J2427,J2431,(D2423-J2430)/J2429)</f>
        <v>32.529143003264316</v>
      </c>
      <c r="G2424" s="99" t="s">
        <v>915</v>
      </c>
      <c r="H2424" s="91"/>
      <c r="I2424" s="91"/>
      <c r="J2424" s="28">
        <f>D2424*Inputs!$D$15</f>
        <v>22.702088901978165</v>
      </c>
      <c r="K2424" s="99" t="s">
        <v>916</v>
      </c>
      <c r="L2424" s="91"/>
      <c r="M2424" s="91"/>
    </row>
    <row r="2425" spans="2:13" ht="15" customHeight="1" x14ac:dyDescent="0.2">
      <c r="B2425" s="10" t="s">
        <v>917</v>
      </c>
      <c r="C2425" s="10" t="s">
        <v>104</v>
      </c>
      <c r="D2425" s="30">
        <f>Inputs!$D$94</f>
        <v>0.75</v>
      </c>
      <c r="G2425" s="99" t="s">
        <v>918</v>
      </c>
      <c r="H2425" s="91"/>
      <c r="I2425" s="91"/>
      <c r="J2425" s="28">
        <f>IF(-D2436/D2435&gt;=J2427,-D2436/D2435,-J2430/J2429)</f>
        <v>27.411702074287536</v>
      </c>
      <c r="K2425" s="99" t="s">
        <v>919</v>
      </c>
      <c r="L2425" s="91"/>
      <c r="M2425" s="91"/>
    </row>
    <row r="2426" spans="2:13" ht="15" customHeight="1" x14ac:dyDescent="0.2">
      <c r="B2426" s="10" t="s">
        <v>920</v>
      </c>
      <c r="C2426" s="10" t="s">
        <v>104</v>
      </c>
      <c r="D2426" s="30">
        <f>Inputs!$D$95</f>
        <v>0.13</v>
      </c>
      <c r="G2426" s="99" t="s">
        <v>918</v>
      </c>
      <c r="H2426" s="91"/>
      <c r="I2426" s="91"/>
      <c r="J2426" s="28">
        <f>J2425*Inputs!$D$15</f>
        <v>19.13062687764527</v>
      </c>
      <c r="K2426" s="99" t="s">
        <v>916</v>
      </c>
      <c r="L2426" s="91"/>
      <c r="M2426" s="91"/>
    </row>
    <row r="2427" spans="2:13" ht="15" customHeight="1" x14ac:dyDescent="0.2">
      <c r="B2427" s="3" t="s">
        <v>921</v>
      </c>
      <c r="C2427" s="10" t="s">
        <v>848</v>
      </c>
      <c r="D2427" s="28">
        <f>Capital!$D$13</f>
        <v>57.347931490590682</v>
      </c>
      <c r="G2427" s="99" t="s">
        <v>922</v>
      </c>
      <c r="H2427" s="91"/>
      <c r="I2427" s="91"/>
      <c r="J2427" s="28">
        <f>($D$2427/Inputs!$D$21+$D$2428/Inputs!$D$22)/$D$2425</f>
        <v>19.290461530476374</v>
      </c>
      <c r="K2427" s="99" t="s">
        <v>919</v>
      </c>
      <c r="L2427" s="91"/>
      <c r="M2427" s="91"/>
    </row>
    <row r="2428" spans="2:13" ht="15" customHeight="1" x14ac:dyDescent="0.2">
      <c r="B2428" s="3" t="s">
        <v>923</v>
      </c>
      <c r="C2428" s="10" t="s">
        <v>848</v>
      </c>
      <c r="D2428" s="28">
        <f>Capital!$D$14</f>
        <v>2.6172655041921802</v>
      </c>
    </row>
    <row r="2429" spans="2:13" ht="15" customHeight="1" x14ac:dyDescent="0.2">
      <c r="B2429" s="10" t="s">
        <v>924</v>
      </c>
      <c r="C2429" s="10" t="s">
        <v>896</v>
      </c>
      <c r="D2429" s="28">
        <f>(M2402*(Inputs!$D$7+Inputs!$D$20)*$D$2425*(Inputs!$D$7-Inputs!$D$19)-M2402*Inputs!$D$20*Inputs!$D$23)/($D$2426-Inputs!$D$20)/(Inputs!$D$7+$D$2426)^M2400</f>
        <v>2497.8446594223992</v>
      </c>
      <c r="G2429" s="92" t="s">
        <v>910</v>
      </c>
      <c r="H2429" s="91"/>
      <c r="I2429" s="91"/>
      <c r="J2429" s="28">
        <f>SUM(D2421:M2421)+(M2402*(Inputs!$D$7+Inputs!$D$20)*$D$2425-M2402*Inputs!$D$20*Inputs!$D$23)/($D$2426-Inputs!$D$20)/(Inputs!$D$7+$D$2426)^M2400</f>
        <v>8341.0050516109004</v>
      </c>
      <c r="K2429" s="99" t="s">
        <v>896</v>
      </c>
      <c r="L2429" s="91"/>
      <c r="M2429" s="91"/>
    </row>
    <row r="2430" spans="2:13" ht="15" customHeight="1" x14ac:dyDescent="0.2">
      <c r="B2430" s="10" t="s">
        <v>925</v>
      </c>
      <c r="C2430" s="10" t="s">
        <v>110</v>
      </c>
      <c r="D2430" s="16">
        <f>(D2433*Inputs!$D$19-D2433-D2434)/($D$2426-Inputs!$D$20)/(Inputs!$D$7+$D$2426)^M2400</f>
        <v>-55207.290798783099</v>
      </c>
      <c r="G2430" s="92" t="s">
        <v>926</v>
      </c>
      <c r="H2430" s="91"/>
      <c r="I2430" s="91"/>
      <c r="J2430" s="16">
        <f>SUM(D2422:M2422)-(D2433+D2434)/($D$2426-Inputs!$D$20)/(Inputs!$D$7+$D$2426)^M2400</f>
        <v>-208239.17898202292</v>
      </c>
      <c r="K2430" s="99" t="s">
        <v>110</v>
      </c>
      <c r="L2430" s="91"/>
      <c r="M2430" s="91"/>
    </row>
    <row r="2431" spans="2:13" ht="15" customHeight="1" x14ac:dyDescent="0.2">
      <c r="B2431" s="10" t="s">
        <v>927</v>
      </c>
      <c r="C2431" s="10" t="s">
        <v>928</v>
      </c>
      <c r="D2431" s="16">
        <f>(M2402*(Inputs!$D$7+Inputs!$D$20)*$D$2424*$D$2425-D2433)-MAX((M2402*(Inputs!$D$7+Inputs!$D$20)*$D$2424*$D$2425-D2433),Inputs!$D$6)*Inputs!$D$19-D2434-M2402*Inputs!$D$20*$D$2424*Inputs!$D$23</f>
        <v>8967.3677252758371</v>
      </c>
      <c r="G2431" s="99" t="s">
        <v>929</v>
      </c>
      <c r="H2431" s="91"/>
      <c r="I2431" s="91"/>
      <c r="J2431" s="28">
        <f>(D2423-D2436)/D2435</f>
        <v>32.529143003264316</v>
      </c>
      <c r="K2431" s="99" t="s">
        <v>919</v>
      </c>
      <c r="L2431" s="91"/>
      <c r="M2431" s="91"/>
    </row>
    <row r="2432" spans="2:13" ht="15" customHeight="1" x14ac:dyDescent="0.2">
      <c r="B2432" s="10" t="s">
        <v>930</v>
      </c>
      <c r="C2432" s="10" t="s">
        <v>110</v>
      </c>
      <c r="D2432" s="16">
        <f>D2431/($D$2426-Inputs!$D$20)</f>
        <v>85403.502145484148</v>
      </c>
      <c r="G2432" s="99" t="s">
        <v>931</v>
      </c>
      <c r="H2432" s="91"/>
      <c r="I2432" s="91"/>
      <c r="J2432" s="16">
        <f>MIN(D2416:M2416,(M2402*(Inputs!$D$7+Inputs!$D$20)*$D$2424*$D$2425-D2433))</f>
        <v>1153.302551864145</v>
      </c>
      <c r="K2432" s="99" t="s">
        <v>110</v>
      </c>
      <c r="L2432" s="91"/>
      <c r="M2432" s="91"/>
    </row>
    <row r="2433" spans="1:13" ht="15" customHeight="1" x14ac:dyDescent="0.2">
      <c r="B2433" s="10" t="s">
        <v>932</v>
      </c>
      <c r="C2433" s="10" t="s">
        <v>928</v>
      </c>
      <c r="D2433" s="16">
        <f>M2402*(Inputs!$D$7+Inputs!$D$20)*($D$2427/Inputs!$D$21+$D$2428/Inputs!$D$22)</f>
        <v>23727.267682485937</v>
      </c>
      <c r="G2433" s="99" t="s">
        <v>933</v>
      </c>
      <c r="H2433" s="91"/>
      <c r="I2433" s="91"/>
      <c r="J2433" s="31" t="str">
        <f>IF(J2432&lt;Inputs!$D$6,"breached","satisfied")</f>
        <v>satisfied</v>
      </c>
      <c r="K2433" s="99" t="s">
        <v>934</v>
      </c>
      <c r="L2433" s="91"/>
      <c r="M2433" s="91"/>
    </row>
    <row r="2434" spans="1:13" ht="15" customHeight="1" x14ac:dyDescent="0.2">
      <c r="B2434" s="10" t="s">
        <v>935</v>
      </c>
      <c r="C2434" s="10" t="s">
        <v>928</v>
      </c>
      <c r="D2434" s="16">
        <f>M2402*Inputs!$D$20*($D$2427+$D$2428)</f>
        <v>2398.6078797913146</v>
      </c>
    </row>
    <row r="2435" spans="1:13" ht="15" customHeight="1" x14ac:dyDescent="0.2">
      <c r="B2435" s="10" t="s">
        <v>936</v>
      </c>
      <c r="C2435" s="10" t="s">
        <v>896</v>
      </c>
      <c r="D2435" s="28">
        <f>SUM(D2412:M2412)+D2429</f>
        <v>5828.8314024250149</v>
      </c>
      <c r="G2435" s="99" t="s">
        <v>937</v>
      </c>
      <c r="H2435" s="91"/>
      <c r="I2435" s="91"/>
      <c r="J2435" s="16">
        <f>D2437-D2423</f>
        <v>-5.8207660913467407E-11</v>
      </c>
      <c r="K2435" s="99" t="s">
        <v>110</v>
      </c>
      <c r="L2435" s="91"/>
      <c r="M2435" s="91"/>
    </row>
    <row r="2436" spans="1:13" ht="15" customHeight="1" x14ac:dyDescent="0.2">
      <c r="B2436" s="10" t="s">
        <v>938</v>
      </c>
      <c r="C2436" s="10" t="s">
        <v>110</v>
      </c>
      <c r="D2436" s="16">
        <f>SUM(D2413:M2413)+D2430</f>
        <v>-159778.18984452612</v>
      </c>
    </row>
    <row r="2437" spans="1:13" ht="15" customHeight="1" x14ac:dyDescent="0.2">
      <c r="B2437" s="10" t="s">
        <v>939</v>
      </c>
      <c r="C2437" s="10" t="s">
        <v>110</v>
      </c>
      <c r="D2437" s="16">
        <f>SUM(D2420:M2420)+D2432/(Inputs!$D$7+$D$2426)^M2400</f>
        <v>29828.700386874851</v>
      </c>
    </row>
    <row r="2438" spans="1:13" ht="15" customHeight="1" x14ac:dyDescent="0.2">
      <c r="B2438" s="10" t="s">
        <v>940</v>
      </c>
      <c r="C2438" s="10" t="s">
        <v>104</v>
      </c>
      <c r="D2438" s="30">
        <f>IF(ABS(D2423)&gt;Inputs!$D$6,D2437/D2423-Inputs!$D$7,Inputs!$D$6)</f>
        <v>-1.9984014443252818E-15</v>
      </c>
    </row>
    <row r="2439" spans="1:13" ht="15" customHeight="1" x14ac:dyDescent="0.2">
      <c r="B2439" s="10" t="s">
        <v>941</v>
      </c>
      <c r="C2439" s="10" t="s">
        <v>104</v>
      </c>
      <c r="D2439" s="30">
        <f>IF(ABS(D2437)&gt;Inputs!$D$119,D2432/(Inputs!$D$7+$D$2426)^M2400/D2437,Inputs!$D$6)</f>
        <v>0.87316762010082893</v>
      </c>
    </row>
    <row r="2440" spans="1:13" ht="15" customHeight="1" x14ac:dyDescent="0.2">
      <c r="B2440" s="10" t="s">
        <v>942</v>
      </c>
      <c r="C2440" s="10" t="s">
        <v>943</v>
      </c>
      <c r="D2440" s="26">
        <f>$D$2424*Inputs!$D$8/Prices!$P$6/(Inputs!$D$26/Inputs!$D$25)/Inputs!$D$11/Inputs!$D$56</f>
        <v>5.9155234631420184</v>
      </c>
    </row>
    <row r="2444" spans="1:13" ht="15" customHeight="1" x14ac:dyDescent="0.2">
      <c r="A2444" s="104" t="s">
        <v>996</v>
      </c>
      <c r="B2444" s="10" t="s">
        <v>886</v>
      </c>
      <c r="C2444" s="10" t="s">
        <v>107</v>
      </c>
      <c r="D2444" s="28">
        <f>Inputs!$D$60</f>
        <v>1</v>
      </c>
      <c r="E2444" s="28">
        <f>Inputs!$D$62</f>
        <v>2</v>
      </c>
      <c r="F2444" s="28">
        <f>Inputs!$D$64</f>
        <v>3</v>
      </c>
      <c r="G2444" s="28">
        <f>Inputs!$D$66</f>
        <v>4</v>
      </c>
      <c r="H2444" s="28">
        <f>Inputs!$D$68</f>
        <v>5</v>
      </c>
      <c r="I2444" s="28">
        <f>Inputs!$D$70</f>
        <v>6</v>
      </c>
      <c r="J2444" s="28">
        <f>Inputs!$D$72</f>
        <v>7</v>
      </c>
      <c r="K2444" s="28">
        <f>Inputs!$D$74</f>
        <v>8</v>
      </c>
      <c r="L2444" s="28">
        <f>Inputs!$D$76</f>
        <v>9</v>
      </c>
      <c r="M2444" s="28">
        <f>Inputs!$D$78</f>
        <v>10</v>
      </c>
    </row>
    <row r="2445" spans="1:13" ht="15" customHeight="1" x14ac:dyDescent="0.2">
      <c r="A2445" s="91"/>
      <c r="B2445" s="10" t="s">
        <v>887</v>
      </c>
      <c r="C2445" s="10" t="s">
        <v>161</v>
      </c>
      <c r="D2445" s="29">
        <f>Inputs!$D$61</f>
        <v>46568</v>
      </c>
      <c r="E2445" s="29">
        <f>Inputs!$D$63</f>
        <v>46934</v>
      </c>
      <c r="F2445" s="29">
        <f>Inputs!$D$65</f>
        <v>47299</v>
      </c>
      <c r="G2445" s="29">
        <f>Inputs!$D$67</f>
        <v>47664</v>
      </c>
      <c r="H2445" s="29">
        <f>Inputs!$D$69</f>
        <v>48029</v>
      </c>
      <c r="I2445" s="29">
        <f>Inputs!$D$71</f>
        <v>48395</v>
      </c>
      <c r="J2445" s="29">
        <f>Inputs!$D$73</f>
        <v>48760</v>
      </c>
      <c r="K2445" s="29">
        <f>Inputs!$D$75</f>
        <v>49125</v>
      </c>
      <c r="L2445" s="29">
        <f>Inputs!$D$77</f>
        <v>49490</v>
      </c>
      <c r="M2445" s="29">
        <f>Inputs!$D$79</f>
        <v>49856</v>
      </c>
    </row>
    <row r="2446" spans="1:13" ht="15" customHeight="1" x14ac:dyDescent="0.2">
      <c r="A2446" s="91"/>
      <c r="B2446" s="10" t="s">
        <v>888</v>
      </c>
      <c r="C2446" s="10" t="s">
        <v>107</v>
      </c>
      <c r="D2446" s="28">
        <f>(D2445-Inputs!$D$13)/Inputs!$D$10</f>
        <v>0.71457905544147848</v>
      </c>
      <c r="E2446" s="28">
        <f>(E2445-Inputs!$D$13)/Inputs!$D$10</f>
        <v>1.7166324435318274</v>
      </c>
      <c r="F2446" s="28">
        <f>(F2445-Inputs!$D$13)/Inputs!$D$10</f>
        <v>2.7159479808350446</v>
      </c>
      <c r="G2446" s="28">
        <f>(G2445-Inputs!$D$13)/Inputs!$D$10</f>
        <v>3.7152635181382614</v>
      </c>
      <c r="H2446" s="28">
        <f>(H2445-Inputs!$D$13)/Inputs!$D$10</f>
        <v>4.7145790554414786</v>
      </c>
      <c r="I2446" s="28">
        <f>(I2445-Inputs!$D$13)/Inputs!$D$10</f>
        <v>5.7166324435318279</v>
      </c>
      <c r="J2446" s="28">
        <f>(J2445-Inputs!$D$13)/Inputs!$D$10</f>
        <v>6.7159479808350442</v>
      </c>
      <c r="K2446" s="28">
        <f>(K2445-Inputs!$D$13)/Inputs!$D$10</f>
        <v>7.7152635181382614</v>
      </c>
      <c r="L2446" s="28">
        <f>(L2445-Inputs!$D$13)/Inputs!$D$10</f>
        <v>8.7145790554414777</v>
      </c>
      <c r="M2446" s="28">
        <f>(M2445-Inputs!$D$13)/Inputs!$D$10</f>
        <v>9.716632443531827</v>
      </c>
    </row>
    <row r="2447" spans="1:13" ht="15" customHeight="1" x14ac:dyDescent="0.2">
      <c r="A2447" s="91"/>
      <c r="B2447" s="10" t="s">
        <v>889</v>
      </c>
      <c r="C2447" s="10" t="s">
        <v>107</v>
      </c>
      <c r="D2447" s="28">
        <f>D2446</f>
        <v>0.71457905544147848</v>
      </c>
      <c r="E2447" s="28">
        <f>Inputs!$D$7</f>
        <v>1</v>
      </c>
      <c r="F2447" s="28">
        <f>Inputs!$D$7</f>
        <v>1</v>
      </c>
      <c r="G2447" s="28">
        <f>Inputs!$D$7</f>
        <v>1</v>
      </c>
      <c r="H2447" s="28">
        <f>Inputs!$D$7</f>
        <v>1</v>
      </c>
      <c r="I2447" s="28">
        <f>Inputs!$D$7</f>
        <v>1</v>
      </c>
      <c r="J2447" s="28">
        <f>Inputs!$D$7</f>
        <v>1</v>
      </c>
      <c r="K2447" s="28">
        <f>Inputs!$D$7</f>
        <v>1</v>
      </c>
      <c r="L2447" s="28">
        <f>Inputs!$D$7</f>
        <v>1</v>
      </c>
      <c r="M2447" s="28">
        <f>Inputs!$D$7</f>
        <v>1</v>
      </c>
    </row>
    <row r="2448" spans="1:13" ht="15" customHeight="1" x14ac:dyDescent="0.2">
      <c r="A2448" s="91"/>
      <c r="B2448" s="3" t="s">
        <v>890</v>
      </c>
      <c r="C2448" s="10" t="s">
        <v>199</v>
      </c>
      <c r="D2448" s="28">
        <f>Inputs!$D$24+(Inputs!$D$106-Inputs!$D$24)*Inputs!$D$109</f>
        <v>170.32</v>
      </c>
      <c r="E2448" s="28">
        <f>Inputs!$D$24+(Inputs!$D$106-Inputs!$D$24)*Inputs!$D$110</f>
        <v>481.12000000000006</v>
      </c>
      <c r="F2448" s="28">
        <f>Inputs!$D$24+(Inputs!$D$106-Inputs!$D$24)*Inputs!$D$111</f>
        <v>823</v>
      </c>
      <c r="G2448" s="28">
        <f>Inputs!$D$24+(Inputs!$D$106-Inputs!$D$24)*Inputs!$D$112</f>
        <v>1211.5</v>
      </c>
      <c r="H2448" s="28">
        <f>Inputs!$D$24+(Inputs!$D$106-Inputs!$D$24)*Inputs!$D$113</f>
        <v>1600</v>
      </c>
      <c r="I2448" s="28">
        <f>Inputs!$D$24+(Inputs!$D$106-Inputs!$D$24)*Inputs!$D$114</f>
        <v>1600</v>
      </c>
      <c r="J2448" s="28">
        <f>Inputs!$D$24+(Inputs!$D$106-Inputs!$D$24)*Inputs!$D$115</f>
        <v>1600</v>
      </c>
      <c r="K2448" s="28">
        <f>Inputs!$D$24+(Inputs!$D$106-Inputs!$D$24)*Inputs!$D$116</f>
        <v>1600</v>
      </c>
      <c r="L2448" s="28">
        <f>Inputs!$D$24+(Inputs!$D$106-Inputs!$D$24)*Inputs!$D$117</f>
        <v>1600</v>
      </c>
      <c r="M2448" s="28">
        <f>Inputs!$D$24+(Inputs!$D$106-Inputs!$D$24)*Inputs!$D$118</f>
        <v>1600</v>
      </c>
    </row>
    <row r="2449" spans="1:13" ht="15" customHeight="1" x14ac:dyDescent="0.2">
      <c r="A2449" s="91"/>
      <c r="B2449" s="10" t="s">
        <v>891</v>
      </c>
      <c r="C2449" s="10" t="s">
        <v>199</v>
      </c>
      <c r="D2449" s="28">
        <f>Inputs!$D$24</f>
        <v>46</v>
      </c>
      <c r="E2449" s="28">
        <f t="shared" ref="E2449:M2449" si="530">D2448</f>
        <v>170.32</v>
      </c>
      <c r="F2449" s="28">
        <f t="shared" si="530"/>
        <v>481.12000000000006</v>
      </c>
      <c r="G2449" s="28">
        <f t="shared" si="530"/>
        <v>823</v>
      </c>
      <c r="H2449" s="28">
        <f t="shared" si="530"/>
        <v>1211.5</v>
      </c>
      <c r="I2449" s="28">
        <f t="shared" si="530"/>
        <v>1600</v>
      </c>
      <c r="J2449" s="28">
        <f t="shared" si="530"/>
        <v>1600</v>
      </c>
      <c r="K2449" s="28">
        <f t="shared" si="530"/>
        <v>1600</v>
      </c>
      <c r="L2449" s="28">
        <f t="shared" si="530"/>
        <v>1600</v>
      </c>
      <c r="M2449" s="28">
        <f t="shared" si="530"/>
        <v>1600</v>
      </c>
    </row>
    <row r="2450" spans="1:13" ht="15" customHeight="1" x14ac:dyDescent="0.2">
      <c r="B2450" s="10" t="s">
        <v>892</v>
      </c>
      <c r="C2450" s="10" t="s">
        <v>199</v>
      </c>
      <c r="D2450" s="28">
        <f>(D2449+D2448)*Inputs!$D$12</f>
        <v>108.16</v>
      </c>
      <c r="E2450" s="28">
        <f>(E2449+E2448)*Inputs!$D$12</f>
        <v>325.72000000000003</v>
      </c>
      <c r="F2450" s="28">
        <f>(F2449+F2448)*Inputs!$D$12</f>
        <v>652.06000000000006</v>
      </c>
      <c r="G2450" s="28">
        <f>(G2449+G2448)*Inputs!$D$12</f>
        <v>1017.25</v>
      </c>
      <c r="H2450" s="28">
        <f>(H2449+H2448)*Inputs!$D$12</f>
        <v>1405.75</v>
      </c>
      <c r="I2450" s="28">
        <f>(I2449+I2448)*Inputs!$D$12</f>
        <v>1600</v>
      </c>
      <c r="J2450" s="28">
        <f>(J2449+J2448)*Inputs!$D$12</f>
        <v>1600</v>
      </c>
      <c r="K2450" s="28">
        <f>(K2449+K2448)*Inputs!$D$12</f>
        <v>1600</v>
      </c>
      <c r="L2450" s="28">
        <f>(L2449+L2448)*Inputs!$D$12</f>
        <v>1600</v>
      </c>
      <c r="M2450" s="28">
        <f>(M2449+M2448)*Inputs!$D$12</f>
        <v>1600</v>
      </c>
    </row>
    <row r="2451" spans="1:13" ht="15" customHeight="1" x14ac:dyDescent="0.2">
      <c r="B2451" s="10" t="s">
        <v>893</v>
      </c>
      <c r="C2451" s="10" t="s">
        <v>199</v>
      </c>
      <c r="D2451" s="28">
        <f t="shared" ref="D2451:M2451" si="531">D2448-D2449</f>
        <v>124.32</v>
      </c>
      <c r="E2451" s="28">
        <f t="shared" si="531"/>
        <v>310.80000000000007</v>
      </c>
      <c r="F2451" s="28">
        <f t="shared" si="531"/>
        <v>341.87999999999994</v>
      </c>
      <c r="G2451" s="28">
        <f t="shared" si="531"/>
        <v>388.5</v>
      </c>
      <c r="H2451" s="28">
        <f t="shared" si="531"/>
        <v>388.5</v>
      </c>
      <c r="I2451" s="28">
        <f t="shared" si="531"/>
        <v>0</v>
      </c>
      <c r="J2451" s="28">
        <f t="shared" si="531"/>
        <v>0</v>
      </c>
      <c r="K2451" s="28">
        <f t="shared" si="531"/>
        <v>0</v>
      </c>
      <c r="L2451" s="28">
        <f t="shared" si="531"/>
        <v>0</v>
      </c>
      <c r="M2451" s="28">
        <f t="shared" si="531"/>
        <v>0</v>
      </c>
    </row>
    <row r="2452" spans="1:13" ht="15" customHeight="1" x14ac:dyDescent="0.2">
      <c r="B2452" s="10" t="s">
        <v>894</v>
      </c>
      <c r="C2452" s="10" t="s">
        <v>199</v>
      </c>
      <c r="D2452" s="28">
        <f>IF(MOD(D2444,Inputs!$D$21)=Inputs!$D$6,Inputs!$D$24,Inputs!$D$6)+SUMPRODUCT(--(D2444&gt;$D$2444:$M$2444),--(MOD(D2444-$D$2444:$M$2444,Inputs!$D$21)=Inputs!$D$6),$D$2451:$M$2451)</f>
        <v>0</v>
      </c>
      <c r="E2452" s="28">
        <f>IF(MOD(E2444,Inputs!$D$21)=Inputs!$D$6,Inputs!$D$24,Inputs!$D$6)+SUMPRODUCT(--(E2444&gt;$D$2444:$M$2444),--(MOD(E2444-$D$2444:$M$2444,Inputs!$D$21)=Inputs!$D$6),$D$2451:$M$2451)</f>
        <v>0</v>
      </c>
      <c r="F2452" s="28">
        <f>IF(MOD(F2444,Inputs!$D$21)=Inputs!$D$6,Inputs!$D$24,Inputs!$D$6)+SUMPRODUCT(--(F2444&gt;$D$2444:$M$2444),--(MOD(F2444-$D$2444:$M$2444,Inputs!$D$21)=Inputs!$D$6),$D$2451:$M$2451)</f>
        <v>0</v>
      </c>
      <c r="G2452" s="28">
        <f>IF(MOD(G2444,Inputs!$D$21)=Inputs!$D$6,Inputs!$D$24,Inputs!$D$6)+SUMPRODUCT(--(G2444&gt;$D$2444:$M$2444),--(MOD(G2444-$D$2444:$M$2444,Inputs!$D$21)=Inputs!$D$6),$D$2451:$M$2451)</f>
        <v>46</v>
      </c>
      <c r="H2452" s="28">
        <f>IF(MOD(H2444,Inputs!$D$21)=Inputs!$D$6,Inputs!$D$24,Inputs!$D$6)+SUMPRODUCT(--(H2444&gt;$D$2444:$M$2444),--(MOD(H2444-$D$2444:$M$2444,Inputs!$D$21)=Inputs!$D$6),$D$2451:$M$2451)</f>
        <v>124.32</v>
      </c>
      <c r="I2452" s="28">
        <f>IF(MOD(I2444,Inputs!$D$21)=Inputs!$D$6,Inputs!$D$24,Inputs!$D$6)+SUMPRODUCT(--(I2444&gt;$D$2444:$M$2444),--(MOD(I2444-$D$2444:$M$2444,Inputs!$D$21)=Inputs!$D$6),$D$2451:$M$2451)</f>
        <v>310.80000000000007</v>
      </c>
      <c r="J2452" s="28">
        <f>IF(MOD(J2444,Inputs!$D$21)=Inputs!$D$6,Inputs!$D$24,Inputs!$D$6)+SUMPRODUCT(--(J2444&gt;$D$2444:$M$2444),--(MOD(J2444-$D$2444:$M$2444,Inputs!$D$21)=Inputs!$D$6),$D$2451:$M$2451)</f>
        <v>341.87999999999994</v>
      </c>
      <c r="K2452" s="28">
        <f>IF(MOD(K2444,Inputs!$D$21)=Inputs!$D$6,Inputs!$D$24,Inputs!$D$6)+SUMPRODUCT(--(K2444&gt;$D$2444:$M$2444),--(MOD(K2444-$D$2444:$M$2444,Inputs!$D$21)=Inputs!$D$6),$D$2451:$M$2451)</f>
        <v>434.5</v>
      </c>
      <c r="L2452" s="28">
        <f>IF(MOD(L2444,Inputs!$D$21)=Inputs!$D$6,Inputs!$D$24,Inputs!$D$6)+SUMPRODUCT(--(L2444&gt;$D$2444:$M$2444),--(MOD(L2444-$D$2444:$M$2444,Inputs!$D$21)=Inputs!$D$6),$D$2451:$M$2451)</f>
        <v>512.81999999999994</v>
      </c>
      <c r="M2452" s="28">
        <f>IF(MOD(M2444,Inputs!$D$21)=Inputs!$D$6,Inputs!$D$24,Inputs!$D$6)+SUMPRODUCT(--(M2444&gt;$D$2444:$M$2444),--(MOD(M2444-$D$2444:$M$2444,Inputs!$D$21)=Inputs!$D$6),$D$2451:$M$2451)</f>
        <v>310.80000000000007</v>
      </c>
    </row>
    <row r="2453" spans="1:13" ht="15" customHeight="1" x14ac:dyDescent="0.2">
      <c r="B2453" s="10" t="s">
        <v>895</v>
      </c>
      <c r="C2453" s="10" t="s">
        <v>896</v>
      </c>
      <c r="D2453" s="28">
        <f t="shared" ref="D2453:M2453" si="532">D2450*D2447</f>
        <v>77.288870636550314</v>
      </c>
      <c r="E2453" s="28">
        <f t="shared" si="532"/>
        <v>325.72000000000003</v>
      </c>
      <c r="F2453" s="28">
        <f t="shared" si="532"/>
        <v>652.06000000000006</v>
      </c>
      <c r="G2453" s="28">
        <f t="shared" si="532"/>
        <v>1017.25</v>
      </c>
      <c r="H2453" s="28">
        <f t="shared" si="532"/>
        <v>1405.75</v>
      </c>
      <c r="I2453" s="28">
        <f t="shared" si="532"/>
        <v>1600</v>
      </c>
      <c r="J2453" s="28">
        <f t="shared" si="532"/>
        <v>1600</v>
      </c>
      <c r="K2453" s="28">
        <f t="shared" si="532"/>
        <v>1600</v>
      </c>
      <c r="L2453" s="28">
        <f t="shared" si="532"/>
        <v>1600</v>
      </c>
      <c r="M2453" s="28">
        <f t="shared" si="532"/>
        <v>1600</v>
      </c>
    </row>
    <row r="2454" spans="1:13" ht="15" customHeight="1" x14ac:dyDescent="0.2">
      <c r="B2454" s="10" t="s">
        <v>897</v>
      </c>
      <c r="C2454" s="10" t="s">
        <v>110</v>
      </c>
      <c r="D2454" s="16">
        <f>D2453*($D$2473/Inputs!$D$21+$D$2474/Inputs!$D$22)</f>
        <v>1118.2034893112541</v>
      </c>
      <c r="E2454" s="16">
        <f>E2453*($D$2473/Inputs!$D$21+$D$2474/Inputs!$D$22)</f>
        <v>4712.466847280074</v>
      </c>
      <c r="F2454" s="16">
        <f>F2453*($D$2473/Inputs!$D$21+$D$2474/Inputs!$D$22)</f>
        <v>9433.9037591718188</v>
      </c>
      <c r="G2454" s="16">
        <f>G2453*($D$2473/Inputs!$D$21+$D$2474/Inputs!$D$22)</f>
        <v>14717.416493907818</v>
      </c>
      <c r="H2454" s="16">
        <f>H2453*($D$2473/Inputs!$D$21+$D$2474/Inputs!$D$22)</f>
        <v>20338.17472235037</v>
      </c>
      <c r="I2454" s="16">
        <f>I2453*($D$2473/Inputs!$D$21+$D$2474/Inputs!$D$22)</f>
        <v>23148.553836571649</v>
      </c>
      <c r="J2454" s="16">
        <f>J2453*($D$2473/Inputs!$D$21+$D$2474/Inputs!$D$22)</f>
        <v>23148.553836571649</v>
      </c>
      <c r="K2454" s="16">
        <f>K2453*($D$2473/Inputs!$D$21+$D$2474/Inputs!$D$22)</f>
        <v>23148.553836571649</v>
      </c>
      <c r="L2454" s="16">
        <f>L2453*($D$2473/Inputs!$D$21+$D$2474/Inputs!$D$22)</f>
        <v>23148.553836571649</v>
      </c>
      <c r="M2454" s="16">
        <f>M2453*($D$2473/Inputs!$D$21+$D$2474/Inputs!$D$22)</f>
        <v>23148.553836571649</v>
      </c>
    </row>
    <row r="2455" spans="1:13" ht="15" customHeight="1" x14ac:dyDescent="0.2">
      <c r="B2455" s="10" t="s">
        <v>898</v>
      </c>
      <c r="C2455" s="10" t="s">
        <v>110</v>
      </c>
      <c r="D2455" s="16">
        <f t="shared" ref="D2455:M2455" si="533">D2451*($D$2473+$D$2474)</f>
        <v>7454.8732903914051</v>
      </c>
      <c r="E2455" s="16">
        <f t="shared" si="533"/>
        <v>18637.183225978519</v>
      </c>
      <c r="F2455" s="16">
        <f t="shared" si="533"/>
        <v>20500.901548576363</v>
      </c>
      <c r="G2455" s="16">
        <f t="shared" si="533"/>
        <v>23296.479032473144</v>
      </c>
      <c r="H2455" s="16">
        <f t="shared" si="533"/>
        <v>23296.479032473144</v>
      </c>
      <c r="I2455" s="16">
        <f t="shared" si="533"/>
        <v>0</v>
      </c>
      <c r="J2455" s="16">
        <f t="shared" si="533"/>
        <v>0</v>
      </c>
      <c r="K2455" s="16">
        <f t="shared" si="533"/>
        <v>0</v>
      </c>
      <c r="L2455" s="16">
        <f t="shared" si="533"/>
        <v>0</v>
      </c>
      <c r="M2455" s="16">
        <f t="shared" si="533"/>
        <v>0</v>
      </c>
    </row>
    <row r="2456" spans="1:13" ht="15" customHeight="1" x14ac:dyDescent="0.2">
      <c r="B2456" s="10" t="s">
        <v>899</v>
      </c>
      <c r="C2456" s="10" t="s">
        <v>110</v>
      </c>
      <c r="D2456" s="16">
        <f t="shared" ref="D2456:M2456" si="534">D2452*$D$2473</f>
        <v>0</v>
      </c>
      <c r="E2456" s="16">
        <f t="shared" si="534"/>
        <v>0</v>
      </c>
      <c r="F2456" s="16">
        <f t="shared" si="534"/>
        <v>0</v>
      </c>
      <c r="G2456" s="16">
        <f t="shared" si="534"/>
        <v>2638.0048485671714</v>
      </c>
      <c r="H2456" s="16">
        <f t="shared" si="534"/>
        <v>7129.4948429102333</v>
      </c>
      <c r="I2456" s="16">
        <f t="shared" si="534"/>
        <v>17823.737107275589</v>
      </c>
      <c r="J2456" s="16">
        <f t="shared" si="534"/>
        <v>19606.110818003141</v>
      </c>
      <c r="K2456" s="16">
        <f t="shared" si="534"/>
        <v>24917.676232661652</v>
      </c>
      <c r="L2456" s="16">
        <f t="shared" si="534"/>
        <v>29409.166227004709</v>
      </c>
      <c r="M2456" s="16">
        <f t="shared" si="534"/>
        <v>17823.737107275589</v>
      </c>
    </row>
    <row r="2457" spans="1:13" ht="15" customHeight="1" x14ac:dyDescent="0.2">
      <c r="B2457" s="10" t="s">
        <v>900</v>
      </c>
      <c r="C2457" s="10" t="s">
        <v>199</v>
      </c>
      <c r="D2457" s="28">
        <f>D2451*Inputs!$D$23</f>
        <v>3.1080000000000001</v>
      </c>
      <c r="E2457" s="28">
        <f>E2451*Inputs!$D$23</f>
        <v>7.7700000000000022</v>
      </c>
      <c r="F2457" s="28">
        <f>F2451*Inputs!$D$23</f>
        <v>8.5469999999999988</v>
      </c>
      <c r="G2457" s="28">
        <f>G2451*Inputs!$D$23</f>
        <v>9.7125000000000004</v>
      </c>
      <c r="H2457" s="28">
        <f>H2451*Inputs!$D$23</f>
        <v>9.7125000000000004</v>
      </c>
      <c r="I2457" s="28">
        <f>I2451*Inputs!$D$23</f>
        <v>0</v>
      </c>
      <c r="J2457" s="28">
        <f>J2451*Inputs!$D$23</f>
        <v>0</v>
      </c>
      <c r="K2457" s="28">
        <f>K2451*Inputs!$D$23</f>
        <v>0</v>
      </c>
      <c r="L2457" s="28">
        <f>L2451*Inputs!$D$23</f>
        <v>0</v>
      </c>
      <c r="M2457" s="28">
        <f>M2451*Inputs!$D$23</f>
        <v>0</v>
      </c>
    </row>
    <row r="2458" spans="1:13" ht="15" customHeight="1" x14ac:dyDescent="0.2">
      <c r="B2458" s="3" t="s">
        <v>901</v>
      </c>
      <c r="C2458" s="10" t="s">
        <v>896</v>
      </c>
      <c r="D2458" s="28">
        <f>(D2453*$D$2471*(Inputs!$D$7-Inputs!$D$19)-D2457)/(Inputs!$D$7+$D$2472)^D2446</f>
        <v>40.99699201112098</v>
      </c>
      <c r="E2458" s="28">
        <f>(E2453*$D$2471*(Inputs!$D$7-Inputs!$D$19)-E2457)/(Inputs!$D$7+$D$2472)^E2446</f>
        <v>153.02781912726542</v>
      </c>
      <c r="F2458" s="28">
        <f>(F2453*$D$2471*(Inputs!$D$7-Inputs!$D$19)-F2457)/(Inputs!$D$7+$D$2472)^F2446</f>
        <v>268.8019226843403</v>
      </c>
      <c r="G2458" s="28">
        <f>(G2453*$D$2471*(Inputs!$D$7-Inputs!$D$19)-G2457)/(Inputs!$D$7+$D$2472)^G2446</f>
        <v>363.62824610263397</v>
      </c>
      <c r="H2458" s="28">
        <f>(H2453*$D$2471*(Inputs!$D$7-Inputs!$D$19)-H2457)/(Inputs!$D$7+$D$2472)^H2446</f>
        <v>435.07807528321291</v>
      </c>
      <c r="I2458" s="28">
        <f>(I2453*$D$2471*(Inputs!$D$7-Inputs!$D$19)-I2457)/(Inputs!$D$7+$D$2472)^I2446</f>
        <v>431.49711827119876</v>
      </c>
      <c r="J2458" s="28">
        <f>(J2453*$D$2471*(Inputs!$D$7-Inputs!$D$19)-J2457)/(Inputs!$D$7+$D$2472)^J2446</f>
        <v>372.01806500733016</v>
      </c>
      <c r="K2458" s="28">
        <f>(K2453*$D$2471*(Inputs!$D$7-Inputs!$D$19)-K2457)/(Inputs!$D$7+$D$2472)^K2446</f>
        <v>320.73780989845312</v>
      </c>
      <c r="L2458" s="28">
        <f>(L2453*$D$2471*(Inputs!$D$7-Inputs!$D$19)-L2457)/(Inputs!$D$7+$D$2472)^L2446</f>
        <v>276.52620228651875</v>
      </c>
      <c r="M2458" s="28">
        <f>(M2453*$D$2471*(Inputs!$D$7-Inputs!$D$19)-M2457)/(Inputs!$D$7+$D$2472)^M2446</f>
        <v>238.31201718226143</v>
      </c>
    </row>
    <row r="2459" spans="1:13" ht="15" customHeight="1" x14ac:dyDescent="0.2">
      <c r="B2459" s="10" t="s">
        <v>902</v>
      </c>
      <c r="C2459" s="10" t="s">
        <v>110</v>
      </c>
      <c r="D2459" s="16">
        <f>(D2454*Inputs!$D$19-D2455-D2456)/(Inputs!$D$7+$D$2472)^D2446</f>
        <v>-6403.0045740313244</v>
      </c>
      <c r="E2459" s="16">
        <f>(E2454*Inputs!$D$19-E2455-E2456)/(Inputs!$D$7+$D$2472)^E2446</f>
        <v>-13349.632212764713</v>
      </c>
      <c r="F2459" s="16">
        <f>(F2454*Inputs!$D$19-F2455-F2456)/(Inputs!$D$7+$D$2472)^F2446</f>
        <v>-11808.370082432088</v>
      </c>
      <c r="G2459" s="16">
        <f>(G2454*Inputs!$D$19-G2455-G2456)/(Inputs!$D$7+$D$2472)^G2446</f>
        <v>-12397.921878440668</v>
      </c>
      <c r="H2459" s="16">
        <f>(H2454*Inputs!$D$19-H2455-H2456)/(Inputs!$D$7+$D$2472)^H2446</f>
        <v>-12082.366885213038</v>
      </c>
      <c r="I2459" s="16">
        <f>(I2454*Inputs!$D$19-I2455-I2456)/(Inputs!$D$7+$D$2472)^I2446</f>
        <v>-4657.0743222469628</v>
      </c>
      <c r="J2459" s="16">
        <f>(J2454*Inputs!$D$19-J2455-J2456)/(Inputs!$D$7+$D$2472)^J2446</f>
        <v>-4672.9398284057479</v>
      </c>
      <c r="K2459" s="16">
        <f>(K2454*Inputs!$D$19-K2455-K2456)/(Inputs!$D$7+$D$2472)^K2446</f>
        <v>-5718.9047268503064</v>
      </c>
      <c r="L2459" s="16">
        <f>(L2454*Inputs!$D$19-L2455-L2456)/(Inputs!$D$7+$D$2472)^L2446</f>
        <v>-6162.7485564592316</v>
      </c>
      <c r="M2459" s="16">
        <f>(M2454*Inputs!$D$19-M2455-M2456)/(Inputs!$D$7+$D$2472)^M2446</f>
        <v>-2572.0606903447429</v>
      </c>
    </row>
    <row r="2460" spans="1:13" ht="15" customHeight="1" x14ac:dyDescent="0.2">
      <c r="B2460" s="10" t="s">
        <v>903</v>
      </c>
      <c r="C2460" s="10" t="s">
        <v>110</v>
      </c>
      <c r="D2460" s="16">
        <f t="shared" ref="D2460:M2460" si="535">D2453*$D$2470</f>
        <v>2346.4550816364904</v>
      </c>
      <c r="E2460" s="16">
        <f t="shared" si="535"/>
        <v>9888.7115686382185</v>
      </c>
      <c r="F2460" s="16">
        <f t="shared" si="535"/>
        <v>19796.246056263775</v>
      </c>
      <c r="G2460" s="16">
        <f t="shared" si="535"/>
        <v>30883.248935273321</v>
      </c>
      <c r="H2460" s="16">
        <f t="shared" si="535"/>
        <v>42677.932849113269</v>
      </c>
      <c r="I2460" s="16">
        <f t="shared" si="535"/>
        <v>48575.274806033238</v>
      </c>
      <c r="J2460" s="16">
        <f t="shared" si="535"/>
        <v>48575.274806033238</v>
      </c>
      <c r="K2460" s="16">
        <f t="shared" si="535"/>
        <v>48575.274806033238</v>
      </c>
      <c r="L2460" s="16">
        <f t="shared" si="535"/>
        <v>48575.274806033238</v>
      </c>
      <c r="M2460" s="16">
        <f t="shared" si="535"/>
        <v>48575.274806033238</v>
      </c>
    </row>
    <row r="2461" spans="1:13" ht="15" customHeight="1" x14ac:dyDescent="0.2">
      <c r="B2461" s="10" t="s">
        <v>904</v>
      </c>
      <c r="C2461" s="10" t="s">
        <v>110</v>
      </c>
      <c r="D2461" s="16">
        <f t="shared" ref="D2461:M2461" si="536">D2460*$D$2471</f>
        <v>2111.8095734728413</v>
      </c>
      <c r="E2461" s="16">
        <f t="shared" si="536"/>
        <v>8899.8404117743976</v>
      </c>
      <c r="F2461" s="16">
        <f t="shared" si="536"/>
        <v>17816.621450637398</v>
      </c>
      <c r="G2461" s="16">
        <f t="shared" si="536"/>
        <v>27794.924041745988</v>
      </c>
      <c r="H2461" s="16">
        <f t="shared" si="536"/>
        <v>38410.139564201942</v>
      </c>
      <c r="I2461" s="16">
        <f t="shared" si="536"/>
        <v>43717.747325429918</v>
      </c>
      <c r="J2461" s="16">
        <f t="shared" si="536"/>
        <v>43717.747325429918</v>
      </c>
      <c r="K2461" s="16">
        <f t="shared" si="536"/>
        <v>43717.747325429918</v>
      </c>
      <c r="L2461" s="16">
        <f t="shared" si="536"/>
        <v>43717.747325429918</v>
      </c>
      <c r="M2461" s="16">
        <f t="shared" si="536"/>
        <v>43717.747325429918</v>
      </c>
    </row>
    <row r="2462" spans="1:13" ht="15" customHeight="1" x14ac:dyDescent="0.2">
      <c r="B2462" s="10" t="s">
        <v>905</v>
      </c>
      <c r="C2462" s="10" t="s">
        <v>110</v>
      </c>
      <c r="D2462" s="16">
        <f t="shared" ref="D2462:M2462" si="537">D2461-D2454</f>
        <v>993.60608416158721</v>
      </c>
      <c r="E2462" s="16">
        <f t="shared" si="537"/>
        <v>4187.3735644943235</v>
      </c>
      <c r="F2462" s="16">
        <f t="shared" si="537"/>
        <v>8382.7176914655793</v>
      </c>
      <c r="G2462" s="16">
        <f t="shared" si="537"/>
        <v>13077.50754783817</v>
      </c>
      <c r="H2462" s="16">
        <f t="shared" si="537"/>
        <v>18071.964841851572</v>
      </c>
      <c r="I2462" s="16">
        <f t="shared" si="537"/>
        <v>20569.193488858269</v>
      </c>
      <c r="J2462" s="16">
        <f t="shared" si="537"/>
        <v>20569.193488858269</v>
      </c>
      <c r="K2462" s="16">
        <f t="shared" si="537"/>
        <v>20569.193488858269</v>
      </c>
      <c r="L2462" s="16">
        <f t="shared" si="537"/>
        <v>20569.193488858269</v>
      </c>
      <c r="M2462" s="16">
        <f t="shared" si="537"/>
        <v>20569.193488858269</v>
      </c>
    </row>
    <row r="2463" spans="1:13" ht="15" customHeight="1" x14ac:dyDescent="0.2">
      <c r="B2463" s="10" t="s">
        <v>906</v>
      </c>
      <c r="C2463" s="10" t="s">
        <v>110</v>
      </c>
      <c r="D2463" s="16">
        <f>MAX(D2462,Inputs!$D$6)*Inputs!$D$19</f>
        <v>298.08182524847615</v>
      </c>
      <c r="E2463" s="16">
        <f>MAX(E2462,Inputs!$D$6)*Inputs!$D$19</f>
        <v>1256.2120693482971</v>
      </c>
      <c r="F2463" s="16">
        <f>MAX(F2462,Inputs!$D$6)*Inputs!$D$19</f>
        <v>2514.8153074396737</v>
      </c>
      <c r="G2463" s="16">
        <f>MAX(G2462,Inputs!$D$6)*Inputs!$D$19</f>
        <v>3923.2522643514508</v>
      </c>
      <c r="H2463" s="16">
        <f>MAX(H2462,Inputs!$D$6)*Inputs!$D$19</f>
        <v>5421.5894525554713</v>
      </c>
      <c r="I2463" s="16">
        <f>MAX(I2462,Inputs!$D$6)*Inputs!$D$19</f>
        <v>6170.7580466574809</v>
      </c>
      <c r="J2463" s="16">
        <f>MAX(J2462,Inputs!$D$6)*Inputs!$D$19</f>
        <v>6170.7580466574809</v>
      </c>
      <c r="K2463" s="16">
        <f>MAX(K2462,Inputs!$D$6)*Inputs!$D$19</f>
        <v>6170.7580466574809</v>
      </c>
      <c r="L2463" s="16">
        <f>MAX(L2462,Inputs!$D$6)*Inputs!$D$19</f>
        <v>6170.7580466574809</v>
      </c>
      <c r="M2463" s="16">
        <f>MAX(M2462,Inputs!$D$6)*Inputs!$D$19</f>
        <v>6170.7580466574809</v>
      </c>
    </row>
    <row r="2464" spans="1:13" ht="15" customHeight="1" x14ac:dyDescent="0.2">
      <c r="B2464" s="10" t="s">
        <v>907</v>
      </c>
      <c r="C2464" s="10" t="s">
        <v>110</v>
      </c>
      <c r="D2464" s="16">
        <f t="shared" ref="D2464:M2464" si="538">D2457*$D$2470</f>
        <v>94.357471310719575</v>
      </c>
      <c r="E2464" s="16">
        <f t="shared" si="538"/>
        <v>235.89367827679899</v>
      </c>
      <c r="F2464" s="16">
        <f t="shared" si="538"/>
        <v>259.48304610447877</v>
      </c>
      <c r="G2464" s="16">
        <f t="shared" si="538"/>
        <v>294.86709784599867</v>
      </c>
      <c r="H2464" s="16">
        <f t="shared" si="538"/>
        <v>294.86709784599867</v>
      </c>
      <c r="I2464" s="16">
        <f t="shared" si="538"/>
        <v>0</v>
      </c>
      <c r="J2464" s="16">
        <f t="shared" si="538"/>
        <v>0</v>
      </c>
      <c r="K2464" s="16">
        <f t="shared" si="538"/>
        <v>0</v>
      </c>
      <c r="L2464" s="16">
        <f t="shared" si="538"/>
        <v>0</v>
      </c>
      <c r="M2464" s="16">
        <f t="shared" si="538"/>
        <v>0</v>
      </c>
    </row>
    <row r="2465" spans="2:13" ht="15" customHeight="1" x14ac:dyDescent="0.2">
      <c r="B2465" s="10" t="s">
        <v>908</v>
      </c>
      <c r="C2465" s="10" t="s">
        <v>110</v>
      </c>
      <c r="D2465" s="16">
        <f t="shared" ref="D2465:M2465" si="539">D2461-D2463-D2455-D2456-D2464</f>
        <v>-5735.5030134777589</v>
      </c>
      <c r="E2465" s="16">
        <f t="shared" si="539"/>
        <v>-11229.448561829218</v>
      </c>
      <c r="F2465" s="16">
        <f t="shared" si="539"/>
        <v>-5458.5784514831175</v>
      </c>
      <c r="G2465" s="16">
        <f t="shared" si="539"/>
        <v>-2357.6792014917755</v>
      </c>
      <c r="H2465" s="16">
        <f t="shared" si="539"/>
        <v>2267.7091384170972</v>
      </c>
      <c r="I2465" s="16">
        <f t="shared" si="539"/>
        <v>19723.25217149685</v>
      </c>
      <c r="J2465" s="16">
        <f t="shared" si="539"/>
        <v>17940.878460769298</v>
      </c>
      <c r="K2465" s="16">
        <f t="shared" si="539"/>
        <v>12629.313046110787</v>
      </c>
      <c r="L2465" s="16">
        <f t="shared" si="539"/>
        <v>8137.8230517677293</v>
      </c>
      <c r="M2465" s="16">
        <f t="shared" si="539"/>
        <v>19723.25217149685</v>
      </c>
    </row>
    <row r="2466" spans="2:13" ht="15" customHeight="1" x14ac:dyDescent="0.2">
      <c r="B2466" s="10" t="s">
        <v>909</v>
      </c>
      <c r="C2466" s="10" t="s">
        <v>110</v>
      </c>
      <c r="D2466" s="16">
        <f>D2465/(Inputs!$D$7+$D$2472)^D2446</f>
        <v>-5158.3544783057296</v>
      </c>
      <c r="E2466" s="16">
        <f>E2465/(Inputs!$D$7+$D$2472)^E2446</f>
        <v>-8703.7769833429193</v>
      </c>
      <c r="F2466" s="16">
        <f>F2465/(Inputs!$D$7+$D$2472)^F2446</f>
        <v>-3647.6655431933787</v>
      </c>
      <c r="G2466" s="16">
        <f>G2465/(Inputs!$D$7+$D$2472)^G2446</f>
        <v>-1358.333139896084</v>
      </c>
      <c r="H2466" s="16">
        <f>H2465/(Inputs!$D$7+$D$2472)^H2446</f>
        <v>1126.4062828882691</v>
      </c>
      <c r="I2466" s="16">
        <f>I2465/(Inputs!$D$7+$D$2472)^I2446</f>
        <v>8442.982614024857</v>
      </c>
      <c r="J2466" s="16">
        <f>J2465/(Inputs!$D$7+$D$2472)^J2446</f>
        <v>6621.3600094316298</v>
      </c>
      <c r="K2466" s="16">
        <f>K2465/(Inputs!$D$7+$D$2472)^K2446</f>
        <v>4018.5498084638252</v>
      </c>
      <c r="L2466" s="16">
        <f>L2465/(Inputs!$D$7+$D$2472)^L2446</f>
        <v>2232.4616105010109</v>
      </c>
      <c r="M2466" s="16">
        <f>M2465/(Inputs!$D$7+$D$2472)^M2446</f>
        <v>4662.984137285549</v>
      </c>
    </row>
    <row r="2467" spans="2:13" ht="15" customHeight="1" x14ac:dyDescent="0.2">
      <c r="B2467" s="3" t="s">
        <v>910</v>
      </c>
      <c r="C2467" s="10" t="s">
        <v>896</v>
      </c>
      <c r="D2467" s="28">
        <f>(D2453*$D$2471-D2457)/(Inputs!$D$7+$D$2472)^D2446</f>
        <v>59.765095798928819</v>
      </c>
      <c r="E2467" s="28">
        <f>(E2453*$D$2471-E2457)/(Inputs!$D$7+$D$2472)^E2446</f>
        <v>221.1922031857838</v>
      </c>
      <c r="F2467" s="28">
        <f>(F2453*$D$2471-F2457)/(Inputs!$D$7+$D$2472)^F2446</f>
        <v>386.45052664112239</v>
      </c>
      <c r="G2467" s="28">
        <f>(G2453*$D$2471-G2457)/(Inputs!$D$7+$D$2472)^G2446</f>
        <v>521.867070169518</v>
      </c>
      <c r="H2467" s="28">
        <f>(H2453*$D$2471-H2457)/(Inputs!$D$7+$D$2472)^H2446</f>
        <v>623.60768582417222</v>
      </c>
      <c r="I2467" s="28">
        <f>(I2453*$D$2471-I2457)/(Inputs!$D$7+$D$2472)^I2446</f>
        <v>616.42445467314121</v>
      </c>
      <c r="J2467" s="28">
        <f>(J2453*$D$2471-J2457)/(Inputs!$D$7+$D$2472)^J2446</f>
        <v>531.4543785819003</v>
      </c>
      <c r="K2467" s="28">
        <f>(K2453*$D$2471-K2457)/(Inputs!$D$7+$D$2472)^K2446</f>
        <v>458.19687128350449</v>
      </c>
      <c r="L2467" s="28">
        <f>(L2453*$D$2471-L2457)/(Inputs!$D$7+$D$2472)^L2446</f>
        <v>395.03743183788401</v>
      </c>
      <c r="M2467" s="28">
        <f>(M2453*$D$2471-M2457)/(Inputs!$D$7+$D$2472)^M2446</f>
        <v>340.44573883180209</v>
      </c>
    </row>
    <row r="2468" spans="2:13" ht="15" customHeight="1" x14ac:dyDescent="0.2">
      <c r="B2468" s="10" t="s">
        <v>911</v>
      </c>
      <c r="C2468" s="10" t="s">
        <v>110</v>
      </c>
      <c r="D2468" s="16">
        <f>(-D2455-D2456)/(Inputs!$D$7+$D$2472)^D2446</f>
        <v>-6704.7090607969039</v>
      </c>
      <c r="E2468" s="16">
        <f>(-E2455-E2456)/(Inputs!$D$7+$D$2472)^E2446</f>
        <v>-14445.4009031226</v>
      </c>
      <c r="F2468" s="16">
        <f>(-F2455-F2456)/(Inputs!$D$7+$D$2472)^F2446</f>
        <v>-13699.616639717549</v>
      </c>
      <c r="G2468" s="16">
        <f>(-G2455-G2456)/(Inputs!$D$7+$D$2472)^G2446</f>
        <v>-14941.671835349038</v>
      </c>
      <c r="H2468" s="16">
        <f>(-H2455-H2456)/(Inputs!$D$7+$D$2472)^H2446</f>
        <v>-15113.052884793095</v>
      </c>
      <c r="I2468" s="16">
        <f>(-I2455-I2456)/(Inputs!$D$7+$D$2472)^I2446</f>
        <v>-7629.8523795762403</v>
      </c>
      <c r="J2468" s="16">
        <f>(-J2455-J2456)/(Inputs!$D$7+$D$2472)^J2446</f>
        <v>-7235.9398897150922</v>
      </c>
      <c r="K2468" s="16">
        <f>(-K2455-K2456)/(Inputs!$D$7+$D$2472)^K2446</f>
        <v>-7928.612006570077</v>
      </c>
      <c r="L2468" s="16">
        <f>(-L2455-L2456)/(Inputs!$D$7+$D$2472)^L2446</f>
        <v>-8067.8621519509534</v>
      </c>
      <c r="M2468" s="16">
        <f>(-M2455-M2456)/(Inputs!$D$7+$D$2472)^M2446</f>
        <v>-4213.8995473821142</v>
      </c>
    </row>
    <row r="2469" spans="2:13" ht="15" customHeight="1" x14ac:dyDescent="0.2">
      <c r="B2469" s="10" t="s">
        <v>912</v>
      </c>
      <c r="C2469" s="10" t="s">
        <v>110</v>
      </c>
      <c r="D2469" s="16">
        <f>Prices!K14</f>
        <v>29828.700386874909</v>
      </c>
    </row>
    <row r="2470" spans="2:13" ht="15" customHeight="1" x14ac:dyDescent="0.2">
      <c r="B2470" s="3" t="s">
        <v>913</v>
      </c>
      <c r="C2470" s="10" t="s">
        <v>914</v>
      </c>
      <c r="D2470" s="28">
        <f>IF(J2477&gt;=J2473,J2477,(D2469-J2476)/J2475)</f>
        <v>30.359546753770775</v>
      </c>
      <c r="G2470" s="99" t="s">
        <v>915</v>
      </c>
      <c r="H2470" s="91"/>
      <c r="I2470" s="91"/>
      <c r="J2470" s="28">
        <f>D2470*Inputs!$D$15</f>
        <v>21.187927679456624</v>
      </c>
      <c r="K2470" s="99" t="s">
        <v>916</v>
      </c>
      <c r="L2470" s="91"/>
      <c r="M2470" s="91"/>
    </row>
    <row r="2471" spans="2:13" ht="15" customHeight="1" x14ac:dyDescent="0.2">
      <c r="B2471" s="10" t="s">
        <v>917</v>
      </c>
      <c r="C2471" s="10" t="s">
        <v>104</v>
      </c>
      <c r="D2471" s="30">
        <f>Inputs!$D$107</f>
        <v>0.9</v>
      </c>
      <c r="G2471" s="99" t="s">
        <v>918</v>
      </c>
      <c r="H2471" s="91"/>
      <c r="I2471" s="91"/>
      <c r="J2471" s="28">
        <f>IF(-D2482/D2481&gt;=J2473,-D2482/D2481,-J2476/J2475)</f>
        <v>24.024174528419383</v>
      </c>
      <c r="K2471" s="99" t="s">
        <v>919</v>
      </c>
      <c r="L2471" s="91"/>
      <c r="M2471" s="91"/>
    </row>
    <row r="2472" spans="2:13" ht="15" customHeight="1" x14ac:dyDescent="0.2">
      <c r="B2472" s="10" t="s">
        <v>920</v>
      </c>
      <c r="C2472" s="10" t="s">
        <v>104</v>
      </c>
      <c r="D2472" s="30">
        <f>Inputs!$D$108</f>
        <v>0.16</v>
      </c>
      <c r="G2472" s="99" t="s">
        <v>918</v>
      </c>
      <c r="H2472" s="91"/>
      <c r="I2472" s="91"/>
      <c r="J2472" s="28">
        <f>J2471*Inputs!$D$15</f>
        <v>16.766471403383886</v>
      </c>
      <c r="K2472" s="99" t="s">
        <v>916</v>
      </c>
      <c r="L2472" s="91"/>
      <c r="M2472" s="91"/>
    </row>
    <row r="2473" spans="2:13" ht="15" customHeight="1" x14ac:dyDescent="0.2">
      <c r="B2473" s="3" t="s">
        <v>921</v>
      </c>
      <c r="C2473" s="10" t="s">
        <v>848</v>
      </c>
      <c r="D2473" s="28">
        <f>Capital!$D$13</f>
        <v>57.347931490590682</v>
      </c>
      <c r="G2473" s="99" t="s">
        <v>922</v>
      </c>
      <c r="H2473" s="91"/>
      <c r="I2473" s="91"/>
      <c r="J2473" s="28">
        <f>($D$2473/Inputs!$D$21+$D$2474/Inputs!$D$22)/$D$2471</f>
        <v>16.07538460873031</v>
      </c>
      <c r="K2473" s="99" t="s">
        <v>919</v>
      </c>
      <c r="L2473" s="91"/>
      <c r="M2473" s="91"/>
    </row>
    <row r="2474" spans="2:13" ht="15" customHeight="1" x14ac:dyDescent="0.2">
      <c r="B2474" s="3" t="s">
        <v>923</v>
      </c>
      <c r="C2474" s="10" t="s">
        <v>848</v>
      </c>
      <c r="D2474" s="28">
        <f>Capital!$D$14</f>
        <v>2.6172655041921802</v>
      </c>
    </row>
    <row r="2475" spans="2:13" ht="15" customHeight="1" x14ac:dyDescent="0.2">
      <c r="B2475" s="10" t="s">
        <v>924</v>
      </c>
      <c r="C2475" s="10" t="s">
        <v>896</v>
      </c>
      <c r="D2475" s="28">
        <f>(M2448*(Inputs!$D$7+Inputs!$D$20)*$D$2471*(Inputs!$D$7-Inputs!$D$19)-M2448*Inputs!$D$20*Inputs!$D$23)/($D$2472-Inputs!$D$20)/(Inputs!$D$7+$D$2472)^M2446</f>
        <v>1807.6547922951956</v>
      </c>
      <c r="G2475" s="92" t="s">
        <v>910</v>
      </c>
      <c r="H2475" s="91"/>
      <c r="I2475" s="91"/>
      <c r="J2475" s="28">
        <f>SUM(D2467:M2467)+(M2448*(Inputs!$D$7+Inputs!$D$20)*$D$2471-M2448*Inputs!$D$20*Inputs!$D$23)/($D$2472-Inputs!$D$20)/(Inputs!$D$7+$D$2472)^M2446</f>
        <v>6737.5559875731687</v>
      </c>
      <c r="K2475" s="99" t="s">
        <v>896</v>
      </c>
      <c r="L2475" s="91"/>
      <c r="M2475" s="91"/>
    </row>
    <row r="2476" spans="2:13" ht="15" customHeight="1" x14ac:dyDescent="0.2">
      <c r="B2476" s="10" t="s">
        <v>925</v>
      </c>
      <c r="C2476" s="10" t="s">
        <v>110</v>
      </c>
      <c r="D2476" s="16">
        <f>(D2479*Inputs!$D$19-D2479-D2480)/($D$2472-Inputs!$D$20)/(Inputs!$D$7+$D$2472)^M2446</f>
        <v>-33287.494112345899</v>
      </c>
      <c r="G2476" s="92" t="s">
        <v>926</v>
      </c>
      <c r="H2476" s="91"/>
      <c r="I2476" s="91"/>
      <c r="J2476" s="16">
        <f>SUM(D2468:M2468)-(D2479+D2480)/($D$2472-Inputs!$D$20)/(Inputs!$D$7+$D$2472)^M2446</f>
        <v>-145733.9249554922</v>
      </c>
      <c r="K2476" s="99" t="s">
        <v>110</v>
      </c>
      <c r="L2476" s="91"/>
      <c r="M2476" s="91"/>
    </row>
    <row r="2477" spans="2:13" ht="15" customHeight="1" x14ac:dyDescent="0.2">
      <c r="B2477" s="10" t="s">
        <v>927</v>
      </c>
      <c r="C2477" s="10" t="s">
        <v>928</v>
      </c>
      <c r="D2477" s="16">
        <f>(M2448*(Inputs!$D$7+Inputs!$D$20)*$D$2470*$D$2471-D2479)-MAX((M2448*(Inputs!$D$7+Inputs!$D$20)*$D$2470*$D$2471-D2479),Inputs!$D$6)*Inputs!$D$19-D2480-M2448*Inputs!$D$20*$D$2470*Inputs!$D$23</f>
        <v>12329.428901710724</v>
      </c>
      <c r="G2477" s="99" t="s">
        <v>929</v>
      </c>
      <c r="H2477" s="91"/>
      <c r="I2477" s="91"/>
      <c r="J2477" s="28">
        <f>(D2469-D2482)/D2481</f>
        <v>30.359546753770775</v>
      </c>
      <c r="K2477" s="99" t="s">
        <v>919</v>
      </c>
      <c r="L2477" s="91"/>
      <c r="M2477" s="91"/>
    </row>
    <row r="2478" spans="2:13" ht="15" customHeight="1" x14ac:dyDescent="0.2">
      <c r="B2478" s="10" t="s">
        <v>930</v>
      </c>
      <c r="C2478" s="10" t="s">
        <v>110</v>
      </c>
      <c r="D2478" s="16">
        <f>D2477/($D$2472-Inputs!$D$20)</f>
        <v>91329.102975634989</v>
      </c>
      <c r="G2478" s="99" t="s">
        <v>931</v>
      </c>
      <c r="H2478" s="91"/>
      <c r="I2478" s="91"/>
      <c r="J2478" s="16">
        <f>MIN(D2462:M2462,(M2448*(Inputs!$D$7+Inputs!$D$20)*$D$2470*$D$2471-D2479))</f>
        <v>993.60608416158721</v>
      </c>
      <c r="K2478" s="99" t="s">
        <v>110</v>
      </c>
      <c r="L2478" s="91"/>
      <c r="M2478" s="91"/>
    </row>
    <row r="2479" spans="2:13" ht="15" customHeight="1" x14ac:dyDescent="0.2">
      <c r="B2479" s="10" t="s">
        <v>932</v>
      </c>
      <c r="C2479" s="10" t="s">
        <v>928</v>
      </c>
      <c r="D2479" s="16">
        <f>M2448*(Inputs!$D$7+Inputs!$D$20)*($D$2473/Inputs!$D$21+$D$2474/Inputs!$D$22)</f>
        <v>23727.267682485937</v>
      </c>
      <c r="G2479" s="99" t="s">
        <v>933</v>
      </c>
      <c r="H2479" s="91"/>
      <c r="I2479" s="91"/>
      <c r="J2479" s="31" t="str">
        <f>IF(J2478&lt;Inputs!$D$6,"breached","satisfied")</f>
        <v>satisfied</v>
      </c>
      <c r="K2479" s="99" t="s">
        <v>934</v>
      </c>
      <c r="L2479" s="91"/>
      <c r="M2479" s="91"/>
    </row>
    <row r="2480" spans="2:13" ht="15" customHeight="1" x14ac:dyDescent="0.2">
      <c r="B2480" s="10" t="s">
        <v>935</v>
      </c>
      <c r="C2480" s="10" t="s">
        <v>928</v>
      </c>
      <c r="D2480" s="16">
        <f>M2448*Inputs!$D$20*($D$2473+$D$2474)</f>
        <v>2398.6078797913146</v>
      </c>
    </row>
    <row r="2481" spans="1:13" ht="15" customHeight="1" x14ac:dyDescent="0.2">
      <c r="B2481" s="10" t="s">
        <v>936</v>
      </c>
      <c r="C2481" s="10" t="s">
        <v>896</v>
      </c>
      <c r="D2481" s="28">
        <f>SUM(D2458:M2458)+D2475</f>
        <v>4708.2790601495317</v>
      </c>
      <c r="G2481" s="99" t="s">
        <v>937</v>
      </c>
      <c r="H2481" s="91"/>
      <c r="I2481" s="91"/>
      <c r="J2481" s="16">
        <f>D2483-D2469</f>
        <v>3.2741809263825417E-11</v>
      </c>
      <c r="K2481" s="99" t="s">
        <v>110</v>
      </c>
      <c r="L2481" s="91"/>
      <c r="M2481" s="91"/>
    </row>
    <row r="2482" spans="1:13" ht="15" customHeight="1" x14ac:dyDescent="0.2">
      <c r="B2482" s="10" t="s">
        <v>938</v>
      </c>
      <c r="C2482" s="10" t="s">
        <v>110</v>
      </c>
      <c r="D2482" s="16">
        <f>SUM(D2459:M2459)+D2476</f>
        <v>-113112.51786953473</v>
      </c>
    </row>
    <row r="2483" spans="1:13" ht="15" customHeight="1" x14ac:dyDescent="0.2">
      <c r="B2483" s="10" t="s">
        <v>939</v>
      </c>
      <c r="C2483" s="10" t="s">
        <v>110</v>
      </c>
      <c r="D2483" s="16">
        <f>SUM(D2466:M2466)+D2478/(Inputs!$D$7+$D$2472)^M2446</f>
        <v>29828.700386874942</v>
      </c>
    </row>
    <row r="2484" spans="1:13" ht="15" customHeight="1" x14ac:dyDescent="0.2">
      <c r="B2484" s="10" t="s">
        <v>940</v>
      </c>
      <c r="C2484" s="10" t="s">
        <v>104</v>
      </c>
      <c r="D2484" s="30">
        <f>IF(ABS(D2469)&gt;Inputs!$D$6,D2483/D2469-Inputs!$D$7,Inputs!$D$6)</f>
        <v>1.1102230246251565E-15</v>
      </c>
    </row>
    <row r="2485" spans="1:13" ht="15" customHeight="1" x14ac:dyDescent="0.2">
      <c r="B2485" s="10" t="s">
        <v>941</v>
      </c>
      <c r="C2485" s="10" t="s">
        <v>104</v>
      </c>
      <c r="D2485" s="30">
        <f>IF(ABS(D2483)&gt;Inputs!$D$119,D2478/(Inputs!$D$7+$D$2472)^M2446/D2483,Inputs!$D$6)</f>
        <v>0.72386948774069759</v>
      </c>
    </row>
    <row r="2486" spans="1:13" ht="15" customHeight="1" x14ac:dyDescent="0.2">
      <c r="B2486" s="10" t="s">
        <v>942</v>
      </c>
      <c r="C2486" s="10" t="s">
        <v>943</v>
      </c>
      <c r="D2486" s="26">
        <f>$D$2470*Inputs!$D$8/Prices!$P$6/(Inputs!$D$26/Inputs!$D$25)/Inputs!$D$11/Inputs!$D$56</f>
        <v>5.5209757949745528</v>
      </c>
    </row>
    <row r="2490" spans="1:13" ht="15" customHeight="1" x14ac:dyDescent="0.2">
      <c r="A2490" s="104" t="s">
        <v>997</v>
      </c>
      <c r="B2490" s="10" t="s">
        <v>886</v>
      </c>
      <c r="C2490" s="10" t="s">
        <v>107</v>
      </c>
      <c r="D2490" s="28">
        <f>Inputs!$D$60</f>
        <v>1</v>
      </c>
      <c r="E2490" s="28">
        <f>Inputs!$D$62</f>
        <v>2</v>
      </c>
      <c r="F2490" s="28">
        <f>Inputs!$D$64</f>
        <v>3</v>
      </c>
      <c r="G2490" s="28">
        <f>Inputs!$D$66</f>
        <v>4</v>
      </c>
      <c r="H2490" s="28">
        <f>Inputs!$D$68</f>
        <v>5</v>
      </c>
      <c r="I2490" s="28">
        <f>Inputs!$D$70</f>
        <v>6</v>
      </c>
      <c r="J2490" s="28">
        <f>Inputs!$D$72</f>
        <v>7</v>
      </c>
      <c r="K2490" s="28">
        <f>Inputs!$D$74</f>
        <v>8</v>
      </c>
      <c r="L2490" s="28">
        <f>Inputs!$D$76</f>
        <v>9</v>
      </c>
      <c r="M2490" s="28">
        <f>Inputs!$D$78</f>
        <v>10</v>
      </c>
    </row>
    <row r="2491" spans="1:13" ht="15" customHeight="1" x14ac:dyDescent="0.2">
      <c r="A2491" s="91"/>
      <c r="B2491" s="10" t="s">
        <v>887</v>
      </c>
      <c r="C2491" s="10" t="s">
        <v>161</v>
      </c>
      <c r="D2491" s="29">
        <f>Inputs!$D$61</f>
        <v>46568</v>
      </c>
      <c r="E2491" s="29">
        <f>Inputs!$D$63</f>
        <v>46934</v>
      </c>
      <c r="F2491" s="29">
        <f>Inputs!$D$65</f>
        <v>47299</v>
      </c>
      <c r="G2491" s="29">
        <f>Inputs!$D$67</f>
        <v>47664</v>
      </c>
      <c r="H2491" s="29">
        <f>Inputs!$D$69</f>
        <v>48029</v>
      </c>
      <c r="I2491" s="29">
        <f>Inputs!$D$71</f>
        <v>48395</v>
      </c>
      <c r="J2491" s="29">
        <f>Inputs!$D$73</f>
        <v>48760</v>
      </c>
      <c r="K2491" s="29">
        <f>Inputs!$D$75</f>
        <v>49125</v>
      </c>
      <c r="L2491" s="29">
        <f>Inputs!$D$77</f>
        <v>49490</v>
      </c>
      <c r="M2491" s="29">
        <f>Inputs!$D$79</f>
        <v>49856</v>
      </c>
    </row>
    <row r="2492" spans="1:13" ht="15" customHeight="1" x14ac:dyDescent="0.2">
      <c r="A2492" s="91"/>
      <c r="B2492" s="10" t="s">
        <v>888</v>
      </c>
      <c r="C2492" s="10" t="s">
        <v>107</v>
      </c>
      <c r="D2492" s="28">
        <f>(D2491-Inputs!$D$13)/Inputs!$D$10</f>
        <v>0.71457905544147848</v>
      </c>
      <c r="E2492" s="28">
        <f>(E2491-Inputs!$D$13)/Inputs!$D$10</f>
        <v>1.7166324435318274</v>
      </c>
      <c r="F2492" s="28">
        <f>(F2491-Inputs!$D$13)/Inputs!$D$10</f>
        <v>2.7159479808350446</v>
      </c>
      <c r="G2492" s="28">
        <f>(G2491-Inputs!$D$13)/Inputs!$D$10</f>
        <v>3.7152635181382614</v>
      </c>
      <c r="H2492" s="28">
        <f>(H2491-Inputs!$D$13)/Inputs!$D$10</f>
        <v>4.7145790554414786</v>
      </c>
      <c r="I2492" s="28">
        <f>(I2491-Inputs!$D$13)/Inputs!$D$10</f>
        <v>5.7166324435318279</v>
      </c>
      <c r="J2492" s="28">
        <f>(J2491-Inputs!$D$13)/Inputs!$D$10</f>
        <v>6.7159479808350442</v>
      </c>
      <c r="K2492" s="28">
        <f>(K2491-Inputs!$D$13)/Inputs!$D$10</f>
        <v>7.7152635181382614</v>
      </c>
      <c r="L2492" s="28">
        <f>(L2491-Inputs!$D$13)/Inputs!$D$10</f>
        <v>8.7145790554414777</v>
      </c>
      <c r="M2492" s="28">
        <f>(M2491-Inputs!$D$13)/Inputs!$D$10</f>
        <v>9.716632443531827</v>
      </c>
    </row>
    <row r="2493" spans="1:13" ht="15" customHeight="1" x14ac:dyDescent="0.2">
      <c r="A2493" s="91"/>
      <c r="B2493" s="10" t="s">
        <v>889</v>
      </c>
      <c r="C2493" s="10" t="s">
        <v>107</v>
      </c>
      <c r="D2493" s="28">
        <f>D2492</f>
        <v>0.71457905544147848</v>
      </c>
      <c r="E2493" s="28">
        <f>Inputs!$D$7</f>
        <v>1</v>
      </c>
      <c r="F2493" s="28">
        <f>Inputs!$D$7</f>
        <v>1</v>
      </c>
      <c r="G2493" s="28">
        <f>Inputs!$D$7</f>
        <v>1</v>
      </c>
      <c r="H2493" s="28">
        <f>Inputs!$D$7</f>
        <v>1</v>
      </c>
      <c r="I2493" s="28">
        <f>Inputs!$D$7</f>
        <v>1</v>
      </c>
      <c r="J2493" s="28">
        <f>Inputs!$D$7</f>
        <v>1</v>
      </c>
      <c r="K2493" s="28">
        <f>Inputs!$D$7</f>
        <v>1</v>
      </c>
      <c r="L2493" s="28">
        <f>Inputs!$D$7</f>
        <v>1</v>
      </c>
      <c r="M2493" s="28">
        <f>Inputs!$D$7</f>
        <v>1</v>
      </c>
    </row>
    <row r="2494" spans="1:13" ht="15" customHeight="1" x14ac:dyDescent="0.2">
      <c r="A2494" s="91"/>
      <c r="B2494" s="3" t="s">
        <v>890</v>
      </c>
      <c r="C2494" s="10" t="s">
        <v>199</v>
      </c>
      <c r="D2494" s="28">
        <f>Inputs!$D$24+(Inputs!$D$80-Inputs!$D$24)*Inputs!$D$83</f>
        <v>305.5</v>
      </c>
      <c r="E2494" s="28">
        <f>Inputs!$D$24+(Inputs!$D$80-Inputs!$D$24)*Inputs!$D$84</f>
        <v>651.5</v>
      </c>
      <c r="F2494" s="28">
        <f>Inputs!$D$24+(Inputs!$D$80-Inputs!$D$24)*Inputs!$D$85</f>
        <v>911</v>
      </c>
      <c r="G2494" s="28">
        <f>Inputs!$D$24+(Inputs!$D$80-Inputs!$D$24)*Inputs!$D$86</f>
        <v>911</v>
      </c>
      <c r="H2494" s="28">
        <f>Inputs!$D$24+(Inputs!$D$80-Inputs!$D$24)*Inputs!$D$87</f>
        <v>911</v>
      </c>
      <c r="I2494" s="28">
        <f>Inputs!$D$24+(Inputs!$D$80-Inputs!$D$24)*Inputs!$D$88</f>
        <v>911</v>
      </c>
      <c r="J2494" s="28">
        <f>Inputs!$D$24+(Inputs!$D$80-Inputs!$D$24)*Inputs!$D$89</f>
        <v>911</v>
      </c>
      <c r="K2494" s="28">
        <f>Inputs!$D$24+(Inputs!$D$80-Inputs!$D$24)*Inputs!$D$90</f>
        <v>911</v>
      </c>
      <c r="L2494" s="28">
        <f>Inputs!$D$24+(Inputs!$D$80-Inputs!$D$24)*Inputs!$D$91</f>
        <v>911</v>
      </c>
      <c r="M2494" s="28">
        <f>Inputs!$D$24+(Inputs!$D$80-Inputs!$D$24)*Inputs!$D$92</f>
        <v>911</v>
      </c>
    </row>
    <row r="2495" spans="1:13" ht="15" customHeight="1" x14ac:dyDescent="0.2">
      <c r="A2495" s="91"/>
      <c r="B2495" s="10" t="s">
        <v>891</v>
      </c>
      <c r="C2495" s="10" t="s">
        <v>199</v>
      </c>
      <c r="D2495" s="28">
        <f>Inputs!$D$24</f>
        <v>46</v>
      </c>
      <c r="E2495" s="28">
        <f t="shared" ref="E2495:M2495" si="540">D2494</f>
        <v>305.5</v>
      </c>
      <c r="F2495" s="28">
        <f t="shared" si="540"/>
        <v>651.5</v>
      </c>
      <c r="G2495" s="28">
        <f t="shared" si="540"/>
        <v>911</v>
      </c>
      <c r="H2495" s="28">
        <f t="shared" si="540"/>
        <v>911</v>
      </c>
      <c r="I2495" s="28">
        <f t="shared" si="540"/>
        <v>911</v>
      </c>
      <c r="J2495" s="28">
        <f t="shared" si="540"/>
        <v>911</v>
      </c>
      <c r="K2495" s="28">
        <f t="shared" si="540"/>
        <v>911</v>
      </c>
      <c r="L2495" s="28">
        <f t="shared" si="540"/>
        <v>911</v>
      </c>
      <c r="M2495" s="28">
        <f t="shared" si="540"/>
        <v>911</v>
      </c>
    </row>
    <row r="2496" spans="1:13" ht="15" customHeight="1" x14ac:dyDescent="0.2">
      <c r="B2496" s="10" t="s">
        <v>892</v>
      </c>
      <c r="C2496" s="10" t="s">
        <v>199</v>
      </c>
      <c r="D2496" s="28">
        <f>(D2495+D2494)*Inputs!$D$12</f>
        <v>175.75</v>
      </c>
      <c r="E2496" s="28">
        <f>(E2495+E2494)*Inputs!$D$12</f>
        <v>478.5</v>
      </c>
      <c r="F2496" s="28">
        <f>(F2495+F2494)*Inputs!$D$12</f>
        <v>781.25</v>
      </c>
      <c r="G2496" s="28">
        <f>(G2495+G2494)*Inputs!$D$12</f>
        <v>911</v>
      </c>
      <c r="H2496" s="28">
        <f>(H2495+H2494)*Inputs!$D$12</f>
        <v>911</v>
      </c>
      <c r="I2496" s="28">
        <f>(I2495+I2494)*Inputs!$D$12</f>
        <v>911</v>
      </c>
      <c r="J2496" s="28">
        <f>(J2495+J2494)*Inputs!$D$12</f>
        <v>911</v>
      </c>
      <c r="K2496" s="28">
        <f>(K2495+K2494)*Inputs!$D$12</f>
        <v>911</v>
      </c>
      <c r="L2496" s="28">
        <f>(L2495+L2494)*Inputs!$D$12</f>
        <v>911</v>
      </c>
      <c r="M2496" s="28">
        <f>(M2495+M2494)*Inputs!$D$12</f>
        <v>911</v>
      </c>
    </row>
    <row r="2497" spans="2:13" ht="15" customHeight="1" x14ac:dyDescent="0.2">
      <c r="B2497" s="10" t="s">
        <v>893</v>
      </c>
      <c r="C2497" s="10" t="s">
        <v>199</v>
      </c>
      <c r="D2497" s="28">
        <f t="shared" ref="D2497:M2497" si="541">D2494-D2495</f>
        <v>259.5</v>
      </c>
      <c r="E2497" s="28">
        <f t="shared" si="541"/>
        <v>346</v>
      </c>
      <c r="F2497" s="28">
        <f t="shared" si="541"/>
        <v>259.5</v>
      </c>
      <c r="G2497" s="28">
        <f t="shared" si="541"/>
        <v>0</v>
      </c>
      <c r="H2497" s="28">
        <f t="shared" si="541"/>
        <v>0</v>
      </c>
      <c r="I2497" s="28">
        <f t="shared" si="541"/>
        <v>0</v>
      </c>
      <c r="J2497" s="28">
        <f t="shared" si="541"/>
        <v>0</v>
      </c>
      <c r="K2497" s="28">
        <f t="shared" si="541"/>
        <v>0</v>
      </c>
      <c r="L2497" s="28">
        <f t="shared" si="541"/>
        <v>0</v>
      </c>
      <c r="M2497" s="28">
        <f t="shared" si="541"/>
        <v>0</v>
      </c>
    </row>
    <row r="2498" spans="2:13" ht="15" customHeight="1" x14ac:dyDescent="0.2">
      <c r="B2498" s="10" t="s">
        <v>894</v>
      </c>
      <c r="C2498" s="10" t="s">
        <v>199</v>
      </c>
      <c r="D2498" s="28">
        <f>IF(MOD(D2490,Inputs!$D$21)=Inputs!$D$6,Inputs!$D$24,Inputs!$D$6)+SUMPRODUCT(--(D2490&gt;$D$2490:$M$2490),--(MOD(D2490-$D$2490:$M$2490,Inputs!$D$21)=Inputs!$D$6),$D$2497:$M$2497)</f>
        <v>0</v>
      </c>
      <c r="E2498" s="28">
        <f>IF(MOD(E2490,Inputs!$D$21)=Inputs!$D$6,Inputs!$D$24,Inputs!$D$6)+SUMPRODUCT(--(E2490&gt;$D$2490:$M$2490),--(MOD(E2490-$D$2490:$M$2490,Inputs!$D$21)=Inputs!$D$6),$D$2497:$M$2497)</f>
        <v>0</v>
      </c>
      <c r="F2498" s="28">
        <f>IF(MOD(F2490,Inputs!$D$21)=Inputs!$D$6,Inputs!$D$24,Inputs!$D$6)+SUMPRODUCT(--(F2490&gt;$D$2490:$M$2490),--(MOD(F2490-$D$2490:$M$2490,Inputs!$D$21)=Inputs!$D$6),$D$2497:$M$2497)</f>
        <v>0</v>
      </c>
      <c r="G2498" s="28">
        <f>IF(MOD(G2490,Inputs!$D$21)=Inputs!$D$6,Inputs!$D$24,Inputs!$D$6)+SUMPRODUCT(--(G2490&gt;$D$2490:$M$2490),--(MOD(G2490-$D$2490:$M$2490,Inputs!$D$21)=Inputs!$D$6),$D$2497:$M$2497)</f>
        <v>46</v>
      </c>
      <c r="H2498" s="28">
        <f>IF(MOD(H2490,Inputs!$D$21)=Inputs!$D$6,Inputs!$D$24,Inputs!$D$6)+SUMPRODUCT(--(H2490&gt;$D$2490:$M$2490),--(MOD(H2490-$D$2490:$M$2490,Inputs!$D$21)=Inputs!$D$6),$D$2497:$M$2497)</f>
        <v>259.5</v>
      </c>
      <c r="I2498" s="28">
        <f>IF(MOD(I2490,Inputs!$D$21)=Inputs!$D$6,Inputs!$D$24,Inputs!$D$6)+SUMPRODUCT(--(I2490&gt;$D$2490:$M$2490),--(MOD(I2490-$D$2490:$M$2490,Inputs!$D$21)=Inputs!$D$6),$D$2497:$M$2497)</f>
        <v>346</v>
      </c>
      <c r="J2498" s="28">
        <f>IF(MOD(J2490,Inputs!$D$21)=Inputs!$D$6,Inputs!$D$24,Inputs!$D$6)+SUMPRODUCT(--(J2490&gt;$D$2490:$M$2490),--(MOD(J2490-$D$2490:$M$2490,Inputs!$D$21)=Inputs!$D$6),$D$2497:$M$2497)</f>
        <v>259.5</v>
      </c>
      <c r="K2498" s="28">
        <f>IF(MOD(K2490,Inputs!$D$21)=Inputs!$D$6,Inputs!$D$24,Inputs!$D$6)+SUMPRODUCT(--(K2490&gt;$D$2490:$M$2490),--(MOD(K2490-$D$2490:$M$2490,Inputs!$D$21)=Inputs!$D$6),$D$2497:$M$2497)</f>
        <v>46</v>
      </c>
      <c r="L2498" s="28">
        <f>IF(MOD(L2490,Inputs!$D$21)=Inputs!$D$6,Inputs!$D$24,Inputs!$D$6)+SUMPRODUCT(--(L2490&gt;$D$2490:$M$2490),--(MOD(L2490-$D$2490:$M$2490,Inputs!$D$21)=Inputs!$D$6),$D$2497:$M$2497)</f>
        <v>259.5</v>
      </c>
      <c r="M2498" s="28">
        <f>IF(MOD(M2490,Inputs!$D$21)=Inputs!$D$6,Inputs!$D$24,Inputs!$D$6)+SUMPRODUCT(--(M2490&gt;$D$2490:$M$2490),--(MOD(M2490-$D$2490:$M$2490,Inputs!$D$21)=Inputs!$D$6),$D$2497:$M$2497)</f>
        <v>346</v>
      </c>
    </row>
    <row r="2499" spans="2:13" ht="15" customHeight="1" x14ac:dyDescent="0.2">
      <c r="B2499" s="10" t="s">
        <v>895</v>
      </c>
      <c r="C2499" s="10" t="s">
        <v>896</v>
      </c>
      <c r="D2499" s="28">
        <f t="shared" ref="D2499:M2499" si="542">D2496*D2493</f>
        <v>125.58726899383984</v>
      </c>
      <c r="E2499" s="28">
        <f t="shared" si="542"/>
        <v>478.5</v>
      </c>
      <c r="F2499" s="28">
        <f t="shared" si="542"/>
        <v>781.25</v>
      </c>
      <c r="G2499" s="28">
        <f t="shared" si="542"/>
        <v>911</v>
      </c>
      <c r="H2499" s="28">
        <f t="shared" si="542"/>
        <v>911</v>
      </c>
      <c r="I2499" s="28">
        <f t="shared" si="542"/>
        <v>911</v>
      </c>
      <c r="J2499" s="28">
        <f t="shared" si="542"/>
        <v>911</v>
      </c>
      <c r="K2499" s="28">
        <f t="shared" si="542"/>
        <v>911</v>
      </c>
      <c r="L2499" s="28">
        <f t="shared" si="542"/>
        <v>911</v>
      </c>
      <c r="M2499" s="28">
        <f t="shared" si="542"/>
        <v>911</v>
      </c>
    </row>
    <row r="2500" spans="2:13" ht="15" customHeight="1" x14ac:dyDescent="0.2">
      <c r="B2500" s="10" t="s">
        <v>897</v>
      </c>
      <c r="C2500" s="10" t="s">
        <v>110</v>
      </c>
      <c r="D2500" s="16">
        <f>D2499*($D$2519/Inputs!$D$21+$D$2520/Inputs!$D$22)</f>
        <v>1816.9772859324419</v>
      </c>
      <c r="E2500" s="16">
        <f>E2499*($D$2519/Inputs!$D$21+$D$2520/Inputs!$D$22)</f>
        <v>6922.8643817497086</v>
      </c>
      <c r="F2500" s="16">
        <f>F2499*($D$2519/Inputs!$D$21+$D$2520/Inputs!$D$22)</f>
        <v>11303.0048030135</v>
      </c>
      <c r="G2500" s="16">
        <f>G2499*($D$2519/Inputs!$D$21+$D$2520/Inputs!$D$22)</f>
        <v>13180.207840697982</v>
      </c>
      <c r="H2500" s="16">
        <f>H2499*($D$2519/Inputs!$D$21+$D$2520/Inputs!$D$22)</f>
        <v>13180.207840697982</v>
      </c>
      <c r="I2500" s="16">
        <f>I2499*($D$2519/Inputs!$D$21+$D$2520/Inputs!$D$22)</f>
        <v>13180.207840697982</v>
      </c>
      <c r="J2500" s="16">
        <f>J2499*($D$2519/Inputs!$D$21+$D$2520/Inputs!$D$22)</f>
        <v>13180.207840697982</v>
      </c>
      <c r="K2500" s="16">
        <f>K2499*($D$2519/Inputs!$D$21+$D$2520/Inputs!$D$22)</f>
        <v>13180.207840697982</v>
      </c>
      <c r="L2500" s="16">
        <f>L2499*($D$2519/Inputs!$D$21+$D$2520/Inputs!$D$22)</f>
        <v>13180.207840697982</v>
      </c>
      <c r="M2500" s="16">
        <f>M2499*($D$2519/Inputs!$D$21+$D$2520/Inputs!$D$22)</f>
        <v>13180.207840697982</v>
      </c>
    </row>
    <row r="2501" spans="2:13" ht="15" customHeight="1" x14ac:dyDescent="0.2">
      <c r="B2501" s="10" t="s">
        <v>898</v>
      </c>
      <c r="C2501" s="10" t="s">
        <v>110</v>
      </c>
      <c r="D2501" s="16">
        <f t="shared" ref="D2501:M2501" si="543">D2497*($D$2519+$D$2520)</f>
        <v>15560.968620146154</v>
      </c>
      <c r="E2501" s="16">
        <f t="shared" si="543"/>
        <v>20747.95816019487</v>
      </c>
      <c r="F2501" s="16">
        <f t="shared" si="543"/>
        <v>15560.968620146154</v>
      </c>
      <c r="G2501" s="16">
        <f t="shared" si="543"/>
        <v>0</v>
      </c>
      <c r="H2501" s="16">
        <f t="shared" si="543"/>
        <v>0</v>
      </c>
      <c r="I2501" s="16">
        <f t="shared" si="543"/>
        <v>0</v>
      </c>
      <c r="J2501" s="16">
        <f t="shared" si="543"/>
        <v>0</v>
      </c>
      <c r="K2501" s="16">
        <f t="shared" si="543"/>
        <v>0</v>
      </c>
      <c r="L2501" s="16">
        <f t="shared" si="543"/>
        <v>0</v>
      </c>
      <c r="M2501" s="16">
        <f t="shared" si="543"/>
        <v>0</v>
      </c>
    </row>
    <row r="2502" spans="2:13" ht="15" customHeight="1" x14ac:dyDescent="0.2">
      <c r="B2502" s="10" t="s">
        <v>899</v>
      </c>
      <c r="C2502" s="10" t="s">
        <v>110</v>
      </c>
      <c r="D2502" s="16">
        <f t="shared" ref="D2502:M2502" si="544">D2498*$D$2519</f>
        <v>0</v>
      </c>
      <c r="E2502" s="16">
        <f t="shared" si="544"/>
        <v>0</v>
      </c>
      <c r="F2502" s="16">
        <f t="shared" si="544"/>
        <v>0</v>
      </c>
      <c r="G2502" s="16">
        <f t="shared" si="544"/>
        <v>2638.0048485671714</v>
      </c>
      <c r="H2502" s="16">
        <f t="shared" si="544"/>
        <v>14881.788221808281</v>
      </c>
      <c r="I2502" s="16">
        <f t="shared" si="544"/>
        <v>19842.384295744378</v>
      </c>
      <c r="J2502" s="16">
        <f t="shared" si="544"/>
        <v>14881.788221808281</v>
      </c>
      <c r="K2502" s="16">
        <f t="shared" si="544"/>
        <v>2638.0048485671714</v>
      </c>
      <c r="L2502" s="16">
        <f t="shared" si="544"/>
        <v>14881.788221808281</v>
      </c>
      <c r="M2502" s="16">
        <f t="shared" si="544"/>
        <v>19842.384295744378</v>
      </c>
    </row>
    <row r="2503" spans="2:13" ht="15" customHeight="1" x14ac:dyDescent="0.2">
      <c r="B2503" s="10" t="s">
        <v>900</v>
      </c>
      <c r="C2503" s="10" t="s">
        <v>199</v>
      </c>
      <c r="D2503" s="28">
        <f>D2497*Inputs!$D$23</f>
        <v>6.4875000000000007</v>
      </c>
      <c r="E2503" s="28">
        <f>E2497*Inputs!$D$23</f>
        <v>8.65</v>
      </c>
      <c r="F2503" s="28">
        <f>F2497*Inputs!$D$23</f>
        <v>6.4875000000000007</v>
      </c>
      <c r="G2503" s="28">
        <f>G2497*Inputs!$D$23</f>
        <v>0</v>
      </c>
      <c r="H2503" s="28">
        <f>H2497*Inputs!$D$23</f>
        <v>0</v>
      </c>
      <c r="I2503" s="28">
        <f>I2497*Inputs!$D$23</f>
        <v>0</v>
      </c>
      <c r="J2503" s="28">
        <f>J2497*Inputs!$D$23</f>
        <v>0</v>
      </c>
      <c r="K2503" s="28">
        <f>K2497*Inputs!$D$23</f>
        <v>0</v>
      </c>
      <c r="L2503" s="28">
        <f>L2497*Inputs!$D$23</f>
        <v>0</v>
      </c>
      <c r="M2503" s="28">
        <f>M2497*Inputs!$D$23</f>
        <v>0</v>
      </c>
    </row>
    <row r="2504" spans="2:13" ht="15" customHeight="1" x14ac:dyDescent="0.2">
      <c r="B2504" s="3" t="s">
        <v>901</v>
      </c>
      <c r="C2504" s="10" t="s">
        <v>896</v>
      </c>
      <c r="D2504" s="28">
        <f>(D2499*$D$2517*(Inputs!$D$7-Inputs!$D$19)-D2503)/(Inputs!$D$7+$D$2518)^D2492</f>
        <v>43.213488846686175</v>
      </c>
      <c r="E2504" s="28">
        <f>(E2499*$D$2517*(Inputs!$D$7-Inputs!$D$19)-E2503)/(Inputs!$D$7+$D$2518)^E2492</f>
        <v>163.29332190458183</v>
      </c>
      <c r="F2504" s="28">
        <f>(F2499*$D$2517*(Inputs!$D$7-Inputs!$D$19)-F2503)/(Inputs!$D$7+$D$2518)^F2492</f>
        <v>248.28260771010829</v>
      </c>
      <c r="G2504" s="28">
        <f>(G2499*$D$2517*(Inputs!$D$7-Inputs!$D$19)-G2503)/(Inputs!$D$7+$D$2518)^G2492</f>
        <v>268.5238926419492</v>
      </c>
      <c r="H2504" s="28">
        <f>(H2499*$D$2517*(Inputs!$D$7-Inputs!$D$19)-H2503)/(Inputs!$D$7+$D$2518)^H2492</f>
        <v>244.12855518959191</v>
      </c>
      <c r="I2504" s="28">
        <f>(I2499*$D$2517*(Inputs!$D$7-Inputs!$D$19)-I2503)/(Inputs!$D$7+$D$2518)^I2492</f>
        <v>221.8916197826434</v>
      </c>
      <c r="J2504" s="28">
        <f>(J2499*$D$2517*(Inputs!$D$7-Inputs!$D$19)-J2503)/(Inputs!$D$7+$D$2518)^J2492</f>
        <v>201.73281421346593</v>
      </c>
      <c r="K2504" s="28">
        <f>(K2499*$D$2517*(Inputs!$D$7-Inputs!$D$19)-K2503)/(Inputs!$D$7+$D$2518)^K2492</f>
        <v>183.40543176145695</v>
      </c>
      <c r="L2504" s="28">
        <f>(L2499*$D$2517*(Inputs!$D$7-Inputs!$D$19)-L2503)/(Inputs!$D$7+$D$2518)^L2492</f>
        <v>166.74308803332551</v>
      </c>
      <c r="M2504" s="28">
        <f>(M2499*$D$2517*(Inputs!$D$7-Inputs!$D$19)-M2503)/(Inputs!$D$7+$D$2518)^M2492</f>
        <v>151.55496194429571</v>
      </c>
    </row>
    <row r="2505" spans="2:13" ht="15" customHeight="1" x14ac:dyDescent="0.2">
      <c r="B2505" s="10" t="s">
        <v>902</v>
      </c>
      <c r="C2505" s="10" t="s">
        <v>110</v>
      </c>
      <c r="D2505" s="16">
        <f>(D2500*Inputs!$D$19-D2501-D2502)/(Inputs!$D$7+$D$2518)^D2492</f>
        <v>-14027.24269342025</v>
      </c>
      <c r="E2505" s="16">
        <f>(E2500*Inputs!$D$19-E2501-E2502)/(Inputs!$D$7+$D$2518)^E2492</f>
        <v>-15853.087323826181</v>
      </c>
      <c r="F2505" s="16">
        <f>(F2500*Inputs!$D$19-F2501-F2502)/(Inputs!$D$7+$D$2518)^F2492</f>
        <v>-9394.4767487293357</v>
      </c>
      <c r="G2505" s="16">
        <f>(G2500*Inputs!$D$19-G2501-G2502)/(Inputs!$D$7+$D$2518)^G2492</f>
        <v>923.61320322684639</v>
      </c>
      <c r="H2505" s="16">
        <f>(H2500*Inputs!$D$19-H2501-H2502)/(Inputs!$D$7+$D$2518)^H2492</f>
        <v>-6972.3744918015345</v>
      </c>
      <c r="I2505" s="16">
        <f>(I2500*Inputs!$D$19-I2501-I2502)/(Inputs!$D$7+$D$2518)^I2492</f>
        <v>-9214.0648467907959</v>
      </c>
      <c r="J2505" s="16">
        <f>(J2500*Inputs!$D$19-J2501-J2502)/(Inputs!$D$7+$D$2518)^J2492</f>
        <v>-5761.5411965591911</v>
      </c>
      <c r="K2505" s="16">
        <f>(K2500*Inputs!$D$19-K2501-K2502)/(Inputs!$D$7+$D$2518)^K2492</f>
        <v>630.8402453567694</v>
      </c>
      <c r="L2505" s="16">
        <f>(L2500*Inputs!$D$19-L2501-L2502)/(Inputs!$D$7+$D$2518)^L2492</f>
        <v>-4762.2255937446444</v>
      </c>
      <c r="M2505" s="16">
        <f>(M2500*Inputs!$D$19-M2501-M2502)/(Inputs!$D$7+$D$2518)^M2492</f>
        <v>-6293.3302689644106</v>
      </c>
    </row>
    <row r="2506" spans="2:13" ht="15" customHeight="1" x14ac:dyDescent="0.2">
      <c r="B2506" s="10" t="s">
        <v>903</v>
      </c>
      <c r="C2506" s="10" t="s">
        <v>110</v>
      </c>
      <c r="D2506" s="16">
        <f t="shared" ref="D2506:M2506" si="545">D2499*$D$2516</f>
        <v>5444.7381038499343</v>
      </c>
      <c r="E2506" s="16">
        <f t="shared" si="545"/>
        <v>20744.994325977306</v>
      </c>
      <c r="F2506" s="16">
        <f t="shared" si="545"/>
        <v>33870.484466394504</v>
      </c>
      <c r="G2506" s="16">
        <f t="shared" si="545"/>
        <v>39495.694526573308</v>
      </c>
      <c r="H2506" s="16">
        <f t="shared" si="545"/>
        <v>39495.694526573308</v>
      </c>
      <c r="I2506" s="16">
        <f t="shared" si="545"/>
        <v>39495.694526573308</v>
      </c>
      <c r="J2506" s="16">
        <f t="shared" si="545"/>
        <v>39495.694526573308</v>
      </c>
      <c r="K2506" s="16">
        <f t="shared" si="545"/>
        <v>39495.694526573308</v>
      </c>
      <c r="L2506" s="16">
        <f t="shared" si="545"/>
        <v>39495.694526573308</v>
      </c>
      <c r="M2506" s="16">
        <f t="shared" si="545"/>
        <v>39495.694526573308</v>
      </c>
    </row>
    <row r="2507" spans="2:13" ht="15" customHeight="1" x14ac:dyDescent="0.2">
      <c r="B2507" s="10" t="s">
        <v>904</v>
      </c>
      <c r="C2507" s="10" t="s">
        <v>110</v>
      </c>
      <c r="D2507" s="16">
        <f t="shared" ref="D2507:M2507" si="546">D2506*$D$2517</f>
        <v>3266.8428623099603</v>
      </c>
      <c r="E2507" s="16">
        <f t="shared" si="546"/>
        <v>12446.996595586383</v>
      </c>
      <c r="F2507" s="16">
        <f t="shared" si="546"/>
        <v>20322.2906798367</v>
      </c>
      <c r="G2507" s="16">
        <f t="shared" si="546"/>
        <v>23697.416715943986</v>
      </c>
      <c r="H2507" s="16">
        <f t="shared" si="546"/>
        <v>23697.416715943986</v>
      </c>
      <c r="I2507" s="16">
        <f t="shared" si="546"/>
        <v>23697.416715943986</v>
      </c>
      <c r="J2507" s="16">
        <f t="shared" si="546"/>
        <v>23697.416715943986</v>
      </c>
      <c r="K2507" s="16">
        <f t="shared" si="546"/>
        <v>23697.416715943986</v>
      </c>
      <c r="L2507" s="16">
        <f t="shared" si="546"/>
        <v>23697.416715943986</v>
      </c>
      <c r="M2507" s="16">
        <f t="shared" si="546"/>
        <v>23697.416715943986</v>
      </c>
    </row>
    <row r="2508" spans="2:13" ht="15" customHeight="1" x14ac:dyDescent="0.2">
      <c r="B2508" s="10" t="s">
        <v>905</v>
      </c>
      <c r="C2508" s="10" t="s">
        <v>110</v>
      </c>
      <c r="D2508" s="16">
        <f t="shared" ref="D2508:M2508" si="547">D2507-D2500</f>
        <v>1449.8655763775184</v>
      </c>
      <c r="E2508" s="16">
        <f t="shared" si="547"/>
        <v>5524.1322138366741</v>
      </c>
      <c r="F2508" s="16">
        <f t="shared" si="547"/>
        <v>9019.2858768231999</v>
      </c>
      <c r="G2508" s="16">
        <f t="shared" si="547"/>
        <v>10517.208875246004</v>
      </c>
      <c r="H2508" s="16">
        <f t="shared" si="547"/>
        <v>10517.208875246004</v>
      </c>
      <c r="I2508" s="16">
        <f t="shared" si="547"/>
        <v>10517.208875246004</v>
      </c>
      <c r="J2508" s="16">
        <f t="shared" si="547"/>
        <v>10517.208875246004</v>
      </c>
      <c r="K2508" s="16">
        <f t="shared" si="547"/>
        <v>10517.208875246004</v>
      </c>
      <c r="L2508" s="16">
        <f t="shared" si="547"/>
        <v>10517.208875246004</v>
      </c>
      <c r="M2508" s="16">
        <f t="shared" si="547"/>
        <v>10517.208875246004</v>
      </c>
    </row>
    <row r="2509" spans="2:13" ht="15" customHeight="1" x14ac:dyDescent="0.2">
      <c r="B2509" s="10" t="s">
        <v>906</v>
      </c>
      <c r="C2509" s="10" t="s">
        <v>110</v>
      </c>
      <c r="D2509" s="16">
        <f>MAX(D2508,Inputs!$D$6)*Inputs!$D$19</f>
        <v>434.95967291325553</v>
      </c>
      <c r="E2509" s="16">
        <f>MAX(E2508,Inputs!$D$6)*Inputs!$D$19</f>
        <v>1657.2396641510022</v>
      </c>
      <c r="F2509" s="16">
        <f>MAX(F2508,Inputs!$D$6)*Inputs!$D$19</f>
        <v>2705.7857630469598</v>
      </c>
      <c r="G2509" s="16">
        <f>MAX(G2508,Inputs!$D$6)*Inputs!$D$19</f>
        <v>3155.1626625738013</v>
      </c>
      <c r="H2509" s="16">
        <f>MAX(H2508,Inputs!$D$6)*Inputs!$D$19</f>
        <v>3155.1626625738013</v>
      </c>
      <c r="I2509" s="16">
        <f>MAX(I2508,Inputs!$D$6)*Inputs!$D$19</f>
        <v>3155.1626625738013</v>
      </c>
      <c r="J2509" s="16">
        <f>MAX(J2508,Inputs!$D$6)*Inputs!$D$19</f>
        <v>3155.1626625738013</v>
      </c>
      <c r="K2509" s="16">
        <f>MAX(K2508,Inputs!$D$6)*Inputs!$D$19</f>
        <v>3155.1626625738013</v>
      </c>
      <c r="L2509" s="16">
        <f>MAX(L2508,Inputs!$D$6)*Inputs!$D$19</f>
        <v>3155.1626625738013</v>
      </c>
      <c r="M2509" s="16">
        <f>MAX(M2508,Inputs!$D$6)*Inputs!$D$19</f>
        <v>3155.1626625738013</v>
      </c>
    </row>
    <row r="2510" spans="2:13" ht="15" customHeight="1" x14ac:dyDescent="0.2">
      <c r="B2510" s="10" t="s">
        <v>907</v>
      </c>
      <c r="C2510" s="10" t="s">
        <v>110</v>
      </c>
      <c r="D2510" s="16">
        <f t="shared" ref="D2510:M2510" si="548">D2503*$D$2516</f>
        <v>281.26050300894002</v>
      </c>
      <c r="E2510" s="16">
        <f t="shared" si="548"/>
        <v>375.01400401192001</v>
      </c>
      <c r="F2510" s="16">
        <f t="shared" si="548"/>
        <v>281.26050300894002</v>
      </c>
      <c r="G2510" s="16">
        <f t="shared" si="548"/>
        <v>0</v>
      </c>
      <c r="H2510" s="16">
        <f t="shared" si="548"/>
        <v>0</v>
      </c>
      <c r="I2510" s="16">
        <f t="shared" si="548"/>
        <v>0</v>
      </c>
      <c r="J2510" s="16">
        <f t="shared" si="548"/>
        <v>0</v>
      </c>
      <c r="K2510" s="16">
        <f t="shared" si="548"/>
        <v>0</v>
      </c>
      <c r="L2510" s="16">
        <f t="shared" si="548"/>
        <v>0</v>
      </c>
      <c r="M2510" s="16">
        <f t="shared" si="548"/>
        <v>0</v>
      </c>
    </row>
    <row r="2511" spans="2:13" ht="15" customHeight="1" x14ac:dyDescent="0.2">
      <c r="B2511" s="10" t="s">
        <v>908</v>
      </c>
      <c r="C2511" s="10" t="s">
        <v>110</v>
      </c>
      <c r="D2511" s="16">
        <f t="shared" ref="D2511:M2511" si="549">D2507-D2509-D2501-D2502-D2510</f>
        <v>-13010.345933758388</v>
      </c>
      <c r="E2511" s="16">
        <f t="shared" si="549"/>
        <v>-10333.21523277141</v>
      </c>
      <c r="F2511" s="16">
        <f t="shared" si="549"/>
        <v>1774.2757936346477</v>
      </c>
      <c r="G2511" s="16">
        <f t="shared" si="549"/>
        <v>17904.249204803011</v>
      </c>
      <c r="H2511" s="16">
        <f t="shared" si="549"/>
        <v>5660.4658315619017</v>
      </c>
      <c r="I2511" s="16">
        <f t="shared" si="549"/>
        <v>699.86975762580551</v>
      </c>
      <c r="J2511" s="16">
        <f t="shared" si="549"/>
        <v>5660.4658315619017</v>
      </c>
      <c r="K2511" s="16">
        <f t="shared" si="549"/>
        <v>17904.249204803011</v>
      </c>
      <c r="L2511" s="16">
        <f t="shared" si="549"/>
        <v>5660.4658315619017</v>
      </c>
      <c r="M2511" s="16">
        <f t="shared" si="549"/>
        <v>699.86975762580551</v>
      </c>
    </row>
    <row r="2512" spans="2:13" ht="15" customHeight="1" x14ac:dyDescent="0.2">
      <c r="B2512" s="10" t="s">
        <v>909</v>
      </c>
      <c r="C2512" s="10" t="s">
        <v>110</v>
      </c>
      <c r="D2512" s="16">
        <f>D2511/(Inputs!$D$7+$D$2518)^D2492</f>
        <v>-12153.755585938143</v>
      </c>
      <c r="E2512" s="16">
        <f>E2511/(Inputs!$D$7+$D$2518)^E2492</f>
        <v>-8773.6327023412578</v>
      </c>
      <c r="F2512" s="16">
        <f>F2511/(Inputs!$D$7+$D$2518)^F2492</f>
        <v>1369.6220771537285</v>
      </c>
      <c r="G2512" s="16">
        <f>G2511/(Inputs!$D$7+$D$2518)^G2492</f>
        <v>12565.257151495553</v>
      </c>
      <c r="H2512" s="16">
        <f>H2511/(Inputs!$D$7+$D$2518)^H2492</f>
        <v>3611.6286267295463</v>
      </c>
      <c r="I2512" s="16">
        <f>I2511/(Inputs!$D$7+$D$2518)^I2492</f>
        <v>405.87327938026249</v>
      </c>
      <c r="J2512" s="16">
        <f>J2511/(Inputs!$D$7+$D$2518)^J2492</f>
        <v>2984.4276356702444</v>
      </c>
      <c r="K2512" s="16">
        <f>K2511/(Inputs!$D$7+$D$2518)^K2492</f>
        <v>8582.2397045936395</v>
      </c>
      <c r="L2512" s="16">
        <f>L2511/(Inputs!$D$7+$D$2518)^L2492</f>
        <v>2466.790947837952</v>
      </c>
      <c r="M2512" s="16">
        <f>M2511/(Inputs!$D$7+$D$2518)^M2492</f>
        <v>277.21691098986571</v>
      </c>
    </row>
    <row r="2513" spans="2:13" ht="15" customHeight="1" x14ac:dyDescent="0.2">
      <c r="B2513" s="3" t="s">
        <v>910</v>
      </c>
      <c r="C2513" s="10" t="s">
        <v>896</v>
      </c>
      <c r="D2513" s="28">
        <f>(D2499*$D$2517-D2503)/(Inputs!$D$7+$D$2518)^D2492</f>
        <v>64.330856237917445</v>
      </c>
      <c r="E2513" s="28">
        <f>(E2499*$D$2517-E2503)/(Inputs!$D$7+$D$2518)^E2492</f>
        <v>236.42380139523098</v>
      </c>
      <c r="F2513" s="28">
        <f>(F2499*$D$2517-F2503)/(Inputs!$D$7+$D$2518)^F2492</f>
        <v>356.83568908039001</v>
      </c>
      <c r="G2513" s="28">
        <f>(G2499*$D$2517-G2503)/(Inputs!$D$7+$D$2518)^G2492</f>
        <v>383.60556091707036</v>
      </c>
      <c r="H2513" s="28">
        <f>(H2499*$D$2517-H2503)/(Inputs!$D$7+$D$2518)^H2492</f>
        <v>348.75507884227414</v>
      </c>
      <c r="I2513" s="28">
        <f>(I2499*$D$2517-I2503)/(Inputs!$D$7+$D$2518)^I2492</f>
        <v>316.98802826091918</v>
      </c>
      <c r="J2513" s="28">
        <f>(J2499*$D$2517-J2503)/(Inputs!$D$7+$D$2518)^J2492</f>
        <v>288.18973459066564</v>
      </c>
      <c r="K2513" s="28">
        <f>(K2499*$D$2517-K2503)/(Inputs!$D$7+$D$2518)^K2492</f>
        <v>262.00775965922423</v>
      </c>
      <c r="L2513" s="28">
        <f>(L2499*$D$2517-L2503)/(Inputs!$D$7+$D$2518)^L2492</f>
        <v>238.2044114761793</v>
      </c>
      <c r="M2513" s="28">
        <f>(M2499*$D$2517-M2503)/(Inputs!$D$7+$D$2518)^M2492</f>
        <v>216.50708849185102</v>
      </c>
    </row>
    <row r="2514" spans="2:13" ht="15" customHeight="1" x14ac:dyDescent="0.2">
      <c r="B2514" s="10" t="s">
        <v>911</v>
      </c>
      <c r="C2514" s="10" t="s">
        <v>110</v>
      </c>
      <c r="D2514" s="16">
        <f>(-D2501-D2502)/(Inputs!$D$7+$D$2518)^D2492</f>
        <v>-14536.447397527105</v>
      </c>
      <c r="E2514" s="16">
        <f>(-E2501-E2502)/(Inputs!$D$7+$D$2518)^E2492</f>
        <v>-17616.488200475756</v>
      </c>
      <c r="F2514" s="16">
        <f>(-F2501-F2502)/(Inputs!$D$7+$D$2518)^F2492</f>
        <v>-12012.025548964448</v>
      </c>
      <c r="G2514" s="16">
        <f>(-G2501-G2502)/(Inputs!$D$7+$D$2518)^G2492</f>
        <v>-1851.359915178487</v>
      </c>
      <c r="H2514" s="16">
        <f>(-H2501-H2502)/(Inputs!$D$7+$D$2518)^H2492</f>
        <v>-9495.2419037884629</v>
      </c>
      <c r="I2514" s="16">
        <f>(-I2501-I2502)/(Inputs!$D$7+$D$2518)^I2492</f>
        <v>-11507.131858586603</v>
      </c>
      <c r="J2514" s="16">
        <f>(-J2501-J2502)/(Inputs!$D$7+$D$2518)^J2492</f>
        <v>-7846.2835672839774</v>
      </c>
      <c r="K2514" s="16">
        <f>(-K2501-K2502)/(Inputs!$D$7+$D$2518)^K2492</f>
        <v>-1264.5037327904422</v>
      </c>
      <c r="L2514" s="16">
        <f>(-L2501-L2502)/(Inputs!$D$7+$D$2518)^L2492</f>
        <v>-6485.3779822337692</v>
      </c>
      <c r="M2514" s="16">
        <f>(-M2501-M2502)/(Inputs!$D$7+$D$2518)^M2492</f>
        <v>-7859.5258920747219</v>
      </c>
    </row>
    <row r="2515" spans="2:13" ht="15" customHeight="1" x14ac:dyDescent="0.2">
      <c r="B2515" s="10" t="s">
        <v>912</v>
      </c>
      <c r="C2515" s="10" t="s">
        <v>110</v>
      </c>
      <c r="D2515" s="16">
        <f>Prices!I15</f>
        <v>43845.82318383723</v>
      </c>
    </row>
    <row r="2516" spans="2:13" ht="15" customHeight="1" x14ac:dyDescent="0.2">
      <c r="B2516" s="3" t="s">
        <v>913</v>
      </c>
      <c r="C2516" s="10" t="s">
        <v>914</v>
      </c>
      <c r="D2516" s="28">
        <f>IF(J2523&gt;=J2519,J2523,(D2515-J2522)/J2521)</f>
        <v>43.354220116984969</v>
      </c>
      <c r="G2516" s="99" t="s">
        <v>915</v>
      </c>
      <c r="H2516" s="91"/>
      <c r="I2516" s="91"/>
      <c r="J2516" s="28">
        <f>D2516*Inputs!$D$15</f>
        <v>30.256910219643807</v>
      </c>
      <c r="K2516" s="99" t="s">
        <v>916</v>
      </c>
      <c r="L2516" s="91"/>
      <c r="M2516" s="91"/>
    </row>
    <row r="2517" spans="2:13" ht="15" customHeight="1" x14ac:dyDescent="0.2">
      <c r="B2517" s="10" t="s">
        <v>917</v>
      </c>
      <c r="C2517" s="10" t="s">
        <v>104</v>
      </c>
      <c r="D2517" s="30">
        <f>Inputs!$D$81</f>
        <v>0.6</v>
      </c>
      <c r="G2517" s="99" t="s">
        <v>918</v>
      </c>
      <c r="H2517" s="91"/>
      <c r="I2517" s="91"/>
      <c r="J2517" s="28">
        <f>IF(-D2528/D2527&gt;=J2519,-D2528/D2527,-J2522/J2521)</f>
        <v>32.284876648616972</v>
      </c>
      <c r="K2517" s="99" t="s">
        <v>919</v>
      </c>
      <c r="L2517" s="91"/>
      <c r="M2517" s="91"/>
    </row>
    <row r="2518" spans="2:13" ht="15" customHeight="1" x14ac:dyDescent="0.2">
      <c r="B2518" s="10" t="s">
        <v>920</v>
      </c>
      <c r="C2518" s="10" t="s">
        <v>104</v>
      </c>
      <c r="D2518" s="30">
        <f>Inputs!$D$82</f>
        <v>0.1</v>
      </c>
      <c r="G2518" s="99" t="s">
        <v>918</v>
      </c>
      <c r="H2518" s="91"/>
      <c r="I2518" s="91"/>
      <c r="J2518" s="28">
        <f>J2517*Inputs!$D$15</f>
        <v>22.531615413069783</v>
      </c>
      <c r="K2518" s="99" t="s">
        <v>916</v>
      </c>
      <c r="L2518" s="91"/>
      <c r="M2518" s="91"/>
    </row>
    <row r="2519" spans="2:13" ht="15" customHeight="1" x14ac:dyDescent="0.2">
      <c r="B2519" s="3" t="s">
        <v>921</v>
      </c>
      <c r="C2519" s="10" t="s">
        <v>848</v>
      </c>
      <c r="D2519" s="28">
        <f>Capital!$D$13</f>
        <v>57.347931490590682</v>
      </c>
      <c r="G2519" s="99" t="s">
        <v>922</v>
      </c>
      <c r="H2519" s="91"/>
      <c r="I2519" s="91"/>
      <c r="J2519" s="28">
        <f>($D$2519/Inputs!$D$21+$D$2520/Inputs!$D$22)/$D$2517</f>
        <v>24.113076913095469</v>
      </c>
      <c r="K2519" s="99" t="s">
        <v>919</v>
      </c>
      <c r="L2519" s="91"/>
      <c r="M2519" s="91"/>
    </row>
    <row r="2520" spans="2:13" ht="15" customHeight="1" x14ac:dyDescent="0.2">
      <c r="B2520" s="3" t="s">
        <v>923</v>
      </c>
      <c r="C2520" s="10" t="s">
        <v>848</v>
      </c>
      <c r="D2520" s="28">
        <f>Capital!$D$14</f>
        <v>2.6172655041921802</v>
      </c>
    </row>
    <row r="2521" spans="2:13" ht="15" customHeight="1" x14ac:dyDescent="0.2">
      <c r="B2521" s="10" t="s">
        <v>924</v>
      </c>
      <c r="C2521" s="10" t="s">
        <v>896</v>
      </c>
      <c r="D2521" s="28">
        <f>(M2494*(Inputs!$D$7+Inputs!$D$20)*$D$2517*(Inputs!$D$7-Inputs!$D$19)-M2494*Inputs!$D$20*Inputs!$D$23)/($D$2518-Inputs!$D$20)/(Inputs!$D$7+$D$2518)^M2492</f>
        <v>2068.2441036763203</v>
      </c>
      <c r="G2521" s="92" t="s">
        <v>910</v>
      </c>
      <c r="H2521" s="91"/>
      <c r="I2521" s="91"/>
      <c r="J2521" s="28">
        <f>SUM(D2513:M2513)+(M2494*(Inputs!$D$7+Inputs!$D$20)*$D$2517-M2494*Inputs!$D$20*Inputs!$D$23)/($D$2518-Inputs!$D$20)/(Inputs!$D$7+$D$2518)^M2492</f>
        <v>5667.7711754446318</v>
      </c>
      <c r="K2521" s="99" t="s">
        <v>896</v>
      </c>
      <c r="L2521" s="91"/>
      <c r="M2521" s="91"/>
    </row>
    <row r="2522" spans="2:13" ht="15" customHeight="1" x14ac:dyDescent="0.2">
      <c r="B2522" s="10" t="s">
        <v>925</v>
      </c>
      <c r="C2522" s="10" t="s">
        <v>110</v>
      </c>
      <c r="D2522" s="16">
        <f>(D2525*Inputs!$D$19-D2525-D2526)/($D$2518-Inputs!$D$20)/(Inputs!$D$7+$D$2518)^M2492</f>
        <v>-57156.954988173631</v>
      </c>
      <c r="G2522" s="92" t="s">
        <v>926</v>
      </c>
      <c r="H2522" s="91"/>
      <c r="I2522" s="91"/>
      <c r="J2522" s="16">
        <f>SUM(D2514:M2514)-(D2525+D2526)/($D$2518-Inputs!$D$20)/(Inputs!$D$7+$D$2518)^M2492</f>
        <v>-169036.01450291832</v>
      </c>
      <c r="K2522" s="99" t="s">
        <v>110</v>
      </c>
      <c r="L2522" s="91"/>
      <c r="M2522" s="91"/>
    </row>
    <row r="2523" spans="2:13" ht="15" customHeight="1" x14ac:dyDescent="0.2">
      <c r="B2523" s="10" t="s">
        <v>927</v>
      </c>
      <c r="C2523" s="10" t="s">
        <v>928</v>
      </c>
      <c r="D2523" s="16">
        <f>(M2494*(Inputs!$D$7+Inputs!$D$20)*$D$2516*$D$2517-D2525)-MAX((M2494*(Inputs!$D$7+Inputs!$D$20)*$D$2516*$D$2517-D2525),Inputs!$D$6)*Inputs!$D$19-D2526-M2494*Inputs!$D$20*$D$2516*Inputs!$D$23</f>
        <v>6155.7051973537182</v>
      </c>
      <c r="G2523" s="99" t="s">
        <v>929</v>
      </c>
      <c r="H2523" s="91"/>
      <c r="I2523" s="91"/>
      <c r="J2523" s="28">
        <f>(D2515-D2528)/D2527</f>
        <v>43.354220116984969</v>
      </c>
      <c r="K2523" s="99" t="s">
        <v>919</v>
      </c>
      <c r="L2523" s="91"/>
      <c r="M2523" s="91"/>
    </row>
    <row r="2524" spans="2:13" ht="15" customHeight="1" x14ac:dyDescent="0.2">
      <c r="B2524" s="10" t="s">
        <v>930</v>
      </c>
      <c r="C2524" s="10" t="s">
        <v>110</v>
      </c>
      <c r="D2524" s="16">
        <f>D2523/($D$2518-Inputs!$D$20)</f>
        <v>82076.069298049566</v>
      </c>
      <c r="G2524" s="99" t="s">
        <v>931</v>
      </c>
      <c r="H2524" s="91"/>
      <c r="I2524" s="91"/>
      <c r="J2524" s="16">
        <f>MIN(D2508:M2508,(M2494*(Inputs!$D$7+Inputs!$D$20)*$D$2516*$D$2517-D2525))</f>
        <v>1449.8655763775184</v>
      </c>
      <c r="K2524" s="99" t="s">
        <v>110</v>
      </c>
      <c r="L2524" s="91"/>
      <c r="M2524" s="91"/>
    </row>
    <row r="2525" spans="2:13" ht="15" customHeight="1" x14ac:dyDescent="0.2">
      <c r="B2525" s="10" t="s">
        <v>932</v>
      </c>
      <c r="C2525" s="10" t="s">
        <v>928</v>
      </c>
      <c r="D2525" s="16">
        <f>M2494*(Inputs!$D$7+Inputs!$D$20)*($D$2519/Inputs!$D$21+$D$2520/Inputs!$D$22)</f>
        <v>13509.71303671543</v>
      </c>
      <c r="G2525" s="99" t="s">
        <v>933</v>
      </c>
      <c r="H2525" s="91"/>
      <c r="I2525" s="91"/>
      <c r="J2525" s="31" t="str">
        <f>IF(J2524&lt;Inputs!$D$6,"breached","satisfied")</f>
        <v>satisfied</v>
      </c>
      <c r="K2525" s="99" t="s">
        <v>934</v>
      </c>
      <c r="L2525" s="91"/>
      <c r="M2525" s="91"/>
    </row>
    <row r="2526" spans="2:13" ht="15" customHeight="1" x14ac:dyDescent="0.2">
      <c r="B2526" s="10" t="s">
        <v>935</v>
      </c>
      <c r="C2526" s="10" t="s">
        <v>928</v>
      </c>
      <c r="D2526" s="16">
        <f>M2494*Inputs!$D$20*($D$2519+$D$2520)</f>
        <v>1365.7073615561799</v>
      </c>
    </row>
    <row r="2527" spans="2:13" ht="15" customHeight="1" x14ac:dyDescent="0.2">
      <c r="B2527" s="10" t="s">
        <v>936</v>
      </c>
      <c r="C2527" s="10" t="s">
        <v>896</v>
      </c>
      <c r="D2527" s="28">
        <f>SUM(D2504:M2504)+D2521</f>
        <v>3961.0138857044249</v>
      </c>
      <c r="G2527" s="99" t="s">
        <v>937</v>
      </c>
      <c r="H2527" s="91"/>
      <c r="I2527" s="91"/>
      <c r="J2527" s="16">
        <f>D2529-D2515</f>
        <v>0</v>
      </c>
      <c r="K2527" s="99" t="s">
        <v>110</v>
      </c>
      <c r="L2527" s="91"/>
      <c r="M2527" s="91"/>
    </row>
    <row r="2528" spans="2:13" ht="15" customHeight="1" x14ac:dyDescent="0.2">
      <c r="B2528" s="10" t="s">
        <v>938</v>
      </c>
      <c r="C2528" s="10" t="s">
        <v>110</v>
      </c>
      <c r="D2528" s="16">
        <f>SUM(D2505:M2505)+D2522</f>
        <v>-127880.84470342637</v>
      </c>
    </row>
    <row r="2529" spans="1:13" ht="15" customHeight="1" x14ac:dyDescent="0.2">
      <c r="B2529" s="10" t="s">
        <v>939</v>
      </c>
      <c r="C2529" s="10" t="s">
        <v>110</v>
      </c>
      <c r="D2529" s="16">
        <f>SUM(D2512:M2512)+D2524/(Inputs!$D$7+$D$2518)^M2492</f>
        <v>43845.823183837245</v>
      </c>
    </row>
    <row r="2530" spans="1:13" ht="15" customHeight="1" x14ac:dyDescent="0.2">
      <c r="B2530" s="10" t="s">
        <v>940</v>
      </c>
      <c r="C2530" s="10" t="s">
        <v>104</v>
      </c>
      <c r="D2530" s="30">
        <f>IF(ABS(D2515)&gt;Inputs!$D$6,D2529/D2515-Inputs!$D$7,Inputs!$D$6)</f>
        <v>2.2204460492503131E-16</v>
      </c>
    </row>
    <row r="2531" spans="1:13" ht="15" customHeight="1" x14ac:dyDescent="0.2">
      <c r="B2531" s="10" t="s">
        <v>941</v>
      </c>
      <c r="C2531" s="10" t="s">
        <v>104</v>
      </c>
      <c r="D2531" s="30">
        <f>IF(ABS(D2529)&gt;Inputs!$D$119,D2524/(Inputs!$D$7+$D$2518)^M2492/D2529,Inputs!$D$6)</f>
        <v>0.74146527029397802</v>
      </c>
    </row>
    <row r="2532" spans="1:13" ht="15" customHeight="1" x14ac:dyDescent="0.2">
      <c r="B2532" s="10" t="s">
        <v>942</v>
      </c>
      <c r="C2532" s="10" t="s">
        <v>943</v>
      </c>
      <c r="D2532" s="26">
        <f>$D$2516*Inputs!$D$8/Prices!$P$6/(Inputs!$D$26/Inputs!$D$25)/Inputs!$D$11/Inputs!$D$56</f>
        <v>7.8840966176856275</v>
      </c>
    </row>
    <row r="2536" spans="1:13" ht="15" customHeight="1" x14ac:dyDescent="0.2">
      <c r="A2536" s="104" t="s">
        <v>998</v>
      </c>
      <c r="B2536" s="10" t="s">
        <v>886</v>
      </c>
      <c r="C2536" s="10" t="s">
        <v>107</v>
      </c>
      <c r="D2536" s="28">
        <f>Inputs!$D$60</f>
        <v>1</v>
      </c>
      <c r="E2536" s="28">
        <f>Inputs!$D$62</f>
        <v>2</v>
      </c>
      <c r="F2536" s="28">
        <f>Inputs!$D$64</f>
        <v>3</v>
      </c>
      <c r="G2536" s="28">
        <f>Inputs!$D$66</f>
        <v>4</v>
      </c>
      <c r="H2536" s="28">
        <f>Inputs!$D$68</f>
        <v>5</v>
      </c>
      <c r="I2536" s="28">
        <f>Inputs!$D$70</f>
        <v>6</v>
      </c>
      <c r="J2536" s="28">
        <f>Inputs!$D$72</f>
        <v>7</v>
      </c>
      <c r="K2536" s="28">
        <f>Inputs!$D$74</f>
        <v>8</v>
      </c>
      <c r="L2536" s="28">
        <f>Inputs!$D$76</f>
        <v>9</v>
      </c>
      <c r="M2536" s="28">
        <f>Inputs!$D$78</f>
        <v>10</v>
      </c>
    </row>
    <row r="2537" spans="1:13" ht="15" customHeight="1" x14ac:dyDescent="0.2">
      <c r="A2537" s="91"/>
      <c r="B2537" s="10" t="s">
        <v>887</v>
      </c>
      <c r="C2537" s="10" t="s">
        <v>161</v>
      </c>
      <c r="D2537" s="29">
        <f>Inputs!$D$61</f>
        <v>46568</v>
      </c>
      <c r="E2537" s="29">
        <f>Inputs!$D$63</f>
        <v>46934</v>
      </c>
      <c r="F2537" s="29">
        <f>Inputs!$D$65</f>
        <v>47299</v>
      </c>
      <c r="G2537" s="29">
        <f>Inputs!$D$67</f>
        <v>47664</v>
      </c>
      <c r="H2537" s="29">
        <f>Inputs!$D$69</f>
        <v>48029</v>
      </c>
      <c r="I2537" s="29">
        <f>Inputs!$D$71</f>
        <v>48395</v>
      </c>
      <c r="J2537" s="29">
        <f>Inputs!$D$73</f>
        <v>48760</v>
      </c>
      <c r="K2537" s="29">
        <f>Inputs!$D$75</f>
        <v>49125</v>
      </c>
      <c r="L2537" s="29">
        <f>Inputs!$D$77</f>
        <v>49490</v>
      </c>
      <c r="M2537" s="29">
        <f>Inputs!$D$79</f>
        <v>49856</v>
      </c>
    </row>
    <row r="2538" spans="1:13" ht="15" customHeight="1" x14ac:dyDescent="0.2">
      <c r="A2538" s="91"/>
      <c r="B2538" s="10" t="s">
        <v>888</v>
      </c>
      <c r="C2538" s="10" t="s">
        <v>107</v>
      </c>
      <c r="D2538" s="28">
        <f>(D2537-Inputs!$D$13)/Inputs!$D$10</f>
        <v>0.71457905544147848</v>
      </c>
      <c r="E2538" s="28">
        <f>(E2537-Inputs!$D$13)/Inputs!$D$10</f>
        <v>1.7166324435318274</v>
      </c>
      <c r="F2538" s="28">
        <f>(F2537-Inputs!$D$13)/Inputs!$D$10</f>
        <v>2.7159479808350446</v>
      </c>
      <c r="G2538" s="28">
        <f>(G2537-Inputs!$D$13)/Inputs!$D$10</f>
        <v>3.7152635181382614</v>
      </c>
      <c r="H2538" s="28">
        <f>(H2537-Inputs!$D$13)/Inputs!$D$10</f>
        <v>4.7145790554414786</v>
      </c>
      <c r="I2538" s="28">
        <f>(I2537-Inputs!$D$13)/Inputs!$D$10</f>
        <v>5.7166324435318279</v>
      </c>
      <c r="J2538" s="28">
        <f>(J2537-Inputs!$D$13)/Inputs!$D$10</f>
        <v>6.7159479808350442</v>
      </c>
      <c r="K2538" s="28">
        <f>(K2537-Inputs!$D$13)/Inputs!$D$10</f>
        <v>7.7152635181382614</v>
      </c>
      <c r="L2538" s="28">
        <f>(L2537-Inputs!$D$13)/Inputs!$D$10</f>
        <v>8.7145790554414777</v>
      </c>
      <c r="M2538" s="28">
        <f>(M2537-Inputs!$D$13)/Inputs!$D$10</f>
        <v>9.716632443531827</v>
      </c>
    </row>
    <row r="2539" spans="1:13" ht="15" customHeight="1" x14ac:dyDescent="0.2">
      <c r="A2539" s="91"/>
      <c r="B2539" s="10" t="s">
        <v>889</v>
      </c>
      <c r="C2539" s="10" t="s">
        <v>107</v>
      </c>
      <c r="D2539" s="28">
        <f>D2538</f>
        <v>0.71457905544147848</v>
      </c>
      <c r="E2539" s="28">
        <f>Inputs!$D$7</f>
        <v>1</v>
      </c>
      <c r="F2539" s="28">
        <f>Inputs!$D$7</f>
        <v>1</v>
      </c>
      <c r="G2539" s="28">
        <f>Inputs!$D$7</f>
        <v>1</v>
      </c>
      <c r="H2539" s="28">
        <f>Inputs!$D$7</f>
        <v>1</v>
      </c>
      <c r="I2539" s="28">
        <f>Inputs!$D$7</f>
        <v>1</v>
      </c>
      <c r="J2539" s="28">
        <f>Inputs!$D$7</f>
        <v>1</v>
      </c>
      <c r="K2539" s="28">
        <f>Inputs!$D$7</f>
        <v>1</v>
      </c>
      <c r="L2539" s="28">
        <f>Inputs!$D$7</f>
        <v>1</v>
      </c>
      <c r="M2539" s="28">
        <f>Inputs!$D$7</f>
        <v>1</v>
      </c>
    </row>
    <row r="2540" spans="1:13" ht="15" customHeight="1" x14ac:dyDescent="0.2">
      <c r="A2540" s="91"/>
      <c r="B2540" s="3" t="s">
        <v>890</v>
      </c>
      <c r="C2540" s="10" t="s">
        <v>199</v>
      </c>
      <c r="D2540" s="28">
        <f>Inputs!$D$24+(Inputs!$D$93-Inputs!$D$24)*Inputs!$D$96</f>
        <v>279.10000000000002</v>
      </c>
      <c r="E2540" s="28">
        <f>Inputs!$D$24+(Inputs!$D$93-Inputs!$D$24)*Inputs!$D$97</f>
        <v>900.7</v>
      </c>
      <c r="F2540" s="28">
        <f>Inputs!$D$24+(Inputs!$D$93-Inputs!$D$24)*Inputs!$D$98</f>
        <v>1366.8999999999999</v>
      </c>
      <c r="G2540" s="28">
        <f>Inputs!$D$24+(Inputs!$D$93-Inputs!$D$24)*Inputs!$D$99</f>
        <v>1600</v>
      </c>
      <c r="H2540" s="28">
        <f>Inputs!$D$24+(Inputs!$D$93-Inputs!$D$24)*Inputs!$D$100</f>
        <v>1600</v>
      </c>
      <c r="I2540" s="28">
        <f>Inputs!$D$24+(Inputs!$D$93-Inputs!$D$24)*Inputs!$D$101</f>
        <v>1600</v>
      </c>
      <c r="J2540" s="28">
        <f>Inputs!$D$24+(Inputs!$D$93-Inputs!$D$24)*Inputs!$D$102</f>
        <v>1600</v>
      </c>
      <c r="K2540" s="28">
        <f>Inputs!$D$24+(Inputs!$D$93-Inputs!$D$24)*Inputs!$D$103</f>
        <v>1600</v>
      </c>
      <c r="L2540" s="28">
        <f>Inputs!$D$24+(Inputs!$D$93-Inputs!$D$24)*Inputs!$D$104</f>
        <v>1600</v>
      </c>
      <c r="M2540" s="28">
        <f>Inputs!$D$24+(Inputs!$D$93-Inputs!$D$24)*Inputs!$D$105</f>
        <v>1600</v>
      </c>
    </row>
    <row r="2541" spans="1:13" ht="15" customHeight="1" x14ac:dyDescent="0.2">
      <c r="A2541" s="91"/>
      <c r="B2541" s="10" t="s">
        <v>891</v>
      </c>
      <c r="C2541" s="10" t="s">
        <v>199</v>
      </c>
      <c r="D2541" s="28">
        <f>Inputs!$D$24</f>
        <v>46</v>
      </c>
      <c r="E2541" s="28">
        <f t="shared" ref="E2541:M2541" si="550">D2540</f>
        <v>279.10000000000002</v>
      </c>
      <c r="F2541" s="28">
        <f t="shared" si="550"/>
        <v>900.7</v>
      </c>
      <c r="G2541" s="28">
        <f t="shared" si="550"/>
        <v>1366.8999999999999</v>
      </c>
      <c r="H2541" s="28">
        <f t="shared" si="550"/>
        <v>1600</v>
      </c>
      <c r="I2541" s="28">
        <f t="shared" si="550"/>
        <v>1600</v>
      </c>
      <c r="J2541" s="28">
        <f t="shared" si="550"/>
        <v>1600</v>
      </c>
      <c r="K2541" s="28">
        <f t="shared" si="550"/>
        <v>1600</v>
      </c>
      <c r="L2541" s="28">
        <f t="shared" si="550"/>
        <v>1600</v>
      </c>
      <c r="M2541" s="28">
        <f t="shared" si="550"/>
        <v>1600</v>
      </c>
    </row>
    <row r="2542" spans="1:13" ht="15" customHeight="1" x14ac:dyDescent="0.2">
      <c r="B2542" s="10" t="s">
        <v>892</v>
      </c>
      <c r="C2542" s="10" t="s">
        <v>199</v>
      </c>
      <c r="D2542" s="28">
        <f>(D2541+D2540)*Inputs!$D$12</f>
        <v>162.55000000000001</v>
      </c>
      <c r="E2542" s="28">
        <f>(E2541+E2540)*Inputs!$D$12</f>
        <v>589.90000000000009</v>
      </c>
      <c r="F2542" s="28">
        <f>(F2541+F2540)*Inputs!$D$12</f>
        <v>1133.8</v>
      </c>
      <c r="G2542" s="28">
        <f>(G2541+G2540)*Inputs!$D$12</f>
        <v>1483.4499999999998</v>
      </c>
      <c r="H2542" s="28">
        <f>(H2541+H2540)*Inputs!$D$12</f>
        <v>1600</v>
      </c>
      <c r="I2542" s="28">
        <f>(I2541+I2540)*Inputs!$D$12</f>
        <v>1600</v>
      </c>
      <c r="J2542" s="28">
        <f>(J2541+J2540)*Inputs!$D$12</f>
        <v>1600</v>
      </c>
      <c r="K2542" s="28">
        <f>(K2541+K2540)*Inputs!$D$12</f>
        <v>1600</v>
      </c>
      <c r="L2542" s="28">
        <f>(L2541+L2540)*Inputs!$D$12</f>
        <v>1600</v>
      </c>
      <c r="M2542" s="28">
        <f>(M2541+M2540)*Inputs!$D$12</f>
        <v>1600</v>
      </c>
    </row>
    <row r="2543" spans="1:13" ht="15" customHeight="1" x14ac:dyDescent="0.2">
      <c r="B2543" s="10" t="s">
        <v>893</v>
      </c>
      <c r="C2543" s="10" t="s">
        <v>199</v>
      </c>
      <c r="D2543" s="28">
        <f t="shared" ref="D2543:M2543" si="551">D2540-D2541</f>
        <v>233.10000000000002</v>
      </c>
      <c r="E2543" s="28">
        <f t="shared" si="551"/>
        <v>621.6</v>
      </c>
      <c r="F2543" s="28">
        <f t="shared" si="551"/>
        <v>466.19999999999982</v>
      </c>
      <c r="G2543" s="28">
        <f t="shared" si="551"/>
        <v>233.10000000000014</v>
      </c>
      <c r="H2543" s="28">
        <f t="shared" si="551"/>
        <v>0</v>
      </c>
      <c r="I2543" s="28">
        <f t="shared" si="551"/>
        <v>0</v>
      </c>
      <c r="J2543" s="28">
        <f t="shared" si="551"/>
        <v>0</v>
      </c>
      <c r="K2543" s="28">
        <f t="shared" si="551"/>
        <v>0</v>
      </c>
      <c r="L2543" s="28">
        <f t="shared" si="551"/>
        <v>0</v>
      </c>
      <c r="M2543" s="28">
        <f t="shared" si="551"/>
        <v>0</v>
      </c>
    </row>
    <row r="2544" spans="1:13" ht="15" customHeight="1" x14ac:dyDescent="0.2">
      <c r="B2544" s="10" t="s">
        <v>894</v>
      </c>
      <c r="C2544" s="10" t="s">
        <v>199</v>
      </c>
      <c r="D2544" s="28">
        <f>IF(MOD(D2536,Inputs!$D$21)=Inputs!$D$6,Inputs!$D$24,Inputs!$D$6)+SUMPRODUCT(--(D2536&gt;$D$2536:$M$2536),--(MOD(D2536-$D$2536:$M$2536,Inputs!$D$21)=Inputs!$D$6),$D$2543:$M$2543)</f>
        <v>0</v>
      </c>
      <c r="E2544" s="28">
        <f>IF(MOD(E2536,Inputs!$D$21)=Inputs!$D$6,Inputs!$D$24,Inputs!$D$6)+SUMPRODUCT(--(E2536&gt;$D$2536:$M$2536),--(MOD(E2536-$D$2536:$M$2536,Inputs!$D$21)=Inputs!$D$6),$D$2543:$M$2543)</f>
        <v>0</v>
      </c>
      <c r="F2544" s="28">
        <f>IF(MOD(F2536,Inputs!$D$21)=Inputs!$D$6,Inputs!$D$24,Inputs!$D$6)+SUMPRODUCT(--(F2536&gt;$D$2536:$M$2536),--(MOD(F2536-$D$2536:$M$2536,Inputs!$D$21)=Inputs!$D$6),$D$2543:$M$2543)</f>
        <v>0</v>
      </c>
      <c r="G2544" s="28">
        <f>IF(MOD(G2536,Inputs!$D$21)=Inputs!$D$6,Inputs!$D$24,Inputs!$D$6)+SUMPRODUCT(--(G2536&gt;$D$2536:$M$2536),--(MOD(G2536-$D$2536:$M$2536,Inputs!$D$21)=Inputs!$D$6),$D$2543:$M$2543)</f>
        <v>46</v>
      </c>
      <c r="H2544" s="28">
        <f>IF(MOD(H2536,Inputs!$D$21)=Inputs!$D$6,Inputs!$D$24,Inputs!$D$6)+SUMPRODUCT(--(H2536&gt;$D$2536:$M$2536),--(MOD(H2536-$D$2536:$M$2536,Inputs!$D$21)=Inputs!$D$6),$D$2543:$M$2543)</f>
        <v>233.10000000000002</v>
      </c>
      <c r="I2544" s="28">
        <f>IF(MOD(I2536,Inputs!$D$21)=Inputs!$D$6,Inputs!$D$24,Inputs!$D$6)+SUMPRODUCT(--(I2536&gt;$D$2536:$M$2536),--(MOD(I2536-$D$2536:$M$2536,Inputs!$D$21)=Inputs!$D$6),$D$2543:$M$2543)</f>
        <v>621.6</v>
      </c>
      <c r="J2544" s="28">
        <f>IF(MOD(J2536,Inputs!$D$21)=Inputs!$D$6,Inputs!$D$24,Inputs!$D$6)+SUMPRODUCT(--(J2536&gt;$D$2536:$M$2536),--(MOD(J2536-$D$2536:$M$2536,Inputs!$D$21)=Inputs!$D$6),$D$2543:$M$2543)</f>
        <v>466.19999999999982</v>
      </c>
      <c r="K2544" s="28">
        <f>IF(MOD(K2536,Inputs!$D$21)=Inputs!$D$6,Inputs!$D$24,Inputs!$D$6)+SUMPRODUCT(--(K2536&gt;$D$2536:$M$2536),--(MOD(K2536-$D$2536:$M$2536,Inputs!$D$21)=Inputs!$D$6),$D$2543:$M$2543)</f>
        <v>279.10000000000014</v>
      </c>
      <c r="L2544" s="28">
        <f>IF(MOD(L2536,Inputs!$D$21)=Inputs!$D$6,Inputs!$D$24,Inputs!$D$6)+SUMPRODUCT(--(L2536&gt;$D$2536:$M$2536),--(MOD(L2536-$D$2536:$M$2536,Inputs!$D$21)=Inputs!$D$6),$D$2543:$M$2543)</f>
        <v>233.10000000000002</v>
      </c>
      <c r="M2544" s="28">
        <f>IF(MOD(M2536,Inputs!$D$21)=Inputs!$D$6,Inputs!$D$24,Inputs!$D$6)+SUMPRODUCT(--(M2536&gt;$D$2536:$M$2536),--(MOD(M2536-$D$2536:$M$2536,Inputs!$D$21)=Inputs!$D$6),$D$2543:$M$2543)</f>
        <v>621.6</v>
      </c>
    </row>
    <row r="2545" spans="2:13" ht="15" customHeight="1" x14ac:dyDescent="0.2">
      <c r="B2545" s="10" t="s">
        <v>895</v>
      </c>
      <c r="C2545" s="10" t="s">
        <v>896</v>
      </c>
      <c r="D2545" s="28">
        <f t="shared" ref="D2545:M2545" si="552">D2542*D2539</f>
        <v>116.15482546201234</v>
      </c>
      <c r="E2545" s="28">
        <f t="shared" si="552"/>
        <v>589.90000000000009</v>
      </c>
      <c r="F2545" s="28">
        <f t="shared" si="552"/>
        <v>1133.8</v>
      </c>
      <c r="G2545" s="28">
        <f t="shared" si="552"/>
        <v>1483.4499999999998</v>
      </c>
      <c r="H2545" s="28">
        <f t="shared" si="552"/>
        <v>1600</v>
      </c>
      <c r="I2545" s="28">
        <f t="shared" si="552"/>
        <v>1600</v>
      </c>
      <c r="J2545" s="28">
        <f t="shared" si="552"/>
        <v>1600</v>
      </c>
      <c r="K2545" s="28">
        <f t="shared" si="552"/>
        <v>1600</v>
      </c>
      <c r="L2545" s="28">
        <f t="shared" si="552"/>
        <v>1600</v>
      </c>
      <c r="M2545" s="28">
        <f t="shared" si="552"/>
        <v>1600</v>
      </c>
    </row>
    <row r="2546" spans="2:13" ht="15" customHeight="1" x14ac:dyDescent="0.2">
      <c r="B2546" s="10" t="s">
        <v>897</v>
      </c>
      <c r="C2546" s="10" t="s">
        <v>110</v>
      </c>
      <c r="D2546" s="16">
        <f>D2545*($D$2565/Inputs!$D$21+$D$2566/Inputs!$D$22)</f>
        <v>1680.51014411561</v>
      </c>
      <c r="E2546" s="16">
        <f>E2545*($D$2565/Inputs!$D$21+$D$2566/Inputs!$D$22)</f>
        <v>8534.5824426210111</v>
      </c>
      <c r="F2546" s="16">
        <f>F2545*($D$2565/Inputs!$D$21+$D$2566/Inputs!$D$22)</f>
        <v>16403.643962440583</v>
      </c>
      <c r="G2546" s="16">
        <f>G2545*($D$2565/Inputs!$D$21+$D$2566/Inputs!$D$22)</f>
        <v>21462.326368038881</v>
      </c>
      <c r="H2546" s="16">
        <f>H2545*($D$2565/Inputs!$D$21+$D$2566/Inputs!$D$22)</f>
        <v>23148.553836571649</v>
      </c>
      <c r="I2546" s="16">
        <f>I2545*($D$2565/Inputs!$D$21+$D$2566/Inputs!$D$22)</f>
        <v>23148.553836571649</v>
      </c>
      <c r="J2546" s="16">
        <f>J2545*($D$2565/Inputs!$D$21+$D$2566/Inputs!$D$22)</f>
        <v>23148.553836571649</v>
      </c>
      <c r="K2546" s="16">
        <f>K2545*($D$2565/Inputs!$D$21+$D$2566/Inputs!$D$22)</f>
        <v>23148.553836571649</v>
      </c>
      <c r="L2546" s="16">
        <f>L2545*($D$2565/Inputs!$D$21+$D$2566/Inputs!$D$22)</f>
        <v>23148.553836571649</v>
      </c>
      <c r="M2546" s="16">
        <f>M2545*($D$2565/Inputs!$D$21+$D$2566/Inputs!$D$22)</f>
        <v>23148.553836571649</v>
      </c>
    </row>
    <row r="2547" spans="2:13" ht="15" customHeight="1" x14ac:dyDescent="0.2">
      <c r="B2547" s="10" t="s">
        <v>898</v>
      </c>
      <c r="C2547" s="10" t="s">
        <v>110</v>
      </c>
      <c r="D2547" s="16">
        <f t="shared" ref="D2547:M2547" si="553">D2543*($D$2565+$D$2566)</f>
        <v>13977.887419483886</v>
      </c>
      <c r="E2547" s="16">
        <f t="shared" si="553"/>
        <v>37274.36645195703</v>
      </c>
      <c r="F2547" s="16">
        <f t="shared" si="553"/>
        <v>27955.774838967762</v>
      </c>
      <c r="G2547" s="16">
        <f t="shared" si="553"/>
        <v>13977.887419483894</v>
      </c>
      <c r="H2547" s="16">
        <f t="shared" si="553"/>
        <v>0</v>
      </c>
      <c r="I2547" s="16">
        <f t="shared" si="553"/>
        <v>0</v>
      </c>
      <c r="J2547" s="16">
        <f t="shared" si="553"/>
        <v>0</v>
      </c>
      <c r="K2547" s="16">
        <f t="shared" si="553"/>
        <v>0</v>
      </c>
      <c r="L2547" s="16">
        <f t="shared" si="553"/>
        <v>0</v>
      </c>
      <c r="M2547" s="16">
        <f t="shared" si="553"/>
        <v>0</v>
      </c>
    </row>
    <row r="2548" spans="2:13" ht="15" customHeight="1" x14ac:dyDescent="0.2">
      <c r="B2548" s="10" t="s">
        <v>899</v>
      </c>
      <c r="C2548" s="10" t="s">
        <v>110</v>
      </c>
      <c r="D2548" s="16">
        <f t="shared" ref="D2548:M2548" si="554">D2544*$D$2565</f>
        <v>0</v>
      </c>
      <c r="E2548" s="16">
        <f t="shared" si="554"/>
        <v>0</v>
      </c>
      <c r="F2548" s="16">
        <f t="shared" si="554"/>
        <v>0</v>
      </c>
      <c r="G2548" s="16">
        <f t="shared" si="554"/>
        <v>2638.0048485671714</v>
      </c>
      <c r="H2548" s="16">
        <f t="shared" si="554"/>
        <v>13367.802830456689</v>
      </c>
      <c r="I2548" s="16">
        <f t="shared" si="554"/>
        <v>35647.47421455117</v>
      </c>
      <c r="J2548" s="16">
        <f t="shared" si="554"/>
        <v>26735.605660913367</v>
      </c>
      <c r="K2548" s="16">
        <f t="shared" si="554"/>
        <v>16005.807679023867</v>
      </c>
      <c r="L2548" s="16">
        <f t="shared" si="554"/>
        <v>13367.802830456689</v>
      </c>
      <c r="M2548" s="16">
        <f t="shared" si="554"/>
        <v>35647.47421455117</v>
      </c>
    </row>
    <row r="2549" spans="2:13" ht="15" customHeight="1" x14ac:dyDescent="0.2">
      <c r="B2549" s="10" t="s">
        <v>900</v>
      </c>
      <c r="C2549" s="10" t="s">
        <v>199</v>
      </c>
      <c r="D2549" s="28">
        <f>D2543*Inputs!$D$23</f>
        <v>5.8275000000000006</v>
      </c>
      <c r="E2549" s="28">
        <f>E2543*Inputs!$D$23</f>
        <v>15.540000000000001</v>
      </c>
      <c r="F2549" s="28">
        <f>F2543*Inputs!$D$23</f>
        <v>11.654999999999996</v>
      </c>
      <c r="G2549" s="28">
        <f>G2543*Inputs!$D$23</f>
        <v>5.8275000000000041</v>
      </c>
      <c r="H2549" s="28">
        <f>H2543*Inputs!$D$23</f>
        <v>0</v>
      </c>
      <c r="I2549" s="28">
        <f>I2543*Inputs!$D$23</f>
        <v>0</v>
      </c>
      <c r="J2549" s="28">
        <f>J2543*Inputs!$D$23</f>
        <v>0</v>
      </c>
      <c r="K2549" s="28">
        <f>K2543*Inputs!$D$23</f>
        <v>0</v>
      </c>
      <c r="L2549" s="28">
        <f>L2543*Inputs!$D$23</f>
        <v>0</v>
      </c>
      <c r="M2549" s="28">
        <f>M2543*Inputs!$D$23</f>
        <v>0</v>
      </c>
    </row>
    <row r="2550" spans="2:13" ht="15" customHeight="1" x14ac:dyDescent="0.2">
      <c r="B2550" s="3" t="s">
        <v>901</v>
      </c>
      <c r="C2550" s="10" t="s">
        <v>896</v>
      </c>
      <c r="D2550" s="28">
        <f>(D2545*$D$2563*(Inputs!$D$7-Inputs!$D$19)-D2549)/(Inputs!$D$7+$D$2564)^D2538</f>
        <v>50.541318213721269</v>
      </c>
      <c r="E2550" s="28">
        <f>(E2545*$D$2563*(Inputs!$D$7-Inputs!$D$19)-E2549)/(Inputs!$D$7+$D$2564)^E2538</f>
        <v>238.4864713152904</v>
      </c>
      <c r="F2550" s="28">
        <f>(F2545*$D$2563*(Inputs!$D$7-Inputs!$D$19)-F2549)/(Inputs!$D$7+$D$2564)^F2538</f>
        <v>418.74491871678316</v>
      </c>
      <c r="G2550" s="28">
        <f>(G2545*$D$2563*(Inputs!$D$7-Inputs!$D$19)-G2549)/(Inputs!$D$7+$D$2564)^G2538</f>
        <v>490.87392073514752</v>
      </c>
      <c r="H2550" s="28">
        <f>(H2545*$D$2563*(Inputs!$D$7-Inputs!$D$19)-H2549)/(Inputs!$D$7+$D$2564)^H2538</f>
        <v>472.10300862628105</v>
      </c>
      <c r="I2550" s="28">
        <f>(I2545*$D$2563*(Inputs!$D$7-Inputs!$D$19)-I2549)/(Inputs!$D$7+$D$2564)^I2538</f>
        <v>417.68543753228789</v>
      </c>
      <c r="J2550" s="28">
        <f>(J2545*$D$2563*(Inputs!$D$7-Inputs!$D$19)-J2549)/(Inputs!$D$7+$D$2564)^J2538</f>
        <v>369.66405292491049</v>
      </c>
      <c r="K2550" s="28">
        <f>(K2545*$D$2563*(Inputs!$D$7-Inputs!$D$19)-K2549)/(Inputs!$D$7+$D$2564)^K2538</f>
        <v>327.16369723641031</v>
      </c>
      <c r="L2550" s="28">
        <f>(L2545*$D$2563*(Inputs!$D$7-Inputs!$D$19)-L2549)/(Inputs!$D$7+$D$2564)^L2538</f>
        <v>289.54961658427663</v>
      </c>
      <c r="M2550" s="28">
        <f>(M2545*$D$2563*(Inputs!$D$7-Inputs!$D$19)-M2549)/(Inputs!$D$7+$D$2564)^M2538</f>
        <v>256.17430111750662</v>
      </c>
    </row>
    <row r="2551" spans="2:13" ht="15" customHeight="1" x14ac:dyDescent="0.2">
      <c r="B2551" s="10" t="s">
        <v>902</v>
      </c>
      <c r="C2551" s="10" t="s">
        <v>110</v>
      </c>
      <c r="D2551" s="16">
        <f>(D2546*Inputs!$D$19-D2547-D2548)/(Inputs!$D$7+$D$2564)^D2538</f>
        <v>-12346.937146613671</v>
      </c>
      <c r="E2551" s="16">
        <f>(E2546*Inputs!$D$19-E2547-E2548)/(Inputs!$D$7+$D$2564)^E2538</f>
        <v>-28144.165592831177</v>
      </c>
      <c r="F2551" s="16">
        <f>(F2546*Inputs!$D$19-F2547-F2548)/(Inputs!$D$7+$D$2564)^F2538</f>
        <v>-16528.13772562052</v>
      </c>
      <c r="G2551" s="16">
        <f>(G2546*Inputs!$D$19-G2547-G2548)/(Inputs!$D$7+$D$2564)^G2538</f>
        <v>-6462.9033875784253</v>
      </c>
      <c r="H2551" s="16">
        <f>(H2546*Inputs!$D$19-H2547-H2548)/(Inputs!$D$7+$D$2564)^H2538</f>
        <v>-3610.0349541710043</v>
      </c>
      <c r="I2551" s="16">
        <f>(I2546*Inputs!$D$19-I2547-I2548)/(Inputs!$D$7+$D$2564)^I2538</f>
        <v>-14272.365134506323</v>
      </c>
      <c r="J2551" s="16">
        <f>(J2546*Inputs!$D$19-J2547-J2548)/(Inputs!$D$7+$D$2564)^J2538</f>
        <v>-8709.5665200501735</v>
      </c>
      <c r="K2551" s="16">
        <f>(K2546*Inputs!$D$19-K2547-K2548)/(Inputs!$D$7+$D$2564)^K2538</f>
        <v>-3529.1777141306115</v>
      </c>
      <c r="L2551" s="16">
        <f>(L2546*Inputs!$D$19-L2547-L2548)/(Inputs!$D$7+$D$2564)^L2538</f>
        <v>-2214.1020449702382</v>
      </c>
      <c r="M2551" s="16">
        <f>(M2546*Inputs!$D$19-M2547-M2548)/(Inputs!$D$7+$D$2564)^M2538</f>
        <v>-8753.5088252709138</v>
      </c>
    </row>
    <row r="2552" spans="2:13" ht="15" customHeight="1" x14ac:dyDescent="0.2">
      <c r="B2552" s="10" t="s">
        <v>903</v>
      </c>
      <c r="C2552" s="10" t="s">
        <v>110</v>
      </c>
      <c r="D2552" s="16">
        <f t="shared" ref="D2552:M2552" si="555">D2545*$D$2562</f>
        <v>4057.7450367399506</v>
      </c>
      <c r="E2552" s="16">
        <f t="shared" si="555"/>
        <v>20607.527820320553</v>
      </c>
      <c r="F2552" s="16">
        <f t="shared" si="555"/>
        <v>39608.094664654076</v>
      </c>
      <c r="G2552" s="16">
        <f t="shared" si="555"/>
        <v>51822.74477886848</v>
      </c>
      <c r="H2552" s="16">
        <f t="shared" si="555"/>
        <v>55894.294816939953</v>
      </c>
      <c r="I2552" s="16">
        <f t="shared" si="555"/>
        <v>55894.294816939953</v>
      </c>
      <c r="J2552" s="16">
        <f t="shared" si="555"/>
        <v>55894.294816939953</v>
      </c>
      <c r="K2552" s="16">
        <f t="shared" si="555"/>
        <v>55894.294816939953</v>
      </c>
      <c r="L2552" s="16">
        <f t="shared" si="555"/>
        <v>55894.294816939953</v>
      </c>
      <c r="M2552" s="16">
        <f t="shared" si="555"/>
        <v>55894.294816939953</v>
      </c>
    </row>
    <row r="2553" spans="2:13" ht="15" customHeight="1" x14ac:dyDescent="0.2">
      <c r="B2553" s="10" t="s">
        <v>904</v>
      </c>
      <c r="C2553" s="10" t="s">
        <v>110</v>
      </c>
      <c r="D2553" s="16">
        <f t="shared" ref="D2553:M2553" si="556">D2552*$D$2563</f>
        <v>3043.3087775549629</v>
      </c>
      <c r="E2553" s="16">
        <f t="shared" si="556"/>
        <v>15455.645865240414</v>
      </c>
      <c r="F2553" s="16">
        <f t="shared" si="556"/>
        <v>29706.070998490555</v>
      </c>
      <c r="G2553" s="16">
        <f t="shared" si="556"/>
        <v>38867.05858415136</v>
      </c>
      <c r="H2553" s="16">
        <f t="shared" si="556"/>
        <v>41920.721112704967</v>
      </c>
      <c r="I2553" s="16">
        <f t="shared" si="556"/>
        <v>41920.721112704967</v>
      </c>
      <c r="J2553" s="16">
        <f t="shared" si="556"/>
        <v>41920.721112704967</v>
      </c>
      <c r="K2553" s="16">
        <f t="shared" si="556"/>
        <v>41920.721112704967</v>
      </c>
      <c r="L2553" s="16">
        <f t="shared" si="556"/>
        <v>41920.721112704967</v>
      </c>
      <c r="M2553" s="16">
        <f t="shared" si="556"/>
        <v>41920.721112704967</v>
      </c>
    </row>
    <row r="2554" spans="2:13" ht="15" customHeight="1" x14ac:dyDescent="0.2">
      <c r="B2554" s="10" t="s">
        <v>905</v>
      </c>
      <c r="C2554" s="10" t="s">
        <v>110</v>
      </c>
      <c r="D2554" s="16">
        <f t="shared" ref="D2554:M2554" si="557">D2553-D2546</f>
        <v>1362.7986334393529</v>
      </c>
      <c r="E2554" s="16">
        <f t="shared" si="557"/>
        <v>6921.0634226194034</v>
      </c>
      <c r="F2554" s="16">
        <f t="shared" si="557"/>
        <v>13302.427036049972</v>
      </c>
      <c r="G2554" s="16">
        <f t="shared" si="557"/>
        <v>17404.732216112479</v>
      </c>
      <c r="H2554" s="16">
        <f t="shared" si="557"/>
        <v>18772.167276133318</v>
      </c>
      <c r="I2554" s="16">
        <f t="shared" si="557"/>
        <v>18772.167276133318</v>
      </c>
      <c r="J2554" s="16">
        <f t="shared" si="557"/>
        <v>18772.167276133318</v>
      </c>
      <c r="K2554" s="16">
        <f t="shared" si="557"/>
        <v>18772.167276133318</v>
      </c>
      <c r="L2554" s="16">
        <f t="shared" si="557"/>
        <v>18772.167276133318</v>
      </c>
      <c r="M2554" s="16">
        <f t="shared" si="557"/>
        <v>18772.167276133318</v>
      </c>
    </row>
    <row r="2555" spans="2:13" ht="15" customHeight="1" x14ac:dyDescent="0.2">
      <c r="B2555" s="10" t="s">
        <v>906</v>
      </c>
      <c r="C2555" s="10" t="s">
        <v>110</v>
      </c>
      <c r="D2555" s="16">
        <f>MAX(D2554,Inputs!$D$6)*Inputs!$D$19</f>
        <v>408.83959003180587</v>
      </c>
      <c r="E2555" s="16">
        <f>MAX(E2554,Inputs!$D$6)*Inputs!$D$19</f>
        <v>2076.3190267858208</v>
      </c>
      <c r="F2555" s="16">
        <f>MAX(F2554,Inputs!$D$6)*Inputs!$D$19</f>
        <v>3990.7281108149914</v>
      </c>
      <c r="G2555" s="16">
        <f>MAX(G2554,Inputs!$D$6)*Inputs!$D$19</f>
        <v>5221.4196648337438</v>
      </c>
      <c r="H2555" s="16">
        <f>MAX(H2554,Inputs!$D$6)*Inputs!$D$19</f>
        <v>5631.6501828399951</v>
      </c>
      <c r="I2555" s="16">
        <f>MAX(I2554,Inputs!$D$6)*Inputs!$D$19</f>
        <v>5631.6501828399951</v>
      </c>
      <c r="J2555" s="16">
        <f>MAX(J2554,Inputs!$D$6)*Inputs!$D$19</f>
        <v>5631.6501828399951</v>
      </c>
      <c r="K2555" s="16">
        <f>MAX(K2554,Inputs!$D$6)*Inputs!$D$19</f>
        <v>5631.6501828399951</v>
      </c>
      <c r="L2555" s="16">
        <f>MAX(L2554,Inputs!$D$6)*Inputs!$D$19</f>
        <v>5631.6501828399951</v>
      </c>
      <c r="M2555" s="16">
        <f>MAX(M2554,Inputs!$D$6)*Inputs!$D$19</f>
        <v>5631.6501828399951</v>
      </c>
    </row>
    <row r="2556" spans="2:13" ht="15" customHeight="1" x14ac:dyDescent="0.2">
      <c r="B2556" s="10" t="s">
        <v>907</v>
      </c>
      <c r="C2556" s="10" t="s">
        <v>110</v>
      </c>
      <c r="D2556" s="16">
        <f t="shared" ref="D2556:M2556" si="558">D2549*$D$2562</f>
        <v>203.57750190357351</v>
      </c>
      <c r="E2556" s="16">
        <f t="shared" si="558"/>
        <v>542.87333840952931</v>
      </c>
      <c r="F2556" s="16">
        <f t="shared" si="558"/>
        <v>407.15500380714684</v>
      </c>
      <c r="G2556" s="16">
        <f t="shared" si="558"/>
        <v>203.57750190357362</v>
      </c>
      <c r="H2556" s="16">
        <f t="shared" si="558"/>
        <v>0</v>
      </c>
      <c r="I2556" s="16">
        <f t="shared" si="558"/>
        <v>0</v>
      </c>
      <c r="J2556" s="16">
        <f t="shared" si="558"/>
        <v>0</v>
      </c>
      <c r="K2556" s="16">
        <f t="shared" si="558"/>
        <v>0</v>
      </c>
      <c r="L2556" s="16">
        <f t="shared" si="558"/>
        <v>0</v>
      </c>
      <c r="M2556" s="16">
        <f t="shared" si="558"/>
        <v>0</v>
      </c>
    </row>
    <row r="2557" spans="2:13" ht="15" customHeight="1" x14ac:dyDescent="0.2">
      <c r="B2557" s="10" t="s">
        <v>908</v>
      </c>
      <c r="C2557" s="10" t="s">
        <v>110</v>
      </c>
      <c r="D2557" s="16">
        <f t="shared" ref="D2557:M2557" si="559">D2553-D2555-D2547-D2548-D2556</f>
        <v>-11546.995733864303</v>
      </c>
      <c r="E2557" s="16">
        <f t="shared" si="559"/>
        <v>-24437.912951911963</v>
      </c>
      <c r="F2557" s="16">
        <f t="shared" si="559"/>
        <v>-2647.5869550993443</v>
      </c>
      <c r="G2557" s="16">
        <f t="shared" si="559"/>
        <v>16826.169149362977</v>
      </c>
      <c r="H2557" s="16">
        <f t="shared" si="559"/>
        <v>22921.268099408284</v>
      </c>
      <c r="I2557" s="16">
        <f t="shared" si="559"/>
        <v>641.59671531380445</v>
      </c>
      <c r="J2557" s="16">
        <f t="shared" si="559"/>
        <v>9553.4652689516079</v>
      </c>
      <c r="K2557" s="16">
        <f t="shared" si="559"/>
        <v>20283.263250841108</v>
      </c>
      <c r="L2557" s="16">
        <f t="shared" si="559"/>
        <v>22921.268099408284</v>
      </c>
      <c r="M2557" s="16">
        <f t="shared" si="559"/>
        <v>641.59671531380445</v>
      </c>
    </row>
    <row r="2558" spans="2:13" ht="15" customHeight="1" x14ac:dyDescent="0.2">
      <c r="B2558" s="10" t="s">
        <v>909</v>
      </c>
      <c r="C2558" s="10" t="s">
        <v>110</v>
      </c>
      <c r="D2558" s="16">
        <f>D2557/(Inputs!$D$7+$D$2564)^D2538</f>
        <v>-10581.330058692101</v>
      </c>
      <c r="E2558" s="16">
        <f>E2557/(Inputs!$D$7+$D$2564)^E2538</f>
        <v>-19812.89488186334</v>
      </c>
      <c r="F2558" s="16">
        <f>F2557/(Inputs!$D$7+$D$2564)^F2538</f>
        <v>-1899.7302632133699</v>
      </c>
      <c r="G2558" s="16">
        <f>G2557/(Inputs!$D$7+$D$2564)^G2538</f>
        <v>10685.253889620044</v>
      </c>
      <c r="H2558" s="16">
        <f>H2557/(Inputs!$D$7+$D$2564)^H2538</f>
        <v>12882.38051340506</v>
      </c>
      <c r="I2558" s="16">
        <f>I2557/(Inputs!$D$7+$D$2564)^I2538</f>
        <v>319.03048185133952</v>
      </c>
      <c r="J2558" s="16">
        <f>J2557/(Inputs!$D$7+$D$2564)^J2538</f>
        <v>4204.2532033309781</v>
      </c>
      <c r="K2558" s="16">
        <f>K2557/(Inputs!$D$7+$D$2564)^K2538</f>
        <v>7899.93737757689</v>
      </c>
      <c r="L2558" s="16">
        <f>L2557/(Inputs!$D$7+$D$2564)^L2538</f>
        <v>7901.0052259631893</v>
      </c>
      <c r="M2558" s="16">
        <f>M2557/(Inputs!$D$7+$D$2564)^M2538</f>
        <v>195.66736922000203</v>
      </c>
    </row>
    <row r="2559" spans="2:13" ht="15" customHeight="1" x14ac:dyDescent="0.2">
      <c r="B2559" s="3" t="s">
        <v>910</v>
      </c>
      <c r="C2559" s="10" t="s">
        <v>896</v>
      </c>
      <c r="D2559" s="28">
        <f>(D2545*$D$2563-D2549)/(Inputs!$D$7+$D$2564)^D2538</f>
        <v>74.490519309095831</v>
      </c>
      <c r="E2559" s="28">
        <f>(E2545*$D$2563-E2549)/(Inputs!$D$7+$D$2564)^E2538</f>
        <v>346.09451503846662</v>
      </c>
      <c r="F2559" s="28">
        <f>(F2545*$D$2563-F2549)/(Inputs!$D$7+$D$2564)^F2538</f>
        <v>601.79110266312398</v>
      </c>
      <c r="G2559" s="28">
        <f>(G2545*$D$2563-G2549)/(Inputs!$D$7+$D$2564)^G2538</f>
        <v>702.83446516544734</v>
      </c>
      <c r="H2559" s="28">
        <f>(H2545*$D$2563-H2549)/(Inputs!$D$7+$D$2564)^H2538</f>
        <v>674.43286946611579</v>
      </c>
      <c r="I2559" s="28">
        <f>(I2545*$D$2563-I2549)/(Inputs!$D$7+$D$2564)^I2538</f>
        <v>596.69348218898278</v>
      </c>
      <c r="J2559" s="28">
        <f>(J2545*$D$2563-J2549)/(Inputs!$D$7+$D$2564)^J2538</f>
        <v>528.09150417844353</v>
      </c>
      <c r="K2559" s="28">
        <f>(K2545*$D$2563-K2549)/(Inputs!$D$7+$D$2564)^K2538</f>
        <v>467.37671033772904</v>
      </c>
      <c r="L2559" s="28">
        <f>(L2545*$D$2563-L2549)/(Inputs!$D$7+$D$2564)^L2538</f>
        <v>413.64230940610946</v>
      </c>
      <c r="M2559" s="28">
        <f>(M2545*$D$2563-M2549)/(Inputs!$D$7+$D$2564)^M2538</f>
        <v>365.96328731072373</v>
      </c>
    </row>
    <row r="2560" spans="2:13" ht="15" customHeight="1" x14ac:dyDescent="0.2">
      <c r="B2560" s="10" t="s">
        <v>911</v>
      </c>
      <c r="C2560" s="10" t="s">
        <v>110</v>
      </c>
      <c r="D2560" s="16">
        <f>(-D2547-D2548)/(Inputs!$D$7+$D$2564)^D2538</f>
        <v>-12808.928289029636</v>
      </c>
      <c r="E2560" s="16">
        <f>(-E2547-E2548)/(Inputs!$D$7+$D$2564)^E2538</f>
        <v>-30219.974420642928</v>
      </c>
      <c r="F2560" s="16">
        <f>(-F2547-F2548)/(Inputs!$D$7+$D$2564)^F2538</f>
        <v>-20059.183095337907</v>
      </c>
      <c r="G2560" s="16">
        <f>(-G2547-G2548)/(Inputs!$D$7+$D$2564)^G2538</f>
        <v>-10551.720115889953</v>
      </c>
      <c r="H2560" s="16">
        <f>(-H2547-H2548)/(Inputs!$D$7+$D$2564)^H2538</f>
        <v>-7513.0713511684744</v>
      </c>
      <c r="I2560" s="16">
        <f>(-I2547-I2548)/(Inputs!$D$7+$D$2564)^I2538</f>
        <v>-17725.512933602091</v>
      </c>
      <c r="J2560" s="16">
        <f>(-J2547-J2548)/(Inputs!$D$7+$D$2564)^J2538</f>
        <v>-11765.705173827875</v>
      </c>
      <c r="K2560" s="16">
        <f>(-K2547-K2548)/(Inputs!$D$7+$D$2564)^K2538</f>
        <v>-6233.95144943378</v>
      </c>
      <c r="L2560" s="16">
        <f>(-L2547-L2548)/(Inputs!$D$7+$D$2564)^L2538</f>
        <v>-4607.9073620630261</v>
      </c>
      <c r="M2560" s="16">
        <f>(-M2547-M2548)/(Inputs!$D$7+$D$2564)^M2538</f>
        <v>-10871.389039901173</v>
      </c>
    </row>
    <row r="2561" spans="2:13" ht="15" customHeight="1" x14ac:dyDescent="0.2">
      <c r="B2561" s="10" t="s">
        <v>912</v>
      </c>
      <c r="C2561" s="10" t="s">
        <v>110</v>
      </c>
      <c r="D2561" s="16">
        <f>Prices!I15</f>
        <v>43845.82318383723</v>
      </c>
    </row>
    <row r="2562" spans="2:13" ht="15" customHeight="1" x14ac:dyDescent="0.2">
      <c r="B2562" s="3" t="s">
        <v>913</v>
      </c>
      <c r="C2562" s="10" t="s">
        <v>914</v>
      </c>
      <c r="D2562" s="28">
        <f>IF(J2569&gt;=J2565,J2569,(D2561-J2568)/J2567)</f>
        <v>34.933934260587471</v>
      </c>
      <c r="G2562" s="99" t="s">
        <v>915</v>
      </c>
      <c r="H2562" s="91"/>
      <c r="I2562" s="91"/>
      <c r="J2562" s="28">
        <f>D2562*Inputs!$D$15</f>
        <v>24.380392720463995</v>
      </c>
      <c r="K2562" s="99" t="s">
        <v>916</v>
      </c>
      <c r="L2562" s="91"/>
      <c r="M2562" s="91"/>
    </row>
    <row r="2563" spans="2:13" ht="15" customHeight="1" x14ac:dyDescent="0.2">
      <c r="B2563" s="10" t="s">
        <v>917</v>
      </c>
      <c r="C2563" s="10" t="s">
        <v>104</v>
      </c>
      <c r="D2563" s="30">
        <f>Inputs!$D$94</f>
        <v>0.75</v>
      </c>
      <c r="G2563" s="99" t="s">
        <v>918</v>
      </c>
      <c r="H2563" s="91"/>
      <c r="I2563" s="91"/>
      <c r="J2563" s="28">
        <f>IF(-D2574/D2573&gt;=J2565,-D2574/D2573,-J2568/J2567)</f>
        <v>27.411702074287536</v>
      </c>
      <c r="K2563" s="99" t="s">
        <v>919</v>
      </c>
      <c r="L2563" s="91"/>
      <c r="M2563" s="91"/>
    </row>
    <row r="2564" spans="2:13" ht="15" customHeight="1" x14ac:dyDescent="0.2">
      <c r="B2564" s="10" t="s">
        <v>920</v>
      </c>
      <c r="C2564" s="10" t="s">
        <v>104</v>
      </c>
      <c r="D2564" s="30">
        <f>Inputs!$D$95</f>
        <v>0.13</v>
      </c>
      <c r="G2564" s="99" t="s">
        <v>918</v>
      </c>
      <c r="H2564" s="91"/>
      <c r="I2564" s="91"/>
      <c r="J2564" s="28">
        <f>J2563*Inputs!$D$15</f>
        <v>19.13062687764527</v>
      </c>
      <c r="K2564" s="99" t="s">
        <v>916</v>
      </c>
      <c r="L2564" s="91"/>
      <c r="M2564" s="91"/>
    </row>
    <row r="2565" spans="2:13" ht="15" customHeight="1" x14ac:dyDescent="0.2">
      <c r="B2565" s="3" t="s">
        <v>921</v>
      </c>
      <c r="C2565" s="10" t="s">
        <v>848</v>
      </c>
      <c r="D2565" s="28">
        <f>Capital!$D$13</f>
        <v>57.347931490590682</v>
      </c>
      <c r="G2565" s="99" t="s">
        <v>922</v>
      </c>
      <c r="H2565" s="91"/>
      <c r="I2565" s="91"/>
      <c r="J2565" s="28">
        <f>($D$2565/Inputs!$D$21+$D$2566/Inputs!$D$22)/$D$2563</f>
        <v>19.290461530476374</v>
      </c>
      <c r="K2565" s="99" t="s">
        <v>919</v>
      </c>
      <c r="L2565" s="91"/>
      <c r="M2565" s="91"/>
    </row>
    <row r="2566" spans="2:13" ht="15" customHeight="1" x14ac:dyDescent="0.2">
      <c r="B2566" s="3" t="s">
        <v>923</v>
      </c>
      <c r="C2566" s="10" t="s">
        <v>848</v>
      </c>
      <c r="D2566" s="28">
        <f>Capital!$D$14</f>
        <v>2.6172655041921802</v>
      </c>
    </row>
    <row r="2567" spans="2:13" ht="15" customHeight="1" x14ac:dyDescent="0.2">
      <c r="B2567" s="10" t="s">
        <v>924</v>
      </c>
      <c r="C2567" s="10" t="s">
        <v>896</v>
      </c>
      <c r="D2567" s="28">
        <f>(M2540*(Inputs!$D$7+Inputs!$D$20)*$D$2563*(Inputs!$D$7-Inputs!$D$19)-M2540*Inputs!$D$20*Inputs!$D$23)/($D$2564-Inputs!$D$20)/(Inputs!$D$7+$D$2564)^M2538</f>
        <v>2497.8446594223992</v>
      </c>
      <c r="G2567" s="92" t="s">
        <v>910</v>
      </c>
      <c r="H2567" s="91"/>
      <c r="I2567" s="91"/>
      <c r="J2567" s="28">
        <f>SUM(D2559:M2559)+(M2540*(Inputs!$D$7+Inputs!$D$20)*$D$2563-M2540*Inputs!$D$20*Inputs!$D$23)/($D$2564-Inputs!$D$20)/(Inputs!$D$7+$D$2564)^M2538</f>
        <v>8341.0050516109004</v>
      </c>
      <c r="K2567" s="99" t="s">
        <v>896</v>
      </c>
      <c r="L2567" s="91"/>
      <c r="M2567" s="91"/>
    </row>
    <row r="2568" spans="2:13" ht="15" customHeight="1" x14ac:dyDescent="0.2">
      <c r="B2568" s="10" t="s">
        <v>925</v>
      </c>
      <c r="C2568" s="10" t="s">
        <v>110</v>
      </c>
      <c r="D2568" s="16">
        <f>(D2571*Inputs!$D$19-D2571-D2572)/($D$2564-Inputs!$D$20)/(Inputs!$D$7+$D$2564)^M2538</f>
        <v>-55207.290798783099</v>
      </c>
      <c r="G2568" s="92" t="s">
        <v>926</v>
      </c>
      <c r="H2568" s="91"/>
      <c r="I2568" s="91"/>
      <c r="J2568" s="16">
        <f>SUM(D2560:M2560)-(D2571+D2572)/($D$2564-Inputs!$D$20)/(Inputs!$D$7+$D$2564)^M2538</f>
        <v>-208239.17898202292</v>
      </c>
      <c r="K2568" s="99" t="s">
        <v>110</v>
      </c>
      <c r="L2568" s="91"/>
      <c r="M2568" s="91"/>
    </row>
    <row r="2569" spans="2:13" ht="15" customHeight="1" x14ac:dyDescent="0.2">
      <c r="B2569" s="10" t="s">
        <v>927</v>
      </c>
      <c r="C2569" s="10" t="s">
        <v>928</v>
      </c>
      <c r="D2569" s="16">
        <f>(M2540*(Inputs!$D$7+Inputs!$D$20)*$D$2562*$D$2563-D2571)-MAX((M2540*(Inputs!$D$7+Inputs!$D$20)*$D$2562*$D$2563-D2571),Inputs!$D$6)*Inputs!$D$19-D2572-M2540*Inputs!$D$20*$D$2562*Inputs!$D$23</f>
        <v>11035.488206573749</v>
      </c>
      <c r="G2569" s="99" t="s">
        <v>929</v>
      </c>
      <c r="H2569" s="91"/>
      <c r="I2569" s="91"/>
      <c r="J2569" s="28">
        <f>(D2561-D2574)/D2573</f>
        <v>34.933934260587471</v>
      </c>
      <c r="K2569" s="99" t="s">
        <v>919</v>
      </c>
      <c r="L2569" s="91"/>
      <c r="M2569" s="91"/>
    </row>
    <row r="2570" spans="2:13" ht="15" customHeight="1" x14ac:dyDescent="0.2">
      <c r="B2570" s="10" t="s">
        <v>930</v>
      </c>
      <c r="C2570" s="10" t="s">
        <v>110</v>
      </c>
      <c r="D2570" s="16">
        <f>D2569/($D$2564-Inputs!$D$20)</f>
        <v>105099.88768165474</v>
      </c>
      <c r="G2570" s="99" t="s">
        <v>931</v>
      </c>
      <c r="H2570" s="91"/>
      <c r="I2570" s="91"/>
      <c r="J2570" s="16">
        <f>MIN(D2554:M2554,(M2540*(Inputs!$D$7+Inputs!$D$20)*$D$2562*$D$2563-D2571))</f>
        <v>1362.7986334393529</v>
      </c>
      <c r="K2570" s="99" t="s">
        <v>110</v>
      </c>
      <c r="L2570" s="91"/>
      <c r="M2570" s="91"/>
    </row>
    <row r="2571" spans="2:13" ht="15" customHeight="1" x14ac:dyDescent="0.2">
      <c r="B2571" s="10" t="s">
        <v>932</v>
      </c>
      <c r="C2571" s="10" t="s">
        <v>928</v>
      </c>
      <c r="D2571" s="16">
        <f>M2540*(Inputs!$D$7+Inputs!$D$20)*($D$2565/Inputs!$D$21+$D$2566/Inputs!$D$22)</f>
        <v>23727.267682485937</v>
      </c>
      <c r="G2571" s="99" t="s">
        <v>933</v>
      </c>
      <c r="H2571" s="91"/>
      <c r="I2571" s="91"/>
      <c r="J2571" s="31" t="str">
        <f>IF(J2570&lt;Inputs!$D$6,"breached","satisfied")</f>
        <v>satisfied</v>
      </c>
      <c r="K2571" s="99" t="s">
        <v>934</v>
      </c>
      <c r="L2571" s="91"/>
      <c r="M2571" s="91"/>
    </row>
    <row r="2572" spans="2:13" ht="15" customHeight="1" x14ac:dyDescent="0.2">
      <c r="B2572" s="10" t="s">
        <v>935</v>
      </c>
      <c r="C2572" s="10" t="s">
        <v>928</v>
      </c>
      <c r="D2572" s="16">
        <f>M2540*Inputs!$D$20*($D$2565+$D$2566)</f>
        <v>2398.6078797913146</v>
      </c>
    </row>
    <row r="2573" spans="2:13" ht="15" customHeight="1" x14ac:dyDescent="0.2">
      <c r="B2573" s="10" t="s">
        <v>936</v>
      </c>
      <c r="C2573" s="10" t="s">
        <v>896</v>
      </c>
      <c r="D2573" s="28">
        <f>SUM(D2550:M2550)+D2567</f>
        <v>5828.8314024250149</v>
      </c>
      <c r="G2573" s="99" t="s">
        <v>937</v>
      </c>
      <c r="H2573" s="91"/>
      <c r="I2573" s="91"/>
      <c r="J2573" s="16">
        <f>D2575-D2561</f>
        <v>0</v>
      </c>
      <c r="K2573" s="99" t="s">
        <v>110</v>
      </c>
      <c r="L2573" s="91"/>
      <c r="M2573" s="91"/>
    </row>
    <row r="2574" spans="2:13" ht="15" customHeight="1" x14ac:dyDescent="0.2">
      <c r="B2574" s="10" t="s">
        <v>938</v>
      </c>
      <c r="C2574" s="10" t="s">
        <v>110</v>
      </c>
      <c r="D2574" s="16">
        <f>SUM(D2551:M2551)+D2568</f>
        <v>-159778.18984452612</v>
      </c>
    </row>
    <row r="2575" spans="2:13" ht="15" customHeight="1" x14ac:dyDescent="0.2">
      <c r="B2575" s="10" t="s">
        <v>939</v>
      </c>
      <c r="C2575" s="10" t="s">
        <v>110</v>
      </c>
      <c r="D2575" s="16">
        <f>SUM(D2558:M2558)+D2570/(Inputs!$D$7+$D$2564)^M2538</f>
        <v>43845.823183837201</v>
      </c>
    </row>
    <row r="2576" spans="2:13" ht="15" customHeight="1" x14ac:dyDescent="0.2">
      <c r="B2576" s="10" t="s">
        <v>940</v>
      </c>
      <c r="C2576" s="10" t="s">
        <v>104</v>
      </c>
      <c r="D2576" s="30">
        <f>IF(ABS(D2561)&gt;Inputs!$D$6,D2575/D2561-Inputs!$D$7,Inputs!$D$6)</f>
        <v>-6.6613381477509392E-16</v>
      </c>
    </row>
    <row r="2577" spans="1:13" ht="15" customHeight="1" x14ac:dyDescent="0.2">
      <c r="B2577" s="10" t="s">
        <v>941</v>
      </c>
      <c r="C2577" s="10" t="s">
        <v>104</v>
      </c>
      <c r="D2577" s="30">
        <f>IF(ABS(D2575)&gt;Inputs!$D$119,D2570/(Inputs!$D$7+$D$2564)^M2538/D2575,Inputs!$D$6)</f>
        <v>0.73102174846277868</v>
      </c>
    </row>
    <row r="2578" spans="1:13" ht="15" customHeight="1" x14ac:dyDescent="0.2">
      <c r="B2578" s="10" t="s">
        <v>942</v>
      </c>
      <c r="C2578" s="10" t="s">
        <v>943</v>
      </c>
      <c r="D2578" s="26">
        <f>$D$2562*Inputs!$D$8/Prices!$P$6/(Inputs!$D$26/Inputs!$D$25)/Inputs!$D$11/Inputs!$D$56</f>
        <v>6.3528420578933877</v>
      </c>
    </row>
    <row r="2582" spans="1:13" ht="15" customHeight="1" x14ac:dyDescent="0.2">
      <c r="A2582" s="104" t="s">
        <v>999</v>
      </c>
      <c r="B2582" s="10" t="s">
        <v>886</v>
      </c>
      <c r="C2582" s="10" t="s">
        <v>107</v>
      </c>
      <c r="D2582" s="28">
        <f>Inputs!$D$60</f>
        <v>1</v>
      </c>
      <c r="E2582" s="28">
        <f>Inputs!$D$62</f>
        <v>2</v>
      </c>
      <c r="F2582" s="28">
        <f>Inputs!$D$64</f>
        <v>3</v>
      </c>
      <c r="G2582" s="28">
        <f>Inputs!$D$66</f>
        <v>4</v>
      </c>
      <c r="H2582" s="28">
        <f>Inputs!$D$68</f>
        <v>5</v>
      </c>
      <c r="I2582" s="28">
        <f>Inputs!$D$70</f>
        <v>6</v>
      </c>
      <c r="J2582" s="28">
        <f>Inputs!$D$72</f>
        <v>7</v>
      </c>
      <c r="K2582" s="28">
        <f>Inputs!$D$74</f>
        <v>8</v>
      </c>
      <c r="L2582" s="28">
        <f>Inputs!$D$76</f>
        <v>9</v>
      </c>
      <c r="M2582" s="28">
        <f>Inputs!$D$78</f>
        <v>10</v>
      </c>
    </row>
    <row r="2583" spans="1:13" ht="15" customHeight="1" x14ac:dyDescent="0.2">
      <c r="A2583" s="91"/>
      <c r="B2583" s="10" t="s">
        <v>887</v>
      </c>
      <c r="C2583" s="10" t="s">
        <v>161</v>
      </c>
      <c r="D2583" s="29">
        <f>Inputs!$D$61</f>
        <v>46568</v>
      </c>
      <c r="E2583" s="29">
        <f>Inputs!$D$63</f>
        <v>46934</v>
      </c>
      <c r="F2583" s="29">
        <f>Inputs!$D$65</f>
        <v>47299</v>
      </c>
      <c r="G2583" s="29">
        <f>Inputs!$D$67</f>
        <v>47664</v>
      </c>
      <c r="H2583" s="29">
        <f>Inputs!$D$69</f>
        <v>48029</v>
      </c>
      <c r="I2583" s="29">
        <f>Inputs!$D$71</f>
        <v>48395</v>
      </c>
      <c r="J2583" s="29">
        <f>Inputs!$D$73</f>
        <v>48760</v>
      </c>
      <c r="K2583" s="29">
        <f>Inputs!$D$75</f>
        <v>49125</v>
      </c>
      <c r="L2583" s="29">
        <f>Inputs!$D$77</f>
        <v>49490</v>
      </c>
      <c r="M2583" s="29">
        <f>Inputs!$D$79</f>
        <v>49856</v>
      </c>
    </row>
    <row r="2584" spans="1:13" ht="15" customHeight="1" x14ac:dyDescent="0.2">
      <c r="A2584" s="91"/>
      <c r="B2584" s="10" t="s">
        <v>888</v>
      </c>
      <c r="C2584" s="10" t="s">
        <v>107</v>
      </c>
      <c r="D2584" s="28">
        <f>(D2583-Inputs!$D$13)/Inputs!$D$10</f>
        <v>0.71457905544147848</v>
      </c>
      <c r="E2584" s="28">
        <f>(E2583-Inputs!$D$13)/Inputs!$D$10</f>
        <v>1.7166324435318274</v>
      </c>
      <c r="F2584" s="28">
        <f>(F2583-Inputs!$D$13)/Inputs!$D$10</f>
        <v>2.7159479808350446</v>
      </c>
      <c r="G2584" s="28">
        <f>(G2583-Inputs!$D$13)/Inputs!$D$10</f>
        <v>3.7152635181382614</v>
      </c>
      <c r="H2584" s="28">
        <f>(H2583-Inputs!$D$13)/Inputs!$D$10</f>
        <v>4.7145790554414786</v>
      </c>
      <c r="I2584" s="28">
        <f>(I2583-Inputs!$D$13)/Inputs!$D$10</f>
        <v>5.7166324435318279</v>
      </c>
      <c r="J2584" s="28">
        <f>(J2583-Inputs!$D$13)/Inputs!$D$10</f>
        <v>6.7159479808350442</v>
      </c>
      <c r="K2584" s="28">
        <f>(K2583-Inputs!$D$13)/Inputs!$D$10</f>
        <v>7.7152635181382614</v>
      </c>
      <c r="L2584" s="28">
        <f>(L2583-Inputs!$D$13)/Inputs!$D$10</f>
        <v>8.7145790554414777</v>
      </c>
      <c r="M2584" s="28">
        <f>(M2583-Inputs!$D$13)/Inputs!$D$10</f>
        <v>9.716632443531827</v>
      </c>
    </row>
    <row r="2585" spans="1:13" ht="15" customHeight="1" x14ac:dyDescent="0.2">
      <c r="A2585" s="91"/>
      <c r="B2585" s="10" t="s">
        <v>889</v>
      </c>
      <c r="C2585" s="10" t="s">
        <v>107</v>
      </c>
      <c r="D2585" s="28">
        <f>D2584</f>
        <v>0.71457905544147848</v>
      </c>
      <c r="E2585" s="28">
        <f>Inputs!$D$7</f>
        <v>1</v>
      </c>
      <c r="F2585" s="28">
        <f>Inputs!$D$7</f>
        <v>1</v>
      </c>
      <c r="G2585" s="28">
        <f>Inputs!$D$7</f>
        <v>1</v>
      </c>
      <c r="H2585" s="28">
        <f>Inputs!$D$7</f>
        <v>1</v>
      </c>
      <c r="I2585" s="28">
        <f>Inputs!$D$7</f>
        <v>1</v>
      </c>
      <c r="J2585" s="28">
        <f>Inputs!$D$7</f>
        <v>1</v>
      </c>
      <c r="K2585" s="28">
        <f>Inputs!$D$7</f>
        <v>1</v>
      </c>
      <c r="L2585" s="28">
        <f>Inputs!$D$7</f>
        <v>1</v>
      </c>
      <c r="M2585" s="28">
        <f>Inputs!$D$7</f>
        <v>1</v>
      </c>
    </row>
    <row r="2586" spans="1:13" ht="15" customHeight="1" x14ac:dyDescent="0.2">
      <c r="A2586" s="91"/>
      <c r="B2586" s="3" t="s">
        <v>890</v>
      </c>
      <c r="C2586" s="10" t="s">
        <v>199</v>
      </c>
      <c r="D2586" s="28">
        <f>Inputs!$D$24+(Inputs!$D$106-Inputs!$D$24)*Inputs!$D$109</f>
        <v>170.32</v>
      </c>
      <c r="E2586" s="28">
        <f>Inputs!$D$24+(Inputs!$D$106-Inputs!$D$24)*Inputs!$D$110</f>
        <v>481.12000000000006</v>
      </c>
      <c r="F2586" s="28">
        <f>Inputs!$D$24+(Inputs!$D$106-Inputs!$D$24)*Inputs!$D$111</f>
        <v>823</v>
      </c>
      <c r="G2586" s="28">
        <f>Inputs!$D$24+(Inputs!$D$106-Inputs!$D$24)*Inputs!$D$112</f>
        <v>1211.5</v>
      </c>
      <c r="H2586" s="28">
        <f>Inputs!$D$24+(Inputs!$D$106-Inputs!$D$24)*Inputs!$D$113</f>
        <v>1600</v>
      </c>
      <c r="I2586" s="28">
        <f>Inputs!$D$24+(Inputs!$D$106-Inputs!$D$24)*Inputs!$D$114</f>
        <v>1600</v>
      </c>
      <c r="J2586" s="28">
        <f>Inputs!$D$24+(Inputs!$D$106-Inputs!$D$24)*Inputs!$D$115</f>
        <v>1600</v>
      </c>
      <c r="K2586" s="28">
        <f>Inputs!$D$24+(Inputs!$D$106-Inputs!$D$24)*Inputs!$D$116</f>
        <v>1600</v>
      </c>
      <c r="L2586" s="28">
        <f>Inputs!$D$24+(Inputs!$D$106-Inputs!$D$24)*Inputs!$D$117</f>
        <v>1600</v>
      </c>
      <c r="M2586" s="28">
        <f>Inputs!$D$24+(Inputs!$D$106-Inputs!$D$24)*Inputs!$D$118</f>
        <v>1600</v>
      </c>
    </row>
    <row r="2587" spans="1:13" ht="15" customHeight="1" x14ac:dyDescent="0.2">
      <c r="A2587" s="91"/>
      <c r="B2587" s="10" t="s">
        <v>891</v>
      </c>
      <c r="C2587" s="10" t="s">
        <v>199</v>
      </c>
      <c r="D2587" s="28">
        <f>Inputs!$D$24</f>
        <v>46</v>
      </c>
      <c r="E2587" s="28">
        <f t="shared" ref="E2587:M2587" si="560">D2586</f>
        <v>170.32</v>
      </c>
      <c r="F2587" s="28">
        <f t="shared" si="560"/>
        <v>481.12000000000006</v>
      </c>
      <c r="G2587" s="28">
        <f t="shared" si="560"/>
        <v>823</v>
      </c>
      <c r="H2587" s="28">
        <f t="shared" si="560"/>
        <v>1211.5</v>
      </c>
      <c r="I2587" s="28">
        <f t="shared" si="560"/>
        <v>1600</v>
      </c>
      <c r="J2587" s="28">
        <f t="shared" si="560"/>
        <v>1600</v>
      </c>
      <c r="K2587" s="28">
        <f t="shared" si="560"/>
        <v>1600</v>
      </c>
      <c r="L2587" s="28">
        <f t="shared" si="560"/>
        <v>1600</v>
      </c>
      <c r="M2587" s="28">
        <f t="shared" si="560"/>
        <v>1600</v>
      </c>
    </row>
    <row r="2588" spans="1:13" ht="15" customHeight="1" x14ac:dyDescent="0.2">
      <c r="B2588" s="10" t="s">
        <v>892</v>
      </c>
      <c r="C2588" s="10" t="s">
        <v>199</v>
      </c>
      <c r="D2588" s="28">
        <f>(D2587+D2586)*Inputs!$D$12</f>
        <v>108.16</v>
      </c>
      <c r="E2588" s="28">
        <f>(E2587+E2586)*Inputs!$D$12</f>
        <v>325.72000000000003</v>
      </c>
      <c r="F2588" s="28">
        <f>(F2587+F2586)*Inputs!$D$12</f>
        <v>652.06000000000006</v>
      </c>
      <c r="G2588" s="28">
        <f>(G2587+G2586)*Inputs!$D$12</f>
        <v>1017.25</v>
      </c>
      <c r="H2588" s="28">
        <f>(H2587+H2586)*Inputs!$D$12</f>
        <v>1405.75</v>
      </c>
      <c r="I2588" s="28">
        <f>(I2587+I2586)*Inputs!$D$12</f>
        <v>1600</v>
      </c>
      <c r="J2588" s="28">
        <f>(J2587+J2586)*Inputs!$D$12</f>
        <v>1600</v>
      </c>
      <c r="K2588" s="28">
        <f>(K2587+K2586)*Inputs!$D$12</f>
        <v>1600</v>
      </c>
      <c r="L2588" s="28">
        <f>(L2587+L2586)*Inputs!$D$12</f>
        <v>1600</v>
      </c>
      <c r="M2588" s="28">
        <f>(M2587+M2586)*Inputs!$D$12</f>
        <v>1600</v>
      </c>
    </row>
    <row r="2589" spans="1:13" ht="15" customHeight="1" x14ac:dyDescent="0.2">
      <c r="B2589" s="10" t="s">
        <v>893</v>
      </c>
      <c r="C2589" s="10" t="s">
        <v>199</v>
      </c>
      <c r="D2589" s="28">
        <f t="shared" ref="D2589:M2589" si="561">D2586-D2587</f>
        <v>124.32</v>
      </c>
      <c r="E2589" s="28">
        <f t="shared" si="561"/>
        <v>310.80000000000007</v>
      </c>
      <c r="F2589" s="28">
        <f t="shared" si="561"/>
        <v>341.87999999999994</v>
      </c>
      <c r="G2589" s="28">
        <f t="shared" si="561"/>
        <v>388.5</v>
      </c>
      <c r="H2589" s="28">
        <f t="shared" si="561"/>
        <v>388.5</v>
      </c>
      <c r="I2589" s="28">
        <f t="shared" si="561"/>
        <v>0</v>
      </c>
      <c r="J2589" s="28">
        <f t="shared" si="561"/>
        <v>0</v>
      </c>
      <c r="K2589" s="28">
        <f t="shared" si="561"/>
        <v>0</v>
      </c>
      <c r="L2589" s="28">
        <f t="shared" si="561"/>
        <v>0</v>
      </c>
      <c r="M2589" s="28">
        <f t="shared" si="561"/>
        <v>0</v>
      </c>
    </row>
    <row r="2590" spans="1:13" ht="15" customHeight="1" x14ac:dyDescent="0.2">
      <c r="B2590" s="10" t="s">
        <v>894</v>
      </c>
      <c r="C2590" s="10" t="s">
        <v>199</v>
      </c>
      <c r="D2590" s="28">
        <f>IF(MOD(D2582,Inputs!$D$21)=Inputs!$D$6,Inputs!$D$24,Inputs!$D$6)+SUMPRODUCT(--(D2582&gt;$D$2582:$M$2582),--(MOD(D2582-$D$2582:$M$2582,Inputs!$D$21)=Inputs!$D$6),$D$2589:$M$2589)</f>
        <v>0</v>
      </c>
      <c r="E2590" s="28">
        <f>IF(MOD(E2582,Inputs!$D$21)=Inputs!$D$6,Inputs!$D$24,Inputs!$D$6)+SUMPRODUCT(--(E2582&gt;$D$2582:$M$2582),--(MOD(E2582-$D$2582:$M$2582,Inputs!$D$21)=Inputs!$D$6),$D$2589:$M$2589)</f>
        <v>0</v>
      </c>
      <c r="F2590" s="28">
        <f>IF(MOD(F2582,Inputs!$D$21)=Inputs!$D$6,Inputs!$D$24,Inputs!$D$6)+SUMPRODUCT(--(F2582&gt;$D$2582:$M$2582),--(MOD(F2582-$D$2582:$M$2582,Inputs!$D$21)=Inputs!$D$6),$D$2589:$M$2589)</f>
        <v>0</v>
      </c>
      <c r="G2590" s="28">
        <f>IF(MOD(G2582,Inputs!$D$21)=Inputs!$D$6,Inputs!$D$24,Inputs!$D$6)+SUMPRODUCT(--(G2582&gt;$D$2582:$M$2582),--(MOD(G2582-$D$2582:$M$2582,Inputs!$D$21)=Inputs!$D$6),$D$2589:$M$2589)</f>
        <v>46</v>
      </c>
      <c r="H2590" s="28">
        <f>IF(MOD(H2582,Inputs!$D$21)=Inputs!$D$6,Inputs!$D$24,Inputs!$D$6)+SUMPRODUCT(--(H2582&gt;$D$2582:$M$2582),--(MOD(H2582-$D$2582:$M$2582,Inputs!$D$21)=Inputs!$D$6),$D$2589:$M$2589)</f>
        <v>124.32</v>
      </c>
      <c r="I2590" s="28">
        <f>IF(MOD(I2582,Inputs!$D$21)=Inputs!$D$6,Inputs!$D$24,Inputs!$D$6)+SUMPRODUCT(--(I2582&gt;$D$2582:$M$2582),--(MOD(I2582-$D$2582:$M$2582,Inputs!$D$21)=Inputs!$D$6),$D$2589:$M$2589)</f>
        <v>310.80000000000007</v>
      </c>
      <c r="J2590" s="28">
        <f>IF(MOD(J2582,Inputs!$D$21)=Inputs!$D$6,Inputs!$D$24,Inputs!$D$6)+SUMPRODUCT(--(J2582&gt;$D$2582:$M$2582),--(MOD(J2582-$D$2582:$M$2582,Inputs!$D$21)=Inputs!$D$6),$D$2589:$M$2589)</f>
        <v>341.87999999999994</v>
      </c>
      <c r="K2590" s="28">
        <f>IF(MOD(K2582,Inputs!$D$21)=Inputs!$D$6,Inputs!$D$24,Inputs!$D$6)+SUMPRODUCT(--(K2582&gt;$D$2582:$M$2582),--(MOD(K2582-$D$2582:$M$2582,Inputs!$D$21)=Inputs!$D$6),$D$2589:$M$2589)</f>
        <v>434.5</v>
      </c>
      <c r="L2590" s="28">
        <f>IF(MOD(L2582,Inputs!$D$21)=Inputs!$D$6,Inputs!$D$24,Inputs!$D$6)+SUMPRODUCT(--(L2582&gt;$D$2582:$M$2582),--(MOD(L2582-$D$2582:$M$2582,Inputs!$D$21)=Inputs!$D$6),$D$2589:$M$2589)</f>
        <v>512.81999999999994</v>
      </c>
      <c r="M2590" s="28">
        <f>IF(MOD(M2582,Inputs!$D$21)=Inputs!$D$6,Inputs!$D$24,Inputs!$D$6)+SUMPRODUCT(--(M2582&gt;$D$2582:$M$2582),--(MOD(M2582-$D$2582:$M$2582,Inputs!$D$21)=Inputs!$D$6),$D$2589:$M$2589)</f>
        <v>310.80000000000007</v>
      </c>
    </row>
    <row r="2591" spans="1:13" ht="15" customHeight="1" x14ac:dyDescent="0.2">
      <c r="B2591" s="10" t="s">
        <v>895</v>
      </c>
      <c r="C2591" s="10" t="s">
        <v>896</v>
      </c>
      <c r="D2591" s="28">
        <f t="shared" ref="D2591:M2591" si="562">D2588*D2585</f>
        <v>77.288870636550314</v>
      </c>
      <c r="E2591" s="28">
        <f t="shared" si="562"/>
        <v>325.72000000000003</v>
      </c>
      <c r="F2591" s="28">
        <f t="shared" si="562"/>
        <v>652.06000000000006</v>
      </c>
      <c r="G2591" s="28">
        <f t="shared" si="562"/>
        <v>1017.25</v>
      </c>
      <c r="H2591" s="28">
        <f t="shared" si="562"/>
        <v>1405.75</v>
      </c>
      <c r="I2591" s="28">
        <f t="shared" si="562"/>
        <v>1600</v>
      </c>
      <c r="J2591" s="28">
        <f t="shared" si="562"/>
        <v>1600</v>
      </c>
      <c r="K2591" s="28">
        <f t="shared" si="562"/>
        <v>1600</v>
      </c>
      <c r="L2591" s="28">
        <f t="shared" si="562"/>
        <v>1600</v>
      </c>
      <c r="M2591" s="28">
        <f t="shared" si="562"/>
        <v>1600</v>
      </c>
    </row>
    <row r="2592" spans="1:13" ht="15" customHeight="1" x14ac:dyDescent="0.2">
      <c r="B2592" s="10" t="s">
        <v>897</v>
      </c>
      <c r="C2592" s="10" t="s">
        <v>110</v>
      </c>
      <c r="D2592" s="16">
        <f>D2591*($D$2611/Inputs!$D$21+$D$2612/Inputs!$D$22)</f>
        <v>1118.2034893112541</v>
      </c>
      <c r="E2592" s="16">
        <f>E2591*($D$2611/Inputs!$D$21+$D$2612/Inputs!$D$22)</f>
        <v>4712.466847280074</v>
      </c>
      <c r="F2592" s="16">
        <f>F2591*($D$2611/Inputs!$D$21+$D$2612/Inputs!$D$22)</f>
        <v>9433.9037591718188</v>
      </c>
      <c r="G2592" s="16">
        <f>G2591*($D$2611/Inputs!$D$21+$D$2612/Inputs!$D$22)</f>
        <v>14717.416493907818</v>
      </c>
      <c r="H2592" s="16">
        <f>H2591*($D$2611/Inputs!$D$21+$D$2612/Inputs!$D$22)</f>
        <v>20338.17472235037</v>
      </c>
      <c r="I2592" s="16">
        <f>I2591*($D$2611/Inputs!$D$21+$D$2612/Inputs!$D$22)</f>
        <v>23148.553836571649</v>
      </c>
      <c r="J2592" s="16">
        <f>J2591*($D$2611/Inputs!$D$21+$D$2612/Inputs!$D$22)</f>
        <v>23148.553836571649</v>
      </c>
      <c r="K2592" s="16">
        <f>K2591*($D$2611/Inputs!$D$21+$D$2612/Inputs!$D$22)</f>
        <v>23148.553836571649</v>
      </c>
      <c r="L2592" s="16">
        <f>L2591*($D$2611/Inputs!$D$21+$D$2612/Inputs!$D$22)</f>
        <v>23148.553836571649</v>
      </c>
      <c r="M2592" s="16">
        <f>M2591*($D$2611/Inputs!$D$21+$D$2612/Inputs!$D$22)</f>
        <v>23148.553836571649</v>
      </c>
    </row>
    <row r="2593" spans="2:13" ht="15" customHeight="1" x14ac:dyDescent="0.2">
      <c r="B2593" s="10" t="s">
        <v>898</v>
      </c>
      <c r="C2593" s="10" t="s">
        <v>110</v>
      </c>
      <c r="D2593" s="16">
        <f t="shared" ref="D2593:M2593" si="563">D2589*($D$2611+$D$2612)</f>
        <v>7454.8732903914051</v>
      </c>
      <c r="E2593" s="16">
        <f t="shared" si="563"/>
        <v>18637.183225978519</v>
      </c>
      <c r="F2593" s="16">
        <f t="shared" si="563"/>
        <v>20500.901548576363</v>
      </c>
      <c r="G2593" s="16">
        <f t="shared" si="563"/>
        <v>23296.479032473144</v>
      </c>
      <c r="H2593" s="16">
        <f t="shared" si="563"/>
        <v>23296.479032473144</v>
      </c>
      <c r="I2593" s="16">
        <f t="shared" si="563"/>
        <v>0</v>
      </c>
      <c r="J2593" s="16">
        <f t="shared" si="563"/>
        <v>0</v>
      </c>
      <c r="K2593" s="16">
        <f t="shared" si="563"/>
        <v>0</v>
      </c>
      <c r="L2593" s="16">
        <f t="shared" si="563"/>
        <v>0</v>
      </c>
      <c r="M2593" s="16">
        <f t="shared" si="563"/>
        <v>0</v>
      </c>
    </row>
    <row r="2594" spans="2:13" ht="15" customHeight="1" x14ac:dyDescent="0.2">
      <c r="B2594" s="10" t="s">
        <v>899</v>
      </c>
      <c r="C2594" s="10" t="s">
        <v>110</v>
      </c>
      <c r="D2594" s="16">
        <f t="shared" ref="D2594:M2594" si="564">D2590*$D$2611</f>
        <v>0</v>
      </c>
      <c r="E2594" s="16">
        <f t="shared" si="564"/>
        <v>0</v>
      </c>
      <c r="F2594" s="16">
        <f t="shared" si="564"/>
        <v>0</v>
      </c>
      <c r="G2594" s="16">
        <f t="shared" si="564"/>
        <v>2638.0048485671714</v>
      </c>
      <c r="H2594" s="16">
        <f t="shared" si="564"/>
        <v>7129.4948429102333</v>
      </c>
      <c r="I2594" s="16">
        <f t="shared" si="564"/>
        <v>17823.737107275589</v>
      </c>
      <c r="J2594" s="16">
        <f t="shared" si="564"/>
        <v>19606.110818003141</v>
      </c>
      <c r="K2594" s="16">
        <f t="shared" si="564"/>
        <v>24917.676232661652</v>
      </c>
      <c r="L2594" s="16">
        <f t="shared" si="564"/>
        <v>29409.166227004709</v>
      </c>
      <c r="M2594" s="16">
        <f t="shared" si="564"/>
        <v>17823.737107275589</v>
      </c>
    </row>
    <row r="2595" spans="2:13" ht="15" customHeight="1" x14ac:dyDescent="0.2">
      <c r="B2595" s="10" t="s">
        <v>900</v>
      </c>
      <c r="C2595" s="10" t="s">
        <v>199</v>
      </c>
      <c r="D2595" s="28">
        <f>D2589*Inputs!$D$23</f>
        <v>3.1080000000000001</v>
      </c>
      <c r="E2595" s="28">
        <f>E2589*Inputs!$D$23</f>
        <v>7.7700000000000022</v>
      </c>
      <c r="F2595" s="28">
        <f>F2589*Inputs!$D$23</f>
        <v>8.5469999999999988</v>
      </c>
      <c r="G2595" s="28">
        <f>G2589*Inputs!$D$23</f>
        <v>9.7125000000000004</v>
      </c>
      <c r="H2595" s="28">
        <f>H2589*Inputs!$D$23</f>
        <v>9.7125000000000004</v>
      </c>
      <c r="I2595" s="28">
        <f>I2589*Inputs!$D$23</f>
        <v>0</v>
      </c>
      <c r="J2595" s="28">
        <f>J2589*Inputs!$D$23</f>
        <v>0</v>
      </c>
      <c r="K2595" s="28">
        <f>K2589*Inputs!$D$23</f>
        <v>0</v>
      </c>
      <c r="L2595" s="28">
        <f>L2589*Inputs!$D$23</f>
        <v>0</v>
      </c>
      <c r="M2595" s="28">
        <f>M2589*Inputs!$D$23</f>
        <v>0</v>
      </c>
    </row>
    <row r="2596" spans="2:13" ht="15" customHeight="1" x14ac:dyDescent="0.2">
      <c r="B2596" s="3" t="s">
        <v>901</v>
      </c>
      <c r="C2596" s="10" t="s">
        <v>896</v>
      </c>
      <c r="D2596" s="28">
        <f>(D2591*$D$2609*(Inputs!$D$7-Inputs!$D$19)-D2595)/(Inputs!$D$7+$D$2610)^D2584</f>
        <v>40.99699201112098</v>
      </c>
      <c r="E2596" s="28">
        <f>(E2591*$D$2609*(Inputs!$D$7-Inputs!$D$19)-E2595)/(Inputs!$D$7+$D$2610)^E2584</f>
        <v>153.02781912726542</v>
      </c>
      <c r="F2596" s="28">
        <f>(F2591*$D$2609*(Inputs!$D$7-Inputs!$D$19)-F2595)/(Inputs!$D$7+$D$2610)^F2584</f>
        <v>268.8019226843403</v>
      </c>
      <c r="G2596" s="28">
        <f>(G2591*$D$2609*(Inputs!$D$7-Inputs!$D$19)-G2595)/(Inputs!$D$7+$D$2610)^G2584</f>
        <v>363.62824610263397</v>
      </c>
      <c r="H2596" s="28">
        <f>(H2591*$D$2609*(Inputs!$D$7-Inputs!$D$19)-H2595)/(Inputs!$D$7+$D$2610)^H2584</f>
        <v>435.07807528321291</v>
      </c>
      <c r="I2596" s="28">
        <f>(I2591*$D$2609*(Inputs!$D$7-Inputs!$D$19)-I2595)/(Inputs!$D$7+$D$2610)^I2584</f>
        <v>431.49711827119876</v>
      </c>
      <c r="J2596" s="28">
        <f>(J2591*$D$2609*(Inputs!$D$7-Inputs!$D$19)-J2595)/(Inputs!$D$7+$D$2610)^J2584</f>
        <v>372.01806500733016</v>
      </c>
      <c r="K2596" s="28">
        <f>(K2591*$D$2609*(Inputs!$D$7-Inputs!$D$19)-K2595)/(Inputs!$D$7+$D$2610)^K2584</f>
        <v>320.73780989845312</v>
      </c>
      <c r="L2596" s="28">
        <f>(L2591*$D$2609*(Inputs!$D$7-Inputs!$D$19)-L2595)/(Inputs!$D$7+$D$2610)^L2584</f>
        <v>276.52620228651875</v>
      </c>
      <c r="M2596" s="28">
        <f>(M2591*$D$2609*(Inputs!$D$7-Inputs!$D$19)-M2595)/(Inputs!$D$7+$D$2610)^M2584</f>
        <v>238.31201718226143</v>
      </c>
    </row>
    <row r="2597" spans="2:13" ht="15" customHeight="1" x14ac:dyDescent="0.2">
      <c r="B2597" s="10" t="s">
        <v>902</v>
      </c>
      <c r="C2597" s="10" t="s">
        <v>110</v>
      </c>
      <c r="D2597" s="16">
        <f>(D2592*Inputs!$D$19-D2593-D2594)/(Inputs!$D$7+$D$2610)^D2584</f>
        <v>-6403.0045740313244</v>
      </c>
      <c r="E2597" s="16">
        <f>(E2592*Inputs!$D$19-E2593-E2594)/(Inputs!$D$7+$D$2610)^E2584</f>
        <v>-13349.632212764713</v>
      </c>
      <c r="F2597" s="16">
        <f>(F2592*Inputs!$D$19-F2593-F2594)/(Inputs!$D$7+$D$2610)^F2584</f>
        <v>-11808.370082432088</v>
      </c>
      <c r="G2597" s="16">
        <f>(G2592*Inputs!$D$19-G2593-G2594)/(Inputs!$D$7+$D$2610)^G2584</f>
        <v>-12397.921878440668</v>
      </c>
      <c r="H2597" s="16">
        <f>(H2592*Inputs!$D$19-H2593-H2594)/(Inputs!$D$7+$D$2610)^H2584</f>
        <v>-12082.366885213038</v>
      </c>
      <c r="I2597" s="16">
        <f>(I2592*Inputs!$D$19-I2593-I2594)/(Inputs!$D$7+$D$2610)^I2584</f>
        <v>-4657.0743222469628</v>
      </c>
      <c r="J2597" s="16">
        <f>(J2592*Inputs!$D$19-J2593-J2594)/(Inputs!$D$7+$D$2610)^J2584</f>
        <v>-4672.9398284057479</v>
      </c>
      <c r="K2597" s="16">
        <f>(K2592*Inputs!$D$19-K2593-K2594)/(Inputs!$D$7+$D$2610)^K2584</f>
        <v>-5718.9047268503064</v>
      </c>
      <c r="L2597" s="16">
        <f>(L2592*Inputs!$D$19-L2593-L2594)/(Inputs!$D$7+$D$2610)^L2584</f>
        <v>-6162.7485564592316</v>
      </c>
      <c r="M2597" s="16">
        <f>(M2592*Inputs!$D$19-M2593-M2594)/(Inputs!$D$7+$D$2610)^M2584</f>
        <v>-2572.0606903447429</v>
      </c>
    </row>
    <row r="2598" spans="2:13" ht="15" customHeight="1" x14ac:dyDescent="0.2">
      <c r="B2598" s="10" t="s">
        <v>903</v>
      </c>
      <c r="C2598" s="10" t="s">
        <v>110</v>
      </c>
      <c r="D2598" s="16">
        <f t="shared" ref="D2598:M2598" si="565">D2591*$D$2608</f>
        <v>2576.5535054365137</v>
      </c>
      <c r="E2598" s="16">
        <f t="shared" si="565"/>
        <v>10858.419858885902</v>
      </c>
      <c r="F2598" s="16">
        <f t="shared" si="565"/>
        <v>21737.508452613107</v>
      </c>
      <c r="G2598" s="16">
        <f t="shared" si="565"/>
        <v>33911.726640831643</v>
      </c>
      <c r="H2598" s="16">
        <f t="shared" si="565"/>
        <v>46863.022585744977</v>
      </c>
      <c r="I2598" s="16">
        <f t="shared" si="565"/>
        <v>53338.670558201644</v>
      </c>
      <c r="J2598" s="16">
        <f t="shared" si="565"/>
        <v>53338.670558201644</v>
      </c>
      <c r="K2598" s="16">
        <f t="shared" si="565"/>
        <v>53338.670558201644</v>
      </c>
      <c r="L2598" s="16">
        <f t="shared" si="565"/>
        <v>53338.670558201644</v>
      </c>
      <c r="M2598" s="16">
        <f t="shared" si="565"/>
        <v>53338.670558201644</v>
      </c>
    </row>
    <row r="2599" spans="2:13" ht="15" customHeight="1" x14ac:dyDescent="0.2">
      <c r="B2599" s="10" t="s">
        <v>904</v>
      </c>
      <c r="C2599" s="10" t="s">
        <v>110</v>
      </c>
      <c r="D2599" s="16">
        <f t="shared" ref="D2599:M2599" si="566">D2598*$D$2609</f>
        <v>2318.8981548928623</v>
      </c>
      <c r="E2599" s="16">
        <f t="shared" si="566"/>
        <v>9772.5778729973117</v>
      </c>
      <c r="F2599" s="16">
        <f t="shared" si="566"/>
        <v>19563.757607351796</v>
      </c>
      <c r="G2599" s="16">
        <f t="shared" si="566"/>
        <v>30520.553976748481</v>
      </c>
      <c r="H2599" s="16">
        <f t="shared" si="566"/>
        <v>42176.720327170478</v>
      </c>
      <c r="I2599" s="16">
        <f t="shared" si="566"/>
        <v>48004.803502381481</v>
      </c>
      <c r="J2599" s="16">
        <f t="shared" si="566"/>
        <v>48004.803502381481</v>
      </c>
      <c r="K2599" s="16">
        <f t="shared" si="566"/>
        <v>48004.803502381481</v>
      </c>
      <c r="L2599" s="16">
        <f t="shared" si="566"/>
        <v>48004.803502381481</v>
      </c>
      <c r="M2599" s="16">
        <f t="shared" si="566"/>
        <v>48004.803502381481</v>
      </c>
    </row>
    <row r="2600" spans="2:13" ht="15" customHeight="1" x14ac:dyDescent="0.2">
      <c r="B2600" s="10" t="s">
        <v>905</v>
      </c>
      <c r="C2600" s="10" t="s">
        <v>110</v>
      </c>
      <c r="D2600" s="16">
        <f t="shared" ref="D2600:M2600" si="567">D2599-D2592</f>
        <v>1200.6946655816082</v>
      </c>
      <c r="E2600" s="16">
        <f t="shared" si="567"/>
        <v>5060.1110257172377</v>
      </c>
      <c r="F2600" s="16">
        <f t="shared" si="567"/>
        <v>10129.853848179977</v>
      </c>
      <c r="G2600" s="16">
        <f t="shared" si="567"/>
        <v>15803.137482840662</v>
      </c>
      <c r="H2600" s="16">
        <f t="shared" si="567"/>
        <v>21838.545604820109</v>
      </c>
      <c r="I2600" s="16">
        <f t="shared" si="567"/>
        <v>24856.249665809832</v>
      </c>
      <c r="J2600" s="16">
        <f t="shared" si="567"/>
        <v>24856.249665809832</v>
      </c>
      <c r="K2600" s="16">
        <f t="shared" si="567"/>
        <v>24856.249665809832</v>
      </c>
      <c r="L2600" s="16">
        <f t="shared" si="567"/>
        <v>24856.249665809832</v>
      </c>
      <c r="M2600" s="16">
        <f t="shared" si="567"/>
        <v>24856.249665809832</v>
      </c>
    </row>
    <row r="2601" spans="2:13" ht="15" customHeight="1" x14ac:dyDescent="0.2">
      <c r="B2601" s="10" t="s">
        <v>906</v>
      </c>
      <c r="C2601" s="10" t="s">
        <v>110</v>
      </c>
      <c r="D2601" s="16">
        <f>MAX(D2600,Inputs!$D$6)*Inputs!$D$19</f>
        <v>360.20839967448245</v>
      </c>
      <c r="E2601" s="16">
        <f>MAX(E2600,Inputs!$D$6)*Inputs!$D$19</f>
        <v>1518.0333077151713</v>
      </c>
      <c r="F2601" s="16">
        <f>MAX(F2600,Inputs!$D$6)*Inputs!$D$19</f>
        <v>3038.9561544539929</v>
      </c>
      <c r="G2601" s="16">
        <f>MAX(G2600,Inputs!$D$6)*Inputs!$D$19</f>
        <v>4740.9412448521989</v>
      </c>
      <c r="H2601" s="16">
        <f>MAX(H2600,Inputs!$D$6)*Inputs!$D$19</f>
        <v>6551.5636814460322</v>
      </c>
      <c r="I2601" s="16">
        <f>MAX(I2600,Inputs!$D$6)*Inputs!$D$19</f>
        <v>7456.8748997429493</v>
      </c>
      <c r="J2601" s="16">
        <f>MAX(J2600,Inputs!$D$6)*Inputs!$D$19</f>
        <v>7456.8748997429493</v>
      </c>
      <c r="K2601" s="16">
        <f>MAX(K2600,Inputs!$D$6)*Inputs!$D$19</f>
        <v>7456.8748997429493</v>
      </c>
      <c r="L2601" s="16">
        <f>MAX(L2600,Inputs!$D$6)*Inputs!$D$19</f>
        <v>7456.8748997429493</v>
      </c>
      <c r="M2601" s="16">
        <f>MAX(M2600,Inputs!$D$6)*Inputs!$D$19</f>
        <v>7456.8748997429493</v>
      </c>
    </row>
    <row r="2602" spans="2:13" ht="15" customHeight="1" x14ac:dyDescent="0.2">
      <c r="B2602" s="10" t="s">
        <v>907</v>
      </c>
      <c r="C2602" s="10" t="s">
        <v>110</v>
      </c>
      <c r="D2602" s="16">
        <f t="shared" ref="D2602:M2602" si="568">D2595*$D$2608</f>
        <v>103.61036755930671</v>
      </c>
      <c r="E2602" s="16">
        <f t="shared" si="568"/>
        <v>259.02591889826681</v>
      </c>
      <c r="F2602" s="16">
        <f t="shared" si="568"/>
        <v>284.92851078809338</v>
      </c>
      <c r="G2602" s="16">
        <f t="shared" si="568"/>
        <v>323.78239862283345</v>
      </c>
      <c r="H2602" s="16">
        <f t="shared" si="568"/>
        <v>323.78239862283345</v>
      </c>
      <c r="I2602" s="16">
        <f t="shared" si="568"/>
        <v>0</v>
      </c>
      <c r="J2602" s="16">
        <f t="shared" si="568"/>
        <v>0</v>
      </c>
      <c r="K2602" s="16">
        <f t="shared" si="568"/>
        <v>0</v>
      </c>
      <c r="L2602" s="16">
        <f t="shared" si="568"/>
        <v>0</v>
      </c>
      <c r="M2602" s="16">
        <f t="shared" si="568"/>
        <v>0</v>
      </c>
    </row>
    <row r="2603" spans="2:13" ht="15" customHeight="1" x14ac:dyDescent="0.2">
      <c r="B2603" s="10" t="s">
        <v>908</v>
      </c>
      <c r="C2603" s="10" t="s">
        <v>110</v>
      </c>
      <c r="D2603" s="16">
        <f t="shared" ref="D2603:M2603" si="569">D2599-D2601-D2593-D2594-D2602</f>
        <v>-5599.7939027323318</v>
      </c>
      <c r="E2603" s="16">
        <f t="shared" si="569"/>
        <v>-10641.664579594646</v>
      </c>
      <c r="F2603" s="16">
        <f t="shared" si="569"/>
        <v>-4261.0286064666543</v>
      </c>
      <c r="G2603" s="16">
        <f t="shared" si="569"/>
        <v>-478.6535477668661</v>
      </c>
      <c r="H2603" s="16">
        <f t="shared" si="569"/>
        <v>4875.4003717182377</v>
      </c>
      <c r="I2603" s="16">
        <f t="shared" si="569"/>
        <v>22724.191495362942</v>
      </c>
      <c r="J2603" s="16">
        <f t="shared" si="569"/>
        <v>20941.81778463539</v>
      </c>
      <c r="K2603" s="16">
        <f t="shared" si="569"/>
        <v>15630.252369976879</v>
      </c>
      <c r="L2603" s="16">
        <f t="shared" si="569"/>
        <v>11138.762375633822</v>
      </c>
      <c r="M2603" s="16">
        <f t="shared" si="569"/>
        <v>22724.191495362942</v>
      </c>
    </row>
    <row r="2604" spans="2:13" ht="15" customHeight="1" x14ac:dyDescent="0.2">
      <c r="B2604" s="10" t="s">
        <v>909</v>
      </c>
      <c r="C2604" s="10" t="s">
        <v>110</v>
      </c>
      <c r="D2604" s="16">
        <f>D2603/(Inputs!$D$7+$D$2610)^D2584</f>
        <v>-5036.3014173073207</v>
      </c>
      <c r="E2604" s="16">
        <f>E2603/(Inputs!$D$7+$D$2610)^E2584</f>
        <v>-8248.1944435964124</v>
      </c>
      <c r="F2604" s="16">
        <f>F2603/(Inputs!$D$7+$D$2610)^F2584</f>
        <v>-2847.4093327625751</v>
      </c>
      <c r="G2604" s="16">
        <f>G2603/(Inputs!$D$7+$D$2610)^G2584</f>
        <v>-275.76736311249829</v>
      </c>
      <c r="H2604" s="16">
        <f>H2603/(Inputs!$D$7+$D$2610)^H2584</f>
        <v>2421.6869426793069</v>
      </c>
      <c r="I2604" s="16">
        <f>I2603/(Inputs!$D$7+$D$2610)^I2584</f>
        <v>9727.6023266785651</v>
      </c>
      <c r="J2604" s="16">
        <f>J2603/(Inputs!$D$7+$D$2610)^J2584</f>
        <v>7728.9033035477705</v>
      </c>
      <c r="K2604" s="16">
        <f>K2603/(Inputs!$D$7+$D$2610)^K2584</f>
        <v>4973.4255092326302</v>
      </c>
      <c r="L2604" s="16">
        <f>L2603/(Inputs!$D$7+$D$2610)^L2584</f>
        <v>3055.7139463353005</v>
      </c>
      <c r="M2604" s="16">
        <f>M2603/(Inputs!$D$7+$D$2610)^M2584</f>
        <v>5372.4681687459661</v>
      </c>
    </row>
    <row r="2605" spans="2:13" ht="15" customHeight="1" x14ac:dyDescent="0.2">
      <c r="B2605" s="3" t="s">
        <v>910</v>
      </c>
      <c r="C2605" s="10" t="s">
        <v>896</v>
      </c>
      <c r="D2605" s="28">
        <f>(D2591*$D$2609-D2595)/(Inputs!$D$7+$D$2610)^D2584</f>
        <v>59.765095798928819</v>
      </c>
      <c r="E2605" s="28">
        <f>(E2591*$D$2609-E2595)/(Inputs!$D$7+$D$2610)^E2584</f>
        <v>221.1922031857838</v>
      </c>
      <c r="F2605" s="28">
        <f>(F2591*$D$2609-F2595)/(Inputs!$D$7+$D$2610)^F2584</f>
        <v>386.45052664112239</v>
      </c>
      <c r="G2605" s="28">
        <f>(G2591*$D$2609-G2595)/(Inputs!$D$7+$D$2610)^G2584</f>
        <v>521.867070169518</v>
      </c>
      <c r="H2605" s="28">
        <f>(H2591*$D$2609-H2595)/(Inputs!$D$7+$D$2610)^H2584</f>
        <v>623.60768582417222</v>
      </c>
      <c r="I2605" s="28">
        <f>(I2591*$D$2609-I2595)/(Inputs!$D$7+$D$2610)^I2584</f>
        <v>616.42445467314121</v>
      </c>
      <c r="J2605" s="28">
        <f>(J2591*$D$2609-J2595)/(Inputs!$D$7+$D$2610)^J2584</f>
        <v>531.4543785819003</v>
      </c>
      <c r="K2605" s="28">
        <f>(K2591*$D$2609-K2595)/(Inputs!$D$7+$D$2610)^K2584</f>
        <v>458.19687128350449</v>
      </c>
      <c r="L2605" s="28">
        <f>(L2591*$D$2609-L2595)/(Inputs!$D$7+$D$2610)^L2584</f>
        <v>395.03743183788401</v>
      </c>
      <c r="M2605" s="28">
        <f>(M2591*$D$2609-M2595)/(Inputs!$D$7+$D$2610)^M2584</f>
        <v>340.44573883180209</v>
      </c>
    </row>
    <row r="2606" spans="2:13" ht="15" customHeight="1" x14ac:dyDescent="0.2">
      <c r="B2606" s="10" t="s">
        <v>911</v>
      </c>
      <c r="C2606" s="10" t="s">
        <v>110</v>
      </c>
      <c r="D2606" s="16">
        <f>(-D2593-D2594)/(Inputs!$D$7+$D$2610)^D2584</f>
        <v>-6704.7090607969039</v>
      </c>
      <c r="E2606" s="16">
        <f>(-E2593-E2594)/(Inputs!$D$7+$D$2610)^E2584</f>
        <v>-14445.4009031226</v>
      </c>
      <c r="F2606" s="16">
        <f>(-F2593-F2594)/(Inputs!$D$7+$D$2610)^F2584</f>
        <v>-13699.616639717549</v>
      </c>
      <c r="G2606" s="16">
        <f>(-G2593-G2594)/(Inputs!$D$7+$D$2610)^G2584</f>
        <v>-14941.671835349038</v>
      </c>
      <c r="H2606" s="16">
        <f>(-H2593-H2594)/(Inputs!$D$7+$D$2610)^H2584</f>
        <v>-15113.052884793095</v>
      </c>
      <c r="I2606" s="16">
        <f>(-I2593-I2594)/(Inputs!$D$7+$D$2610)^I2584</f>
        <v>-7629.8523795762403</v>
      </c>
      <c r="J2606" s="16">
        <f>(-J2593-J2594)/(Inputs!$D$7+$D$2610)^J2584</f>
        <v>-7235.9398897150922</v>
      </c>
      <c r="K2606" s="16">
        <f>(-K2593-K2594)/(Inputs!$D$7+$D$2610)^K2584</f>
        <v>-7928.612006570077</v>
      </c>
      <c r="L2606" s="16">
        <f>(-L2593-L2594)/(Inputs!$D$7+$D$2610)^L2584</f>
        <v>-8067.8621519509534</v>
      </c>
      <c r="M2606" s="16">
        <f>(-M2593-M2594)/(Inputs!$D$7+$D$2610)^M2584</f>
        <v>-4213.8995473821142</v>
      </c>
    </row>
    <row r="2607" spans="2:13" ht="15" customHeight="1" x14ac:dyDescent="0.2">
      <c r="B2607" s="10" t="s">
        <v>912</v>
      </c>
      <c r="C2607" s="10" t="s">
        <v>110</v>
      </c>
      <c r="D2607" s="16">
        <f>Prices!I15</f>
        <v>43845.82318383723</v>
      </c>
    </row>
    <row r="2608" spans="2:13" ht="15" customHeight="1" x14ac:dyDescent="0.2">
      <c r="B2608" s="3" t="s">
        <v>913</v>
      </c>
      <c r="C2608" s="10" t="s">
        <v>914</v>
      </c>
      <c r="D2608" s="28">
        <f>IF(J2615&gt;=J2611,J2615,(D2607-J2614)/J2613)</f>
        <v>33.33666909887603</v>
      </c>
      <c r="G2608" s="99" t="s">
        <v>915</v>
      </c>
      <c r="H2608" s="91"/>
      <c r="I2608" s="91"/>
      <c r="J2608" s="28">
        <f>D2608*Inputs!$D$15</f>
        <v>23.265661364105579</v>
      </c>
      <c r="K2608" s="99" t="s">
        <v>916</v>
      </c>
      <c r="L2608" s="91"/>
      <c r="M2608" s="91"/>
    </row>
    <row r="2609" spans="2:13" ht="15" customHeight="1" x14ac:dyDescent="0.2">
      <c r="B2609" s="10" t="s">
        <v>917</v>
      </c>
      <c r="C2609" s="10" t="s">
        <v>104</v>
      </c>
      <c r="D2609" s="30">
        <f>Inputs!$D$107</f>
        <v>0.9</v>
      </c>
      <c r="G2609" s="99" t="s">
        <v>918</v>
      </c>
      <c r="H2609" s="91"/>
      <c r="I2609" s="91"/>
      <c r="J2609" s="28">
        <f>IF(-D2620/D2619&gt;=J2611,-D2620/D2619,-J2614/J2613)</f>
        <v>24.024174528419383</v>
      </c>
      <c r="K2609" s="99" t="s">
        <v>919</v>
      </c>
      <c r="L2609" s="91"/>
      <c r="M2609" s="91"/>
    </row>
    <row r="2610" spans="2:13" ht="15" customHeight="1" x14ac:dyDescent="0.2">
      <c r="B2610" s="10" t="s">
        <v>920</v>
      </c>
      <c r="C2610" s="10" t="s">
        <v>104</v>
      </c>
      <c r="D2610" s="30">
        <f>Inputs!$D$108</f>
        <v>0.16</v>
      </c>
      <c r="G2610" s="99" t="s">
        <v>918</v>
      </c>
      <c r="H2610" s="91"/>
      <c r="I2610" s="91"/>
      <c r="J2610" s="28">
        <f>J2609*Inputs!$D$15</f>
        <v>16.766471403383886</v>
      </c>
      <c r="K2610" s="99" t="s">
        <v>916</v>
      </c>
      <c r="L2610" s="91"/>
      <c r="M2610" s="91"/>
    </row>
    <row r="2611" spans="2:13" ht="15" customHeight="1" x14ac:dyDescent="0.2">
      <c r="B2611" s="3" t="s">
        <v>921</v>
      </c>
      <c r="C2611" s="10" t="s">
        <v>848</v>
      </c>
      <c r="D2611" s="28">
        <f>Capital!$D$13</f>
        <v>57.347931490590682</v>
      </c>
      <c r="G2611" s="99" t="s">
        <v>922</v>
      </c>
      <c r="H2611" s="91"/>
      <c r="I2611" s="91"/>
      <c r="J2611" s="28">
        <f>($D$2611/Inputs!$D$21+$D$2612/Inputs!$D$22)/$D$2609</f>
        <v>16.07538460873031</v>
      </c>
      <c r="K2611" s="99" t="s">
        <v>919</v>
      </c>
      <c r="L2611" s="91"/>
      <c r="M2611" s="91"/>
    </row>
    <row r="2612" spans="2:13" ht="15" customHeight="1" x14ac:dyDescent="0.2">
      <c r="B2612" s="3" t="s">
        <v>923</v>
      </c>
      <c r="C2612" s="10" t="s">
        <v>848</v>
      </c>
      <c r="D2612" s="28">
        <f>Capital!$D$14</f>
        <v>2.6172655041921802</v>
      </c>
    </row>
    <row r="2613" spans="2:13" ht="15" customHeight="1" x14ac:dyDescent="0.2">
      <c r="B2613" s="10" t="s">
        <v>924</v>
      </c>
      <c r="C2613" s="10" t="s">
        <v>896</v>
      </c>
      <c r="D2613" s="28">
        <f>(M2586*(Inputs!$D$7+Inputs!$D$20)*$D$2609*(Inputs!$D$7-Inputs!$D$19)-M2586*Inputs!$D$20*Inputs!$D$23)/($D$2610-Inputs!$D$20)/(Inputs!$D$7+$D$2610)^M2584</f>
        <v>1807.6547922951956</v>
      </c>
      <c r="G2613" s="92" t="s">
        <v>910</v>
      </c>
      <c r="H2613" s="91"/>
      <c r="I2613" s="91"/>
      <c r="J2613" s="28">
        <f>SUM(D2605:M2605)+(M2586*(Inputs!$D$7+Inputs!$D$20)*$D$2609-M2586*Inputs!$D$20*Inputs!$D$23)/($D$2610-Inputs!$D$20)/(Inputs!$D$7+$D$2610)^M2584</f>
        <v>6737.5559875731687</v>
      </c>
      <c r="K2613" s="99" t="s">
        <v>896</v>
      </c>
      <c r="L2613" s="91"/>
      <c r="M2613" s="91"/>
    </row>
    <row r="2614" spans="2:13" ht="15" customHeight="1" x14ac:dyDescent="0.2">
      <c r="B2614" s="10" t="s">
        <v>925</v>
      </c>
      <c r="C2614" s="10" t="s">
        <v>110</v>
      </c>
      <c r="D2614" s="16">
        <f>(D2617*Inputs!$D$19-D2617-D2618)/($D$2610-Inputs!$D$20)/(Inputs!$D$7+$D$2610)^M2584</f>
        <v>-33287.494112345899</v>
      </c>
      <c r="G2614" s="92" t="s">
        <v>926</v>
      </c>
      <c r="H2614" s="91"/>
      <c r="I2614" s="91"/>
      <c r="J2614" s="16">
        <f>SUM(D2606:M2606)-(D2617+D2618)/($D$2610-Inputs!$D$20)/(Inputs!$D$7+$D$2610)^M2584</f>
        <v>-145733.9249554922</v>
      </c>
      <c r="K2614" s="99" t="s">
        <v>110</v>
      </c>
      <c r="L2614" s="91"/>
      <c r="M2614" s="91"/>
    </row>
    <row r="2615" spans="2:13" ht="15" customHeight="1" x14ac:dyDescent="0.2">
      <c r="B2615" s="10" t="s">
        <v>927</v>
      </c>
      <c r="C2615" s="10" t="s">
        <v>928</v>
      </c>
      <c r="D2615" s="16">
        <f>(M2586*(Inputs!$D$7+Inputs!$D$20)*$D$2608*$D$2609-D2617)-MAX((M2586*(Inputs!$D$7+Inputs!$D$20)*$D$2608*$D$2609-D2617),Inputs!$D$6)*Inputs!$D$19-D2618-M2586*Inputs!$D$20*$D$2608*Inputs!$D$23</f>
        <v>15402.414586328363</v>
      </c>
      <c r="G2615" s="99" t="s">
        <v>929</v>
      </c>
      <c r="H2615" s="91"/>
      <c r="I2615" s="91"/>
      <c r="J2615" s="28">
        <f>(D2607-D2620)/D2619</f>
        <v>33.33666909887603</v>
      </c>
      <c r="K2615" s="99" t="s">
        <v>919</v>
      </c>
      <c r="L2615" s="91"/>
      <c r="M2615" s="91"/>
    </row>
    <row r="2616" spans="2:13" ht="15" customHeight="1" x14ac:dyDescent="0.2">
      <c r="B2616" s="10" t="s">
        <v>930</v>
      </c>
      <c r="C2616" s="10" t="s">
        <v>110</v>
      </c>
      <c r="D2616" s="16">
        <f>D2615/($D$2610-Inputs!$D$20)</f>
        <v>114091.9598987286</v>
      </c>
      <c r="G2616" s="99" t="s">
        <v>931</v>
      </c>
      <c r="H2616" s="91"/>
      <c r="I2616" s="91"/>
      <c r="J2616" s="16">
        <f>MIN(D2600:M2600,(M2586*(Inputs!$D$7+Inputs!$D$20)*$D$2608*$D$2609-D2617))</f>
        <v>1200.6946655816082</v>
      </c>
      <c r="K2616" s="99" t="s">
        <v>110</v>
      </c>
      <c r="L2616" s="91"/>
      <c r="M2616" s="91"/>
    </row>
    <row r="2617" spans="2:13" ht="15" customHeight="1" x14ac:dyDescent="0.2">
      <c r="B2617" s="10" t="s">
        <v>932</v>
      </c>
      <c r="C2617" s="10" t="s">
        <v>928</v>
      </c>
      <c r="D2617" s="16">
        <f>M2586*(Inputs!$D$7+Inputs!$D$20)*($D$2611/Inputs!$D$21+$D$2612/Inputs!$D$22)</f>
        <v>23727.267682485937</v>
      </c>
      <c r="G2617" s="99" t="s">
        <v>933</v>
      </c>
      <c r="H2617" s="91"/>
      <c r="I2617" s="91"/>
      <c r="J2617" s="31" t="str">
        <f>IF(J2616&lt;Inputs!$D$6,"breached","satisfied")</f>
        <v>satisfied</v>
      </c>
      <c r="K2617" s="99" t="s">
        <v>934</v>
      </c>
      <c r="L2617" s="91"/>
      <c r="M2617" s="91"/>
    </row>
    <row r="2618" spans="2:13" ht="15" customHeight="1" x14ac:dyDescent="0.2">
      <c r="B2618" s="10" t="s">
        <v>935</v>
      </c>
      <c r="C2618" s="10" t="s">
        <v>928</v>
      </c>
      <c r="D2618" s="16">
        <f>M2586*Inputs!$D$20*($D$2611+$D$2612)</f>
        <v>2398.6078797913146</v>
      </c>
    </row>
    <row r="2619" spans="2:13" ht="15" customHeight="1" x14ac:dyDescent="0.2">
      <c r="B2619" s="10" t="s">
        <v>936</v>
      </c>
      <c r="C2619" s="10" t="s">
        <v>896</v>
      </c>
      <c r="D2619" s="28">
        <f>SUM(D2596:M2596)+D2613</f>
        <v>4708.2790601495317</v>
      </c>
      <c r="G2619" s="99" t="s">
        <v>937</v>
      </c>
      <c r="H2619" s="91"/>
      <c r="I2619" s="91"/>
      <c r="J2619" s="16">
        <f>D2621-D2607</f>
        <v>0</v>
      </c>
      <c r="K2619" s="99" t="s">
        <v>110</v>
      </c>
      <c r="L2619" s="91"/>
      <c r="M2619" s="91"/>
    </row>
    <row r="2620" spans="2:13" ht="15" customHeight="1" x14ac:dyDescent="0.2">
      <c r="B2620" s="10" t="s">
        <v>938</v>
      </c>
      <c r="C2620" s="10" t="s">
        <v>110</v>
      </c>
      <c r="D2620" s="16">
        <f>SUM(D2597:M2597)+D2614</f>
        <v>-113112.51786953473</v>
      </c>
    </row>
    <row r="2621" spans="2:13" ht="15" customHeight="1" x14ac:dyDescent="0.2">
      <c r="B2621" s="10" t="s">
        <v>939</v>
      </c>
      <c r="C2621" s="10" t="s">
        <v>110</v>
      </c>
      <c r="D2621" s="16">
        <f>SUM(D2604:M2604)+D2616/(Inputs!$D$7+$D$2610)^M2584</f>
        <v>43845.823183837259</v>
      </c>
    </row>
    <row r="2622" spans="2:13" ht="15" customHeight="1" x14ac:dyDescent="0.2">
      <c r="B2622" s="10" t="s">
        <v>940</v>
      </c>
      <c r="C2622" s="10" t="s">
        <v>104</v>
      </c>
      <c r="D2622" s="30">
        <f>IF(ABS(D2607)&gt;Inputs!$D$6,D2621/D2607-Inputs!$D$7,Inputs!$D$6)</f>
        <v>6.6613381477509392E-16</v>
      </c>
    </row>
    <row r="2623" spans="2:13" ht="15" customHeight="1" x14ac:dyDescent="0.2">
      <c r="B2623" s="10" t="s">
        <v>941</v>
      </c>
      <c r="C2623" s="10" t="s">
        <v>104</v>
      </c>
      <c r="D2623" s="30">
        <f>IF(ABS(D2621)&gt;Inputs!$D$119,D2616/(Inputs!$D$7+$D$2610)^M2584/D2621,Inputs!$D$6)</f>
        <v>0.61519418691949079</v>
      </c>
    </row>
    <row r="2624" spans="2:13" ht="15" customHeight="1" x14ac:dyDescent="0.2">
      <c r="B2624" s="10" t="s">
        <v>942</v>
      </c>
      <c r="C2624" s="10" t="s">
        <v>943</v>
      </c>
      <c r="D2624" s="26">
        <f>$D$2608*Inputs!$D$8/Prices!$P$6/(Inputs!$D$26/Inputs!$D$25)/Inputs!$D$11/Inputs!$D$56</f>
        <v>6.0623745365075585</v>
      </c>
    </row>
    <row r="2628" spans="1:13" ht="15" customHeight="1" x14ac:dyDescent="0.2">
      <c r="A2628" s="104" t="s">
        <v>1000</v>
      </c>
      <c r="B2628" s="10" t="s">
        <v>886</v>
      </c>
      <c r="C2628" s="10" t="s">
        <v>107</v>
      </c>
      <c r="D2628" s="28">
        <f>Inputs!$D$60</f>
        <v>1</v>
      </c>
      <c r="E2628" s="28">
        <f>Inputs!$D$62</f>
        <v>2</v>
      </c>
      <c r="F2628" s="28">
        <f>Inputs!$D$64</f>
        <v>3</v>
      </c>
      <c r="G2628" s="28">
        <f>Inputs!$D$66</f>
        <v>4</v>
      </c>
      <c r="H2628" s="28">
        <f>Inputs!$D$68</f>
        <v>5</v>
      </c>
      <c r="I2628" s="28">
        <f>Inputs!$D$70</f>
        <v>6</v>
      </c>
      <c r="J2628" s="28">
        <f>Inputs!$D$72</f>
        <v>7</v>
      </c>
      <c r="K2628" s="28">
        <f>Inputs!$D$74</f>
        <v>8</v>
      </c>
      <c r="L2628" s="28">
        <f>Inputs!$D$76</f>
        <v>9</v>
      </c>
      <c r="M2628" s="28">
        <f>Inputs!$D$78</f>
        <v>10</v>
      </c>
    </row>
    <row r="2629" spans="1:13" ht="15" customHeight="1" x14ac:dyDescent="0.2">
      <c r="A2629" s="91"/>
      <c r="B2629" s="10" t="s">
        <v>887</v>
      </c>
      <c r="C2629" s="10" t="s">
        <v>161</v>
      </c>
      <c r="D2629" s="29">
        <f>Inputs!$D$61</f>
        <v>46568</v>
      </c>
      <c r="E2629" s="29">
        <f>Inputs!$D$63</f>
        <v>46934</v>
      </c>
      <c r="F2629" s="29">
        <f>Inputs!$D$65</f>
        <v>47299</v>
      </c>
      <c r="G2629" s="29">
        <f>Inputs!$D$67</f>
        <v>47664</v>
      </c>
      <c r="H2629" s="29">
        <f>Inputs!$D$69</f>
        <v>48029</v>
      </c>
      <c r="I2629" s="29">
        <f>Inputs!$D$71</f>
        <v>48395</v>
      </c>
      <c r="J2629" s="29">
        <f>Inputs!$D$73</f>
        <v>48760</v>
      </c>
      <c r="K2629" s="29">
        <f>Inputs!$D$75</f>
        <v>49125</v>
      </c>
      <c r="L2629" s="29">
        <f>Inputs!$D$77</f>
        <v>49490</v>
      </c>
      <c r="M2629" s="29">
        <f>Inputs!$D$79</f>
        <v>49856</v>
      </c>
    </row>
    <row r="2630" spans="1:13" ht="15" customHeight="1" x14ac:dyDescent="0.2">
      <c r="A2630" s="91"/>
      <c r="B2630" s="10" t="s">
        <v>888</v>
      </c>
      <c r="C2630" s="10" t="s">
        <v>107</v>
      </c>
      <c r="D2630" s="28">
        <f>(D2629-Inputs!$D$13)/Inputs!$D$10</f>
        <v>0.71457905544147848</v>
      </c>
      <c r="E2630" s="28">
        <f>(E2629-Inputs!$D$13)/Inputs!$D$10</f>
        <v>1.7166324435318274</v>
      </c>
      <c r="F2630" s="28">
        <f>(F2629-Inputs!$D$13)/Inputs!$D$10</f>
        <v>2.7159479808350446</v>
      </c>
      <c r="G2630" s="28">
        <f>(G2629-Inputs!$D$13)/Inputs!$D$10</f>
        <v>3.7152635181382614</v>
      </c>
      <c r="H2630" s="28">
        <f>(H2629-Inputs!$D$13)/Inputs!$D$10</f>
        <v>4.7145790554414786</v>
      </c>
      <c r="I2630" s="28">
        <f>(I2629-Inputs!$D$13)/Inputs!$D$10</f>
        <v>5.7166324435318279</v>
      </c>
      <c r="J2630" s="28">
        <f>(J2629-Inputs!$D$13)/Inputs!$D$10</f>
        <v>6.7159479808350442</v>
      </c>
      <c r="K2630" s="28">
        <f>(K2629-Inputs!$D$13)/Inputs!$D$10</f>
        <v>7.7152635181382614</v>
      </c>
      <c r="L2630" s="28">
        <f>(L2629-Inputs!$D$13)/Inputs!$D$10</f>
        <v>8.7145790554414777</v>
      </c>
      <c r="M2630" s="28">
        <f>(M2629-Inputs!$D$13)/Inputs!$D$10</f>
        <v>9.716632443531827</v>
      </c>
    </row>
    <row r="2631" spans="1:13" ht="15" customHeight="1" x14ac:dyDescent="0.2">
      <c r="A2631" s="91"/>
      <c r="B2631" s="10" t="s">
        <v>889</v>
      </c>
      <c r="C2631" s="10" t="s">
        <v>107</v>
      </c>
      <c r="D2631" s="28">
        <f>D2630</f>
        <v>0.71457905544147848</v>
      </c>
      <c r="E2631" s="28">
        <f>Inputs!$D$7</f>
        <v>1</v>
      </c>
      <c r="F2631" s="28">
        <f>Inputs!$D$7</f>
        <v>1</v>
      </c>
      <c r="G2631" s="28">
        <f>Inputs!$D$7</f>
        <v>1</v>
      </c>
      <c r="H2631" s="28">
        <f>Inputs!$D$7</f>
        <v>1</v>
      </c>
      <c r="I2631" s="28">
        <f>Inputs!$D$7</f>
        <v>1</v>
      </c>
      <c r="J2631" s="28">
        <f>Inputs!$D$7</f>
        <v>1</v>
      </c>
      <c r="K2631" s="28">
        <f>Inputs!$D$7</f>
        <v>1</v>
      </c>
      <c r="L2631" s="28">
        <f>Inputs!$D$7</f>
        <v>1</v>
      </c>
      <c r="M2631" s="28">
        <f>Inputs!$D$7</f>
        <v>1</v>
      </c>
    </row>
    <row r="2632" spans="1:13" ht="15" customHeight="1" x14ac:dyDescent="0.2">
      <c r="A2632" s="91"/>
      <c r="B2632" s="3" t="s">
        <v>890</v>
      </c>
      <c r="C2632" s="10" t="s">
        <v>199</v>
      </c>
      <c r="D2632" s="28">
        <f>Inputs!$D$24+(Inputs!$D$80-Inputs!$D$24)*Inputs!$D$83</f>
        <v>305.5</v>
      </c>
      <c r="E2632" s="28">
        <f>Inputs!$D$24+(Inputs!$D$80-Inputs!$D$24)*Inputs!$D$84</f>
        <v>651.5</v>
      </c>
      <c r="F2632" s="28">
        <f>Inputs!$D$24+(Inputs!$D$80-Inputs!$D$24)*Inputs!$D$85</f>
        <v>911</v>
      </c>
      <c r="G2632" s="28">
        <f>Inputs!$D$24+(Inputs!$D$80-Inputs!$D$24)*Inputs!$D$86</f>
        <v>911</v>
      </c>
      <c r="H2632" s="28">
        <f>Inputs!$D$24+(Inputs!$D$80-Inputs!$D$24)*Inputs!$D$87</f>
        <v>911</v>
      </c>
      <c r="I2632" s="28">
        <f>Inputs!$D$24+(Inputs!$D$80-Inputs!$D$24)*Inputs!$D$88</f>
        <v>911</v>
      </c>
      <c r="J2632" s="28">
        <f>Inputs!$D$24+(Inputs!$D$80-Inputs!$D$24)*Inputs!$D$89</f>
        <v>911</v>
      </c>
      <c r="K2632" s="28">
        <f>Inputs!$D$24+(Inputs!$D$80-Inputs!$D$24)*Inputs!$D$90</f>
        <v>911</v>
      </c>
      <c r="L2632" s="28">
        <f>Inputs!$D$24+(Inputs!$D$80-Inputs!$D$24)*Inputs!$D$91</f>
        <v>911</v>
      </c>
      <c r="M2632" s="28">
        <f>Inputs!$D$24+(Inputs!$D$80-Inputs!$D$24)*Inputs!$D$92</f>
        <v>911</v>
      </c>
    </row>
    <row r="2633" spans="1:13" ht="15" customHeight="1" x14ac:dyDescent="0.2">
      <c r="A2633" s="91"/>
      <c r="B2633" s="10" t="s">
        <v>891</v>
      </c>
      <c r="C2633" s="10" t="s">
        <v>199</v>
      </c>
      <c r="D2633" s="28">
        <f>Inputs!$D$24</f>
        <v>46</v>
      </c>
      <c r="E2633" s="28">
        <f t="shared" ref="E2633:M2633" si="570">D2632</f>
        <v>305.5</v>
      </c>
      <c r="F2633" s="28">
        <f t="shared" si="570"/>
        <v>651.5</v>
      </c>
      <c r="G2633" s="28">
        <f t="shared" si="570"/>
        <v>911</v>
      </c>
      <c r="H2633" s="28">
        <f t="shared" si="570"/>
        <v>911</v>
      </c>
      <c r="I2633" s="28">
        <f t="shared" si="570"/>
        <v>911</v>
      </c>
      <c r="J2633" s="28">
        <f t="shared" si="570"/>
        <v>911</v>
      </c>
      <c r="K2633" s="28">
        <f t="shared" si="570"/>
        <v>911</v>
      </c>
      <c r="L2633" s="28">
        <f t="shared" si="570"/>
        <v>911</v>
      </c>
      <c r="M2633" s="28">
        <f t="shared" si="570"/>
        <v>911</v>
      </c>
    </row>
    <row r="2634" spans="1:13" ht="15" customHeight="1" x14ac:dyDescent="0.2">
      <c r="B2634" s="10" t="s">
        <v>892</v>
      </c>
      <c r="C2634" s="10" t="s">
        <v>199</v>
      </c>
      <c r="D2634" s="28">
        <f>(D2633+D2632)*Inputs!$D$12</f>
        <v>175.75</v>
      </c>
      <c r="E2634" s="28">
        <f>(E2633+E2632)*Inputs!$D$12</f>
        <v>478.5</v>
      </c>
      <c r="F2634" s="28">
        <f>(F2633+F2632)*Inputs!$D$12</f>
        <v>781.25</v>
      </c>
      <c r="G2634" s="28">
        <f>(G2633+G2632)*Inputs!$D$12</f>
        <v>911</v>
      </c>
      <c r="H2634" s="28">
        <f>(H2633+H2632)*Inputs!$D$12</f>
        <v>911</v>
      </c>
      <c r="I2634" s="28">
        <f>(I2633+I2632)*Inputs!$D$12</f>
        <v>911</v>
      </c>
      <c r="J2634" s="28">
        <f>(J2633+J2632)*Inputs!$D$12</f>
        <v>911</v>
      </c>
      <c r="K2634" s="28">
        <f>(K2633+K2632)*Inputs!$D$12</f>
        <v>911</v>
      </c>
      <c r="L2634" s="28">
        <f>(L2633+L2632)*Inputs!$D$12</f>
        <v>911</v>
      </c>
      <c r="M2634" s="28">
        <f>(M2633+M2632)*Inputs!$D$12</f>
        <v>911</v>
      </c>
    </row>
    <row r="2635" spans="1:13" ht="15" customHeight="1" x14ac:dyDescent="0.2">
      <c r="B2635" s="10" t="s">
        <v>893</v>
      </c>
      <c r="C2635" s="10" t="s">
        <v>199</v>
      </c>
      <c r="D2635" s="28">
        <f t="shared" ref="D2635:M2635" si="571">D2632-D2633</f>
        <v>259.5</v>
      </c>
      <c r="E2635" s="28">
        <f t="shared" si="571"/>
        <v>346</v>
      </c>
      <c r="F2635" s="28">
        <f t="shared" si="571"/>
        <v>259.5</v>
      </c>
      <c r="G2635" s="28">
        <f t="shared" si="571"/>
        <v>0</v>
      </c>
      <c r="H2635" s="28">
        <f t="shared" si="571"/>
        <v>0</v>
      </c>
      <c r="I2635" s="28">
        <f t="shared" si="571"/>
        <v>0</v>
      </c>
      <c r="J2635" s="28">
        <f t="shared" si="571"/>
        <v>0</v>
      </c>
      <c r="K2635" s="28">
        <f t="shared" si="571"/>
        <v>0</v>
      </c>
      <c r="L2635" s="28">
        <f t="shared" si="571"/>
        <v>0</v>
      </c>
      <c r="M2635" s="28">
        <f t="shared" si="571"/>
        <v>0</v>
      </c>
    </row>
    <row r="2636" spans="1:13" ht="15" customHeight="1" x14ac:dyDescent="0.2">
      <c r="B2636" s="10" t="s">
        <v>894</v>
      </c>
      <c r="C2636" s="10" t="s">
        <v>199</v>
      </c>
      <c r="D2636" s="28">
        <f>IF(MOD(D2628,Inputs!$D$21)=Inputs!$D$6,Inputs!$D$24,Inputs!$D$6)+SUMPRODUCT(--(D2628&gt;$D$2628:$M$2628),--(MOD(D2628-$D$2628:$M$2628,Inputs!$D$21)=Inputs!$D$6),$D$2635:$M$2635)</f>
        <v>0</v>
      </c>
      <c r="E2636" s="28">
        <f>IF(MOD(E2628,Inputs!$D$21)=Inputs!$D$6,Inputs!$D$24,Inputs!$D$6)+SUMPRODUCT(--(E2628&gt;$D$2628:$M$2628),--(MOD(E2628-$D$2628:$M$2628,Inputs!$D$21)=Inputs!$D$6),$D$2635:$M$2635)</f>
        <v>0</v>
      </c>
      <c r="F2636" s="28">
        <f>IF(MOD(F2628,Inputs!$D$21)=Inputs!$D$6,Inputs!$D$24,Inputs!$D$6)+SUMPRODUCT(--(F2628&gt;$D$2628:$M$2628),--(MOD(F2628-$D$2628:$M$2628,Inputs!$D$21)=Inputs!$D$6),$D$2635:$M$2635)</f>
        <v>0</v>
      </c>
      <c r="G2636" s="28">
        <f>IF(MOD(G2628,Inputs!$D$21)=Inputs!$D$6,Inputs!$D$24,Inputs!$D$6)+SUMPRODUCT(--(G2628&gt;$D$2628:$M$2628),--(MOD(G2628-$D$2628:$M$2628,Inputs!$D$21)=Inputs!$D$6),$D$2635:$M$2635)</f>
        <v>46</v>
      </c>
      <c r="H2636" s="28">
        <f>IF(MOD(H2628,Inputs!$D$21)=Inputs!$D$6,Inputs!$D$24,Inputs!$D$6)+SUMPRODUCT(--(H2628&gt;$D$2628:$M$2628),--(MOD(H2628-$D$2628:$M$2628,Inputs!$D$21)=Inputs!$D$6),$D$2635:$M$2635)</f>
        <v>259.5</v>
      </c>
      <c r="I2636" s="28">
        <f>IF(MOD(I2628,Inputs!$D$21)=Inputs!$D$6,Inputs!$D$24,Inputs!$D$6)+SUMPRODUCT(--(I2628&gt;$D$2628:$M$2628),--(MOD(I2628-$D$2628:$M$2628,Inputs!$D$21)=Inputs!$D$6),$D$2635:$M$2635)</f>
        <v>346</v>
      </c>
      <c r="J2636" s="28">
        <f>IF(MOD(J2628,Inputs!$D$21)=Inputs!$D$6,Inputs!$D$24,Inputs!$D$6)+SUMPRODUCT(--(J2628&gt;$D$2628:$M$2628),--(MOD(J2628-$D$2628:$M$2628,Inputs!$D$21)=Inputs!$D$6),$D$2635:$M$2635)</f>
        <v>259.5</v>
      </c>
      <c r="K2636" s="28">
        <f>IF(MOD(K2628,Inputs!$D$21)=Inputs!$D$6,Inputs!$D$24,Inputs!$D$6)+SUMPRODUCT(--(K2628&gt;$D$2628:$M$2628),--(MOD(K2628-$D$2628:$M$2628,Inputs!$D$21)=Inputs!$D$6),$D$2635:$M$2635)</f>
        <v>46</v>
      </c>
      <c r="L2636" s="28">
        <f>IF(MOD(L2628,Inputs!$D$21)=Inputs!$D$6,Inputs!$D$24,Inputs!$D$6)+SUMPRODUCT(--(L2628&gt;$D$2628:$M$2628),--(MOD(L2628-$D$2628:$M$2628,Inputs!$D$21)=Inputs!$D$6),$D$2635:$M$2635)</f>
        <v>259.5</v>
      </c>
      <c r="M2636" s="28">
        <f>IF(MOD(M2628,Inputs!$D$21)=Inputs!$D$6,Inputs!$D$24,Inputs!$D$6)+SUMPRODUCT(--(M2628&gt;$D$2628:$M$2628),--(MOD(M2628-$D$2628:$M$2628,Inputs!$D$21)=Inputs!$D$6),$D$2635:$M$2635)</f>
        <v>346</v>
      </c>
    </row>
    <row r="2637" spans="1:13" ht="15" customHeight="1" x14ac:dyDescent="0.2">
      <c r="B2637" s="10" t="s">
        <v>895</v>
      </c>
      <c r="C2637" s="10" t="s">
        <v>896</v>
      </c>
      <c r="D2637" s="28">
        <f t="shared" ref="D2637:M2637" si="572">D2634*D2631</f>
        <v>125.58726899383984</v>
      </c>
      <c r="E2637" s="28">
        <f t="shared" si="572"/>
        <v>478.5</v>
      </c>
      <c r="F2637" s="28">
        <f t="shared" si="572"/>
        <v>781.25</v>
      </c>
      <c r="G2637" s="28">
        <f t="shared" si="572"/>
        <v>911</v>
      </c>
      <c r="H2637" s="28">
        <f t="shared" si="572"/>
        <v>911</v>
      </c>
      <c r="I2637" s="28">
        <f t="shared" si="572"/>
        <v>911</v>
      </c>
      <c r="J2637" s="28">
        <f t="shared" si="572"/>
        <v>911</v>
      </c>
      <c r="K2637" s="28">
        <f t="shared" si="572"/>
        <v>911</v>
      </c>
      <c r="L2637" s="28">
        <f t="shared" si="572"/>
        <v>911</v>
      </c>
      <c r="M2637" s="28">
        <f t="shared" si="572"/>
        <v>911</v>
      </c>
    </row>
    <row r="2638" spans="1:13" ht="15" customHeight="1" x14ac:dyDescent="0.2">
      <c r="B2638" s="10" t="s">
        <v>897</v>
      </c>
      <c r="C2638" s="10" t="s">
        <v>110</v>
      </c>
      <c r="D2638" s="16">
        <f>D2637*($D$2657/Inputs!$D$21+$D$2658/Inputs!$D$22)</f>
        <v>1816.9772859324419</v>
      </c>
      <c r="E2638" s="16">
        <f>E2637*($D$2657/Inputs!$D$21+$D$2658/Inputs!$D$22)</f>
        <v>6922.8643817497086</v>
      </c>
      <c r="F2638" s="16">
        <f>F2637*($D$2657/Inputs!$D$21+$D$2658/Inputs!$D$22)</f>
        <v>11303.0048030135</v>
      </c>
      <c r="G2638" s="16">
        <f>G2637*($D$2657/Inputs!$D$21+$D$2658/Inputs!$D$22)</f>
        <v>13180.207840697982</v>
      </c>
      <c r="H2638" s="16">
        <f>H2637*($D$2657/Inputs!$D$21+$D$2658/Inputs!$D$22)</f>
        <v>13180.207840697982</v>
      </c>
      <c r="I2638" s="16">
        <f>I2637*($D$2657/Inputs!$D$21+$D$2658/Inputs!$D$22)</f>
        <v>13180.207840697982</v>
      </c>
      <c r="J2638" s="16">
        <f>J2637*($D$2657/Inputs!$D$21+$D$2658/Inputs!$D$22)</f>
        <v>13180.207840697982</v>
      </c>
      <c r="K2638" s="16">
        <f>K2637*($D$2657/Inputs!$D$21+$D$2658/Inputs!$D$22)</f>
        <v>13180.207840697982</v>
      </c>
      <c r="L2638" s="16">
        <f>L2637*($D$2657/Inputs!$D$21+$D$2658/Inputs!$D$22)</f>
        <v>13180.207840697982</v>
      </c>
      <c r="M2638" s="16">
        <f>M2637*($D$2657/Inputs!$D$21+$D$2658/Inputs!$D$22)</f>
        <v>13180.207840697982</v>
      </c>
    </row>
    <row r="2639" spans="1:13" ht="15" customHeight="1" x14ac:dyDescent="0.2">
      <c r="B2639" s="10" t="s">
        <v>898</v>
      </c>
      <c r="C2639" s="10" t="s">
        <v>110</v>
      </c>
      <c r="D2639" s="16">
        <f t="shared" ref="D2639:M2639" si="573">D2635*($D$2657+$D$2658)</f>
        <v>15560.968620146154</v>
      </c>
      <c r="E2639" s="16">
        <f t="shared" si="573"/>
        <v>20747.95816019487</v>
      </c>
      <c r="F2639" s="16">
        <f t="shared" si="573"/>
        <v>15560.968620146154</v>
      </c>
      <c r="G2639" s="16">
        <f t="shared" si="573"/>
        <v>0</v>
      </c>
      <c r="H2639" s="16">
        <f t="shared" si="573"/>
        <v>0</v>
      </c>
      <c r="I2639" s="16">
        <f t="shared" si="573"/>
        <v>0</v>
      </c>
      <c r="J2639" s="16">
        <f t="shared" si="573"/>
        <v>0</v>
      </c>
      <c r="K2639" s="16">
        <f t="shared" si="573"/>
        <v>0</v>
      </c>
      <c r="L2639" s="16">
        <f t="shared" si="573"/>
        <v>0</v>
      </c>
      <c r="M2639" s="16">
        <f t="shared" si="573"/>
        <v>0</v>
      </c>
    </row>
    <row r="2640" spans="1:13" ht="15" customHeight="1" x14ac:dyDescent="0.2">
      <c r="B2640" s="10" t="s">
        <v>899</v>
      </c>
      <c r="C2640" s="10" t="s">
        <v>110</v>
      </c>
      <c r="D2640" s="16">
        <f t="shared" ref="D2640:M2640" si="574">D2636*$D$2657</f>
        <v>0</v>
      </c>
      <c r="E2640" s="16">
        <f t="shared" si="574"/>
        <v>0</v>
      </c>
      <c r="F2640" s="16">
        <f t="shared" si="574"/>
        <v>0</v>
      </c>
      <c r="G2640" s="16">
        <f t="shared" si="574"/>
        <v>2638.0048485671714</v>
      </c>
      <c r="H2640" s="16">
        <f t="shared" si="574"/>
        <v>14881.788221808281</v>
      </c>
      <c r="I2640" s="16">
        <f t="shared" si="574"/>
        <v>19842.384295744378</v>
      </c>
      <c r="J2640" s="16">
        <f t="shared" si="574"/>
        <v>14881.788221808281</v>
      </c>
      <c r="K2640" s="16">
        <f t="shared" si="574"/>
        <v>2638.0048485671714</v>
      </c>
      <c r="L2640" s="16">
        <f t="shared" si="574"/>
        <v>14881.788221808281</v>
      </c>
      <c r="M2640" s="16">
        <f t="shared" si="574"/>
        <v>19842.384295744378</v>
      </c>
    </row>
    <row r="2641" spans="2:13" ht="15" customHeight="1" x14ac:dyDescent="0.2">
      <c r="B2641" s="10" t="s">
        <v>900</v>
      </c>
      <c r="C2641" s="10" t="s">
        <v>199</v>
      </c>
      <c r="D2641" s="28">
        <f>D2635*Inputs!$D$23</f>
        <v>6.4875000000000007</v>
      </c>
      <c r="E2641" s="28">
        <f>E2635*Inputs!$D$23</f>
        <v>8.65</v>
      </c>
      <c r="F2641" s="28">
        <f>F2635*Inputs!$D$23</f>
        <v>6.4875000000000007</v>
      </c>
      <c r="G2641" s="28">
        <f>G2635*Inputs!$D$23</f>
        <v>0</v>
      </c>
      <c r="H2641" s="28">
        <f>H2635*Inputs!$D$23</f>
        <v>0</v>
      </c>
      <c r="I2641" s="28">
        <f>I2635*Inputs!$D$23</f>
        <v>0</v>
      </c>
      <c r="J2641" s="28">
        <f>J2635*Inputs!$D$23</f>
        <v>0</v>
      </c>
      <c r="K2641" s="28">
        <f>K2635*Inputs!$D$23</f>
        <v>0</v>
      </c>
      <c r="L2641" s="28">
        <f>L2635*Inputs!$D$23</f>
        <v>0</v>
      </c>
      <c r="M2641" s="28">
        <f>M2635*Inputs!$D$23</f>
        <v>0</v>
      </c>
    </row>
    <row r="2642" spans="2:13" ht="15" customHeight="1" x14ac:dyDescent="0.2">
      <c r="B2642" s="3" t="s">
        <v>901</v>
      </c>
      <c r="C2642" s="10" t="s">
        <v>896</v>
      </c>
      <c r="D2642" s="28">
        <f>(D2637*$D$2655*(Inputs!$D$7-Inputs!$D$19)-D2641)/(Inputs!$D$7+$D$2656)^D2630</f>
        <v>43.213488846686175</v>
      </c>
      <c r="E2642" s="28">
        <f>(E2637*$D$2655*(Inputs!$D$7-Inputs!$D$19)-E2641)/(Inputs!$D$7+$D$2656)^E2630</f>
        <v>163.29332190458183</v>
      </c>
      <c r="F2642" s="28">
        <f>(F2637*$D$2655*(Inputs!$D$7-Inputs!$D$19)-F2641)/(Inputs!$D$7+$D$2656)^F2630</f>
        <v>248.28260771010829</v>
      </c>
      <c r="G2642" s="28">
        <f>(G2637*$D$2655*(Inputs!$D$7-Inputs!$D$19)-G2641)/(Inputs!$D$7+$D$2656)^G2630</f>
        <v>268.5238926419492</v>
      </c>
      <c r="H2642" s="28">
        <f>(H2637*$D$2655*(Inputs!$D$7-Inputs!$D$19)-H2641)/(Inputs!$D$7+$D$2656)^H2630</f>
        <v>244.12855518959191</v>
      </c>
      <c r="I2642" s="28">
        <f>(I2637*$D$2655*(Inputs!$D$7-Inputs!$D$19)-I2641)/(Inputs!$D$7+$D$2656)^I2630</f>
        <v>221.8916197826434</v>
      </c>
      <c r="J2642" s="28">
        <f>(J2637*$D$2655*(Inputs!$D$7-Inputs!$D$19)-J2641)/(Inputs!$D$7+$D$2656)^J2630</f>
        <v>201.73281421346593</v>
      </c>
      <c r="K2642" s="28">
        <f>(K2637*$D$2655*(Inputs!$D$7-Inputs!$D$19)-K2641)/(Inputs!$D$7+$D$2656)^K2630</f>
        <v>183.40543176145695</v>
      </c>
      <c r="L2642" s="28">
        <f>(L2637*$D$2655*(Inputs!$D$7-Inputs!$D$19)-L2641)/(Inputs!$D$7+$D$2656)^L2630</f>
        <v>166.74308803332551</v>
      </c>
      <c r="M2642" s="28">
        <f>(M2637*$D$2655*(Inputs!$D$7-Inputs!$D$19)-M2641)/(Inputs!$D$7+$D$2656)^M2630</f>
        <v>151.55496194429571</v>
      </c>
    </row>
    <row r="2643" spans="2:13" ht="15" customHeight="1" x14ac:dyDescent="0.2">
      <c r="B2643" s="10" t="s">
        <v>902</v>
      </c>
      <c r="C2643" s="10" t="s">
        <v>110</v>
      </c>
      <c r="D2643" s="16">
        <f>(D2638*Inputs!$D$19-D2639-D2640)/(Inputs!$D$7+$D$2656)^D2630</f>
        <v>-14027.24269342025</v>
      </c>
      <c r="E2643" s="16">
        <f>(E2638*Inputs!$D$19-E2639-E2640)/(Inputs!$D$7+$D$2656)^E2630</f>
        <v>-15853.087323826181</v>
      </c>
      <c r="F2643" s="16">
        <f>(F2638*Inputs!$D$19-F2639-F2640)/(Inputs!$D$7+$D$2656)^F2630</f>
        <v>-9394.4767487293357</v>
      </c>
      <c r="G2643" s="16">
        <f>(G2638*Inputs!$D$19-G2639-G2640)/(Inputs!$D$7+$D$2656)^G2630</f>
        <v>923.61320322684639</v>
      </c>
      <c r="H2643" s="16">
        <f>(H2638*Inputs!$D$19-H2639-H2640)/(Inputs!$D$7+$D$2656)^H2630</f>
        <v>-6972.3744918015345</v>
      </c>
      <c r="I2643" s="16">
        <f>(I2638*Inputs!$D$19-I2639-I2640)/(Inputs!$D$7+$D$2656)^I2630</f>
        <v>-9214.0648467907959</v>
      </c>
      <c r="J2643" s="16">
        <f>(J2638*Inputs!$D$19-J2639-J2640)/(Inputs!$D$7+$D$2656)^J2630</f>
        <v>-5761.5411965591911</v>
      </c>
      <c r="K2643" s="16">
        <f>(K2638*Inputs!$D$19-K2639-K2640)/(Inputs!$D$7+$D$2656)^K2630</f>
        <v>630.8402453567694</v>
      </c>
      <c r="L2643" s="16">
        <f>(L2638*Inputs!$D$19-L2639-L2640)/(Inputs!$D$7+$D$2656)^L2630</f>
        <v>-4762.2255937446444</v>
      </c>
      <c r="M2643" s="16">
        <f>(M2638*Inputs!$D$19-M2639-M2640)/(Inputs!$D$7+$D$2656)^M2630</f>
        <v>-6293.3302689644106</v>
      </c>
    </row>
    <row r="2644" spans="2:13" ht="15" customHeight="1" x14ac:dyDescent="0.2">
      <c r="B2644" s="10" t="s">
        <v>903</v>
      </c>
      <c r="C2644" s="10" t="s">
        <v>110</v>
      </c>
      <c r="D2644" s="16">
        <f t="shared" ref="D2644:M2644" si="575">D2637*$D$2654</f>
        <v>5899.0415730483455</v>
      </c>
      <c r="E2644" s="16">
        <f t="shared" si="575"/>
        <v>22475.935780099564</v>
      </c>
      <c r="F2644" s="16">
        <f t="shared" si="575"/>
        <v>36696.603611709055</v>
      </c>
      <c r="G2644" s="16">
        <f t="shared" si="575"/>
        <v>42791.175539541699</v>
      </c>
      <c r="H2644" s="16">
        <f t="shared" si="575"/>
        <v>42791.175539541699</v>
      </c>
      <c r="I2644" s="16">
        <f t="shared" si="575"/>
        <v>42791.175539541699</v>
      </c>
      <c r="J2644" s="16">
        <f t="shared" si="575"/>
        <v>42791.175539541699</v>
      </c>
      <c r="K2644" s="16">
        <f t="shared" si="575"/>
        <v>42791.175539541699</v>
      </c>
      <c r="L2644" s="16">
        <f t="shared" si="575"/>
        <v>42791.175539541699</v>
      </c>
      <c r="M2644" s="16">
        <f t="shared" si="575"/>
        <v>42791.175539541699</v>
      </c>
    </row>
    <row r="2645" spans="2:13" ht="15" customHeight="1" x14ac:dyDescent="0.2">
      <c r="B2645" s="10" t="s">
        <v>904</v>
      </c>
      <c r="C2645" s="10" t="s">
        <v>110</v>
      </c>
      <c r="D2645" s="16">
        <f t="shared" ref="D2645:M2645" si="576">D2644*$D$2655</f>
        <v>3539.4249438290071</v>
      </c>
      <c r="E2645" s="16">
        <f t="shared" si="576"/>
        <v>13485.561468059737</v>
      </c>
      <c r="F2645" s="16">
        <f t="shared" si="576"/>
        <v>22017.962167025431</v>
      </c>
      <c r="G2645" s="16">
        <f t="shared" si="576"/>
        <v>25674.705323725018</v>
      </c>
      <c r="H2645" s="16">
        <f t="shared" si="576"/>
        <v>25674.705323725018</v>
      </c>
      <c r="I2645" s="16">
        <f t="shared" si="576"/>
        <v>25674.705323725018</v>
      </c>
      <c r="J2645" s="16">
        <f t="shared" si="576"/>
        <v>25674.705323725018</v>
      </c>
      <c r="K2645" s="16">
        <f t="shared" si="576"/>
        <v>25674.705323725018</v>
      </c>
      <c r="L2645" s="16">
        <f t="shared" si="576"/>
        <v>25674.705323725018</v>
      </c>
      <c r="M2645" s="16">
        <f t="shared" si="576"/>
        <v>25674.705323725018</v>
      </c>
    </row>
    <row r="2646" spans="2:13" ht="15" customHeight="1" x14ac:dyDescent="0.2">
      <c r="B2646" s="10" t="s">
        <v>905</v>
      </c>
      <c r="C2646" s="10" t="s">
        <v>110</v>
      </c>
      <c r="D2646" s="16">
        <f t="shared" ref="D2646:M2646" si="577">D2645-D2638</f>
        <v>1722.4476578965653</v>
      </c>
      <c r="E2646" s="16">
        <f t="shared" si="577"/>
        <v>6562.6970863100287</v>
      </c>
      <c r="F2646" s="16">
        <f t="shared" si="577"/>
        <v>10714.957364011931</v>
      </c>
      <c r="G2646" s="16">
        <f t="shared" si="577"/>
        <v>12494.497483027037</v>
      </c>
      <c r="H2646" s="16">
        <f t="shared" si="577"/>
        <v>12494.497483027037</v>
      </c>
      <c r="I2646" s="16">
        <f t="shared" si="577"/>
        <v>12494.497483027037</v>
      </c>
      <c r="J2646" s="16">
        <f t="shared" si="577"/>
        <v>12494.497483027037</v>
      </c>
      <c r="K2646" s="16">
        <f t="shared" si="577"/>
        <v>12494.497483027037</v>
      </c>
      <c r="L2646" s="16">
        <f t="shared" si="577"/>
        <v>12494.497483027037</v>
      </c>
      <c r="M2646" s="16">
        <f t="shared" si="577"/>
        <v>12494.497483027037</v>
      </c>
    </row>
    <row r="2647" spans="2:13" ht="15" customHeight="1" x14ac:dyDescent="0.2">
      <c r="B2647" s="10" t="s">
        <v>906</v>
      </c>
      <c r="C2647" s="10" t="s">
        <v>110</v>
      </c>
      <c r="D2647" s="16">
        <f>MAX(D2646,Inputs!$D$6)*Inputs!$D$19</f>
        <v>516.73429736896958</v>
      </c>
      <c r="E2647" s="16">
        <f>MAX(E2646,Inputs!$D$6)*Inputs!$D$19</f>
        <v>1968.8091258930085</v>
      </c>
      <c r="F2647" s="16">
        <f>MAX(F2646,Inputs!$D$6)*Inputs!$D$19</f>
        <v>3214.4872092035789</v>
      </c>
      <c r="G2647" s="16">
        <f>MAX(G2646,Inputs!$D$6)*Inputs!$D$19</f>
        <v>3748.3492449081109</v>
      </c>
      <c r="H2647" s="16">
        <f>MAX(H2646,Inputs!$D$6)*Inputs!$D$19</f>
        <v>3748.3492449081109</v>
      </c>
      <c r="I2647" s="16">
        <f>MAX(I2646,Inputs!$D$6)*Inputs!$D$19</f>
        <v>3748.3492449081109</v>
      </c>
      <c r="J2647" s="16">
        <f>MAX(J2646,Inputs!$D$6)*Inputs!$D$19</f>
        <v>3748.3492449081109</v>
      </c>
      <c r="K2647" s="16">
        <f>MAX(K2646,Inputs!$D$6)*Inputs!$D$19</f>
        <v>3748.3492449081109</v>
      </c>
      <c r="L2647" s="16">
        <f>MAX(L2646,Inputs!$D$6)*Inputs!$D$19</f>
        <v>3748.3492449081109</v>
      </c>
      <c r="M2647" s="16">
        <f>MAX(M2646,Inputs!$D$6)*Inputs!$D$19</f>
        <v>3748.3492449081109</v>
      </c>
    </row>
    <row r="2648" spans="2:13" ht="15" customHeight="1" x14ac:dyDescent="0.2">
      <c r="B2648" s="10" t="s">
        <v>907</v>
      </c>
      <c r="C2648" s="10" t="s">
        <v>110</v>
      </c>
      <c r="D2648" s="16">
        <f t="shared" ref="D2648:M2648" si="578">D2641*$D$2654</f>
        <v>304.72859639163204</v>
      </c>
      <c r="E2648" s="16">
        <f t="shared" si="578"/>
        <v>406.30479518884266</v>
      </c>
      <c r="F2648" s="16">
        <f t="shared" si="578"/>
        <v>304.72859639163204</v>
      </c>
      <c r="G2648" s="16">
        <f t="shared" si="578"/>
        <v>0</v>
      </c>
      <c r="H2648" s="16">
        <f t="shared" si="578"/>
        <v>0</v>
      </c>
      <c r="I2648" s="16">
        <f t="shared" si="578"/>
        <v>0</v>
      </c>
      <c r="J2648" s="16">
        <f t="shared" si="578"/>
        <v>0</v>
      </c>
      <c r="K2648" s="16">
        <f t="shared" si="578"/>
        <v>0</v>
      </c>
      <c r="L2648" s="16">
        <f t="shared" si="578"/>
        <v>0</v>
      </c>
      <c r="M2648" s="16">
        <f t="shared" si="578"/>
        <v>0</v>
      </c>
    </row>
    <row r="2649" spans="2:13" ht="15" customHeight="1" x14ac:dyDescent="0.2">
      <c r="B2649" s="10" t="s">
        <v>908</v>
      </c>
      <c r="C2649" s="10" t="s">
        <v>110</v>
      </c>
      <c r="D2649" s="16">
        <f t="shared" ref="D2649:M2649" si="579">D2645-D2647-D2639-D2640-D2648</f>
        <v>-12843.006570077749</v>
      </c>
      <c r="E2649" s="16">
        <f t="shared" si="579"/>
        <v>-9637.510613216984</v>
      </c>
      <c r="F2649" s="16">
        <f t="shared" si="579"/>
        <v>2937.7777412840651</v>
      </c>
      <c r="G2649" s="16">
        <f t="shared" si="579"/>
        <v>19288.351230249737</v>
      </c>
      <c r="H2649" s="16">
        <f t="shared" si="579"/>
        <v>7044.5678570086275</v>
      </c>
      <c r="I2649" s="16">
        <f t="shared" si="579"/>
        <v>2083.9717830725313</v>
      </c>
      <c r="J2649" s="16">
        <f t="shared" si="579"/>
        <v>7044.5678570086275</v>
      </c>
      <c r="K2649" s="16">
        <f t="shared" si="579"/>
        <v>19288.351230249737</v>
      </c>
      <c r="L2649" s="16">
        <f t="shared" si="579"/>
        <v>7044.5678570086275</v>
      </c>
      <c r="M2649" s="16">
        <f t="shared" si="579"/>
        <v>2083.9717830725313</v>
      </c>
    </row>
    <row r="2650" spans="2:13" ht="15" customHeight="1" x14ac:dyDescent="0.2">
      <c r="B2650" s="10" t="s">
        <v>909</v>
      </c>
      <c r="C2650" s="10" t="s">
        <v>110</v>
      </c>
      <c r="D2650" s="16">
        <f>D2649/(Inputs!$D$7+$D$2656)^D2630</f>
        <v>-11997.433706686359</v>
      </c>
      <c r="E2650" s="16">
        <f>E2649/(Inputs!$D$7+$D$2656)^E2630</f>
        <v>-8182.9301316704723</v>
      </c>
      <c r="F2650" s="16">
        <f>F2649/(Inputs!$D$7+$D$2656)^F2630</f>
        <v>2267.7676529593705</v>
      </c>
      <c r="G2650" s="16">
        <f>G2649/(Inputs!$D$7+$D$2656)^G2630</f>
        <v>13536.6242093769</v>
      </c>
      <c r="H2650" s="16">
        <f>H2649/(Inputs!$D$7+$D$2656)^H2630</f>
        <v>4494.7471979158327</v>
      </c>
      <c r="I2650" s="16">
        <f>I2649/(Inputs!$D$7+$D$2656)^I2630</f>
        <v>1208.5512375915725</v>
      </c>
      <c r="J2650" s="16">
        <f>J2649/(Inputs!$D$7+$D$2656)^J2630</f>
        <v>3714.1824753334254</v>
      </c>
      <c r="K2650" s="16">
        <f>K2649/(Inputs!$D$7+$D$2656)^K2630</f>
        <v>9245.6964752249824</v>
      </c>
      <c r="L2650" s="16">
        <f>L2649/(Inputs!$D$7+$D$2656)^L2630</f>
        <v>3069.9728146409616</v>
      </c>
      <c r="M2650" s="16">
        <f>M2649/(Inputs!$D$7+$D$2656)^M2630</f>
        <v>825.45675677315239</v>
      </c>
    </row>
    <row r="2651" spans="2:13" ht="15" customHeight="1" x14ac:dyDescent="0.2">
      <c r="B2651" s="3" t="s">
        <v>910</v>
      </c>
      <c r="C2651" s="10" t="s">
        <v>896</v>
      </c>
      <c r="D2651" s="28">
        <f>(D2637*$D$2655-D2641)/(Inputs!$D$7+$D$2656)^D2630</f>
        <v>64.330856237917445</v>
      </c>
      <c r="E2651" s="28">
        <f>(E2637*$D$2655-E2641)/(Inputs!$D$7+$D$2656)^E2630</f>
        <v>236.42380139523098</v>
      </c>
      <c r="F2651" s="28">
        <f>(F2637*$D$2655-F2641)/(Inputs!$D$7+$D$2656)^F2630</f>
        <v>356.83568908039001</v>
      </c>
      <c r="G2651" s="28">
        <f>(G2637*$D$2655-G2641)/(Inputs!$D$7+$D$2656)^G2630</f>
        <v>383.60556091707036</v>
      </c>
      <c r="H2651" s="28">
        <f>(H2637*$D$2655-H2641)/(Inputs!$D$7+$D$2656)^H2630</f>
        <v>348.75507884227414</v>
      </c>
      <c r="I2651" s="28">
        <f>(I2637*$D$2655-I2641)/(Inputs!$D$7+$D$2656)^I2630</f>
        <v>316.98802826091918</v>
      </c>
      <c r="J2651" s="28">
        <f>(J2637*$D$2655-J2641)/(Inputs!$D$7+$D$2656)^J2630</f>
        <v>288.18973459066564</v>
      </c>
      <c r="K2651" s="28">
        <f>(K2637*$D$2655-K2641)/(Inputs!$D$7+$D$2656)^K2630</f>
        <v>262.00775965922423</v>
      </c>
      <c r="L2651" s="28">
        <f>(L2637*$D$2655-L2641)/(Inputs!$D$7+$D$2656)^L2630</f>
        <v>238.2044114761793</v>
      </c>
      <c r="M2651" s="28">
        <f>(M2637*$D$2655-M2641)/(Inputs!$D$7+$D$2656)^M2630</f>
        <v>216.50708849185102</v>
      </c>
    </row>
    <row r="2652" spans="2:13" ht="15" customHeight="1" x14ac:dyDescent="0.2">
      <c r="B2652" s="10" t="s">
        <v>911</v>
      </c>
      <c r="C2652" s="10" t="s">
        <v>110</v>
      </c>
      <c r="D2652" s="16">
        <f>(-D2639-D2640)/(Inputs!$D$7+$D$2656)^D2630</f>
        <v>-14536.447397527105</v>
      </c>
      <c r="E2652" s="16">
        <f>(-E2639-E2640)/(Inputs!$D$7+$D$2656)^E2630</f>
        <v>-17616.488200475756</v>
      </c>
      <c r="F2652" s="16">
        <f>(-F2639-F2640)/(Inputs!$D$7+$D$2656)^F2630</f>
        <v>-12012.025548964448</v>
      </c>
      <c r="G2652" s="16">
        <f>(-G2639-G2640)/(Inputs!$D$7+$D$2656)^G2630</f>
        <v>-1851.359915178487</v>
      </c>
      <c r="H2652" s="16">
        <f>(-H2639-H2640)/(Inputs!$D$7+$D$2656)^H2630</f>
        <v>-9495.2419037884629</v>
      </c>
      <c r="I2652" s="16">
        <f>(-I2639-I2640)/(Inputs!$D$7+$D$2656)^I2630</f>
        <v>-11507.131858586603</v>
      </c>
      <c r="J2652" s="16">
        <f>(-J2639-J2640)/(Inputs!$D$7+$D$2656)^J2630</f>
        <v>-7846.2835672839774</v>
      </c>
      <c r="K2652" s="16">
        <f>(-K2639-K2640)/(Inputs!$D$7+$D$2656)^K2630</f>
        <v>-1264.5037327904422</v>
      </c>
      <c r="L2652" s="16">
        <f>(-L2639-L2640)/(Inputs!$D$7+$D$2656)^L2630</f>
        <v>-6485.3779822337692</v>
      </c>
      <c r="M2652" s="16">
        <f>(-M2639-M2640)/(Inputs!$D$7+$D$2656)^M2630</f>
        <v>-7859.5258920747219</v>
      </c>
    </row>
    <row r="2653" spans="2:13" ht="15" customHeight="1" x14ac:dyDescent="0.2">
      <c r="B2653" s="10" t="s">
        <v>912</v>
      </c>
      <c r="C2653" s="10" t="s">
        <v>110</v>
      </c>
      <c r="D2653" s="16">
        <f>Prices!K15</f>
        <v>58174.523570712139</v>
      </c>
    </row>
    <row r="2654" spans="2:13" ht="15" customHeight="1" x14ac:dyDescent="0.2">
      <c r="B2654" s="3" t="s">
        <v>913</v>
      </c>
      <c r="C2654" s="10" t="s">
        <v>914</v>
      </c>
      <c r="D2654" s="28">
        <f>IF(J2661&gt;=J2657,J2661,(D2653-J2660)/J2659)</f>
        <v>46.971652622987591</v>
      </c>
      <c r="G2654" s="99" t="s">
        <v>915</v>
      </c>
      <c r="H2654" s="91"/>
      <c r="I2654" s="91"/>
      <c r="J2654" s="28">
        <f>D2654*Inputs!$D$15</f>
        <v>32.781516365583037</v>
      </c>
      <c r="K2654" s="99" t="s">
        <v>916</v>
      </c>
      <c r="L2654" s="91"/>
      <c r="M2654" s="91"/>
    </row>
    <row r="2655" spans="2:13" ht="15" customHeight="1" x14ac:dyDescent="0.2">
      <c r="B2655" s="10" t="s">
        <v>917</v>
      </c>
      <c r="C2655" s="10" t="s">
        <v>104</v>
      </c>
      <c r="D2655" s="30">
        <f>Inputs!$D$81</f>
        <v>0.6</v>
      </c>
      <c r="G2655" s="99" t="s">
        <v>918</v>
      </c>
      <c r="H2655" s="91"/>
      <c r="I2655" s="91"/>
      <c r="J2655" s="28">
        <f>IF(-D2666/D2665&gt;=J2657,-D2666/D2665,-J2660/J2659)</f>
        <v>32.284876648616972</v>
      </c>
      <c r="K2655" s="99" t="s">
        <v>919</v>
      </c>
      <c r="L2655" s="91"/>
      <c r="M2655" s="91"/>
    </row>
    <row r="2656" spans="2:13" ht="15" customHeight="1" x14ac:dyDescent="0.2">
      <c r="B2656" s="10" t="s">
        <v>920</v>
      </c>
      <c r="C2656" s="10" t="s">
        <v>104</v>
      </c>
      <c r="D2656" s="30">
        <f>Inputs!$D$82</f>
        <v>0.1</v>
      </c>
      <c r="G2656" s="99" t="s">
        <v>918</v>
      </c>
      <c r="H2656" s="91"/>
      <c r="I2656" s="91"/>
      <c r="J2656" s="28">
        <f>J2655*Inputs!$D$15</f>
        <v>22.531615413069783</v>
      </c>
      <c r="K2656" s="99" t="s">
        <v>916</v>
      </c>
      <c r="L2656" s="91"/>
      <c r="M2656" s="91"/>
    </row>
    <row r="2657" spans="2:13" ht="15" customHeight="1" x14ac:dyDescent="0.2">
      <c r="B2657" s="3" t="s">
        <v>921</v>
      </c>
      <c r="C2657" s="10" t="s">
        <v>848</v>
      </c>
      <c r="D2657" s="28">
        <f>Capital!$D$13</f>
        <v>57.347931490590682</v>
      </c>
      <c r="G2657" s="99" t="s">
        <v>922</v>
      </c>
      <c r="H2657" s="91"/>
      <c r="I2657" s="91"/>
      <c r="J2657" s="28">
        <f>($D$2657/Inputs!$D$21+$D$2658/Inputs!$D$22)/$D$2655</f>
        <v>24.113076913095469</v>
      </c>
      <c r="K2657" s="99" t="s">
        <v>919</v>
      </c>
      <c r="L2657" s="91"/>
      <c r="M2657" s="91"/>
    </row>
    <row r="2658" spans="2:13" ht="15" customHeight="1" x14ac:dyDescent="0.2">
      <c r="B2658" s="3" t="s">
        <v>923</v>
      </c>
      <c r="C2658" s="10" t="s">
        <v>848</v>
      </c>
      <c r="D2658" s="28">
        <f>Capital!$D$14</f>
        <v>2.6172655041921802</v>
      </c>
    </row>
    <row r="2659" spans="2:13" ht="15" customHeight="1" x14ac:dyDescent="0.2">
      <c r="B2659" s="10" t="s">
        <v>924</v>
      </c>
      <c r="C2659" s="10" t="s">
        <v>896</v>
      </c>
      <c r="D2659" s="28">
        <f>(M2632*(Inputs!$D$7+Inputs!$D$20)*$D$2655*(Inputs!$D$7-Inputs!$D$19)-M2632*Inputs!$D$20*Inputs!$D$23)/($D$2656-Inputs!$D$20)/(Inputs!$D$7+$D$2656)^M2630</f>
        <v>2068.2441036763203</v>
      </c>
      <c r="G2659" s="92" t="s">
        <v>910</v>
      </c>
      <c r="H2659" s="91"/>
      <c r="I2659" s="91"/>
      <c r="J2659" s="28">
        <f>SUM(D2651:M2651)+(M2632*(Inputs!$D$7+Inputs!$D$20)*$D$2655-M2632*Inputs!$D$20*Inputs!$D$23)/($D$2656-Inputs!$D$20)/(Inputs!$D$7+$D$2656)^M2630</f>
        <v>5667.7711754446318</v>
      </c>
      <c r="K2659" s="99" t="s">
        <v>896</v>
      </c>
      <c r="L2659" s="91"/>
      <c r="M2659" s="91"/>
    </row>
    <row r="2660" spans="2:13" ht="15" customHeight="1" x14ac:dyDescent="0.2">
      <c r="B2660" s="10" t="s">
        <v>925</v>
      </c>
      <c r="C2660" s="10" t="s">
        <v>110</v>
      </c>
      <c r="D2660" s="16">
        <f>(D2663*Inputs!$D$19-D2663-D2664)/($D$2656-Inputs!$D$20)/(Inputs!$D$7+$D$2656)^M2630</f>
        <v>-57156.954988173631</v>
      </c>
      <c r="G2660" s="92" t="s">
        <v>926</v>
      </c>
      <c r="H2660" s="91"/>
      <c r="I2660" s="91"/>
      <c r="J2660" s="16">
        <f>SUM(D2652:M2652)-(D2663+D2664)/($D$2656-Inputs!$D$20)/(Inputs!$D$7+$D$2656)^M2630</f>
        <v>-169036.01450291832</v>
      </c>
      <c r="K2660" s="99" t="s">
        <v>110</v>
      </c>
      <c r="L2660" s="91"/>
      <c r="M2660" s="91"/>
    </row>
    <row r="2661" spans="2:13" ht="15" customHeight="1" x14ac:dyDescent="0.2">
      <c r="B2661" s="10" t="s">
        <v>927</v>
      </c>
      <c r="C2661" s="10" t="s">
        <v>928</v>
      </c>
      <c r="D2661" s="16">
        <f>(M2632*(Inputs!$D$7+Inputs!$D$20)*$D$2654*$D$2655-D2663)-MAX((M2632*(Inputs!$D$7+Inputs!$D$20)*$D$2654*$D$2655-D2663),Inputs!$D$6)*Inputs!$D$19-D2664-M2632*Inputs!$D$20*$D$2654*Inputs!$D$23</f>
        <v>7572.3500978035026</v>
      </c>
      <c r="G2661" s="99" t="s">
        <v>929</v>
      </c>
      <c r="H2661" s="91"/>
      <c r="I2661" s="91"/>
      <c r="J2661" s="28">
        <f>(D2653-D2666)/D2665</f>
        <v>46.971652622987591</v>
      </c>
      <c r="K2661" s="99" t="s">
        <v>919</v>
      </c>
      <c r="L2661" s="91"/>
      <c r="M2661" s="91"/>
    </row>
    <row r="2662" spans="2:13" ht="15" customHeight="1" x14ac:dyDescent="0.2">
      <c r="B2662" s="10" t="s">
        <v>930</v>
      </c>
      <c r="C2662" s="10" t="s">
        <v>110</v>
      </c>
      <c r="D2662" s="16">
        <f>D2661/($D$2656-Inputs!$D$20)</f>
        <v>100964.66797071336</v>
      </c>
      <c r="G2662" s="99" t="s">
        <v>931</v>
      </c>
      <c r="H2662" s="91"/>
      <c r="I2662" s="91"/>
      <c r="J2662" s="16">
        <f>MIN(D2646:M2646,(M2632*(Inputs!$D$7+Inputs!$D$20)*$D$2654*$D$2655-D2663))</f>
        <v>1722.4476578965653</v>
      </c>
      <c r="K2662" s="99" t="s">
        <v>110</v>
      </c>
      <c r="L2662" s="91"/>
      <c r="M2662" s="91"/>
    </row>
    <row r="2663" spans="2:13" ht="15" customHeight="1" x14ac:dyDescent="0.2">
      <c r="B2663" s="10" t="s">
        <v>932</v>
      </c>
      <c r="C2663" s="10" t="s">
        <v>928</v>
      </c>
      <c r="D2663" s="16">
        <f>M2632*(Inputs!$D$7+Inputs!$D$20)*($D$2657/Inputs!$D$21+$D$2658/Inputs!$D$22)</f>
        <v>13509.71303671543</v>
      </c>
      <c r="G2663" s="99" t="s">
        <v>933</v>
      </c>
      <c r="H2663" s="91"/>
      <c r="I2663" s="91"/>
      <c r="J2663" s="31" t="str">
        <f>IF(J2662&lt;Inputs!$D$6,"breached","satisfied")</f>
        <v>satisfied</v>
      </c>
      <c r="K2663" s="99" t="s">
        <v>934</v>
      </c>
      <c r="L2663" s="91"/>
      <c r="M2663" s="91"/>
    </row>
    <row r="2664" spans="2:13" ht="15" customHeight="1" x14ac:dyDescent="0.2">
      <c r="B2664" s="10" t="s">
        <v>935</v>
      </c>
      <c r="C2664" s="10" t="s">
        <v>928</v>
      </c>
      <c r="D2664" s="16">
        <f>M2632*Inputs!$D$20*($D$2657+$D$2658)</f>
        <v>1365.7073615561799</v>
      </c>
    </row>
    <row r="2665" spans="2:13" ht="15" customHeight="1" x14ac:dyDescent="0.2">
      <c r="B2665" s="10" t="s">
        <v>936</v>
      </c>
      <c r="C2665" s="10" t="s">
        <v>896</v>
      </c>
      <c r="D2665" s="28">
        <f>SUM(D2642:M2642)+D2659</f>
        <v>3961.0138857044249</v>
      </c>
      <c r="G2665" s="99" t="s">
        <v>937</v>
      </c>
      <c r="H2665" s="91"/>
      <c r="I2665" s="91"/>
      <c r="J2665" s="16">
        <f>D2667-D2653</f>
        <v>0</v>
      </c>
      <c r="K2665" s="99" t="s">
        <v>110</v>
      </c>
      <c r="L2665" s="91"/>
      <c r="M2665" s="91"/>
    </row>
    <row r="2666" spans="2:13" ht="15" customHeight="1" x14ac:dyDescent="0.2">
      <c r="B2666" s="10" t="s">
        <v>938</v>
      </c>
      <c r="C2666" s="10" t="s">
        <v>110</v>
      </c>
      <c r="D2666" s="16">
        <f>SUM(D2643:M2643)+D2660</f>
        <v>-127880.84470342637</v>
      </c>
    </row>
    <row r="2667" spans="2:13" ht="15" customHeight="1" x14ac:dyDescent="0.2">
      <c r="B2667" s="10" t="s">
        <v>939</v>
      </c>
      <c r="C2667" s="10" t="s">
        <v>110</v>
      </c>
      <c r="D2667" s="16">
        <f>SUM(D2650:M2650)+D2662/(Inputs!$D$7+$D$2656)^M2630</f>
        <v>58174.52357071219</v>
      </c>
    </row>
    <row r="2668" spans="2:13" ht="15" customHeight="1" x14ac:dyDescent="0.2">
      <c r="B2668" s="10" t="s">
        <v>940</v>
      </c>
      <c r="C2668" s="10" t="s">
        <v>104</v>
      </c>
      <c r="D2668" s="30">
        <f>IF(ABS(D2653)&gt;Inputs!$D$6,D2667/D2653-Inputs!$D$7,Inputs!$D$6)</f>
        <v>8.8817841970012523E-16</v>
      </c>
    </row>
    <row r="2669" spans="2:13" ht="15" customHeight="1" x14ac:dyDescent="0.2">
      <c r="B2669" s="10" t="s">
        <v>941</v>
      </c>
      <c r="C2669" s="10" t="s">
        <v>104</v>
      </c>
      <c r="D2669" s="30">
        <f>IF(ABS(D2667)&gt;Inputs!$D$119,D2662/(Inputs!$D$7+$D$2656)^M2630/D2667,Inputs!$D$6)</f>
        <v>0.6874467745428452</v>
      </c>
    </row>
    <row r="2670" spans="2:13" ht="15" customHeight="1" x14ac:dyDescent="0.2">
      <c r="B2670" s="10" t="s">
        <v>942</v>
      </c>
      <c r="C2670" s="10" t="s">
        <v>943</v>
      </c>
      <c r="D2670" s="26">
        <f>$D$2654*Inputs!$D$8/Prices!$P$6/(Inputs!$D$26/Inputs!$D$25)/Inputs!$D$11/Inputs!$D$56</f>
        <v>8.5419377069342346</v>
      </c>
    </row>
    <row r="2674" spans="1:13" ht="15" customHeight="1" x14ac:dyDescent="0.2">
      <c r="A2674" s="104" t="s">
        <v>1001</v>
      </c>
      <c r="B2674" s="10" t="s">
        <v>886</v>
      </c>
      <c r="C2674" s="10" t="s">
        <v>107</v>
      </c>
      <c r="D2674" s="28">
        <f>Inputs!$D$60</f>
        <v>1</v>
      </c>
      <c r="E2674" s="28">
        <f>Inputs!$D$62</f>
        <v>2</v>
      </c>
      <c r="F2674" s="28">
        <f>Inputs!$D$64</f>
        <v>3</v>
      </c>
      <c r="G2674" s="28">
        <f>Inputs!$D$66</f>
        <v>4</v>
      </c>
      <c r="H2674" s="28">
        <f>Inputs!$D$68</f>
        <v>5</v>
      </c>
      <c r="I2674" s="28">
        <f>Inputs!$D$70</f>
        <v>6</v>
      </c>
      <c r="J2674" s="28">
        <f>Inputs!$D$72</f>
        <v>7</v>
      </c>
      <c r="K2674" s="28">
        <f>Inputs!$D$74</f>
        <v>8</v>
      </c>
      <c r="L2674" s="28">
        <f>Inputs!$D$76</f>
        <v>9</v>
      </c>
      <c r="M2674" s="28">
        <f>Inputs!$D$78</f>
        <v>10</v>
      </c>
    </row>
    <row r="2675" spans="1:13" ht="15" customHeight="1" x14ac:dyDescent="0.2">
      <c r="A2675" s="91"/>
      <c r="B2675" s="10" t="s">
        <v>887</v>
      </c>
      <c r="C2675" s="10" t="s">
        <v>161</v>
      </c>
      <c r="D2675" s="29">
        <f>Inputs!$D$61</f>
        <v>46568</v>
      </c>
      <c r="E2675" s="29">
        <f>Inputs!$D$63</f>
        <v>46934</v>
      </c>
      <c r="F2675" s="29">
        <f>Inputs!$D$65</f>
        <v>47299</v>
      </c>
      <c r="G2675" s="29">
        <f>Inputs!$D$67</f>
        <v>47664</v>
      </c>
      <c r="H2675" s="29">
        <f>Inputs!$D$69</f>
        <v>48029</v>
      </c>
      <c r="I2675" s="29">
        <f>Inputs!$D$71</f>
        <v>48395</v>
      </c>
      <c r="J2675" s="29">
        <f>Inputs!$D$73</f>
        <v>48760</v>
      </c>
      <c r="K2675" s="29">
        <f>Inputs!$D$75</f>
        <v>49125</v>
      </c>
      <c r="L2675" s="29">
        <f>Inputs!$D$77</f>
        <v>49490</v>
      </c>
      <c r="M2675" s="29">
        <f>Inputs!$D$79</f>
        <v>49856</v>
      </c>
    </row>
    <row r="2676" spans="1:13" ht="15" customHeight="1" x14ac:dyDescent="0.2">
      <c r="A2676" s="91"/>
      <c r="B2676" s="10" t="s">
        <v>888</v>
      </c>
      <c r="C2676" s="10" t="s">
        <v>107</v>
      </c>
      <c r="D2676" s="28">
        <f>(D2675-Inputs!$D$13)/Inputs!$D$10</f>
        <v>0.71457905544147848</v>
      </c>
      <c r="E2676" s="28">
        <f>(E2675-Inputs!$D$13)/Inputs!$D$10</f>
        <v>1.7166324435318274</v>
      </c>
      <c r="F2676" s="28">
        <f>(F2675-Inputs!$D$13)/Inputs!$D$10</f>
        <v>2.7159479808350446</v>
      </c>
      <c r="G2676" s="28">
        <f>(G2675-Inputs!$D$13)/Inputs!$D$10</f>
        <v>3.7152635181382614</v>
      </c>
      <c r="H2676" s="28">
        <f>(H2675-Inputs!$D$13)/Inputs!$D$10</f>
        <v>4.7145790554414786</v>
      </c>
      <c r="I2676" s="28">
        <f>(I2675-Inputs!$D$13)/Inputs!$D$10</f>
        <v>5.7166324435318279</v>
      </c>
      <c r="J2676" s="28">
        <f>(J2675-Inputs!$D$13)/Inputs!$D$10</f>
        <v>6.7159479808350442</v>
      </c>
      <c r="K2676" s="28">
        <f>(K2675-Inputs!$D$13)/Inputs!$D$10</f>
        <v>7.7152635181382614</v>
      </c>
      <c r="L2676" s="28">
        <f>(L2675-Inputs!$D$13)/Inputs!$D$10</f>
        <v>8.7145790554414777</v>
      </c>
      <c r="M2676" s="28">
        <f>(M2675-Inputs!$D$13)/Inputs!$D$10</f>
        <v>9.716632443531827</v>
      </c>
    </row>
    <row r="2677" spans="1:13" ht="15" customHeight="1" x14ac:dyDescent="0.2">
      <c r="A2677" s="91"/>
      <c r="B2677" s="10" t="s">
        <v>889</v>
      </c>
      <c r="C2677" s="10" t="s">
        <v>107</v>
      </c>
      <c r="D2677" s="28">
        <f>D2676</f>
        <v>0.71457905544147848</v>
      </c>
      <c r="E2677" s="28">
        <f>Inputs!$D$7</f>
        <v>1</v>
      </c>
      <c r="F2677" s="28">
        <f>Inputs!$D$7</f>
        <v>1</v>
      </c>
      <c r="G2677" s="28">
        <f>Inputs!$D$7</f>
        <v>1</v>
      </c>
      <c r="H2677" s="28">
        <f>Inputs!$D$7</f>
        <v>1</v>
      </c>
      <c r="I2677" s="28">
        <f>Inputs!$D$7</f>
        <v>1</v>
      </c>
      <c r="J2677" s="28">
        <f>Inputs!$D$7</f>
        <v>1</v>
      </c>
      <c r="K2677" s="28">
        <f>Inputs!$D$7</f>
        <v>1</v>
      </c>
      <c r="L2677" s="28">
        <f>Inputs!$D$7</f>
        <v>1</v>
      </c>
      <c r="M2677" s="28">
        <f>Inputs!$D$7</f>
        <v>1</v>
      </c>
    </row>
    <row r="2678" spans="1:13" ht="15" customHeight="1" x14ac:dyDescent="0.2">
      <c r="A2678" s="91"/>
      <c r="B2678" s="3" t="s">
        <v>890</v>
      </c>
      <c r="C2678" s="10" t="s">
        <v>199</v>
      </c>
      <c r="D2678" s="28">
        <f>Inputs!$D$24+(Inputs!$D$93-Inputs!$D$24)*Inputs!$D$96</f>
        <v>279.10000000000002</v>
      </c>
      <c r="E2678" s="28">
        <f>Inputs!$D$24+(Inputs!$D$93-Inputs!$D$24)*Inputs!$D$97</f>
        <v>900.7</v>
      </c>
      <c r="F2678" s="28">
        <f>Inputs!$D$24+(Inputs!$D$93-Inputs!$D$24)*Inputs!$D$98</f>
        <v>1366.8999999999999</v>
      </c>
      <c r="G2678" s="28">
        <f>Inputs!$D$24+(Inputs!$D$93-Inputs!$D$24)*Inputs!$D$99</f>
        <v>1600</v>
      </c>
      <c r="H2678" s="28">
        <f>Inputs!$D$24+(Inputs!$D$93-Inputs!$D$24)*Inputs!$D$100</f>
        <v>1600</v>
      </c>
      <c r="I2678" s="28">
        <f>Inputs!$D$24+(Inputs!$D$93-Inputs!$D$24)*Inputs!$D$101</f>
        <v>1600</v>
      </c>
      <c r="J2678" s="28">
        <f>Inputs!$D$24+(Inputs!$D$93-Inputs!$D$24)*Inputs!$D$102</f>
        <v>1600</v>
      </c>
      <c r="K2678" s="28">
        <f>Inputs!$D$24+(Inputs!$D$93-Inputs!$D$24)*Inputs!$D$103</f>
        <v>1600</v>
      </c>
      <c r="L2678" s="28">
        <f>Inputs!$D$24+(Inputs!$D$93-Inputs!$D$24)*Inputs!$D$104</f>
        <v>1600</v>
      </c>
      <c r="M2678" s="28">
        <f>Inputs!$D$24+(Inputs!$D$93-Inputs!$D$24)*Inputs!$D$105</f>
        <v>1600</v>
      </c>
    </row>
    <row r="2679" spans="1:13" ht="15" customHeight="1" x14ac:dyDescent="0.2">
      <c r="A2679" s="91"/>
      <c r="B2679" s="10" t="s">
        <v>891</v>
      </c>
      <c r="C2679" s="10" t="s">
        <v>199</v>
      </c>
      <c r="D2679" s="28">
        <f>Inputs!$D$24</f>
        <v>46</v>
      </c>
      <c r="E2679" s="28">
        <f t="shared" ref="E2679:M2679" si="580">D2678</f>
        <v>279.10000000000002</v>
      </c>
      <c r="F2679" s="28">
        <f t="shared" si="580"/>
        <v>900.7</v>
      </c>
      <c r="G2679" s="28">
        <f t="shared" si="580"/>
        <v>1366.8999999999999</v>
      </c>
      <c r="H2679" s="28">
        <f t="shared" si="580"/>
        <v>1600</v>
      </c>
      <c r="I2679" s="28">
        <f t="shared" si="580"/>
        <v>1600</v>
      </c>
      <c r="J2679" s="28">
        <f t="shared" si="580"/>
        <v>1600</v>
      </c>
      <c r="K2679" s="28">
        <f t="shared" si="580"/>
        <v>1600</v>
      </c>
      <c r="L2679" s="28">
        <f t="shared" si="580"/>
        <v>1600</v>
      </c>
      <c r="M2679" s="28">
        <f t="shared" si="580"/>
        <v>1600</v>
      </c>
    </row>
    <row r="2680" spans="1:13" ht="15" customHeight="1" x14ac:dyDescent="0.2">
      <c r="B2680" s="10" t="s">
        <v>892</v>
      </c>
      <c r="C2680" s="10" t="s">
        <v>199</v>
      </c>
      <c r="D2680" s="28">
        <f>(D2679+D2678)*Inputs!$D$12</f>
        <v>162.55000000000001</v>
      </c>
      <c r="E2680" s="28">
        <f>(E2679+E2678)*Inputs!$D$12</f>
        <v>589.90000000000009</v>
      </c>
      <c r="F2680" s="28">
        <f>(F2679+F2678)*Inputs!$D$12</f>
        <v>1133.8</v>
      </c>
      <c r="G2680" s="28">
        <f>(G2679+G2678)*Inputs!$D$12</f>
        <v>1483.4499999999998</v>
      </c>
      <c r="H2680" s="28">
        <f>(H2679+H2678)*Inputs!$D$12</f>
        <v>1600</v>
      </c>
      <c r="I2680" s="28">
        <f>(I2679+I2678)*Inputs!$D$12</f>
        <v>1600</v>
      </c>
      <c r="J2680" s="28">
        <f>(J2679+J2678)*Inputs!$D$12</f>
        <v>1600</v>
      </c>
      <c r="K2680" s="28">
        <f>(K2679+K2678)*Inputs!$D$12</f>
        <v>1600</v>
      </c>
      <c r="L2680" s="28">
        <f>(L2679+L2678)*Inputs!$D$12</f>
        <v>1600</v>
      </c>
      <c r="M2680" s="28">
        <f>(M2679+M2678)*Inputs!$D$12</f>
        <v>1600</v>
      </c>
    </row>
    <row r="2681" spans="1:13" ht="15" customHeight="1" x14ac:dyDescent="0.2">
      <c r="B2681" s="10" t="s">
        <v>893</v>
      </c>
      <c r="C2681" s="10" t="s">
        <v>199</v>
      </c>
      <c r="D2681" s="28">
        <f t="shared" ref="D2681:M2681" si="581">D2678-D2679</f>
        <v>233.10000000000002</v>
      </c>
      <c r="E2681" s="28">
        <f t="shared" si="581"/>
        <v>621.6</v>
      </c>
      <c r="F2681" s="28">
        <f t="shared" si="581"/>
        <v>466.19999999999982</v>
      </c>
      <c r="G2681" s="28">
        <f t="shared" si="581"/>
        <v>233.10000000000014</v>
      </c>
      <c r="H2681" s="28">
        <f t="shared" si="581"/>
        <v>0</v>
      </c>
      <c r="I2681" s="28">
        <f t="shared" si="581"/>
        <v>0</v>
      </c>
      <c r="J2681" s="28">
        <f t="shared" si="581"/>
        <v>0</v>
      </c>
      <c r="K2681" s="28">
        <f t="shared" si="581"/>
        <v>0</v>
      </c>
      <c r="L2681" s="28">
        <f t="shared" si="581"/>
        <v>0</v>
      </c>
      <c r="M2681" s="28">
        <f t="shared" si="581"/>
        <v>0</v>
      </c>
    </row>
    <row r="2682" spans="1:13" ht="15" customHeight="1" x14ac:dyDescent="0.2">
      <c r="B2682" s="10" t="s">
        <v>894</v>
      </c>
      <c r="C2682" s="10" t="s">
        <v>199</v>
      </c>
      <c r="D2682" s="28">
        <f>IF(MOD(D2674,Inputs!$D$21)=Inputs!$D$6,Inputs!$D$24,Inputs!$D$6)+SUMPRODUCT(--(D2674&gt;$D$2674:$M$2674),--(MOD(D2674-$D$2674:$M$2674,Inputs!$D$21)=Inputs!$D$6),$D$2681:$M$2681)</f>
        <v>0</v>
      </c>
      <c r="E2682" s="28">
        <f>IF(MOD(E2674,Inputs!$D$21)=Inputs!$D$6,Inputs!$D$24,Inputs!$D$6)+SUMPRODUCT(--(E2674&gt;$D$2674:$M$2674),--(MOD(E2674-$D$2674:$M$2674,Inputs!$D$21)=Inputs!$D$6),$D$2681:$M$2681)</f>
        <v>0</v>
      </c>
      <c r="F2682" s="28">
        <f>IF(MOD(F2674,Inputs!$D$21)=Inputs!$D$6,Inputs!$D$24,Inputs!$D$6)+SUMPRODUCT(--(F2674&gt;$D$2674:$M$2674),--(MOD(F2674-$D$2674:$M$2674,Inputs!$D$21)=Inputs!$D$6),$D$2681:$M$2681)</f>
        <v>0</v>
      </c>
      <c r="G2682" s="28">
        <f>IF(MOD(G2674,Inputs!$D$21)=Inputs!$D$6,Inputs!$D$24,Inputs!$D$6)+SUMPRODUCT(--(G2674&gt;$D$2674:$M$2674),--(MOD(G2674-$D$2674:$M$2674,Inputs!$D$21)=Inputs!$D$6),$D$2681:$M$2681)</f>
        <v>46</v>
      </c>
      <c r="H2682" s="28">
        <f>IF(MOD(H2674,Inputs!$D$21)=Inputs!$D$6,Inputs!$D$24,Inputs!$D$6)+SUMPRODUCT(--(H2674&gt;$D$2674:$M$2674),--(MOD(H2674-$D$2674:$M$2674,Inputs!$D$21)=Inputs!$D$6),$D$2681:$M$2681)</f>
        <v>233.10000000000002</v>
      </c>
      <c r="I2682" s="28">
        <f>IF(MOD(I2674,Inputs!$D$21)=Inputs!$D$6,Inputs!$D$24,Inputs!$D$6)+SUMPRODUCT(--(I2674&gt;$D$2674:$M$2674),--(MOD(I2674-$D$2674:$M$2674,Inputs!$D$21)=Inputs!$D$6),$D$2681:$M$2681)</f>
        <v>621.6</v>
      </c>
      <c r="J2682" s="28">
        <f>IF(MOD(J2674,Inputs!$D$21)=Inputs!$D$6,Inputs!$D$24,Inputs!$D$6)+SUMPRODUCT(--(J2674&gt;$D$2674:$M$2674),--(MOD(J2674-$D$2674:$M$2674,Inputs!$D$21)=Inputs!$D$6),$D$2681:$M$2681)</f>
        <v>466.19999999999982</v>
      </c>
      <c r="K2682" s="28">
        <f>IF(MOD(K2674,Inputs!$D$21)=Inputs!$D$6,Inputs!$D$24,Inputs!$D$6)+SUMPRODUCT(--(K2674&gt;$D$2674:$M$2674),--(MOD(K2674-$D$2674:$M$2674,Inputs!$D$21)=Inputs!$D$6),$D$2681:$M$2681)</f>
        <v>279.10000000000014</v>
      </c>
      <c r="L2682" s="28">
        <f>IF(MOD(L2674,Inputs!$D$21)=Inputs!$D$6,Inputs!$D$24,Inputs!$D$6)+SUMPRODUCT(--(L2674&gt;$D$2674:$M$2674),--(MOD(L2674-$D$2674:$M$2674,Inputs!$D$21)=Inputs!$D$6),$D$2681:$M$2681)</f>
        <v>233.10000000000002</v>
      </c>
      <c r="M2682" s="28">
        <f>IF(MOD(M2674,Inputs!$D$21)=Inputs!$D$6,Inputs!$D$24,Inputs!$D$6)+SUMPRODUCT(--(M2674&gt;$D$2674:$M$2674),--(MOD(M2674-$D$2674:$M$2674,Inputs!$D$21)=Inputs!$D$6),$D$2681:$M$2681)</f>
        <v>621.6</v>
      </c>
    </row>
    <row r="2683" spans="1:13" ht="15" customHeight="1" x14ac:dyDescent="0.2">
      <c r="B2683" s="10" t="s">
        <v>895</v>
      </c>
      <c r="C2683" s="10" t="s">
        <v>896</v>
      </c>
      <c r="D2683" s="28">
        <f t="shared" ref="D2683:M2683" si="582">D2680*D2677</f>
        <v>116.15482546201234</v>
      </c>
      <c r="E2683" s="28">
        <f t="shared" si="582"/>
        <v>589.90000000000009</v>
      </c>
      <c r="F2683" s="28">
        <f t="shared" si="582"/>
        <v>1133.8</v>
      </c>
      <c r="G2683" s="28">
        <f t="shared" si="582"/>
        <v>1483.4499999999998</v>
      </c>
      <c r="H2683" s="28">
        <f t="shared" si="582"/>
        <v>1600</v>
      </c>
      <c r="I2683" s="28">
        <f t="shared" si="582"/>
        <v>1600</v>
      </c>
      <c r="J2683" s="28">
        <f t="shared" si="582"/>
        <v>1600</v>
      </c>
      <c r="K2683" s="28">
        <f t="shared" si="582"/>
        <v>1600</v>
      </c>
      <c r="L2683" s="28">
        <f t="shared" si="582"/>
        <v>1600</v>
      </c>
      <c r="M2683" s="28">
        <f t="shared" si="582"/>
        <v>1600</v>
      </c>
    </row>
    <row r="2684" spans="1:13" ht="15" customHeight="1" x14ac:dyDescent="0.2">
      <c r="B2684" s="10" t="s">
        <v>897</v>
      </c>
      <c r="C2684" s="10" t="s">
        <v>110</v>
      </c>
      <c r="D2684" s="16">
        <f>D2683*($D$2703/Inputs!$D$21+$D$2704/Inputs!$D$22)</f>
        <v>1680.51014411561</v>
      </c>
      <c r="E2684" s="16">
        <f>E2683*($D$2703/Inputs!$D$21+$D$2704/Inputs!$D$22)</f>
        <v>8534.5824426210111</v>
      </c>
      <c r="F2684" s="16">
        <f>F2683*($D$2703/Inputs!$D$21+$D$2704/Inputs!$D$22)</f>
        <v>16403.643962440583</v>
      </c>
      <c r="G2684" s="16">
        <f>G2683*($D$2703/Inputs!$D$21+$D$2704/Inputs!$D$22)</f>
        <v>21462.326368038881</v>
      </c>
      <c r="H2684" s="16">
        <f>H2683*($D$2703/Inputs!$D$21+$D$2704/Inputs!$D$22)</f>
        <v>23148.553836571649</v>
      </c>
      <c r="I2684" s="16">
        <f>I2683*($D$2703/Inputs!$D$21+$D$2704/Inputs!$D$22)</f>
        <v>23148.553836571649</v>
      </c>
      <c r="J2684" s="16">
        <f>J2683*($D$2703/Inputs!$D$21+$D$2704/Inputs!$D$22)</f>
        <v>23148.553836571649</v>
      </c>
      <c r="K2684" s="16">
        <f>K2683*($D$2703/Inputs!$D$21+$D$2704/Inputs!$D$22)</f>
        <v>23148.553836571649</v>
      </c>
      <c r="L2684" s="16">
        <f>L2683*($D$2703/Inputs!$D$21+$D$2704/Inputs!$D$22)</f>
        <v>23148.553836571649</v>
      </c>
      <c r="M2684" s="16">
        <f>M2683*($D$2703/Inputs!$D$21+$D$2704/Inputs!$D$22)</f>
        <v>23148.553836571649</v>
      </c>
    </row>
    <row r="2685" spans="1:13" ht="15" customHeight="1" x14ac:dyDescent="0.2">
      <c r="B2685" s="10" t="s">
        <v>898</v>
      </c>
      <c r="C2685" s="10" t="s">
        <v>110</v>
      </c>
      <c r="D2685" s="16">
        <f t="shared" ref="D2685:M2685" si="583">D2681*($D$2703+$D$2704)</f>
        <v>13977.887419483886</v>
      </c>
      <c r="E2685" s="16">
        <f t="shared" si="583"/>
        <v>37274.36645195703</v>
      </c>
      <c r="F2685" s="16">
        <f t="shared" si="583"/>
        <v>27955.774838967762</v>
      </c>
      <c r="G2685" s="16">
        <f t="shared" si="583"/>
        <v>13977.887419483894</v>
      </c>
      <c r="H2685" s="16">
        <f t="shared" si="583"/>
        <v>0</v>
      </c>
      <c r="I2685" s="16">
        <f t="shared" si="583"/>
        <v>0</v>
      </c>
      <c r="J2685" s="16">
        <f t="shared" si="583"/>
        <v>0</v>
      </c>
      <c r="K2685" s="16">
        <f t="shared" si="583"/>
        <v>0</v>
      </c>
      <c r="L2685" s="16">
        <f t="shared" si="583"/>
        <v>0</v>
      </c>
      <c r="M2685" s="16">
        <f t="shared" si="583"/>
        <v>0</v>
      </c>
    </row>
    <row r="2686" spans="1:13" ht="15" customHeight="1" x14ac:dyDescent="0.2">
      <c r="B2686" s="10" t="s">
        <v>899</v>
      </c>
      <c r="C2686" s="10" t="s">
        <v>110</v>
      </c>
      <c r="D2686" s="16">
        <f t="shared" ref="D2686:M2686" si="584">D2682*$D$2703</f>
        <v>0</v>
      </c>
      <c r="E2686" s="16">
        <f t="shared" si="584"/>
        <v>0</v>
      </c>
      <c r="F2686" s="16">
        <f t="shared" si="584"/>
        <v>0</v>
      </c>
      <c r="G2686" s="16">
        <f t="shared" si="584"/>
        <v>2638.0048485671714</v>
      </c>
      <c r="H2686" s="16">
        <f t="shared" si="584"/>
        <v>13367.802830456689</v>
      </c>
      <c r="I2686" s="16">
        <f t="shared" si="584"/>
        <v>35647.47421455117</v>
      </c>
      <c r="J2686" s="16">
        <f t="shared" si="584"/>
        <v>26735.605660913367</v>
      </c>
      <c r="K2686" s="16">
        <f t="shared" si="584"/>
        <v>16005.807679023867</v>
      </c>
      <c r="L2686" s="16">
        <f t="shared" si="584"/>
        <v>13367.802830456689</v>
      </c>
      <c r="M2686" s="16">
        <f t="shared" si="584"/>
        <v>35647.47421455117</v>
      </c>
    </row>
    <row r="2687" spans="1:13" ht="15" customHeight="1" x14ac:dyDescent="0.2">
      <c r="B2687" s="10" t="s">
        <v>900</v>
      </c>
      <c r="C2687" s="10" t="s">
        <v>199</v>
      </c>
      <c r="D2687" s="28">
        <f>D2681*Inputs!$D$23</f>
        <v>5.8275000000000006</v>
      </c>
      <c r="E2687" s="28">
        <f>E2681*Inputs!$D$23</f>
        <v>15.540000000000001</v>
      </c>
      <c r="F2687" s="28">
        <f>F2681*Inputs!$D$23</f>
        <v>11.654999999999996</v>
      </c>
      <c r="G2687" s="28">
        <f>G2681*Inputs!$D$23</f>
        <v>5.8275000000000041</v>
      </c>
      <c r="H2687" s="28">
        <f>H2681*Inputs!$D$23</f>
        <v>0</v>
      </c>
      <c r="I2687" s="28">
        <f>I2681*Inputs!$D$23</f>
        <v>0</v>
      </c>
      <c r="J2687" s="28">
        <f>J2681*Inputs!$D$23</f>
        <v>0</v>
      </c>
      <c r="K2687" s="28">
        <f>K2681*Inputs!$D$23</f>
        <v>0</v>
      </c>
      <c r="L2687" s="28">
        <f>L2681*Inputs!$D$23</f>
        <v>0</v>
      </c>
      <c r="M2687" s="28">
        <f>M2681*Inputs!$D$23</f>
        <v>0</v>
      </c>
    </row>
    <row r="2688" spans="1:13" ht="15" customHeight="1" x14ac:dyDescent="0.2">
      <c r="B2688" s="3" t="s">
        <v>901</v>
      </c>
      <c r="C2688" s="10" t="s">
        <v>896</v>
      </c>
      <c r="D2688" s="28">
        <f>(D2683*$D$2701*(Inputs!$D$7-Inputs!$D$19)-D2687)/(Inputs!$D$7+$D$2702)^D2676</f>
        <v>50.541318213721269</v>
      </c>
      <c r="E2688" s="28">
        <f>(E2683*$D$2701*(Inputs!$D$7-Inputs!$D$19)-E2687)/(Inputs!$D$7+$D$2702)^E2676</f>
        <v>238.4864713152904</v>
      </c>
      <c r="F2688" s="28">
        <f>(F2683*$D$2701*(Inputs!$D$7-Inputs!$D$19)-F2687)/(Inputs!$D$7+$D$2702)^F2676</f>
        <v>418.74491871678316</v>
      </c>
      <c r="G2688" s="28">
        <f>(G2683*$D$2701*(Inputs!$D$7-Inputs!$D$19)-G2687)/(Inputs!$D$7+$D$2702)^G2676</f>
        <v>490.87392073514752</v>
      </c>
      <c r="H2688" s="28">
        <f>(H2683*$D$2701*(Inputs!$D$7-Inputs!$D$19)-H2687)/(Inputs!$D$7+$D$2702)^H2676</f>
        <v>472.10300862628105</v>
      </c>
      <c r="I2688" s="28">
        <f>(I2683*$D$2701*(Inputs!$D$7-Inputs!$D$19)-I2687)/(Inputs!$D$7+$D$2702)^I2676</f>
        <v>417.68543753228789</v>
      </c>
      <c r="J2688" s="28">
        <f>(J2683*$D$2701*(Inputs!$D$7-Inputs!$D$19)-J2687)/(Inputs!$D$7+$D$2702)^J2676</f>
        <v>369.66405292491049</v>
      </c>
      <c r="K2688" s="28">
        <f>(K2683*$D$2701*(Inputs!$D$7-Inputs!$D$19)-K2687)/(Inputs!$D$7+$D$2702)^K2676</f>
        <v>327.16369723641031</v>
      </c>
      <c r="L2688" s="28">
        <f>(L2683*$D$2701*(Inputs!$D$7-Inputs!$D$19)-L2687)/(Inputs!$D$7+$D$2702)^L2676</f>
        <v>289.54961658427663</v>
      </c>
      <c r="M2688" s="28">
        <f>(M2683*$D$2701*(Inputs!$D$7-Inputs!$D$19)-M2687)/(Inputs!$D$7+$D$2702)^M2676</f>
        <v>256.17430111750662</v>
      </c>
    </row>
    <row r="2689" spans="2:13" ht="15" customHeight="1" x14ac:dyDescent="0.2">
      <c r="B2689" s="10" t="s">
        <v>902</v>
      </c>
      <c r="C2689" s="10" t="s">
        <v>110</v>
      </c>
      <c r="D2689" s="16">
        <f>(D2684*Inputs!$D$19-D2685-D2686)/(Inputs!$D$7+$D$2702)^D2676</f>
        <v>-12346.937146613671</v>
      </c>
      <c r="E2689" s="16">
        <f>(E2684*Inputs!$D$19-E2685-E2686)/(Inputs!$D$7+$D$2702)^E2676</f>
        <v>-28144.165592831177</v>
      </c>
      <c r="F2689" s="16">
        <f>(F2684*Inputs!$D$19-F2685-F2686)/(Inputs!$D$7+$D$2702)^F2676</f>
        <v>-16528.13772562052</v>
      </c>
      <c r="G2689" s="16">
        <f>(G2684*Inputs!$D$19-G2685-G2686)/(Inputs!$D$7+$D$2702)^G2676</f>
        <v>-6462.9033875784253</v>
      </c>
      <c r="H2689" s="16">
        <f>(H2684*Inputs!$D$19-H2685-H2686)/(Inputs!$D$7+$D$2702)^H2676</f>
        <v>-3610.0349541710043</v>
      </c>
      <c r="I2689" s="16">
        <f>(I2684*Inputs!$D$19-I2685-I2686)/(Inputs!$D$7+$D$2702)^I2676</f>
        <v>-14272.365134506323</v>
      </c>
      <c r="J2689" s="16">
        <f>(J2684*Inputs!$D$19-J2685-J2686)/(Inputs!$D$7+$D$2702)^J2676</f>
        <v>-8709.5665200501735</v>
      </c>
      <c r="K2689" s="16">
        <f>(K2684*Inputs!$D$19-K2685-K2686)/(Inputs!$D$7+$D$2702)^K2676</f>
        <v>-3529.1777141306115</v>
      </c>
      <c r="L2689" s="16">
        <f>(L2684*Inputs!$D$19-L2685-L2686)/(Inputs!$D$7+$D$2702)^L2676</f>
        <v>-2214.1020449702382</v>
      </c>
      <c r="M2689" s="16">
        <f>(M2684*Inputs!$D$19-M2685-M2686)/(Inputs!$D$7+$D$2702)^M2676</f>
        <v>-8753.5088252709138</v>
      </c>
    </row>
    <row r="2690" spans="2:13" ht="15" customHeight="1" x14ac:dyDescent="0.2">
      <c r="B2690" s="10" t="s">
        <v>903</v>
      </c>
      <c r="C2690" s="10" t="s">
        <v>110</v>
      </c>
      <c r="D2690" s="16">
        <f t="shared" ref="D2690:M2690" si="585">D2683*$D$2700</f>
        <v>4343.2821500355067</v>
      </c>
      <c r="E2690" s="16">
        <f t="shared" si="585"/>
        <v>22057.647025123926</v>
      </c>
      <c r="F2690" s="16">
        <f t="shared" si="585"/>
        <v>42395.253766885071</v>
      </c>
      <c r="G2690" s="16">
        <f t="shared" si="585"/>
        <v>55469.429529445806</v>
      </c>
      <c r="H2690" s="16">
        <f t="shared" si="585"/>
        <v>59827.488116966058</v>
      </c>
      <c r="I2690" s="16">
        <f t="shared" si="585"/>
        <v>59827.488116966058</v>
      </c>
      <c r="J2690" s="16">
        <f t="shared" si="585"/>
        <v>59827.488116966058</v>
      </c>
      <c r="K2690" s="16">
        <f t="shared" si="585"/>
        <v>59827.488116966058</v>
      </c>
      <c r="L2690" s="16">
        <f t="shared" si="585"/>
        <v>59827.488116966058</v>
      </c>
      <c r="M2690" s="16">
        <f t="shared" si="585"/>
        <v>59827.488116966058</v>
      </c>
    </row>
    <row r="2691" spans="2:13" ht="15" customHeight="1" x14ac:dyDescent="0.2">
      <c r="B2691" s="10" t="s">
        <v>904</v>
      </c>
      <c r="C2691" s="10" t="s">
        <v>110</v>
      </c>
      <c r="D2691" s="16">
        <f t="shared" ref="D2691:M2691" si="586">D2690*$D$2701</f>
        <v>3257.4616125266302</v>
      </c>
      <c r="E2691" s="16">
        <f t="shared" si="586"/>
        <v>16543.235268842946</v>
      </c>
      <c r="F2691" s="16">
        <f t="shared" si="586"/>
        <v>31796.440325163803</v>
      </c>
      <c r="G2691" s="16">
        <f t="shared" si="586"/>
        <v>41602.072147084356</v>
      </c>
      <c r="H2691" s="16">
        <f t="shared" si="586"/>
        <v>44870.616087724542</v>
      </c>
      <c r="I2691" s="16">
        <f t="shared" si="586"/>
        <v>44870.616087724542</v>
      </c>
      <c r="J2691" s="16">
        <f t="shared" si="586"/>
        <v>44870.616087724542</v>
      </c>
      <c r="K2691" s="16">
        <f t="shared" si="586"/>
        <v>44870.616087724542</v>
      </c>
      <c r="L2691" s="16">
        <f t="shared" si="586"/>
        <v>44870.616087724542</v>
      </c>
      <c r="M2691" s="16">
        <f t="shared" si="586"/>
        <v>44870.616087724542</v>
      </c>
    </row>
    <row r="2692" spans="2:13" ht="15" customHeight="1" x14ac:dyDescent="0.2">
      <c r="B2692" s="10" t="s">
        <v>905</v>
      </c>
      <c r="C2692" s="10" t="s">
        <v>110</v>
      </c>
      <c r="D2692" s="16">
        <f t="shared" ref="D2692:M2692" si="587">D2691-D2684</f>
        <v>1576.9514684110202</v>
      </c>
      <c r="E2692" s="16">
        <f t="shared" si="587"/>
        <v>8008.6528262219344</v>
      </c>
      <c r="F2692" s="16">
        <f t="shared" si="587"/>
        <v>15392.79636272322</v>
      </c>
      <c r="G2692" s="16">
        <f t="shared" si="587"/>
        <v>20139.745779045476</v>
      </c>
      <c r="H2692" s="16">
        <f t="shared" si="587"/>
        <v>21722.062251152893</v>
      </c>
      <c r="I2692" s="16">
        <f t="shared" si="587"/>
        <v>21722.062251152893</v>
      </c>
      <c r="J2692" s="16">
        <f t="shared" si="587"/>
        <v>21722.062251152893</v>
      </c>
      <c r="K2692" s="16">
        <f t="shared" si="587"/>
        <v>21722.062251152893</v>
      </c>
      <c r="L2692" s="16">
        <f t="shared" si="587"/>
        <v>21722.062251152893</v>
      </c>
      <c r="M2692" s="16">
        <f t="shared" si="587"/>
        <v>21722.062251152893</v>
      </c>
    </row>
    <row r="2693" spans="2:13" ht="15" customHeight="1" x14ac:dyDescent="0.2">
      <c r="B2693" s="10" t="s">
        <v>906</v>
      </c>
      <c r="C2693" s="10" t="s">
        <v>110</v>
      </c>
      <c r="D2693" s="16">
        <f>MAX(D2692,Inputs!$D$6)*Inputs!$D$19</f>
        <v>473.08544052330603</v>
      </c>
      <c r="E2693" s="16">
        <f>MAX(E2692,Inputs!$D$6)*Inputs!$D$19</f>
        <v>2402.5958478665802</v>
      </c>
      <c r="F2693" s="16">
        <f>MAX(F2692,Inputs!$D$6)*Inputs!$D$19</f>
        <v>4617.8389088169661</v>
      </c>
      <c r="G2693" s="16">
        <f>MAX(G2692,Inputs!$D$6)*Inputs!$D$19</f>
        <v>6041.9237337136428</v>
      </c>
      <c r="H2693" s="16">
        <f>MAX(H2692,Inputs!$D$6)*Inputs!$D$19</f>
        <v>6516.6186753458678</v>
      </c>
      <c r="I2693" s="16">
        <f>MAX(I2692,Inputs!$D$6)*Inputs!$D$19</f>
        <v>6516.6186753458678</v>
      </c>
      <c r="J2693" s="16">
        <f>MAX(J2692,Inputs!$D$6)*Inputs!$D$19</f>
        <v>6516.6186753458678</v>
      </c>
      <c r="K2693" s="16">
        <f>MAX(K2692,Inputs!$D$6)*Inputs!$D$19</f>
        <v>6516.6186753458678</v>
      </c>
      <c r="L2693" s="16">
        <f>MAX(L2692,Inputs!$D$6)*Inputs!$D$19</f>
        <v>6516.6186753458678</v>
      </c>
      <c r="M2693" s="16">
        <f>MAX(M2692,Inputs!$D$6)*Inputs!$D$19</f>
        <v>6516.6186753458678</v>
      </c>
    </row>
    <row r="2694" spans="2:13" ht="15" customHeight="1" x14ac:dyDescent="0.2">
      <c r="B2694" s="10" t="s">
        <v>907</v>
      </c>
      <c r="C2694" s="10" t="s">
        <v>110</v>
      </c>
      <c r="D2694" s="16">
        <f t="shared" ref="D2694:M2694" si="588">D2687*$D$2700</f>
        <v>217.90292937601234</v>
      </c>
      <c r="E2694" s="16">
        <f t="shared" si="588"/>
        <v>581.07447833603294</v>
      </c>
      <c r="F2694" s="16">
        <f t="shared" si="588"/>
        <v>435.80585875202451</v>
      </c>
      <c r="G2694" s="16">
        <f t="shared" si="588"/>
        <v>217.90292937601248</v>
      </c>
      <c r="H2694" s="16">
        <f t="shared" si="588"/>
        <v>0</v>
      </c>
      <c r="I2694" s="16">
        <f t="shared" si="588"/>
        <v>0</v>
      </c>
      <c r="J2694" s="16">
        <f t="shared" si="588"/>
        <v>0</v>
      </c>
      <c r="K2694" s="16">
        <f t="shared" si="588"/>
        <v>0</v>
      </c>
      <c r="L2694" s="16">
        <f t="shared" si="588"/>
        <v>0</v>
      </c>
      <c r="M2694" s="16">
        <f t="shared" si="588"/>
        <v>0</v>
      </c>
    </row>
    <row r="2695" spans="2:13" ht="15" customHeight="1" x14ac:dyDescent="0.2">
      <c r="B2695" s="10" t="s">
        <v>908</v>
      </c>
      <c r="C2695" s="10" t="s">
        <v>110</v>
      </c>
      <c r="D2695" s="16">
        <f t="shared" ref="D2695:M2695" si="589">D2691-D2693-D2685-D2686-D2694</f>
        <v>-11411.414176856573</v>
      </c>
      <c r="E2695" s="16">
        <f t="shared" si="589"/>
        <v>-23714.801509316694</v>
      </c>
      <c r="F2695" s="16">
        <f t="shared" si="589"/>
        <v>-1212.9792813729509</v>
      </c>
      <c r="G2695" s="16">
        <f t="shared" si="589"/>
        <v>18726.353215943633</v>
      </c>
      <c r="H2695" s="16">
        <f t="shared" si="589"/>
        <v>24986.194581921984</v>
      </c>
      <c r="I2695" s="16">
        <f t="shared" si="589"/>
        <v>2706.5231978275042</v>
      </c>
      <c r="J2695" s="16">
        <f t="shared" si="589"/>
        <v>11618.391751465308</v>
      </c>
      <c r="K2695" s="16">
        <f t="shared" si="589"/>
        <v>22348.189733354808</v>
      </c>
      <c r="L2695" s="16">
        <f t="shared" si="589"/>
        <v>24986.194581921984</v>
      </c>
      <c r="M2695" s="16">
        <f t="shared" si="589"/>
        <v>2706.5231978275042</v>
      </c>
    </row>
    <row r="2696" spans="2:13" ht="15" customHeight="1" x14ac:dyDescent="0.2">
      <c r="B2696" s="10" t="s">
        <v>909</v>
      </c>
      <c r="C2696" s="10" t="s">
        <v>110</v>
      </c>
      <c r="D2696" s="16">
        <f>D2695/(Inputs!$D$7+$D$2702)^D2676</f>
        <v>-10457.087074834164</v>
      </c>
      <c r="E2696" s="16">
        <f>E2695/(Inputs!$D$7+$D$2702)^E2676</f>
        <v>-19226.636512410732</v>
      </c>
      <c r="F2696" s="16">
        <f>F2695/(Inputs!$D$7+$D$2702)^F2676</f>
        <v>-870.35232026535493</v>
      </c>
      <c r="G2696" s="16">
        <f>G2695/(Inputs!$D$7+$D$2702)^G2676</f>
        <v>11891.942649740684</v>
      </c>
      <c r="H2696" s="16">
        <f>H2695/(Inputs!$D$7+$D$2702)^H2676</f>
        <v>14042.925757436966</v>
      </c>
      <c r="I2696" s="16">
        <f>I2695/(Inputs!$D$7+$D$2702)^I2676</f>
        <v>1345.8039596141286</v>
      </c>
      <c r="J2696" s="16">
        <f>J2695/(Inputs!$D$7+$D$2702)^J2676</f>
        <v>5112.9783134714462</v>
      </c>
      <c r="K2696" s="16">
        <f>K2695/(Inputs!$D$7+$D$2702)^K2676</f>
        <v>8704.1861663156506</v>
      </c>
      <c r="L2696" s="16">
        <f>L2695/(Inputs!$D$7+$D$2702)^L2676</f>
        <v>8612.7893584471913</v>
      </c>
      <c r="M2696" s="16">
        <f>M2695/(Inputs!$D$7+$D$2702)^M2676</f>
        <v>825.40677221640476</v>
      </c>
    </row>
    <row r="2697" spans="2:13" ht="15" customHeight="1" x14ac:dyDescent="0.2">
      <c r="B2697" s="3" t="s">
        <v>910</v>
      </c>
      <c r="C2697" s="10" t="s">
        <v>896</v>
      </c>
      <c r="D2697" s="28">
        <f>(D2683*$D$2701-D2687)/(Inputs!$D$7+$D$2702)^D2676</f>
        <v>74.490519309095831</v>
      </c>
      <c r="E2697" s="28">
        <f>(E2683*$D$2701-E2687)/(Inputs!$D$7+$D$2702)^E2676</f>
        <v>346.09451503846662</v>
      </c>
      <c r="F2697" s="28">
        <f>(F2683*$D$2701-F2687)/(Inputs!$D$7+$D$2702)^F2676</f>
        <v>601.79110266312398</v>
      </c>
      <c r="G2697" s="28">
        <f>(G2683*$D$2701-G2687)/(Inputs!$D$7+$D$2702)^G2676</f>
        <v>702.83446516544734</v>
      </c>
      <c r="H2697" s="28">
        <f>(H2683*$D$2701-H2687)/(Inputs!$D$7+$D$2702)^H2676</f>
        <v>674.43286946611579</v>
      </c>
      <c r="I2697" s="28">
        <f>(I2683*$D$2701-I2687)/(Inputs!$D$7+$D$2702)^I2676</f>
        <v>596.69348218898278</v>
      </c>
      <c r="J2697" s="28">
        <f>(J2683*$D$2701-J2687)/(Inputs!$D$7+$D$2702)^J2676</f>
        <v>528.09150417844353</v>
      </c>
      <c r="K2697" s="28">
        <f>(K2683*$D$2701-K2687)/(Inputs!$D$7+$D$2702)^K2676</f>
        <v>467.37671033772904</v>
      </c>
      <c r="L2697" s="28">
        <f>(L2683*$D$2701-L2687)/(Inputs!$D$7+$D$2702)^L2676</f>
        <v>413.64230940610946</v>
      </c>
      <c r="M2697" s="28">
        <f>(M2683*$D$2701-M2687)/(Inputs!$D$7+$D$2702)^M2676</f>
        <v>365.96328731072373</v>
      </c>
    </row>
    <row r="2698" spans="2:13" ht="15" customHeight="1" x14ac:dyDescent="0.2">
      <c r="B2698" s="10" t="s">
        <v>911</v>
      </c>
      <c r="C2698" s="10" t="s">
        <v>110</v>
      </c>
      <c r="D2698" s="16">
        <f>(-D2685-D2686)/(Inputs!$D$7+$D$2702)^D2676</f>
        <v>-12808.928289029636</v>
      </c>
      <c r="E2698" s="16">
        <f>(-E2685-E2686)/(Inputs!$D$7+$D$2702)^E2676</f>
        <v>-30219.974420642928</v>
      </c>
      <c r="F2698" s="16">
        <f>(-F2685-F2686)/(Inputs!$D$7+$D$2702)^F2676</f>
        <v>-20059.183095337907</v>
      </c>
      <c r="G2698" s="16">
        <f>(-G2685-G2686)/(Inputs!$D$7+$D$2702)^G2676</f>
        <v>-10551.720115889953</v>
      </c>
      <c r="H2698" s="16">
        <f>(-H2685-H2686)/(Inputs!$D$7+$D$2702)^H2676</f>
        <v>-7513.0713511684744</v>
      </c>
      <c r="I2698" s="16">
        <f>(-I2685-I2686)/(Inputs!$D$7+$D$2702)^I2676</f>
        <v>-17725.512933602091</v>
      </c>
      <c r="J2698" s="16">
        <f>(-J2685-J2686)/(Inputs!$D$7+$D$2702)^J2676</f>
        <v>-11765.705173827875</v>
      </c>
      <c r="K2698" s="16">
        <f>(-K2685-K2686)/(Inputs!$D$7+$D$2702)^K2676</f>
        <v>-6233.95144943378</v>
      </c>
      <c r="L2698" s="16">
        <f>(-L2685-L2686)/(Inputs!$D$7+$D$2702)^L2676</f>
        <v>-4607.9073620630261</v>
      </c>
      <c r="M2698" s="16">
        <f>(-M2685-M2686)/(Inputs!$D$7+$D$2702)^M2676</f>
        <v>-10871.389039901173</v>
      </c>
    </row>
    <row r="2699" spans="2:13" ht="15" customHeight="1" x14ac:dyDescent="0.2">
      <c r="B2699" s="10" t="s">
        <v>912</v>
      </c>
      <c r="C2699" s="10" t="s">
        <v>110</v>
      </c>
      <c r="D2699" s="16">
        <f>Prices!K15</f>
        <v>58174.523570712139</v>
      </c>
    </row>
    <row r="2700" spans="2:13" ht="15" customHeight="1" x14ac:dyDescent="0.2">
      <c r="B2700" s="3" t="s">
        <v>913</v>
      </c>
      <c r="C2700" s="10" t="s">
        <v>914</v>
      </c>
      <c r="D2700" s="28">
        <f>IF(J2707&gt;=J2703,J2707,(D2699-J2706)/J2705)</f>
        <v>37.392180073103788</v>
      </c>
      <c r="G2700" s="99" t="s">
        <v>915</v>
      </c>
      <c r="H2700" s="91"/>
      <c r="I2700" s="91"/>
      <c r="J2700" s="28">
        <f>D2700*Inputs!$D$15</f>
        <v>26.096002473019134</v>
      </c>
      <c r="K2700" s="99" t="s">
        <v>916</v>
      </c>
      <c r="L2700" s="91"/>
      <c r="M2700" s="91"/>
    </row>
    <row r="2701" spans="2:13" ht="15" customHeight="1" x14ac:dyDescent="0.2">
      <c r="B2701" s="10" t="s">
        <v>917</v>
      </c>
      <c r="C2701" s="10" t="s">
        <v>104</v>
      </c>
      <c r="D2701" s="30">
        <f>Inputs!$D$94</f>
        <v>0.75</v>
      </c>
      <c r="G2701" s="99" t="s">
        <v>918</v>
      </c>
      <c r="H2701" s="91"/>
      <c r="I2701" s="91"/>
      <c r="J2701" s="28">
        <f>IF(-D2712/D2711&gt;=J2703,-D2712/D2711,-J2706/J2705)</f>
        <v>27.411702074287536</v>
      </c>
      <c r="K2701" s="99" t="s">
        <v>919</v>
      </c>
      <c r="L2701" s="91"/>
      <c r="M2701" s="91"/>
    </row>
    <row r="2702" spans="2:13" ht="15" customHeight="1" x14ac:dyDescent="0.2">
      <c r="B2702" s="10" t="s">
        <v>920</v>
      </c>
      <c r="C2702" s="10" t="s">
        <v>104</v>
      </c>
      <c r="D2702" s="30">
        <f>Inputs!$D$95</f>
        <v>0.13</v>
      </c>
      <c r="G2702" s="99" t="s">
        <v>918</v>
      </c>
      <c r="H2702" s="91"/>
      <c r="I2702" s="91"/>
      <c r="J2702" s="28">
        <f>J2701*Inputs!$D$15</f>
        <v>19.13062687764527</v>
      </c>
      <c r="K2702" s="99" t="s">
        <v>916</v>
      </c>
      <c r="L2702" s="91"/>
      <c r="M2702" s="91"/>
    </row>
    <row r="2703" spans="2:13" ht="15" customHeight="1" x14ac:dyDescent="0.2">
      <c r="B2703" s="3" t="s">
        <v>921</v>
      </c>
      <c r="C2703" s="10" t="s">
        <v>848</v>
      </c>
      <c r="D2703" s="28">
        <f>Capital!$D$13</f>
        <v>57.347931490590682</v>
      </c>
      <c r="G2703" s="99" t="s">
        <v>922</v>
      </c>
      <c r="H2703" s="91"/>
      <c r="I2703" s="91"/>
      <c r="J2703" s="28">
        <f>($D$2703/Inputs!$D$21+$D$2704/Inputs!$D$22)/$D$2701</f>
        <v>19.290461530476374</v>
      </c>
      <c r="K2703" s="99" t="s">
        <v>919</v>
      </c>
      <c r="L2703" s="91"/>
      <c r="M2703" s="91"/>
    </row>
    <row r="2704" spans="2:13" ht="15" customHeight="1" x14ac:dyDescent="0.2">
      <c r="B2704" s="3" t="s">
        <v>923</v>
      </c>
      <c r="C2704" s="10" t="s">
        <v>848</v>
      </c>
      <c r="D2704" s="28">
        <f>Capital!$D$14</f>
        <v>2.6172655041921802</v>
      </c>
    </row>
    <row r="2705" spans="1:13" ht="15" customHeight="1" x14ac:dyDescent="0.2">
      <c r="B2705" s="10" t="s">
        <v>924</v>
      </c>
      <c r="C2705" s="10" t="s">
        <v>896</v>
      </c>
      <c r="D2705" s="28">
        <f>(M2678*(Inputs!$D$7+Inputs!$D$20)*$D$2701*(Inputs!$D$7-Inputs!$D$19)-M2678*Inputs!$D$20*Inputs!$D$23)/($D$2702-Inputs!$D$20)/(Inputs!$D$7+$D$2702)^M2676</f>
        <v>2497.8446594223992</v>
      </c>
      <c r="G2705" s="92" t="s">
        <v>910</v>
      </c>
      <c r="H2705" s="91"/>
      <c r="I2705" s="91"/>
      <c r="J2705" s="28">
        <f>SUM(D2697:M2697)+(M2678*(Inputs!$D$7+Inputs!$D$20)*$D$2701-M2678*Inputs!$D$20*Inputs!$D$23)/($D$2702-Inputs!$D$20)/(Inputs!$D$7+$D$2702)^M2676</f>
        <v>8341.0050516109004</v>
      </c>
      <c r="K2705" s="99" t="s">
        <v>896</v>
      </c>
      <c r="L2705" s="91"/>
      <c r="M2705" s="91"/>
    </row>
    <row r="2706" spans="1:13" ht="15" customHeight="1" x14ac:dyDescent="0.2">
      <c r="B2706" s="10" t="s">
        <v>925</v>
      </c>
      <c r="C2706" s="10" t="s">
        <v>110</v>
      </c>
      <c r="D2706" s="16">
        <f>(D2709*Inputs!$D$19-D2709-D2710)/($D$2702-Inputs!$D$20)/(Inputs!$D$7+$D$2702)^M2676</f>
        <v>-55207.290798783099</v>
      </c>
      <c r="G2706" s="92" t="s">
        <v>926</v>
      </c>
      <c r="H2706" s="91"/>
      <c r="I2706" s="91"/>
      <c r="J2706" s="16">
        <f>SUM(D2698:M2698)-(D2709+D2710)/($D$2702-Inputs!$D$20)/(Inputs!$D$7+$D$2702)^M2676</f>
        <v>-208239.17898202292</v>
      </c>
      <c r="K2706" s="99" t="s">
        <v>110</v>
      </c>
      <c r="L2706" s="91"/>
      <c r="M2706" s="91"/>
    </row>
    <row r="2707" spans="1:13" ht="15" customHeight="1" x14ac:dyDescent="0.2">
      <c r="B2707" s="10" t="s">
        <v>927</v>
      </c>
      <c r="C2707" s="10" t="s">
        <v>928</v>
      </c>
      <c r="D2707" s="16">
        <f>(M2678*(Inputs!$D$7+Inputs!$D$20)*$D$2700*$D$2701-D2709)-MAX((M2678*(Inputs!$D$7+Inputs!$D$20)*$D$2700*$D$2701-D2709),Inputs!$D$6)*Inputs!$D$19-D2710-M2678*Inputs!$D$20*$D$2700*Inputs!$D$23</f>
        <v>13149.579605337782</v>
      </c>
      <c r="G2707" s="99" t="s">
        <v>929</v>
      </c>
      <c r="H2707" s="91"/>
      <c r="I2707" s="91"/>
      <c r="J2707" s="28">
        <f>(D2699-D2712)/D2711</f>
        <v>37.392180073103788</v>
      </c>
      <c r="K2707" s="99" t="s">
        <v>919</v>
      </c>
      <c r="L2707" s="91"/>
      <c r="M2707" s="91"/>
    </row>
    <row r="2708" spans="1:13" ht="15" customHeight="1" x14ac:dyDescent="0.2">
      <c r="B2708" s="10" t="s">
        <v>930</v>
      </c>
      <c r="C2708" s="10" t="s">
        <v>110</v>
      </c>
      <c r="D2708" s="16">
        <f>D2707/($D$2702-Inputs!$D$20)</f>
        <v>125234.09147940743</v>
      </c>
      <c r="G2708" s="99" t="s">
        <v>931</v>
      </c>
      <c r="H2708" s="91"/>
      <c r="I2708" s="91"/>
      <c r="J2708" s="16">
        <f>MIN(D2692:M2692,(M2678*(Inputs!$D$7+Inputs!$D$20)*$D$2700*$D$2701-D2709))</f>
        <v>1576.9514684110202</v>
      </c>
      <c r="K2708" s="99" t="s">
        <v>110</v>
      </c>
      <c r="L2708" s="91"/>
      <c r="M2708" s="91"/>
    </row>
    <row r="2709" spans="1:13" ht="15" customHeight="1" x14ac:dyDescent="0.2">
      <c r="B2709" s="10" t="s">
        <v>932</v>
      </c>
      <c r="C2709" s="10" t="s">
        <v>928</v>
      </c>
      <c r="D2709" s="16">
        <f>M2678*(Inputs!$D$7+Inputs!$D$20)*($D$2703/Inputs!$D$21+$D$2704/Inputs!$D$22)</f>
        <v>23727.267682485937</v>
      </c>
      <c r="G2709" s="99" t="s">
        <v>933</v>
      </c>
      <c r="H2709" s="91"/>
      <c r="I2709" s="91"/>
      <c r="J2709" s="31" t="str">
        <f>IF(J2708&lt;Inputs!$D$6,"breached","satisfied")</f>
        <v>satisfied</v>
      </c>
      <c r="K2709" s="99" t="s">
        <v>934</v>
      </c>
      <c r="L2709" s="91"/>
      <c r="M2709" s="91"/>
    </row>
    <row r="2710" spans="1:13" ht="15" customHeight="1" x14ac:dyDescent="0.2">
      <c r="B2710" s="10" t="s">
        <v>935</v>
      </c>
      <c r="C2710" s="10" t="s">
        <v>928</v>
      </c>
      <c r="D2710" s="16">
        <f>M2678*Inputs!$D$20*($D$2703+$D$2704)</f>
        <v>2398.6078797913146</v>
      </c>
    </row>
    <row r="2711" spans="1:13" ht="15" customHeight="1" x14ac:dyDescent="0.2">
      <c r="B2711" s="10" t="s">
        <v>936</v>
      </c>
      <c r="C2711" s="10" t="s">
        <v>896</v>
      </c>
      <c r="D2711" s="28">
        <f>SUM(D2688:M2688)+D2705</f>
        <v>5828.8314024250149</v>
      </c>
      <c r="G2711" s="99" t="s">
        <v>937</v>
      </c>
      <c r="H2711" s="91"/>
      <c r="I2711" s="91"/>
      <c r="J2711" s="16">
        <f>D2713-D2699</f>
        <v>0</v>
      </c>
      <c r="K2711" s="99" t="s">
        <v>110</v>
      </c>
      <c r="L2711" s="91"/>
      <c r="M2711" s="91"/>
    </row>
    <row r="2712" spans="1:13" ht="15" customHeight="1" x14ac:dyDescent="0.2">
      <c r="B2712" s="10" t="s">
        <v>938</v>
      </c>
      <c r="C2712" s="10" t="s">
        <v>110</v>
      </c>
      <c r="D2712" s="16">
        <f>SUM(D2689:M2689)+D2706</f>
        <v>-159778.18984452612</v>
      </c>
    </row>
    <row r="2713" spans="1:13" ht="15" customHeight="1" x14ac:dyDescent="0.2">
      <c r="B2713" s="10" t="s">
        <v>939</v>
      </c>
      <c r="C2713" s="10" t="s">
        <v>110</v>
      </c>
      <c r="D2713" s="16">
        <f>SUM(D2696:M2696)+D2708/(Inputs!$D$7+$D$2702)^M2676</f>
        <v>58174.523570712088</v>
      </c>
    </row>
    <row r="2714" spans="1:13" ht="15" customHeight="1" x14ac:dyDescent="0.2">
      <c r="B2714" s="10" t="s">
        <v>940</v>
      </c>
      <c r="C2714" s="10" t="s">
        <v>104</v>
      </c>
      <c r="D2714" s="30">
        <f>IF(ABS(D2699)&gt;Inputs!$D$6,D2713/D2699-Inputs!$D$7,Inputs!$D$6)</f>
        <v>-8.8817841970012523E-16</v>
      </c>
    </row>
    <row r="2715" spans="1:13" ht="15" customHeight="1" x14ac:dyDescent="0.2">
      <c r="B2715" s="10" t="s">
        <v>941</v>
      </c>
      <c r="C2715" s="10" t="s">
        <v>104</v>
      </c>
      <c r="D2715" s="30">
        <f>IF(ABS(D2713)&gt;Inputs!$D$119,D2708/(Inputs!$D$7+$D$2702)^M2676/D2713,Inputs!$D$6)</f>
        <v>0.65651704830132696</v>
      </c>
    </row>
    <row r="2716" spans="1:13" ht="15" customHeight="1" x14ac:dyDescent="0.2">
      <c r="B2716" s="10" t="s">
        <v>942</v>
      </c>
      <c r="C2716" s="10" t="s">
        <v>943</v>
      </c>
      <c r="D2716" s="26">
        <f>$D$2700*Inputs!$D$8/Prices!$P$6/(Inputs!$D$26/Inputs!$D$25)/Inputs!$D$11/Inputs!$D$56</f>
        <v>6.7998815258760397</v>
      </c>
    </row>
    <row r="2720" spans="1:13" ht="15" customHeight="1" x14ac:dyDescent="0.2">
      <c r="A2720" s="104" t="s">
        <v>1002</v>
      </c>
      <c r="B2720" s="10" t="s">
        <v>886</v>
      </c>
      <c r="C2720" s="10" t="s">
        <v>107</v>
      </c>
      <c r="D2720" s="28">
        <f>Inputs!$D$60</f>
        <v>1</v>
      </c>
      <c r="E2720" s="28">
        <f>Inputs!$D$62</f>
        <v>2</v>
      </c>
      <c r="F2720" s="28">
        <f>Inputs!$D$64</f>
        <v>3</v>
      </c>
      <c r="G2720" s="28">
        <f>Inputs!$D$66</f>
        <v>4</v>
      </c>
      <c r="H2720" s="28">
        <f>Inputs!$D$68</f>
        <v>5</v>
      </c>
      <c r="I2720" s="28">
        <f>Inputs!$D$70</f>
        <v>6</v>
      </c>
      <c r="J2720" s="28">
        <f>Inputs!$D$72</f>
        <v>7</v>
      </c>
      <c r="K2720" s="28">
        <f>Inputs!$D$74</f>
        <v>8</v>
      </c>
      <c r="L2720" s="28">
        <f>Inputs!$D$76</f>
        <v>9</v>
      </c>
      <c r="M2720" s="28">
        <f>Inputs!$D$78</f>
        <v>10</v>
      </c>
    </row>
    <row r="2721" spans="1:13" ht="15" customHeight="1" x14ac:dyDescent="0.2">
      <c r="A2721" s="91"/>
      <c r="B2721" s="10" t="s">
        <v>887</v>
      </c>
      <c r="C2721" s="10" t="s">
        <v>161</v>
      </c>
      <c r="D2721" s="29">
        <f>Inputs!$D$61</f>
        <v>46568</v>
      </c>
      <c r="E2721" s="29">
        <f>Inputs!$D$63</f>
        <v>46934</v>
      </c>
      <c r="F2721" s="29">
        <f>Inputs!$D$65</f>
        <v>47299</v>
      </c>
      <c r="G2721" s="29">
        <f>Inputs!$D$67</f>
        <v>47664</v>
      </c>
      <c r="H2721" s="29">
        <f>Inputs!$D$69</f>
        <v>48029</v>
      </c>
      <c r="I2721" s="29">
        <f>Inputs!$D$71</f>
        <v>48395</v>
      </c>
      <c r="J2721" s="29">
        <f>Inputs!$D$73</f>
        <v>48760</v>
      </c>
      <c r="K2721" s="29">
        <f>Inputs!$D$75</f>
        <v>49125</v>
      </c>
      <c r="L2721" s="29">
        <f>Inputs!$D$77</f>
        <v>49490</v>
      </c>
      <c r="M2721" s="29">
        <f>Inputs!$D$79</f>
        <v>49856</v>
      </c>
    </row>
    <row r="2722" spans="1:13" ht="15" customHeight="1" x14ac:dyDescent="0.2">
      <c r="A2722" s="91"/>
      <c r="B2722" s="10" t="s">
        <v>888</v>
      </c>
      <c r="C2722" s="10" t="s">
        <v>107</v>
      </c>
      <c r="D2722" s="28">
        <f>(D2721-Inputs!$D$13)/Inputs!$D$10</f>
        <v>0.71457905544147848</v>
      </c>
      <c r="E2722" s="28">
        <f>(E2721-Inputs!$D$13)/Inputs!$D$10</f>
        <v>1.7166324435318274</v>
      </c>
      <c r="F2722" s="28">
        <f>(F2721-Inputs!$D$13)/Inputs!$D$10</f>
        <v>2.7159479808350446</v>
      </c>
      <c r="G2722" s="28">
        <f>(G2721-Inputs!$D$13)/Inputs!$D$10</f>
        <v>3.7152635181382614</v>
      </c>
      <c r="H2722" s="28">
        <f>(H2721-Inputs!$D$13)/Inputs!$D$10</f>
        <v>4.7145790554414786</v>
      </c>
      <c r="I2722" s="28">
        <f>(I2721-Inputs!$D$13)/Inputs!$D$10</f>
        <v>5.7166324435318279</v>
      </c>
      <c r="J2722" s="28">
        <f>(J2721-Inputs!$D$13)/Inputs!$D$10</f>
        <v>6.7159479808350442</v>
      </c>
      <c r="K2722" s="28">
        <f>(K2721-Inputs!$D$13)/Inputs!$D$10</f>
        <v>7.7152635181382614</v>
      </c>
      <c r="L2722" s="28">
        <f>(L2721-Inputs!$D$13)/Inputs!$D$10</f>
        <v>8.7145790554414777</v>
      </c>
      <c r="M2722" s="28">
        <f>(M2721-Inputs!$D$13)/Inputs!$D$10</f>
        <v>9.716632443531827</v>
      </c>
    </row>
    <row r="2723" spans="1:13" ht="15" customHeight="1" x14ac:dyDescent="0.2">
      <c r="A2723" s="91"/>
      <c r="B2723" s="10" t="s">
        <v>889</v>
      </c>
      <c r="C2723" s="10" t="s">
        <v>107</v>
      </c>
      <c r="D2723" s="28">
        <f>D2722</f>
        <v>0.71457905544147848</v>
      </c>
      <c r="E2723" s="28">
        <f>Inputs!$D$7</f>
        <v>1</v>
      </c>
      <c r="F2723" s="28">
        <f>Inputs!$D$7</f>
        <v>1</v>
      </c>
      <c r="G2723" s="28">
        <f>Inputs!$D$7</f>
        <v>1</v>
      </c>
      <c r="H2723" s="28">
        <f>Inputs!$D$7</f>
        <v>1</v>
      </c>
      <c r="I2723" s="28">
        <f>Inputs!$D$7</f>
        <v>1</v>
      </c>
      <c r="J2723" s="28">
        <f>Inputs!$D$7</f>
        <v>1</v>
      </c>
      <c r="K2723" s="28">
        <f>Inputs!$D$7</f>
        <v>1</v>
      </c>
      <c r="L2723" s="28">
        <f>Inputs!$D$7</f>
        <v>1</v>
      </c>
      <c r="M2723" s="28">
        <f>Inputs!$D$7</f>
        <v>1</v>
      </c>
    </row>
    <row r="2724" spans="1:13" ht="15" customHeight="1" x14ac:dyDescent="0.2">
      <c r="A2724" s="91"/>
      <c r="B2724" s="3" t="s">
        <v>890</v>
      </c>
      <c r="C2724" s="10" t="s">
        <v>199</v>
      </c>
      <c r="D2724" s="28">
        <f>Inputs!$D$24+(Inputs!$D$106-Inputs!$D$24)*Inputs!$D$109</f>
        <v>170.32</v>
      </c>
      <c r="E2724" s="28">
        <f>Inputs!$D$24+(Inputs!$D$106-Inputs!$D$24)*Inputs!$D$110</f>
        <v>481.12000000000006</v>
      </c>
      <c r="F2724" s="28">
        <f>Inputs!$D$24+(Inputs!$D$106-Inputs!$D$24)*Inputs!$D$111</f>
        <v>823</v>
      </c>
      <c r="G2724" s="28">
        <f>Inputs!$D$24+(Inputs!$D$106-Inputs!$D$24)*Inputs!$D$112</f>
        <v>1211.5</v>
      </c>
      <c r="H2724" s="28">
        <f>Inputs!$D$24+(Inputs!$D$106-Inputs!$D$24)*Inputs!$D$113</f>
        <v>1600</v>
      </c>
      <c r="I2724" s="28">
        <f>Inputs!$D$24+(Inputs!$D$106-Inputs!$D$24)*Inputs!$D$114</f>
        <v>1600</v>
      </c>
      <c r="J2724" s="28">
        <f>Inputs!$D$24+(Inputs!$D$106-Inputs!$D$24)*Inputs!$D$115</f>
        <v>1600</v>
      </c>
      <c r="K2724" s="28">
        <f>Inputs!$D$24+(Inputs!$D$106-Inputs!$D$24)*Inputs!$D$116</f>
        <v>1600</v>
      </c>
      <c r="L2724" s="28">
        <f>Inputs!$D$24+(Inputs!$D$106-Inputs!$D$24)*Inputs!$D$117</f>
        <v>1600</v>
      </c>
      <c r="M2724" s="28">
        <f>Inputs!$D$24+(Inputs!$D$106-Inputs!$D$24)*Inputs!$D$118</f>
        <v>1600</v>
      </c>
    </row>
    <row r="2725" spans="1:13" ht="15" customHeight="1" x14ac:dyDescent="0.2">
      <c r="A2725" s="91"/>
      <c r="B2725" s="10" t="s">
        <v>891</v>
      </c>
      <c r="C2725" s="10" t="s">
        <v>199</v>
      </c>
      <c r="D2725" s="28">
        <f>Inputs!$D$24</f>
        <v>46</v>
      </c>
      <c r="E2725" s="28">
        <f t="shared" ref="E2725:M2725" si="590">D2724</f>
        <v>170.32</v>
      </c>
      <c r="F2725" s="28">
        <f t="shared" si="590"/>
        <v>481.12000000000006</v>
      </c>
      <c r="G2725" s="28">
        <f t="shared" si="590"/>
        <v>823</v>
      </c>
      <c r="H2725" s="28">
        <f t="shared" si="590"/>
        <v>1211.5</v>
      </c>
      <c r="I2725" s="28">
        <f t="shared" si="590"/>
        <v>1600</v>
      </c>
      <c r="J2725" s="28">
        <f t="shared" si="590"/>
        <v>1600</v>
      </c>
      <c r="K2725" s="28">
        <f t="shared" si="590"/>
        <v>1600</v>
      </c>
      <c r="L2725" s="28">
        <f t="shared" si="590"/>
        <v>1600</v>
      </c>
      <c r="M2725" s="28">
        <f t="shared" si="590"/>
        <v>1600</v>
      </c>
    </row>
    <row r="2726" spans="1:13" ht="15" customHeight="1" x14ac:dyDescent="0.2">
      <c r="B2726" s="10" t="s">
        <v>892</v>
      </c>
      <c r="C2726" s="10" t="s">
        <v>199</v>
      </c>
      <c r="D2726" s="28">
        <f>(D2725+D2724)*Inputs!$D$12</f>
        <v>108.16</v>
      </c>
      <c r="E2726" s="28">
        <f>(E2725+E2724)*Inputs!$D$12</f>
        <v>325.72000000000003</v>
      </c>
      <c r="F2726" s="28">
        <f>(F2725+F2724)*Inputs!$D$12</f>
        <v>652.06000000000006</v>
      </c>
      <c r="G2726" s="28">
        <f>(G2725+G2724)*Inputs!$D$12</f>
        <v>1017.25</v>
      </c>
      <c r="H2726" s="28">
        <f>(H2725+H2724)*Inputs!$D$12</f>
        <v>1405.75</v>
      </c>
      <c r="I2726" s="28">
        <f>(I2725+I2724)*Inputs!$D$12</f>
        <v>1600</v>
      </c>
      <c r="J2726" s="28">
        <f>(J2725+J2724)*Inputs!$D$12</f>
        <v>1600</v>
      </c>
      <c r="K2726" s="28">
        <f>(K2725+K2724)*Inputs!$D$12</f>
        <v>1600</v>
      </c>
      <c r="L2726" s="28">
        <f>(L2725+L2724)*Inputs!$D$12</f>
        <v>1600</v>
      </c>
      <c r="M2726" s="28">
        <f>(M2725+M2724)*Inputs!$D$12</f>
        <v>1600</v>
      </c>
    </row>
    <row r="2727" spans="1:13" ht="15" customHeight="1" x14ac:dyDescent="0.2">
      <c r="B2727" s="10" t="s">
        <v>893</v>
      </c>
      <c r="C2727" s="10" t="s">
        <v>199</v>
      </c>
      <c r="D2727" s="28">
        <f t="shared" ref="D2727:M2727" si="591">D2724-D2725</f>
        <v>124.32</v>
      </c>
      <c r="E2727" s="28">
        <f t="shared" si="591"/>
        <v>310.80000000000007</v>
      </c>
      <c r="F2727" s="28">
        <f t="shared" si="591"/>
        <v>341.87999999999994</v>
      </c>
      <c r="G2727" s="28">
        <f t="shared" si="591"/>
        <v>388.5</v>
      </c>
      <c r="H2727" s="28">
        <f t="shared" si="591"/>
        <v>388.5</v>
      </c>
      <c r="I2727" s="28">
        <f t="shared" si="591"/>
        <v>0</v>
      </c>
      <c r="J2727" s="28">
        <f t="shared" si="591"/>
        <v>0</v>
      </c>
      <c r="K2727" s="28">
        <f t="shared" si="591"/>
        <v>0</v>
      </c>
      <c r="L2727" s="28">
        <f t="shared" si="591"/>
        <v>0</v>
      </c>
      <c r="M2727" s="28">
        <f t="shared" si="591"/>
        <v>0</v>
      </c>
    </row>
    <row r="2728" spans="1:13" ht="15" customHeight="1" x14ac:dyDescent="0.2">
      <c r="B2728" s="10" t="s">
        <v>894</v>
      </c>
      <c r="C2728" s="10" t="s">
        <v>199</v>
      </c>
      <c r="D2728" s="28">
        <f>IF(MOD(D2720,Inputs!$D$21)=Inputs!$D$6,Inputs!$D$24,Inputs!$D$6)+SUMPRODUCT(--(D2720&gt;$D$2720:$M$2720),--(MOD(D2720-$D$2720:$M$2720,Inputs!$D$21)=Inputs!$D$6),$D$2727:$M$2727)</f>
        <v>0</v>
      </c>
      <c r="E2728" s="28">
        <f>IF(MOD(E2720,Inputs!$D$21)=Inputs!$D$6,Inputs!$D$24,Inputs!$D$6)+SUMPRODUCT(--(E2720&gt;$D$2720:$M$2720),--(MOD(E2720-$D$2720:$M$2720,Inputs!$D$21)=Inputs!$D$6),$D$2727:$M$2727)</f>
        <v>0</v>
      </c>
      <c r="F2728" s="28">
        <f>IF(MOD(F2720,Inputs!$D$21)=Inputs!$D$6,Inputs!$D$24,Inputs!$D$6)+SUMPRODUCT(--(F2720&gt;$D$2720:$M$2720),--(MOD(F2720-$D$2720:$M$2720,Inputs!$D$21)=Inputs!$D$6),$D$2727:$M$2727)</f>
        <v>0</v>
      </c>
      <c r="G2728" s="28">
        <f>IF(MOD(G2720,Inputs!$D$21)=Inputs!$D$6,Inputs!$D$24,Inputs!$D$6)+SUMPRODUCT(--(G2720&gt;$D$2720:$M$2720),--(MOD(G2720-$D$2720:$M$2720,Inputs!$D$21)=Inputs!$D$6),$D$2727:$M$2727)</f>
        <v>46</v>
      </c>
      <c r="H2728" s="28">
        <f>IF(MOD(H2720,Inputs!$D$21)=Inputs!$D$6,Inputs!$D$24,Inputs!$D$6)+SUMPRODUCT(--(H2720&gt;$D$2720:$M$2720),--(MOD(H2720-$D$2720:$M$2720,Inputs!$D$21)=Inputs!$D$6),$D$2727:$M$2727)</f>
        <v>124.32</v>
      </c>
      <c r="I2728" s="28">
        <f>IF(MOD(I2720,Inputs!$D$21)=Inputs!$D$6,Inputs!$D$24,Inputs!$D$6)+SUMPRODUCT(--(I2720&gt;$D$2720:$M$2720),--(MOD(I2720-$D$2720:$M$2720,Inputs!$D$21)=Inputs!$D$6),$D$2727:$M$2727)</f>
        <v>310.80000000000007</v>
      </c>
      <c r="J2728" s="28">
        <f>IF(MOD(J2720,Inputs!$D$21)=Inputs!$D$6,Inputs!$D$24,Inputs!$D$6)+SUMPRODUCT(--(J2720&gt;$D$2720:$M$2720),--(MOD(J2720-$D$2720:$M$2720,Inputs!$D$21)=Inputs!$D$6),$D$2727:$M$2727)</f>
        <v>341.87999999999994</v>
      </c>
      <c r="K2728" s="28">
        <f>IF(MOD(K2720,Inputs!$D$21)=Inputs!$D$6,Inputs!$D$24,Inputs!$D$6)+SUMPRODUCT(--(K2720&gt;$D$2720:$M$2720),--(MOD(K2720-$D$2720:$M$2720,Inputs!$D$21)=Inputs!$D$6),$D$2727:$M$2727)</f>
        <v>434.5</v>
      </c>
      <c r="L2728" s="28">
        <f>IF(MOD(L2720,Inputs!$D$21)=Inputs!$D$6,Inputs!$D$24,Inputs!$D$6)+SUMPRODUCT(--(L2720&gt;$D$2720:$M$2720),--(MOD(L2720-$D$2720:$M$2720,Inputs!$D$21)=Inputs!$D$6),$D$2727:$M$2727)</f>
        <v>512.81999999999994</v>
      </c>
      <c r="M2728" s="28">
        <f>IF(MOD(M2720,Inputs!$D$21)=Inputs!$D$6,Inputs!$D$24,Inputs!$D$6)+SUMPRODUCT(--(M2720&gt;$D$2720:$M$2720),--(MOD(M2720-$D$2720:$M$2720,Inputs!$D$21)=Inputs!$D$6),$D$2727:$M$2727)</f>
        <v>310.80000000000007</v>
      </c>
    </row>
    <row r="2729" spans="1:13" ht="15" customHeight="1" x14ac:dyDescent="0.2">
      <c r="B2729" s="10" t="s">
        <v>895</v>
      </c>
      <c r="C2729" s="10" t="s">
        <v>896</v>
      </c>
      <c r="D2729" s="28">
        <f t="shared" ref="D2729:M2729" si="592">D2726*D2723</f>
        <v>77.288870636550314</v>
      </c>
      <c r="E2729" s="28">
        <f t="shared" si="592"/>
        <v>325.72000000000003</v>
      </c>
      <c r="F2729" s="28">
        <f t="shared" si="592"/>
        <v>652.06000000000006</v>
      </c>
      <c r="G2729" s="28">
        <f t="shared" si="592"/>
        <v>1017.25</v>
      </c>
      <c r="H2729" s="28">
        <f t="shared" si="592"/>
        <v>1405.75</v>
      </c>
      <c r="I2729" s="28">
        <f t="shared" si="592"/>
        <v>1600</v>
      </c>
      <c r="J2729" s="28">
        <f t="shared" si="592"/>
        <v>1600</v>
      </c>
      <c r="K2729" s="28">
        <f t="shared" si="592"/>
        <v>1600</v>
      </c>
      <c r="L2729" s="28">
        <f t="shared" si="592"/>
        <v>1600</v>
      </c>
      <c r="M2729" s="28">
        <f t="shared" si="592"/>
        <v>1600</v>
      </c>
    </row>
    <row r="2730" spans="1:13" ht="15" customHeight="1" x14ac:dyDescent="0.2">
      <c r="B2730" s="10" t="s">
        <v>897</v>
      </c>
      <c r="C2730" s="10" t="s">
        <v>110</v>
      </c>
      <c r="D2730" s="16">
        <f>D2729*($D$2749/Inputs!$D$21+$D$2750/Inputs!$D$22)</f>
        <v>1118.2034893112541</v>
      </c>
      <c r="E2730" s="16">
        <f>E2729*($D$2749/Inputs!$D$21+$D$2750/Inputs!$D$22)</f>
        <v>4712.466847280074</v>
      </c>
      <c r="F2730" s="16">
        <f>F2729*($D$2749/Inputs!$D$21+$D$2750/Inputs!$D$22)</f>
        <v>9433.9037591718188</v>
      </c>
      <c r="G2730" s="16">
        <f>G2729*($D$2749/Inputs!$D$21+$D$2750/Inputs!$D$22)</f>
        <v>14717.416493907818</v>
      </c>
      <c r="H2730" s="16">
        <f>H2729*($D$2749/Inputs!$D$21+$D$2750/Inputs!$D$22)</f>
        <v>20338.17472235037</v>
      </c>
      <c r="I2730" s="16">
        <f>I2729*($D$2749/Inputs!$D$21+$D$2750/Inputs!$D$22)</f>
        <v>23148.553836571649</v>
      </c>
      <c r="J2730" s="16">
        <f>J2729*($D$2749/Inputs!$D$21+$D$2750/Inputs!$D$22)</f>
        <v>23148.553836571649</v>
      </c>
      <c r="K2730" s="16">
        <f>K2729*($D$2749/Inputs!$D$21+$D$2750/Inputs!$D$22)</f>
        <v>23148.553836571649</v>
      </c>
      <c r="L2730" s="16">
        <f>L2729*($D$2749/Inputs!$D$21+$D$2750/Inputs!$D$22)</f>
        <v>23148.553836571649</v>
      </c>
      <c r="M2730" s="16">
        <f>M2729*($D$2749/Inputs!$D$21+$D$2750/Inputs!$D$22)</f>
        <v>23148.553836571649</v>
      </c>
    </row>
    <row r="2731" spans="1:13" ht="15" customHeight="1" x14ac:dyDescent="0.2">
      <c r="B2731" s="10" t="s">
        <v>898</v>
      </c>
      <c r="C2731" s="10" t="s">
        <v>110</v>
      </c>
      <c r="D2731" s="16">
        <f t="shared" ref="D2731:M2731" si="593">D2727*($D$2749+$D$2750)</f>
        <v>7454.8732903914051</v>
      </c>
      <c r="E2731" s="16">
        <f t="shared" si="593"/>
        <v>18637.183225978519</v>
      </c>
      <c r="F2731" s="16">
        <f t="shared" si="593"/>
        <v>20500.901548576363</v>
      </c>
      <c r="G2731" s="16">
        <f t="shared" si="593"/>
        <v>23296.479032473144</v>
      </c>
      <c r="H2731" s="16">
        <f t="shared" si="593"/>
        <v>23296.479032473144</v>
      </c>
      <c r="I2731" s="16">
        <f t="shared" si="593"/>
        <v>0</v>
      </c>
      <c r="J2731" s="16">
        <f t="shared" si="593"/>
        <v>0</v>
      </c>
      <c r="K2731" s="16">
        <f t="shared" si="593"/>
        <v>0</v>
      </c>
      <c r="L2731" s="16">
        <f t="shared" si="593"/>
        <v>0</v>
      </c>
      <c r="M2731" s="16">
        <f t="shared" si="593"/>
        <v>0</v>
      </c>
    </row>
    <row r="2732" spans="1:13" ht="15" customHeight="1" x14ac:dyDescent="0.2">
      <c r="B2732" s="10" t="s">
        <v>899</v>
      </c>
      <c r="C2732" s="10" t="s">
        <v>110</v>
      </c>
      <c r="D2732" s="16">
        <f t="shared" ref="D2732:M2732" si="594">D2728*$D$2749</f>
        <v>0</v>
      </c>
      <c r="E2732" s="16">
        <f t="shared" si="594"/>
        <v>0</v>
      </c>
      <c r="F2732" s="16">
        <f t="shared" si="594"/>
        <v>0</v>
      </c>
      <c r="G2732" s="16">
        <f t="shared" si="594"/>
        <v>2638.0048485671714</v>
      </c>
      <c r="H2732" s="16">
        <f t="shared" si="594"/>
        <v>7129.4948429102333</v>
      </c>
      <c r="I2732" s="16">
        <f t="shared" si="594"/>
        <v>17823.737107275589</v>
      </c>
      <c r="J2732" s="16">
        <f t="shared" si="594"/>
        <v>19606.110818003141</v>
      </c>
      <c r="K2732" s="16">
        <f t="shared" si="594"/>
        <v>24917.676232661652</v>
      </c>
      <c r="L2732" s="16">
        <f t="shared" si="594"/>
        <v>29409.166227004709</v>
      </c>
      <c r="M2732" s="16">
        <f t="shared" si="594"/>
        <v>17823.737107275589</v>
      </c>
    </row>
    <row r="2733" spans="1:13" ht="15" customHeight="1" x14ac:dyDescent="0.2">
      <c r="B2733" s="10" t="s">
        <v>900</v>
      </c>
      <c r="C2733" s="10" t="s">
        <v>199</v>
      </c>
      <c r="D2733" s="28">
        <f>D2727*Inputs!$D$23</f>
        <v>3.1080000000000001</v>
      </c>
      <c r="E2733" s="28">
        <f>E2727*Inputs!$D$23</f>
        <v>7.7700000000000022</v>
      </c>
      <c r="F2733" s="28">
        <f>F2727*Inputs!$D$23</f>
        <v>8.5469999999999988</v>
      </c>
      <c r="G2733" s="28">
        <f>G2727*Inputs!$D$23</f>
        <v>9.7125000000000004</v>
      </c>
      <c r="H2733" s="28">
        <f>H2727*Inputs!$D$23</f>
        <v>9.7125000000000004</v>
      </c>
      <c r="I2733" s="28">
        <f>I2727*Inputs!$D$23</f>
        <v>0</v>
      </c>
      <c r="J2733" s="28">
        <f>J2727*Inputs!$D$23</f>
        <v>0</v>
      </c>
      <c r="K2733" s="28">
        <f>K2727*Inputs!$D$23</f>
        <v>0</v>
      </c>
      <c r="L2733" s="28">
        <f>L2727*Inputs!$D$23</f>
        <v>0</v>
      </c>
      <c r="M2733" s="28">
        <f>M2727*Inputs!$D$23</f>
        <v>0</v>
      </c>
    </row>
    <row r="2734" spans="1:13" ht="15" customHeight="1" x14ac:dyDescent="0.2">
      <c r="B2734" s="3" t="s">
        <v>901</v>
      </c>
      <c r="C2734" s="10" t="s">
        <v>896</v>
      </c>
      <c r="D2734" s="28">
        <f>(D2729*$D$2747*(Inputs!$D$7-Inputs!$D$19)-D2733)/(Inputs!$D$7+$D$2748)^D2722</f>
        <v>40.99699201112098</v>
      </c>
      <c r="E2734" s="28">
        <f>(E2729*$D$2747*(Inputs!$D$7-Inputs!$D$19)-E2733)/(Inputs!$D$7+$D$2748)^E2722</f>
        <v>153.02781912726542</v>
      </c>
      <c r="F2734" s="28">
        <f>(F2729*$D$2747*(Inputs!$D$7-Inputs!$D$19)-F2733)/(Inputs!$D$7+$D$2748)^F2722</f>
        <v>268.8019226843403</v>
      </c>
      <c r="G2734" s="28">
        <f>(G2729*$D$2747*(Inputs!$D$7-Inputs!$D$19)-G2733)/(Inputs!$D$7+$D$2748)^G2722</f>
        <v>363.62824610263397</v>
      </c>
      <c r="H2734" s="28">
        <f>(H2729*$D$2747*(Inputs!$D$7-Inputs!$D$19)-H2733)/(Inputs!$D$7+$D$2748)^H2722</f>
        <v>435.07807528321291</v>
      </c>
      <c r="I2734" s="28">
        <f>(I2729*$D$2747*(Inputs!$D$7-Inputs!$D$19)-I2733)/(Inputs!$D$7+$D$2748)^I2722</f>
        <v>431.49711827119876</v>
      </c>
      <c r="J2734" s="28">
        <f>(J2729*$D$2747*(Inputs!$D$7-Inputs!$D$19)-J2733)/(Inputs!$D$7+$D$2748)^J2722</f>
        <v>372.01806500733016</v>
      </c>
      <c r="K2734" s="28">
        <f>(K2729*$D$2747*(Inputs!$D$7-Inputs!$D$19)-K2733)/(Inputs!$D$7+$D$2748)^K2722</f>
        <v>320.73780989845312</v>
      </c>
      <c r="L2734" s="28">
        <f>(L2729*$D$2747*(Inputs!$D$7-Inputs!$D$19)-L2733)/(Inputs!$D$7+$D$2748)^L2722</f>
        <v>276.52620228651875</v>
      </c>
      <c r="M2734" s="28">
        <f>(M2729*$D$2747*(Inputs!$D$7-Inputs!$D$19)-M2733)/(Inputs!$D$7+$D$2748)^M2722</f>
        <v>238.31201718226143</v>
      </c>
    </row>
    <row r="2735" spans="1:13" ht="15" customHeight="1" x14ac:dyDescent="0.2">
      <c r="B2735" s="10" t="s">
        <v>902</v>
      </c>
      <c r="C2735" s="10" t="s">
        <v>110</v>
      </c>
      <c r="D2735" s="16">
        <f>(D2730*Inputs!$D$19-D2731-D2732)/(Inputs!$D$7+$D$2748)^D2722</f>
        <v>-6403.0045740313244</v>
      </c>
      <c r="E2735" s="16">
        <f>(E2730*Inputs!$D$19-E2731-E2732)/(Inputs!$D$7+$D$2748)^E2722</f>
        <v>-13349.632212764713</v>
      </c>
      <c r="F2735" s="16">
        <f>(F2730*Inputs!$D$19-F2731-F2732)/(Inputs!$D$7+$D$2748)^F2722</f>
        <v>-11808.370082432088</v>
      </c>
      <c r="G2735" s="16">
        <f>(G2730*Inputs!$D$19-G2731-G2732)/(Inputs!$D$7+$D$2748)^G2722</f>
        <v>-12397.921878440668</v>
      </c>
      <c r="H2735" s="16">
        <f>(H2730*Inputs!$D$19-H2731-H2732)/(Inputs!$D$7+$D$2748)^H2722</f>
        <v>-12082.366885213038</v>
      </c>
      <c r="I2735" s="16">
        <f>(I2730*Inputs!$D$19-I2731-I2732)/(Inputs!$D$7+$D$2748)^I2722</f>
        <v>-4657.0743222469628</v>
      </c>
      <c r="J2735" s="16">
        <f>(J2730*Inputs!$D$19-J2731-J2732)/(Inputs!$D$7+$D$2748)^J2722</f>
        <v>-4672.9398284057479</v>
      </c>
      <c r="K2735" s="16">
        <f>(K2730*Inputs!$D$19-K2731-K2732)/(Inputs!$D$7+$D$2748)^K2722</f>
        <v>-5718.9047268503064</v>
      </c>
      <c r="L2735" s="16">
        <f>(L2730*Inputs!$D$19-L2731-L2732)/(Inputs!$D$7+$D$2748)^L2722</f>
        <v>-6162.7485564592316</v>
      </c>
      <c r="M2735" s="16">
        <f>(M2730*Inputs!$D$19-M2731-M2732)/(Inputs!$D$7+$D$2748)^M2722</f>
        <v>-2572.0606903447429</v>
      </c>
    </row>
    <row r="2736" spans="1:13" ht="15" customHeight="1" x14ac:dyDescent="0.2">
      <c r="B2736" s="10" t="s">
        <v>903</v>
      </c>
      <c r="C2736" s="10" t="s">
        <v>110</v>
      </c>
      <c r="D2736" s="16">
        <f t="shared" ref="D2736:M2736" si="595">D2729*$D$2746</f>
        <v>2811.7666388220041</v>
      </c>
      <c r="E2736" s="16">
        <f t="shared" si="595"/>
        <v>11849.683169830063</v>
      </c>
      <c r="F2736" s="16">
        <f t="shared" si="595"/>
        <v>23721.921919806555</v>
      </c>
      <c r="G2736" s="16">
        <f t="shared" si="595"/>
        <v>37007.522425732626</v>
      </c>
      <c r="H2736" s="16">
        <f t="shared" si="595"/>
        <v>51141.139985228445</v>
      </c>
      <c r="I2736" s="16">
        <f t="shared" si="595"/>
        <v>58207.948764976354</v>
      </c>
      <c r="J2736" s="16">
        <f t="shared" si="595"/>
        <v>58207.948764976354</v>
      </c>
      <c r="K2736" s="16">
        <f t="shared" si="595"/>
        <v>58207.948764976354</v>
      </c>
      <c r="L2736" s="16">
        <f t="shared" si="595"/>
        <v>58207.948764976354</v>
      </c>
      <c r="M2736" s="16">
        <f t="shared" si="595"/>
        <v>58207.948764976354</v>
      </c>
    </row>
    <row r="2737" spans="2:13" ht="15" customHeight="1" x14ac:dyDescent="0.2">
      <c r="B2737" s="10" t="s">
        <v>904</v>
      </c>
      <c r="C2737" s="10" t="s">
        <v>110</v>
      </c>
      <c r="D2737" s="16">
        <f t="shared" ref="D2737:M2737" si="596">D2736*$D$2747</f>
        <v>2530.5899749398036</v>
      </c>
      <c r="E2737" s="16">
        <f t="shared" si="596"/>
        <v>10664.714852847057</v>
      </c>
      <c r="F2737" s="16">
        <f t="shared" si="596"/>
        <v>21349.729727825899</v>
      </c>
      <c r="G2737" s="16">
        <f t="shared" si="596"/>
        <v>33306.770183159366</v>
      </c>
      <c r="H2737" s="16">
        <f t="shared" si="596"/>
        <v>46027.025986705601</v>
      </c>
      <c r="I2737" s="16">
        <f t="shared" si="596"/>
        <v>52387.153888478722</v>
      </c>
      <c r="J2737" s="16">
        <f t="shared" si="596"/>
        <v>52387.153888478722</v>
      </c>
      <c r="K2737" s="16">
        <f t="shared" si="596"/>
        <v>52387.153888478722</v>
      </c>
      <c r="L2737" s="16">
        <f t="shared" si="596"/>
        <v>52387.153888478722</v>
      </c>
      <c r="M2737" s="16">
        <f t="shared" si="596"/>
        <v>52387.153888478722</v>
      </c>
    </row>
    <row r="2738" spans="2:13" ht="15" customHeight="1" x14ac:dyDescent="0.2">
      <c r="B2738" s="10" t="s">
        <v>905</v>
      </c>
      <c r="C2738" s="10" t="s">
        <v>110</v>
      </c>
      <c r="D2738" s="16">
        <f t="shared" ref="D2738:M2738" si="597">D2737-D2730</f>
        <v>1412.3864856285495</v>
      </c>
      <c r="E2738" s="16">
        <f t="shared" si="597"/>
        <v>5952.248005566983</v>
      </c>
      <c r="F2738" s="16">
        <f t="shared" si="597"/>
        <v>11915.82596865408</v>
      </c>
      <c r="G2738" s="16">
        <f t="shared" si="597"/>
        <v>18589.353689251548</v>
      </c>
      <c r="H2738" s="16">
        <f t="shared" si="597"/>
        <v>25688.851264355231</v>
      </c>
      <c r="I2738" s="16">
        <f t="shared" si="597"/>
        <v>29238.600051907073</v>
      </c>
      <c r="J2738" s="16">
        <f t="shared" si="597"/>
        <v>29238.600051907073</v>
      </c>
      <c r="K2738" s="16">
        <f t="shared" si="597"/>
        <v>29238.600051907073</v>
      </c>
      <c r="L2738" s="16">
        <f t="shared" si="597"/>
        <v>29238.600051907073</v>
      </c>
      <c r="M2738" s="16">
        <f t="shared" si="597"/>
        <v>29238.600051907073</v>
      </c>
    </row>
    <row r="2739" spans="2:13" ht="15" customHeight="1" x14ac:dyDescent="0.2">
      <c r="B2739" s="10" t="s">
        <v>906</v>
      </c>
      <c r="C2739" s="10" t="s">
        <v>110</v>
      </c>
      <c r="D2739" s="16">
        <f>MAX(D2738,Inputs!$D$6)*Inputs!$D$19</f>
        <v>423.71594568856483</v>
      </c>
      <c r="E2739" s="16">
        <f>MAX(E2738,Inputs!$D$6)*Inputs!$D$19</f>
        <v>1785.6744016700948</v>
      </c>
      <c r="F2739" s="16">
        <f>MAX(F2738,Inputs!$D$6)*Inputs!$D$19</f>
        <v>3574.7477905962241</v>
      </c>
      <c r="G2739" s="16">
        <f>MAX(G2738,Inputs!$D$6)*Inputs!$D$19</f>
        <v>5576.8061067754643</v>
      </c>
      <c r="H2739" s="16">
        <f>MAX(H2738,Inputs!$D$6)*Inputs!$D$19</f>
        <v>7706.6553793065686</v>
      </c>
      <c r="I2739" s="16">
        <f>MAX(I2738,Inputs!$D$6)*Inputs!$D$19</f>
        <v>8771.5800155721208</v>
      </c>
      <c r="J2739" s="16">
        <f>MAX(J2738,Inputs!$D$6)*Inputs!$D$19</f>
        <v>8771.5800155721208</v>
      </c>
      <c r="K2739" s="16">
        <f>MAX(K2738,Inputs!$D$6)*Inputs!$D$19</f>
        <v>8771.5800155721208</v>
      </c>
      <c r="L2739" s="16">
        <f>MAX(L2738,Inputs!$D$6)*Inputs!$D$19</f>
        <v>8771.5800155721208</v>
      </c>
      <c r="M2739" s="16">
        <f>MAX(M2738,Inputs!$D$6)*Inputs!$D$19</f>
        <v>8771.5800155721208</v>
      </c>
    </row>
    <row r="2740" spans="2:13" ht="15" customHeight="1" x14ac:dyDescent="0.2">
      <c r="B2740" s="10" t="s">
        <v>907</v>
      </c>
      <c r="C2740" s="10" t="s">
        <v>110</v>
      </c>
      <c r="D2740" s="16">
        <f t="shared" ref="D2740:M2740" si="598">D2733*$D$2746</f>
        <v>113.06894047596657</v>
      </c>
      <c r="E2740" s="16">
        <f t="shared" si="598"/>
        <v>282.67235118991653</v>
      </c>
      <c r="F2740" s="16">
        <f t="shared" si="598"/>
        <v>310.93958630890802</v>
      </c>
      <c r="G2740" s="16">
        <f t="shared" si="598"/>
        <v>353.34043898739554</v>
      </c>
      <c r="H2740" s="16">
        <f t="shared" si="598"/>
        <v>353.34043898739554</v>
      </c>
      <c r="I2740" s="16">
        <f t="shared" si="598"/>
        <v>0</v>
      </c>
      <c r="J2740" s="16">
        <f t="shared" si="598"/>
        <v>0</v>
      </c>
      <c r="K2740" s="16">
        <f t="shared" si="598"/>
        <v>0</v>
      </c>
      <c r="L2740" s="16">
        <f t="shared" si="598"/>
        <v>0</v>
      </c>
      <c r="M2740" s="16">
        <f t="shared" si="598"/>
        <v>0</v>
      </c>
    </row>
    <row r="2741" spans="2:13" ht="15" customHeight="1" x14ac:dyDescent="0.2">
      <c r="B2741" s="10" t="s">
        <v>908</v>
      </c>
      <c r="C2741" s="10" t="s">
        <v>110</v>
      </c>
      <c r="D2741" s="16">
        <f t="shared" ref="D2741:M2741" si="599">D2737-D2739-D2731-D2732-D2740</f>
        <v>-5461.0682016161336</v>
      </c>
      <c r="E2741" s="16">
        <f t="shared" si="599"/>
        <v>-10040.815125991472</v>
      </c>
      <c r="F2741" s="16">
        <f t="shared" si="599"/>
        <v>-3036.859197655594</v>
      </c>
      <c r="G2741" s="16">
        <f t="shared" si="599"/>
        <v>1442.1397563561907</v>
      </c>
      <c r="H2741" s="16">
        <f t="shared" si="599"/>
        <v>7541.0562930282595</v>
      </c>
      <c r="I2741" s="16">
        <f t="shared" si="599"/>
        <v>25791.836765631011</v>
      </c>
      <c r="J2741" s="16">
        <f t="shared" si="599"/>
        <v>24009.463054903459</v>
      </c>
      <c r="K2741" s="16">
        <f t="shared" si="599"/>
        <v>18697.897640244948</v>
      </c>
      <c r="L2741" s="16">
        <f t="shared" si="599"/>
        <v>14206.407645901891</v>
      </c>
      <c r="M2741" s="16">
        <f t="shared" si="599"/>
        <v>25791.836765631011</v>
      </c>
    </row>
    <row r="2742" spans="2:13" ht="15" customHeight="1" x14ac:dyDescent="0.2">
      <c r="B2742" s="10" t="s">
        <v>909</v>
      </c>
      <c r="C2742" s="10" t="s">
        <v>110</v>
      </c>
      <c r="D2742" s="16">
        <f>D2741/(Inputs!$D$7+$D$2748)^D2722</f>
        <v>-4911.535317467903</v>
      </c>
      <c r="E2742" s="16">
        <f>E2741/(Inputs!$D$7+$D$2748)^E2722</f>
        <v>-7782.4850531547509</v>
      </c>
      <c r="F2742" s="16">
        <f>F2741/(Inputs!$D$7+$D$2748)^F2722</f>
        <v>-2029.3647427213241</v>
      </c>
      <c r="G2742" s="16">
        <f>G2741/(Inputs!$D$7+$D$2748)^G2722</f>
        <v>830.86207070954276</v>
      </c>
      <c r="H2742" s="16">
        <f>H2741/(Inputs!$D$7+$D$2748)^H2722</f>
        <v>3745.7595615680784</v>
      </c>
      <c r="I2742" s="16">
        <f>I2741/(Inputs!$D$7+$D$2748)^I2722</f>
        <v>11040.777023106089</v>
      </c>
      <c r="J2742" s="16">
        <f>J2741/(Inputs!$D$7+$D$2748)^J2722</f>
        <v>8861.0654638394517</v>
      </c>
      <c r="K2742" s="16">
        <f>K2741/(Inputs!$D$7+$D$2748)^K2722</f>
        <v>5949.5265266246233</v>
      </c>
      <c r="L2742" s="16">
        <f>L2741/(Inputs!$D$7+$D$2748)^L2722</f>
        <v>3897.2658278327513</v>
      </c>
      <c r="M2742" s="16">
        <f>M2741/(Inputs!$D$7+$D$2748)^M2722</f>
        <v>6097.7228635447827</v>
      </c>
    </row>
    <row r="2743" spans="2:13" ht="15" customHeight="1" x14ac:dyDescent="0.2">
      <c r="B2743" s="3" t="s">
        <v>910</v>
      </c>
      <c r="C2743" s="10" t="s">
        <v>896</v>
      </c>
      <c r="D2743" s="28">
        <f>(D2729*$D$2747-D2733)/(Inputs!$D$7+$D$2748)^D2722</f>
        <v>59.765095798928819</v>
      </c>
      <c r="E2743" s="28">
        <f>(E2729*$D$2747-E2733)/(Inputs!$D$7+$D$2748)^E2722</f>
        <v>221.1922031857838</v>
      </c>
      <c r="F2743" s="28">
        <f>(F2729*$D$2747-F2733)/(Inputs!$D$7+$D$2748)^F2722</f>
        <v>386.45052664112239</v>
      </c>
      <c r="G2743" s="28">
        <f>(G2729*$D$2747-G2733)/(Inputs!$D$7+$D$2748)^G2722</f>
        <v>521.867070169518</v>
      </c>
      <c r="H2743" s="28">
        <f>(H2729*$D$2747-H2733)/(Inputs!$D$7+$D$2748)^H2722</f>
        <v>623.60768582417222</v>
      </c>
      <c r="I2743" s="28">
        <f>(I2729*$D$2747-I2733)/(Inputs!$D$7+$D$2748)^I2722</f>
        <v>616.42445467314121</v>
      </c>
      <c r="J2743" s="28">
        <f>(J2729*$D$2747-J2733)/(Inputs!$D$7+$D$2748)^J2722</f>
        <v>531.4543785819003</v>
      </c>
      <c r="K2743" s="28">
        <f>(K2729*$D$2747-K2733)/(Inputs!$D$7+$D$2748)^K2722</f>
        <v>458.19687128350449</v>
      </c>
      <c r="L2743" s="28">
        <f>(L2729*$D$2747-L2733)/(Inputs!$D$7+$D$2748)^L2722</f>
        <v>395.03743183788401</v>
      </c>
      <c r="M2743" s="28">
        <f>(M2729*$D$2747-M2733)/(Inputs!$D$7+$D$2748)^M2722</f>
        <v>340.44573883180209</v>
      </c>
    </row>
    <row r="2744" spans="2:13" ht="15" customHeight="1" x14ac:dyDescent="0.2">
      <c r="B2744" s="10" t="s">
        <v>911</v>
      </c>
      <c r="C2744" s="10" t="s">
        <v>110</v>
      </c>
      <c r="D2744" s="16">
        <f>(-D2731-D2732)/(Inputs!$D$7+$D$2748)^D2722</f>
        <v>-6704.7090607969039</v>
      </c>
      <c r="E2744" s="16">
        <f>(-E2731-E2732)/(Inputs!$D$7+$D$2748)^E2722</f>
        <v>-14445.4009031226</v>
      </c>
      <c r="F2744" s="16">
        <f>(-F2731-F2732)/(Inputs!$D$7+$D$2748)^F2722</f>
        <v>-13699.616639717549</v>
      </c>
      <c r="G2744" s="16">
        <f>(-G2731-G2732)/(Inputs!$D$7+$D$2748)^G2722</f>
        <v>-14941.671835349038</v>
      </c>
      <c r="H2744" s="16">
        <f>(-H2731-H2732)/(Inputs!$D$7+$D$2748)^H2722</f>
        <v>-15113.052884793095</v>
      </c>
      <c r="I2744" s="16">
        <f>(-I2731-I2732)/(Inputs!$D$7+$D$2748)^I2722</f>
        <v>-7629.8523795762403</v>
      </c>
      <c r="J2744" s="16">
        <f>(-J2731-J2732)/(Inputs!$D$7+$D$2748)^J2722</f>
        <v>-7235.9398897150922</v>
      </c>
      <c r="K2744" s="16">
        <f>(-K2731-K2732)/(Inputs!$D$7+$D$2748)^K2722</f>
        <v>-7928.612006570077</v>
      </c>
      <c r="L2744" s="16">
        <f>(-L2731-L2732)/(Inputs!$D$7+$D$2748)^L2722</f>
        <v>-8067.8621519509534</v>
      </c>
      <c r="M2744" s="16">
        <f>(-M2731-M2732)/(Inputs!$D$7+$D$2748)^M2722</f>
        <v>-4213.8995473821142</v>
      </c>
    </row>
    <row r="2745" spans="2:13" ht="15" customHeight="1" x14ac:dyDescent="0.2">
      <c r="B2745" s="10" t="s">
        <v>912</v>
      </c>
      <c r="C2745" s="10" t="s">
        <v>110</v>
      </c>
      <c r="D2745" s="16">
        <f>Prices!K15</f>
        <v>58174.523570712139</v>
      </c>
    </row>
    <row r="2746" spans="2:13" ht="15" customHeight="1" x14ac:dyDescent="0.2">
      <c r="B2746" s="3" t="s">
        <v>913</v>
      </c>
      <c r="C2746" s="10" t="s">
        <v>914</v>
      </c>
      <c r="D2746" s="28">
        <f>IF(J2753&gt;=J2749,J2753,(D2745-J2752)/J2751)</f>
        <v>36.379967978110223</v>
      </c>
      <c r="G2746" s="99" t="s">
        <v>915</v>
      </c>
      <c r="H2746" s="91"/>
      <c r="I2746" s="91"/>
      <c r="J2746" s="28">
        <f>D2746*Inputs!$D$15</f>
        <v>25.389579651923125</v>
      </c>
      <c r="K2746" s="99" t="s">
        <v>916</v>
      </c>
      <c r="L2746" s="91"/>
      <c r="M2746" s="91"/>
    </row>
    <row r="2747" spans="2:13" ht="15" customHeight="1" x14ac:dyDescent="0.2">
      <c r="B2747" s="10" t="s">
        <v>917</v>
      </c>
      <c r="C2747" s="10" t="s">
        <v>104</v>
      </c>
      <c r="D2747" s="30">
        <f>Inputs!$D$107</f>
        <v>0.9</v>
      </c>
      <c r="G2747" s="99" t="s">
        <v>918</v>
      </c>
      <c r="H2747" s="91"/>
      <c r="I2747" s="91"/>
      <c r="J2747" s="28">
        <f>IF(-D2758/D2757&gt;=J2749,-D2758/D2757,-J2752/J2751)</f>
        <v>24.024174528419383</v>
      </c>
      <c r="K2747" s="99" t="s">
        <v>919</v>
      </c>
      <c r="L2747" s="91"/>
      <c r="M2747" s="91"/>
    </row>
    <row r="2748" spans="2:13" ht="15" customHeight="1" x14ac:dyDescent="0.2">
      <c r="B2748" s="10" t="s">
        <v>920</v>
      </c>
      <c r="C2748" s="10" t="s">
        <v>104</v>
      </c>
      <c r="D2748" s="30">
        <f>Inputs!$D$108</f>
        <v>0.16</v>
      </c>
      <c r="G2748" s="99" t="s">
        <v>918</v>
      </c>
      <c r="H2748" s="91"/>
      <c r="I2748" s="91"/>
      <c r="J2748" s="28">
        <f>J2747*Inputs!$D$15</f>
        <v>16.766471403383886</v>
      </c>
      <c r="K2748" s="99" t="s">
        <v>916</v>
      </c>
      <c r="L2748" s="91"/>
      <c r="M2748" s="91"/>
    </row>
    <row r="2749" spans="2:13" ht="15" customHeight="1" x14ac:dyDescent="0.2">
      <c r="B2749" s="3" t="s">
        <v>921</v>
      </c>
      <c r="C2749" s="10" t="s">
        <v>848</v>
      </c>
      <c r="D2749" s="28">
        <f>Capital!$D$13</f>
        <v>57.347931490590682</v>
      </c>
      <c r="G2749" s="99" t="s">
        <v>922</v>
      </c>
      <c r="H2749" s="91"/>
      <c r="I2749" s="91"/>
      <c r="J2749" s="28">
        <f>($D$2749/Inputs!$D$21+$D$2750/Inputs!$D$22)/$D$2747</f>
        <v>16.07538460873031</v>
      </c>
      <c r="K2749" s="99" t="s">
        <v>919</v>
      </c>
      <c r="L2749" s="91"/>
      <c r="M2749" s="91"/>
    </row>
    <row r="2750" spans="2:13" ht="15" customHeight="1" x14ac:dyDescent="0.2">
      <c r="B2750" s="3" t="s">
        <v>923</v>
      </c>
      <c r="C2750" s="10" t="s">
        <v>848</v>
      </c>
      <c r="D2750" s="28">
        <f>Capital!$D$14</f>
        <v>2.6172655041921802</v>
      </c>
    </row>
    <row r="2751" spans="2:13" ht="15" customHeight="1" x14ac:dyDescent="0.2">
      <c r="B2751" s="10" t="s">
        <v>924</v>
      </c>
      <c r="C2751" s="10" t="s">
        <v>896</v>
      </c>
      <c r="D2751" s="28">
        <f>(M2724*(Inputs!$D$7+Inputs!$D$20)*$D$2747*(Inputs!$D$7-Inputs!$D$19)-M2724*Inputs!$D$20*Inputs!$D$23)/($D$2748-Inputs!$D$20)/(Inputs!$D$7+$D$2748)^M2722</f>
        <v>1807.6547922951956</v>
      </c>
      <c r="G2751" s="92" t="s">
        <v>910</v>
      </c>
      <c r="H2751" s="91"/>
      <c r="I2751" s="91"/>
      <c r="J2751" s="28">
        <f>SUM(D2743:M2743)+(M2724*(Inputs!$D$7+Inputs!$D$20)*$D$2747-M2724*Inputs!$D$20*Inputs!$D$23)/($D$2748-Inputs!$D$20)/(Inputs!$D$7+$D$2748)^M2722</f>
        <v>6737.5559875731687</v>
      </c>
      <c r="K2751" s="99" t="s">
        <v>896</v>
      </c>
      <c r="L2751" s="91"/>
      <c r="M2751" s="91"/>
    </row>
    <row r="2752" spans="2:13" ht="15" customHeight="1" x14ac:dyDescent="0.2">
      <c r="B2752" s="10" t="s">
        <v>925</v>
      </c>
      <c r="C2752" s="10" t="s">
        <v>110</v>
      </c>
      <c r="D2752" s="16">
        <f>(D2755*Inputs!$D$19-D2755-D2756)/($D$2748-Inputs!$D$20)/(Inputs!$D$7+$D$2748)^M2722</f>
        <v>-33287.494112345899</v>
      </c>
      <c r="G2752" s="92" t="s">
        <v>926</v>
      </c>
      <c r="H2752" s="91"/>
      <c r="I2752" s="91"/>
      <c r="J2752" s="16">
        <f>SUM(D2744:M2744)-(D2755+D2756)/($D$2748-Inputs!$D$20)/(Inputs!$D$7+$D$2748)^M2722</f>
        <v>-145733.9249554922</v>
      </c>
      <c r="K2752" s="99" t="s">
        <v>110</v>
      </c>
      <c r="L2752" s="91"/>
      <c r="M2752" s="91"/>
    </row>
    <row r="2753" spans="1:13" ht="15" customHeight="1" x14ac:dyDescent="0.2">
      <c r="B2753" s="10" t="s">
        <v>927</v>
      </c>
      <c r="C2753" s="10" t="s">
        <v>928</v>
      </c>
      <c r="D2753" s="16">
        <f>(M2724*(Inputs!$D$7+Inputs!$D$20)*$D$2746*$D$2747-D2755)-MAX((M2724*(Inputs!$D$7+Inputs!$D$20)*$D$2746*$D$2747-D2755),Inputs!$D$6)*Inputs!$D$19-D2756-M2724*Inputs!$D$20*$D$2746*Inputs!$D$23</f>
        <v>18543.707689473897</v>
      </c>
      <c r="G2753" s="99" t="s">
        <v>929</v>
      </c>
      <c r="H2753" s="91"/>
      <c r="I2753" s="91"/>
      <c r="J2753" s="28">
        <f>(D2745-D2758)/D2757</f>
        <v>36.379967978110223</v>
      </c>
      <c r="K2753" s="99" t="s">
        <v>919</v>
      </c>
      <c r="L2753" s="91"/>
      <c r="M2753" s="91"/>
    </row>
    <row r="2754" spans="1:13" ht="15" customHeight="1" x14ac:dyDescent="0.2">
      <c r="B2754" s="10" t="s">
        <v>930</v>
      </c>
      <c r="C2754" s="10" t="s">
        <v>110</v>
      </c>
      <c r="D2754" s="16">
        <f>D2753/($D$2748-Inputs!$D$20)</f>
        <v>137360.79769980663</v>
      </c>
      <c r="G2754" s="99" t="s">
        <v>931</v>
      </c>
      <c r="H2754" s="91"/>
      <c r="I2754" s="91"/>
      <c r="J2754" s="16">
        <f>MIN(D2738:M2738,(M2724*(Inputs!$D$7+Inputs!$D$20)*$D$2746*$D$2747-D2755))</f>
        <v>1412.3864856285495</v>
      </c>
      <c r="K2754" s="99" t="s">
        <v>110</v>
      </c>
      <c r="L2754" s="91"/>
      <c r="M2754" s="91"/>
    </row>
    <row r="2755" spans="1:13" ht="15" customHeight="1" x14ac:dyDescent="0.2">
      <c r="B2755" s="10" t="s">
        <v>932</v>
      </c>
      <c r="C2755" s="10" t="s">
        <v>928</v>
      </c>
      <c r="D2755" s="16">
        <f>M2724*(Inputs!$D$7+Inputs!$D$20)*($D$2749/Inputs!$D$21+$D$2750/Inputs!$D$22)</f>
        <v>23727.267682485937</v>
      </c>
      <c r="G2755" s="99" t="s">
        <v>933</v>
      </c>
      <c r="H2755" s="91"/>
      <c r="I2755" s="91"/>
      <c r="J2755" s="31" t="str">
        <f>IF(J2754&lt;Inputs!$D$6,"breached","satisfied")</f>
        <v>satisfied</v>
      </c>
      <c r="K2755" s="99" t="s">
        <v>934</v>
      </c>
      <c r="L2755" s="91"/>
      <c r="M2755" s="91"/>
    </row>
    <row r="2756" spans="1:13" ht="15" customHeight="1" x14ac:dyDescent="0.2">
      <c r="B2756" s="10" t="s">
        <v>935</v>
      </c>
      <c r="C2756" s="10" t="s">
        <v>928</v>
      </c>
      <c r="D2756" s="16">
        <f>M2724*Inputs!$D$20*($D$2749+$D$2750)</f>
        <v>2398.6078797913146</v>
      </c>
    </row>
    <row r="2757" spans="1:13" ht="15" customHeight="1" x14ac:dyDescent="0.2">
      <c r="B2757" s="10" t="s">
        <v>936</v>
      </c>
      <c r="C2757" s="10" t="s">
        <v>896</v>
      </c>
      <c r="D2757" s="28">
        <f>SUM(D2734:M2734)+D2751</f>
        <v>4708.2790601495317</v>
      </c>
      <c r="G2757" s="99" t="s">
        <v>937</v>
      </c>
      <c r="H2757" s="91"/>
      <c r="I2757" s="91"/>
      <c r="J2757" s="16">
        <f>D2759-D2745</f>
        <v>0</v>
      </c>
      <c r="K2757" s="99" t="s">
        <v>110</v>
      </c>
      <c r="L2757" s="91"/>
      <c r="M2757" s="91"/>
    </row>
    <row r="2758" spans="1:13" ht="15" customHeight="1" x14ac:dyDescent="0.2">
      <c r="B2758" s="10" t="s">
        <v>938</v>
      </c>
      <c r="C2758" s="10" t="s">
        <v>110</v>
      </c>
      <c r="D2758" s="16">
        <f>SUM(D2735:M2735)+D2752</f>
        <v>-113112.51786953473</v>
      </c>
    </row>
    <row r="2759" spans="1:13" ht="15" customHeight="1" x14ac:dyDescent="0.2">
      <c r="B2759" s="10" t="s">
        <v>939</v>
      </c>
      <c r="C2759" s="10" t="s">
        <v>110</v>
      </c>
      <c r="D2759" s="16">
        <f>SUM(D2742:M2742)+D2754/(Inputs!$D$7+$D$2748)^M2722</f>
        <v>58174.523570712161</v>
      </c>
    </row>
    <row r="2760" spans="1:13" ht="15" customHeight="1" x14ac:dyDescent="0.2">
      <c r="B2760" s="10" t="s">
        <v>940</v>
      </c>
      <c r="C2760" s="10" t="s">
        <v>104</v>
      </c>
      <c r="D2760" s="30">
        <f>IF(ABS(D2745)&gt;Inputs!$D$6,D2759/D2745-Inputs!$D$7,Inputs!$D$6)</f>
        <v>4.4408920985006262E-16</v>
      </c>
    </row>
    <row r="2761" spans="1:13" ht="15" customHeight="1" x14ac:dyDescent="0.2">
      <c r="B2761" s="10" t="s">
        <v>941</v>
      </c>
      <c r="C2761" s="10" t="s">
        <v>104</v>
      </c>
      <c r="D2761" s="30">
        <f>IF(ABS(D2759)&gt;Inputs!$D$119,D2754/(Inputs!$D$7+$D$2748)^M2722/D2759,Inputs!$D$6)</f>
        <v>0.55823283722052253</v>
      </c>
    </row>
    <row r="2762" spans="1:13" ht="15" customHeight="1" x14ac:dyDescent="0.2">
      <c r="B2762" s="10" t="s">
        <v>942</v>
      </c>
      <c r="C2762" s="10" t="s">
        <v>943</v>
      </c>
      <c r="D2762" s="26">
        <f>$D$2746*Inputs!$D$8/Prices!$P$6/(Inputs!$D$26/Inputs!$D$25)/Inputs!$D$11/Inputs!$D$56</f>
        <v>6.6158076817846139</v>
      </c>
    </row>
    <row r="2766" spans="1:13" ht="15" customHeight="1" x14ac:dyDescent="0.2">
      <c r="A2766" s="104" t="s">
        <v>1003</v>
      </c>
      <c r="B2766" s="10" t="s">
        <v>886</v>
      </c>
      <c r="C2766" s="10" t="s">
        <v>107</v>
      </c>
      <c r="D2766" s="28">
        <f>Inputs!$D$60</f>
        <v>1</v>
      </c>
      <c r="E2766" s="28">
        <f>Inputs!$D$62</f>
        <v>2</v>
      </c>
      <c r="F2766" s="28">
        <f>Inputs!$D$64</f>
        <v>3</v>
      </c>
      <c r="G2766" s="28">
        <f>Inputs!$D$66</f>
        <v>4</v>
      </c>
      <c r="H2766" s="28">
        <f>Inputs!$D$68</f>
        <v>5</v>
      </c>
      <c r="I2766" s="28">
        <f>Inputs!$D$70</f>
        <v>6</v>
      </c>
      <c r="J2766" s="28">
        <f>Inputs!$D$72</f>
        <v>7</v>
      </c>
      <c r="K2766" s="28">
        <f>Inputs!$D$74</f>
        <v>8</v>
      </c>
      <c r="L2766" s="28">
        <f>Inputs!$D$76</f>
        <v>9</v>
      </c>
      <c r="M2766" s="28">
        <f>Inputs!$D$78</f>
        <v>10</v>
      </c>
    </row>
    <row r="2767" spans="1:13" ht="15" customHeight="1" x14ac:dyDescent="0.2">
      <c r="A2767" s="91"/>
      <c r="B2767" s="10" t="s">
        <v>887</v>
      </c>
      <c r="C2767" s="10" t="s">
        <v>161</v>
      </c>
      <c r="D2767" s="29">
        <f>Inputs!$D$61</f>
        <v>46568</v>
      </c>
      <c r="E2767" s="29">
        <f>Inputs!$D$63</f>
        <v>46934</v>
      </c>
      <c r="F2767" s="29">
        <f>Inputs!$D$65</f>
        <v>47299</v>
      </c>
      <c r="G2767" s="29">
        <f>Inputs!$D$67</f>
        <v>47664</v>
      </c>
      <c r="H2767" s="29">
        <f>Inputs!$D$69</f>
        <v>48029</v>
      </c>
      <c r="I2767" s="29">
        <f>Inputs!$D$71</f>
        <v>48395</v>
      </c>
      <c r="J2767" s="29">
        <f>Inputs!$D$73</f>
        <v>48760</v>
      </c>
      <c r="K2767" s="29">
        <f>Inputs!$D$75</f>
        <v>49125</v>
      </c>
      <c r="L2767" s="29">
        <f>Inputs!$D$77</f>
        <v>49490</v>
      </c>
      <c r="M2767" s="29">
        <f>Inputs!$D$79</f>
        <v>49856</v>
      </c>
    </row>
    <row r="2768" spans="1:13" ht="15" customHeight="1" x14ac:dyDescent="0.2">
      <c r="A2768" s="91"/>
      <c r="B2768" s="10" t="s">
        <v>888</v>
      </c>
      <c r="C2768" s="10" t="s">
        <v>107</v>
      </c>
      <c r="D2768" s="28">
        <f>(D2767-Inputs!$D$13)/Inputs!$D$10</f>
        <v>0.71457905544147848</v>
      </c>
      <c r="E2768" s="28">
        <f>(E2767-Inputs!$D$13)/Inputs!$D$10</f>
        <v>1.7166324435318274</v>
      </c>
      <c r="F2768" s="28">
        <f>(F2767-Inputs!$D$13)/Inputs!$D$10</f>
        <v>2.7159479808350446</v>
      </c>
      <c r="G2768" s="28">
        <f>(G2767-Inputs!$D$13)/Inputs!$D$10</f>
        <v>3.7152635181382614</v>
      </c>
      <c r="H2768" s="28">
        <f>(H2767-Inputs!$D$13)/Inputs!$D$10</f>
        <v>4.7145790554414786</v>
      </c>
      <c r="I2768" s="28">
        <f>(I2767-Inputs!$D$13)/Inputs!$D$10</f>
        <v>5.7166324435318279</v>
      </c>
      <c r="J2768" s="28">
        <f>(J2767-Inputs!$D$13)/Inputs!$D$10</f>
        <v>6.7159479808350442</v>
      </c>
      <c r="K2768" s="28">
        <f>(K2767-Inputs!$D$13)/Inputs!$D$10</f>
        <v>7.7152635181382614</v>
      </c>
      <c r="L2768" s="28">
        <f>(L2767-Inputs!$D$13)/Inputs!$D$10</f>
        <v>8.7145790554414777</v>
      </c>
      <c r="M2768" s="28">
        <f>(M2767-Inputs!$D$13)/Inputs!$D$10</f>
        <v>9.716632443531827</v>
      </c>
    </row>
    <row r="2769" spans="1:13" ht="15" customHeight="1" x14ac:dyDescent="0.2">
      <c r="A2769" s="91"/>
      <c r="B2769" s="10" t="s">
        <v>889</v>
      </c>
      <c r="C2769" s="10" t="s">
        <v>107</v>
      </c>
      <c r="D2769" s="28">
        <f>D2768</f>
        <v>0.71457905544147848</v>
      </c>
      <c r="E2769" s="28">
        <f>Inputs!$D$7</f>
        <v>1</v>
      </c>
      <c r="F2769" s="28">
        <f>Inputs!$D$7</f>
        <v>1</v>
      </c>
      <c r="G2769" s="28">
        <f>Inputs!$D$7</f>
        <v>1</v>
      </c>
      <c r="H2769" s="28">
        <f>Inputs!$D$7</f>
        <v>1</v>
      </c>
      <c r="I2769" s="28">
        <f>Inputs!$D$7</f>
        <v>1</v>
      </c>
      <c r="J2769" s="28">
        <f>Inputs!$D$7</f>
        <v>1</v>
      </c>
      <c r="K2769" s="28">
        <f>Inputs!$D$7</f>
        <v>1</v>
      </c>
      <c r="L2769" s="28">
        <f>Inputs!$D$7</f>
        <v>1</v>
      </c>
      <c r="M2769" s="28">
        <f>Inputs!$D$7</f>
        <v>1</v>
      </c>
    </row>
    <row r="2770" spans="1:13" ht="15" customHeight="1" x14ac:dyDescent="0.2">
      <c r="A2770" s="91"/>
      <c r="B2770" s="3" t="s">
        <v>890</v>
      </c>
      <c r="C2770" s="10" t="s">
        <v>199</v>
      </c>
      <c r="D2770" s="28">
        <f>Inputs!$D$24+(Inputs!$D$80-Inputs!$D$24)*Inputs!$D$83</f>
        <v>305.5</v>
      </c>
      <c r="E2770" s="28">
        <f>Inputs!$D$24+(Inputs!$D$80-Inputs!$D$24)*Inputs!$D$84</f>
        <v>651.5</v>
      </c>
      <c r="F2770" s="28">
        <f>Inputs!$D$24+(Inputs!$D$80-Inputs!$D$24)*Inputs!$D$85</f>
        <v>911</v>
      </c>
      <c r="G2770" s="28">
        <f>Inputs!$D$24+(Inputs!$D$80-Inputs!$D$24)*Inputs!$D$86</f>
        <v>911</v>
      </c>
      <c r="H2770" s="28">
        <f>Inputs!$D$24+(Inputs!$D$80-Inputs!$D$24)*Inputs!$D$87</f>
        <v>911</v>
      </c>
      <c r="I2770" s="28">
        <f>Inputs!$D$24+(Inputs!$D$80-Inputs!$D$24)*Inputs!$D$88</f>
        <v>911</v>
      </c>
      <c r="J2770" s="28">
        <f>Inputs!$D$24+(Inputs!$D$80-Inputs!$D$24)*Inputs!$D$89</f>
        <v>911</v>
      </c>
      <c r="K2770" s="28">
        <f>Inputs!$D$24+(Inputs!$D$80-Inputs!$D$24)*Inputs!$D$90</f>
        <v>911</v>
      </c>
      <c r="L2770" s="28">
        <f>Inputs!$D$24+(Inputs!$D$80-Inputs!$D$24)*Inputs!$D$91</f>
        <v>911</v>
      </c>
      <c r="M2770" s="28">
        <f>Inputs!$D$24+(Inputs!$D$80-Inputs!$D$24)*Inputs!$D$92</f>
        <v>911</v>
      </c>
    </row>
    <row r="2771" spans="1:13" ht="15" customHeight="1" x14ac:dyDescent="0.2">
      <c r="A2771" s="91"/>
      <c r="B2771" s="10" t="s">
        <v>891</v>
      </c>
      <c r="C2771" s="10" t="s">
        <v>199</v>
      </c>
      <c r="D2771" s="28">
        <f>Inputs!$D$24</f>
        <v>46</v>
      </c>
      <c r="E2771" s="28">
        <f t="shared" ref="E2771:M2771" si="600">D2770</f>
        <v>305.5</v>
      </c>
      <c r="F2771" s="28">
        <f t="shared" si="600"/>
        <v>651.5</v>
      </c>
      <c r="G2771" s="28">
        <f t="shared" si="600"/>
        <v>911</v>
      </c>
      <c r="H2771" s="28">
        <f t="shared" si="600"/>
        <v>911</v>
      </c>
      <c r="I2771" s="28">
        <f t="shared" si="600"/>
        <v>911</v>
      </c>
      <c r="J2771" s="28">
        <f t="shared" si="600"/>
        <v>911</v>
      </c>
      <c r="K2771" s="28">
        <f t="shared" si="600"/>
        <v>911</v>
      </c>
      <c r="L2771" s="28">
        <f t="shared" si="600"/>
        <v>911</v>
      </c>
      <c r="M2771" s="28">
        <f t="shared" si="600"/>
        <v>911</v>
      </c>
    </row>
    <row r="2772" spans="1:13" ht="15" customHeight="1" x14ac:dyDescent="0.2">
      <c r="B2772" s="10" t="s">
        <v>892</v>
      </c>
      <c r="C2772" s="10" t="s">
        <v>199</v>
      </c>
      <c r="D2772" s="28">
        <f>(D2771+D2770)*Inputs!$D$12</f>
        <v>175.75</v>
      </c>
      <c r="E2772" s="28">
        <f>(E2771+E2770)*Inputs!$D$12</f>
        <v>478.5</v>
      </c>
      <c r="F2772" s="28">
        <f>(F2771+F2770)*Inputs!$D$12</f>
        <v>781.25</v>
      </c>
      <c r="G2772" s="28">
        <f>(G2771+G2770)*Inputs!$D$12</f>
        <v>911</v>
      </c>
      <c r="H2772" s="28">
        <f>(H2771+H2770)*Inputs!$D$12</f>
        <v>911</v>
      </c>
      <c r="I2772" s="28">
        <f>(I2771+I2770)*Inputs!$D$12</f>
        <v>911</v>
      </c>
      <c r="J2772" s="28">
        <f>(J2771+J2770)*Inputs!$D$12</f>
        <v>911</v>
      </c>
      <c r="K2772" s="28">
        <f>(K2771+K2770)*Inputs!$D$12</f>
        <v>911</v>
      </c>
      <c r="L2772" s="28">
        <f>(L2771+L2770)*Inputs!$D$12</f>
        <v>911</v>
      </c>
      <c r="M2772" s="28">
        <f>(M2771+M2770)*Inputs!$D$12</f>
        <v>911</v>
      </c>
    </row>
    <row r="2773" spans="1:13" ht="15" customHeight="1" x14ac:dyDescent="0.2">
      <c r="B2773" s="10" t="s">
        <v>893</v>
      </c>
      <c r="C2773" s="10" t="s">
        <v>199</v>
      </c>
      <c r="D2773" s="28">
        <f t="shared" ref="D2773:M2773" si="601">D2770-D2771</f>
        <v>259.5</v>
      </c>
      <c r="E2773" s="28">
        <f t="shared" si="601"/>
        <v>346</v>
      </c>
      <c r="F2773" s="28">
        <f t="shared" si="601"/>
        <v>259.5</v>
      </c>
      <c r="G2773" s="28">
        <f t="shared" si="601"/>
        <v>0</v>
      </c>
      <c r="H2773" s="28">
        <f t="shared" si="601"/>
        <v>0</v>
      </c>
      <c r="I2773" s="28">
        <f t="shared" si="601"/>
        <v>0</v>
      </c>
      <c r="J2773" s="28">
        <f t="shared" si="601"/>
        <v>0</v>
      </c>
      <c r="K2773" s="28">
        <f t="shared" si="601"/>
        <v>0</v>
      </c>
      <c r="L2773" s="28">
        <f t="shared" si="601"/>
        <v>0</v>
      </c>
      <c r="M2773" s="28">
        <f t="shared" si="601"/>
        <v>0</v>
      </c>
    </row>
    <row r="2774" spans="1:13" ht="15" customHeight="1" x14ac:dyDescent="0.2">
      <c r="B2774" s="10" t="s">
        <v>894</v>
      </c>
      <c r="C2774" s="10" t="s">
        <v>199</v>
      </c>
      <c r="D2774" s="28">
        <f>IF(MOD(D2766,Inputs!$D$21)=Inputs!$D$6,Inputs!$D$24,Inputs!$D$6)+SUMPRODUCT(--(D2766&gt;$D$2766:$M$2766),--(MOD(D2766-$D$2766:$M$2766,Inputs!$D$21)=Inputs!$D$6),$D$2773:$M$2773)</f>
        <v>0</v>
      </c>
      <c r="E2774" s="28">
        <f>IF(MOD(E2766,Inputs!$D$21)=Inputs!$D$6,Inputs!$D$24,Inputs!$D$6)+SUMPRODUCT(--(E2766&gt;$D$2766:$M$2766),--(MOD(E2766-$D$2766:$M$2766,Inputs!$D$21)=Inputs!$D$6),$D$2773:$M$2773)</f>
        <v>0</v>
      </c>
      <c r="F2774" s="28">
        <f>IF(MOD(F2766,Inputs!$D$21)=Inputs!$D$6,Inputs!$D$24,Inputs!$D$6)+SUMPRODUCT(--(F2766&gt;$D$2766:$M$2766),--(MOD(F2766-$D$2766:$M$2766,Inputs!$D$21)=Inputs!$D$6),$D$2773:$M$2773)</f>
        <v>0</v>
      </c>
      <c r="G2774" s="28">
        <f>IF(MOD(G2766,Inputs!$D$21)=Inputs!$D$6,Inputs!$D$24,Inputs!$D$6)+SUMPRODUCT(--(G2766&gt;$D$2766:$M$2766),--(MOD(G2766-$D$2766:$M$2766,Inputs!$D$21)=Inputs!$D$6),$D$2773:$M$2773)</f>
        <v>46</v>
      </c>
      <c r="H2774" s="28">
        <f>IF(MOD(H2766,Inputs!$D$21)=Inputs!$D$6,Inputs!$D$24,Inputs!$D$6)+SUMPRODUCT(--(H2766&gt;$D$2766:$M$2766),--(MOD(H2766-$D$2766:$M$2766,Inputs!$D$21)=Inputs!$D$6),$D$2773:$M$2773)</f>
        <v>259.5</v>
      </c>
      <c r="I2774" s="28">
        <f>IF(MOD(I2766,Inputs!$D$21)=Inputs!$D$6,Inputs!$D$24,Inputs!$D$6)+SUMPRODUCT(--(I2766&gt;$D$2766:$M$2766),--(MOD(I2766-$D$2766:$M$2766,Inputs!$D$21)=Inputs!$D$6),$D$2773:$M$2773)</f>
        <v>346</v>
      </c>
      <c r="J2774" s="28">
        <f>IF(MOD(J2766,Inputs!$D$21)=Inputs!$D$6,Inputs!$D$24,Inputs!$D$6)+SUMPRODUCT(--(J2766&gt;$D$2766:$M$2766),--(MOD(J2766-$D$2766:$M$2766,Inputs!$D$21)=Inputs!$D$6),$D$2773:$M$2773)</f>
        <v>259.5</v>
      </c>
      <c r="K2774" s="28">
        <f>IF(MOD(K2766,Inputs!$D$21)=Inputs!$D$6,Inputs!$D$24,Inputs!$D$6)+SUMPRODUCT(--(K2766&gt;$D$2766:$M$2766),--(MOD(K2766-$D$2766:$M$2766,Inputs!$D$21)=Inputs!$D$6),$D$2773:$M$2773)</f>
        <v>46</v>
      </c>
      <c r="L2774" s="28">
        <f>IF(MOD(L2766,Inputs!$D$21)=Inputs!$D$6,Inputs!$D$24,Inputs!$D$6)+SUMPRODUCT(--(L2766&gt;$D$2766:$M$2766),--(MOD(L2766-$D$2766:$M$2766,Inputs!$D$21)=Inputs!$D$6),$D$2773:$M$2773)</f>
        <v>259.5</v>
      </c>
      <c r="M2774" s="28">
        <f>IF(MOD(M2766,Inputs!$D$21)=Inputs!$D$6,Inputs!$D$24,Inputs!$D$6)+SUMPRODUCT(--(M2766&gt;$D$2766:$M$2766),--(MOD(M2766-$D$2766:$M$2766,Inputs!$D$21)=Inputs!$D$6),$D$2773:$M$2773)</f>
        <v>346</v>
      </c>
    </row>
    <row r="2775" spans="1:13" ht="15" customHeight="1" x14ac:dyDescent="0.2">
      <c r="B2775" s="10" t="s">
        <v>895</v>
      </c>
      <c r="C2775" s="10" t="s">
        <v>896</v>
      </c>
      <c r="D2775" s="28">
        <f t="shared" ref="D2775:M2775" si="602">D2772*D2769</f>
        <v>125.58726899383984</v>
      </c>
      <c r="E2775" s="28">
        <f t="shared" si="602"/>
        <v>478.5</v>
      </c>
      <c r="F2775" s="28">
        <f t="shared" si="602"/>
        <v>781.25</v>
      </c>
      <c r="G2775" s="28">
        <f t="shared" si="602"/>
        <v>911</v>
      </c>
      <c r="H2775" s="28">
        <f t="shared" si="602"/>
        <v>911</v>
      </c>
      <c r="I2775" s="28">
        <f t="shared" si="602"/>
        <v>911</v>
      </c>
      <c r="J2775" s="28">
        <f t="shared" si="602"/>
        <v>911</v>
      </c>
      <c r="K2775" s="28">
        <f t="shared" si="602"/>
        <v>911</v>
      </c>
      <c r="L2775" s="28">
        <f t="shared" si="602"/>
        <v>911</v>
      </c>
      <c r="M2775" s="28">
        <f t="shared" si="602"/>
        <v>911</v>
      </c>
    </row>
    <row r="2776" spans="1:13" ht="15" customHeight="1" x14ac:dyDescent="0.2">
      <c r="B2776" s="10" t="s">
        <v>897</v>
      </c>
      <c r="C2776" s="10" t="s">
        <v>110</v>
      </c>
      <c r="D2776" s="16">
        <f>D2775*($D$2795/Inputs!$D$21+$D$2796/Inputs!$D$22)</f>
        <v>1816.9772859324419</v>
      </c>
      <c r="E2776" s="16">
        <f>E2775*($D$2795/Inputs!$D$21+$D$2796/Inputs!$D$22)</f>
        <v>6922.8643817497086</v>
      </c>
      <c r="F2776" s="16">
        <f>F2775*($D$2795/Inputs!$D$21+$D$2796/Inputs!$D$22)</f>
        <v>11303.0048030135</v>
      </c>
      <c r="G2776" s="16">
        <f>G2775*($D$2795/Inputs!$D$21+$D$2796/Inputs!$D$22)</f>
        <v>13180.207840697982</v>
      </c>
      <c r="H2776" s="16">
        <f>H2775*($D$2795/Inputs!$D$21+$D$2796/Inputs!$D$22)</f>
        <v>13180.207840697982</v>
      </c>
      <c r="I2776" s="16">
        <f>I2775*($D$2795/Inputs!$D$21+$D$2796/Inputs!$D$22)</f>
        <v>13180.207840697982</v>
      </c>
      <c r="J2776" s="16">
        <f>J2775*($D$2795/Inputs!$D$21+$D$2796/Inputs!$D$22)</f>
        <v>13180.207840697982</v>
      </c>
      <c r="K2776" s="16">
        <f>K2775*($D$2795/Inputs!$D$21+$D$2796/Inputs!$D$22)</f>
        <v>13180.207840697982</v>
      </c>
      <c r="L2776" s="16">
        <f>L2775*($D$2795/Inputs!$D$21+$D$2796/Inputs!$D$22)</f>
        <v>13180.207840697982</v>
      </c>
      <c r="M2776" s="16">
        <f>M2775*($D$2795/Inputs!$D$21+$D$2796/Inputs!$D$22)</f>
        <v>13180.207840697982</v>
      </c>
    </row>
    <row r="2777" spans="1:13" ht="15" customHeight="1" x14ac:dyDescent="0.2">
      <c r="B2777" s="10" t="s">
        <v>898</v>
      </c>
      <c r="C2777" s="10" t="s">
        <v>110</v>
      </c>
      <c r="D2777" s="16">
        <f t="shared" ref="D2777:M2777" si="603">D2773*($D$2795+$D$2796)</f>
        <v>15560.968620146154</v>
      </c>
      <c r="E2777" s="16">
        <f t="shared" si="603"/>
        <v>20747.95816019487</v>
      </c>
      <c r="F2777" s="16">
        <f t="shared" si="603"/>
        <v>15560.968620146154</v>
      </c>
      <c r="G2777" s="16">
        <f t="shared" si="603"/>
        <v>0</v>
      </c>
      <c r="H2777" s="16">
        <f t="shared" si="603"/>
        <v>0</v>
      </c>
      <c r="I2777" s="16">
        <f t="shared" si="603"/>
        <v>0</v>
      </c>
      <c r="J2777" s="16">
        <f t="shared" si="603"/>
        <v>0</v>
      </c>
      <c r="K2777" s="16">
        <f t="shared" si="603"/>
        <v>0</v>
      </c>
      <c r="L2777" s="16">
        <f t="shared" si="603"/>
        <v>0</v>
      </c>
      <c r="M2777" s="16">
        <f t="shared" si="603"/>
        <v>0</v>
      </c>
    </row>
    <row r="2778" spans="1:13" ht="15" customHeight="1" x14ac:dyDescent="0.2">
      <c r="B2778" s="10" t="s">
        <v>899</v>
      </c>
      <c r="C2778" s="10" t="s">
        <v>110</v>
      </c>
      <c r="D2778" s="16">
        <f t="shared" ref="D2778:M2778" si="604">D2774*$D$2795</f>
        <v>0</v>
      </c>
      <c r="E2778" s="16">
        <f t="shared" si="604"/>
        <v>0</v>
      </c>
      <c r="F2778" s="16">
        <f t="shared" si="604"/>
        <v>0</v>
      </c>
      <c r="G2778" s="16">
        <f t="shared" si="604"/>
        <v>2638.0048485671714</v>
      </c>
      <c r="H2778" s="16">
        <f t="shared" si="604"/>
        <v>14881.788221808281</v>
      </c>
      <c r="I2778" s="16">
        <f t="shared" si="604"/>
        <v>19842.384295744378</v>
      </c>
      <c r="J2778" s="16">
        <f t="shared" si="604"/>
        <v>14881.788221808281</v>
      </c>
      <c r="K2778" s="16">
        <f t="shared" si="604"/>
        <v>2638.0048485671714</v>
      </c>
      <c r="L2778" s="16">
        <f t="shared" si="604"/>
        <v>14881.788221808281</v>
      </c>
      <c r="M2778" s="16">
        <f t="shared" si="604"/>
        <v>19842.384295744378</v>
      </c>
    </row>
    <row r="2779" spans="1:13" ht="15" customHeight="1" x14ac:dyDescent="0.2">
      <c r="B2779" s="10" t="s">
        <v>900</v>
      </c>
      <c r="C2779" s="10" t="s">
        <v>199</v>
      </c>
      <c r="D2779" s="28">
        <f>D2773*Inputs!$D$23</f>
        <v>6.4875000000000007</v>
      </c>
      <c r="E2779" s="28">
        <f>E2773*Inputs!$D$23</f>
        <v>8.65</v>
      </c>
      <c r="F2779" s="28">
        <f>F2773*Inputs!$D$23</f>
        <v>6.4875000000000007</v>
      </c>
      <c r="G2779" s="28">
        <f>G2773*Inputs!$D$23</f>
        <v>0</v>
      </c>
      <c r="H2779" s="28">
        <f>H2773*Inputs!$D$23</f>
        <v>0</v>
      </c>
      <c r="I2779" s="28">
        <f>I2773*Inputs!$D$23</f>
        <v>0</v>
      </c>
      <c r="J2779" s="28">
        <f>J2773*Inputs!$D$23</f>
        <v>0</v>
      </c>
      <c r="K2779" s="28">
        <f>K2773*Inputs!$D$23</f>
        <v>0</v>
      </c>
      <c r="L2779" s="28">
        <f>L2773*Inputs!$D$23</f>
        <v>0</v>
      </c>
      <c r="M2779" s="28">
        <f>M2773*Inputs!$D$23</f>
        <v>0</v>
      </c>
    </row>
    <row r="2780" spans="1:13" ht="15" customHeight="1" x14ac:dyDescent="0.2">
      <c r="B2780" s="3" t="s">
        <v>901</v>
      </c>
      <c r="C2780" s="10" t="s">
        <v>896</v>
      </c>
      <c r="D2780" s="28">
        <f>(D2775*$D$2793*(Inputs!$D$7-Inputs!$D$19)-D2779)/(Inputs!$D$7+$D$2794)^D2768</f>
        <v>43.213488846686175</v>
      </c>
      <c r="E2780" s="28">
        <f>(E2775*$D$2793*(Inputs!$D$7-Inputs!$D$19)-E2779)/(Inputs!$D$7+$D$2794)^E2768</f>
        <v>163.29332190458183</v>
      </c>
      <c r="F2780" s="28">
        <f>(F2775*$D$2793*(Inputs!$D$7-Inputs!$D$19)-F2779)/(Inputs!$D$7+$D$2794)^F2768</f>
        <v>248.28260771010829</v>
      </c>
      <c r="G2780" s="28">
        <f>(G2775*$D$2793*(Inputs!$D$7-Inputs!$D$19)-G2779)/(Inputs!$D$7+$D$2794)^G2768</f>
        <v>268.5238926419492</v>
      </c>
      <c r="H2780" s="28">
        <f>(H2775*$D$2793*(Inputs!$D$7-Inputs!$D$19)-H2779)/(Inputs!$D$7+$D$2794)^H2768</f>
        <v>244.12855518959191</v>
      </c>
      <c r="I2780" s="28">
        <f>(I2775*$D$2793*(Inputs!$D$7-Inputs!$D$19)-I2779)/(Inputs!$D$7+$D$2794)^I2768</f>
        <v>221.8916197826434</v>
      </c>
      <c r="J2780" s="28">
        <f>(J2775*$D$2793*(Inputs!$D$7-Inputs!$D$19)-J2779)/(Inputs!$D$7+$D$2794)^J2768</f>
        <v>201.73281421346593</v>
      </c>
      <c r="K2780" s="28">
        <f>(K2775*$D$2793*(Inputs!$D$7-Inputs!$D$19)-K2779)/(Inputs!$D$7+$D$2794)^K2768</f>
        <v>183.40543176145695</v>
      </c>
      <c r="L2780" s="28">
        <f>(L2775*$D$2793*(Inputs!$D$7-Inputs!$D$19)-L2779)/(Inputs!$D$7+$D$2794)^L2768</f>
        <v>166.74308803332551</v>
      </c>
      <c r="M2780" s="28">
        <f>(M2775*$D$2793*(Inputs!$D$7-Inputs!$D$19)-M2779)/(Inputs!$D$7+$D$2794)^M2768</f>
        <v>151.55496194429571</v>
      </c>
    </row>
    <row r="2781" spans="1:13" ht="15" customHeight="1" x14ac:dyDescent="0.2">
      <c r="B2781" s="10" t="s">
        <v>902</v>
      </c>
      <c r="C2781" s="10" t="s">
        <v>110</v>
      </c>
      <c r="D2781" s="16">
        <f>(D2776*Inputs!$D$19-D2777-D2778)/(Inputs!$D$7+$D$2794)^D2768</f>
        <v>-14027.24269342025</v>
      </c>
      <c r="E2781" s="16">
        <f>(E2776*Inputs!$D$19-E2777-E2778)/(Inputs!$D$7+$D$2794)^E2768</f>
        <v>-15853.087323826181</v>
      </c>
      <c r="F2781" s="16">
        <f>(F2776*Inputs!$D$19-F2777-F2778)/(Inputs!$D$7+$D$2794)^F2768</f>
        <v>-9394.4767487293357</v>
      </c>
      <c r="G2781" s="16">
        <f>(G2776*Inputs!$D$19-G2777-G2778)/(Inputs!$D$7+$D$2794)^G2768</f>
        <v>923.61320322684639</v>
      </c>
      <c r="H2781" s="16">
        <f>(H2776*Inputs!$D$19-H2777-H2778)/(Inputs!$D$7+$D$2794)^H2768</f>
        <v>-6972.3744918015345</v>
      </c>
      <c r="I2781" s="16">
        <f>(I2776*Inputs!$D$19-I2777-I2778)/(Inputs!$D$7+$D$2794)^I2768</f>
        <v>-9214.0648467907959</v>
      </c>
      <c r="J2781" s="16">
        <f>(J2776*Inputs!$D$19-J2777-J2778)/(Inputs!$D$7+$D$2794)^J2768</f>
        <v>-5761.5411965591911</v>
      </c>
      <c r="K2781" s="16">
        <f>(K2776*Inputs!$D$19-K2777-K2778)/(Inputs!$D$7+$D$2794)^K2768</f>
        <v>630.8402453567694</v>
      </c>
      <c r="L2781" s="16">
        <f>(L2776*Inputs!$D$19-L2777-L2778)/(Inputs!$D$7+$D$2794)^L2768</f>
        <v>-4762.2255937446444</v>
      </c>
      <c r="M2781" s="16">
        <f>(M2776*Inputs!$D$19-M2777-M2778)/(Inputs!$D$7+$D$2794)^M2768</f>
        <v>-6293.3302689644106</v>
      </c>
    </row>
    <row r="2782" spans="1:13" ht="15" customHeight="1" x14ac:dyDescent="0.2">
      <c r="B2782" s="10" t="s">
        <v>903</v>
      </c>
      <c r="C2782" s="10" t="s">
        <v>110</v>
      </c>
      <c r="D2782" s="16">
        <f t="shared" ref="D2782:M2782" si="605">D2775*$D$2792</f>
        <v>5431.1089997739828</v>
      </c>
      <c r="E2782" s="16">
        <f t="shared" si="605"/>
        <v>20693.066082353642</v>
      </c>
      <c r="F2782" s="16">
        <f t="shared" si="605"/>
        <v>33785.700892035078</v>
      </c>
      <c r="G2782" s="16">
        <f t="shared" si="605"/>
        <v>39396.830096184261</v>
      </c>
      <c r="H2782" s="16">
        <f t="shared" si="605"/>
        <v>39396.830096184261</v>
      </c>
      <c r="I2782" s="16">
        <f t="shared" si="605"/>
        <v>39396.830096184261</v>
      </c>
      <c r="J2782" s="16">
        <f t="shared" si="605"/>
        <v>39396.830096184261</v>
      </c>
      <c r="K2782" s="16">
        <f t="shared" si="605"/>
        <v>39396.830096184261</v>
      </c>
      <c r="L2782" s="16">
        <f t="shared" si="605"/>
        <v>39396.830096184261</v>
      </c>
      <c r="M2782" s="16">
        <f t="shared" si="605"/>
        <v>39396.830096184261</v>
      </c>
    </row>
    <row r="2783" spans="1:13" ht="15" customHeight="1" x14ac:dyDescent="0.2">
      <c r="B2783" s="10" t="s">
        <v>904</v>
      </c>
      <c r="C2783" s="10" t="s">
        <v>110</v>
      </c>
      <c r="D2783" s="16">
        <f t="shared" ref="D2783:M2783" si="606">D2782*$D$2793</f>
        <v>3258.6653998643897</v>
      </c>
      <c r="E2783" s="16">
        <f t="shared" si="606"/>
        <v>12415.839649412184</v>
      </c>
      <c r="F2783" s="16">
        <f t="shared" si="606"/>
        <v>20271.420535221045</v>
      </c>
      <c r="G2783" s="16">
        <f t="shared" si="606"/>
        <v>23638.098057710555</v>
      </c>
      <c r="H2783" s="16">
        <f t="shared" si="606"/>
        <v>23638.098057710555</v>
      </c>
      <c r="I2783" s="16">
        <f t="shared" si="606"/>
        <v>23638.098057710555</v>
      </c>
      <c r="J2783" s="16">
        <f t="shared" si="606"/>
        <v>23638.098057710555</v>
      </c>
      <c r="K2783" s="16">
        <f t="shared" si="606"/>
        <v>23638.098057710555</v>
      </c>
      <c r="L2783" s="16">
        <f t="shared" si="606"/>
        <v>23638.098057710555</v>
      </c>
      <c r="M2783" s="16">
        <f t="shared" si="606"/>
        <v>23638.098057710555</v>
      </c>
    </row>
    <row r="2784" spans="1:13" ht="15" customHeight="1" x14ac:dyDescent="0.2">
      <c r="B2784" s="10" t="s">
        <v>905</v>
      </c>
      <c r="C2784" s="10" t="s">
        <v>110</v>
      </c>
      <c r="D2784" s="16">
        <f t="shared" ref="D2784:M2784" si="607">D2783-D2776</f>
        <v>1441.6881139319478</v>
      </c>
      <c r="E2784" s="16">
        <f t="shared" si="607"/>
        <v>5492.9752676624757</v>
      </c>
      <c r="F2784" s="16">
        <f t="shared" si="607"/>
        <v>8968.4157322075444</v>
      </c>
      <c r="G2784" s="16">
        <f t="shared" si="607"/>
        <v>10457.890217012573</v>
      </c>
      <c r="H2784" s="16">
        <f t="shared" si="607"/>
        <v>10457.890217012573</v>
      </c>
      <c r="I2784" s="16">
        <f t="shared" si="607"/>
        <v>10457.890217012573</v>
      </c>
      <c r="J2784" s="16">
        <f t="shared" si="607"/>
        <v>10457.890217012573</v>
      </c>
      <c r="K2784" s="16">
        <f t="shared" si="607"/>
        <v>10457.890217012573</v>
      </c>
      <c r="L2784" s="16">
        <f t="shared" si="607"/>
        <v>10457.890217012573</v>
      </c>
      <c r="M2784" s="16">
        <f t="shared" si="607"/>
        <v>10457.890217012573</v>
      </c>
    </row>
    <row r="2785" spans="2:13" ht="15" customHeight="1" x14ac:dyDescent="0.2">
      <c r="B2785" s="10" t="s">
        <v>906</v>
      </c>
      <c r="C2785" s="10" t="s">
        <v>110</v>
      </c>
      <c r="D2785" s="16">
        <f>MAX(D2784,Inputs!$D$6)*Inputs!$D$19</f>
        <v>432.50643417958435</v>
      </c>
      <c r="E2785" s="16">
        <f>MAX(E2784,Inputs!$D$6)*Inputs!$D$19</f>
        <v>1647.8925802987426</v>
      </c>
      <c r="F2785" s="16">
        <f>MAX(F2784,Inputs!$D$6)*Inputs!$D$19</f>
        <v>2690.5247196622631</v>
      </c>
      <c r="G2785" s="16">
        <f>MAX(G2784,Inputs!$D$6)*Inputs!$D$19</f>
        <v>3137.3670651037719</v>
      </c>
      <c r="H2785" s="16">
        <f>MAX(H2784,Inputs!$D$6)*Inputs!$D$19</f>
        <v>3137.3670651037719</v>
      </c>
      <c r="I2785" s="16">
        <f>MAX(I2784,Inputs!$D$6)*Inputs!$D$19</f>
        <v>3137.3670651037719</v>
      </c>
      <c r="J2785" s="16">
        <f>MAX(J2784,Inputs!$D$6)*Inputs!$D$19</f>
        <v>3137.3670651037719</v>
      </c>
      <c r="K2785" s="16">
        <f>MAX(K2784,Inputs!$D$6)*Inputs!$D$19</f>
        <v>3137.3670651037719</v>
      </c>
      <c r="L2785" s="16">
        <f>MAX(L2784,Inputs!$D$6)*Inputs!$D$19</f>
        <v>3137.3670651037719</v>
      </c>
      <c r="M2785" s="16">
        <f>MAX(M2784,Inputs!$D$6)*Inputs!$D$19</f>
        <v>3137.3670651037719</v>
      </c>
    </row>
    <row r="2786" spans="2:13" ht="15" customHeight="1" x14ac:dyDescent="0.2">
      <c r="B2786" s="10" t="s">
        <v>907</v>
      </c>
      <c r="C2786" s="10" t="s">
        <v>110</v>
      </c>
      <c r="D2786" s="16">
        <f t="shared" ref="D2786:M2786" si="608">D2779*$D$2792</f>
        <v>280.55646020745928</v>
      </c>
      <c r="E2786" s="16">
        <f t="shared" si="608"/>
        <v>374.07528027661238</v>
      </c>
      <c r="F2786" s="16">
        <f t="shared" si="608"/>
        <v>280.55646020745928</v>
      </c>
      <c r="G2786" s="16">
        <f t="shared" si="608"/>
        <v>0</v>
      </c>
      <c r="H2786" s="16">
        <f t="shared" si="608"/>
        <v>0</v>
      </c>
      <c r="I2786" s="16">
        <f t="shared" si="608"/>
        <v>0</v>
      </c>
      <c r="J2786" s="16">
        <f t="shared" si="608"/>
        <v>0</v>
      </c>
      <c r="K2786" s="16">
        <f t="shared" si="608"/>
        <v>0</v>
      </c>
      <c r="L2786" s="16">
        <f t="shared" si="608"/>
        <v>0</v>
      </c>
      <c r="M2786" s="16">
        <f t="shared" si="608"/>
        <v>0</v>
      </c>
    </row>
    <row r="2787" spans="2:13" ht="15" customHeight="1" x14ac:dyDescent="0.2">
      <c r="B2787" s="10" t="s">
        <v>908</v>
      </c>
      <c r="C2787" s="10" t="s">
        <v>110</v>
      </c>
      <c r="D2787" s="16">
        <f t="shared" ref="D2787:M2787" si="609">D2783-D2785-D2777-D2778-D2786</f>
        <v>-13015.366114668806</v>
      </c>
      <c r="E2787" s="16">
        <f t="shared" si="609"/>
        <v>-10354.086371358042</v>
      </c>
      <c r="F2787" s="16">
        <f t="shared" si="609"/>
        <v>1739.3707352051697</v>
      </c>
      <c r="G2787" s="16">
        <f t="shared" si="609"/>
        <v>17862.726144039611</v>
      </c>
      <c r="H2787" s="16">
        <f t="shared" si="609"/>
        <v>5618.9427707985014</v>
      </c>
      <c r="I2787" s="16">
        <f t="shared" si="609"/>
        <v>658.34669686240522</v>
      </c>
      <c r="J2787" s="16">
        <f t="shared" si="609"/>
        <v>5618.9427707985014</v>
      </c>
      <c r="K2787" s="16">
        <f t="shared" si="609"/>
        <v>17862.726144039611</v>
      </c>
      <c r="L2787" s="16">
        <f t="shared" si="609"/>
        <v>5618.9427707985014</v>
      </c>
      <c r="M2787" s="16">
        <f t="shared" si="609"/>
        <v>658.34669686240522</v>
      </c>
    </row>
    <row r="2788" spans="2:13" ht="15" customHeight="1" x14ac:dyDescent="0.2">
      <c r="B2788" s="10" t="s">
        <v>909</v>
      </c>
      <c r="C2788" s="10" t="s">
        <v>110</v>
      </c>
      <c r="D2788" s="16">
        <f>D2787/(Inputs!$D$7+$D$2794)^D2768</f>
        <v>-12158.445242315694</v>
      </c>
      <c r="E2788" s="16">
        <f>E2787/(Inputs!$D$7+$D$2794)^E2768</f>
        <v>-8791.3537794613803</v>
      </c>
      <c r="F2788" s="16">
        <f>F2787/(Inputs!$D$7+$D$2794)^F2768</f>
        <v>1342.6777098795626</v>
      </c>
      <c r="G2788" s="16">
        <f>G2787/(Inputs!$D$7+$D$2794)^G2768</f>
        <v>12536.116139759113</v>
      </c>
      <c r="H2788" s="16">
        <f>H2787/(Inputs!$D$7+$D$2794)^H2768</f>
        <v>3585.1350695939586</v>
      </c>
      <c r="I2788" s="16">
        <f>I2787/(Inputs!$D$7+$D$2794)^I2768</f>
        <v>381.79294063392405</v>
      </c>
      <c r="J2788" s="16">
        <f>J2787/(Inputs!$D$7+$D$2794)^J2768</f>
        <v>2962.5349904803502</v>
      </c>
      <c r="K2788" s="16">
        <f>K2787/(Inputs!$D$7+$D$2794)^K2768</f>
        <v>8562.3360014747013</v>
      </c>
      <c r="L2788" s="16">
        <f>L2787/(Inputs!$D$7+$D$2794)^L2768</f>
        <v>2448.6954918338624</v>
      </c>
      <c r="M2788" s="16">
        <f>M2787/(Inputs!$D$7+$D$2794)^M2768</f>
        <v>260.76971561636771</v>
      </c>
    </row>
    <row r="2789" spans="2:13" ht="15" customHeight="1" x14ac:dyDescent="0.2">
      <c r="B2789" s="3" t="s">
        <v>910</v>
      </c>
      <c r="C2789" s="10" t="s">
        <v>896</v>
      </c>
      <c r="D2789" s="28">
        <f>(D2775*$D$2793-D2779)/(Inputs!$D$7+$D$2794)^D2768</f>
        <v>64.330856237917445</v>
      </c>
      <c r="E2789" s="28">
        <f>(E2775*$D$2793-E2779)/(Inputs!$D$7+$D$2794)^E2768</f>
        <v>236.42380139523098</v>
      </c>
      <c r="F2789" s="28">
        <f>(F2775*$D$2793-F2779)/(Inputs!$D$7+$D$2794)^F2768</f>
        <v>356.83568908039001</v>
      </c>
      <c r="G2789" s="28">
        <f>(G2775*$D$2793-G2779)/(Inputs!$D$7+$D$2794)^G2768</f>
        <v>383.60556091707036</v>
      </c>
      <c r="H2789" s="28">
        <f>(H2775*$D$2793-H2779)/(Inputs!$D$7+$D$2794)^H2768</f>
        <v>348.75507884227414</v>
      </c>
      <c r="I2789" s="28">
        <f>(I2775*$D$2793-I2779)/(Inputs!$D$7+$D$2794)^I2768</f>
        <v>316.98802826091918</v>
      </c>
      <c r="J2789" s="28">
        <f>(J2775*$D$2793-J2779)/(Inputs!$D$7+$D$2794)^J2768</f>
        <v>288.18973459066564</v>
      </c>
      <c r="K2789" s="28">
        <f>(K2775*$D$2793-K2779)/(Inputs!$D$7+$D$2794)^K2768</f>
        <v>262.00775965922423</v>
      </c>
      <c r="L2789" s="28">
        <f>(L2775*$D$2793-L2779)/(Inputs!$D$7+$D$2794)^L2768</f>
        <v>238.2044114761793</v>
      </c>
      <c r="M2789" s="28">
        <f>(M2775*$D$2793-M2779)/(Inputs!$D$7+$D$2794)^M2768</f>
        <v>216.50708849185102</v>
      </c>
    </row>
    <row r="2790" spans="2:13" ht="15" customHeight="1" x14ac:dyDescent="0.2">
      <c r="B2790" s="10" t="s">
        <v>911</v>
      </c>
      <c r="C2790" s="10" t="s">
        <v>110</v>
      </c>
      <c r="D2790" s="16">
        <f>(-D2777-D2778)/(Inputs!$D$7+$D$2794)^D2768</f>
        <v>-14536.447397527105</v>
      </c>
      <c r="E2790" s="16">
        <f>(-E2777-E2778)/(Inputs!$D$7+$D$2794)^E2768</f>
        <v>-17616.488200475756</v>
      </c>
      <c r="F2790" s="16">
        <f>(-F2777-F2778)/(Inputs!$D$7+$D$2794)^F2768</f>
        <v>-12012.025548964448</v>
      </c>
      <c r="G2790" s="16">
        <f>(-G2777-G2778)/(Inputs!$D$7+$D$2794)^G2768</f>
        <v>-1851.359915178487</v>
      </c>
      <c r="H2790" s="16">
        <f>(-H2777-H2778)/(Inputs!$D$7+$D$2794)^H2768</f>
        <v>-9495.2419037884629</v>
      </c>
      <c r="I2790" s="16">
        <f>(-I2777-I2778)/(Inputs!$D$7+$D$2794)^I2768</f>
        <v>-11507.131858586603</v>
      </c>
      <c r="J2790" s="16">
        <f>(-J2777-J2778)/(Inputs!$D$7+$D$2794)^J2768</f>
        <v>-7846.2835672839774</v>
      </c>
      <c r="K2790" s="16">
        <f>(-K2777-K2778)/(Inputs!$D$7+$D$2794)^K2768</f>
        <v>-1264.5037327904422</v>
      </c>
      <c r="L2790" s="16">
        <f>(-L2777-L2778)/(Inputs!$D$7+$D$2794)^L2768</f>
        <v>-6485.3779822337692</v>
      </c>
      <c r="M2790" s="16">
        <f>(-M2777-M2778)/(Inputs!$D$7+$D$2794)^M2768</f>
        <v>-7859.5258920747219</v>
      </c>
    </row>
    <row r="2791" spans="2:13" ht="15" customHeight="1" x14ac:dyDescent="0.2">
      <c r="B2791" s="10" t="s">
        <v>912</v>
      </c>
      <c r="C2791" s="10" t="s">
        <v>110</v>
      </c>
      <c r="D2791" s="16">
        <f>Prices!I16</f>
        <v>43415.962172230982</v>
      </c>
    </row>
    <row r="2792" spans="2:13" ht="15" customHeight="1" x14ac:dyDescent="0.2">
      <c r="B2792" s="3" t="s">
        <v>913</v>
      </c>
      <c r="C2792" s="10" t="s">
        <v>914</v>
      </c>
      <c r="D2792" s="28">
        <f>IF(J2799&gt;=J2795,J2799,(D2791-J2798)/J2797)</f>
        <v>43.245697141804897</v>
      </c>
      <c r="G2792" s="99" t="s">
        <v>915</v>
      </c>
      <c r="H2792" s="91"/>
      <c r="I2792" s="91"/>
      <c r="J2792" s="28">
        <f>D2792*Inputs!$D$15</f>
        <v>30.181172035265636</v>
      </c>
      <c r="K2792" s="99" t="s">
        <v>916</v>
      </c>
      <c r="L2792" s="91"/>
      <c r="M2792" s="91"/>
    </row>
    <row r="2793" spans="2:13" ht="15" customHeight="1" x14ac:dyDescent="0.2">
      <c r="B2793" s="10" t="s">
        <v>917</v>
      </c>
      <c r="C2793" s="10" t="s">
        <v>104</v>
      </c>
      <c r="D2793" s="30">
        <f>Inputs!$D$81</f>
        <v>0.6</v>
      </c>
      <c r="G2793" s="99" t="s">
        <v>918</v>
      </c>
      <c r="H2793" s="91"/>
      <c r="I2793" s="91"/>
      <c r="J2793" s="28">
        <f>IF(-D2804/D2803&gt;=J2795,-D2804/D2803,-J2798/J2797)</f>
        <v>32.284876648616972</v>
      </c>
      <c r="K2793" s="99" t="s">
        <v>919</v>
      </c>
      <c r="L2793" s="91"/>
      <c r="M2793" s="91"/>
    </row>
    <row r="2794" spans="2:13" ht="15" customHeight="1" x14ac:dyDescent="0.2">
      <c r="B2794" s="10" t="s">
        <v>920</v>
      </c>
      <c r="C2794" s="10" t="s">
        <v>104</v>
      </c>
      <c r="D2794" s="30">
        <f>Inputs!$D$82</f>
        <v>0.1</v>
      </c>
      <c r="G2794" s="99" t="s">
        <v>918</v>
      </c>
      <c r="H2794" s="91"/>
      <c r="I2794" s="91"/>
      <c r="J2794" s="28">
        <f>J2793*Inputs!$D$15</f>
        <v>22.531615413069783</v>
      </c>
      <c r="K2794" s="99" t="s">
        <v>916</v>
      </c>
      <c r="L2794" s="91"/>
      <c r="M2794" s="91"/>
    </row>
    <row r="2795" spans="2:13" ht="15" customHeight="1" x14ac:dyDescent="0.2">
      <c r="B2795" s="3" t="s">
        <v>921</v>
      </c>
      <c r="C2795" s="10" t="s">
        <v>848</v>
      </c>
      <c r="D2795" s="28">
        <f>Capital!$D$13</f>
        <v>57.347931490590682</v>
      </c>
      <c r="G2795" s="99" t="s">
        <v>922</v>
      </c>
      <c r="H2795" s="91"/>
      <c r="I2795" s="91"/>
      <c r="J2795" s="28">
        <f>($D$2795/Inputs!$D$21+$D$2796/Inputs!$D$22)/$D$2793</f>
        <v>24.113076913095469</v>
      </c>
      <c r="K2795" s="99" t="s">
        <v>919</v>
      </c>
      <c r="L2795" s="91"/>
      <c r="M2795" s="91"/>
    </row>
    <row r="2796" spans="2:13" ht="15" customHeight="1" x14ac:dyDescent="0.2">
      <c r="B2796" s="3" t="s">
        <v>923</v>
      </c>
      <c r="C2796" s="10" t="s">
        <v>848</v>
      </c>
      <c r="D2796" s="28">
        <f>Capital!$D$14</f>
        <v>2.6172655041921802</v>
      </c>
    </row>
    <row r="2797" spans="2:13" ht="15" customHeight="1" x14ac:dyDescent="0.2">
      <c r="B2797" s="10" t="s">
        <v>924</v>
      </c>
      <c r="C2797" s="10" t="s">
        <v>896</v>
      </c>
      <c r="D2797" s="28">
        <f>(M2770*(Inputs!$D$7+Inputs!$D$20)*$D$2793*(Inputs!$D$7-Inputs!$D$19)-M2770*Inputs!$D$20*Inputs!$D$23)/($D$2794-Inputs!$D$20)/(Inputs!$D$7+$D$2794)^M2768</f>
        <v>2068.2441036763203</v>
      </c>
      <c r="G2797" s="92" t="s">
        <v>910</v>
      </c>
      <c r="H2797" s="91"/>
      <c r="I2797" s="91"/>
      <c r="J2797" s="28">
        <f>SUM(D2789:M2789)+(M2770*(Inputs!$D$7+Inputs!$D$20)*$D$2793-M2770*Inputs!$D$20*Inputs!$D$23)/($D$2794-Inputs!$D$20)/(Inputs!$D$7+$D$2794)^M2768</f>
        <v>5667.7711754446318</v>
      </c>
      <c r="K2797" s="99" t="s">
        <v>896</v>
      </c>
      <c r="L2797" s="91"/>
      <c r="M2797" s="91"/>
    </row>
    <row r="2798" spans="2:13" ht="15" customHeight="1" x14ac:dyDescent="0.2">
      <c r="B2798" s="10" t="s">
        <v>925</v>
      </c>
      <c r="C2798" s="10" t="s">
        <v>110</v>
      </c>
      <c r="D2798" s="16">
        <f>(D2801*Inputs!$D$19-D2801-D2802)/($D$2794-Inputs!$D$20)/(Inputs!$D$7+$D$2794)^M2768</f>
        <v>-57156.954988173631</v>
      </c>
      <c r="G2798" s="92" t="s">
        <v>926</v>
      </c>
      <c r="H2798" s="91"/>
      <c r="I2798" s="91"/>
      <c r="J2798" s="16">
        <f>SUM(D2790:M2790)-(D2801+D2802)/($D$2794-Inputs!$D$20)/(Inputs!$D$7+$D$2794)^M2768</f>
        <v>-169036.01450291832</v>
      </c>
      <c r="K2798" s="99" t="s">
        <v>110</v>
      </c>
      <c r="L2798" s="91"/>
      <c r="M2798" s="91"/>
    </row>
    <row r="2799" spans="2:13" ht="15" customHeight="1" x14ac:dyDescent="0.2">
      <c r="B2799" s="10" t="s">
        <v>927</v>
      </c>
      <c r="C2799" s="10" t="s">
        <v>928</v>
      </c>
      <c r="D2799" s="16">
        <f>(M2770*(Inputs!$D$7+Inputs!$D$20)*$D$2792*$D$2793-D2801)-MAX((M2770*(Inputs!$D$7+Inputs!$D$20)*$D$2792*$D$2793-D2801),Inputs!$D$6)*Inputs!$D$19-D2802-M2770*Inputs!$D$20*$D$2792*Inputs!$D$23</f>
        <v>6113.205850340225</v>
      </c>
      <c r="G2799" s="99" t="s">
        <v>929</v>
      </c>
      <c r="H2799" s="91"/>
      <c r="I2799" s="91"/>
      <c r="J2799" s="28">
        <f>(D2791-D2804)/D2803</f>
        <v>43.245697141804897</v>
      </c>
      <c r="K2799" s="99" t="s">
        <v>919</v>
      </c>
      <c r="L2799" s="91"/>
      <c r="M2799" s="91"/>
    </row>
    <row r="2800" spans="2:13" ht="15" customHeight="1" x14ac:dyDescent="0.2">
      <c r="B2800" s="10" t="s">
        <v>930</v>
      </c>
      <c r="C2800" s="10" t="s">
        <v>110</v>
      </c>
      <c r="D2800" s="16">
        <f>D2799/($D$2794-Inputs!$D$20)</f>
        <v>81509.411337869649</v>
      </c>
      <c r="G2800" s="99" t="s">
        <v>931</v>
      </c>
      <c r="H2800" s="91"/>
      <c r="I2800" s="91"/>
      <c r="J2800" s="16">
        <f>MIN(D2784:M2784,(M2770*(Inputs!$D$7+Inputs!$D$20)*$D$2792*$D$2793-D2801))</f>
        <v>1441.6881139319478</v>
      </c>
      <c r="K2800" s="99" t="s">
        <v>110</v>
      </c>
      <c r="L2800" s="91"/>
      <c r="M2800" s="91"/>
    </row>
    <row r="2801" spans="1:13" ht="15" customHeight="1" x14ac:dyDescent="0.2">
      <c r="B2801" s="10" t="s">
        <v>932</v>
      </c>
      <c r="C2801" s="10" t="s">
        <v>928</v>
      </c>
      <c r="D2801" s="16">
        <f>M2770*(Inputs!$D$7+Inputs!$D$20)*($D$2795/Inputs!$D$21+$D$2796/Inputs!$D$22)</f>
        <v>13509.71303671543</v>
      </c>
      <c r="G2801" s="99" t="s">
        <v>933</v>
      </c>
      <c r="H2801" s="91"/>
      <c r="I2801" s="91"/>
      <c r="J2801" s="31" t="str">
        <f>IF(J2800&lt;Inputs!$D$6,"breached","satisfied")</f>
        <v>satisfied</v>
      </c>
      <c r="K2801" s="99" t="s">
        <v>934</v>
      </c>
      <c r="L2801" s="91"/>
      <c r="M2801" s="91"/>
    </row>
    <row r="2802" spans="1:13" ht="15" customHeight="1" x14ac:dyDescent="0.2">
      <c r="B2802" s="10" t="s">
        <v>935</v>
      </c>
      <c r="C2802" s="10" t="s">
        <v>928</v>
      </c>
      <c r="D2802" s="16">
        <f>M2770*Inputs!$D$20*($D$2795+$D$2796)</f>
        <v>1365.7073615561799</v>
      </c>
    </row>
    <row r="2803" spans="1:13" ht="15" customHeight="1" x14ac:dyDescent="0.2">
      <c r="B2803" s="10" t="s">
        <v>936</v>
      </c>
      <c r="C2803" s="10" t="s">
        <v>896</v>
      </c>
      <c r="D2803" s="28">
        <f>SUM(D2780:M2780)+D2797</f>
        <v>3961.0138857044249</v>
      </c>
      <c r="G2803" s="99" t="s">
        <v>937</v>
      </c>
      <c r="H2803" s="91"/>
      <c r="I2803" s="91"/>
      <c r="J2803" s="16">
        <f>D2805-D2791</f>
        <v>0</v>
      </c>
      <c r="K2803" s="99" t="s">
        <v>110</v>
      </c>
      <c r="L2803" s="91"/>
      <c r="M2803" s="91"/>
    </row>
    <row r="2804" spans="1:13" ht="15" customHeight="1" x14ac:dyDescent="0.2">
      <c r="B2804" s="10" t="s">
        <v>938</v>
      </c>
      <c r="C2804" s="10" t="s">
        <v>110</v>
      </c>
      <c r="D2804" s="16">
        <f>SUM(D2781:M2781)+D2798</f>
        <v>-127880.84470342637</v>
      </c>
    </row>
    <row r="2805" spans="1:13" ht="15" customHeight="1" x14ac:dyDescent="0.2">
      <c r="B2805" s="10" t="s">
        <v>939</v>
      </c>
      <c r="C2805" s="10" t="s">
        <v>110</v>
      </c>
      <c r="D2805" s="16">
        <f>SUM(D2788:M2788)+D2800/(Inputs!$D$7+$D$2794)^M2768</f>
        <v>43415.962172231004</v>
      </c>
    </row>
    <row r="2806" spans="1:13" ht="15" customHeight="1" x14ac:dyDescent="0.2">
      <c r="B2806" s="10" t="s">
        <v>940</v>
      </c>
      <c r="C2806" s="10" t="s">
        <v>104</v>
      </c>
      <c r="D2806" s="30">
        <f>IF(ABS(D2791)&gt;Inputs!$D$6,D2805/D2791-Inputs!$D$7,Inputs!$D$6)</f>
        <v>4.4408920985006262E-16</v>
      </c>
    </row>
    <row r="2807" spans="1:13" ht="15" customHeight="1" x14ac:dyDescent="0.2">
      <c r="B2807" s="10" t="s">
        <v>941</v>
      </c>
      <c r="C2807" s="10" t="s">
        <v>104</v>
      </c>
      <c r="D2807" s="30">
        <f>IF(ABS(D2805)&gt;Inputs!$D$119,D2800/(Inputs!$D$7+$D$2794)^M2768/D2805,Inputs!$D$6)</f>
        <v>0.74363670685585503</v>
      </c>
    </row>
    <row r="2808" spans="1:13" ht="15" customHeight="1" x14ac:dyDescent="0.2">
      <c r="B2808" s="10" t="s">
        <v>942</v>
      </c>
      <c r="C2808" s="10" t="s">
        <v>943</v>
      </c>
      <c r="D2808" s="26">
        <f>$D$2792*Inputs!$D$8/Prices!$P$6/(Inputs!$D$26/Inputs!$D$25)/Inputs!$D$11/Inputs!$D$56</f>
        <v>7.8643613850081691</v>
      </c>
    </row>
    <row r="2812" spans="1:13" ht="15" customHeight="1" x14ac:dyDescent="0.2">
      <c r="A2812" s="104" t="s">
        <v>1004</v>
      </c>
      <c r="B2812" s="10" t="s">
        <v>886</v>
      </c>
      <c r="C2812" s="10" t="s">
        <v>107</v>
      </c>
      <c r="D2812" s="28">
        <f>Inputs!$D$60</f>
        <v>1</v>
      </c>
      <c r="E2812" s="28">
        <f>Inputs!$D$62</f>
        <v>2</v>
      </c>
      <c r="F2812" s="28">
        <f>Inputs!$D$64</f>
        <v>3</v>
      </c>
      <c r="G2812" s="28">
        <f>Inputs!$D$66</f>
        <v>4</v>
      </c>
      <c r="H2812" s="28">
        <f>Inputs!$D$68</f>
        <v>5</v>
      </c>
      <c r="I2812" s="28">
        <f>Inputs!$D$70</f>
        <v>6</v>
      </c>
      <c r="J2812" s="28">
        <f>Inputs!$D$72</f>
        <v>7</v>
      </c>
      <c r="K2812" s="28">
        <f>Inputs!$D$74</f>
        <v>8</v>
      </c>
      <c r="L2812" s="28">
        <f>Inputs!$D$76</f>
        <v>9</v>
      </c>
      <c r="M2812" s="28">
        <f>Inputs!$D$78</f>
        <v>10</v>
      </c>
    </row>
    <row r="2813" spans="1:13" ht="15" customHeight="1" x14ac:dyDescent="0.2">
      <c r="A2813" s="91"/>
      <c r="B2813" s="10" t="s">
        <v>887</v>
      </c>
      <c r="C2813" s="10" t="s">
        <v>161</v>
      </c>
      <c r="D2813" s="29">
        <f>Inputs!$D$61</f>
        <v>46568</v>
      </c>
      <c r="E2813" s="29">
        <f>Inputs!$D$63</f>
        <v>46934</v>
      </c>
      <c r="F2813" s="29">
        <f>Inputs!$D$65</f>
        <v>47299</v>
      </c>
      <c r="G2813" s="29">
        <f>Inputs!$D$67</f>
        <v>47664</v>
      </c>
      <c r="H2813" s="29">
        <f>Inputs!$D$69</f>
        <v>48029</v>
      </c>
      <c r="I2813" s="29">
        <f>Inputs!$D$71</f>
        <v>48395</v>
      </c>
      <c r="J2813" s="29">
        <f>Inputs!$D$73</f>
        <v>48760</v>
      </c>
      <c r="K2813" s="29">
        <f>Inputs!$D$75</f>
        <v>49125</v>
      </c>
      <c r="L2813" s="29">
        <f>Inputs!$D$77</f>
        <v>49490</v>
      </c>
      <c r="M2813" s="29">
        <f>Inputs!$D$79</f>
        <v>49856</v>
      </c>
    </row>
    <row r="2814" spans="1:13" ht="15" customHeight="1" x14ac:dyDescent="0.2">
      <c r="A2814" s="91"/>
      <c r="B2814" s="10" t="s">
        <v>888</v>
      </c>
      <c r="C2814" s="10" t="s">
        <v>107</v>
      </c>
      <c r="D2814" s="28">
        <f>(D2813-Inputs!$D$13)/Inputs!$D$10</f>
        <v>0.71457905544147848</v>
      </c>
      <c r="E2814" s="28">
        <f>(E2813-Inputs!$D$13)/Inputs!$D$10</f>
        <v>1.7166324435318274</v>
      </c>
      <c r="F2814" s="28">
        <f>(F2813-Inputs!$D$13)/Inputs!$D$10</f>
        <v>2.7159479808350446</v>
      </c>
      <c r="G2814" s="28">
        <f>(G2813-Inputs!$D$13)/Inputs!$D$10</f>
        <v>3.7152635181382614</v>
      </c>
      <c r="H2814" s="28">
        <f>(H2813-Inputs!$D$13)/Inputs!$D$10</f>
        <v>4.7145790554414786</v>
      </c>
      <c r="I2814" s="28">
        <f>(I2813-Inputs!$D$13)/Inputs!$D$10</f>
        <v>5.7166324435318279</v>
      </c>
      <c r="J2814" s="28">
        <f>(J2813-Inputs!$D$13)/Inputs!$D$10</f>
        <v>6.7159479808350442</v>
      </c>
      <c r="K2814" s="28">
        <f>(K2813-Inputs!$D$13)/Inputs!$D$10</f>
        <v>7.7152635181382614</v>
      </c>
      <c r="L2814" s="28">
        <f>(L2813-Inputs!$D$13)/Inputs!$D$10</f>
        <v>8.7145790554414777</v>
      </c>
      <c r="M2814" s="28">
        <f>(M2813-Inputs!$D$13)/Inputs!$D$10</f>
        <v>9.716632443531827</v>
      </c>
    </row>
    <row r="2815" spans="1:13" ht="15" customHeight="1" x14ac:dyDescent="0.2">
      <c r="A2815" s="91"/>
      <c r="B2815" s="10" t="s">
        <v>889</v>
      </c>
      <c r="C2815" s="10" t="s">
        <v>107</v>
      </c>
      <c r="D2815" s="28">
        <f>D2814</f>
        <v>0.71457905544147848</v>
      </c>
      <c r="E2815" s="28">
        <f>Inputs!$D$7</f>
        <v>1</v>
      </c>
      <c r="F2815" s="28">
        <f>Inputs!$D$7</f>
        <v>1</v>
      </c>
      <c r="G2815" s="28">
        <f>Inputs!$D$7</f>
        <v>1</v>
      </c>
      <c r="H2815" s="28">
        <f>Inputs!$D$7</f>
        <v>1</v>
      </c>
      <c r="I2815" s="28">
        <f>Inputs!$D$7</f>
        <v>1</v>
      </c>
      <c r="J2815" s="28">
        <f>Inputs!$D$7</f>
        <v>1</v>
      </c>
      <c r="K2815" s="28">
        <f>Inputs!$D$7</f>
        <v>1</v>
      </c>
      <c r="L2815" s="28">
        <f>Inputs!$D$7</f>
        <v>1</v>
      </c>
      <c r="M2815" s="28">
        <f>Inputs!$D$7</f>
        <v>1</v>
      </c>
    </row>
    <row r="2816" spans="1:13" ht="15" customHeight="1" x14ac:dyDescent="0.2">
      <c r="A2816" s="91"/>
      <c r="B2816" s="3" t="s">
        <v>890</v>
      </c>
      <c r="C2816" s="10" t="s">
        <v>199</v>
      </c>
      <c r="D2816" s="28">
        <f>Inputs!$D$24+(Inputs!$D$93-Inputs!$D$24)*Inputs!$D$96</f>
        <v>279.10000000000002</v>
      </c>
      <c r="E2816" s="28">
        <f>Inputs!$D$24+(Inputs!$D$93-Inputs!$D$24)*Inputs!$D$97</f>
        <v>900.7</v>
      </c>
      <c r="F2816" s="28">
        <f>Inputs!$D$24+(Inputs!$D$93-Inputs!$D$24)*Inputs!$D$98</f>
        <v>1366.8999999999999</v>
      </c>
      <c r="G2816" s="28">
        <f>Inputs!$D$24+(Inputs!$D$93-Inputs!$D$24)*Inputs!$D$99</f>
        <v>1600</v>
      </c>
      <c r="H2816" s="28">
        <f>Inputs!$D$24+(Inputs!$D$93-Inputs!$D$24)*Inputs!$D$100</f>
        <v>1600</v>
      </c>
      <c r="I2816" s="28">
        <f>Inputs!$D$24+(Inputs!$D$93-Inputs!$D$24)*Inputs!$D$101</f>
        <v>1600</v>
      </c>
      <c r="J2816" s="28">
        <f>Inputs!$D$24+(Inputs!$D$93-Inputs!$D$24)*Inputs!$D$102</f>
        <v>1600</v>
      </c>
      <c r="K2816" s="28">
        <f>Inputs!$D$24+(Inputs!$D$93-Inputs!$D$24)*Inputs!$D$103</f>
        <v>1600</v>
      </c>
      <c r="L2816" s="28">
        <f>Inputs!$D$24+(Inputs!$D$93-Inputs!$D$24)*Inputs!$D$104</f>
        <v>1600</v>
      </c>
      <c r="M2816" s="28">
        <f>Inputs!$D$24+(Inputs!$D$93-Inputs!$D$24)*Inputs!$D$105</f>
        <v>1600</v>
      </c>
    </row>
    <row r="2817" spans="1:13" ht="15" customHeight="1" x14ac:dyDescent="0.2">
      <c r="A2817" s="91"/>
      <c r="B2817" s="10" t="s">
        <v>891</v>
      </c>
      <c r="C2817" s="10" t="s">
        <v>199</v>
      </c>
      <c r="D2817" s="28">
        <f>Inputs!$D$24</f>
        <v>46</v>
      </c>
      <c r="E2817" s="28">
        <f t="shared" ref="E2817:M2817" si="610">D2816</f>
        <v>279.10000000000002</v>
      </c>
      <c r="F2817" s="28">
        <f t="shared" si="610"/>
        <v>900.7</v>
      </c>
      <c r="G2817" s="28">
        <f t="shared" si="610"/>
        <v>1366.8999999999999</v>
      </c>
      <c r="H2817" s="28">
        <f t="shared" si="610"/>
        <v>1600</v>
      </c>
      <c r="I2817" s="28">
        <f t="shared" si="610"/>
        <v>1600</v>
      </c>
      <c r="J2817" s="28">
        <f t="shared" si="610"/>
        <v>1600</v>
      </c>
      <c r="K2817" s="28">
        <f t="shared" si="610"/>
        <v>1600</v>
      </c>
      <c r="L2817" s="28">
        <f t="shared" si="610"/>
        <v>1600</v>
      </c>
      <c r="M2817" s="28">
        <f t="shared" si="610"/>
        <v>1600</v>
      </c>
    </row>
    <row r="2818" spans="1:13" ht="15" customHeight="1" x14ac:dyDescent="0.2">
      <c r="B2818" s="10" t="s">
        <v>892</v>
      </c>
      <c r="C2818" s="10" t="s">
        <v>199</v>
      </c>
      <c r="D2818" s="28">
        <f>(D2817+D2816)*Inputs!$D$12</f>
        <v>162.55000000000001</v>
      </c>
      <c r="E2818" s="28">
        <f>(E2817+E2816)*Inputs!$D$12</f>
        <v>589.90000000000009</v>
      </c>
      <c r="F2818" s="28">
        <f>(F2817+F2816)*Inputs!$D$12</f>
        <v>1133.8</v>
      </c>
      <c r="G2818" s="28">
        <f>(G2817+G2816)*Inputs!$D$12</f>
        <v>1483.4499999999998</v>
      </c>
      <c r="H2818" s="28">
        <f>(H2817+H2816)*Inputs!$D$12</f>
        <v>1600</v>
      </c>
      <c r="I2818" s="28">
        <f>(I2817+I2816)*Inputs!$D$12</f>
        <v>1600</v>
      </c>
      <c r="J2818" s="28">
        <f>(J2817+J2816)*Inputs!$D$12</f>
        <v>1600</v>
      </c>
      <c r="K2818" s="28">
        <f>(K2817+K2816)*Inputs!$D$12</f>
        <v>1600</v>
      </c>
      <c r="L2818" s="28">
        <f>(L2817+L2816)*Inputs!$D$12</f>
        <v>1600</v>
      </c>
      <c r="M2818" s="28">
        <f>(M2817+M2816)*Inputs!$D$12</f>
        <v>1600</v>
      </c>
    </row>
    <row r="2819" spans="1:13" ht="15" customHeight="1" x14ac:dyDescent="0.2">
      <c r="B2819" s="10" t="s">
        <v>893</v>
      </c>
      <c r="C2819" s="10" t="s">
        <v>199</v>
      </c>
      <c r="D2819" s="28">
        <f t="shared" ref="D2819:M2819" si="611">D2816-D2817</f>
        <v>233.10000000000002</v>
      </c>
      <c r="E2819" s="28">
        <f t="shared" si="611"/>
        <v>621.6</v>
      </c>
      <c r="F2819" s="28">
        <f t="shared" si="611"/>
        <v>466.19999999999982</v>
      </c>
      <c r="G2819" s="28">
        <f t="shared" si="611"/>
        <v>233.10000000000014</v>
      </c>
      <c r="H2819" s="28">
        <f t="shared" si="611"/>
        <v>0</v>
      </c>
      <c r="I2819" s="28">
        <f t="shared" si="611"/>
        <v>0</v>
      </c>
      <c r="J2819" s="28">
        <f t="shared" si="611"/>
        <v>0</v>
      </c>
      <c r="K2819" s="28">
        <f t="shared" si="611"/>
        <v>0</v>
      </c>
      <c r="L2819" s="28">
        <f t="shared" si="611"/>
        <v>0</v>
      </c>
      <c r="M2819" s="28">
        <f t="shared" si="611"/>
        <v>0</v>
      </c>
    </row>
    <row r="2820" spans="1:13" ht="15" customHeight="1" x14ac:dyDescent="0.2">
      <c r="B2820" s="10" t="s">
        <v>894</v>
      </c>
      <c r="C2820" s="10" t="s">
        <v>199</v>
      </c>
      <c r="D2820" s="28">
        <f>IF(MOD(D2812,Inputs!$D$21)=Inputs!$D$6,Inputs!$D$24,Inputs!$D$6)+SUMPRODUCT(--(D2812&gt;$D$2812:$M$2812),--(MOD(D2812-$D$2812:$M$2812,Inputs!$D$21)=Inputs!$D$6),$D$2819:$M$2819)</f>
        <v>0</v>
      </c>
      <c r="E2820" s="28">
        <f>IF(MOD(E2812,Inputs!$D$21)=Inputs!$D$6,Inputs!$D$24,Inputs!$D$6)+SUMPRODUCT(--(E2812&gt;$D$2812:$M$2812),--(MOD(E2812-$D$2812:$M$2812,Inputs!$D$21)=Inputs!$D$6),$D$2819:$M$2819)</f>
        <v>0</v>
      </c>
      <c r="F2820" s="28">
        <f>IF(MOD(F2812,Inputs!$D$21)=Inputs!$D$6,Inputs!$D$24,Inputs!$D$6)+SUMPRODUCT(--(F2812&gt;$D$2812:$M$2812),--(MOD(F2812-$D$2812:$M$2812,Inputs!$D$21)=Inputs!$D$6),$D$2819:$M$2819)</f>
        <v>0</v>
      </c>
      <c r="G2820" s="28">
        <f>IF(MOD(G2812,Inputs!$D$21)=Inputs!$D$6,Inputs!$D$24,Inputs!$D$6)+SUMPRODUCT(--(G2812&gt;$D$2812:$M$2812),--(MOD(G2812-$D$2812:$M$2812,Inputs!$D$21)=Inputs!$D$6),$D$2819:$M$2819)</f>
        <v>46</v>
      </c>
      <c r="H2820" s="28">
        <f>IF(MOD(H2812,Inputs!$D$21)=Inputs!$D$6,Inputs!$D$24,Inputs!$D$6)+SUMPRODUCT(--(H2812&gt;$D$2812:$M$2812),--(MOD(H2812-$D$2812:$M$2812,Inputs!$D$21)=Inputs!$D$6),$D$2819:$M$2819)</f>
        <v>233.10000000000002</v>
      </c>
      <c r="I2820" s="28">
        <f>IF(MOD(I2812,Inputs!$D$21)=Inputs!$D$6,Inputs!$D$24,Inputs!$D$6)+SUMPRODUCT(--(I2812&gt;$D$2812:$M$2812),--(MOD(I2812-$D$2812:$M$2812,Inputs!$D$21)=Inputs!$D$6),$D$2819:$M$2819)</f>
        <v>621.6</v>
      </c>
      <c r="J2820" s="28">
        <f>IF(MOD(J2812,Inputs!$D$21)=Inputs!$D$6,Inputs!$D$24,Inputs!$D$6)+SUMPRODUCT(--(J2812&gt;$D$2812:$M$2812),--(MOD(J2812-$D$2812:$M$2812,Inputs!$D$21)=Inputs!$D$6),$D$2819:$M$2819)</f>
        <v>466.19999999999982</v>
      </c>
      <c r="K2820" s="28">
        <f>IF(MOD(K2812,Inputs!$D$21)=Inputs!$D$6,Inputs!$D$24,Inputs!$D$6)+SUMPRODUCT(--(K2812&gt;$D$2812:$M$2812),--(MOD(K2812-$D$2812:$M$2812,Inputs!$D$21)=Inputs!$D$6),$D$2819:$M$2819)</f>
        <v>279.10000000000014</v>
      </c>
      <c r="L2820" s="28">
        <f>IF(MOD(L2812,Inputs!$D$21)=Inputs!$D$6,Inputs!$D$24,Inputs!$D$6)+SUMPRODUCT(--(L2812&gt;$D$2812:$M$2812),--(MOD(L2812-$D$2812:$M$2812,Inputs!$D$21)=Inputs!$D$6),$D$2819:$M$2819)</f>
        <v>233.10000000000002</v>
      </c>
      <c r="M2820" s="28">
        <f>IF(MOD(M2812,Inputs!$D$21)=Inputs!$D$6,Inputs!$D$24,Inputs!$D$6)+SUMPRODUCT(--(M2812&gt;$D$2812:$M$2812),--(MOD(M2812-$D$2812:$M$2812,Inputs!$D$21)=Inputs!$D$6),$D$2819:$M$2819)</f>
        <v>621.6</v>
      </c>
    </row>
    <row r="2821" spans="1:13" ht="15" customHeight="1" x14ac:dyDescent="0.2">
      <c r="B2821" s="10" t="s">
        <v>895</v>
      </c>
      <c r="C2821" s="10" t="s">
        <v>896</v>
      </c>
      <c r="D2821" s="28">
        <f t="shared" ref="D2821:M2821" si="612">D2818*D2815</f>
        <v>116.15482546201234</v>
      </c>
      <c r="E2821" s="28">
        <f t="shared" si="612"/>
        <v>589.90000000000009</v>
      </c>
      <c r="F2821" s="28">
        <f t="shared" si="612"/>
        <v>1133.8</v>
      </c>
      <c r="G2821" s="28">
        <f t="shared" si="612"/>
        <v>1483.4499999999998</v>
      </c>
      <c r="H2821" s="28">
        <f t="shared" si="612"/>
        <v>1600</v>
      </c>
      <c r="I2821" s="28">
        <f t="shared" si="612"/>
        <v>1600</v>
      </c>
      <c r="J2821" s="28">
        <f t="shared" si="612"/>
        <v>1600</v>
      </c>
      <c r="K2821" s="28">
        <f t="shared" si="612"/>
        <v>1600</v>
      </c>
      <c r="L2821" s="28">
        <f t="shared" si="612"/>
        <v>1600</v>
      </c>
      <c r="M2821" s="28">
        <f t="shared" si="612"/>
        <v>1600</v>
      </c>
    </row>
    <row r="2822" spans="1:13" ht="15" customHeight="1" x14ac:dyDescent="0.2">
      <c r="B2822" s="10" t="s">
        <v>897</v>
      </c>
      <c r="C2822" s="10" t="s">
        <v>110</v>
      </c>
      <c r="D2822" s="16">
        <f>D2821*($D$2841/Inputs!$D$21+$D$2842/Inputs!$D$22)</f>
        <v>1680.51014411561</v>
      </c>
      <c r="E2822" s="16">
        <f>E2821*($D$2841/Inputs!$D$21+$D$2842/Inputs!$D$22)</f>
        <v>8534.5824426210111</v>
      </c>
      <c r="F2822" s="16">
        <f>F2821*($D$2841/Inputs!$D$21+$D$2842/Inputs!$D$22)</f>
        <v>16403.643962440583</v>
      </c>
      <c r="G2822" s="16">
        <f>G2821*($D$2841/Inputs!$D$21+$D$2842/Inputs!$D$22)</f>
        <v>21462.326368038881</v>
      </c>
      <c r="H2822" s="16">
        <f>H2821*($D$2841/Inputs!$D$21+$D$2842/Inputs!$D$22)</f>
        <v>23148.553836571649</v>
      </c>
      <c r="I2822" s="16">
        <f>I2821*($D$2841/Inputs!$D$21+$D$2842/Inputs!$D$22)</f>
        <v>23148.553836571649</v>
      </c>
      <c r="J2822" s="16">
        <f>J2821*($D$2841/Inputs!$D$21+$D$2842/Inputs!$D$22)</f>
        <v>23148.553836571649</v>
      </c>
      <c r="K2822" s="16">
        <f>K2821*($D$2841/Inputs!$D$21+$D$2842/Inputs!$D$22)</f>
        <v>23148.553836571649</v>
      </c>
      <c r="L2822" s="16">
        <f>L2821*($D$2841/Inputs!$D$21+$D$2842/Inputs!$D$22)</f>
        <v>23148.553836571649</v>
      </c>
      <c r="M2822" s="16">
        <f>M2821*($D$2841/Inputs!$D$21+$D$2842/Inputs!$D$22)</f>
        <v>23148.553836571649</v>
      </c>
    </row>
    <row r="2823" spans="1:13" ht="15" customHeight="1" x14ac:dyDescent="0.2">
      <c r="B2823" s="10" t="s">
        <v>898</v>
      </c>
      <c r="C2823" s="10" t="s">
        <v>110</v>
      </c>
      <c r="D2823" s="16">
        <f t="shared" ref="D2823:M2823" si="613">D2819*($D$2841+$D$2842)</f>
        <v>13977.887419483886</v>
      </c>
      <c r="E2823" s="16">
        <f t="shared" si="613"/>
        <v>37274.36645195703</v>
      </c>
      <c r="F2823" s="16">
        <f t="shared" si="613"/>
        <v>27955.774838967762</v>
      </c>
      <c r="G2823" s="16">
        <f t="shared" si="613"/>
        <v>13977.887419483894</v>
      </c>
      <c r="H2823" s="16">
        <f t="shared" si="613"/>
        <v>0</v>
      </c>
      <c r="I2823" s="16">
        <f t="shared" si="613"/>
        <v>0</v>
      </c>
      <c r="J2823" s="16">
        <f t="shared" si="613"/>
        <v>0</v>
      </c>
      <c r="K2823" s="16">
        <f t="shared" si="613"/>
        <v>0</v>
      </c>
      <c r="L2823" s="16">
        <f t="shared" si="613"/>
        <v>0</v>
      </c>
      <c r="M2823" s="16">
        <f t="shared" si="613"/>
        <v>0</v>
      </c>
    </row>
    <row r="2824" spans="1:13" ht="15" customHeight="1" x14ac:dyDescent="0.2">
      <c r="B2824" s="10" t="s">
        <v>899</v>
      </c>
      <c r="C2824" s="10" t="s">
        <v>110</v>
      </c>
      <c r="D2824" s="16">
        <f t="shared" ref="D2824:M2824" si="614">D2820*$D$2841</f>
        <v>0</v>
      </c>
      <c r="E2824" s="16">
        <f t="shared" si="614"/>
        <v>0</v>
      </c>
      <c r="F2824" s="16">
        <f t="shared" si="614"/>
        <v>0</v>
      </c>
      <c r="G2824" s="16">
        <f t="shared" si="614"/>
        <v>2638.0048485671714</v>
      </c>
      <c r="H2824" s="16">
        <f t="shared" si="614"/>
        <v>13367.802830456689</v>
      </c>
      <c r="I2824" s="16">
        <f t="shared" si="614"/>
        <v>35647.47421455117</v>
      </c>
      <c r="J2824" s="16">
        <f t="shared" si="614"/>
        <v>26735.605660913367</v>
      </c>
      <c r="K2824" s="16">
        <f t="shared" si="614"/>
        <v>16005.807679023867</v>
      </c>
      <c r="L2824" s="16">
        <f t="shared" si="614"/>
        <v>13367.802830456689</v>
      </c>
      <c r="M2824" s="16">
        <f t="shared" si="614"/>
        <v>35647.47421455117</v>
      </c>
    </row>
    <row r="2825" spans="1:13" ht="15" customHeight="1" x14ac:dyDescent="0.2">
      <c r="B2825" s="10" t="s">
        <v>900</v>
      </c>
      <c r="C2825" s="10" t="s">
        <v>199</v>
      </c>
      <c r="D2825" s="28">
        <f>D2819*Inputs!$D$23</f>
        <v>5.8275000000000006</v>
      </c>
      <c r="E2825" s="28">
        <f>E2819*Inputs!$D$23</f>
        <v>15.540000000000001</v>
      </c>
      <c r="F2825" s="28">
        <f>F2819*Inputs!$D$23</f>
        <v>11.654999999999996</v>
      </c>
      <c r="G2825" s="28">
        <f>G2819*Inputs!$D$23</f>
        <v>5.8275000000000041</v>
      </c>
      <c r="H2825" s="28">
        <f>H2819*Inputs!$D$23</f>
        <v>0</v>
      </c>
      <c r="I2825" s="28">
        <f>I2819*Inputs!$D$23</f>
        <v>0</v>
      </c>
      <c r="J2825" s="28">
        <f>J2819*Inputs!$D$23</f>
        <v>0</v>
      </c>
      <c r="K2825" s="28">
        <f>K2819*Inputs!$D$23</f>
        <v>0</v>
      </c>
      <c r="L2825" s="28">
        <f>L2819*Inputs!$D$23</f>
        <v>0</v>
      </c>
      <c r="M2825" s="28">
        <f>M2819*Inputs!$D$23</f>
        <v>0</v>
      </c>
    </row>
    <row r="2826" spans="1:13" ht="15" customHeight="1" x14ac:dyDescent="0.2">
      <c r="B2826" s="3" t="s">
        <v>901</v>
      </c>
      <c r="C2826" s="10" t="s">
        <v>896</v>
      </c>
      <c r="D2826" s="28">
        <f>(D2821*$D$2839*(Inputs!$D$7-Inputs!$D$19)-D2825)/(Inputs!$D$7+$D$2840)^D2814</f>
        <v>50.541318213721269</v>
      </c>
      <c r="E2826" s="28">
        <f>(E2821*$D$2839*(Inputs!$D$7-Inputs!$D$19)-E2825)/(Inputs!$D$7+$D$2840)^E2814</f>
        <v>238.4864713152904</v>
      </c>
      <c r="F2826" s="28">
        <f>(F2821*$D$2839*(Inputs!$D$7-Inputs!$D$19)-F2825)/(Inputs!$D$7+$D$2840)^F2814</f>
        <v>418.74491871678316</v>
      </c>
      <c r="G2826" s="28">
        <f>(G2821*$D$2839*(Inputs!$D$7-Inputs!$D$19)-G2825)/(Inputs!$D$7+$D$2840)^G2814</f>
        <v>490.87392073514752</v>
      </c>
      <c r="H2826" s="28">
        <f>(H2821*$D$2839*(Inputs!$D$7-Inputs!$D$19)-H2825)/(Inputs!$D$7+$D$2840)^H2814</f>
        <v>472.10300862628105</v>
      </c>
      <c r="I2826" s="28">
        <f>(I2821*$D$2839*(Inputs!$D$7-Inputs!$D$19)-I2825)/(Inputs!$D$7+$D$2840)^I2814</f>
        <v>417.68543753228789</v>
      </c>
      <c r="J2826" s="28">
        <f>(J2821*$D$2839*(Inputs!$D$7-Inputs!$D$19)-J2825)/(Inputs!$D$7+$D$2840)^J2814</f>
        <v>369.66405292491049</v>
      </c>
      <c r="K2826" s="28">
        <f>(K2821*$D$2839*(Inputs!$D$7-Inputs!$D$19)-K2825)/(Inputs!$D$7+$D$2840)^K2814</f>
        <v>327.16369723641031</v>
      </c>
      <c r="L2826" s="28">
        <f>(L2821*$D$2839*(Inputs!$D$7-Inputs!$D$19)-L2825)/(Inputs!$D$7+$D$2840)^L2814</f>
        <v>289.54961658427663</v>
      </c>
      <c r="M2826" s="28">
        <f>(M2821*$D$2839*(Inputs!$D$7-Inputs!$D$19)-M2825)/(Inputs!$D$7+$D$2840)^M2814</f>
        <v>256.17430111750662</v>
      </c>
    </row>
    <row r="2827" spans="1:13" ht="15" customHeight="1" x14ac:dyDescent="0.2">
      <c r="B2827" s="10" t="s">
        <v>902</v>
      </c>
      <c r="C2827" s="10" t="s">
        <v>110</v>
      </c>
      <c r="D2827" s="16">
        <f>(D2822*Inputs!$D$19-D2823-D2824)/(Inputs!$D$7+$D$2840)^D2814</f>
        <v>-12346.937146613671</v>
      </c>
      <c r="E2827" s="16">
        <f>(E2822*Inputs!$D$19-E2823-E2824)/(Inputs!$D$7+$D$2840)^E2814</f>
        <v>-28144.165592831177</v>
      </c>
      <c r="F2827" s="16">
        <f>(F2822*Inputs!$D$19-F2823-F2824)/(Inputs!$D$7+$D$2840)^F2814</f>
        <v>-16528.13772562052</v>
      </c>
      <c r="G2827" s="16">
        <f>(G2822*Inputs!$D$19-G2823-G2824)/(Inputs!$D$7+$D$2840)^G2814</f>
        <v>-6462.9033875784253</v>
      </c>
      <c r="H2827" s="16">
        <f>(H2822*Inputs!$D$19-H2823-H2824)/(Inputs!$D$7+$D$2840)^H2814</f>
        <v>-3610.0349541710043</v>
      </c>
      <c r="I2827" s="16">
        <f>(I2822*Inputs!$D$19-I2823-I2824)/(Inputs!$D$7+$D$2840)^I2814</f>
        <v>-14272.365134506323</v>
      </c>
      <c r="J2827" s="16">
        <f>(J2822*Inputs!$D$19-J2823-J2824)/(Inputs!$D$7+$D$2840)^J2814</f>
        <v>-8709.5665200501735</v>
      </c>
      <c r="K2827" s="16">
        <f>(K2822*Inputs!$D$19-K2823-K2824)/(Inputs!$D$7+$D$2840)^K2814</f>
        <v>-3529.1777141306115</v>
      </c>
      <c r="L2827" s="16">
        <f>(L2822*Inputs!$D$19-L2823-L2824)/(Inputs!$D$7+$D$2840)^L2814</f>
        <v>-2214.1020449702382</v>
      </c>
      <c r="M2827" s="16">
        <f>(M2822*Inputs!$D$19-M2823-M2824)/(Inputs!$D$7+$D$2840)^M2814</f>
        <v>-8753.5088252709138</v>
      </c>
    </row>
    <row r="2828" spans="1:13" ht="15" customHeight="1" x14ac:dyDescent="0.2">
      <c r="B2828" s="10" t="s">
        <v>903</v>
      </c>
      <c r="C2828" s="10" t="s">
        <v>110</v>
      </c>
      <c r="D2828" s="16">
        <f t="shared" ref="D2828:M2828" si="615">D2821*$D$2838</f>
        <v>4049.1789233410846</v>
      </c>
      <c r="E2828" s="16">
        <f t="shared" si="615"/>
        <v>20564.024244176453</v>
      </c>
      <c r="F2828" s="16">
        <f t="shared" si="615"/>
        <v>39524.479891587143</v>
      </c>
      <c r="G2828" s="16">
        <f t="shared" si="615"/>
        <v>51713.344236351164</v>
      </c>
      <c r="H2828" s="16">
        <f t="shared" si="615"/>
        <v>55776.299017939178</v>
      </c>
      <c r="I2828" s="16">
        <f t="shared" si="615"/>
        <v>55776.299017939178</v>
      </c>
      <c r="J2828" s="16">
        <f t="shared" si="615"/>
        <v>55776.299017939178</v>
      </c>
      <c r="K2828" s="16">
        <f t="shared" si="615"/>
        <v>55776.299017939178</v>
      </c>
      <c r="L2828" s="16">
        <f t="shared" si="615"/>
        <v>55776.299017939178</v>
      </c>
      <c r="M2828" s="16">
        <f t="shared" si="615"/>
        <v>55776.299017939178</v>
      </c>
    </row>
    <row r="2829" spans="1:13" ht="15" customHeight="1" x14ac:dyDescent="0.2">
      <c r="B2829" s="10" t="s">
        <v>904</v>
      </c>
      <c r="C2829" s="10" t="s">
        <v>110</v>
      </c>
      <c r="D2829" s="16">
        <f t="shared" ref="D2829:M2829" si="616">D2828*$D$2839</f>
        <v>3036.8841925058132</v>
      </c>
      <c r="E2829" s="16">
        <f t="shared" si="616"/>
        <v>15423.018183132339</v>
      </c>
      <c r="F2829" s="16">
        <f t="shared" si="616"/>
        <v>29643.359918690359</v>
      </c>
      <c r="G2829" s="16">
        <f t="shared" si="616"/>
        <v>38785.008177263371</v>
      </c>
      <c r="H2829" s="16">
        <f t="shared" si="616"/>
        <v>41832.22426345438</v>
      </c>
      <c r="I2829" s="16">
        <f t="shared" si="616"/>
        <v>41832.22426345438</v>
      </c>
      <c r="J2829" s="16">
        <f t="shared" si="616"/>
        <v>41832.22426345438</v>
      </c>
      <c r="K2829" s="16">
        <f t="shared" si="616"/>
        <v>41832.22426345438</v>
      </c>
      <c r="L2829" s="16">
        <f t="shared" si="616"/>
        <v>41832.22426345438</v>
      </c>
      <c r="M2829" s="16">
        <f t="shared" si="616"/>
        <v>41832.22426345438</v>
      </c>
    </row>
    <row r="2830" spans="1:13" ht="15" customHeight="1" x14ac:dyDescent="0.2">
      <c r="B2830" s="10" t="s">
        <v>905</v>
      </c>
      <c r="C2830" s="10" t="s">
        <v>110</v>
      </c>
      <c r="D2830" s="16">
        <f t="shared" ref="D2830:M2830" si="617">D2829-D2822</f>
        <v>1356.3740483902031</v>
      </c>
      <c r="E2830" s="16">
        <f t="shared" si="617"/>
        <v>6888.4357405113278</v>
      </c>
      <c r="F2830" s="16">
        <f t="shared" si="617"/>
        <v>13239.715956249776</v>
      </c>
      <c r="G2830" s="16">
        <f t="shared" si="617"/>
        <v>17322.68180922449</v>
      </c>
      <c r="H2830" s="16">
        <f t="shared" si="617"/>
        <v>18683.670426882731</v>
      </c>
      <c r="I2830" s="16">
        <f t="shared" si="617"/>
        <v>18683.670426882731</v>
      </c>
      <c r="J2830" s="16">
        <f t="shared" si="617"/>
        <v>18683.670426882731</v>
      </c>
      <c r="K2830" s="16">
        <f t="shared" si="617"/>
        <v>18683.670426882731</v>
      </c>
      <c r="L2830" s="16">
        <f t="shared" si="617"/>
        <v>18683.670426882731</v>
      </c>
      <c r="M2830" s="16">
        <f t="shared" si="617"/>
        <v>18683.670426882731</v>
      </c>
    </row>
    <row r="2831" spans="1:13" ht="15" customHeight="1" x14ac:dyDescent="0.2">
      <c r="B2831" s="10" t="s">
        <v>906</v>
      </c>
      <c r="C2831" s="10" t="s">
        <v>110</v>
      </c>
      <c r="D2831" s="16">
        <f>MAX(D2830,Inputs!$D$6)*Inputs!$D$19</f>
        <v>406.91221451706093</v>
      </c>
      <c r="E2831" s="16">
        <f>MAX(E2830,Inputs!$D$6)*Inputs!$D$19</f>
        <v>2066.5307221533981</v>
      </c>
      <c r="F2831" s="16">
        <f>MAX(F2830,Inputs!$D$6)*Inputs!$D$19</f>
        <v>3971.9147868749328</v>
      </c>
      <c r="G2831" s="16">
        <f>MAX(G2830,Inputs!$D$6)*Inputs!$D$19</f>
        <v>5196.8045427673469</v>
      </c>
      <c r="H2831" s="16">
        <f>MAX(H2830,Inputs!$D$6)*Inputs!$D$19</f>
        <v>5605.101128064819</v>
      </c>
      <c r="I2831" s="16">
        <f>MAX(I2830,Inputs!$D$6)*Inputs!$D$19</f>
        <v>5605.101128064819</v>
      </c>
      <c r="J2831" s="16">
        <f>MAX(J2830,Inputs!$D$6)*Inputs!$D$19</f>
        <v>5605.101128064819</v>
      </c>
      <c r="K2831" s="16">
        <f>MAX(K2830,Inputs!$D$6)*Inputs!$D$19</f>
        <v>5605.101128064819</v>
      </c>
      <c r="L2831" s="16">
        <f>MAX(L2830,Inputs!$D$6)*Inputs!$D$19</f>
        <v>5605.101128064819</v>
      </c>
      <c r="M2831" s="16">
        <f>MAX(M2830,Inputs!$D$6)*Inputs!$D$19</f>
        <v>5605.101128064819</v>
      </c>
    </row>
    <row r="2832" spans="1:13" ht="15" customHeight="1" x14ac:dyDescent="0.2">
      <c r="B2832" s="10" t="s">
        <v>907</v>
      </c>
      <c r="C2832" s="10" t="s">
        <v>110</v>
      </c>
      <c r="D2832" s="16">
        <f t="shared" ref="D2832:M2832" si="618">D2825*$D$2838</f>
        <v>203.14773907940037</v>
      </c>
      <c r="E2832" s="16">
        <f t="shared" si="618"/>
        <v>541.72730421173424</v>
      </c>
      <c r="F2832" s="16">
        <f t="shared" si="618"/>
        <v>406.29547815880051</v>
      </c>
      <c r="G2832" s="16">
        <f t="shared" si="618"/>
        <v>203.14773907940048</v>
      </c>
      <c r="H2832" s="16">
        <f t="shared" si="618"/>
        <v>0</v>
      </c>
      <c r="I2832" s="16">
        <f t="shared" si="618"/>
        <v>0</v>
      </c>
      <c r="J2832" s="16">
        <f t="shared" si="618"/>
        <v>0</v>
      </c>
      <c r="K2832" s="16">
        <f t="shared" si="618"/>
        <v>0</v>
      </c>
      <c r="L2832" s="16">
        <f t="shared" si="618"/>
        <v>0</v>
      </c>
      <c r="M2832" s="16">
        <f t="shared" si="618"/>
        <v>0</v>
      </c>
    </row>
    <row r="2833" spans="2:13" ht="15" customHeight="1" x14ac:dyDescent="0.2">
      <c r="B2833" s="10" t="s">
        <v>908</v>
      </c>
      <c r="C2833" s="10" t="s">
        <v>110</v>
      </c>
      <c r="D2833" s="16">
        <f t="shared" ref="D2833:M2833" si="619">D2829-D2831-D2823-D2824-D2832</f>
        <v>-11551.063180574534</v>
      </c>
      <c r="E2833" s="16">
        <f t="shared" si="619"/>
        <v>-24459.606295189824</v>
      </c>
      <c r="F2833" s="16">
        <f t="shared" si="619"/>
        <v>-2690.6251853111344</v>
      </c>
      <c r="G2833" s="16">
        <f t="shared" si="619"/>
        <v>16769.163627365557</v>
      </c>
      <c r="H2833" s="16">
        <f t="shared" si="619"/>
        <v>22859.320304932873</v>
      </c>
      <c r="I2833" s="16">
        <f t="shared" si="619"/>
        <v>579.64892083839368</v>
      </c>
      <c r="J2833" s="16">
        <f t="shared" si="619"/>
        <v>9491.5174744761971</v>
      </c>
      <c r="K2833" s="16">
        <f t="shared" si="619"/>
        <v>20221.315456365697</v>
      </c>
      <c r="L2833" s="16">
        <f t="shared" si="619"/>
        <v>22859.320304932873</v>
      </c>
      <c r="M2833" s="16">
        <f t="shared" si="619"/>
        <v>579.64892083839368</v>
      </c>
    </row>
    <row r="2834" spans="2:13" ht="15" customHeight="1" x14ac:dyDescent="0.2">
      <c r="B2834" s="10" t="s">
        <v>909</v>
      </c>
      <c r="C2834" s="10" t="s">
        <v>110</v>
      </c>
      <c r="D2834" s="16">
        <f>D2833/(Inputs!$D$7+$D$2840)^D2814</f>
        <v>-10585.057348207838</v>
      </c>
      <c r="E2834" s="16">
        <f>E2833/(Inputs!$D$7+$D$2840)^E2814</f>
        <v>-19830.482632946922</v>
      </c>
      <c r="F2834" s="16">
        <f>F2833/(Inputs!$D$7+$D$2840)^F2814</f>
        <v>-1930.6116015018092</v>
      </c>
      <c r="G2834" s="16">
        <f>G2833/(Inputs!$D$7+$D$2840)^G2814</f>
        <v>10649.053226816424</v>
      </c>
      <c r="H2834" s="16">
        <f>H2833/(Inputs!$D$7+$D$2840)^H2814</f>
        <v>12847.564156084103</v>
      </c>
      <c r="I2834" s="16">
        <f>I2833/(Inputs!$D$7+$D$2840)^I2814</f>
        <v>288.22727751845594</v>
      </c>
      <c r="J2834" s="16">
        <f>J2833/(Inputs!$D$7+$D$2840)^J2814</f>
        <v>4176.9914500267641</v>
      </c>
      <c r="K2834" s="16">
        <f>K2833/(Inputs!$D$7+$D$2840)^K2814</f>
        <v>7875.809913914728</v>
      </c>
      <c r="L2834" s="16">
        <f>L2833/(Inputs!$D$7+$D$2840)^L2814</f>
        <v>7879.6517019886696</v>
      </c>
      <c r="M2834" s="16">
        <f>M2833/(Inputs!$D$7+$D$2840)^M2814</f>
        <v>176.77518713011003</v>
      </c>
    </row>
    <row r="2835" spans="2:13" ht="15" customHeight="1" x14ac:dyDescent="0.2">
      <c r="B2835" s="3" t="s">
        <v>910</v>
      </c>
      <c r="C2835" s="10" t="s">
        <v>896</v>
      </c>
      <c r="D2835" s="28">
        <f>(D2821*$D$2839-D2825)/(Inputs!$D$7+$D$2840)^D2814</f>
        <v>74.490519309095831</v>
      </c>
      <c r="E2835" s="28">
        <f>(E2821*$D$2839-E2825)/(Inputs!$D$7+$D$2840)^E2814</f>
        <v>346.09451503846662</v>
      </c>
      <c r="F2835" s="28">
        <f>(F2821*$D$2839-F2825)/(Inputs!$D$7+$D$2840)^F2814</f>
        <v>601.79110266312398</v>
      </c>
      <c r="G2835" s="28">
        <f>(G2821*$D$2839-G2825)/(Inputs!$D$7+$D$2840)^G2814</f>
        <v>702.83446516544734</v>
      </c>
      <c r="H2835" s="28">
        <f>(H2821*$D$2839-H2825)/(Inputs!$D$7+$D$2840)^H2814</f>
        <v>674.43286946611579</v>
      </c>
      <c r="I2835" s="28">
        <f>(I2821*$D$2839-I2825)/(Inputs!$D$7+$D$2840)^I2814</f>
        <v>596.69348218898278</v>
      </c>
      <c r="J2835" s="28">
        <f>(J2821*$D$2839-J2825)/(Inputs!$D$7+$D$2840)^J2814</f>
        <v>528.09150417844353</v>
      </c>
      <c r="K2835" s="28">
        <f>(K2821*$D$2839-K2825)/(Inputs!$D$7+$D$2840)^K2814</f>
        <v>467.37671033772904</v>
      </c>
      <c r="L2835" s="28">
        <f>(L2821*$D$2839-L2825)/(Inputs!$D$7+$D$2840)^L2814</f>
        <v>413.64230940610946</v>
      </c>
      <c r="M2835" s="28">
        <f>(M2821*$D$2839-M2825)/(Inputs!$D$7+$D$2840)^M2814</f>
        <v>365.96328731072373</v>
      </c>
    </row>
    <row r="2836" spans="2:13" ht="15" customHeight="1" x14ac:dyDescent="0.2">
      <c r="B2836" s="10" t="s">
        <v>911</v>
      </c>
      <c r="C2836" s="10" t="s">
        <v>110</v>
      </c>
      <c r="D2836" s="16">
        <f>(-D2823-D2824)/(Inputs!$D$7+$D$2840)^D2814</f>
        <v>-12808.928289029636</v>
      </c>
      <c r="E2836" s="16">
        <f>(-E2823-E2824)/(Inputs!$D$7+$D$2840)^E2814</f>
        <v>-30219.974420642928</v>
      </c>
      <c r="F2836" s="16">
        <f>(-F2823-F2824)/(Inputs!$D$7+$D$2840)^F2814</f>
        <v>-20059.183095337907</v>
      </c>
      <c r="G2836" s="16">
        <f>(-G2823-G2824)/(Inputs!$D$7+$D$2840)^G2814</f>
        <v>-10551.720115889953</v>
      </c>
      <c r="H2836" s="16">
        <f>(-H2823-H2824)/(Inputs!$D$7+$D$2840)^H2814</f>
        <v>-7513.0713511684744</v>
      </c>
      <c r="I2836" s="16">
        <f>(-I2823-I2824)/(Inputs!$D$7+$D$2840)^I2814</f>
        <v>-17725.512933602091</v>
      </c>
      <c r="J2836" s="16">
        <f>(-J2823-J2824)/(Inputs!$D$7+$D$2840)^J2814</f>
        <v>-11765.705173827875</v>
      </c>
      <c r="K2836" s="16">
        <f>(-K2823-K2824)/(Inputs!$D$7+$D$2840)^K2814</f>
        <v>-6233.95144943378</v>
      </c>
      <c r="L2836" s="16">
        <f>(-L2823-L2824)/(Inputs!$D$7+$D$2840)^L2814</f>
        <v>-4607.9073620630261</v>
      </c>
      <c r="M2836" s="16">
        <f>(-M2823-M2824)/(Inputs!$D$7+$D$2840)^M2814</f>
        <v>-10871.389039901173</v>
      </c>
    </row>
    <row r="2837" spans="2:13" ht="15" customHeight="1" x14ac:dyDescent="0.2">
      <c r="B2837" s="10" t="s">
        <v>912</v>
      </c>
      <c r="C2837" s="10" t="s">
        <v>110</v>
      </c>
      <c r="D2837" s="16">
        <f>Prices!I16</f>
        <v>43415.962172230982</v>
      </c>
    </row>
    <row r="2838" spans="2:13" ht="15" customHeight="1" x14ac:dyDescent="0.2">
      <c r="B2838" s="3" t="s">
        <v>913</v>
      </c>
      <c r="C2838" s="10" t="s">
        <v>914</v>
      </c>
      <c r="D2838" s="28">
        <f>IF(J2845&gt;=J2841,J2845,(D2837-J2844)/J2843)</f>
        <v>34.860186886211984</v>
      </c>
      <c r="G2838" s="99" t="s">
        <v>915</v>
      </c>
      <c r="H2838" s="91"/>
      <c r="I2838" s="91"/>
      <c r="J2838" s="28">
        <f>D2838*Inputs!$D$15</f>
        <v>24.328924427887344</v>
      </c>
      <c r="K2838" s="99" t="s">
        <v>916</v>
      </c>
      <c r="L2838" s="91"/>
      <c r="M2838" s="91"/>
    </row>
    <row r="2839" spans="2:13" ht="15" customHeight="1" x14ac:dyDescent="0.2">
      <c r="B2839" s="10" t="s">
        <v>917</v>
      </c>
      <c r="C2839" s="10" t="s">
        <v>104</v>
      </c>
      <c r="D2839" s="30">
        <f>Inputs!$D$94</f>
        <v>0.75</v>
      </c>
      <c r="G2839" s="99" t="s">
        <v>918</v>
      </c>
      <c r="H2839" s="91"/>
      <c r="I2839" s="91"/>
      <c r="J2839" s="28">
        <f>IF(-D2850/D2849&gt;=J2841,-D2850/D2849,-J2844/J2843)</f>
        <v>27.411702074287536</v>
      </c>
      <c r="K2839" s="99" t="s">
        <v>919</v>
      </c>
      <c r="L2839" s="91"/>
      <c r="M2839" s="91"/>
    </row>
    <row r="2840" spans="2:13" ht="15" customHeight="1" x14ac:dyDescent="0.2">
      <c r="B2840" s="10" t="s">
        <v>920</v>
      </c>
      <c r="C2840" s="10" t="s">
        <v>104</v>
      </c>
      <c r="D2840" s="30">
        <f>Inputs!$D$95</f>
        <v>0.13</v>
      </c>
      <c r="G2840" s="99" t="s">
        <v>918</v>
      </c>
      <c r="H2840" s="91"/>
      <c r="I2840" s="91"/>
      <c r="J2840" s="28">
        <f>J2839*Inputs!$D$15</f>
        <v>19.13062687764527</v>
      </c>
      <c r="K2840" s="99" t="s">
        <v>916</v>
      </c>
      <c r="L2840" s="91"/>
      <c r="M2840" s="91"/>
    </row>
    <row r="2841" spans="2:13" ht="15" customHeight="1" x14ac:dyDescent="0.2">
      <c r="B2841" s="3" t="s">
        <v>921</v>
      </c>
      <c r="C2841" s="10" t="s">
        <v>848</v>
      </c>
      <c r="D2841" s="28">
        <f>Capital!$D$13</f>
        <v>57.347931490590682</v>
      </c>
      <c r="G2841" s="99" t="s">
        <v>922</v>
      </c>
      <c r="H2841" s="91"/>
      <c r="I2841" s="91"/>
      <c r="J2841" s="28">
        <f>($D$2841/Inputs!$D$21+$D$2842/Inputs!$D$22)/$D$2839</f>
        <v>19.290461530476374</v>
      </c>
      <c r="K2841" s="99" t="s">
        <v>919</v>
      </c>
      <c r="L2841" s="91"/>
      <c r="M2841" s="91"/>
    </row>
    <row r="2842" spans="2:13" ht="15" customHeight="1" x14ac:dyDescent="0.2">
      <c r="B2842" s="3" t="s">
        <v>923</v>
      </c>
      <c r="C2842" s="10" t="s">
        <v>848</v>
      </c>
      <c r="D2842" s="28">
        <f>Capital!$D$14</f>
        <v>2.6172655041921802</v>
      </c>
    </row>
    <row r="2843" spans="2:13" ht="15" customHeight="1" x14ac:dyDescent="0.2">
      <c r="B2843" s="10" t="s">
        <v>924</v>
      </c>
      <c r="C2843" s="10" t="s">
        <v>896</v>
      </c>
      <c r="D2843" s="28">
        <f>(M2816*(Inputs!$D$7+Inputs!$D$20)*$D$2839*(Inputs!$D$7-Inputs!$D$19)-M2816*Inputs!$D$20*Inputs!$D$23)/($D$2840-Inputs!$D$20)/(Inputs!$D$7+$D$2840)^M2814</f>
        <v>2497.8446594223992</v>
      </c>
      <c r="G2843" s="92" t="s">
        <v>910</v>
      </c>
      <c r="H2843" s="91"/>
      <c r="I2843" s="91"/>
      <c r="J2843" s="28">
        <f>SUM(D2835:M2835)+(M2816*(Inputs!$D$7+Inputs!$D$20)*$D$2839-M2816*Inputs!$D$20*Inputs!$D$23)/($D$2840-Inputs!$D$20)/(Inputs!$D$7+$D$2840)^M2814</f>
        <v>8341.0050516109004</v>
      </c>
      <c r="K2843" s="99" t="s">
        <v>896</v>
      </c>
      <c r="L2843" s="91"/>
      <c r="M2843" s="91"/>
    </row>
    <row r="2844" spans="2:13" ht="15" customHeight="1" x14ac:dyDescent="0.2">
      <c r="B2844" s="10" t="s">
        <v>925</v>
      </c>
      <c r="C2844" s="10" t="s">
        <v>110</v>
      </c>
      <c r="D2844" s="16">
        <f>(D2847*Inputs!$D$19-D2847-D2848)/($D$2840-Inputs!$D$20)/(Inputs!$D$7+$D$2840)^M2814</f>
        <v>-55207.290798783099</v>
      </c>
      <c r="G2844" s="92" t="s">
        <v>926</v>
      </c>
      <c r="H2844" s="91"/>
      <c r="I2844" s="91"/>
      <c r="J2844" s="16">
        <f>SUM(D2836:M2836)-(D2847+D2848)/($D$2840-Inputs!$D$20)/(Inputs!$D$7+$D$2840)^M2814</f>
        <v>-208239.17898202292</v>
      </c>
      <c r="K2844" s="99" t="s">
        <v>110</v>
      </c>
      <c r="L2844" s="91"/>
      <c r="M2844" s="91"/>
    </row>
    <row r="2845" spans="2:13" ht="15" customHeight="1" x14ac:dyDescent="0.2">
      <c r="B2845" s="10" t="s">
        <v>927</v>
      </c>
      <c r="C2845" s="10" t="s">
        <v>928</v>
      </c>
      <c r="D2845" s="16">
        <f>(M2816*(Inputs!$D$7+Inputs!$D$20)*$D$2838*$D$2839-D2847)-MAX((M2816*(Inputs!$D$7+Inputs!$D$20)*$D$2838*$D$2839-D2847),Inputs!$D$6)*Inputs!$D$19-D2848-M2816*Inputs!$D$20*$D$2838*Inputs!$D$23</f>
        <v>10972.065464610834</v>
      </c>
      <c r="G2845" s="99" t="s">
        <v>929</v>
      </c>
      <c r="H2845" s="91"/>
      <c r="I2845" s="91"/>
      <c r="J2845" s="28">
        <f>(D2837-D2850)/D2849</f>
        <v>34.860186886211984</v>
      </c>
      <c r="K2845" s="99" t="s">
        <v>919</v>
      </c>
      <c r="L2845" s="91"/>
      <c r="M2845" s="91"/>
    </row>
    <row r="2846" spans="2:13" ht="15" customHeight="1" x14ac:dyDescent="0.2">
      <c r="B2846" s="10" t="s">
        <v>930</v>
      </c>
      <c r="C2846" s="10" t="s">
        <v>110</v>
      </c>
      <c r="D2846" s="16">
        <f>D2845/($D$2840-Inputs!$D$20)</f>
        <v>104495.86156772223</v>
      </c>
      <c r="G2846" s="99" t="s">
        <v>931</v>
      </c>
      <c r="H2846" s="91"/>
      <c r="I2846" s="91"/>
      <c r="J2846" s="16">
        <f>MIN(D2830:M2830,(M2816*(Inputs!$D$7+Inputs!$D$20)*$D$2838*$D$2839-D2847))</f>
        <v>1356.3740483902031</v>
      </c>
      <c r="K2846" s="99" t="s">
        <v>110</v>
      </c>
      <c r="L2846" s="91"/>
      <c r="M2846" s="91"/>
    </row>
    <row r="2847" spans="2:13" ht="15" customHeight="1" x14ac:dyDescent="0.2">
      <c r="B2847" s="10" t="s">
        <v>932</v>
      </c>
      <c r="C2847" s="10" t="s">
        <v>928</v>
      </c>
      <c r="D2847" s="16">
        <f>M2816*(Inputs!$D$7+Inputs!$D$20)*($D$2841/Inputs!$D$21+$D$2842/Inputs!$D$22)</f>
        <v>23727.267682485937</v>
      </c>
      <c r="G2847" s="99" t="s">
        <v>933</v>
      </c>
      <c r="H2847" s="91"/>
      <c r="I2847" s="91"/>
      <c r="J2847" s="31" t="str">
        <f>IF(J2846&lt;Inputs!$D$6,"breached","satisfied")</f>
        <v>satisfied</v>
      </c>
      <c r="K2847" s="99" t="s">
        <v>934</v>
      </c>
      <c r="L2847" s="91"/>
      <c r="M2847" s="91"/>
    </row>
    <row r="2848" spans="2:13" ht="15" customHeight="1" x14ac:dyDescent="0.2">
      <c r="B2848" s="10" t="s">
        <v>935</v>
      </c>
      <c r="C2848" s="10" t="s">
        <v>928</v>
      </c>
      <c r="D2848" s="16">
        <f>M2816*Inputs!$D$20*($D$2841+$D$2842)</f>
        <v>2398.6078797913146</v>
      </c>
    </row>
    <row r="2849" spans="1:13" ht="15" customHeight="1" x14ac:dyDescent="0.2">
      <c r="B2849" s="10" t="s">
        <v>936</v>
      </c>
      <c r="C2849" s="10" t="s">
        <v>896</v>
      </c>
      <c r="D2849" s="28">
        <f>SUM(D2826:M2826)+D2843</f>
        <v>5828.8314024250149</v>
      </c>
      <c r="G2849" s="99" t="s">
        <v>937</v>
      </c>
      <c r="H2849" s="91"/>
      <c r="I2849" s="91"/>
      <c r="J2849" s="16">
        <f>D2851-D2837</f>
        <v>0</v>
      </c>
      <c r="K2849" s="99" t="s">
        <v>110</v>
      </c>
      <c r="L2849" s="91"/>
      <c r="M2849" s="91"/>
    </row>
    <row r="2850" spans="1:13" ht="15" customHeight="1" x14ac:dyDescent="0.2">
      <c r="B2850" s="10" t="s">
        <v>938</v>
      </c>
      <c r="C2850" s="10" t="s">
        <v>110</v>
      </c>
      <c r="D2850" s="16">
        <f>SUM(D2827:M2827)+D2844</f>
        <v>-159778.18984452612</v>
      </c>
    </row>
    <row r="2851" spans="1:13" ht="15" customHeight="1" x14ac:dyDescent="0.2">
      <c r="B2851" s="10" t="s">
        <v>939</v>
      </c>
      <c r="C2851" s="10" t="s">
        <v>110</v>
      </c>
      <c r="D2851" s="16">
        <f>SUM(D2834:M2834)+D2846/(Inputs!$D$7+$D$2840)^M2814</f>
        <v>43415.962172230968</v>
      </c>
    </row>
    <row r="2852" spans="1:13" ht="15" customHeight="1" x14ac:dyDescent="0.2">
      <c r="B2852" s="10" t="s">
        <v>940</v>
      </c>
      <c r="C2852" s="10" t="s">
        <v>104</v>
      </c>
      <c r="D2852" s="30">
        <f>IF(ABS(D2837)&gt;Inputs!$D$6,D2851/D2837-Inputs!$D$7,Inputs!$D$6)</f>
        <v>-3.3306690738754696E-16</v>
      </c>
    </row>
    <row r="2853" spans="1:13" ht="15" customHeight="1" x14ac:dyDescent="0.2">
      <c r="B2853" s="10" t="s">
        <v>941</v>
      </c>
      <c r="C2853" s="10" t="s">
        <v>104</v>
      </c>
      <c r="D2853" s="30">
        <f>IF(ABS(D2851)&gt;Inputs!$D$119,D2846/(Inputs!$D$7+$D$2840)^M2814/D2851,Inputs!$D$6)</f>
        <v>0.73401668987520952</v>
      </c>
    </row>
    <row r="2854" spans="1:13" ht="15" customHeight="1" x14ac:dyDescent="0.2">
      <c r="B2854" s="10" t="s">
        <v>942</v>
      </c>
      <c r="C2854" s="10" t="s">
        <v>943</v>
      </c>
      <c r="D2854" s="26">
        <f>$D$2838*Inputs!$D$8/Prices!$P$6/(Inputs!$D$26/Inputs!$D$25)/Inputs!$D$11/Inputs!$D$56</f>
        <v>6.3394308738539094</v>
      </c>
    </row>
    <row r="2858" spans="1:13" ht="15" customHeight="1" x14ac:dyDescent="0.2">
      <c r="A2858" s="104" t="s">
        <v>1005</v>
      </c>
      <c r="B2858" s="10" t="s">
        <v>886</v>
      </c>
      <c r="C2858" s="10" t="s">
        <v>107</v>
      </c>
      <c r="D2858" s="28">
        <f>Inputs!$D$60</f>
        <v>1</v>
      </c>
      <c r="E2858" s="28">
        <f>Inputs!$D$62</f>
        <v>2</v>
      </c>
      <c r="F2858" s="28">
        <f>Inputs!$D$64</f>
        <v>3</v>
      </c>
      <c r="G2858" s="28">
        <f>Inputs!$D$66</f>
        <v>4</v>
      </c>
      <c r="H2858" s="28">
        <f>Inputs!$D$68</f>
        <v>5</v>
      </c>
      <c r="I2858" s="28">
        <f>Inputs!$D$70</f>
        <v>6</v>
      </c>
      <c r="J2858" s="28">
        <f>Inputs!$D$72</f>
        <v>7</v>
      </c>
      <c r="K2858" s="28">
        <f>Inputs!$D$74</f>
        <v>8</v>
      </c>
      <c r="L2858" s="28">
        <f>Inputs!$D$76</f>
        <v>9</v>
      </c>
      <c r="M2858" s="28">
        <f>Inputs!$D$78</f>
        <v>10</v>
      </c>
    </row>
    <row r="2859" spans="1:13" ht="15" customHeight="1" x14ac:dyDescent="0.2">
      <c r="A2859" s="91"/>
      <c r="B2859" s="10" t="s">
        <v>887</v>
      </c>
      <c r="C2859" s="10" t="s">
        <v>161</v>
      </c>
      <c r="D2859" s="29">
        <f>Inputs!$D$61</f>
        <v>46568</v>
      </c>
      <c r="E2859" s="29">
        <f>Inputs!$D$63</f>
        <v>46934</v>
      </c>
      <c r="F2859" s="29">
        <f>Inputs!$D$65</f>
        <v>47299</v>
      </c>
      <c r="G2859" s="29">
        <f>Inputs!$D$67</f>
        <v>47664</v>
      </c>
      <c r="H2859" s="29">
        <f>Inputs!$D$69</f>
        <v>48029</v>
      </c>
      <c r="I2859" s="29">
        <f>Inputs!$D$71</f>
        <v>48395</v>
      </c>
      <c r="J2859" s="29">
        <f>Inputs!$D$73</f>
        <v>48760</v>
      </c>
      <c r="K2859" s="29">
        <f>Inputs!$D$75</f>
        <v>49125</v>
      </c>
      <c r="L2859" s="29">
        <f>Inputs!$D$77</f>
        <v>49490</v>
      </c>
      <c r="M2859" s="29">
        <f>Inputs!$D$79</f>
        <v>49856</v>
      </c>
    </row>
    <row r="2860" spans="1:13" ht="15" customHeight="1" x14ac:dyDescent="0.2">
      <c r="A2860" s="91"/>
      <c r="B2860" s="10" t="s">
        <v>888</v>
      </c>
      <c r="C2860" s="10" t="s">
        <v>107</v>
      </c>
      <c r="D2860" s="28">
        <f>(D2859-Inputs!$D$13)/Inputs!$D$10</f>
        <v>0.71457905544147848</v>
      </c>
      <c r="E2860" s="28">
        <f>(E2859-Inputs!$D$13)/Inputs!$D$10</f>
        <v>1.7166324435318274</v>
      </c>
      <c r="F2860" s="28">
        <f>(F2859-Inputs!$D$13)/Inputs!$D$10</f>
        <v>2.7159479808350446</v>
      </c>
      <c r="G2860" s="28">
        <f>(G2859-Inputs!$D$13)/Inputs!$D$10</f>
        <v>3.7152635181382614</v>
      </c>
      <c r="H2860" s="28">
        <f>(H2859-Inputs!$D$13)/Inputs!$D$10</f>
        <v>4.7145790554414786</v>
      </c>
      <c r="I2860" s="28">
        <f>(I2859-Inputs!$D$13)/Inputs!$D$10</f>
        <v>5.7166324435318279</v>
      </c>
      <c r="J2860" s="28">
        <f>(J2859-Inputs!$D$13)/Inputs!$D$10</f>
        <v>6.7159479808350442</v>
      </c>
      <c r="K2860" s="28">
        <f>(K2859-Inputs!$D$13)/Inputs!$D$10</f>
        <v>7.7152635181382614</v>
      </c>
      <c r="L2860" s="28">
        <f>(L2859-Inputs!$D$13)/Inputs!$D$10</f>
        <v>8.7145790554414777</v>
      </c>
      <c r="M2860" s="28">
        <f>(M2859-Inputs!$D$13)/Inputs!$D$10</f>
        <v>9.716632443531827</v>
      </c>
    </row>
    <row r="2861" spans="1:13" ht="15" customHeight="1" x14ac:dyDescent="0.2">
      <c r="A2861" s="91"/>
      <c r="B2861" s="10" t="s">
        <v>889</v>
      </c>
      <c r="C2861" s="10" t="s">
        <v>107</v>
      </c>
      <c r="D2861" s="28">
        <f>D2860</f>
        <v>0.71457905544147848</v>
      </c>
      <c r="E2861" s="28">
        <f>Inputs!$D$7</f>
        <v>1</v>
      </c>
      <c r="F2861" s="28">
        <f>Inputs!$D$7</f>
        <v>1</v>
      </c>
      <c r="G2861" s="28">
        <f>Inputs!$D$7</f>
        <v>1</v>
      </c>
      <c r="H2861" s="28">
        <f>Inputs!$D$7</f>
        <v>1</v>
      </c>
      <c r="I2861" s="28">
        <f>Inputs!$D$7</f>
        <v>1</v>
      </c>
      <c r="J2861" s="28">
        <f>Inputs!$D$7</f>
        <v>1</v>
      </c>
      <c r="K2861" s="28">
        <f>Inputs!$D$7</f>
        <v>1</v>
      </c>
      <c r="L2861" s="28">
        <f>Inputs!$D$7</f>
        <v>1</v>
      </c>
      <c r="M2861" s="28">
        <f>Inputs!$D$7</f>
        <v>1</v>
      </c>
    </row>
    <row r="2862" spans="1:13" ht="15" customHeight="1" x14ac:dyDescent="0.2">
      <c r="A2862" s="91"/>
      <c r="B2862" s="3" t="s">
        <v>890</v>
      </c>
      <c r="C2862" s="10" t="s">
        <v>199</v>
      </c>
      <c r="D2862" s="28">
        <f>Inputs!$D$24+(Inputs!$D$106-Inputs!$D$24)*Inputs!$D$109</f>
        <v>170.32</v>
      </c>
      <c r="E2862" s="28">
        <f>Inputs!$D$24+(Inputs!$D$106-Inputs!$D$24)*Inputs!$D$110</f>
        <v>481.12000000000006</v>
      </c>
      <c r="F2862" s="28">
        <f>Inputs!$D$24+(Inputs!$D$106-Inputs!$D$24)*Inputs!$D$111</f>
        <v>823</v>
      </c>
      <c r="G2862" s="28">
        <f>Inputs!$D$24+(Inputs!$D$106-Inputs!$D$24)*Inputs!$D$112</f>
        <v>1211.5</v>
      </c>
      <c r="H2862" s="28">
        <f>Inputs!$D$24+(Inputs!$D$106-Inputs!$D$24)*Inputs!$D$113</f>
        <v>1600</v>
      </c>
      <c r="I2862" s="28">
        <f>Inputs!$D$24+(Inputs!$D$106-Inputs!$D$24)*Inputs!$D$114</f>
        <v>1600</v>
      </c>
      <c r="J2862" s="28">
        <f>Inputs!$D$24+(Inputs!$D$106-Inputs!$D$24)*Inputs!$D$115</f>
        <v>1600</v>
      </c>
      <c r="K2862" s="28">
        <f>Inputs!$D$24+(Inputs!$D$106-Inputs!$D$24)*Inputs!$D$116</f>
        <v>1600</v>
      </c>
      <c r="L2862" s="28">
        <f>Inputs!$D$24+(Inputs!$D$106-Inputs!$D$24)*Inputs!$D$117</f>
        <v>1600</v>
      </c>
      <c r="M2862" s="28">
        <f>Inputs!$D$24+(Inputs!$D$106-Inputs!$D$24)*Inputs!$D$118</f>
        <v>1600</v>
      </c>
    </row>
    <row r="2863" spans="1:13" ht="15" customHeight="1" x14ac:dyDescent="0.2">
      <c r="A2863" s="91"/>
      <c r="B2863" s="10" t="s">
        <v>891</v>
      </c>
      <c r="C2863" s="10" t="s">
        <v>199</v>
      </c>
      <c r="D2863" s="28">
        <f>Inputs!$D$24</f>
        <v>46</v>
      </c>
      <c r="E2863" s="28">
        <f t="shared" ref="E2863:M2863" si="620">D2862</f>
        <v>170.32</v>
      </c>
      <c r="F2863" s="28">
        <f t="shared" si="620"/>
        <v>481.12000000000006</v>
      </c>
      <c r="G2863" s="28">
        <f t="shared" si="620"/>
        <v>823</v>
      </c>
      <c r="H2863" s="28">
        <f t="shared" si="620"/>
        <v>1211.5</v>
      </c>
      <c r="I2863" s="28">
        <f t="shared" si="620"/>
        <v>1600</v>
      </c>
      <c r="J2863" s="28">
        <f t="shared" si="620"/>
        <v>1600</v>
      </c>
      <c r="K2863" s="28">
        <f t="shared" si="620"/>
        <v>1600</v>
      </c>
      <c r="L2863" s="28">
        <f t="shared" si="620"/>
        <v>1600</v>
      </c>
      <c r="M2863" s="28">
        <f t="shared" si="620"/>
        <v>1600</v>
      </c>
    </row>
    <row r="2864" spans="1:13" ht="15" customHeight="1" x14ac:dyDescent="0.2">
      <c r="B2864" s="10" t="s">
        <v>892</v>
      </c>
      <c r="C2864" s="10" t="s">
        <v>199</v>
      </c>
      <c r="D2864" s="28">
        <f>(D2863+D2862)*Inputs!$D$12</f>
        <v>108.16</v>
      </c>
      <c r="E2864" s="28">
        <f>(E2863+E2862)*Inputs!$D$12</f>
        <v>325.72000000000003</v>
      </c>
      <c r="F2864" s="28">
        <f>(F2863+F2862)*Inputs!$D$12</f>
        <v>652.06000000000006</v>
      </c>
      <c r="G2864" s="28">
        <f>(G2863+G2862)*Inputs!$D$12</f>
        <v>1017.25</v>
      </c>
      <c r="H2864" s="28">
        <f>(H2863+H2862)*Inputs!$D$12</f>
        <v>1405.75</v>
      </c>
      <c r="I2864" s="28">
        <f>(I2863+I2862)*Inputs!$D$12</f>
        <v>1600</v>
      </c>
      <c r="J2864" s="28">
        <f>(J2863+J2862)*Inputs!$D$12</f>
        <v>1600</v>
      </c>
      <c r="K2864" s="28">
        <f>(K2863+K2862)*Inputs!$D$12</f>
        <v>1600</v>
      </c>
      <c r="L2864" s="28">
        <f>(L2863+L2862)*Inputs!$D$12</f>
        <v>1600</v>
      </c>
      <c r="M2864" s="28">
        <f>(M2863+M2862)*Inputs!$D$12</f>
        <v>1600</v>
      </c>
    </row>
    <row r="2865" spans="2:13" ht="15" customHeight="1" x14ac:dyDescent="0.2">
      <c r="B2865" s="10" t="s">
        <v>893</v>
      </c>
      <c r="C2865" s="10" t="s">
        <v>199</v>
      </c>
      <c r="D2865" s="28">
        <f t="shared" ref="D2865:M2865" si="621">D2862-D2863</f>
        <v>124.32</v>
      </c>
      <c r="E2865" s="28">
        <f t="shared" si="621"/>
        <v>310.80000000000007</v>
      </c>
      <c r="F2865" s="28">
        <f t="shared" si="621"/>
        <v>341.87999999999994</v>
      </c>
      <c r="G2865" s="28">
        <f t="shared" si="621"/>
        <v>388.5</v>
      </c>
      <c r="H2865" s="28">
        <f t="shared" si="621"/>
        <v>388.5</v>
      </c>
      <c r="I2865" s="28">
        <f t="shared" si="621"/>
        <v>0</v>
      </c>
      <c r="J2865" s="28">
        <f t="shared" si="621"/>
        <v>0</v>
      </c>
      <c r="K2865" s="28">
        <f t="shared" si="621"/>
        <v>0</v>
      </c>
      <c r="L2865" s="28">
        <f t="shared" si="621"/>
        <v>0</v>
      </c>
      <c r="M2865" s="28">
        <f t="shared" si="621"/>
        <v>0</v>
      </c>
    </row>
    <row r="2866" spans="2:13" ht="15" customHeight="1" x14ac:dyDescent="0.2">
      <c r="B2866" s="10" t="s">
        <v>894</v>
      </c>
      <c r="C2866" s="10" t="s">
        <v>199</v>
      </c>
      <c r="D2866" s="28">
        <f>IF(MOD(D2858,Inputs!$D$21)=Inputs!$D$6,Inputs!$D$24,Inputs!$D$6)+SUMPRODUCT(--(D2858&gt;$D$2858:$M$2858),--(MOD(D2858-$D$2858:$M$2858,Inputs!$D$21)=Inputs!$D$6),$D$2865:$M$2865)</f>
        <v>0</v>
      </c>
      <c r="E2866" s="28">
        <f>IF(MOD(E2858,Inputs!$D$21)=Inputs!$D$6,Inputs!$D$24,Inputs!$D$6)+SUMPRODUCT(--(E2858&gt;$D$2858:$M$2858),--(MOD(E2858-$D$2858:$M$2858,Inputs!$D$21)=Inputs!$D$6),$D$2865:$M$2865)</f>
        <v>0</v>
      </c>
      <c r="F2866" s="28">
        <f>IF(MOD(F2858,Inputs!$D$21)=Inputs!$D$6,Inputs!$D$24,Inputs!$D$6)+SUMPRODUCT(--(F2858&gt;$D$2858:$M$2858),--(MOD(F2858-$D$2858:$M$2858,Inputs!$D$21)=Inputs!$D$6),$D$2865:$M$2865)</f>
        <v>0</v>
      </c>
      <c r="G2866" s="28">
        <f>IF(MOD(G2858,Inputs!$D$21)=Inputs!$D$6,Inputs!$D$24,Inputs!$D$6)+SUMPRODUCT(--(G2858&gt;$D$2858:$M$2858),--(MOD(G2858-$D$2858:$M$2858,Inputs!$D$21)=Inputs!$D$6),$D$2865:$M$2865)</f>
        <v>46</v>
      </c>
      <c r="H2866" s="28">
        <f>IF(MOD(H2858,Inputs!$D$21)=Inputs!$D$6,Inputs!$D$24,Inputs!$D$6)+SUMPRODUCT(--(H2858&gt;$D$2858:$M$2858),--(MOD(H2858-$D$2858:$M$2858,Inputs!$D$21)=Inputs!$D$6),$D$2865:$M$2865)</f>
        <v>124.32</v>
      </c>
      <c r="I2866" s="28">
        <f>IF(MOD(I2858,Inputs!$D$21)=Inputs!$D$6,Inputs!$D$24,Inputs!$D$6)+SUMPRODUCT(--(I2858&gt;$D$2858:$M$2858),--(MOD(I2858-$D$2858:$M$2858,Inputs!$D$21)=Inputs!$D$6),$D$2865:$M$2865)</f>
        <v>310.80000000000007</v>
      </c>
      <c r="J2866" s="28">
        <f>IF(MOD(J2858,Inputs!$D$21)=Inputs!$D$6,Inputs!$D$24,Inputs!$D$6)+SUMPRODUCT(--(J2858&gt;$D$2858:$M$2858),--(MOD(J2858-$D$2858:$M$2858,Inputs!$D$21)=Inputs!$D$6),$D$2865:$M$2865)</f>
        <v>341.87999999999994</v>
      </c>
      <c r="K2866" s="28">
        <f>IF(MOD(K2858,Inputs!$D$21)=Inputs!$D$6,Inputs!$D$24,Inputs!$D$6)+SUMPRODUCT(--(K2858&gt;$D$2858:$M$2858),--(MOD(K2858-$D$2858:$M$2858,Inputs!$D$21)=Inputs!$D$6),$D$2865:$M$2865)</f>
        <v>434.5</v>
      </c>
      <c r="L2866" s="28">
        <f>IF(MOD(L2858,Inputs!$D$21)=Inputs!$D$6,Inputs!$D$24,Inputs!$D$6)+SUMPRODUCT(--(L2858&gt;$D$2858:$M$2858),--(MOD(L2858-$D$2858:$M$2858,Inputs!$D$21)=Inputs!$D$6),$D$2865:$M$2865)</f>
        <v>512.81999999999994</v>
      </c>
      <c r="M2866" s="28">
        <f>IF(MOD(M2858,Inputs!$D$21)=Inputs!$D$6,Inputs!$D$24,Inputs!$D$6)+SUMPRODUCT(--(M2858&gt;$D$2858:$M$2858),--(MOD(M2858-$D$2858:$M$2858,Inputs!$D$21)=Inputs!$D$6),$D$2865:$M$2865)</f>
        <v>310.80000000000007</v>
      </c>
    </row>
    <row r="2867" spans="2:13" ht="15" customHeight="1" x14ac:dyDescent="0.2">
      <c r="B2867" s="10" t="s">
        <v>895</v>
      </c>
      <c r="C2867" s="10" t="s">
        <v>896</v>
      </c>
      <c r="D2867" s="28">
        <f t="shared" ref="D2867:M2867" si="622">D2864*D2861</f>
        <v>77.288870636550314</v>
      </c>
      <c r="E2867" s="28">
        <f t="shared" si="622"/>
        <v>325.72000000000003</v>
      </c>
      <c r="F2867" s="28">
        <f t="shared" si="622"/>
        <v>652.06000000000006</v>
      </c>
      <c r="G2867" s="28">
        <f t="shared" si="622"/>
        <v>1017.25</v>
      </c>
      <c r="H2867" s="28">
        <f t="shared" si="622"/>
        <v>1405.75</v>
      </c>
      <c r="I2867" s="28">
        <f t="shared" si="622"/>
        <v>1600</v>
      </c>
      <c r="J2867" s="28">
        <f t="shared" si="622"/>
        <v>1600</v>
      </c>
      <c r="K2867" s="28">
        <f t="shared" si="622"/>
        <v>1600</v>
      </c>
      <c r="L2867" s="28">
        <f t="shared" si="622"/>
        <v>1600</v>
      </c>
      <c r="M2867" s="28">
        <f t="shared" si="622"/>
        <v>1600</v>
      </c>
    </row>
    <row r="2868" spans="2:13" ht="15" customHeight="1" x14ac:dyDescent="0.2">
      <c r="B2868" s="10" t="s">
        <v>897</v>
      </c>
      <c r="C2868" s="10" t="s">
        <v>110</v>
      </c>
      <c r="D2868" s="16">
        <f>D2867*($D$2887/Inputs!$D$21+$D$2888/Inputs!$D$22)</f>
        <v>1118.2034893112541</v>
      </c>
      <c r="E2868" s="16">
        <f>E2867*($D$2887/Inputs!$D$21+$D$2888/Inputs!$D$22)</f>
        <v>4712.466847280074</v>
      </c>
      <c r="F2868" s="16">
        <f>F2867*($D$2887/Inputs!$D$21+$D$2888/Inputs!$D$22)</f>
        <v>9433.9037591718188</v>
      </c>
      <c r="G2868" s="16">
        <f>G2867*($D$2887/Inputs!$D$21+$D$2888/Inputs!$D$22)</f>
        <v>14717.416493907818</v>
      </c>
      <c r="H2868" s="16">
        <f>H2867*($D$2887/Inputs!$D$21+$D$2888/Inputs!$D$22)</f>
        <v>20338.17472235037</v>
      </c>
      <c r="I2868" s="16">
        <f>I2867*($D$2887/Inputs!$D$21+$D$2888/Inputs!$D$22)</f>
        <v>23148.553836571649</v>
      </c>
      <c r="J2868" s="16">
        <f>J2867*($D$2887/Inputs!$D$21+$D$2888/Inputs!$D$22)</f>
        <v>23148.553836571649</v>
      </c>
      <c r="K2868" s="16">
        <f>K2867*($D$2887/Inputs!$D$21+$D$2888/Inputs!$D$22)</f>
        <v>23148.553836571649</v>
      </c>
      <c r="L2868" s="16">
        <f>L2867*($D$2887/Inputs!$D$21+$D$2888/Inputs!$D$22)</f>
        <v>23148.553836571649</v>
      </c>
      <c r="M2868" s="16">
        <f>M2867*($D$2887/Inputs!$D$21+$D$2888/Inputs!$D$22)</f>
        <v>23148.553836571649</v>
      </c>
    </row>
    <row r="2869" spans="2:13" ht="15" customHeight="1" x14ac:dyDescent="0.2">
      <c r="B2869" s="10" t="s">
        <v>898</v>
      </c>
      <c r="C2869" s="10" t="s">
        <v>110</v>
      </c>
      <c r="D2869" s="16">
        <f t="shared" ref="D2869:M2869" si="623">D2865*($D$2887+$D$2888)</f>
        <v>7454.8732903914051</v>
      </c>
      <c r="E2869" s="16">
        <f t="shared" si="623"/>
        <v>18637.183225978519</v>
      </c>
      <c r="F2869" s="16">
        <f t="shared" si="623"/>
        <v>20500.901548576363</v>
      </c>
      <c r="G2869" s="16">
        <f t="shared" si="623"/>
        <v>23296.479032473144</v>
      </c>
      <c r="H2869" s="16">
        <f t="shared" si="623"/>
        <v>23296.479032473144</v>
      </c>
      <c r="I2869" s="16">
        <f t="shared" si="623"/>
        <v>0</v>
      </c>
      <c r="J2869" s="16">
        <f t="shared" si="623"/>
        <v>0</v>
      </c>
      <c r="K2869" s="16">
        <f t="shared" si="623"/>
        <v>0</v>
      </c>
      <c r="L2869" s="16">
        <f t="shared" si="623"/>
        <v>0</v>
      </c>
      <c r="M2869" s="16">
        <f t="shared" si="623"/>
        <v>0</v>
      </c>
    </row>
    <row r="2870" spans="2:13" ht="15" customHeight="1" x14ac:dyDescent="0.2">
      <c r="B2870" s="10" t="s">
        <v>899</v>
      </c>
      <c r="C2870" s="10" t="s">
        <v>110</v>
      </c>
      <c r="D2870" s="16">
        <f t="shared" ref="D2870:M2870" si="624">D2866*$D$2887</f>
        <v>0</v>
      </c>
      <c r="E2870" s="16">
        <f t="shared" si="624"/>
        <v>0</v>
      </c>
      <c r="F2870" s="16">
        <f t="shared" si="624"/>
        <v>0</v>
      </c>
      <c r="G2870" s="16">
        <f t="shared" si="624"/>
        <v>2638.0048485671714</v>
      </c>
      <c r="H2870" s="16">
        <f t="shared" si="624"/>
        <v>7129.4948429102333</v>
      </c>
      <c r="I2870" s="16">
        <f t="shared" si="624"/>
        <v>17823.737107275589</v>
      </c>
      <c r="J2870" s="16">
        <f t="shared" si="624"/>
        <v>19606.110818003141</v>
      </c>
      <c r="K2870" s="16">
        <f t="shared" si="624"/>
        <v>24917.676232661652</v>
      </c>
      <c r="L2870" s="16">
        <f t="shared" si="624"/>
        <v>29409.166227004709</v>
      </c>
      <c r="M2870" s="16">
        <f t="shared" si="624"/>
        <v>17823.737107275589</v>
      </c>
    </row>
    <row r="2871" spans="2:13" ht="15" customHeight="1" x14ac:dyDescent="0.2">
      <c r="B2871" s="10" t="s">
        <v>900</v>
      </c>
      <c r="C2871" s="10" t="s">
        <v>199</v>
      </c>
      <c r="D2871" s="28">
        <f>D2865*Inputs!$D$23</f>
        <v>3.1080000000000001</v>
      </c>
      <c r="E2871" s="28">
        <f>E2865*Inputs!$D$23</f>
        <v>7.7700000000000022</v>
      </c>
      <c r="F2871" s="28">
        <f>F2865*Inputs!$D$23</f>
        <v>8.5469999999999988</v>
      </c>
      <c r="G2871" s="28">
        <f>G2865*Inputs!$D$23</f>
        <v>9.7125000000000004</v>
      </c>
      <c r="H2871" s="28">
        <f>H2865*Inputs!$D$23</f>
        <v>9.7125000000000004</v>
      </c>
      <c r="I2871" s="28">
        <f>I2865*Inputs!$D$23</f>
        <v>0</v>
      </c>
      <c r="J2871" s="28">
        <f>J2865*Inputs!$D$23</f>
        <v>0</v>
      </c>
      <c r="K2871" s="28">
        <f>K2865*Inputs!$D$23</f>
        <v>0</v>
      </c>
      <c r="L2871" s="28">
        <f>L2865*Inputs!$D$23</f>
        <v>0</v>
      </c>
      <c r="M2871" s="28">
        <f>M2865*Inputs!$D$23</f>
        <v>0</v>
      </c>
    </row>
    <row r="2872" spans="2:13" ht="15" customHeight="1" x14ac:dyDescent="0.2">
      <c r="B2872" s="3" t="s">
        <v>901</v>
      </c>
      <c r="C2872" s="10" t="s">
        <v>896</v>
      </c>
      <c r="D2872" s="28">
        <f>(D2867*$D$2885*(Inputs!$D$7-Inputs!$D$19)-D2871)/(Inputs!$D$7+$D$2886)^D2860</f>
        <v>40.99699201112098</v>
      </c>
      <c r="E2872" s="28">
        <f>(E2867*$D$2885*(Inputs!$D$7-Inputs!$D$19)-E2871)/(Inputs!$D$7+$D$2886)^E2860</f>
        <v>153.02781912726542</v>
      </c>
      <c r="F2872" s="28">
        <f>(F2867*$D$2885*(Inputs!$D$7-Inputs!$D$19)-F2871)/(Inputs!$D$7+$D$2886)^F2860</f>
        <v>268.8019226843403</v>
      </c>
      <c r="G2872" s="28">
        <f>(G2867*$D$2885*(Inputs!$D$7-Inputs!$D$19)-G2871)/(Inputs!$D$7+$D$2886)^G2860</f>
        <v>363.62824610263397</v>
      </c>
      <c r="H2872" s="28">
        <f>(H2867*$D$2885*(Inputs!$D$7-Inputs!$D$19)-H2871)/(Inputs!$D$7+$D$2886)^H2860</f>
        <v>435.07807528321291</v>
      </c>
      <c r="I2872" s="28">
        <f>(I2867*$D$2885*(Inputs!$D$7-Inputs!$D$19)-I2871)/(Inputs!$D$7+$D$2886)^I2860</f>
        <v>431.49711827119876</v>
      </c>
      <c r="J2872" s="28">
        <f>(J2867*$D$2885*(Inputs!$D$7-Inputs!$D$19)-J2871)/(Inputs!$D$7+$D$2886)^J2860</f>
        <v>372.01806500733016</v>
      </c>
      <c r="K2872" s="28">
        <f>(K2867*$D$2885*(Inputs!$D$7-Inputs!$D$19)-K2871)/(Inputs!$D$7+$D$2886)^K2860</f>
        <v>320.73780989845312</v>
      </c>
      <c r="L2872" s="28">
        <f>(L2867*$D$2885*(Inputs!$D$7-Inputs!$D$19)-L2871)/(Inputs!$D$7+$D$2886)^L2860</f>
        <v>276.52620228651875</v>
      </c>
      <c r="M2872" s="28">
        <f>(M2867*$D$2885*(Inputs!$D$7-Inputs!$D$19)-M2871)/(Inputs!$D$7+$D$2886)^M2860</f>
        <v>238.31201718226143</v>
      </c>
    </row>
    <row r="2873" spans="2:13" ht="15" customHeight="1" x14ac:dyDescent="0.2">
      <c r="B2873" s="10" t="s">
        <v>902</v>
      </c>
      <c r="C2873" s="10" t="s">
        <v>110</v>
      </c>
      <c r="D2873" s="16">
        <f>(D2868*Inputs!$D$19-D2869-D2870)/(Inputs!$D$7+$D$2886)^D2860</f>
        <v>-6403.0045740313244</v>
      </c>
      <c r="E2873" s="16">
        <f>(E2868*Inputs!$D$19-E2869-E2870)/(Inputs!$D$7+$D$2886)^E2860</f>
        <v>-13349.632212764713</v>
      </c>
      <c r="F2873" s="16">
        <f>(F2868*Inputs!$D$19-F2869-F2870)/(Inputs!$D$7+$D$2886)^F2860</f>
        <v>-11808.370082432088</v>
      </c>
      <c r="G2873" s="16">
        <f>(G2868*Inputs!$D$19-G2869-G2870)/(Inputs!$D$7+$D$2886)^G2860</f>
        <v>-12397.921878440668</v>
      </c>
      <c r="H2873" s="16">
        <f>(H2868*Inputs!$D$19-H2869-H2870)/(Inputs!$D$7+$D$2886)^H2860</f>
        <v>-12082.366885213038</v>
      </c>
      <c r="I2873" s="16">
        <f>(I2868*Inputs!$D$19-I2869-I2870)/(Inputs!$D$7+$D$2886)^I2860</f>
        <v>-4657.0743222469628</v>
      </c>
      <c r="J2873" s="16">
        <f>(J2868*Inputs!$D$19-J2869-J2870)/(Inputs!$D$7+$D$2886)^J2860</f>
        <v>-4672.9398284057479</v>
      </c>
      <c r="K2873" s="16">
        <f>(K2868*Inputs!$D$19-K2869-K2870)/(Inputs!$D$7+$D$2886)^K2860</f>
        <v>-5718.9047268503064</v>
      </c>
      <c r="L2873" s="16">
        <f>(L2868*Inputs!$D$19-L2869-L2870)/(Inputs!$D$7+$D$2886)^L2860</f>
        <v>-6162.7485564592316</v>
      </c>
      <c r="M2873" s="16">
        <f>(M2868*Inputs!$D$19-M2869-M2870)/(Inputs!$D$7+$D$2886)^M2860</f>
        <v>-2572.0606903447429</v>
      </c>
    </row>
    <row r="2874" spans="2:13" ht="15" customHeight="1" x14ac:dyDescent="0.2">
      <c r="B2874" s="10" t="s">
        <v>903</v>
      </c>
      <c r="C2874" s="10" t="s">
        <v>110</v>
      </c>
      <c r="D2874" s="16">
        <f t="shared" ref="D2874:M2874" si="625">D2867*$D$2884</f>
        <v>2569.4971114349491</v>
      </c>
      <c r="E2874" s="16">
        <f t="shared" si="625"/>
        <v>10828.681959557576</v>
      </c>
      <c r="F2874" s="16">
        <f t="shared" si="625"/>
        <v>21677.976048597302</v>
      </c>
      <c r="G2874" s="16">
        <f t="shared" si="625"/>
        <v>33818.85276728461</v>
      </c>
      <c r="H2874" s="16">
        <f t="shared" si="625"/>
        <v>46734.679063760479</v>
      </c>
      <c r="I2874" s="16">
        <f t="shared" si="625"/>
        <v>53192.59221199841</v>
      </c>
      <c r="J2874" s="16">
        <f t="shared" si="625"/>
        <v>53192.59221199841</v>
      </c>
      <c r="K2874" s="16">
        <f t="shared" si="625"/>
        <v>53192.59221199841</v>
      </c>
      <c r="L2874" s="16">
        <f t="shared" si="625"/>
        <v>53192.59221199841</v>
      </c>
      <c r="M2874" s="16">
        <f t="shared" si="625"/>
        <v>53192.59221199841</v>
      </c>
    </row>
    <row r="2875" spans="2:13" ht="15" customHeight="1" x14ac:dyDescent="0.2">
      <c r="B2875" s="10" t="s">
        <v>904</v>
      </c>
      <c r="C2875" s="10" t="s">
        <v>110</v>
      </c>
      <c r="D2875" s="16">
        <f t="shared" ref="D2875:M2875" si="626">D2874*$D$2885</f>
        <v>2312.5474002914543</v>
      </c>
      <c r="E2875" s="16">
        <f t="shared" si="626"/>
        <v>9745.8137636018182</v>
      </c>
      <c r="F2875" s="16">
        <f t="shared" si="626"/>
        <v>19510.178443737572</v>
      </c>
      <c r="G2875" s="16">
        <f t="shared" si="626"/>
        <v>30436.967490556151</v>
      </c>
      <c r="H2875" s="16">
        <f t="shared" si="626"/>
        <v>42061.21115738443</v>
      </c>
      <c r="I2875" s="16">
        <f t="shared" si="626"/>
        <v>47873.332990798568</v>
      </c>
      <c r="J2875" s="16">
        <f t="shared" si="626"/>
        <v>47873.332990798568</v>
      </c>
      <c r="K2875" s="16">
        <f t="shared" si="626"/>
        <v>47873.332990798568</v>
      </c>
      <c r="L2875" s="16">
        <f t="shared" si="626"/>
        <v>47873.332990798568</v>
      </c>
      <c r="M2875" s="16">
        <f t="shared" si="626"/>
        <v>47873.332990798568</v>
      </c>
    </row>
    <row r="2876" spans="2:13" ht="15" customHeight="1" x14ac:dyDescent="0.2">
      <c r="B2876" s="10" t="s">
        <v>905</v>
      </c>
      <c r="C2876" s="10" t="s">
        <v>110</v>
      </c>
      <c r="D2876" s="16">
        <f t="shared" ref="D2876:M2876" si="627">D2875-D2868</f>
        <v>1194.3439109802002</v>
      </c>
      <c r="E2876" s="16">
        <f t="shared" si="627"/>
        <v>5033.3469163217442</v>
      </c>
      <c r="F2876" s="16">
        <f t="shared" si="627"/>
        <v>10076.274684565753</v>
      </c>
      <c r="G2876" s="16">
        <f t="shared" si="627"/>
        <v>15719.550996648333</v>
      </c>
      <c r="H2876" s="16">
        <f t="shared" si="627"/>
        <v>21723.036435034061</v>
      </c>
      <c r="I2876" s="16">
        <f t="shared" si="627"/>
        <v>24724.779154226919</v>
      </c>
      <c r="J2876" s="16">
        <f t="shared" si="627"/>
        <v>24724.779154226919</v>
      </c>
      <c r="K2876" s="16">
        <f t="shared" si="627"/>
        <v>24724.779154226919</v>
      </c>
      <c r="L2876" s="16">
        <f t="shared" si="627"/>
        <v>24724.779154226919</v>
      </c>
      <c r="M2876" s="16">
        <f t="shared" si="627"/>
        <v>24724.779154226919</v>
      </c>
    </row>
    <row r="2877" spans="2:13" ht="15" customHeight="1" x14ac:dyDescent="0.2">
      <c r="B2877" s="10" t="s">
        <v>906</v>
      </c>
      <c r="C2877" s="10" t="s">
        <v>110</v>
      </c>
      <c r="D2877" s="16">
        <f>MAX(D2876,Inputs!$D$6)*Inputs!$D$19</f>
        <v>358.30317329406006</v>
      </c>
      <c r="E2877" s="16">
        <f>MAX(E2876,Inputs!$D$6)*Inputs!$D$19</f>
        <v>1510.0040748965232</v>
      </c>
      <c r="F2877" s="16">
        <f>MAX(F2876,Inputs!$D$6)*Inputs!$D$19</f>
        <v>3022.8824053697258</v>
      </c>
      <c r="G2877" s="16">
        <f>MAX(G2876,Inputs!$D$6)*Inputs!$D$19</f>
        <v>4715.8652989944994</v>
      </c>
      <c r="H2877" s="16">
        <f>MAX(H2876,Inputs!$D$6)*Inputs!$D$19</f>
        <v>6516.9109305102183</v>
      </c>
      <c r="I2877" s="16">
        <f>MAX(I2876,Inputs!$D$6)*Inputs!$D$19</f>
        <v>7417.4337462680751</v>
      </c>
      <c r="J2877" s="16">
        <f>MAX(J2876,Inputs!$D$6)*Inputs!$D$19</f>
        <v>7417.4337462680751</v>
      </c>
      <c r="K2877" s="16">
        <f>MAX(K2876,Inputs!$D$6)*Inputs!$D$19</f>
        <v>7417.4337462680751</v>
      </c>
      <c r="L2877" s="16">
        <f>MAX(L2876,Inputs!$D$6)*Inputs!$D$19</f>
        <v>7417.4337462680751</v>
      </c>
      <c r="M2877" s="16">
        <f>MAX(M2876,Inputs!$D$6)*Inputs!$D$19</f>
        <v>7417.4337462680751</v>
      </c>
    </row>
    <row r="2878" spans="2:13" ht="15" customHeight="1" x14ac:dyDescent="0.2">
      <c r="B2878" s="10" t="s">
        <v>907</v>
      </c>
      <c r="C2878" s="10" t="s">
        <v>110</v>
      </c>
      <c r="D2878" s="16">
        <f t="shared" ref="D2878:M2878" si="628">D2871*$D$2884</f>
        <v>103.32661037180691</v>
      </c>
      <c r="E2878" s="16">
        <f t="shared" si="628"/>
        <v>258.31652592951735</v>
      </c>
      <c r="F2878" s="16">
        <f t="shared" si="628"/>
        <v>284.14817852246898</v>
      </c>
      <c r="G2878" s="16">
        <f t="shared" si="628"/>
        <v>322.89565741189659</v>
      </c>
      <c r="H2878" s="16">
        <f t="shared" si="628"/>
        <v>322.89565741189659</v>
      </c>
      <c r="I2878" s="16">
        <f t="shared" si="628"/>
        <v>0</v>
      </c>
      <c r="J2878" s="16">
        <f t="shared" si="628"/>
        <v>0</v>
      </c>
      <c r="K2878" s="16">
        <f t="shared" si="628"/>
        <v>0</v>
      </c>
      <c r="L2878" s="16">
        <f t="shared" si="628"/>
        <v>0</v>
      </c>
      <c r="M2878" s="16">
        <f t="shared" si="628"/>
        <v>0</v>
      </c>
    </row>
    <row r="2879" spans="2:13" ht="15" customHeight="1" x14ac:dyDescent="0.2">
      <c r="B2879" s="10" t="s">
        <v>908</v>
      </c>
      <c r="C2879" s="10" t="s">
        <v>110</v>
      </c>
      <c r="D2879" s="16">
        <f t="shared" ref="D2879:M2879" si="629">D2875-D2877-D2869-D2870-D2878</f>
        <v>-5603.9556737658177</v>
      </c>
      <c r="E2879" s="16">
        <f t="shared" si="629"/>
        <v>-10659.690063202741</v>
      </c>
      <c r="F2879" s="16">
        <f t="shared" si="629"/>
        <v>-4297.7536887309843</v>
      </c>
      <c r="G2879" s="16">
        <f t="shared" si="629"/>
        <v>-536.27734689056069</v>
      </c>
      <c r="H2879" s="16">
        <f t="shared" si="629"/>
        <v>4795.4306940789393</v>
      </c>
      <c r="I2879" s="16">
        <f t="shared" si="629"/>
        <v>22632.162137254902</v>
      </c>
      <c r="J2879" s="16">
        <f t="shared" si="629"/>
        <v>20849.78842652735</v>
      </c>
      <c r="K2879" s="16">
        <f t="shared" si="629"/>
        <v>15538.223011868839</v>
      </c>
      <c r="L2879" s="16">
        <f t="shared" si="629"/>
        <v>11046.733017525781</v>
      </c>
      <c r="M2879" s="16">
        <f t="shared" si="629"/>
        <v>22632.162137254902</v>
      </c>
    </row>
    <row r="2880" spans="2:13" ht="15" customHeight="1" x14ac:dyDescent="0.2">
      <c r="B2880" s="10" t="s">
        <v>909</v>
      </c>
      <c r="C2880" s="10" t="s">
        <v>110</v>
      </c>
      <c r="D2880" s="16">
        <f>D2879/(Inputs!$D$7+$D$2886)^D2860</f>
        <v>-5040.0444003025032</v>
      </c>
      <c r="E2880" s="16">
        <f>E2879/(Inputs!$D$7+$D$2886)^E2860</f>
        <v>-8262.1657253096619</v>
      </c>
      <c r="F2880" s="16">
        <f>F2879/(Inputs!$D$7+$D$2886)^F2860</f>
        <v>-2871.9506704638111</v>
      </c>
      <c r="G2880" s="16">
        <f>G2879/(Inputs!$D$7+$D$2886)^G2860</f>
        <v>-308.96624612716118</v>
      </c>
      <c r="H2880" s="16">
        <f>H2879/(Inputs!$D$7+$D$2886)^H2860</f>
        <v>2381.9647641126448</v>
      </c>
      <c r="I2880" s="16">
        <f>I2879/(Inputs!$D$7+$D$2886)^I2860</f>
        <v>9688.2070857857398</v>
      </c>
      <c r="J2880" s="16">
        <f>J2879/(Inputs!$D$7+$D$2886)^J2860</f>
        <v>7694.938438739021</v>
      </c>
      <c r="K2880" s="16">
        <f>K2879/(Inputs!$D$7+$D$2886)^K2860</f>
        <v>4944.1424787108708</v>
      </c>
      <c r="L2880" s="16">
        <f>L2879/(Inputs!$D$7+$D$2886)^L2860</f>
        <v>3030.4673898903775</v>
      </c>
      <c r="M2880" s="16">
        <f>M2879/(Inputs!$D$7+$D$2886)^M2860</f>
        <v>5350.7105279020016</v>
      </c>
    </row>
    <row r="2881" spans="2:13" ht="15" customHeight="1" x14ac:dyDescent="0.2">
      <c r="B2881" s="3" t="s">
        <v>910</v>
      </c>
      <c r="C2881" s="10" t="s">
        <v>896</v>
      </c>
      <c r="D2881" s="28">
        <f>(D2867*$D$2885-D2871)/(Inputs!$D$7+$D$2886)^D2860</f>
        <v>59.765095798928819</v>
      </c>
      <c r="E2881" s="28">
        <f>(E2867*$D$2885-E2871)/(Inputs!$D$7+$D$2886)^E2860</f>
        <v>221.1922031857838</v>
      </c>
      <c r="F2881" s="28">
        <f>(F2867*$D$2885-F2871)/(Inputs!$D$7+$D$2886)^F2860</f>
        <v>386.45052664112239</v>
      </c>
      <c r="G2881" s="28">
        <f>(G2867*$D$2885-G2871)/(Inputs!$D$7+$D$2886)^G2860</f>
        <v>521.867070169518</v>
      </c>
      <c r="H2881" s="28">
        <f>(H2867*$D$2885-H2871)/(Inputs!$D$7+$D$2886)^H2860</f>
        <v>623.60768582417222</v>
      </c>
      <c r="I2881" s="28">
        <f>(I2867*$D$2885-I2871)/(Inputs!$D$7+$D$2886)^I2860</f>
        <v>616.42445467314121</v>
      </c>
      <c r="J2881" s="28">
        <f>(J2867*$D$2885-J2871)/(Inputs!$D$7+$D$2886)^J2860</f>
        <v>531.4543785819003</v>
      </c>
      <c r="K2881" s="28">
        <f>(K2867*$D$2885-K2871)/(Inputs!$D$7+$D$2886)^K2860</f>
        <v>458.19687128350449</v>
      </c>
      <c r="L2881" s="28">
        <f>(L2867*$D$2885-L2871)/(Inputs!$D$7+$D$2886)^L2860</f>
        <v>395.03743183788401</v>
      </c>
      <c r="M2881" s="28">
        <f>(M2867*$D$2885-M2871)/(Inputs!$D$7+$D$2886)^M2860</f>
        <v>340.44573883180209</v>
      </c>
    </row>
    <row r="2882" spans="2:13" ht="15" customHeight="1" x14ac:dyDescent="0.2">
      <c r="B2882" s="10" t="s">
        <v>911</v>
      </c>
      <c r="C2882" s="10" t="s">
        <v>110</v>
      </c>
      <c r="D2882" s="16">
        <f>(-D2869-D2870)/(Inputs!$D$7+$D$2886)^D2860</f>
        <v>-6704.7090607969039</v>
      </c>
      <c r="E2882" s="16">
        <f>(-E2869-E2870)/(Inputs!$D$7+$D$2886)^E2860</f>
        <v>-14445.4009031226</v>
      </c>
      <c r="F2882" s="16">
        <f>(-F2869-F2870)/(Inputs!$D$7+$D$2886)^F2860</f>
        <v>-13699.616639717549</v>
      </c>
      <c r="G2882" s="16">
        <f>(-G2869-G2870)/(Inputs!$D$7+$D$2886)^G2860</f>
        <v>-14941.671835349038</v>
      </c>
      <c r="H2882" s="16">
        <f>(-H2869-H2870)/(Inputs!$D$7+$D$2886)^H2860</f>
        <v>-15113.052884793095</v>
      </c>
      <c r="I2882" s="16">
        <f>(-I2869-I2870)/(Inputs!$D$7+$D$2886)^I2860</f>
        <v>-7629.8523795762403</v>
      </c>
      <c r="J2882" s="16">
        <f>(-J2869-J2870)/(Inputs!$D$7+$D$2886)^J2860</f>
        <v>-7235.9398897150922</v>
      </c>
      <c r="K2882" s="16">
        <f>(-K2869-K2870)/(Inputs!$D$7+$D$2886)^K2860</f>
        <v>-7928.612006570077</v>
      </c>
      <c r="L2882" s="16">
        <f>(-L2869-L2870)/(Inputs!$D$7+$D$2886)^L2860</f>
        <v>-8067.8621519509534</v>
      </c>
      <c r="M2882" s="16">
        <f>(-M2869-M2870)/(Inputs!$D$7+$D$2886)^M2860</f>
        <v>-4213.8995473821142</v>
      </c>
    </row>
    <row r="2883" spans="2:13" ht="15" customHeight="1" x14ac:dyDescent="0.2">
      <c r="B2883" s="10" t="s">
        <v>912</v>
      </c>
      <c r="C2883" s="10" t="s">
        <v>110</v>
      </c>
      <c r="D2883" s="16">
        <f>Prices!I16</f>
        <v>43415.962172230982</v>
      </c>
    </row>
    <row r="2884" spans="2:13" ht="15" customHeight="1" x14ac:dyDescent="0.2">
      <c r="B2884" s="3" t="s">
        <v>913</v>
      </c>
      <c r="C2884" s="10" t="s">
        <v>914</v>
      </c>
      <c r="D2884" s="28">
        <f>IF(J2891&gt;=J2887,J2891,(D2883-J2890)/J2889)</f>
        <v>33.245370132499005</v>
      </c>
      <c r="G2884" s="99" t="s">
        <v>915</v>
      </c>
      <c r="H2884" s="91"/>
      <c r="I2884" s="91"/>
      <c r="J2884" s="28">
        <f>D2884*Inputs!$D$15</f>
        <v>23.201943815471054</v>
      </c>
      <c r="K2884" s="99" t="s">
        <v>916</v>
      </c>
      <c r="L2884" s="91"/>
      <c r="M2884" s="91"/>
    </row>
    <row r="2885" spans="2:13" ht="15" customHeight="1" x14ac:dyDescent="0.2">
      <c r="B2885" s="10" t="s">
        <v>917</v>
      </c>
      <c r="C2885" s="10" t="s">
        <v>104</v>
      </c>
      <c r="D2885" s="30">
        <f>Inputs!$D$107</f>
        <v>0.9</v>
      </c>
      <c r="G2885" s="99" t="s">
        <v>918</v>
      </c>
      <c r="H2885" s="91"/>
      <c r="I2885" s="91"/>
      <c r="J2885" s="28">
        <f>IF(-D2896/D2895&gt;=J2887,-D2896/D2895,-J2890/J2889)</f>
        <v>24.024174528419383</v>
      </c>
      <c r="K2885" s="99" t="s">
        <v>919</v>
      </c>
      <c r="L2885" s="91"/>
      <c r="M2885" s="91"/>
    </row>
    <row r="2886" spans="2:13" ht="15" customHeight="1" x14ac:dyDescent="0.2">
      <c r="B2886" s="10" t="s">
        <v>920</v>
      </c>
      <c r="C2886" s="10" t="s">
        <v>104</v>
      </c>
      <c r="D2886" s="30">
        <f>Inputs!$D$108</f>
        <v>0.16</v>
      </c>
      <c r="G2886" s="99" t="s">
        <v>918</v>
      </c>
      <c r="H2886" s="91"/>
      <c r="I2886" s="91"/>
      <c r="J2886" s="28">
        <f>J2885*Inputs!$D$15</f>
        <v>16.766471403383886</v>
      </c>
      <c r="K2886" s="99" t="s">
        <v>916</v>
      </c>
      <c r="L2886" s="91"/>
      <c r="M2886" s="91"/>
    </row>
    <row r="2887" spans="2:13" ht="15" customHeight="1" x14ac:dyDescent="0.2">
      <c r="B2887" s="3" t="s">
        <v>921</v>
      </c>
      <c r="C2887" s="10" t="s">
        <v>848</v>
      </c>
      <c r="D2887" s="28">
        <f>Capital!$D$13</f>
        <v>57.347931490590682</v>
      </c>
      <c r="G2887" s="99" t="s">
        <v>922</v>
      </c>
      <c r="H2887" s="91"/>
      <c r="I2887" s="91"/>
      <c r="J2887" s="28">
        <f>($D$2887/Inputs!$D$21+$D$2888/Inputs!$D$22)/$D$2885</f>
        <v>16.07538460873031</v>
      </c>
      <c r="K2887" s="99" t="s">
        <v>919</v>
      </c>
      <c r="L2887" s="91"/>
      <c r="M2887" s="91"/>
    </row>
    <row r="2888" spans="2:13" ht="15" customHeight="1" x14ac:dyDescent="0.2">
      <c r="B2888" s="3" t="s">
        <v>923</v>
      </c>
      <c r="C2888" s="10" t="s">
        <v>848</v>
      </c>
      <c r="D2888" s="28">
        <f>Capital!$D$14</f>
        <v>2.6172655041921802</v>
      </c>
    </row>
    <row r="2889" spans="2:13" ht="15" customHeight="1" x14ac:dyDescent="0.2">
      <c r="B2889" s="10" t="s">
        <v>924</v>
      </c>
      <c r="C2889" s="10" t="s">
        <v>896</v>
      </c>
      <c r="D2889" s="28">
        <f>(M2862*(Inputs!$D$7+Inputs!$D$20)*$D$2885*(Inputs!$D$7-Inputs!$D$19)-M2862*Inputs!$D$20*Inputs!$D$23)/($D$2886-Inputs!$D$20)/(Inputs!$D$7+$D$2886)^M2860</f>
        <v>1807.6547922951956</v>
      </c>
      <c r="G2889" s="92" t="s">
        <v>910</v>
      </c>
      <c r="H2889" s="91"/>
      <c r="I2889" s="91"/>
      <c r="J2889" s="28">
        <f>SUM(D2881:M2881)+(M2862*(Inputs!$D$7+Inputs!$D$20)*$D$2885-M2862*Inputs!$D$20*Inputs!$D$23)/($D$2886-Inputs!$D$20)/(Inputs!$D$7+$D$2886)^M2860</f>
        <v>6737.5559875731687</v>
      </c>
      <c r="K2889" s="99" t="s">
        <v>896</v>
      </c>
      <c r="L2889" s="91"/>
      <c r="M2889" s="91"/>
    </row>
    <row r="2890" spans="2:13" ht="15" customHeight="1" x14ac:dyDescent="0.2">
      <c r="B2890" s="10" t="s">
        <v>925</v>
      </c>
      <c r="C2890" s="10" t="s">
        <v>110</v>
      </c>
      <c r="D2890" s="16">
        <f>(D2893*Inputs!$D$19-D2893-D2894)/($D$2886-Inputs!$D$20)/(Inputs!$D$7+$D$2886)^M2860</f>
        <v>-33287.494112345899</v>
      </c>
      <c r="G2890" s="92" t="s">
        <v>926</v>
      </c>
      <c r="H2890" s="91"/>
      <c r="I2890" s="91"/>
      <c r="J2890" s="16">
        <f>SUM(D2882:M2882)-(D2893+D2894)/($D$2886-Inputs!$D$20)/(Inputs!$D$7+$D$2886)^M2860</f>
        <v>-145733.9249554922</v>
      </c>
      <c r="K2890" s="99" t="s">
        <v>110</v>
      </c>
      <c r="L2890" s="91"/>
      <c r="M2890" s="91"/>
    </row>
    <row r="2891" spans="2:13" ht="15" customHeight="1" x14ac:dyDescent="0.2">
      <c r="B2891" s="10" t="s">
        <v>927</v>
      </c>
      <c r="C2891" s="10" t="s">
        <v>928</v>
      </c>
      <c r="D2891" s="16">
        <f>(M2862*(Inputs!$D$7+Inputs!$D$20)*$D$2884*$D$2885-D2893)-MAX((M2862*(Inputs!$D$7+Inputs!$D$20)*$D$2884*$D$2885-D2893),Inputs!$D$6)*Inputs!$D$19-D2894-M2862*Inputs!$D$20*$D$2884*Inputs!$D$23</f>
        <v>15308.175793234004</v>
      </c>
      <c r="G2891" s="99" t="s">
        <v>929</v>
      </c>
      <c r="H2891" s="91"/>
      <c r="I2891" s="91"/>
      <c r="J2891" s="28">
        <f>(D2883-D2896)/D2895</f>
        <v>33.245370132499005</v>
      </c>
      <c r="K2891" s="99" t="s">
        <v>919</v>
      </c>
      <c r="L2891" s="91"/>
      <c r="M2891" s="91"/>
    </row>
    <row r="2892" spans="2:13" ht="15" customHeight="1" x14ac:dyDescent="0.2">
      <c r="B2892" s="10" t="s">
        <v>930</v>
      </c>
      <c r="C2892" s="10" t="s">
        <v>110</v>
      </c>
      <c r="D2892" s="16">
        <f>D2891/($D$2886-Inputs!$D$20)</f>
        <v>113393.89476469632</v>
      </c>
      <c r="G2892" s="99" t="s">
        <v>931</v>
      </c>
      <c r="H2892" s="91"/>
      <c r="I2892" s="91"/>
      <c r="J2892" s="16">
        <f>MIN(D2876:M2876,(M2862*(Inputs!$D$7+Inputs!$D$20)*$D$2884*$D$2885-D2893))</f>
        <v>1194.3439109802002</v>
      </c>
      <c r="K2892" s="99" t="s">
        <v>110</v>
      </c>
      <c r="L2892" s="91"/>
      <c r="M2892" s="91"/>
    </row>
    <row r="2893" spans="2:13" ht="15" customHeight="1" x14ac:dyDescent="0.2">
      <c r="B2893" s="10" t="s">
        <v>932</v>
      </c>
      <c r="C2893" s="10" t="s">
        <v>928</v>
      </c>
      <c r="D2893" s="16">
        <f>M2862*(Inputs!$D$7+Inputs!$D$20)*($D$2887/Inputs!$D$21+$D$2888/Inputs!$D$22)</f>
        <v>23727.267682485937</v>
      </c>
      <c r="G2893" s="99" t="s">
        <v>933</v>
      </c>
      <c r="H2893" s="91"/>
      <c r="I2893" s="91"/>
      <c r="J2893" s="31" t="str">
        <f>IF(J2892&lt;Inputs!$D$6,"breached","satisfied")</f>
        <v>satisfied</v>
      </c>
      <c r="K2893" s="99" t="s">
        <v>934</v>
      </c>
      <c r="L2893" s="91"/>
      <c r="M2893" s="91"/>
    </row>
    <row r="2894" spans="2:13" ht="15" customHeight="1" x14ac:dyDescent="0.2">
      <c r="B2894" s="10" t="s">
        <v>935</v>
      </c>
      <c r="C2894" s="10" t="s">
        <v>928</v>
      </c>
      <c r="D2894" s="16">
        <f>M2862*Inputs!$D$20*($D$2887+$D$2888)</f>
        <v>2398.6078797913146</v>
      </c>
    </row>
    <row r="2895" spans="2:13" ht="15" customHeight="1" x14ac:dyDescent="0.2">
      <c r="B2895" s="10" t="s">
        <v>936</v>
      </c>
      <c r="C2895" s="10" t="s">
        <v>896</v>
      </c>
      <c r="D2895" s="28">
        <f>SUM(D2872:M2872)+D2889</f>
        <v>4708.2790601495317</v>
      </c>
      <c r="G2895" s="99" t="s">
        <v>937</v>
      </c>
      <c r="H2895" s="91"/>
      <c r="I2895" s="91"/>
      <c r="J2895" s="16">
        <f>D2897-D2883</f>
        <v>0</v>
      </c>
      <c r="K2895" s="99" t="s">
        <v>110</v>
      </c>
      <c r="L2895" s="91"/>
      <c r="M2895" s="91"/>
    </row>
    <row r="2896" spans="2:13" ht="15" customHeight="1" x14ac:dyDescent="0.2">
      <c r="B2896" s="10" t="s">
        <v>938</v>
      </c>
      <c r="C2896" s="10" t="s">
        <v>110</v>
      </c>
      <c r="D2896" s="16">
        <f>SUM(D2873:M2873)+D2890</f>
        <v>-113112.51786953473</v>
      </c>
    </row>
    <row r="2897" spans="1:13" ht="15" customHeight="1" x14ac:dyDescent="0.2">
      <c r="B2897" s="10" t="s">
        <v>939</v>
      </c>
      <c r="C2897" s="10" t="s">
        <v>110</v>
      </c>
      <c r="D2897" s="16">
        <f>SUM(D2880:M2880)+D2892/(Inputs!$D$7+$D$2886)^M2860</f>
        <v>43415.962172231026</v>
      </c>
    </row>
    <row r="2898" spans="1:13" ht="15" customHeight="1" x14ac:dyDescent="0.2">
      <c r="B2898" s="10" t="s">
        <v>940</v>
      </c>
      <c r="C2898" s="10" t="s">
        <v>104</v>
      </c>
      <c r="D2898" s="30">
        <f>IF(ABS(D2883)&gt;Inputs!$D$6,D2897/D2883-Inputs!$D$7,Inputs!$D$6)</f>
        <v>1.1102230246251565E-15</v>
      </c>
    </row>
    <row r="2899" spans="1:13" ht="15" customHeight="1" x14ac:dyDescent="0.2">
      <c r="B2899" s="10" t="s">
        <v>941</v>
      </c>
      <c r="C2899" s="10" t="s">
        <v>104</v>
      </c>
      <c r="D2899" s="30">
        <f>IF(ABS(D2897)&gt;Inputs!$D$119,D2892/(Inputs!$D$7+$D$2886)^M2860/D2897,Inputs!$D$6)</f>
        <v>0.61748392038263755</v>
      </c>
    </row>
    <row r="2900" spans="1:13" ht="15" customHeight="1" x14ac:dyDescent="0.2">
      <c r="B2900" s="10" t="s">
        <v>942</v>
      </c>
      <c r="C2900" s="10" t="s">
        <v>943</v>
      </c>
      <c r="D2900" s="26">
        <f>$D$2884*Inputs!$D$8/Prices!$P$6/(Inputs!$D$26/Inputs!$D$25)/Inputs!$D$11/Inputs!$D$56</f>
        <v>6.0457715421492484</v>
      </c>
    </row>
    <row r="2904" spans="1:13" ht="15" customHeight="1" x14ac:dyDescent="0.2">
      <c r="A2904" s="104" t="s">
        <v>1006</v>
      </c>
      <c r="B2904" s="10" t="s">
        <v>886</v>
      </c>
      <c r="C2904" s="10" t="s">
        <v>107</v>
      </c>
      <c r="D2904" s="28">
        <f>Inputs!$D$60</f>
        <v>1</v>
      </c>
      <c r="E2904" s="28">
        <f>Inputs!$D$62</f>
        <v>2</v>
      </c>
      <c r="F2904" s="28">
        <f>Inputs!$D$64</f>
        <v>3</v>
      </c>
      <c r="G2904" s="28">
        <f>Inputs!$D$66</f>
        <v>4</v>
      </c>
      <c r="H2904" s="28">
        <f>Inputs!$D$68</f>
        <v>5</v>
      </c>
      <c r="I2904" s="28">
        <f>Inputs!$D$70</f>
        <v>6</v>
      </c>
      <c r="J2904" s="28">
        <f>Inputs!$D$72</f>
        <v>7</v>
      </c>
      <c r="K2904" s="28">
        <f>Inputs!$D$74</f>
        <v>8</v>
      </c>
      <c r="L2904" s="28">
        <f>Inputs!$D$76</f>
        <v>9</v>
      </c>
      <c r="M2904" s="28">
        <f>Inputs!$D$78</f>
        <v>10</v>
      </c>
    </row>
    <row r="2905" spans="1:13" ht="15" customHeight="1" x14ac:dyDescent="0.2">
      <c r="A2905" s="91"/>
      <c r="B2905" s="10" t="s">
        <v>887</v>
      </c>
      <c r="C2905" s="10" t="s">
        <v>161</v>
      </c>
      <c r="D2905" s="29">
        <f>Inputs!$D$61</f>
        <v>46568</v>
      </c>
      <c r="E2905" s="29">
        <f>Inputs!$D$63</f>
        <v>46934</v>
      </c>
      <c r="F2905" s="29">
        <f>Inputs!$D$65</f>
        <v>47299</v>
      </c>
      <c r="G2905" s="29">
        <f>Inputs!$D$67</f>
        <v>47664</v>
      </c>
      <c r="H2905" s="29">
        <f>Inputs!$D$69</f>
        <v>48029</v>
      </c>
      <c r="I2905" s="29">
        <f>Inputs!$D$71</f>
        <v>48395</v>
      </c>
      <c r="J2905" s="29">
        <f>Inputs!$D$73</f>
        <v>48760</v>
      </c>
      <c r="K2905" s="29">
        <f>Inputs!$D$75</f>
        <v>49125</v>
      </c>
      <c r="L2905" s="29">
        <f>Inputs!$D$77</f>
        <v>49490</v>
      </c>
      <c r="M2905" s="29">
        <f>Inputs!$D$79</f>
        <v>49856</v>
      </c>
    </row>
    <row r="2906" spans="1:13" ht="15" customHeight="1" x14ac:dyDescent="0.2">
      <c r="A2906" s="91"/>
      <c r="B2906" s="10" t="s">
        <v>888</v>
      </c>
      <c r="C2906" s="10" t="s">
        <v>107</v>
      </c>
      <c r="D2906" s="28">
        <f>(D2905-Inputs!$D$13)/Inputs!$D$10</f>
        <v>0.71457905544147848</v>
      </c>
      <c r="E2906" s="28">
        <f>(E2905-Inputs!$D$13)/Inputs!$D$10</f>
        <v>1.7166324435318274</v>
      </c>
      <c r="F2906" s="28">
        <f>(F2905-Inputs!$D$13)/Inputs!$D$10</f>
        <v>2.7159479808350446</v>
      </c>
      <c r="G2906" s="28">
        <f>(G2905-Inputs!$D$13)/Inputs!$D$10</f>
        <v>3.7152635181382614</v>
      </c>
      <c r="H2906" s="28">
        <f>(H2905-Inputs!$D$13)/Inputs!$D$10</f>
        <v>4.7145790554414786</v>
      </c>
      <c r="I2906" s="28">
        <f>(I2905-Inputs!$D$13)/Inputs!$D$10</f>
        <v>5.7166324435318279</v>
      </c>
      <c r="J2906" s="28">
        <f>(J2905-Inputs!$D$13)/Inputs!$D$10</f>
        <v>6.7159479808350442</v>
      </c>
      <c r="K2906" s="28">
        <f>(K2905-Inputs!$D$13)/Inputs!$D$10</f>
        <v>7.7152635181382614</v>
      </c>
      <c r="L2906" s="28">
        <f>(L2905-Inputs!$D$13)/Inputs!$D$10</f>
        <v>8.7145790554414777</v>
      </c>
      <c r="M2906" s="28">
        <f>(M2905-Inputs!$D$13)/Inputs!$D$10</f>
        <v>9.716632443531827</v>
      </c>
    </row>
    <row r="2907" spans="1:13" ht="15" customHeight="1" x14ac:dyDescent="0.2">
      <c r="A2907" s="91"/>
      <c r="B2907" s="10" t="s">
        <v>889</v>
      </c>
      <c r="C2907" s="10" t="s">
        <v>107</v>
      </c>
      <c r="D2907" s="28">
        <f>D2906</f>
        <v>0.71457905544147848</v>
      </c>
      <c r="E2907" s="28">
        <f>Inputs!$D$7</f>
        <v>1</v>
      </c>
      <c r="F2907" s="28">
        <f>Inputs!$D$7</f>
        <v>1</v>
      </c>
      <c r="G2907" s="28">
        <f>Inputs!$D$7</f>
        <v>1</v>
      </c>
      <c r="H2907" s="28">
        <f>Inputs!$D$7</f>
        <v>1</v>
      </c>
      <c r="I2907" s="28">
        <f>Inputs!$D$7</f>
        <v>1</v>
      </c>
      <c r="J2907" s="28">
        <f>Inputs!$D$7</f>
        <v>1</v>
      </c>
      <c r="K2907" s="28">
        <f>Inputs!$D$7</f>
        <v>1</v>
      </c>
      <c r="L2907" s="28">
        <f>Inputs!$D$7</f>
        <v>1</v>
      </c>
      <c r="M2907" s="28">
        <f>Inputs!$D$7</f>
        <v>1</v>
      </c>
    </row>
    <row r="2908" spans="1:13" ht="15" customHeight="1" x14ac:dyDescent="0.2">
      <c r="A2908" s="91"/>
      <c r="B2908" s="3" t="s">
        <v>890</v>
      </c>
      <c r="C2908" s="10" t="s">
        <v>199</v>
      </c>
      <c r="D2908" s="28">
        <f>Inputs!$D$24+(Inputs!$D$80-Inputs!$D$24)*Inputs!$D$83</f>
        <v>305.5</v>
      </c>
      <c r="E2908" s="28">
        <f>Inputs!$D$24+(Inputs!$D$80-Inputs!$D$24)*Inputs!$D$84</f>
        <v>651.5</v>
      </c>
      <c r="F2908" s="28">
        <f>Inputs!$D$24+(Inputs!$D$80-Inputs!$D$24)*Inputs!$D$85</f>
        <v>911</v>
      </c>
      <c r="G2908" s="28">
        <f>Inputs!$D$24+(Inputs!$D$80-Inputs!$D$24)*Inputs!$D$86</f>
        <v>911</v>
      </c>
      <c r="H2908" s="28">
        <f>Inputs!$D$24+(Inputs!$D$80-Inputs!$D$24)*Inputs!$D$87</f>
        <v>911</v>
      </c>
      <c r="I2908" s="28">
        <f>Inputs!$D$24+(Inputs!$D$80-Inputs!$D$24)*Inputs!$D$88</f>
        <v>911</v>
      </c>
      <c r="J2908" s="28">
        <f>Inputs!$D$24+(Inputs!$D$80-Inputs!$D$24)*Inputs!$D$89</f>
        <v>911</v>
      </c>
      <c r="K2908" s="28">
        <f>Inputs!$D$24+(Inputs!$D$80-Inputs!$D$24)*Inputs!$D$90</f>
        <v>911</v>
      </c>
      <c r="L2908" s="28">
        <f>Inputs!$D$24+(Inputs!$D$80-Inputs!$D$24)*Inputs!$D$91</f>
        <v>911</v>
      </c>
      <c r="M2908" s="28">
        <f>Inputs!$D$24+(Inputs!$D$80-Inputs!$D$24)*Inputs!$D$92</f>
        <v>911</v>
      </c>
    </row>
    <row r="2909" spans="1:13" ht="15" customHeight="1" x14ac:dyDescent="0.2">
      <c r="A2909" s="91"/>
      <c r="B2909" s="10" t="s">
        <v>891</v>
      </c>
      <c r="C2909" s="10" t="s">
        <v>199</v>
      </c>
      <c r="D2909" s="28">
        <f>Inputs!$D$24</f>
        <v>46</v>
      </c>
      <c r="E2909" s="28">
        <f t="shared" ref="E2909:M2909" si="630">D2908</f>
        <v>305.5</v>
      </c>
      <c r="F2909" s="28">
        <f t="shared" si="630"/>
        <v>651.5</v>
      </c>
      <c r="G2909" s="28">
        <f t="shared" si="630"/>
        <v>911</v>
      </c>
      <c r="H2909" s="28">
        <f t="shared" si="630"/>
        <v>911</v>
      </c>
      <c r="I2909" s="28">
        <f t="shared" si="630"/>
        <v>911</v>
      </c>
      <c r="J2909" s="28">
        <f t="shared" si="630"/>
        <v>911</v>
      </c>
      <c r="K2909" s="28">
        <f t="shared" si="630"/>
        <v>911</v>
      </c>
      <c r="L2909" s="28">
        <f t="shared" si="630"/>
        <v>911</v>
      </c>
      <c r="M2909" s="28">
        <f t="shared" si="630"/>
        <v>911</v>
      </c>
    </row>
    <row r="2910" spans="1:13" ht="15" customHeight="1" x14ac:dyDescent="0.2">
      <c r="B2910" s="10" t="s">
        <v>892</v>
      </c>
      <c r="C2910" s="10" t="s">
        <v>199</v>
      </c>
      <c r="D2910" s="28">
        <f>(D2909+D2908)*Inputs!$D$12</f>
        <v>175.75</v>
      </c>
      <c r="E2910" s="28">
        <f>(E2909+E2908)*Inputs!$D$12</f>
        <v>478.5</v>
      </c>
      <c r="F2910" s="28">
        <f>(F2909+F2908)*Inputs!$D$12</f>
        <v>781.25</v>
      </c>
      <c r="G2910" s="28">
        <f>(G2909+G2908)*Inputs!$D$12</f>
        <v>911</v>
      </c>
      <c r="H2910" s="28">
        <f>(H2909+H2908)*Inputs!$D$12</f>
        <v>911</v>
      </c>
      <c r="I2910" s="28">
        <f>(I2909+I2908)*Inputs!$D$12</f>
        <v>911</v>
      </c>
      <c r="J2910" s="28">
        <f>(J2909+J2908)*Inputs!$D$12</f>
        <v>911</v>
      </c>
      <c r="K2910" s="28">
        <f>(K2909+K2908)*Inputs!$D$12</f>
        <v>911</v>
      </c>
      <c r="L2910" s="28">
        <f>(L2909+L2908)*Inputs!$D$12</f>
        <v>911</v>
      </c>
      <c r="M2910" s="28">
        <f>(M2909+M2908)*Inputs!$D$12</f>
        <v>911</v>
      </c>
    </row>
    <row r="2911" spans="1:13" ht="15" customHeight="1" x14ac:dyDescent="0.2">
      <c r="B2911" s="10" t="s">
        <v>893</v>
      </c>
      <c r="C2911" s="10" t="s">
        <v>199</v>
      </c>
      <c r="D2911" s="28">
        <f t="shared" ref="D2911:M2911" si="631">D2908-D2909</f>
        <v>259.5</v>
      </c>
      <c r="E2911" s="28">
        <f t="shared" si="631"/>
        <v>346</v>
      </c>
      <c r="F2911" s="28">
        <f t="shared" si="631"/>
        <v>259.5</v>
      </c>
      <c r="G2911" s="28">
        <f t="shared" si="631"/>
        <v>0</v>
      </c>
      <c r="H2911" s="28">
        <f t="shared" si="631"/>
        <v>0</v>
      </c>
      <c r="I2911" s="28">
        <f t="shared" si="631"/>
        <v>0</v>
      </c>
      <c r="J2911" s="28">
        <f t="shared" si="631"/>
        <v>0</v>
      </c>
      <c r="K2911" s="28">
        <f t="shared" si="631"/>
        <v>0</v>
      </c>
      <c r="L2911" s="28">
        <f t="shared" si="631"/>
        <v>0</v>
      </c>
      <c r="M2911" s="28">
        <f t="shared" si="631"/>
        <v>0</v>
      </c>
    </row>
    <row r="2912" spans="1:13" ht="15" customHeight="1" x14ac:dyDescent="0.2">
      <c r="B2912" s="10" t="s">
        <v>894</v>
      </c>
      <c r="C2912" s="10" t="s">
        <v>199</v>
      </c>
      <c r="D2912" s="28">
        <f>IF(MOD(D2904,Inputs!$D$21)=Inputs!$D$6,Inputs!$D$24,Inputs!$D$6)+SUMPRODUCT(--(D2904&gt;$D$2904:$M$2904),--(MOD(D2904-$D$2904:$M$2904,Inputs!$D$21)=Inputs!$D$6),$D$2911:$M$2911)</f>
        <v>0</v>
      </c>
      <c r="E2912" s="28">
        <f>IF(MOD(E2904,Inputs!$D$21)=Inputs!$D$6,Inputs!$D$24,Inputs!$D$6)+SUMPRODUCT(--(E2904&gt;$D$2904:$M$2904),--(MOD(E2904-$D$2904:$M$2904,Inputs!$D$21)=Inputs!$D$6),$D$2911:$M$2911)</f>
        <v>0</v>
      </c>
      <c r="F2912" s="28">
        <f>IF(MOD(F2904,Inputs!$D$21)=Inputs!$D$6,Inputs!$D$24,Inputs!$D$6)+SUMPRODUCT(--(F2904&gt;$D$2904:$M$2904),--(MOD(F2904-$D$2904:$M$2904,Inputs!$D$21)=Inputs!$D$6),$D$2911:$M$2911)</f>
        <v>0</v>
      </c>
      <c r="G2912" s="28">
        <f>IF(MOD(G2904,Inputs!$D$21)=Inputs!$D$6,Inputs!$D$24,Inputs!$D$6)+SUMPRODUCT(--(G2904&gt;$D$2904:$M$2904),--(MOD(G2904-$D$2904:$M$2904,Inputs!$D$21)=Inputs!$D$6),$D$2911:$M$2911)</f>
        <v>46</v>
      </c>
      <c r="H2912" s="28">
        <f>IF(MOD(H2904,Inputs!$D$21)=Inputs!$D$6,Inputs!$D$24,Inputs!$D$6)+SUMPRODUCT(--(H2904&gt;$D$2904:$M$2904),--(MOD(H2904-$D$2904:$M$2904,Inputs!$D$21)=Inputs!$D$6),$D$2911:$M$2911)</f>
        <v>259.5</v>
      </c>
      <c r="I2912" s="28">
        <f>IF(MOD(I2904,Inputs!$D$21)=Inputs!$D$6,Inputs!$D$24,Inputs!$D$6)+SUMPRODUCT(--(I2904&gt;$D$2904:$M$2904),--(MOD(I2904-$D$2904:$M$2904,Inputs!$D$21)=Inputs!$D$6),$D$2911:$M$2911)</f>
        <v>346</v>
      </c>
      <c r="J2912" s="28">
        <f>IF(MOD(J2904,Inputs!$D$21)=Inputs!$D$6,Inputs!$D$24,Inputs!$D$6)+SUMPRODUCT(--(J2904&gt;$D$2904:$M$2904),--(MOD(J2904-$D$2904:$M$2904,Inputs!$D$21)=Inputs!$D$6),$D$2911:$M$2911)</f>
        <v>259.5</v>
      </c>
      <c r="K2912" s="28">
        <f>IF(MOD(K2904,Inputs!$D$21)=Inputs!$D$6,Inputs!$D$24,Inputs!$D$6)+SUMPRODUCT(--(K2904&gt;$D$2904:$M$2904),--(MOD(K2904-$D$2904:$M$2904,Inputs!$D$21)=Inputs!$D$6),$D$2911:$M$2911)</f>
        <v>46</v>
      </c>
      <c r="L2912" s="28">
        <f>IF(MOD(L2904,Inputs!$D$21)=Inputs!$D$6,Inputs!$D$24,Inputs!$D$6)+SUMPRODUCT(--(L2904&gt;$D$2904:$M$2904),--(MOD(L2904-$D$2904:$M$2904,Inputs!$D$21)=Inputs!$D$6),$D$2911:$M$2911)</f>
        <v>259.5</v>
      </c>
      <c r="M2912" s="28">
        <f>IF(MOD(M2904,Inputs!$D$21)=Inputs!$D$6,Inputs!$D$24,Inputs!$D$6)+SUMPRODUCT(--(M2904&gt;$D$2904:$M$2904),--(MOD(M2904-$D$2904:$M$2904,Inputs!$D$21)=Inputs!$D$6),$D$2911:$M$2911)</f>
        <v>346</v>
      </c>
    </row>
    <row r="2913" spans="2:13" ht="15" customHeight="1" x14ac:dyDescent="0.2">
      <c r="B2913" s="10" t="s">
        <v>895</v>
      </c>
      <c r="C2913" s="10" t="s">
        <v>896</v>
      </c>
      <c r="D2913" s="28">
        <f t="shared" ref="D2913:M2913" si="632">D2910*D2907</f>
        <v>125.58726899383984</v>
      </c>
      <c r="E2913" s="28">
        <f t="shared" si="632"/>
        <v>478.5</v>
      </c>
      <c r="F2913" s="28">
        <f t="shared" si="632"/>
        <v>781.25</v>
      </c>
      <c r="G2913" s="28">
        <f t="shared" si="632"/>
        <v>911</v>
      </c>
      <c r="H2913" s="28">
        <f t="shared" si="632"/>
        <v>911</v>
      </c>
      <c r="I2913" s="28">
        <f t="shared" si="632"/>
        <v>911</v>
      </c>
      <c r="J2913" s="28">
        <f t="shared" si="632"/>
        <v>911</v>
      </c>
      <c r="K2913" s="28">
        <f t="shared" si="632"/>
        <v>911</v>
      </c>
      <c r="L2913" s="28">
        <f t="shared" si="632"/>
        <v>911</v>
      </c>
      <c r="M2913" s="28">
        <f t="shared" si="632"/>
        <v>911</v>
      </c>
    </row>
    <row r="2914" spans="2:13" ht="15" customHeight="1" x14ac:dyDescent="0.2">
      <c r="B2914" s="10" t="s">
        <v>897</v>
      </c>
      <c r="C2914" s="10" t="s">
        <v>110</v>
      </c>
      <c r="D2914" s="16">
        <f>D2913*($D$2933/Inputs!$D$21+$D$2934/Inputs!$D$22)</f>
        <v>1816.9772859324419</v>
      </c>
      <c r="E2914" s="16">
        <f>E2913*($D$2933/Inputs!$D$21+$D$2934/Inputs!$D$22)</f>
        <v>6922.8643817497086</v>
      </c>
      <c r="F2914" s="16">
        <f>F2913*($D$2933/Inputs!$D$21+$D$2934/Inputs!$D$22)</f>
        <v>11303.0048030135</v>
      </c>
      <c r="G2914" s="16">
        <f>G2913*($D$2933/Inputs!$D$21+$D$2934/Inputs!$D$22)</f>
        <v>13180.207840697982</v>
      </c>
      <c r="H2914" s="16">
        <f>H2913*($D$2933/Inputs!$D$21+$D$2934/Inputs!$D$22)</f>
        <v>13180.207840697982</v>
      </c>
      <c r="I2914" s="16">
        <f>I2913*($D$2933/Inputs!$D$21+$D$2934/Inputs!$D$22)</f>
        <v>13180.207840697982</v>
      </c>
      <c r="J2914" s="16">
        <f>J2913*($D$2933/Inputs!$D$21+$D$2934/Inputs!$D$22)</f>
        <v>13180.207840697982</v>
      </c>
      <c r="K2914" s="16">
        <f>K2913*($D$2933/Inputs!$D$21+$D$2934/Inputs!$D$22)</f>
        <v>13180.207840697982</v>
      </c>
      <c r="L2914" s="16">
        <f>L2913*($D$2933/Inputs!$D$21+$D$2934/Inputs!$D$22)</f>
        <v>13180.207840697982</v>
      </c>
      <c r="M2914" s="16">
        <f>M2913*($D$2933/Inputs!$D$21+$D$2934/Inputs!$D$22)</f>
        <v>13180.207840697982</v>
      </c>
    </row>
    <row r="2915" spans="2:13" ht="15" customHeight="1" x14ac:dyDescent="0.2">
      <c r="B2915" s="10" t="s">
        <v>898</v>
      </c>
      <c r="C2915" s="10" t="s">
        <v>110</v>
      </c>
      <c r="D2915" s="16">
        <f t="shared" ref="D2915:M2915" si="633">D2911*($D$2933+$D$2934)</f>
        <v>15560.968620146154</v>
      </c>
      <c r="E2915" s="16">
        <f t="shared" si="633"/>
        <v>20747.95816019487</v>
      </c>
      <c r="F2915" s="16">
        <f t="shared" si="633"/>
        <v>15560.968620146154</v>
      </c>
      <c r="G2915" s="16">
        <f t="shared" si="633"/>
        <v>0</v>
      </c>
      <c r="H2915" s="16">
        <f t="shared" si="633"/>
        <v>0</v>
      </c>
      <c r="I2915" s="16">
        <f t="shared" si="633"/>
        <v>0</v>
      </c>
      <c r="J2915" s="16">
        <f t="shared" si="633"/>
        <v>0</v>
      </c>
      <c r="K2915" s="16">
        <f t="shared" si="633"/>
        <v>0</v>
      </c>
      <c r="L2915" s="16">
        <f t="shared" si="633"/>
        <v>0</v>
      </c>
      <c r="M2915" s="16">
        <f t="shared" si="633"/>
        <v>0</v>
      </c>
    </row>
    <row r="2916" spans="2:13" ht="15" customHeight="1" x14ac:dyDescent="0.2">
      <c r="B2916" s="10" t="s">
        <v>899</v>
      </c>
      <c r="C2916" s="10" t="s">
        <v>110</v>
      </c>
      <c r="D2916" s="16">
        <f t="shared" ref="D2916:M2916" si="634">D2912*$D$2933</f>
        <v>0</v>
      </c>
      <c r="E2916" s="16">
        <f t="shared" si="634"/>
        <v>0</v>
      </c>
      <c r="F2916" s="16">
        <f t="shared" si="634"/>
        <v>0</v>
      </c>
      <c r="G2916" s="16">
        <f t="shared" si="634"/>
        <v>2638.0048485671714</v>
      </c>
      <c r="H2916" s="16">
        <f t="shared" si="634"/>
        <v>14881.788221808281</v>
      </c>
      <c r="I2916" s="16">
        <f t="shared" si="634"/>
        <v>19842.384295744378</v>
      </c>
      <c r="J2916" s="16">
        <f t="shared" si="634"/>
        <v>14881.788221808281</v>
      </c>
      <c r="K2916" s="16">
        <f t="shared" si="634"/>
        <v>2638.0048485671714</v>
      </c>
      <c r="L2916" s="16">
        <f t="shared" si="634"/>
        <v>14881.788221808281</v>
      </c>
      <c r="M2916" s="16">
        <f t="shared" si="634"/>
        <v>19842.384295744378</v>
      </c>
    </row>
    <row r="2917" spans="2:13" ht="15" customHeight="1" x14ac:dyDescent="0.2">
      <c r="B2917" s="10" t="s">
        <v>900</v>
      </c>
      <c r="C2917" s="10" t="s">
        <v>199</v>
      </c>
      <c r="D2917" s="28">
        <f>D2911*Inputs!$D$23</f>
        <v>6.4875000000000007</v>
      </c>
      <c r="E2917" s="28">
        <f>E2911*Inputs!$D$23</f>
        <v>8.65</v>
      </c>
      <c r="F2917" s="28">
        <f>F2911*Inputs!$D$23</f>
        <v>6.4875000000000007</v>
      </c>
      <c r="G2917" s="28">
        <f>G2911*Inputs!$D$23</f>
        <v>0</v>
      </c>
      <c r="H2917" s="28">
        <f>H2911*Inputs!$D$23</f>
        <v>0</v>
      </c>
      <c r="I2917" s="28">
        <f>I2911*Inputs!$D$23</f>
        <v>0</v>
      </c>
      <c r="J2917" s="28">
        <f>J2911*Inputs!$D$23</f>
        <v>0</v>
      </c>
      <c r="K2917" s="28">
        <f>K2911*Inputs!$D$23</f>
        <v>0</v>
      </c>
      <c r="L2917" s="28">
        <f>L2911*Inputs!$D$23</f>
        <v>0</v>
      </c>
      <c r="M2917" s="28">
        <f>M2911*Inputs!$D$23</f>
        <v>0</v>
      </c>
    </row>
    <row r="2918" spans="2:13" ht="15" customHeight="1" x14ac:dyDescent="0.2">
      <c r="B2918" s="3" t="s">
        <v>901</v>
      </c>
      <c r="C2918" s="10" t="s">
        <v>896</v>
      </c>
      <c r="D2918" s="28">
        <f>(D2913*$D$2931*(Inputs!$D$7-Inputs!$D$19)-D2917)/(Inputs!$D$7+$D$2932)^D2906</f>
        <v>43.213488846686175</v>
      </c>
      <c r="E2918" s="28">
        <f>(E2913*$D$2931*(Inputs!$D$7-Inputs!$D$19)-E2917)/(Inputs!$D$7+$D$2932)^E2906</f>
        <v>163.29332190458183</v>
      </c>
      <c r="F2918" s="28">
        <f>(F2913*$D$2931*(Inputs!$D$7-Inputs!$D$19)-F2917)/(Inputs!$D$7+$D$2932)^F2906</f>
        <v>248.28260771010829</v>
      </c>
      <c r="G2918" s="28">
        <f>(G2913*$D$2931*(Inputs!$D$7-Inputs!$D$19)-G2917)/(Inputs!$D$7+$D$2932)^G2906</f>
        <v>268.5238926419492</v>
      </c>
      <c r="H2918" s="28">
        <f>(H2913*$D$2931*(Inputs!$D$7-Inputs!$D$19)-H2917)/(Inputs!$D$7+$D$2932)^H2906</f>
        <v>244.12855518959191</v>
      </c>
      <c r="I2918" s="28">
        <f>(I2913*$D$2931*(Inputs!$D$7-Inputs!$D$19)-I2917)/(Inputs!$D$7+$D$2932)^I2906</f>
        <v>221.8916197826434</v>
      </c>
      <c r="J2918" s="28">
        <f>(J2913*$D$2931*(Inputs!$D$7-Inputs!$D$19)-J2917)/(Inputs!$D$7+$D$2932)^J2906</f>
        <v>201.73281421346593</v>
      </c>
      <c r="K2918" s="28">
        <f>(K2913*$D$2931*(Inputs!$D$7-Inputs!$D$19)-K2917)/(Inputs!$D$7+$D$2932)^K2906</f>
        <v>183.40543176145695</v>
      </c>
      <c r="L2918" s="28">
        <f>(L2913*$D$2931*(Inputs!$D$7-Inputs!$D$19)-L2917)/(Inputs!$D$7+$D$2932)^L2906</f>
        <v>166.74308803332551</v>
      </c>
      <c r="M2918" s="28">
        <f>(M2913*$D$2931*(Inputs!$D$7-Inputs!$D$19)-M2917)/(Inputs!$D$7+$D$2932)^M2906</f>
        <v>151.55496194429571</v>
      </c>
    </row>
    <row r="2919" spans="2:13" ht="15" customHeight="1" x14ac:dyDescent="0.2">
      <c r="B2919" s="10" t="s">
        <v>902</v>
      </c>
      <c r="C2919" s="10" t="s">
        <v>110</v>
      </c>
      <c r="D2919" s="16">
        <f>(D2914*Inputs!$D$19-D2915-D2916)/(Inputs!$D$7+$D$2932)^D2906</f>
        <v>-14027.24269342025</v>
      </c>
      <c r="E2919" s="16">
        <f>(E2914*Inputs!$D$19-E2915-E2916)/(Inputs!$D$7+$D$2932)^E2906</f>
        <v>-15853.087323826181</v>
      </c>
      <c r="F2919" s="16">
        <f>(F2914*Inputs!$D$19-F2915-F2916)/(Inputs!$D$7+$D$2932)^F2906</f>
        <v>-9394.4767487293357</v>
      </c>
      <c r="G2919" s="16">
        <f>(G2914*Inputs!$D$19-G2915-G2916)/(Inputs!$D$7+$D$2932)^G2906</f>
        <v>923.61320322684639</v>
      </c>
      <c r="H2919" s="16">
        <f>(H2914*Inputs!$D$19-H2915-H2916)/(Inputs!$D$7+$D$2932)^H2906</f>
        <v>-6972.3744918015345</v>
      </c>
      <c r="I2919" s="16">
        <f>(I2914*Inputs!$D$19-I2915-I2916)/(Inputs!$D$7+$D$2932)^I2906</f>
        <v>-9214.0648467907959</v>
      </c>
      <c r="J2919" s="16">
        <f>(J2914*Inputs!$D$19-J2915-J2916)/(Inputs!$D$7+$D$2932)^J2906</f>
        <v>-5761.5411965591911</v>
      </c>
      <c r="K2919" s="16">
        <f>(K2914*Inputs!$D$19-K2915-K2916)/(Inputs!$D$7+$D$2932)^K2906</f>
        <v>630.8402453567694</v>
      </c>
      <c r="L2919" s="16">
        <f>(L2914*Inputs!$D$19-L2915-L2916)/(Inputs!$D$7+$D$2932)^L2906</f>
        <v>-4762.2255937446444</v>
      </c>
      <c r="M2919" s="16">
        <f>(M2914*Inputs!$D$19-M2915-M2916)/(Inputs!$D$7+$D$2932)^M2906</f>
        <v>-6293.3302689644106</v>
      </c>
    </row>
    <row r="2920" spans="2:13" ht="15" customHeight="1" x14ac:dyDescent="0.2">
      <c r="B2920" s="10" t="s">
        <v>903</v>
      </c>
      <c r="C2920" s="10" t="s">
        <v>110</v>
      </c>
      <c r="D2920" s="16">
        <f t="shared" ref="D2920:M2920" si="635">D2913*$D$2930</f>
        <v>5885.4124689723922</v>
      </c>
      <c r="E2920" s="16">
        <f t="shared" si="635"/>
        <v>22424.007536475892</v>
      </c>
      <c r="F2920" s="16">
        <f t="shared" si="635"/>
        <v>36611.820037349615</v>
      </c>
      <c r="G2920" s="16">
        <f t="shared" si="635"/>
        <v>42692.311109152637</v>
      </c>
      <c r="H2920" s="16">
        <f t="shared" si="635"/>
        <v>42692.311109152637</v>
      </c>
      <c r="I2920" s="16">
        <f t="shared" si="635"/>
        <v>42692.311109152637</v>
      </c>
      <c r="J2920" s="16">
        <f t="shared" si="635"/>
        <v>42692.311109152637</v>
      </c>
      <c r="K2920" s="16">
        <f t="shared" si="635"/>
        <v>42692.311109152637</v>
      </c>
      <c r="L2920" s="16">
        <f t="shared" si="635"/>
        <v>42692.311109152637</v>
      </c>
      <c r="M2920" s="16">
        <f t="shared" si="635"/>
        <v>42692.311109152637</v>
      </c>
    </row>
    <row r="2921" spans="2:13" ht="15" customHeight="1" x14ac:dyDescent="0.2">
      <c r="B2921" s="10" t="s">
        <v>904</v>
      </c>
      <c r="C2921" s="10" t="s">
        <v>110</v>
      </c>
      <c r="D2921" s="16">
        <f t="shared" ref="D2921:M2921" si="636">D2920*$D$2931</f>
        <v>3531.2474813834351</v>
      </c>
      <c r="E2921" s="16">
        <f t="shared" si="636"/>
        <v>13454.404521885535</v>
      </c>
      <c r="F2921" s="16">
        <f t="shared" si="636"/>
        <v>21967.092022409768</v>
      </c>
      <c r="G2921" s="16">
        <f t="shared" si="636"/>
        <v>25615.38666549158</v>
      </c>
      <c r="H2921" s="16">
        <f t="shared" si="636"/>
        <v>25615.38666549158</v>
      </c>
      <c r="I2921" s="16">
        <f t="shared" si="636"/>
        <v>25615.38666549158</v>
      </c>
      <c r="J2921" s="16">
        <f t="shared" si="636"/>
        <v>25615.38666549158</v>
      </c>
      <c r="K2921" s="16">
        <f t="shared" si="636"/>
        <v>25615.38666549158</v>
      </c>
      <c r="L2921" s="16">
        <f t="shared" si="636"/>
        <v>25615.38666549158</v>
      </c>
      <c r="M2921" s="16">
        <f t="shared" si="636"/>
        <v>25615.38666549158</v>
      </c>
    </row>
    <row r="2922" spans="2:13" ht="15" customHeight="1" x14ac:dyDescent="0.2">
      <c r="B2922" s="10" t="s">
        <v>905</v>
      </c>
      <c r="C2922" s="10" t="s">
        <v>110</v>
      </c>
      <c r="D2922" s="16">
        <f t="shared" ref="D2922:M2922" si="637">D2921-D2914</f>
        <v>1714.2701954509932</v>
      </c>
      <c r="E2922" s="16">
        <f t="shared" si="637"/>
        <v>6531.5401401358267</v>
      </c>
      <c r="F2922" s="16">
        <f t="shared" si="637"/>
        <v>10664.087219396268</v>
      </c>
      <c r="G2922" s="16">
        <f t="shared" si="637"/>
        <v>12435.178824793598</v>
      </c>
      <c r="H2922" s="16">
        <f t="shared" si="637"/>
        <v>12435.178824793598</v>
      </c>
      <c r="I2922" s="16">
        <f t="shared" si="637"/>
        <v>12435.178824793598</v>
      </c>
      <c r="J2922" s="16">
        <f t="shared" si="637"/>
        <v>12435.178824793598</v>
      </c>
      <c r="K2922" s="16">
        <f t="shared" si="637"/>
        <v>12435.178824793598</v>
      </c>
      <c r="L2922" s="16">
        <f t="shared" si="637"/>
        <v>12435.178824793598</v>
      </c>
      <c r="M2922" s="16">
        <f t="shared" si="637"/>
        <v>12435.178824793598</v>
      </c>
    </row>
    <row r="2923" spans="2:13" ht="15" customHeight="1" x14ac:dyDescent="0.2">
      <c r="B2923" s="10" t="s">
        <v>906</v>
      </c>
      <c r="C2923" s="10" t="s">
        <v>110</v>
      </c>
      <c r="D2923" s="16">
        <f>MAX(D2922,Inputs!$D$6)*Inputs!$D$19</f>
        <v>514.281058635298</v>
      </c>
      <c r="E2923" s="16">
        <f>MAX(E2922,Inputs!$D$6)*Inputs!$D$19</f>
        <v>1959.462042040748</v>
      </c>
      <c r="F2923" s="16">
        <f>MAX(F2922,Inputs!$D$6)*Inputs!$D$19</f>
        <v>3199.2261658188804</v>
      </c>
      <c r="G2923" s="16">
        <f>MAX(G2922,Inputs!$D$6)*Inputs!$D$19</f>
        <v>3730.5536474380792</v>
      </c>
      <c r="H2923" s="16">
        <f>MAX(H2922,Inputs!$D$6)*Inputs!$D$19</f>
        <v>3730.5536474380792</v>
      </c>
      <c r="I2923" s="16">
        <f>MAX(I2922,Inputs!$D$6)*Inputs!$D$19</f>
        <v>3730.5536474380792</v>
      </c>
      <c r="J2923" s="16">
        <f>MAX(J2922,Inputs!$D$6)*Inputs!$D$19</f>
        <v>3730.5536474380792</v>
      </c>
      <c r="K2923" s="16">
        <f>MAX(K2922,Inputs!$D$6)*Inputs!$D$19</f>
        <v>3730.5536474380792</v>
      </c>
      <c r="L2923" s="16">
        <f>MAX(L2922,Inputs!$D$6)*Inputs!$D$19</f>
        <v>3730.5536474380792</v>
      </c>
      <c r="M2923" s="16">
        <f>MAX(M2922,Inputs!$D$6)*Inputs!$D$19</f>
        <v>3730.5536474380792</v>
      </c>
    </row>
    <row r="2924" spans="2:13" ht="15" customHeight="1" x14ac:dyDescent="0.2">
      <c r="B2924" s="10" t="s">
        <v>907</v>
      </c>
      <c r="C2924" s="10" t="s">
        <v>110</v>
      </c>
      <c r="D2924" s="16">
        <f t="shared" ref="D2924:M2924" si="638">D2917*$D$2930</f>
        <v>304.02455359015124</v>
      </c>
      <c r="E2924" s="16">
        <f t="shared" si="638"/>
        <v>405.36607145353491</v>
      </c>
      <c r="F2924" s="16">
        <f t="shared" si="638"/>
        <v>304.02455359015124</v>
      </c>
      <c r="G2924" s="16">
        <f t="shared" si="638"/>
        <v>0</v>
      </c>
      <c r="H2924" s="16">
        <f t="shared" si="638"/>
        <v>0</v>
      </c>
      <c r="I2924" s="16">
        <f t="shared" si="638"/>
        <v>0</v>
      </c>
      <c r="J2924" s="16">
        <f t="shared" si="638"/>
        <v>0</v>
      </c>
      <c r="K2924" s="16">
        <f t="shared" si="638"/>
        <v>0</v>
      </c>
      <c r="L2924" s="16">
        <f t="shared" si="638"/>
        <v>0</v>
      </c>
      <c r="M2924" s="16">
        <f t="shared" si="638"/>
        <v>0</v>
      </c>
    </row>
    <row r="2925" spans="2:13" ht="15" customHeight="1" x14ac:dyDescent="0.2">
      <c r="B2925" s="10" t="s">
        <v>908</v>
      </c>
      <c r="C2925" s="10" t="s">
        <v>110</v>
      </c>
      <c r="D2925" s="16">
        <f t="shared" ref="D2925:M2925" si="639">D2921-D2923-D2915-D2916-D2924</f>
        <v>-12848.026750988167</v>
      </c>
      <c r="E2925" s="16">
        <f t="shared" si="639"/>
        <v>-9658.3817518036176</v>
      </c>
      <c r="F2925" s="16">
        <f t="shared" si="639"/>
        <v>2902.8726828545832</v>
      </c>
      <c r="G2925" s="16">
        <f t="shared" si="639"/>
        <v>19246.828169486329</v>
      </c>
      <c r="H2925" s="16">
        <f t="shared" si="639"/>
        <v>7003.0447962452199</v>
      </c>
      <c r="I2925" s="16">
        <f t="shared" si="639"/>
        <v>2042.4487223091237</v>
      </c>
      <c r="J2925" s="16">
        <f t="shared" si="639"/>
        <v>7003.0447962452199</v>
      </c>
      <c r="K2925" s="16">
        <f t="shared" si="639"/>
        <v>19246.828169486329</v>
      </c>
      <c r="L2925" s="16">
        <f t="shared" si="639"/>
        <v>7003.0447962452199</v>
      </c>
      <c r="M2925" s="16">
        <f t="shared" si="639"/>
        <v>2042.4487223091237</v>
      </c>
    </row>
    <row r="2926" spans="2:13" ht="15" customHeight="1" x14ac:dyDescent="0.2">
      <c r="B2926" s="10" t="s">
        <v>909</v>
      </c>
      <c r="C2926" s="10" t="s">
        <v>110</v>
      </c>
      <c r="D2926" s="16">
        <f>D2925/(Inputs!$D$7+$D$2932)^D2906</f>
        <v>-12002.123363063913</v>
      </c>
      <c r="E2926" s="16">
        <f>E2925/(Inputs!$D$7+$D$2932)^E2906</f>
        <v>-8200.6512087905958</v>
      </c>
      <c r="F2926" s="16">
        <f>F2925/(Inputs!$D$7+$D$2932)^F2906</f>
        <v>2240.8232856852019</v>
      </c>
      <c r="G2926" s="16">
        <f>G2925/(Inputs!$D$7+$D$2932)^G2906</f>
        <v>13507.483197640455</v>
      </c>
      <c r="H2926" s="16">
        <f>H2925/(Inputs!$D$7+$D$2932)^H2906</f>
        <v>4468.2536407802409</v>
      </c>
      <c r="I2926" s="16">
        <f>I2925/(Inputs!$D$7+$D$2932)^I2906</f>
        <v>1184.4708988452301</v>
      </c>
      <c r="J2926" s="16">
        <f>J2925/(Inputs!$D$7+$D$2932)^J2906</f>
        <v>3692.2898301435271</v>
      </c>
      <c r="K2926" s="16">
        <f>K2925/(Inputs!$D$7+$D$2932)^K2906</f>
        <v>9225.7927721060387</v>
      </c>
      <c r="L2926" s="16">
        <f>L2925/(Inputs!$D$7+$D$2932)^L2906</f>
        <v>3051.8773586368688</v>
      </c>
      <c r="M2926" s="16">
        <f>M2925/(Inputs!$D$7+$D$2932)^M2906</f>
        <v>809.00956139965149</v>
      </c>
    </row>
    <row r="2927" spans="2:13" ht="15" customHeight="1" x14ac:dyDescent="0.2">
      <c r="B2927" s="3" t="s">
        <v>910</v>
      </c>
      <c r="C2927" s="10" t="s">
        <v>896</v>
      </c>
      <c r="D2927" s="28">
        <f>(D2913*$D$2931-D2917)/(Inputs!$D$7+$D$2932)^D2906</f>
        <v>64.330856237917445</v>
      </c>
      <c r="E2927" s="28">
        <f>(E2913*$D$2931-E2917)/(Inputs!$D$7+$D$2932)^E2906</f>
        <v>236.42380139523098</v>
      </c>
      <c r="F2927" s="28">
        <f>(F2913*$D$2931-F2917)/(Inputs!$D$7+$D$2932)^F2906</f>
        <v>356.83568908039001</v>
      </c>
      <c r="G2927" s="28">
        <f>(G2913*$D$2931-G2917)/(Inputs!$D$7+$D$2932)^G2906</f>
        <v>383.60556091707036</v>
      </c>
      <c r="H2927" s="28">
        <f>(H2913*$D$2931-H2917)/(Inputs!$D$7+$D$2932)^H2906</f>
        <v>348.75507884227414</v>
      </c>
      <c r="I2927" s="28">
        <f>(I2913*$D$2931-I2917)/(Inputs!$D$7+$D$2932)^I2906</f>
        <v>316.98802826091918</v>
      </c>
      <c r="J2927" s="28">
        <f>(J2913*$D$2931-J2917)/(Inputs!$D$7+$D$2932)^J2906</f>
        <v>288.18973459066564</v>
      </c>
      <c r="K2927" s="28">
        <f>(K2913*$D$2931-K2917)/(Inputs!$D$7+$D$2932)^K2906</f>
        <v>262.00775965922423</v>
      </c>
      <c r="L2927" s="28">
        <f>(L2913*$D$2931-L2917)/(Inputs!$D$7+$D$2932)^L2906</f>
        <v>238.2044114761793</v>
      </c>
      <c r="M2927" s="28">
        <f>(M2913*$D$2931-M2917)/(Inputs!$D$7+$D$2932)^M2906</f>
        <v>216.50708849185102</v>
      </c>
    </row>
    <row r="2928" spans="2:13" ht="15" customHeight="1" x14ac:dyDescent="0.2">
      <c r="B2928" s="10" t="s">
        <v>911</v>
      </c>
      <c r="C2928" s="10" t="s">
        <v>110</v>
      </c>
      <c r="D2928" s="16">
        <f>(-D2915-D2916)/(Inputs!$D$7+$D$2932)^D2906</f>
        <v>-14536.447397527105</v>
      </c>
      <c r="E2928" s="16">
        <f>(-E2915-E2916)/(Inputs!$D$7+$D$2932)^E2906</f>
        <v>-17616.488200475756</v>
      </c>
      <c r="F2928" s="16">
        <f>(-F2915-F2916)/(Inputs!$D$7+$D$2932)^F2906</f>
        <v>-12012.025548964448</v>
      </c>
      <c r="G2928" s="16">
        <f>(-G2915-G2916)/(Inputs!$D$7+$D$2932)^G2906</f>
        <v>-1851.359915178487</v>
      </c>
      <c r="H2928" s="16">
        <f>(-H2915-H2916)/(Inputs!$D$7+$D$2932)^H2906</f>
        <v>-9495.2419037884629</v>
      </c>
      <c r="I2928" s="16">
        <f>(-I2915-I2916)/(Inputs!$D$7+$D$2932)^I2906</f>
        <v>-11507.131858586603</v>
      </c>
      <c r="J2928" s="16">
        <f>(-J2915-J2916)/(Inputs!$D$7+$D$2932)^J2906</f>
        <v>-7846.2835672839774</v>
      </c>
      <c r="K2928" s="16">
        <f>(-K2915-K2916)/(Inputs!$D$7+$D$2932)^K2906</f>
        <v>-1264.5037327904422</v>
      </c>
      <c r="L2928" s="16">
        <f>(-L2915-L2916)/(Inputs!$D$7+$D$2932)^L2906</f>
        <v>-6485.3779822337692</v>
      </c>
      <c r="M2928" s="16">
        <f>(-M2915-M2916)/(Inputs!$D$7+$D$2932)^M2906</f>
        <v>-7859.5258920747219</v>
      </c>
    </row>
    <row r="2929" spans="2:13" ht="15" customHeight="1" x14ac:dyDescent="0.2">
      <c r="B2929" s="10" t="s">
        <v>912</v>
      </c>
      <c r="C2929" s="10" t="s">
        <v>110</v>
      </c>
      <c r="D2929" s="16">
        <f>Prices!K16</f>
        <v>57744.662559105891</v>
      </c>
    </row>
    <row r="2930" spans="2:13" ht="15" customHeight="1" x14ac:dyDescent="0.2">
      <c r="B2930" s="3" t="s">
        <v>913</v>
      </c>
      <c r="C2930" s="10" t="s">
        <v>914</v>
      </c>
      <c r="D2930" s="28">
        <f>IF(J2937&gt;=J2933,J2937,(D2929-J2936)/J2935)</f>
        <v>46.863129647807504</v>
      </c>
      <c r="G2930" s="99" t="s">
        <v>915</v>
      </c>
      <c r="H2930" s="91"/>
      <c r="I2930" s="91"/>
      <c r="J2930" s="28">
        <f>D2930*Inputs!$D$15</f>
        <v>32.705778181204856</v>
      </c>
      <c r="K2930" s="99" t="s">
        <v>916</v>
      </c>
      <c r="L2930" s="91"/>
      <c r="M2930" s="91"/>
    </row>
    <row r="2931" spans="2:13" ht="15" customHeight="1" x14ac:dyDescent="0.2">
      <c r="B2931" s="10" t="s">
        <v>917</v>
      </c>
      <c r="C2931" s="10" t="s">
        <v>104</v>
      </c>
      <c r="D2931" s="30">
        <f>Inputs!$D$81</f>
        <v>0.6</v>
      </c>
      <c r="G2931" s="99" t="s">
        <v>918</v>
      </c>
      <c r="H2931" s="91"/>
      <c r="I2931" s="91"/>
      <c r="J2931" s="28">
        <f>IF(-D2942/D2941&gt;=J2933,-D2942/D2941,-J2936/J2935)</f>
        <v>32.284876648616972</v>
      </c>
      <c r="K2931" s="99" t="s">
        <v>919</v>
      </c>
      <c r="L2931" s="91"/>
      <c r="M2931" s="91"/>
    </row>
    <row r="2932" spans="2:13" ht="15" customHeight="1" x14ac:dyDescent="0.2">
      <c r="B2932" s="10" t="s">
        <v>920</v>
      </c>
      <c r="C2932" s="10" t="s">
        <v>104</v>
      </c>
      <c r="D2932" s="30">
        <f>Inputs!$D$82</f>
        <v>0.1</v>
      </c>
      <c r="G2932" s="99" t="s">
        <v>918</v>
      </c>
      <c r="H2932" s="91"/>
      <c r="I2932" s="91"/>
      <c r="J2932" s="28">
        <f>J2931*Inputs!$D$15</f>
        <v>22.531615413069783</v>
      </c>
      <c r="K2932" s="99" t="s">
        <v>916</v>
      </c>
      <c r="L2932" s="91"/>
      <c r="M2932" s="91"/>
    </row>
    <row r="2933" spans="2:13" ht="15" customHeight="1" x14ac:dyDescent="0.2">
      <c r="B2933" s="3" t="s">
        <v>921</v>
      </c>
      <c r="C2933" s="10" t="s">
        <v>848</v>
      </c>
      <c r="D2933" s="28">
        <f>Capital!$D$13</f>
        <v>57.347931490590682</v>
      </c>
      <c r="G2933" s="99" t="s">
        <v>922</v>
      </c>
      <c r="H2933" s="91"/>
      <c r="I2933" s="91"/>
      <c r="J2933" s="28">
        <f>($D$2933/Inputs!$D$21+$D$2934/Inputs!$D$22)/$D$2931</f>
        <v>24.113076913095469</v>
      </c>
      <c r="K2933" s="99" t="s">
        <v>919</v>
      </c>
      <c r="L2933" s="91"/>
      <c r="M2933" s="91"/>
    </row>
    <row r="2934" spans="2:13" ht="15" customHeight="1" x14ac:dyDescent="0.2">
      <c r="B2934" s="3" t="s">
        <v>923</v>
      </c>
      <c r="C2934" s="10" t="s">
        <v>848</v>
      </c>
      <c r="D2934" s="28">
        <f>Capital!$D$14</f>
        <v>2.6172655041921802</v>
      </c>
    </row>
    <row r="2935" spans="2:13" ht="15" customHeight="1" x14ac:dyDescent="0.2">
      <c r="B2935" s="10" t="s">
        <v>924</v>
      </c>
      <c r="C2935" s="10" t="s">
        <v>896</v>
      </c>
      <c r="D2935" s="28">
        <f>(M2908*(Inputs!$D$7+Inputs!$D$20)*$D$2931*(Inputs!$D$7-Inputs!$D$19)-M2908*Inputs!$D$20*Inputs!$D$23)/($D$2932-Inputs!$D$20)/(Inputs!$D$7+$D$2932)^M2906</f>
        <v>2068.2441036763203</v>
      </c>
      <c r="G2935" s="92" t="s">
        <v>910</v>
      </c>
      <c r="H2935" s="91"/>
      <c r="I2935" s="91"/>
      <c r="J2935" s="28">
        <f>SUM(D2927:M2927)+(M2908*(Inputs!$D$7+Inputs!$D$20)*$D$2931-M2908*Inputs!$D$20*Inputs!$D$23)/($D$2932-Inputs!$D$20)/(Inputs!$D$7+$D$2932)^M2906</f>
        <v>5667.7711754446318</v>
      </c>
      <c r="K2935" s="99" t="s">
        <v>896</v>
      </c>
      <c r="L2935" s="91"/>
      <c r="M2935" s="91"/>
    </row>
    <row r="2936" spans="2:13" ht="15" customHeight="1" x14ac:dyDescent="0.2">
      <c r="B2936" s="10" t="s">
        <v>925</v>
      </c>
      <c r="C2936" s="10" t="s">
        <v>110</v>
      </c>
      <c r="D2936" s="16">
        <f>(D2939*Inputs!$D$19-D2939-D2940)/($D$2932-Inputs!$D$20)/(Inputs!$D$7+$D$2932)^M2906</f>
        <v>-57156.954988173631</v>
      </c>
      <c r="G2936" s="92" t="s">
        <v>926</v>
      </c>
      <c r="H2936" s="91"/>
      <c r="I2936" s="91"/>
      <c r="J2936" s="16">
        <f>SUM(D2928:M2928)-(D2939+D2940)/($D$2932-Inputs!$D$20)/(Inputs!$D$7+$D$2932)^M2906</f>
        <v>-169036.01450291832</v>
      </c>
      <c r="K2936" s="99" t="s">
        <v>110</v>
      </c>
      <c r="L2936" s="91"/>
      <c r="M2936" s="91"/>
    </row>
    <row r="2937" spans="2:13" ht="15" customHeight="1" x14ac:dyDescent="0.2">
      <c r="B2937" s="10" t="s">
        <v>927</v>
      </c>
      <c r="C2937" s="10" t="s">
        <v>928</v>
      </c>
      <c r="D2937" s="16">
        <f>(M2908*(Inputs!$D$7+Inputs!$D$20)*$D$2930*$D$2931-D2939)-MAX((M2908*(Inputs!$D$7+Inputs!$D$20)*$D$2930*$D$2931-D2939),Inputs!$D$6)*Inputs!$D$19-D2940-M2908*Inputs!$D$20*$D$2930*Inputs!$D$23</f>
        <v>7529.850750790004</v>
      </c>
      <c r="G2937" s="99" t="s">
        <v>929</v>
      </c>
      <c r="H2937" s="91"/>
      <c r="I2937" s="91"/>
      <c r="J2937" s="28">
        <f>(D2929-D2942)/D2941</f>
        <v>46.863129647807504</v>
      </c>
      <c r="K2937" s="99" t="s">
        <v>919</v>
      </c>
      <c r="L2937" s="91"/>
      <c r="M2937" s="91"/>
    </row>
    <row r="2938" spans="2:13" ht="15" customHeight="1" x14ac:dyDescent="0.2">
      <c r="B2938" s="10" t="s">
        <v>930</v>
      </c>
      <c r="C2938" s="10" t="s">
        <v>110</v>
      </c>
      <c r="D2938" s="16">
        <f>D2937/($D$2932-Inputs!$D$20)</f>
        <v>100398.01001053337</v>
      </c>
      <c r="G2938" s="99" t="s">
        <v>931</v>
      </c>
      <c r="H2938" s="91"/>
      <c r="I2938" s="91"/>
      <c r="J2938" s="16">
        <f>MIN(D2922:M2922,(M2908*(Inputs!$D$7+Inputs!$D$20)*$D$2930*$D$2931-D2939))</f>
        <v>1714.2701954509932</v>
      </c>
      <c r="K2938" s="99" t="s">
        <v>110</v>
      </c>
      <c r="L2938" s="91"/>
      <c r="M2938" s="91"/>
    </row>
    <row r="2939" spans="2:13" ht="15" customHeight="1" x14ac:dyDescent="0.2">
      <c r="B2939" s="10" t="s">
        <v>932</v>
      </c>
      <c r="C2939" s="10" t="s">
        <v>928</v>
      </c>
      <c r="D2939" s="16">
        <f>M2908*(Inputs!$D$7+Inputs!$D$20)*($D$2933/Inputs!$D$21+$D$2934/Inputs!$D$22)</f>
        <v>13509.71303671543</v>
      </c>
      <c r="G2939" s="99" t="s">
        <v>933</v>
      </c>
      <c r="H2939" s="91"/>
      <c r="I2939" s="91"/>
      <c r="J2939" s="31" t="str">
        <f>IF(J2938&lt;Inputs!$D$6,"breached","satisfied")</f>
        <v>satisfied</v>
      </c>
      <c r="K2939" s="99" t="s">
        <v>934</v>
      </c>
      <c r="L2939" s="91"/>
      <c r="M2939" s="91"/>
    </row>
    <row r="2940" spans="2:13" ht="15" customHeight="1" x14ac:dyDescent="0.2">
      <c r="B2940" s="10" t="s">
        <v>935</v>
      </c>
      <c r="C2940" s="10" t="s">
        <v>928</v>
      </c>
      <c r="D2940" s="16">
        <f>M2908*Inputs!$D$20*($D$2933+$D$2934)</f>
        <v>1365.7073615561799</v>
      </c>
    </row>
    <row r="2941" spans="2:13" ht="15" customHeight="1" x14ac:dyDescent="0.2">
      <c r="B2941" s="10" t="s">
        <v>936</v>
      </c>
      <c r="C2941" s="10" t="s">
        <v>896</v>
      </c>
      <c r="D2941" s="28">
        <f>SUM(D2918:M2918)+D2935</f>
        <v>3961.0138857044249</v>
      </c>
      <c r="G2941" s="99" t="s">
        <v>937</v>
      </c>
      <c r="H2941" s="91"/>
      <c r="I2941" s="91"/>
      <c r="J2941" s="16">
        <f>D2943-D2929</f>
        <v>0</v>
      </c>
      <c r="K2941" s="99" t="s">
        <v>110</v>
      </c>
      <c r="L2941" s="91"/>
      <c r="M2941" s="91"/>
    </row>
    <row r="2942" spans="2:13" ht="15" customHeight="1" x14ac:dyDescent="0.2">
      <c r="B2942" s="10" t="s">
        <v>938</v>
      </c>
      <c r="C2942" s="10" t="s">
        <v>110</v>
      </c>
      <c r="D2942" s="16">
        <f>SUM(D2919:M2919)+D2936</f>
        <v>-127880.84470342637</v>
      </c>
    </row>
    <row r="2943" spans="2:13" ht="15" customHeight="1" x14ac:dyDescent="0.2">
      <c r="B2943" s="10" t="s">
        <v>939</v>
      </c>
      <c r="C2943" s="10" t="s">
        <v>110</v>
      </c>
      <c r="D2943" s="16">
        <f>SUM(D2926:M2926)+D2938/(Inputs!$D$7+$D$2932)^M2906</f>
        <v>57744.662559105884</v>
      </c>
    </row>
    <row r="2944" spans="2:13" ht="15" customHeight="1" x14ac:dyDescent="0.2">
      <c r="B2944" s="10" t="s">
        <v>940</v>
      </c>
      <c r="C2944" s="10" t="s">
        <v>104</v>
      </c>
      <c r="D2944" s="30">
        <f>IF(ABS(D2929)&gt;Inputs!$D$6,D2943/D2929-Inputs!$D$7,Inputs!$D$6)</f>
        <v>-1.1102230246251565E-16</v>
      </c>
    </row>
    <row r="2945" spans="1:13" ht="15" customHeight="1" x14ac:dyDescent="0.2">
      <c r="B2945" s="10" t="s">
        <v>941</v>
      </c>
      <c r="C2945" s="10" t="s">
        <v>104</v>
      </c>
      <c r="D2945" s="30">
        <f>IF(ABS(D2943)&gt;Inputs!$D$119,D2938/(Inputs!$D$7+$D$2932)^M2906/D2943,Inputs!$D$6)</f>
        <v>0.68867727030213921</v>
      </c>
    </row>
    <row r="2946" spans="1:13" ht="15" customHeight="1" x14ac:dyDescent="0.2">
      <c r="B2946" s="10" t="s">
        <v>942</v>
      </c>
      <c r="C2946" s="10" t="s">
        <v>943</v>
      </c>
      <c r="D2946" s="26">
        <f>$D$2930*Inputs!$D$8/Prices!$P$6/(Inputs!$D$26/Inputs!$D$25)/Inputs!$D$11/Inputs!$D$56</f>
        <v>8.5222024742567744</v>
      </c>
    </row>
    <row r="2950" spans="1:13" ht="15" customHeight="1" x14ac:dyDescent="0.2">
      <c r="A2950" s="104" t="s">
        <v>1007</v>
      </c>
      <c r="B2950" s="10" t="s">
        <v>886</v>
      </c>
      <c r="C2950" s="10" t="s">
        <v>107</v>
      </c>
      <c r="D2950" s="28">
        <f>Inputs!$D$60</f>
        <v>1</v>
      </c>
      <c r="E2950" s="28">
        <f>Inputs!$D$62</f>
        <v>2</v>
      </c>
      <c r="F2950" s="28">
        <f>Inputs!$D$64</f>
        <v>3</v>
      </c>
      <c r="G2950" s="28">
        <f>Inputs!$D$66</f>
        <v>4</v>
      </c>
      <c r="H2950" s="28">
        <f>Inputs!$D$68</f>
        <v>5</v>
      </c>
      <c r="I2950" s="28">
        <f>Inputs!$D$70</f>
        <v>6</v>
      </c>
      <c r="J2950" s="28">
        <f>Inputs!$D$72</f>
        <v>7</v>
      </c>
      <c r="K2950" s="28">
        <f>Inputs!$D$74</f>
        <v>8</v>
      </c>
      <c r="L2950" s="28">
        <f>Inputs!$D$76</f>
        <v>9</v>
      </c>
      <c r="M2950" s="28">
        <f>Inputs!$D$78</f>
        <v>10</v>
      </c>
    </row>
    <row r="2951" spans="1:13" ht="15" customHeight="1" x14ac:dyDescent="0.2">
      <c r="A2951" s="91"/>
      <c r="B2951" s="10" t="s">
        <v>887</v>
      </c>
      <c r="C2951" s="10" t="s">
        <v>161</v>
      </c>
      <c r="D2951" s="29">
        <f>Inputs!$D$61</f>
        <v>46568</v>
      </c>
      <c r="E2951" s="29">
        <f>Inputs!$D$63</f>
        <v>46934</v>
      </c>
      <c r="F2951" s="29">
        <f>Inputs!$D$65</f>
        <v>47299</v>
      </c>
      <c r="G2951" s="29">
        <f>Inputs!$D$67</f>
        <v>47664</v>
      </c>
      <c r="H2951" s="29">
        <f>Inputs!$D$69</f>
        <v>48029</v>
      </c>
      <c r="I2951" s="29">
        <f>Inputs!$D$71</f>
        <v>48395</v>
      </c>
      <c r="J2951" s="29">
        <f>Inputs!$D$73</f>
        <v>48760</v>
      </c>
      <c r="K2951" s="29">
        <f>Inputs!$D$75</f>
        <v>49125</v>
      </c>
      <c r="L2951" s="29">
        <f>Inputs!$D$77</f>
        <v>49490</v>
      </c>
      <c r="M2951" s="29">
        <f>Inputs!$D$79</f>
        <v>49856</v>
      </c>
    </row>
    <row r="2952" spans="1:13" ht="15" customHeight="1" x14ac:dyDescent="0.2">
      <c r="A2952" s="91"/>
      <c r="B2952" s="10" t="s">
        <v>888</v>
      </c>
      <c r="C2952" s="10" t="s">
        <v>107</v>
      </c>
      <c r="D2952" s="28">
        <f>(D2951-Inputs!$D$13)/Inputs!$D$10</f>
        <v>0.71457905544147848</v>
      </c>
      <c r="E2952" s="28">
        <f>(E2951-Inputs!$D$13)/Inputs!$D$10</f>
        <v>1.7166324435318274</v>
      </c>
      <c r="F2952" s="28">
        <f>(F2951-Inputs!$D$13)/Inputs!$D$10</f>
        <v>2.7159479808350446</v>
      </c>
      <c r="G2952" s="28">
        <f>(G2951-Inputs!$D$13)/Inputs!$D$10</f>
        <v>3.7152635181382614</v>
      </c>
      <c r="H2952" s="28">
        <f>(H2951-Inputs!$D$13)/Inputs!$D$10</f>
        <v>4.7145790554414786</v>
      </c>
      <c r="I2952" s="28">
        <f>(I2951-Inputs!$D$13)/Inputs!$D$10</f>
        <v>5.7166324435318279</v>
      </c>
      <c r="J2952" s="28">
        <f>(J2951-Inputs!$D$13)/Inputs!$D$10</f>
        <v>6.7159479808350442</v>
      </c>
      <c r="K2952" s="28">
        <f>(K2951-Inputs!$D$13)/Inputs!$D$10</f>
        <v>7.7152635181382614</v>
      </c>
      <c r="L2952" s="28">
        <f>(L2951-Inputs!$D$13)/Inputs!$D$10</f>
        <v>8.7145790554414777</v>
      </c>
      <c r="M2952" s="28">
        <f>(M2951-Inputs!$D$13)/Inputs!$D$10</f>
        <v>9.716632443531827</v>
      </c>
    </row>
    <row r="2953" spans="1:13" ht="15" customHeight="1" x14ac:dyDescent="0.2">
      <c r="A2953" s="91"/>
      <c r="B2953" s="10" t="s">
        <v>889</v>
      </c>
      <c r="C2953" s="10" t="s">
        <v>107</v>
      </c>
      <c r="D2953" s="28">
        <f>D2952</f>
        <v>0.71457905544147848</v>
      </c>
      <c r="E2953" s="28">
        <f>Inputs!$D$7</f>
        <v>1</v>
      </c>
      <c r="F2953" s="28">
        <f>Inputs!$D$7</f>
        <v>1</v>
      </c>
      <c r="G2953" s="28">
        <f>Inputs!$D$7</f>
        <v>1</v>
      </c>
      <c r="H2953" s="28">
        <f>Inputs!$D$7</f>
        <v>1</v>
      </c>
      <c r="I2953" s="28">
        <f>Inputs!$D$7</f>
        <v>1</v>
      </c>
      <c r="J2953" s="28">
        <f>Inputs!$D$7</f>
        <v>1</v>
      </c>
      <c r="K2953" s="28">
        <f>Inputs!$D$7</f>
        <v>1</v>
      </c>
      <c r="L2953" s="28">
        <f>Inputs!$D$7</f>
        <v>1</v>
      </c>
      <c r="M2953" s="28">
        <f>Inputs!$D$7</f>
        <v>1</v>
      </c>
    </row>
    <row r="2954" spans="1:13" ht="15" customHeight="1" x14ac:dyDescent="0.2">
      <c r="A2954" s="91"/>
      <c r="B2954" s="3" t="s">
        <v>890</v>
      </c>
      <c r="C2954" s="10" t="s">
        <v>199</v>
      </c>
      <c r="D2954" s="28">
        <f>Inputs!$D$24+(Inputs!$D$93-Inputs!$D$24)*Inputs!$D$96</f>
        <v>279.10000000000002</v>
      </c>
      <c r="E2954" s="28">
        <f>Inputs!$D$24+(Inputs!$D$93-Inputs!$D$24)*Inputs!$D$97</f>
        <v>900.7</v>
      </c>
      <c r="F2954" s="28">
        <f>Inputs!$D$24+(Inputs!$D$93-Inputs!$D$24)*Inputs!$D$98</f>
        <v>1366.8999999999999</v>
      </c>
      <c r="G2954" s="28">
        <f>Inputs!$D$24+(Inputs!$D$93-Inputs!$D$24)*Inputs!$D$99</f>
        <v>1600</v>
      </c>
      <c r="H2954" s="28">
        <f>Inputs!$D$24+(Inputs!$D$93-Inputs!$D$24)*Inputs!$D$100</f>
        <v>1600</v>
      </c>
      <c r="I2954" s="28">
        <f>Inputs!$D$24+(Inputs!$D$93-Inputs!$D$24)*Inputs!$D$101</f>
        <v>1600</v>
      </c>
      <c r="J2954" s="28">
        <f>Inputs!$D$24+(Inputs!$D$93-Inputs!$D$24)*Inputs!$D$102</f>
        <v>1600</v>
      </c>
      <c r="K2954" s="28">
        <f>Inputs!$D$24+(Inputs!$D$93-Inputs!$D$24)*Inputs!$D$103</f>
        <v>1600</v>
      </c>
      <c r="L2954" s="28">
        <f>Inputs!$D$24+(Inputs!$D$93-Inputs!$D$24)*Inputs!$D$104</f>
        <v>1600</v>
      </c>
      <c r="M2954" s="28">
        <f>Inputs!$D$24+(Inputs!$D$93-Inputs!$D$24)*Inputs!$D$105</f>
        <v>1600</v>
      </c>
    </row>
    <row r="2955" spans="1:13" ht="15" customHeight="1" x14ac:dyDescent="0.2">
      <c r="A2955" s="91"/>
      <c r="B2955" s="10" t="s">
        <v>891</v>
      </c>
      <c r="C2955" s="10" t="s">
        <v>199</v>
      </c>
      <c r="D2955" s="28">
        <f>Inputs!$D$24</f>
        <v>46</v>
      </c>
      <c r="E2955" s="28">
        <f t="shared" ref="E2955:M2955" si="640">D2954</f>
        <v>279.10000000000002</v>
      </c>
      <c r="F2955" s="28">
        <f t="shared" si="640"/>
        <v>900.7</v>
      </c>
      <c r="G2955" s="28">
        <f t="shared" si="640"/>
        <v>1366.8999999999999</v>
      </c>
      <c r="H2955" s="28">
        <f t="shared" si="640"/>
        <v>1600</v>
      </c>
      <c r="I2955" s="28">
        <f t="shared" si="640"/>
        <v>1600</v>
      </c>
      <c r="J2955" s="28">
        <f t="shared" si="640"/>
        <v>1600</v>
      </c>
      <c r="K2955" s="28">
        <f t="shared" si="640"/>
        <v>1600</v>
      </c>
      <c r="L2955" s="28">
        <f t="shared" si="640"/>
        <v>1600</v>
      </c>
      <c r="M2955" s="28">
        <f t="shared" si="640"/>
        <v>1600</v>
      </c>
    </row>
    <row r="2956" spans="1:13" ht="15" customHeight="1" x14ac:dyDescent="0.2">
      <c r="B2956" s="10" t="s">
        <v>892</v>
      </c>
      <c r="C2956" s="10" t="s">
        <v>199</v>
      </c>
      <c r="D2956" s="28">
        <f>(D2955+D2954)*Inputs!$D$12</f>
        <v>162.55000000000001</v>
      </c>
      <c r="E2956" s="28">
        <f>(E2955+E2954)*Inputs!$D$12</f>
        <v>589.90000000000009</v>
      </c>
      <c r="F2956" s="28">
        <f>(F2955+F2954)*Inputs!$D$12</f>
        <v>1133.8</v>
      </c>
      <c r="G2956" s="28">
        <f>(G2955+G2954)*Inputs!$D$12</f>
        <v>1483.4499999999998</v>
      </c>
      <c r="H2956" s="28">
        <f>(H2955+H2954)*Inputs!$D$12</f>
        <v>1600</v>
      </c>
      <c r="I2956" s="28">
        <f>(I2955+I2954)*Inputs!$D$12</f>
        <v>1600</v>
      </c>
      <c r="J2956" s="28">
        <f>(J2955+J2954)*Inputs!$D$12</f>
        <v>1600</v>
      </c>
      <c r="K2956" s="28">
        <f>(K2955+K2954)*Inputs!$D$12</f>
        <v>1600</v>
      </c>
      <c r="L2956" s="28">
        <f>(L2955+L2954)*Inputs!$D$12</f>
        <v>1600</v>
      </c>
      <c r="M2956" s="28">
        <f>(M2955+M2954)*Inputs!$D$12</f>
        <v>1600</v>
      </c>
    </row>
    <row r="2957" spans="1:13" ht="15" customHeight="1" x14ac:dyDescent="0.2">
      <c r="B2957" s="10" t="s">
        <v>893</v>
      </c>
      <c r="C2957" s="10" t="s">
        <v>199</v>
      </c>
      <c r="D2957" s="28">
        <f t="shared" ref="D2957:M2957" si="641">D2954-D2955</f>
        <v>233.10000000000002</v>
      </c>
      <c r="E2957" s="28">
        <f t="shared" si="641"/>
        <v>621.6</v>
      </c>
      <c r="F2957" s="28">
        <f t="shared" si="641"/>
        <v>466.19999999999982</v>
      </c>
      <c r="G2957" s="28">
        <f t="shared" si="641"/>
        <v>233.10000000000014</v>
      </c>
      <c r="H2957" s="28">
        <f t="shared" si="641"/>
        <v>0</v>
      </c>
      <c r="I2957" s="28">
        <f t="shared" si="641"/>
        <v>0</v>
      </c>
      <c r="J2957" s="28">
        <f t="shared" si="641"/>
        <v>0</v>
      </c>
      <c r="K2957" s="28">
        <f t="shared" si="641"/>
        <v>0</v>
      </c>
      <c r="L2957" s="28">
        <f t="shared" si="641"/>
        <v>0</v>
      </c>
      <c r="M2957" s="28">
        <f t="shared" si="641"/>
        <v>0</v>
      </c>
    </row>
    <row r="2958" spans="1:13" ht="15" customHeight="1" x14ac:dyDescent="0.2">
      <c r="B2958" s="10" t="s">
        <v>894</v>
      </c>
      <c r="C2958" s="10" t="s">
        <v>199</v>
      </c>
      <c r="D2958" s="28">
        <f>IF(MOD(D2950,Inputs!$D$21)=Inputs!$D$6,Inputs!$D$24,Inputs!$D$6)+SUMPRODUCT(--(D2950&gt;$D$2950:$M$2950),--(MOD(D2950-$D$2950:$M$2950,Inputs!$D$21)=Inputs!$D$6),$D$2957:$M$2957)</f>
        <v>0</v>
      </c>
      <c r="E2958" s="28">
        <f>IF(MOD(E2950,Inputs!$D$21)=Inputs!$D$6,Inputs!$D$24,Inputs!$D$6)+SUMPRODUCT(--(E2950&gt;$D$2950:$M$2950),--(MOD(E2950-$D$2950:$M$2950,Inputs!$D$21)=Inputs!$D$6),$D$2957:$M$2957)</f>
        <v>0</v>
      </c>
      <c r="F2958" s="28">
        <f>IF(MOD(F2950,Inputs!$D$21)=Inputs!$D$6,Inputs!$D$24,Inputs!$D$6)+SUMPRODUCT(--(F2950&gt;$D$2950:$M$2950),--(MOD(F2950-$D$2950:$M$2950,Inputs!$D$21)=Inputs!$D$6),$D$2957:$M$2957)</f>
        <v>0</v>
      </c>
      <c r="G2958" s="28">
        <f>IF(MOD(G2950,Inputs!$D$21)=Inputs!$D$6,Inputs!$D$24,Inputs!$D$6)+SUMPRODUCT(--(G2950&gt;$D$2950:$M$2950),--(MOD(G2950-$D$2950:$M$2950,Inputs!$D$21)=Inputs!$D$6),$D$2957:$M$2957)</f>
        <v>46</v>
      </c>
      <c r="H2958" s="28">
        <f>IF(MOD(H2950,Inputs!$D$21)=Inputs!$D$6,Inputs!$D$24,Inputs!$D$6)+SUMPRODUCT(--(H2950&gt;$D$2950:$M$2950),--(MOD(H2950-$D$2950:$M$2950,Inputs!$D$21)=Inputs!$D$6),$D$2957:$M$2957)</f>
        <v>233.10000000000002</v>
      </c>
      <c r="I2958" s="28">
        <f>IF(MOD(I2950,Inputs!$D$21)=Inputs!$D$6,Inputs!$D$24,Inputs!$D$6)+SUMPRODUCT(--(I2950&gt;$D$2950:$M$2950),--(MOD(I2950-$D$2950:$M$2950,Inputs!$D$21)=Inputs!$D$6),$D$2957:$M$2957)</f>
        <v>621.6</v>
      </c>
      <c r="J2958" s="28">
        <f>IF(MOD(J2950,Inputs!$D$21)=Inputs!$D$6,Inputs!$D$24,Inputs!$D$6)+SUMPRODUCT(--(J2950&gt;$D$2950:$M$2950),--(MOD(J2950-$D$2950:$M$2950,Inputs!$D$21)=Inputs!$D$6),$D$2957:$M$2957)</f>
        <v>466.19999999999982</v>
      </c>
      <c r="K2958" s="28">
        <f>IF(MOD(K2950,Inputs!$D$21)=Inputs!$D$6,Inputs!$D$24,Inputs!$D$6)+SUMPRODUCT(--(K2950&gt;$D$2950:$M$2950),--(MOD(K2950-$D$2950:$M$2950,Inputs!$D$21)=Inputs!$D$6),$D$2957:$M$2957)</f>
        <v>279.10000000000014</v>
      </c>
      <c r="L2958" s="28">
        <f>IF(MOD(L2950,Inputs!$D$21)=Inputs!$D$6,Inputs!$D$24,Inputs!$D$6)+SUMPRODUCT(--(L2950&gt;$D$2950:$M$2950),--(MOD(L2950-$D$2950:$M$2950,Inputs!$D$21)=Inputs!$D$6),$D$2957:$M$2957)</f>
        <v>233.10000000000002</v>
      </c>
      <c r="M2958" s="28">
        <f>IF(MOD(M2950,Inputs!$D$21)=Inputs!$D$6,Inputs!$D$24,Inputs!$D$6)+SUMPRODUCT(--(M2950&gt;$D$2950:$M$2950),--(MOD(M2950-$D$2950:$M$2950,Inputs!$D$21)=Inputs!$D$6),$D$2957:$M$2957)</f>
        <v>621.6</v>
      </c>
    </row>
    <row r="2959" spans="1:13" ht="15" customHeight="1" x14ac:dyDescent="0.2">
      <c r="B2959" s="10" t="s">
        <v>895</v>
      </c>
      <c r="C2959" s="10" t="s">
        <v>896</v>
      </c>
      <c r="D2959" s="28">
        <f t="shared" ref="D2959:M2959" si="642">D2956*D2953</f>
        <v>116.15482546201234</v>
      </c>
      <c r="E2959" s="28">
        <f t="shared" si="642"/>
        <v>589.90000000000009</v>
      </c>
      <c r="F2959" s="28">
        <f t="shared" si="642"/>
        <v>1133.8</v>
      </c>
      <c r="G2959" s="28">
        <f t="shared" si="642"/>
        <v>1483.4499999999998</v>
      </c>
      <c r="H2959" s="28">
        <f t="shared" si="642"/>
        <v>1600</v>
      </c>
      <c r="I2959" s="28">
        <f t="shared" si="642"/>
        <v>1600</v>
      </c>
      <c r="J2959" s="28">
        <f t="shared" si="642"/>
        <v>1600</v>
      </c>
      <c r="K2959" s="28">
        <f t="shared" si="642"/>
        <v>1600</v>
      </c>
      <c r="L2959" s="28">
        <f t="shared" si="642"/>
        <v>1600</v>
      </c>
      <c r="M2959" s="28">
        <f t="shared" si="642"/>
        <v>1600</v>
      </c>
    </row>
    <row r="2960" spans="1:13" ht="15" customHeight="1" x14ac:dyDescent="0.2">
      <c r="B2960" s="10" t="s">
        <v>897</v>
      </c>
      <c r="C2960" s="10" t="s">
        <v>110</v>
      </c>
      <c r="D2960" s="16">
        <f>D2959*($D$2979/Inputs!$D$21+$D$2980/Inputs!$D$22)</f>
        <v>1680.51014411561</v>
      </c>
      <c r="E2960" s="16">
        <f>E2959*($D$2979/Inputs!$D$21+$D$2980/Inputs!$D$22)</f>
        <v>8534.5824426210111</v>
      </c>
      <c r="F2960" s="16">
        <f>F2959*($D$2979/Inputs!$D$21+$D$2980/Inputs!$D$22)</f>
        <v>16403.643962440583</v>
      </c>
      <c r="G2960" s="16">
        <f>G2959*($D$2979/Inputs!$D$21+$D$2980/Inputs!$D$22)</f>
        <v>21462.326368038881</v>
      </c>
      <c r="H2960" s="16">
        <f>H2959*($D$2979/Inputs!$D$21+$D$2980/Inputs!$D$22)</f>
        <v>23148.553836571649</v>
      </c>
      <c r="I2960" s="16">
        <f>I2959*($D$2979/Inputs!$D$21+$D$2980/Inputs!$D$22)</f>
        <v>23148.553836571649</v>
      </c>
      <c r="J2960" s="16">
        <f>J2959*($D$2979/Inputs!$D$21+$D$2980/Inputs!$D$22)</f>
        <v>23148.553836571649</v>
      </c>
      <c r="K2960" s="16">
        <f>K2959*($D$2979/Inputs!$D$21+$D$2980/Inputs!$D$22)</f>
        <v>23148.553836571649</v>
      </c>
      <c r="L2960" s="16">
        <f>L2959*($D$2979/Inputs!$D$21+$D$2980/Inputs!$D$22)</f>
        <v>23148.553836571649</v>
      </c>
      <c r="M2960" s="16">
        <f>M2959*($D$2979/Inputs!$D$21+$D$2980/Inputs!$D$22)</f>
        <v>23148.553836571649</v>
      </c>
    </row>
    <row r="2961" spans="2:13" ht="15" customHeight="1" x14ac:dyDescent="0.2">
      <c r="B2961" s="10" t="s">
        <v>898</v>
      </c>
      <c r="C2961" s="10" t="s">
        <v>110</v>
      </c>
      <c r="D2961" s="16">
        <f t="shared" ref="D2961:M2961" si="643">D2957*($D$2979+$D$2980)</f>
        <v>13977.887419483886</v>
      </c>
      <c r="E2961" s="16">
        <f t="shared" si="643"/>
        <v>37274.36645195703</v>
      </c>
      <c r="F2961" s="16">
        <f t="shared" si="643"/>
        <v>27955.774838967762</v>
      </c>
      <c r="G2961" s="16">
        <f t="shared" si="643"/>
        <v>13977.887419483894</v>
      </c>
      <c r="H2961" s="16">
        <f t="shared" si="643"/>
        <v>0</v>
      </c>
      <c r="I2961" s="16">
        <f t="shared" si="643"/>
        <v>0</v>
      </c>
      <c r="J2961" s="16">
        <f t="shared" si="643"/>
        <v>0</v>
      </c>
      <c r="K2961" s="16">
        <f t="shared" si="643"/>
        <v>0</v>
      </c>
      <c r="L2961" s="16">
        <f t="shared" si="643"/>
        <v>0</v>
      </c>
      <c r="M2961" s="16">
        <f t="shared" si="643"/>
        <v>0</v>
      </c>
    </row>
    <row r="2962" spans="2:13" ht="15" customHeight="1" x14ac:dyDescent="0.2">
      <c r="B2962" s="10" t="s">
        <v>899</v>
      </c>
      <c r="C2962" s="10" t="s">
        <v>110</v>
      </c>
      <c r="D2962" s="16">
        <f t="shared" ref="D2962:M2962" si="644">D2958*$D$2979</f>
        <v>0</v>
      </c>
      <c r="E2962" s="16">
        <f t="shared" si="644"/>
        <v>0</v>
      </c>
      <c r="F2962" s="16">
        <f t="shared" si="644"/>
        <v>0</v>
      </c>
      <c r="G2962" s="16">
        <f t="shared" si="644"/>
        <v>2638.0048485671714</v>
      </c>
      <c r="H2962" s="16">
        <f t="shared" si="644"/>
        <v>13367.802830456689</v>
      </c>
      <c r="I2962" s="16">
        <f t="shared" si="644"/>
        <v>35647.47421455117</v>
      </c>
      <c r="J2962" s="16">
        <f t="shared" si="644"/>
        <v>26735.605660913367</v>
      </c>
      <c r="K2962" s="16">
        <f t="shared" si="644"/>
        <v>16005.807679023867</v>
      </c>
      <c r="L2962" s="16">
        <f t="shared" si="644"/>
        <v>13367.802830456689</v>
      </c>
      <c r="M2962" s="16">
        <f t="shared" si="644"/>
        <v>35647.47421455117</v>
      </c>
    </row>
    <row r="2963" spans="2:13" ht="15" customHeight="1" x14ac:dyDescent="0.2">
      <c r="B2963" s="10" t="s">
        <v>900</v>
      </c>
      <c r="C2963" s="10" t="s">
        <v>199</v>
      </c>
      <c r="D2963" s="28">
        <f>D2957*Inputs!$D$23</f>
        <v>5.8275000000000006</v>
      </c>
      <c r="E2963" s="28">
        <f>E2957*Inputs!$D$23</f>
        <v>15.540000000000001</v>
      </c>
      <c r="F2963" s="28">
        <f>F2957*Inputs!$D$23</f>
        <v>11.654999999999996</v>
      </c>
      <c r="G2963" s="28">
        <f>G2957*Inputs!$D$23</f>
        <v>5.8275000000000041</v>
      </c>
      <c r="H2963" s="28">
        <f>H2957*Inputs!$D$23</f>
        <v>0</v>
      </c>
      <c r="I2963" s="28">
        <f>I2957*Inputs!$D$23</f>
        <v>0</v>
      </c>
      <c r="J2963" s="28">
        <f>J2957*Inputs!$D$23</f>
        <v>0</v>
      </c>
      <c r="K2963" s="28">
        <f>K2957*Inputs!$D$23</f>
        <v>0</v>
      </c>
      <c r="L2963" s="28">
        <f>L2957*Inputs!$D$23</f>
        <v>0</v>
      </c>
      <c r="M2963" s="28">
        <f>M2957*Inputs!$D$23</f>
        <v>0</v>
      </c>
    </row>
    <row r="2964" spans="2:13" ht="15" customHeight="1" x14ac:dyDescent="0.2">
      <c r="B2964" s="3" t="s">
        <v>901</v>
      </c>
      <c r="C2964" s="10" t="s">
        <v>896</v>
      </c>
      <c r="D2964" s="28">
        <f>(D2959*$D$2977*(Inputs!$D$7-Inputs!$D$19)-D2963)/(Inputs!$D$7+$D$2978)^D2952</f>
        <v>50.541318213721269</v>
      </c>
      <c r="E2964" s="28">
        <f>(E2959*$D$2977*(Inputs!$D$7-Inputs!$D$19)-E2963)/(Inputs!$D$7+$D$2978)^E2952</f>
        <v>238.4864713152904</v>
      </c>
      <c r="F2964" s="28">
        <f>(F2959*$D$2977*(Inputs!$D$7-Inputs!$D$19)-F2963)/(Inputs!$D$7+$D$2978)^F2952</f>
        <v>418.74491871678316</v>
      </c>
      <c r="G2964" s="28">
        <f>(G2959*$D$2977*(Inputs!$D$7-Inputs!$D$19)-G2963)/(Inputs!$D$7+$D$2978)^G2952</f>
        <v>490.87392073514752</v>
      </c>
      <c r="H2964" s="28">
        <f>(H2959*$D$2977*(Inputs!$D$7-Inputs!$D$19)-H2963)/(Inputs!$D$7+$D$2978)^H2952</f>
        <v>472.10300862628105</v>
      </c>
      <c r="I2964" s="28">
        <f>(I2959*$D$2977*(Inputs!$D$7-Inputs!$D$19)-I2963)/(Inputs!$D$7+$D$2978)^I2952</f>
        <v>417.68543753228789</v>
      </c>
      <c r="J2964" s="28">
        <f>(J2959*$D$2977*(Inputs!$D$7-Inputs!$D$19)-J2963)/(Inputs!$D$7+$D$2978)^J2952</f>
        <v>369.66405292491049</v>
      </c>
      <c r="K2964" s="28">
        <f>(K2959*$D$2977*(Inputs!$D$7-Inputs!$D$19)-K2963)/(Inputs!$D$7+$D$2978)^K2952</f>
        <v>327.16369723641031</v>
      </c>
      <c r="L2964" s="28">
        <f>(L2959*$D$2977*(Inputs!$D$7-Inputs!$D$19)-L2963)/(Inputs!$D$7+$D$2978)^L2952</f>
        <v>289.54961658427663</v>
      </c>
      <c r="M2964" s="28">
        <f>(M2959*$D$2977*(Inputs!$D$7-Inputs!$D$19)-M2963)/(Inputs!$D$7+$D$2978)^M2952</f>
        <v>256.17430111750662</v>
      </c>
    </row>
    <row r="2965" spans="2:13" ht="15" customHeight="1" x14ac:dyDescent="0.2">
      <c r="B2965" s="10" t="s">
        <v>902</v>
      </c>
      <c r="C2965" s="10" t="s">
        <v>110</v>
      </c>
      <c r="D2965" s="16">
        <f>(D2960*Inputs!$D$19-D2961-D2962)/(Inputs!$D$7+$D$2978)^D2952</f>
        <v>-12346.937146613671</v>
      </c>
      <c r="E2965" s="16">
        <f>(E2960*Inputs!$D$19-E2961-E2962)/(Inputs!$D$7+$D$2978)^E2952</f>
        <v>-28144.165592831177</v>
      </c>
      <c r="F2965" s="16">
        <f>(F2960*Inputs!$D$19-F2961-F2962)/(Inputs!$D$7+$D$2978)^F2952</f>
        <v>-16528.13772562052</v>
      </c>
      <c r="G2965" s="16">
        <f>(G2960*Inputs!$D$19-G2961-G2962)/(Inputs!$D$7+$D$2978)^G2952</f>
        <v>-6462.9033875784253</v>
      </c>
      <c r="H2965" s="16">
        <f>(H2960*Inputs!$D$19-H2961-H2962)/(Inputs!$D$7+$D$2978)^H2952</f>
        <v>-3610.0349541710043</v>
      </c>
      <c r="I2965" s="16">
        <f>(I2960*Inputs!$D$19-I2961-I2962)/(Inputs!$D$7+$D$2978)^I2952</f>
        <v>-14272.365134506323</v>
      </c>
      <c r="J2965" s="16">
        <f>(J2960*Inputs!$D$19-J2961-J2962)/(Inputs!$D$7+$D$2978)^J2952</f>
        <v>-8709.5665200501735</v>
      </c>
      <c r="K2965" s="16">
        <f>(K2960*Inputs!$D$19-K2961-K2962)/(Inputs!$D$7+$D$2978)^K2952</f>
        <v>-3529.1777141306115</v>
      </c>
      <c r="L2965" s="16">
        <f>(L2960*Inputs!$D$19-L2961-L2962)/(Inputs!$D$7+$D$2978)^L2952</f>
        <v>-2214.1020449702382</v>
      </c>
      <c r="M2965" s="16">
        <f>(M2960*Inputs!$D$19-M2961-M2962)/(Inputs!$D$7+$D$2978)^M2952</f>
        <v>-8753.5088252709138</v>
      </c>
    </row>
    <row r="2966" spans="2:13" ht="15" customHeight="1" x14ac:dyDescent="0.2">
      <c r="B2966" s="10" t="s">
        <v>903</v>
      </c>
      <c r="C2966" s="10" t="s">
        <v>110</v>
      </c>
      <c r="D2966" s="16">
        <f t="shared" ref="D2966:M2966" si="645">D2959*$D$2976</f>
        <v>4334.7160366366397</v>
      </c>
      <c r="E2966" s="16">
        <f t="shared" si="645"/>
        <v>22014.143448979827</v>
      </c>
      <c r="F2966" s="16">
        <f t="shared" si="645"/>
        <v>42311.638993818146</v>
      </c>
      <c r="G2966" s="16">
        <f t="shared" si="645"/>
        <v>55360.02898692849</v>
      </c>
      <c r="H2966" s="16">
        <f t="shared" si="645"/>
        <v>59709.492317965283</v>
      </c>
      <c r="I2966" s="16">
        <f t="shared" si="645"/>
        <v>59709.492317965283</v>
      </c>
      <c r="J2966" s="16">
        <f t="shared" si="645"/>
        <v>59709.492317965283</v>
      </c>
      <c r="K2966" s="16">
        <f t="shared" si="645"/>
        <v>59709.492317965283</v>
      </c>
      <c r="L2966" s="16">
        <f t="shared" si="645"/>
        <v>59709.492317965283</v>
      </c>
      <c r="M2966" s="16">
        <f t="shared" si="645"/>
        <v>59709.492317965283</v>
      </c>
    </row>
    <row r="2967" spans="2:13" ht="15" customHeight="1" x14ac:dyDescent="0.2">
      <c r="B2967" s="10" t="s">
        <v>904</v>
      </c>
      <c r="C2967" s="10" t="s">
        <v>110</v>
      </c>
      <c r="D2967" s="16">
        <f t="shared" ref="D2967:M2967" si="646">D2966*$D$2977</f>
        <v>3251.0370274774796</v>
      </c>
      <c r="E2967" s="16">
        <f t="shared" si="646"/>
        <v>16510.60758673487</v>
      </c>
      <c r="F2967" s="16">
        <f t="shared" si="646"/>
        <v>31733.729245363611</v>
      </c>
      <c r="G2967" s="16">
        <f t="shared" si="646"/>
        <v>41520.021740196367</v>
      </c>
      <c r="H2967" s="16">
        <f t="shared" si="646"/>
        <v>44782.119238473962</v>
      </c>
      <c r="I2967" s="16">
        <f t="shared" si="646"/>
        <v>44782.119238473962</v>
      </c>
      <c r="J2967" s="16">
        <f t="shared" si="646"/>
        <v>44782.119238473962</v>
      </c>
      <c r="K2967" s="16">
        <f t="shared" si="646"/>
        <v>44782.119238473962</v>
      </c>
      <c r="L2967" s="16">
        <f t="shared" si="646"/>
        <v>44782.119238473962</v>
      </c>
      <c r="M2967" s="16">
        <f t="shared" si="646"/>
        <v>44782.119238473962</v>
      </c>
    </row>
    <row r="2968" spans="2:13" ht="15" customHeight="1" x14ac:dyDescent="0.2">
      <c r="B2968" s="10" t="s">
        <v>905</v>
      </c>
      <c r="C2968" s="10" t="s">
        <v>110</v>
      </c>
      <c r="D2968" s="16">
        <f t="shared" ref="D2968:M2968" si="647">D2967-D2960</f>
        <v>1570.5268833618695</v>
      </c>
      <c r="E2968" s="16">
        <f t="shared" si="647"/>
        <v>7976.0251441138589</v>
      </c>
      <c r="F2968" s="16">
        <f t="shared" si="647"/>
        <v>15330.085282923028</v>
      </c>
      <c r="G2968" s="16">
        <f t="shared" si="647"/>
        <v>20057.695372157486</v>
      </c>
      <c r="H2968" s="16">
        <f t="shared" si="647"/>
        <v>21633.565401902313</v>
      </c>
      <c r="I2968" s="16">
        <f t="shared" si="647"/>
        <v>21633.565401902313</v>
      </c>
      <c r="J2968" s="16">
        <f t="shared" si="647"/>
        <v>21633.565401902313</v>
      </c>
      <c r="K2968" s="16">
        <f t="shared" si="647"/>
        <v>21633.565401902313</v>
      </c>
      <c r="L2968" s="16">
        <f t="shared" si="647"/>
        <v>21633.565401902313</v>
      </c>
      <c r="M2968" s="16">
        <f t="shared" si="647"/>
        <v>21633.565401902313</v>
      </c>
    </row>
    <row r="2969" spans="2:13" ht="15" customHeight="1" x14ac:dyDescent="0.2">
      <c r="B2969" s="10" t="s">
        <v>906</v>
      </c>
      <c r="C2969" s="10" t="s">
        <v>110</v>
      </c>
      <c r="D2969" s="16">
        <f>MAX(D2968,Inputs!$D$6)*Inputs!$D$19</f>
        <v>471.15806500856081</v>
      </c>
      <c r="E2969" s="16">
        <f>MAX(E2968,Inputs!$D$6)*Inputs!$D$19</f>
        <v>2392.8075432341575</v>
      </c>
      <c r="F2969" s="16">
        <f>MAX(F2968,Inputs!$D$6)*Inputs!$D$19</f>
        <v>4599.0255848769084</v>
      </c>
      <c r="G2969" s="16">
        <f>MAX(G2968,Inputs!$D$6)*Inputs!$D$19</f>
        <v>6017.3086116472459</v>
      </c>
      <c r="H2969" s="16">
        <f>MAX(H2968,Inputs!$D$6)*Inputs!$D$19</f>
        <v>6490.0696205706936</v>
      </c>
      <c r="I2969" s="16">
        <f>MAX(I2968,Inputs!$D$6)*Inputs!$D$19</f>
        <v>6490.0696205706936</v>
      </c>
      <c r="J2969" s="16">
        <f>MAX(J2968,Inputs!$D$6)*Inputs!$D$19</f>
        <v>6490.0696205706936</v>
      </c>
      <c r="K2969" s="16">
        <f>MAX(K2968,Inputs!$D$6)*Inputs!$D$19</f>
        <v>6490.0696205706936</v>
      </c>
      <c r="L2969" s="16">
        <f>MAX(L2968,Inputs!$D$6)*Inputs!$D$19</f>
        <v>6490.0696205706936</v>
      </c>
      <c r="M2969" s="16">
        <f>MAX(M2968,Inputs!$D$6)*Inputs!$D$19</f>
        <v>6490.0696205706936</v>
      </c>
    </row>
    <row r="2970" spans="2:13" ht="15" customHeight="1" x14ac:dyDescent="0.2">
      <c r="B2970" s="10" t="s">
        <v>907</v>
      </c>
      <c r="C2970" s="10" t="s">
        <v>110</v>
      </c>
      <c r="D2970" s="16">
        <f t="shared" ref="D2970:M2970" si="648">D2963*$D$2976</f>
        <v>217.4731665518392</v>
      </c>
      <c r="E2970" s="16">
        <f t="shared" si="648"/>
        <v>579.92844413823786</v>
      </c>
      <c r="F2970" s="16">
        <f t="shared" si="648"/>
        <v>434.94633310367817</v>
      </c>
      <c r="G2970" s="16">
        <f t="shared" si="648"/>
        <v>217.47316655183934</v>
      </c>
      <c r="H2970" s="16">
        <f t="shared" si="648"/>
        <v>0</v>
      </c>
      <c r="I2970" s="16">
        <f t="shared" si="648"/>
        <v>0</v>
      </c>
      <c r="J2970" s="16">
        <f t="shared" si="648"/>
        <v>0</v>
      </c>
      <c r="K2970" s="16">
        <f t="shared" si="648"/>
        <v>0</v>
      </c>
      <c r="L2970" s="16">
        <f t="shared" si="648"/>
        <v>0</v>
      </c>
      <c r="M2970" s="16">
        <f t="shared" si="648"/>
        <v>0</v>
      </c>
    </row>
    <row r="2971" spans="2:13" ht="15" customHeight="1" x14ac:dyDescent="0.2">
      <c r="B2971" s="10" t="s">
        <v>908</v>
      </c>
      <c r="C2971" s="10" t="s">
        <v>110</v>
      </c>
      <c r="D2971" s="16">
        <f t="shared" ref="D2971:M2971" si="649">D2967-D2969-D2961-D2962-D2970</f>
        <v>-11415.481623566806</v>
      </c>
      <c r="E2971" s="16">
        <f t="shared" si="649"/>
        <v>-23736.494852594555</v>
      </c>
      <c r="F2971" s="16">
        <f t="shared" si="649"/>
        <v>-1256.0175115847373</v>
      </c>
      <c r="G2971" s="16">
        <f t="shared" si="649"/>
        <v>18669.347693946213</v>
      </c>
      <c r="H2971" s="16">
        <f t="shared" si="649"/>
        <v>24924.24678744658</v>
      </c>
      <c r="I2971" s="16">
        <f t="shared" si="649"/>
        <v>2644.5754033521007</v>
      </c>
      <c r="J2971" s="16">
        <f t="shared" si="649"/>
        <v>11556.443956989904</v>
      </c>
      <c r="K2971" s="16">
        <f t="shared" si="649"/>
        <v>22286.241938879404</v>
      </c>
      <c r="L2971" s="16">
        <f t="shared" si="649"/>
        <v>24924.24678744658</v>
      </c>
      <c r="M2971" s="16">
        <f t="shared" si="649"/>
        <v>2644.5754033521007</v>
      </c>
    </row>
    <row r="2972" spans="2:13" ht="15" customHeight="1" x14ac:dyDescent="0.2">
      <c r="B2972" s="10" t="s">
        <v>909</v>
      </c>
      <c r="C2972" s="10" t="s">
        <v>110</v>
      </c>
      <c r="D2972" s="16">
        <f>D2971/(Inputs!$D$7+$D$2978)^D2952</f>
        <v>-10460.814364349902</v>
      </c>
      <c r="E2972" s="16">
        <f>E2971/(Inputs!$D$7+$D$2978)^E2952</f>
        <v>-19244.224263494314</v>
      </c>
      <c r="F2972" s="16">
        <f>F2971/(Inputs!$D$7+$D$2978)^F2952</f>
        <v>-901.23365855379154</v>
      </c>
      <c r="G2972" s="16">
        <f>G2971/(Inputs!$D$7+$D$2978)^G2952</f>
        <v>11855.741986937064</v>
      </c>
      <c r="H2972" s="16">
        <f>H2971/(Inputs!$D$7+$D$2978)^H2952</f>
        <v>14008.109400116013</v>
      </c>
      <c r="I2972" s="16">
        <f>I2971/(Inputs!$D$7+$D$2978)^I2952</f>
        <v>1315.0007552812488</v>
      </c>
      <c r="J2972" s="16">
        <f>J2971/(Inputs!$D$7+$D$2978)^J2952</f>
        <v>5085.7165601672359</v>
      </c>
      <c r="K2972" s="16">
        <f>K2971/(Inputs!$D$7+$D$2978)^K2952</f>
        <v>8680.0587026534904</v>
      </c>
      <c r="L2972" s="16">
        <f>L2971/(Inputs!$D$7+$D$2978)^L2952</f>
        <v>8591.4358344726734</v>
      </c>
      <c r="M2972" s="16">
        <f>M2971/(Inputs!$D$7+$D$2978)^M2952</f>
        <v>806.51459012651492</v>
      </c>
    </row>
    <row r="2973" spans="2:13" ht="15" customHeight="1" x14ac:dyDescent="0.2">
      <c r="B2973" s="3" t="s">
        <v>910</v>
      </c>
      <c r="C2973" s="10" t="s">
        <v>896</v>
      </c>
      <c r="D2973" s="28">
        <f>(D2959*$D$2977-D2963)/(Inputs!$D$7+$D$2978)^D2952</f>
        <v>74.490519309095831</v>
      </c>
      <c r="E2973" s="28">
        <f>(E2959*$D$2977-E2963)/(Inputs!$D$7+$D$2978)^E2952</f>
        <v>346.09451503846662</v>
      </c>
      <c r="F2973" s="28">
        <f>(F2959*$D$2977-F2963)/(Inputs!$D$7+$D$2978)^F2952</f>
        <v>601.79110266312398</v>
      </c>
      <c r="G2973" s="28">
        <f>(G2959*$D$2977-G2963)/(Inputs!$D$7+$D$2978)^G2952</f>
        <v>702.83446516544734</v>
      </c>
      <c r="H2973" s="28">
        <f>(H2959*$D$2977-H2963)/(Inputs!$D$7+$D$2978)^H2952</f>
        <v>674.43286946611579</v>
      </c>
      <c r="I2973" s="28">
        <f>(I2959*$D$2977-I2963)/(Inputs!$D$7+$D$2978)^I2952</f>
        <v>596.69348218898278</v>
      </c>
      <c r="J2973" s="28">
        <f>(J2959*$D$2977-J2963)/(Inputs!$D$7+$D$2978)^J2952</f>
        <v>528.09150417844353</v>
      </c>
      <c r="K2973" s="28">
        <f>(K2959*$D$2977-K2963)/(Inputs!$D$7+$D$2978)^K2952</f>
        <v>467.37671033772904</v>
      </c>
      <c r="L2973" s="28">
        <f>(L2959*$D$2977-L2963)/(Inputs!$D$7+$D$2978)^L2952</f>
        <v>413.64230940610946</v>
      </c>
      <c r="M2973" s="28">
        <f>(M2959*$D$2977-M2963)/(Inputs!$D$7+$D$2978)^M2952</f>
        <v>365.96328731072373</v>
      </c>
    </row>
    <row r="2974" spans="2:13" ht="15" customHeight="1" x14ac:dyDescent="0.2">
      <c r="B2974" s="10" t="s">
        <v>911</v>
      </c>
      <c r="C2974" s="10" t="s">
        <v>110</v>
      </c>
      <c r="D2974" s="16">
        <f>(-D2961-D2962)/(Inputs!$D$7+$D$2978)^D2952</f>
        <v>-12808.928289029636</v>
      </c>
      <c r="E2974" s="16">
        <f>(-E2961-E2962)/(Inputs!$D$7+$D$2978)^E2952</f>
        <v>-30219.974420642928</v>
      </c>
      <c r="F2974" s="16">
        <f>(-F2961-F2962)/(Inputs!$D$7+$D$2978)^F2952</f>
        <v>-20059.183095337907</v>
      </c>
      <c r="G2974" s="16">
        <f>(-G2961-G2962)/(Inputs!$D$7+$D$2978)^G2952</f>
        <v>-10551.720115889953</v>
      </c>
      <c r="H2974" s="16">
        <f>(-H2961-H2962)/(Inputs!$D$7+$D$2978)^H2952</f>
        <v>-7513.0713511684744</v>
      </c>
      <c r="I2974" s="16">
        <f>(-I2961-I2962)/(Inputs!$D$7+$D$2978)^I2952</f>
        <v>-17725.512933602091</v>
      </c>
      <c r="J2974" s="16">
        <f>(-J2961-J2962)/(Inputs!$D$7+$D$2978)^J2952</f>
        <v>-11765.705173827875</v>
      </c>
      <c r="K2974" s="16">
        <f>(-K2961-K2962)/(Inputs!$D$7+$D$2978)^K2952</f>
        <v>-6233.95144943378</v>
      </c>
      <c r="L2974" s="16">
        <f>(-L2961-L2962)/(Inputs!$D$7+$D$2978)^L2952</f>
        <v>-4607.9073620630261</v>
      </c>
      <c r="M2974" s="16">
        <f>(-M2961-M2962)/(Inputs!$D$7+$D$2978)^M2952</f>
        <v>-10871.389039901173</v>
      </c>
    </row>
    <row r="2975" spans="2:13" ht="15" customHeight="1" x14ac:dyDescent="0.2">
      <c r="B2975" s="10" t="s">
        <v>912</v>
      </c>
      <c r="C2975" s="10" t="s">
        <v>110</v>
      </c>
      <c r="D2975" s="16">
        <f>Prices!K16</f>
        <v>57744.662559105891</v>
      </c>
    </row>
    <row r="2976" spans="2:13" ht="15" customHeight="1" x14ac:dyDescent="0.2">
      <c r="B2976" s="3" t="s">
        <v>913</v>
      </c>
      <c r="C2976" s="10" t="s">
        <v>914</v>
      </c>
      <c r="D2976" s="28">
        <f>IF(J2983&gt;=J2979,J2983,(D2975-J2982)/J2981)</f>
        <v>37.318432698728301</v>
      </c>
      <c r="G2976" s="99" t="s">
        <v>915</v>
      </c>
      <c r="H2976" s="91"/>
      <c r="I2976" s="91"/>
      <c r="J2976" s="28">
        <f>D2976*Inputs!$D$15</f>
        <v>26.044534180442479</v>
      </c>
      <c r="K2976" s="99" t="s">
        <v>916</v>
      </c>
      <c r="L2976" s="91"/>
      <c r="M2976" s="91"/>
    </row>
    <row r="2977" spans="2:13" ht="15" customHeight="1" x14ac:dyDescent="0.2">
      <c r="B2977" s="10" t="s">
        <v>917</v>
      </c>
      <c r="C2977" s="10" t="s">
        <v>104</v>
      </c>
      <c r="D2977" s="30">
        <f>Inputs!$D$94</f>
        <v>0.75</v>
      </c>
      <c r="G2977" s="99" t="s">
        <v>918</v>
      </c>
      <c r="H2977" s="91"/>
      <c r="I2977" s="91"/>
      <c r="J2977" s="28">
        <f>IF(-D2988/D2987&gt;=J2979,-D2988/D2987,-J2982/J2981)</f>
        <v>27.411702074287536</v>
      </c>
      <c r="K2977" s="99" t="s">
        <v>919</v>
      </c>
      <c r="L2977" s="91"/>
      <c r="M2977" s="91"/>
    </row>
    <row r="2978" spans="2:13" ht="15" customHeight="1" x14ac:dyDescent="0.2">
      <c r="B2978" s="10" t="s">
        <v>920</v>
      </c>
      <c r="C2978" s="10" t="s">
        <v>104</v>
      </c>
      <c r="D2978" s="30">
        <f>Inputs!$D$95</f>
        <v>0.13</v>
      </c>
      <c r="G2978" s="99" t="s">
        <v>918</v>
      </c>
      <c r="H2978" s="91"/>
      <c r="I2978" s="91"/>
      <c r="J2978" s="28">
        <f>J2977*Inputs!$D$15</f>
        <v>19.13062687764527</v>
      </c>
      <c r="K2978" s="99" t="s">
        <v>916</v>
      </c>
      <c r="L2978" s="91"/>
      <c r="M2978" s="91"/>
    </row>
    <row r="2979" spans="2:13" ht="15" customHeight="1" x14ac:dyDescent="0.2">
      <c r="B2979" s="3" t="s">
        <v>921</v>
      </c>
      <c r="C2979" s="10" t="s">
        <v>848</v>
      </c>
      <c r="D2979" s="28">
        <f>Capital!$D$13</f>
        <v>57.347931490590682</v>
      </c>
      <c r="G2979" s="99" t="s">
        <v>922</v>
      </c>
      <c r="H2979" s="91"/>
      <c r="I2979" s="91"/>
      <c r="J2979" s="28">
        <f>($D$2979/Inputs!$D$21+$D$2980/Inputs!$D$22)/$D$2977</f>
        <v>19.290461530476374</v>
      </c>
      <c r="K2979" s="99" t="s">
        <v>919</v>
      </c>
      <c r="L2979" s="91"/>
      <c r="M2979" s="91"/>
    </row>
    <row r="2980" spans="2:13" ht="15" customHeight="1" x14ac:dyDescent="0.2">
      <c r="B2980" s="3" t="s">
        <v>923</v>
      </c>
      <c r="C2980" s="10" t="s">
        <v>848</v>
      </c>
      <c r="D2980" s="28">
        <f>Capital!$D$14</f>
        <v>2.6172655041921802</v>
      </c>
    </row>
    <row r="2981" spans="2:13" ht="15" customHeight="1" x14ac:dyDescent="0.2">
      <c r="B2981" s="10" t="s">
        <v>924</v>
      </c>
      <c r="C2981" s="10" t="s">
        <v>896</v>
      </c>
      <c r="D2981" s="28">
        <f>(M2954*(Inputs!$D$7+Inputs!$D$20)*$D$2977*(Inputs!$D$7-Inputs!$D$19)-M2954*Inputs!$D$20*Inputs!$D$23)/($D$2978-Inputs!$D$20)/(Inputs!$D$7+$D$2978)^M2952</f>
        <v>2497.8446594223992</v>
      </c>
      <c r="G2981" s="92" t="s">
        <v>910</v>
      </c>
      <c r="H2981" s="91"/>
      <c r="I2981" s="91"/>
      <c r="J2981" s="28">
        <f>SUM(D2973:M2973)+(M2954*(Inputs!$D$7+Inputs!$D$20)*$D$2977-M2954*Inputs!$D$20*Inputs!$D$23)/($D$2978-Inputs!$D$20)/(Inputs!$D$7+$D$2978)^M2952</f>
        <v>8341.0050516109004</v>
      </c>
      <c r="K2981" s="99" t="s">
        <v>896</v>
      </c>
      <c r="L2981" s="91"/>
      <c r="M2981" s="91"/>
    </row>
    <row r="2982" spans="2:13" ht="15" customHeight="1" x14ac:dyDescent="0.2">
      <c r="B2982" s="10" t="s">
        <v>925</v>
      </c>
      <c r="C2982" s="10" t="s">
        <v>110</v>
      </c>
      <c r="D2982" s="16">
        <f>(D2985*Inputs!$D$19-D2985-D2986)/($D$2978-Inputs!$D$20)/(Inputs!$D$7+$D$2978)^M2952</f>
        <v>-55207.290798783099</v>
      </c>
      <c r="G2982" s="92" t="s">
        <v>926</v>
      </c>
      <c r="H2982" s="91"/>
      <c r="I2982" s="91"/>
      <c r="J2982" s="16">
        <f>SUM(D2974:M2974)-(D2985+D2986)/($D$2978-Inputs!$D$20)/(Inputs!$D$7+$D$2978)^M2952</f>
        <v>-208239.17898202292</v>
      </c>
      <c r="K2982" s="99" t="s">
        <v>110</v>
      </c>
      <c r="L2982" s="91"/>
      <c r="M2982" s="91"/>
    </row>
    <row r="2983" spans="2:13" ht="15" customHeight="1" x14ac:dyDescent="0.2">
      <c r="B2983" s="10" t="s">
        <v>927</v>
      </c>
      <c r="C2983" s="10" t="s">
        <v>928</v>
      </c>
      <c r="D2983" s="16">
        <f>(M2954*(Inputs!$D$7+Inputs!$D$20)*$D$2976*$D$2977-D2985)-MAX((M2954*(Inputs!$D$7+Inputs!$D$20)*$D$2976*$D$2977-D2985),Inputs!$D$6)*Inputs!$D$19-D2986-M2954*Inputs!$D$20*$D$2976*Inputs!$D$23</f>
        <v>13086.156863374861</v>
      </c>
      <c r="G2983" s="99" t="s">
        <v>929</v>
      </c>
      <c r="H2983" s="91"/>
      <c r="I2983" s="91"/>
      <c r="J2983" s="28">
        <f>(D2975-D2988)/D2987</f>
        <v>37.318432698728301</v>
      </c>
      <c r="K2983" s="99" t="s">
        <v>919</v>
      </c>
      <c r="L2983" s="91"/>
      <c r="M2983" s="91"/>
    </row>
    <row r="2984" spans="2:13" ht="15" customHeight="1" x14ac:dyDescent="0.2">
      <c r="B2984" s="10" t="s">
        <v>930</v>
      </c>
      <c r="C2984" s="10" t="s">
        <v>110</v>
      </c>
      <c r="D2984" s="16">
        <f>D2983/($D$2978-Inputs!$D$20)</f>
        <v>124630.06536547486</v>
      </c>
      <c r="G2984" s="99" t="s">
        <v>931</v>
      </c>
      <c r="H2984" s="91"/>
      <c r="I2984" s="91"/>
      <c r="J2984" s="16">
        <f>MIN(D2968:M2968,(M2954*(Inputs!$D$7+Inputs!$D$20)*$D$2976*$D$2977-D2985))</f>
        <v>1570.5268833618695</v>
      </c>
      <c r="K2984" s="99" t="s">
        <v>110</v>
      </c>
      <c r="L2984" s="91"/>
      <c r="M2984" s="91"/>
    </row>
    <row r="2985" spans="2:13" ht="15" customHeight="1" x14ac:dyDescent="0.2">
      <c r="B2985" s="10" t="s">
        <v>932</v>
      </c>
      <c r="C2985" s="10" t="s">
        <v>928</v>
      </c>
      <c r="D2985" s="16">
        <f>M2954*(Inputs!$D$7+Inputs!$D$20)*($D$2979/Inputs!$D$21+$D$2980/Inputs!$D$22)</f>
        <v>23727.267682485937</v>
      </c>
      <c r="G2985" s="99" t="s">
        <v>933</v>
      </c>
      <c r="H2985" s="91"/>
      <c r="I2985" s="91"/>
      <c r="J2985" s="31" t="str">
        <f>IF(J2984&lt;Inputs!$D$6,"breached","satisfied")</f>
        <v>satisfied</v>
      </c>
      <c r="K2985" s="99" t="s">
        <v>934</v>
      </c>
      <c r="L2985" s="91"/>
      <c r="M2985" s="91"/>
    </row>
    <row r="2986" spans="2:13" ht="15" customHeight="1" x14ac:dyDescent="0.2">
      <c r="B2986" s="10" t="s">
        <v>935</v>
      </c>
      <c r="C2986" s="10" t="s">
        <v>928</v>
      </c>
      <c r="D2986" s="16">
        <f>M2954*Inputs!$D$20*($D$2979+$D$2980)</f>
        <v>2398.6078797913146</v>
      </c>
    </row>
    <row r="2987" spans="2:13" ht="15" customHeight="1" x14ac:dyDescent="0.2">
      <c r="B2987" s="10" t="s">
        <v>936</v>
      </c>
      <c r="C2987" s="10" t="s">
        <v>896</v>
      </c>
      <c r="D2987" s="28">
        <f>SUM(D2964:M2964)+D2981</f>
        <v>5828.8314024250149</v>
      </c>
      <c r="G2987" s="99" t="s">
        <v>937</v>
      </c>
      <c r="H2987" s="91"/>
      <c r="I2987" s="91"/>
      <c r="J2987" s="16">
        <f>D2989-D2975</f>
        <v>0</v>
      </c>
      <c r="K2987" s="99" t="s">
        <v>110</v>
      </c>
      <c r="L2987" s="91"/>
      <c r="M2987" s="91"/>
    </row>
    <row r="2988" spans="2:13" ht="15" customHeight="1" x14ac:dyDescent="0.2">
      <c r="B2988" s="10" t="s">
        <v>938</v>
      </c>
      <c r="C2988" s="10" t="s">
        <v>110</v>
      </c>
      <c r="D2988" s="16">
        <f>SUM(D2965:M2965)+D2982</f>
        <v>-159778.18984452612</v>
      </c>
    </row>
    <row r="2989" spans="2:13" ht="15" customHeight="1" x14ac:dyDescent="0.2">
      <c r="B2989" s="10" t="s">
        <v>939</v>
      </c>
      <c r="C2989" s="10" t="s">
        <v>110</v>
      </c>
      <c r="D2989" s="16">
        <f>SUM(D2972:M2972)+D2984/(Inputs!$D$7+$D$2978)^M2952</f>
        <v>57744.662559105855</v>
      </c>
    </row>
    <row r="2990" spans="2:13" ht="15" customHeight="1" x14ac:dyDescent="0.2">
      <c r="B2990" s="10" t="s">
        <v>940</v>
      </c>
      <c r="C2990" s="10" t="s">
        <v>104</v>
      </c>
      <c r="D2990" s="30">
        <f>IF(ABS(D2975)&gt;Inputs!$D$6,D2989/D2975-Inputs!$D$7,Inputs!$D$6)</f>
        <v>-6.6613381477509392E-16</v>
      </c>
    </row>
    <row r="2991" spans="2:13" ht="15" customHeight="1" x14ac:dyDescent="0.2">
      <c r="B2991" s="10" t="s">
        <v>941</v>
      </c>
      <c r="C2991" s="10" t="s">
        <v>104</v>
      </c>
      <c r="D2991" s="30">
        <f>IF(ABS(D2989)&gt;Inputs!$D$119,D2984/(Inputs!$D$7+$D$2978)^M2952/D2989,Inputs!$D$6)</f>
        <v>0.6582142025134412</v>
      </c>
    </row>
    <row r="2992" spans="2:13" ht="15" customHeight="1" x14ac:dyDescent="0.2">
      <c r="B2992" s="10" t="s">
        <v>942</v>
      </c>
      <c r="C2992" s="10" t="s">
        <v>943</v>
      </c>
      <c r="D2992" s="26">
        <f>$D$2976*Inputs!$D$8/Prices!$P$6/(Inputs!$D$26/Inputs!$D$25)/Inputs!$D$11/Inputs!$D$56</f>
        <v>6.7864703418365613</v>
      </c>
    </row>
    <row r="2996" spans="1:13" ht="15" customHeight="1" x14ac:dyDescent="0.2">
      <c r="A2996" s="104" t="s">
        <v>1008</v>
      </c>
      <c r="B2996" s="10" t="s">
        <v>886</v>
      </c>
      <c r="C2996" s="10" t="s">
        <v>107</v>
      </c>
      <c r="D2996" s="28">
        <f>Inputs!$D$60</f>
        <v>1</v>
      </c>
      <c r="E2996" s="28">
        <f>Inputs!$D$62</f>
        <v>2</v>
      </c>
      <c r="F2996" s="28">
        <f>Inputs!$D$64</f>
        <v>3</v>
      </c>
      <c r="G2996" s="28">
        <f>Inputs!$D$66</f>
        <v>4</v>
      </c>
      <c r="H2996" s="28">
        <f>Inputs!$D$68</f>
        <v>5</v>
      </c>
      <c r="I2996" s="28">
        <f>Inputs!$D$70</f>
        <v>6</v>
      </c>
      <c r="J2996" s="28">
        <f>Inputs!$D$72</f>
        <v>7</v>
      </c>
      <c r="K2996" s="28">
        <f>Inputs!$D$74</f>
        <v>8</v>
      </c>
      <c r="L2996" s="28">
        <f>Inputs!$D$76</f>
        <v>9</v>
      </c>
      <c r="M2996" s="28">
        <f>Inputs!$D$78</f>
        <v>10</v>
      </c>
    </row>
    <row r="2997" spans="1:13" ht="15" customHeight="1" x14ac:dyDescent="0.2">
      <c r="A2997" s="91"/>
      <c r="B2997" s="10" t="s">
        <v>887</v>
      </c>
      <c r="C2997" s="10" t="s">
        <v>161</v>
      </c>
      <c r="D2997" s="29">
        <f>Inputs!$D$61</f>
        <v>46568</v>
      </c>
      <c r="E2997" s="29">
        <f>Inputs!$D$63</f>
        <v>46934</v>
      </c>
      <c r="F2997" s="29">
        <f>Inputs!$D$65</f>
        <v>47299</v>
      </c>
      <c r="G2997" s="29">
        <f>Inputs!$D$67</f>
        <v>47664</v>
      </c>
      <c r="H2997" s="29">
        <f>Inputs!$D$69</f>
        <v>48029</v>
      </c>
      <c r="I2997" s="29">
        <f>Inputs!$D$71</f>
        <v>48395</v>
      </c>
      <c r="J2997" s="29">
        <f>Inputs!$D$73</f>
        <v>48760</v>
      </c>
      <c r="K2997" s="29">
        <f>Inputs!$D$75</f>
        <v>49125</v>
      </c>
      <c r="L2997" s="29">
        <f>Inputs!$D$77</f>
        <v>49490</v>
      </c>
      <c r="M2997" s="29">
        <f>Inputs!$D$79</f>
        <v>49856</v>
      </c>
    </row>
    <row r="2998" spans="1:13" ht="15" customHeight="1" x14ac:dyDescent="0.2">
      <c r="A2998" s="91"/>
      <c r="B2998" s="10" t="s">
        <v>888</v>
      </c>
      <c r="C2998" s="10" t="s">
        <v>107</v>
      </c>
      <c r="D2998" s="28">
        <f>(D2997-Inputs!$D$13)/Inputs!$D$10</f>
        <v>0.71457905544147848</v>
      </c>
      <c r="E2998" s="28">
        <f>(E2997-Inputs!$D$13)/Inputs!$D$10</f>
        <v>1.7166324435318274</v>
      </c>
      <c r="F2998" s="28">
        <f>(F2997-Inputs!$D$13)/Inputs!$D$10</f>
        <v>2.7159479808350446</v>
      </c>
      <c r="G2998" s="28">
        <f>(G2997-Inputs!$D$13)/Inputs!$D$10</f>
        <v>3.7152635181382614</v>
      </c>
      <c r="H2998" s="28">
        <f>(H2997-Inputs!$D$13)/Inputs!$D$10</f>
        <v>4.7145790554414786</v>
      </c>
      <c r="I2998" s="28">
        <f>(I2997-Inputs!$D$13)/Inputs!$D$10</f>
        <v>5.7166324435318279</v>
      </c>
      <c r="J2998" s="28">
        <f>(J2997-Inputs!$D$13)/Inputs!$D$10</f>
        <v>6.7159479808350442</v>
      </c>
      <c r="K2998" s="28">
        <f>(K2997-Inputs!$D$13)/Inputs!$D$10</f>
        <v>7.7152635181382614</v>
      </c>
      <c r="L2998" s="28">
        <f>(L2997-Inputs!$D$13)/Inputs!$D$10</f>
        <v>8.7145790554414777</v>
      </c>
      <c r="M2998" s="28">
        <f>(M2997-Inputs!$D$13)/Inputs!$D$10</f>
        <v>9.716632443531827</v>
      </c>
    </row>
    <row r="2999" spans="1:13" ht="15" customHeight="1" x14ac:dyDescent="0.2">
      <c r="A2999" s="91"/>
      <c r="B2999" s="10" t="s">
        <v>889</v>
      </c>
      <c r="C2999" s="10" t="s">
        <v>107</v>
      </c>
      <c r="D2999" s="28">
        <f>D2998</f>
        <v>0.71457905544147848</v>
      </c>
      <c r="E2999" s="28">
        <f>Inputs!$D$7</f>
        <v>1</v>
      </c>
      <c r="F2999" s="28">
        <f>Inputs!$D$7</f>
        <v>1</v>
      </c>
      <c r="G2999" s="28">
        <f>Inputs!$D$7</f>
        <v>1</v>
      </c>
      <c r="H2999" s="28">
        <f>Inputs!$D$7</f>
        <v>1</v>
      </c>
      <c r="I2999" s="28">
        <f>Inputs!$D$7</f>
        <v>1</v>
      </c>
      <c r="J2999" s="28">
        <f>Inputs!$D$7</f>
        <v>1</v>
      </c>
      <c r="K2999" s="28">
        <f>Inputs!$D$7</f>
        <v>1</v>
      </c>
      <c r="L2999" s="28">
        <f>Inputs!$D$7</f>
        <v>1</v>
      </c>
      <c r="M2999" s="28">
        <f>Inputs!$D$7</f>
        <v>1</v>
      </c>
    </row>
    <row r="3000" spans="1:13" ht="15" customHeight="1" x14ac:dyDescent="0.2">
      <c r="A3000" s="91"/>
      <c r="B3000" s="3" t="s">
        <v>890</v>
      </c>
      <c r="C3000" s="10" t="s">
        <v>199</v>
      </c>
      <c r="D3000" s="28">
        <f>Inputs!$D$24+(Inputs!$D$106-Inputs!$D$24)*Inputs!$D$109</f>
        <v>170.32</v>
      </c>
      <c r="E3000" s="28">
        <f>Inputs!$D$24+(Inputs!$D$106-Inputs!$D$24)*Inputs!$D$110</f>
        <v>481.12000000000006</v>
      </c>
      <c r="F3000" s="28">
        <f>Inputs!$D$24+(Inputs!$D$106-Inputs!$D$24)*Inputs!$D$111</f>
        <v>823</v>
      </c>
      <c r="G3000" s="28">
        <f>Inputs!$D$24+(Inputs!$D$106-Inputs!$D$24)*Inputs!$D$112</f>
        <v>1211.5</v>
      </c>
      <c r="H3000" s="28">
        <f>Inputs!$D$24+(Inputs!$D$106-Inputs!$D$24)*Inputs!$D$113</f>
        <v>1600</v>
      </c>
      <c r="I3000" s="28">
        <f>Inputs!$D$24+(Inputs!$D$106-Inputs!$D$24)*Inputs!$D$114</f>
        <v>1600</v>
      </c>
      <c r="J3000" s="28">
        <f>Inputs!$D$24+(Inputs!$D$106-Inputs!$D$24)*Inputs!$D$115</f>
        <v>1600</v>
      </c>
      <c r="K3000" s="28">
        <f>Inputs!$D$24+(Inputs!$D$106-Inputs!$D$24)*Inputs!$D$116</f>
        <v>1600</v>
      </c>
      <c r="L3000" s="28">
        <f>Inputs!$D$24+(Inputs!$D$106-Inputs!$D$24)*Inputs!$D$117</f>
        <v>1600</v>
      </c>
      <c r="M3000" s="28">
        <f>Inputs!$D$24+(Inputs!$D$106-Inputs!$D$24)*Inputs!$D$118</f>
        <v>1600</v>
      </c>
    </row>
    <row r="3001" spans="1:13" ht="15" customHeight="1" x14ac:dyDescent="0.2">
      <c r="A3001" s="91"/>
      <c r="B3001" s="10" t="s">
        <v>891</v>
      </c>
      <c r="C3001" s="10" t="s">
        <v>199</v>
      </c>
      <c r="D3001" s="28">
        <f>Inputs!$D$24</f>
        <v>46</v>
      </c>
      <c r="E3001" s="28">
        <f t="shared" ref="E3001:M3001" si="650">D3000</f>
        <v>170.32</v>
      </c>
      <c r="F3001" s="28">
        <f t="shared" si="650"/>
        <v>481.12000000000006</v>
      </c>
      <c r="G3001" s="28">
        <f t="shared" si="650"/>
        <v>823</v>
      </c>
      <c r="H3001" s="28">
        <f t="shared" si="650"/>
        <v>1211.5</v>
      </c>
      <c r="I3001" s="28">
        <f t="shared" si="650"/>
        <v>1600</v>
      </c>
      <c r="J3001" s="28">
        <f t="shared" si="650"/>
        <v>1600</v>
      </c>
      <c r="K3001" s="28">
        <f t="shared" si="650"/>
        <v>1600</v>
      </c>
      <c r="L3001" s="28">
        <f t="shared" si="650"/>
        <v>1600</v>
      </c>
      <c r="M3001" s="28">
        <f t="shared" si="650"/>
        <v>1600</v>
      </c>
    </row>
    <row r="3002" spans="1:13" ht="15" customHeight="1" x14ac:dyDescent="0.2">
      <c r="B3002" s="10" t="s">
        <v>892</v>
      </c>
      <c r="C3002" s="10" t="s">
        <v>199</v>
      </c>
      <c r="D3002" s="28">
        <f>(D3001+D3000)*Inputs!$D$12</f>
        <v>108.16</v>
      </c>
      <c r="E3002" s="28">
        <f>(E3001+E3000)*Inputs!$D$12</f>
        <v>325.72000000000003</v>
      </c>
      <c r="F3002" s="28">
        <f>(F3001+F3000)*Inputs!$D$12</f>
        <v>652.06000000000006</v>
      </c>
      <c r="G3002" s="28">
        <f>(G3001+G3000)*Inputs!$D$12</f>
        <v>1017.25</v>
      </c>
      <c r="H3002" s="28">
        <f>(H3001+H3000)*Inputs!$D$12</f>
        <v>1405.75</v>
      </c>
      <c r="I3002" s="28">
        <f>(I3001+I3000)*Inputs!$D$12</f>
        <v>1600</v>
      </c>
      <c r="J3002" s="28">
        <f>(J3001+J3000)*Inputs!$D$12</f>
        <v>1600</v>
      </c>
      <c r="K3002" s="28">
        <f>(K3001+K3000)*Inputs!$D$12</f>
        <v>1600</v>
      </c>
      <c r="L3002" s="28">
        <f>(L3001+L3000)*Inputs!$D$12</f>
        <v>1600</v>
      </c>
      <c r="M3002" s="28">
        <f>(M3001+M3000)*Inputs!$D$12</f>
        <v>1600</v>
      </c>
    </row>
    <row r="3003" spans="1:13" ht="15" customHeight="1" x14ac:dyDescent="0.2">
      <c r="B3003" s="10" t="s">
        <v>893</v>
      </c>
      <c r="C3003" s="10" t="s">
        <v>199</v>
      </c>
      <c r="D3003" s="28">
        <f t="shared" ref="D3003:M3003" si="651">D3000-D3001</f>
        <v>124.32</v>
      </c>
      <c r="E3003" s="28">
        <f t="shared" si="651"/>
        <v>310.80000000000007</v>
      </c>
      <c r="F3003" s="28">
        <f t="shared" si="651"/>
        <v>341.87999999999994</v>
      </c>
      <c r="G3003" s="28">
        <f t="shared" si="651"/>
        <v>388.5</v>
      </c>
      <c r="H3003" s="28">
        <f t="shared" si="651"/>
        <v>388.5</v>
      </c>
      <c r="I3003" s="28">
        <f t="shared" si="651"/>
        <v>0</v>
      </c>
      <c r="J3003" s="28">
        <f t="shared" si="651"/>
        <v>0</v>
      </c>
      <c r="K3003" s="28">
        <f t="shared" si="651"/>
        <v>0</v>
      </c>
      <c r="L3003" s="28">
        <f t="shared" si="651"/>
        <v>0</v>
      </c>
      <c r="M3003" s="28">
        <f t="shared" si="651"/>
        <v>0</v>
      </c>
    </row>
    <row r="3004" spans="1:13" ht="15" customHeight="1" x14ac:dyDescent="0.2">
      <c r="B3004" s="10" t="s">
        <v>894</v>
      </c>
      <c r="C3004" s="10" t="s">
        <v>199</v>
      </c>
      <c r="D3004" s="28">
        <f>IF(MOD(D2996,Inputs!$D$21)=Inputs!$D$6,Inputs!$D$24,Inputs!$D$6)+SUMPRODUCT(--(D2996&gt;$D$2996:$M$2996),--(MOD(D2996-$D$2996:$M$2996,Inputs!$D$21)=Inputs!$D$6),$D$3003:$M$3003)</f>
        <v>0</v>
      </c>
      <c r="E3004" s="28">
        <f>IF(MOD(E2996,Inputs!$D$21)=Inputs!$D$6,Inputs!$D$24,Inputs!$D$6)+SUMPRODUCT(--(E2996&gt;$D$2996:$M$2996),--(MOD(E2996-$D$2996:$M$2996,Inputs!$D$21)=Inputs!$D$6),$D$3003:$M$3003)</f>
        <v>0</v>
      </c>
      <c r="F3004" s="28">
        <f>IF(MOD(F2996,Inputs!$D$21)=Inputs!$D$6,Inputs!$D$24,Inputs!$D$6)+SUMPRODUCT(--(F2996&gt;$D$2996:$M$2996),--(MOD(F2996-$D$2996:$M$2996,Inputs!$D$21)=Inputs!$D$6),$D$3003:$M$3003)</f>
        <v>0</v>
      </c>
      <c r="G3004" s="28">
        <f>IF(MOD(G2996,Inputs!$D$21)=Inputs!$D$6,Inputs!$D$24,Inputs!$D$6)+SUMPRODUCT(--(G2996&gt;$D$2996:$M$2996),--(MOD(G2996-$D$2996:$M$2996,Inputs!$D$21)=Inputs!$D$6),$D$3003:$M$3003)</f>
        <v>46</v>
      </c>
      <c r="H3004" s="28">
        <f>IF(MOD(H2996,Inputs!$D$21)=Inputs!$D$6,Inputs!$D$24,Inputs!$D$6)+SUMPRODUCT(--(H2996&gt;$D$2996:$M$2996),--(MOD(H2996-$D$2996:$M$2996,Inputs!$D$21)=Inputs!$D$6),$D$3003:$M$3003)</f>
        <v>124.32</v>
      </c>
      <c r="I3004" s="28">
        <f>IF(MOD(I2996,Inputs!$D$21)=Inputs!$D$6,Inputs!$D$24,Inputs!$D$6)+SUMPRODUCT(--(I2996&gt;$D$2996:$M$2996),--(MOD(I2996-$D$2996:$M$2996,Inputs!$D$21)=Inputs!$D$6),$D$3003:$M$3003)</f>
        <v>310.80000000000007</v>
      </c>
      <c r="J3004" s="28">
        <f>IF(MOD(J2996,Inputs!$D$21)=Inputs!$D$6,Inputs!$D$24,Inputs!$D$6)+SUMPRODUCT(--(J2996&gt;$D$2996:$M$2996),--(MOD(J2996-$D$2996:$M$2996,Inputs!$D$21)=Inputs!$D$6),$D$3003:$M$3003)</f>
        <v>341.87999999999994</v>
      </c>
      <c r="K3004" s="28">
        <f>IF(MOD(K2996,Inputs!$D$21)=Inputs!$D$6,Inputs!$D$24,Inputs!$D$6)+SUMPRODUCT(--(K2996&gt;$D$2996:$M$2996),--(MOD(K2996-$D$2996:$M$2996,Inputs!$D$21)=Inputs!$D$6),$D$3003:$M$3003)</f>
        <v>434.5</v>
      </c>
      <c r="L3004" s="28">
        <f>IF(MOD(L2996,Inputs!$D$21)=Inputs!$D$6,Inputs!$D$24,Inputs!$D$6)+SUMPRODUCT(--(L2996&gt;$D$2996:$M$2996),--(MOD(L2996-$D$2996:$M$2996,Inputs!$D$21)=Inputs!$D$6),$D$3003:$M$3003)</f>
        <v>512.81999999999994</v>
      </c>
      <c r="M3004" s="28">
        <f>IF(MOD(M2996,Inputs!$D$21)=Inputs!$D$6,Inputs!$D$24,Inputs!$D$6)+SUMPRODUCT(--(M2996&gt;$D$2996:$M$2996),--(MOD(M2996-$D$2996:$M$2996,Inputs!$D$21)=Inputs!$D$6),$D$3003:$M$3003)</f>
        <v>310.80000000000007</v>
      </c>
    </row>
    <row r="3005" spans="1:13" ht="15" customHeight="1" x14ac:dyDescent="0.2">
      <c r="B3005" s="10" t="s">
        <v>895</v>
      </c>
      <c r="C3005" s="10" t="s">
        <v>896</v>
      </c>
      <c r="D3005" s="28">
        <f t="shared" ref="D3005:M3005" si="652">D3002*D2999</f>
        <v>77.288870636550314</v>
      </c>
      <c r="E3005" s="28">
        <f t="shared" si="652"/>
        <v>325.72000000000003</v>
      </c>
      <c r="F3005" s="28">
        <f t="shared" si="652"/>
        <v>652.06000000000006</v>
      </c>
      <c r="G3005" s="28">
        <f t="shared" si="652"/>
        <v>1017.25</v>
      </c>
      <c r="H3005" s="28">
        <f t="shared" si="652"/>
        <v>1405.75</v>
      </c>
      <c r="I3005" s="28">
        <f t="shared" si="652"/>
        <v>1600</v>
      </c>
      <c r="J3005" s="28">
        <f t="shared" si="652"/>
        <v>1600</v>
      </c>
      <c r="K3005" s="28">
        <f t="shared" si="652"/>
        <v>1600</v>
      </c>
      <c r="L3005" s="28">
        <f t="shared" si="652"/>
        <v>1600</v>
      </c>
      <c r="M3005" s="28">
        <f t="shared" si="652"/>
        <v>1600</v>
      </c>
    </row>
    <row r="3006" spans="1:13" ht="15" customHeight="1" x14ac:dyDescent="0.2">
      <c r="B3006" s="10" t="s">
        <v>897</v>
      </c>
      <c r="C3006" s="10" t="s">
        <v>110</v>
      </c>
      <c r="D3006" s="16">
        <f>D3005*($D$3025/Inputs!$D$21+$D$3026/Inputs!$D$22)</f>
        <v>1118.2034893112541</v>
      </c>
      <c r="E3006" s="16">
        <f>E3005*($D$3025/Inputs!$D$21+$D$3026/Inputs!$D$22)</f>
        <v>4712.466847280074</v>
      </c>
      <c r="F3006" s="16">
        <f>F3005*($D$3025/Inputs!$D$21+$D$3026/Inputs!$D$22)</f>
        <v>9433.9037591718188</v>
      </c>
      <c r="G3006" s="16">
        <f>G3005*($D$3025/Inputs!$D$21+$D$3026/Inputs!$D$22)</f>
        <v>14717.416493907818</v>
      </c>
      <c r="H3006" s="16">
        <f>H3005*($D$3025/Inputs!$D$21+$D$3026/Inputs!$D$22)</f>
        <v>20338.17472235037</v>
      </c>
      <c r="I3006" s="16">
        <f>I3005*($D$3025/Inputs!$D$21+$D$3026/Inputs!$D$22)</f>
        <v>23148.553836571649</v>
      </c>
      <c r="J3006" s="16">
        <f>J3005*($D$3025/Inputs!$D$21+$D$3026/Inputs!$D$22)</f>
        <v>23148.553836571649</v>
      </c>
      <c r="K3006" s="16">
        <f>K3005*($D$3025/Inputs!$D$21+$D$3026/Inputs!$D$22)</f>
        <v>23148.553836571649</v>
      </c>
      <c r="L3006" s="16">
        <f>L3005*($D$3025/Inputs!$D$21+$D$3026/Inputs!$D$22)</f>
        <v>23148.553836571649</v>
      </c>
      <c r="M3006" s="16">
        <f>M3005*($D$3025/Inputs!$D$21+$D$3026/Inputs!$D$22)</f>
        <v>23148.553836571649</v>
      </c>
    </row>
    <row r="3007" spans="1:13" ht="15" customHeight="1" x14ac:dyDescent="0.2">
      <c r="B3007" s="10" t="s">
        <v>898</v>
      </c>
      <c r="C3007" s="10" t="s">
        <v>110</v>
      </c>
      <c r="D3007" s="16">
        <f t="shared" ref="D3007:M3007" si="653">D3003*($D$3025+$D$3026)</f>
        <v>7454.8732903914051</v>
      </c>
      <c r="E3007" s="16">
        <f t="shared" si="653"/>
        <v>18637.183225978519</v>
      </c>
      <c r="F3007" s="16">
        <f t="shared" si="653"/>
        <v>20500.901548576363</v>
      </c>
      <c r="G3007" s="16">
        <f t="shared" si="653"/>
        <v>23296.479032473144</v>
      </c>
      <c r="H3007" s="16">
        <f t="shared" si="653"/>
        <v>23296.479032473144</v>
      </c>
      <c r="I3007" s="16">
        <f t="shared" si="653"/>
        <v>0</v>
      </c>
      <c r="J3007" s="16">
        <f t="shared" si="653"/>
        <v>0</v>
      </c>
      <c r="K3007" s="16">
        <f t="shared" si="653"/>
        <v>0</v>
      </c>
      <c r="L3007" s="16">
        <f t="shared" si="653"/>
        <v>0</v>
      </c>
      <c r="M3007" s="16">
        <f t="shared" si="653"/>
        <v>0</v>
      </c>
    </row>
    <row r="3008" spans="1:13" ht="15" customHeight="1" x14ac:dyDescent="0.2">
      <c r="B3008" s="10" t="s">
        <v>899</v>
      </c>
      <c r="C3008" s="10" t="s">
        <v>110</v>
      </c>
      <c r="D3008" s="16">
        <f t="shared" ref="D3008:M3008" si="654">D3004*$D$3025</f>
        <v>0</v>
      </c>
      <c r="E3008" s="16">
        <f t="shared" si="654"/>
        <v>0</v>
      </c>
      <c r="F3008" s="16">
        <f t="shared" si="654"/>
        <v>0</v>
      </c>
      <c r="G3008" s="16">
        <f t="shared" si="654"/>
        <v>2638.0048485671714</v>
      </c>
      <c r="H3008" s="16">
        <f t="shared" si="654"/>
        <v>7129.4948429102333</v>
      </c>
      <c r="I3008" s="16">
        <f t="shared" si="654"/>
        <v>17823.737107275589</v>
      </c>
      <c r="J3008" s="16">
        <f t="shared" si="654"/>
        <v>19606.110818003141</v>
      </c>
      <c r="K3008" s="16">
        <f t="shared" si="654"/>
        <v>24917.676232661652</v>
      </c>
      <c r="L3008" s="16">
        <f t="shared" si="654"/>
        <v>29409.166227004709</v>
      </c>
      <c r="M3008" s="16">
        <f t="shared" si="654"/>
        <v>17823.737107275589</v>
      </c>
    </row>
    <row r="3009" spans="2:13" ht="15" customHeight="1" x14ac:dyDescent="0.2">
      <c r="B3009" s="10" t="s">
        <v>900</v>
      </c>
      <c r="C3009" s="10" t="s">
        <v>199</v>
      </c>
      <c r="D3009" s="28">
        <f>D3003*Inputs!$D$23</f>
        <v>3.1080000000000001</v>
      </c>
      <c r="E3009" s="28">
        <f>E3003*Inputs!$D$23</f>
        <v>7.7700000000000022</v>
      </c>
      <c r="F3009" s="28">
        <f>F3003*Inputs!$D$23</f>
        <v>8.5469999999999988</v>
      </c>
      <c r="G3009" s="28">
        <f>G3003*Inputs!$D$23</f>
        <v>9.7125000000000004</v>
      </c>
      <c r="H3009" s="28">
        <f>H3003*Inputs!$D$23</f>
        <v>9.7125000000000004</v>
      </c>
      <c r="I3009" s="28">
        <f>I3003*Inputs!$D$23</f>
        <v>0</v>
      </c>
      <c r="J3009" s="28">
        <f>J3003*Inputs!$D$23</f>
        <v>0</v>
      </c>
      <c r="K3009" s="28">
        <f>K3003*Inputs!$D$23</f>
        <v>0</v>
      </c>
      <c r="L3009" s="28">
        <f>L3003*Inputs!$D$23</f>
        <v>0</v>
      </c>
      <c r="M3009" s="28">
        <f>M3003*Inputs!$D$23</f>
        <v>0</v>
      </c>
    </row>
    <row r="3010" spans="2:13" ht="15" customHeight="1" x14ac:dyDescent="0.2">
      <c r="B3010" s="3" t="s">
        <v>901</v>
      </c>
      <c r="C3010" s="10" t="s">
        <v>896</v>
      </c>
      <c r="D3010" s="28">
        <f>(D3005*$D$3023*(Inputs!$D$7-Inputs!$D$19)-D3009)/(Inputs!$D$7+$D$3024)^D2998</f>
        <v>40.99699201112098</v>
      </c>
      <c r="E3010" s="28">
        <f>(E3005*$D$3023*(Inputs!$D$7-Inputs!$D$19)-E3009)/(Inputs!$D$7+$D$3024)^E2998</f>
        <v>153.02781912726542</v>
      </c>
      <c r="F3010" s="28">
        <f>(F3005*$D$3023*(Inputs!$D$7-Inputs!$D$19)-F3009)/(Inputs!$D$7+$D$3024)^F2998</f>
        <v>268.8019226843403</v>
      </c>
      <c r="G3010" s="28">
        <f>(G3005*$D$3023*(Inputs!$D$7-Inputs!$D$19)-G3009)/(Inputs!$D$7+$D$3024)^G2998</f>
        <v>363.62824610263397</v>
      </c>
      <c r="H3010" s="28">
        <f>(H3005*$D$3023*(Inputs!$D$7-Inputs!$D$19)-H3009)/(Inputs!$D$7+$D$3024)^H2998</f>
        <v>435.07807528321291</v>
      </c>
      <c r="I3010" s="28">
        <f>(I3005*$D$3023*(Inputs!$D$7-Inputs!$D$19)-I3009)/(Inputs!$D$7+$D$3024)^I2998</f>
        <v>431.49711827119876</v>
      </c>
      <c r="J3010" s="28">
        <f>(J3005*$D$3023*(Inputs!$D$7-Inputs!$D$19)-J3009)/(Inputs!$D$7+$D$3024)^J2998</f>
        <v>372.01806500733016</v>
      </c>
      <c r="K3010" s="28">
        <f>(K3005*$D$3023*(Inputs!$D$7-Inputs!$D$19)-K3009)/(Inputs!$D$7+$D$3024)^K2998</f>
        <v>320.73780989845312</v>
      </c>
      <c r="L3010" s="28">
        <f>(L3005*$D$3023*(Inputs!$D$7-Inputs!$D$19)-L3009)/(Inputs!$D$7+$D$3024)^L2998</f>
        <v>276.52620228651875</v>
      </c>
      <c r="M3010" s="28">
        <f>(M3005*$D$3023*(Inputs!$D$7-Inputs!$D$19)-M3009)/(Inputs!$D$7+$D$3024)^M2998</f>
        <v>238.31201718226143</v>
      </c>
    </row>
    <row r="3011" spans="2:13" ht="15" customHeight="1" x14ac:dyDescent="0.2">
      <c r="B3011" s="10" t="s">
        <v>902</v>
      </c>
      <c r="C3011" s="10" t="s">
        <v>110</v>
      </c>
      <c r="D3011" s="16">
        <f>(D3006*Inputs!$D$19-D3007-D3008)/(Inputs!$D$7+$D$3024)^D2998</f>
        <v>-6403.0045740313244</v>
      </c>
      <c r="E3011" s="16">
        <f>(E3006*Inputs!$D$19-E3007-E3008)/(Inputs!$D$7+$D$3024)^E2998</f>
        <v>-13349.632212764713</v>
      </c>
      <c r="F3011" s="16">
        <f>(F3006*Inputs!$D$19-F3007-F3008)/(Inputs!$D$7+$D$3024)^F2998</f>
        <v>-11808.370082432088</v>
      </c>
      <c r="G3011" s="16">
        <f>(G3006*Inputs!$D$19-G3007-G3008)/(Inputs!$D$7+$D$3024)^G2998</f>
        <v>-12397.921878440668</v>
      </c>
      <c r="H3011" s="16">
        <f>(H3006*Inputs!$D$19-H3007-H3008)/(Inputs!$D$7+$D$3024)^H2998</f>
        <v>-12082.366885213038</v>
      </c>
      <c r="I3011" s="16">
        <f>(I3006*Inputs!$D$19-I3007-I3008)/(Inputs!$D$7+$D$3024)^I2998</f>
        <v>-4657.0743222469628</v>
      </c>
      <c r="J3011" s="16">
        <f>(J3006*Inputs!$D$19-J3007-J3008)/(Inputs!$D$7+$D$3024)^J2998</f>
        <v>-4672.9398284057479</v>
      </c>
      <c r="K3011" s="16">
        <f>(K3006*Inputs!$D$19-K3007-K3008)/(Inputs!$D$7+$D$3024)^K2998</f>
        <v>-5718.9047268503064</v>
      </c>
      <c r="L3011" s="16">
        <f>(L3006*Inputs!$D$19-L3007-L3008)/(Inputs!$D$7+$D$3024)^L2998</f>
        <v>-6162.7485564592316</v>
      </c>
      <c r="M3011" s="16">
        <f>(M3006*Inputs!$D$19-M3007-M3008)/(Inputs!$D$7+$D$3024)^M2998</f>
        <v>-2572.0606903447429</v>
      </c>
    </row>
    <row r="3012" spans="2:13" ht="15" customHeight="1" x14ac:dyDescent="0.2">
      <c r="B3012" s="10" t="s">
        <v>903</v>
      </c>
      <c r="C3012" s="10" t="s">
        <v>110</v>
      </c>
      <c r="D3012" s="16">
        <f t="shared" ref="D3012:M3012" si="655">D3005*$D$3022</f>
        <v>2804.7102448204391</v>
      </c>
      <c r="E3012" s="16">
        <f t="shared" si="655"/>
        <v>11819.945270501737</v>
      </c>
      <c r="F3012" s="16">
        <f t="shared" si="655"/>
        <v>23662.38951579075</v>
      </c>
      <c r="G3012" s="16">
        <f t="shared" si="655"/>
        <v>36914.648552185594</v>
      </c>
      <c r="H3012" s="16">
        <f t="shared" si="655"/>
        <v>51012.79646324394</v>
      </c>
      <c r="I3012" s="16">
        <f t="shared" si="655"/>
        <v>58061.87041877312</v>
      </c>
      <c r="J3012" s="16">
        <f t="shared" si="655"/>
        <v>58061.87041877312</v>
      </c>
      <c r="K3012" s="16">
        <f t="shared" si="655"/>
        <v>58061.87041877312</v>
      </c>
      <c r="L3012" s="16">
        <f t="shared" si="655"/>
        <v>58061.87041877312</v>
      </c>
      <c r="M3012" s="16">
        <f t="shared" si="655"/>
        <v>58061.87041877312</v>
      </c>
    </row>
    <row r="3013" spans="2:13" ht="15" customHeight="1" x14ac:dyDescent="0.2">
      <c r="B3013" s="10" t="s">
        <v>904</v>
      </c>
      <c r="C3013" s="10" t="s">
        <v>110</v>
      </c>
      <c r="D3013" s="16">
        <f t="shared" ref="D3013:M3013" si="656">D3012*$D$3023</f>
        <v>2524.2392203383952</v>
      </c>
      <c r="E3013" s="16">
        <f t="shared" si="656"/>
        <v>10637.950743451564</v>
      </c>
      <c r="F3013" s="16">
        <f t="shared" si="656"/>
        <v>21296.150564211675</v>
      </c>
      <c r="G3013" s="16">
        <f t="shared" si="656"/>
        <v>33223.183696967033</v>
      </c>
      <c r="H3013" s="16">
        <f t="shared" si="656"/>
        <v>45911.516816919546</v>
      </c>
      <c r="I3013" s="16">
        <f t="shared" si="656"/>
        <v>52255.683376895809</v>
      </c>
      <c r="J3013" s="16">
        <f t="shared" si="656"/>
        <v>52255.683376895809</v>
      </c>
      <c r="K3013" s="16">
        <f t="shared" si="656"/>
        <v>52255.683376895809</v>
      </c>
      <c r="L3013" s="16">
        <f t="shared" si="656"/>
        <v>52255.683376895809</v>
      </c>
      <c r="M3013" s="16">
        <f t="shared" si="656"/>
        <v>52255.683376895809</v>
      </c>
    </row>
    <row r="3014" spans="2:13" ht="15" customHeight="1" x14ac:dyDescent="0.2">
      <c r="B3014" s="10" t="s">
        <v>905</v>
      </c>
      <c r="C3014" s="10" t="s">
        <v>110</v>
      </c>
      <c r="D3014" s="16">
        <f t="shared" ref="D3014:M3014" si="657">D3013-D3006</f>
        <v>1406.0357310271411</v>
      </c>
      <c r="E3014" s="16">
        <f t="shared" si="657"/>
        <v>5925.4838961714895</v>
      </c>
      <c r="F3014" s="16">
        <f t="shared" si="657"/>
        <v>11862.246805039857</v>
      </c>
      <c r="G3014" s="16">
        <f t="shared" si="657"/>
        <v>18505.767203059215</v>
      </c>
      <c r="H3014" s="16">
        <f t="shared" si="657"/>
        <v>25573.342094569176</v>
      </c>
      <c r="I3014" s="16">
        <f t="shared" si="657"/>
        <v>29107.12954032416</v>
      </c>
      <c r="J3014" s="16">
        <f t="shared" si="657"/>
        <v>29107.12954032416</v>
      </c>
      <c r="K3014" s="16">
        <f t="shared" si="657"/>
        <v>29107.12954032416</v>
      </c>
      <c r="L3014" s="16">
        <f t="shared" si="657"/>
        <v>29107.12954032416</v>
      </c>
      <c r="M3014" s="16">
        <f t="shared" si="657"/>
        <v>29107.12954032416</v>
      </c>
    </row>
    <row r="3015" spans="2:13" ht="15" customHeight="1" x14ac:dyDescent="0.2">
      <c r="B3015" s="10" t="s">
        <v>906</v>
      </c>
      <c r="C3015" s="10" t="s">
        <v>110</v>
      </c>
      <c r="D3015" s="16">
        <f>MAX(D3014,Inputs!$D$6)*Inputs!$D$19</f>
        <v>421.81071930814232</v>
      </c>
      <c r="E3015" s="16">
        <f>MAX(E3014,Inputs!$D$6)*Inputs!$D$19</f>
        <v>1777.6451688514469</v>
      </c>
      <c r="F3015" s="16">
        <f>MAX(F3014,Inputs!$D$6)*Inputs!$D$19</f>
        <v>3558.6740415119571</v>
      </c>
      <c r="G3015" s="16">
        <f>MAX(G3014,Inputs!$D$6)*Inputs!$D$19</f>
        <v>5551.7301609177639</v>
      </c>
      <c r="H3015" s="16">
        <f>MAX(H3014,Inputs!$D$6)*Inputs!$D$19</f>
        <v>7672.0026283707521</v>
      </c>
      <c r="I3015" s="16">
        <f>MAX(I3014,Inputs!$D$6)*Inputs!$D$19</f>
        <v>8732.1388620972484</v>
      </c>
      <c r="J3015" s="16">
        <f>MAX(J3014,Inputs!$D$6)*Inputs!$D$19</f>
        <v>8732.1388620972484</v>
      </c>
      <c r="K3015" s="16">
        <f>MAX(K3014,Inputs!$D$6)*Inputs!$D$19</f>
        <v>8732.1388620972484</v>
      </c>
      <c r="L3015" s="16">
        <f>MAX(L3014,Inputs!$D$6)*Inputs!$D$19</f>
        <v>8732.1388620972484</v>
      </c>
      <c r="M3015" s="16">
        <f>MAX(M3014,Inputs!$D$6)*Inputs!$D$19</f>
        <v>8732.1388620972484</v>
      </c>
    </row>
    <row r="3016" spans="2:13" ht="15" customHeight="1" x14ac:dyDescent="0.2">
      <c r="B3016" s="10" t="s">
        <v>907</v>
      </c>
      <c r="C3016" s="10" t="s">
        <v>110</v>
      </c>
      <c r="D3016" s="16">
        <f t="shared" ref="D3016:M3016" si="658">D3009*$D$3022</f>
        <v>112.78518328846678</v>
      </c>
      <c r="E3016" s="16">
        <f t="shared" si="658"/>
        <v>281.96295822116701</v>
      </c>
      <c r="F3016" s="16">
        <f t="shared" si="658"/>
        <v>310.15925404328362</v>
      </c>
      <c r="G3016" s="16">
        <f t="shared" si="658"/>
        <v>352.45369777645868</v>
      </c>
      <c r="H3016" s="16">
        <f t="shared" si="658"/>
        <v>352.45369777645868</v>
      </c>
      <c r="I3016" s="16">
        <f t="shared" si="658"/>
        <v>0</v>
      </c>
      <c r="J3016" s="16">
        <f t="shared" si="658"/>
        <v>0</v>
      </c>
      <c r="K3016" s="16">
        <f t="shared" si="658"/>
        <v>0</v>
      </c>
      <c r="L3016" s="16">
        <f t="shared" si="658"/>
        <v>0</v>
      </c>
      <c r="M3016" s="16">
        <f t="shared" si="658"/>
        <v>0</v>
      </c>
    </row>
    <row r="3017" spans="2:13" ht="15" customHeight="1" x14ac:dyDescent="0.2">
      <c r="B3017" s="10" t="s">
        <v>908</v>
      </c>
      <c r="C3017" s="10" t="s">
        <v>110</v>
      </c>
      <c r="D3017" s="16">
        <f t="shared" ref="D3017:M3017" si="659">D3013-D3015-D3007-D3008-D3016</f>
        <v>-5465.2299726496194</v>
      </c>
      <c r="E3017" s="16">
        <f t="shared" si="659"/>
        <v>-10058.840609599569</v>
      </c>
      <c r="F3017" s="16">
        <f t="shared" si="659"/>
        <v>-3073.5842799199277</v>
      </c>
      <c r="G3017" s="16">
        <f t="shared" si="659"/>
        <v>1384.515957232496</v>
      </c>
      <c r="H3017" s="16">
        <f t="shared" si="659"/>
        <v>7461.0866153889619</v>
      </c>
      <c r="I3017" s="16">
        <f t="shared" si="659"/>
        <v>25699.807407522971</v>
      </c>
      <c r="J3017" s="16">
        <f t="shared" si="659"/>
        <v>23917.433696795419</v>
      </c>
      <c r="K3017" s="16">
        <f t="shared" si="659"/>
        <v>18605.868282136908</v>
      </c>
      <c r="L3017" s="16">
        <f t="shared" si="659"/>
        <v>14114.37828779385</v>
      </c>
      <c r="M3017" s="16">
        <f t="shared" si="659"/>
        <v>25699.807407522971</v>
      </c>
    </row>
    <row r="3018" spans="2:13" ht="15" customHeight="1" x14ac:dyDescent="0.2">
      <c r="B3018" s="10" t="s">
        <v>909</v>
      </c>
      <c r="C3018" s="10" t="s">
        <v>110</v>
      </c>
      <c r="D3018" s="16">
        <f>D3017/(Inputs!$D$7+$D$3024)^D2998</f>
        <v>-4915.2783004630855</v>
      </c>
      <c r="E3018" s="16">
        <f>E3017/(Inputs!$D$7+$D$3024)^E2998</f>
        <v>-7796.4563348680022</v>
      </c>
      <c r="F3018" s="16">
        <f>F3017/(Inputs!$D$7+$D$3024)^F2998</f>
        <v>-2053.9060804225628</v>
      </c>
      <c r="G3018" s="16">
        <f>G3017/(Inputs!$D$7+$D$3024)^G2998</f>
        <v>797.66318769487987</v>
      </c>
      <c r="H3018" s="16">
        <f>H3017/(Inputs!$D$7+$D$3024)^H2998</f>
        <v>3706.0373830014169</v>
      </c>
      <c r="I3018" s="16">
        <f>I3017/(Inputs!$D$7+$D$3024)^I2998</f>
        <v>11001.381782213264</v>
      </c>
      <c r="J3018" s="16">
        <f>J3017/(Inputs!$D$7+$D$3024)^J2998</f>
        <v>8827.1005990307021</v>
      </c>
      <c r="K3018" s="16">
        <f>K3017/(Inputs!$D$7+$D$3024)^K2998</f>
        <v>5920.2434961028639</v>
      </c>
      <c r="L3018" s="16">
        <f>L3017/(Inputs!$D$7+$D$3024)^L2998</f>
        <v>3872.0192713878282</v>
      </c>
      <c r="M3018" s="16">
        <f>M3017/(Inputs!$D$7+$D$3024)^M2998</f>
        <v>6075.9652227008182</v>
      </c>
    </row>
    <row r="3019" spans="2:13" ht="15" customHeight="1" x14ac:dyDescent="0.2">
      <c r="B3019" s="3" t="s">
        <v>910</v>
      </c>
      <c r="C3019" s="10" t="s">
        <v>896</v>
      </c>
      <c r="D3019" s="28">
        <f>(D3005*$D$3023-D3009)/(Inputs!$D$7+$D$3024)^D2998</f>
        <v>59.765095798928819</v>
      </c>
      <c r="E3019" s="28">
        <f>(E3005*$D$3023-E3009)/(Inputs!$D$7+$D$3024)^E2998</f>
        <v>221.1922031857838</v>
      </c>
      <c r="F3019" s="28">
        <f>(F3005*$D$3023-F3009)/(Inputs!$D$7+$D$3024)^F2998</f>
        <v>386.45052664112239</v>
      </c>
      <c r="G3019" s="28">
        <f>(G3005*$D$3023-G3009)/(Inputs!$D$7+$D$3024)^G2998</f>
        <v>521.867070169518</v>
      </c>
      <c r="H3019" s="28">
        <f>(H3005*$D$3023-H3009)/(Inputs!$D$7+$D$3024)^H2998</f>
        <v>623.60768582417222</v>
      </c>
      <c r="I3019" s="28">
        <f>(I3005*$D$3023-I3009)/(Inputs!$D$7+$D$3024)^I2998</f>
        <v>616.42445467314121</v>
      </c>
      <c r="J3019" s="28">
        <f>(J3005*$D$3023-J3009)/(Inputs!$D$7+$D$3024)^J2998</f>
        <v>531.4543785819003</v>
      </c>
      <c r="K3019" s="28">
        <f>(K3005*$D$3023-K3009)/(Inputs!$D$7+$D$3024)^K2998</f>
        <v>458.19687128350449</v>
      </c>
      <c r="L3019" s="28">
        <f>(L3005*$D$3023-L3009)/(Inputs!$D$7+$D$3024)^L2998</f>
        <v>395.03743183788401</v>
      </c>
      <c r="M3019" s="28">
        <f>(M3005*$D$3023-M3009)/(Inputs!$D$7+$D$3024)^M2998</f>
        <v>340.44573883180209</v>
      </c>
    </row>
    <row r="3020" spans="2:13" ht="15" customHeight="1" x14ac:dyDescent="0.2">
      <c r="B3020" s="10" t="s">
        <v>911</v>
      </c>
      <c r="C3020" s="10" t="s">
        <v>110</v>
      </c>
      <c r="D3020" s="16">
        <f>(-D3007-D3008)/(Inputs!$D$7+$D$3024)^D2998</f>
        <v>-6704.7090607969039</v>
      </c>
      <c r="E3020" s="16">
        <f>(-E3007-E3008)/(Inputs!$D$7+$D$3024)^E2998</f>
        <v>-14445.4009031226</v>
      </c>
      <c r="F3020" s="16">
        <f>(-F3007-F3008)/(Inputs!$D$7+$D$3024)^F2998</f>
        <v>-13699.616639717549</v>
      </c>
      <c r="G3020" s="16">
        <f>(-G3007-G3008)/(Inputs!$D$7+$D$3024)^G2998</f>
        <v>-14941.671835349038</v>
      </c>
      <c r="H3020" s="16">
        <f>(-H3007-H3008)/(Inputs!$D$7+$D$3024)^H2998</f>
        <v>-15113.052884793095</v>
      </c>
      <c r="I3020" s="16">
        <f>(-I3007-I3008)/(Inputs!$D$7+$D$3024)^I2998</f>
        <v>-7629.8523795762403</v>
      </c>
      <c r="J3020" s="16">
        <f>(-J3007-J3008)/(Inputs!$D$7+$D$3024)^J2998</f>
        <v>-7235.9398897150922</v>
      </c>
      <c r="K3020" s="16">
        <f>(-K3007-K3008)/(Inputs!$D$7+$D$3024)^K2998</f>
        <v>-7928.612006570077</v>
      </c>
      <c r="L3020" s="16">
        <f>(-L3007-L3008)/(Inputs!$D$7+$D$3024)^L2998</f>
        <v>-8067.8621519509534</v>
      </c>
      <c r="M3020" s="16">
        <f>(-M3007-M3008)/(Inputs!$D$7+$D$3024)^M2998</f>
        <v>-4213.8995473821142</v>
      </c>
    </row>
    <row r="3021" spans="2:13" ht="15" customHeight="1" x14ac:dyDescent="0.2">
      <c r="B3021" s="10" t="s">
        <v>912</v>
      </c>
      <c r="C3021" s="10" t="s">
        <v>110</v>
      </c>
      <c r="D3021" s="16">
        <f>Prices!K16</f>
        <v>57744.662559105891</v>
      </c>
    </row>
    <row r="3022" spans="2:13" ht="15" customHeight="1" x14ac:dyDescent="0.2">
      <c r="B3022" s="3" t="s">
        <v>913</v>
      </c>
      <c r="C3022" s="10" t="s">
        <v>914</v>
      </c>
      <c r="D3022" s="28">
        <f>IF(J3029&gt;=J3025,J3029,(D3021-J3028)/J3027)</f>
        <v>36.288669011733198</v>
      </c>
      <c r="G3022" s="99" t="s">
        <v>915</v>
      </c>
      <c r="H3022" s="91"/>
      <c r="I3022" s="91"/>
      <c r="J3022" s="28">
        <f>D3022*Inputs!$D$15</f>
        <v>25.325862103288596</v>
      </c>
      <c r="K3022" s="99" t="s">
        <v>916</v>
      </c>
      <c r="L3022" s="91"/>
      <c r="M3022" s="91"/>
    </row>
    <row r="3023" spans="2:13" ht="15" customHeight="1" x14ac:dyDescent="0.2">
      <c r="B3023" s="10" t="s">
        <v>917</v>
      </c>
      <c r="C3023" s="10" t="s">
        <v>104</v>
      </c>
      <c r="D3023" s="30">
        <f>Inputs!$D$107</f>
        <v>0.9</v>
      </c>
      <c r="G3023" s="99" t="s">
        <v>918</v>
      </c>
      <c r="H3023" s="91"/>
      <c r="I3023" s="91"/>
      <c r="J3023" s="28">
        <f>IF(-D3034/D3033&gt;=J3025,-D3034/D3033,-J3028/J3027)</f>
        <v>24.024174528419383</v>
      </c>
      <c r="K3023" s="99" t="s">
        <v>919</v>
      </c>
      <c r="L3023" s="91"/>
      <c r="M3023" s="91"/>
    </row>
    <row r="3024" spans="2:13" ht="15" customHeight="1" x14ac:dyDescent="0.2">
      <c r="B3024" s="10" t="s">
        <v>920</v>
      </c>
      <c r="C3024" s="10" t="s">
        <v>104</v>
      </c>
      <c r="D3024" s="30">
        <f>Inputs!$D$108</f>
        <v>0.16</v>
      </c>
      <c r="G3024" s="99" t="s">
        <v>918</v>
      </c>
      <c r="H3024" s="91"/>
      <c r="I3024" s="91"/>
      <c r="J3024" s="28">
        <f>J3023*Inputs!$D$15</f>
        <v>16.766471403383886</v>
      </c>
      <c r="K3024" s="99" t="s">
        <v>916</v>
      </c>
      <c r="L3024" s="91"/>
      <c r="M3024" s="91"/>
    </row>
    <row r="3025" spans="2:13" ht="15" customHeight="1" x14ac:dyDescent="0.2">
      <c r="B3025" s="3" t="s">
        <v>921</v>
      </c>
      <c r="C3025" s="10" t="s">
        <v>848</v>
      </c>
      <c r="D3025" s="28">
        <f>Capital!$D$13</f>
        <v>57.347931490590682</v>
      </c>
      <c r="G3025" s="99" t="s">
        <v>922</v>
      </c>
      <c r="H3025" s="91"/>
      <c r="I3025" s="91"/>
      <c r="J3025" s="28">
        <f>($D$3025/Inputs!$D$21+$D$3026/Inputs!$D$22)/$D$3023</f>
        <v>16.07538460873031</v>
      </c>
      <c r="K3025" s="99" t="s">
        <v>919</v>
      </c>
      <c r="L3025" s="91"/>
      <c r="M3025" s="91"/>
    </row>
    <row r="3026" spans="2:13" ht="15" customHeight="1" x14ac:dyDescent="0.2">
      <c r="B3026" s="3" t="s">
        <v>923</v>
      </c>
      <c r="C3026" s="10" t="s">
        <v>848</v>
      </c>
      <c r="D3026" s="28">
        <f>Capital!$D$14</f>
        <v>2.6172655041921802</v>
      </c>
    </row>
    <row r="3027" spans="2:13" ht="15" customHeight="1" x14ac:dyDescent="0.2">
      <c r="B3027" s="10" t="s">
        <v>924</v>
      </c>
      <c r="C3027" s="10" t="s">
        <v>896</v>
      </c>
      <c r="D3027" s="28">
        <f>(M3000*(Inputs!$D$7+Inputs!$D$20)*$D$3023*(Inputs!$D$7-Inputs!$D$19)-M3000*Inputs!$D$20*Inputs!$D$23)/($D$3024-Inputs!$D$20)/(Inputs!$D$7+$D$3024)^M2998</f>
        <v>1807.6547922951956</v>
      </c>
      <c r="G3027" s="92" t="s">
        <v>910</v>
      </c>
      <c r="H3027" s="91"/>
      <c r="I3027" s="91"/>
      <c r="J3027" s="28">
        <f>SUM(D3019:M3019)+(M3000*(Inputs!$D$7+Inputs!$D$20)*$D$3023-M3000*Inputs!$D$20*Inputs!$D$23)/($D$3024-Inputs!$D$20)/(Inputs!$D$7+$D$3024)^M2998</f>
        <v>6737.5559875731687</v>
      </c>
      <c r="K3027" s="99" t="s">
        <v>896</v>
      </c>
      <c r="L3027" s="91"/>
      <c r="M3027" s="91"/>
    </row>
    <row r="3028" spans="2:13" ht="15" customHeight="1" x14ac:dyDescent="0.2">
      <c r="B3028" s="10" t="s">
        <v>925</v>
      </c>
      <c r="C3028" s="10" t="s">
        <v>110</v>
      </c>
      <c r="D3028" s="16">
        <f>(D3031*Inputs!$D$19-D3031-D3032)/($D$3024-Inputs!$D$20)/(Inputs!$D$7+$D$3024)^M2998</f>
        <v>-33287.494112345899</v>
      </c>
      <c r="G3028" s="92" t="s">
        <v>926</v>
      </c>
      <c r="H3028" s="91"/>
      <c r="I3028" s="91"/>
      <c r="J3028" s="16">
        <f>SUM(D3020:M3020)-(D3031+D3032)/($D$3024-Inputs!$D$20)/(Inputs!$D$7+$D$3024)^M2998</f>
        <v>-145733.9249554922</v>
      </c>
      <c r="K3028" s="99" t="s">
        <v>110</v>
      </c>
      <c r="L3028" s="91"/>
      <c r="M3028" s="91"/>
    </row>
    <row r="3029" spans="2:13" ht="15" customHeight="1" x14ac:dyDescent="0.2">
      <c r="B3029" s="10" t="s">
        <v>927</v>
      </c>
      <c r="C3029" s="10" t="s">
        <v>928</v>
      </c>
      <c r="D3029" s="16">
        <f>(M3000*(Inputs!$D$7+Inputs!$D$20)*$D$3022*$D$3023-D3031)-MAX((M3000*(Inputs!$D$7+Inputs!$D$20)*$D$3022*$D$3023-D3031),Inputs!$D$6)*Inputs!$D$19-D3032-M3000*Inputs!$D$20*$D$3022*Inputs!$D$23</f>
        <v>18449.468896379531</v>
      </c>
      <c r="G3029" s="99" t="s">
        <v>929</v>
      </c>
      <c r="H3029" s="91"/>
      <c r="I3029" s="91"/>
      <c r="J3029" s="28">
        <f>(D3021-D3034)/D3033</f>
        <v>36.288669011733198</v>
      </c>
      <c r="K3029" s="99" t="s">
        <v>919</v>
      </c>
      <c r="L3029" s="91"/>
      <c r="M3029" s="91"/>
    </row>
    <row r="3030" spans="2:13" ht="15" customHeight="1" x14ac:dyDescent="0.2">
      <c r="B3030" s="10" t="s">
        <v>930</v>
      </c>
      <c r="C3030" s="10" t="s">
        <v>110</v>
      </c>
      <c r="D3030" s="16">
        <f>D3029/($D$3024-Inputs!$D$20)</f>
        <v>136662.73256577429</v>
      </c>
      <c r="G3030" s="99" t="s">
        <v>931</v>
      </c>
      <c r="H3030" s="91"/>
      <c r="I3030" s="91"/>
      <c r="J3030" s="16">
        <f>MIN(D3014:M3014,(M3000*(Inputs!$D$7+Inputs!$D$20)*$D$3022*$D$3023-D3031))</f>
        <v>1406.0357310271411</v>
      </c>
      <c r="K3030" s="99" t="s">
        <v>110</v>
      </c>
      <c r="L3030" s="91"/>
      <c r="M3030" s="91"/>
    </row>
    <row r="3031" spans="2:13" ht="15" customHeight="1" x14ac:dyDescent="0.2">
      <c r="B3031" s="10" t="s">
        <v>932</v>
      </c>
      <c r="C3031" s="10" t="s">
        <v>928</v>
      </c>
      <c r="D3031" s="16">
        <f>M3000*(Inputs!$D$7+Inputs!$D$20)*($D$3025/Inputs!$D$21+$D$3026/Inputs!$D$22)</f>
        <v>23727.267682485937</v>
      </c>
      <c r="G3031" s="99" t="s">
        <v>933</v>
      </c>
      <c r="H3031" s="91"/>
      <c r="I3031" s="91"/>
      <c r="J3031" s="31" t="str">
        <f>IF(J3030&lt;Inputs!$D$6,"breached","satisfied")</f>
        <v>satisfied</v>
      </c>
      <c r="K3031" s="99" t="s">
        <v>934</v>
      </c>
      <c r="L3031" s="91"/>
      <c r="M3031" s="91"/>
    </row>
    <row r="3032" spans="2:13" ht="15" customHeight="1" x14ac:dyDescent="0.2">
      <c r="B3032" s="10" t="s">
        <v>935</v>
      </c>
      <c r="C3032" s="10" t="s">
        <v>928</v>
      </c>
      <c r="D3032" s="16">
        <f>M3000*Inputs!$D$20*($D$3025+$D$3026)</f>
        <v>2398.6078797913146</v>
      </c>
    </row>
    <row r="3033" spans="2:13" ht="15" customHeight="1" x14ac:dyDescent="0.2">
      <c r="B3033" s="10" t="s">
        <v>936</v>
      </c>
      <c r="C3033" s="10" t="s">
        <v>896</v>
      </c>
      <c r="D3033" s="28">
        <f>SUM(D3010:M3010)+D3027</f>
        <v>4708.2790601495317</v>
      </c>
      <c r="G3033" s="99" t="s">
        <v>937</v>
      </c>
      <c r="H3033" s="91"/>
      <c r="I3033" s="91"/>
      <c r="J3033" s="16">
        <f>D3035-D3021</f>
        <v>0</v>
      </c>
      <c r="K3033" s="99" t="s">
        <v>110</v>
      </c>
      <c r="L3033" s="91"/>
      <c r="M3033" s="91"/>
    </row>
    <row r="3034" spans="2:13" ht="15" customHeight="1" x14ac:dyDescent="0.2">
      <c r="B3034" s="10" t="s">
        <v>938</v>
      </c>
      <c r="C3034" s="10" t="s">
        <v>110</v>
      </c>
      <c r="D3034" s="16">
        <f>SUM(D3011:M3011)+D3028</f>
        <v>-113112.51786953473</v>
      </c>
    </row>
    <row r="3035" spans="2:13" ht="15" customHeight="1" x14ac:dyDescent="0.2">
      <c r="B3035" s="10" t="s">
        <v>939</v>
      </c>
      <c r="C3035" s="10" t="s">
        <v>110</v>
      </c>
      <c r="D3035" s="16">
        <f>SUM(D3018:M3018)+D3030/(Inputs!$D$7+$D$3024)^M2998</f>
        <v>57744.662559105913</v>
      </c>
    </row>
    <row r="3036" spans="2:13" ht="15" customHeight="1" x14ac:dyDescent="0.2">
      <c r="B3036" s="10" t="s">
        <v>940</v>
      </c>
      <c r="C3036" s="10" t="s">
        <v>104</v>
      </c>
      <c r="D3036" s="30">
        <f>IF(ABS(D3021)&gt;Inputs!$D$6,D3035/D3021-Inputs!$D$7,Inputs!$D$6)</f>
        <v>4.4408920985006262E-16</v>
      </c>
    </row>
    <row r="3037" spans="2:13" ht="15" customHeight="1" x14ac:dyDescent="0.2">
      <c r="B3037" s="10" t="s">
        <v>941</v>
      </c>
      <c r="C3037" s="10" t="s">
        <v>104</v>
      </c>
      <c r="D3037" s="30">
        <f>IF(ABS(D3035)&gt;Inputs!$D$119,D3030/(Inputs!$D$7+$D$3024)^M2998/D3035,Inputs!$D$6)</f>
        <v>0.55953036870994322</v>
      </c>
    </row>
    <row r="3038" spans="2:13" ht="15" customHeight="1" x14ac:dyDescent="0.2">
      <c r="B3038" s="10" t="s">
        <v>942</v>
      </c>
      <c r="C3038" s="10" t="s">
        <v>943</v>
      </c>
      <c r="D3038" s="26">
        <f>$D$3022*Inputs!$D$8/Prices!$P$6/(Inputs!$D$26/Inputs!$D$25)/Inputs!$D$11/Inputs!$D$56</f>
        <v>6.5992046874263028</v>
      </c>
    </row>
    <row r="3042" spans="1:13" ht="15" customHeight="1" x14ac:dyDescent="0.2">
      <c r="A3042" s="104" t="s">
        <v>1009</v>
      </c>
      <c r="B3042" s="10" t="s">
        <v>886</v>
      </c>
      <c r="C3042" s="10" t="s">
        <v>107</v>
      </c>
      <c r="D3042" s="28">
        <f>Inputs!$D$60</f>
        <v>1</v>
      </c>
      <c r="E3042" s="28">
        <f>Inputs!$D$62</f>
        <v>2</v>
      </c>
      <c r="F3042" s="28">
        <f>Inputs!$D$64</f>
        <v>3</v>
      </c>
      <c r="G3042" s="28">
        <f>Inputs!$D$66</f>
        <v>4</v>
      </c>
      <c r="H3042" s="28">
        <f>Inputs!$D$68</f>
        <v>5</v>
      </c>
      <c r="I3042" s="28">
        <f>Inputs!$D$70</f>
        <v>6</v>
      </c>
      <c r="J3042" s="28">
        <f>Inputs!$D$72</f>
        <v>7</v>
      </c>
      <c r="K3042" s="28">
        <f>Inputs!$D$74</f>
        <v>8</v>
      </c>
      <c r="L3042" s="28">
        <f>Inputs!$D$76</f>
        <v>9</v>
      </c>
      <c r="M3042" s="28">
        <f>Inputs!$D$78</f>
        <v>10</v>
      </c>
    </row>
    <row r="3043" spans="1:13" ht="15" customHeight="1" x14ac:dyDescent="0.2">
      <c r="A3043" s="91"/>
      <c r="B3043" s="10" t="s">
        <v>887</v>
      </c>
      <c r="C3043" s="10" t="s">
        <v>161</v>
      </c>
      <c r="D3043" s="29">
        <f>Inputs!$D$61</f>
        <v>46568</v>
      </c>
      <c r="E3043" s="29">
        <f>Inputs!$D$63</f>
        <v>46934</v>
      </c>
      <c r="F3043" s="29">
        <f>Inputs!$D$65</f>
        <v>47299</v>
      </c>
      <c r="G3043" s="29">
        <f>Inputs!$D$67</f>
        <v>47664</v>
      </c>
      <c r="H3043" s="29">
        <f>Inputs!$D$69</f>
        <v>48029</v>
      </c>
      <c r="I3043" s="29">
        <f>Inputs!$D$71</f>
        <v>48395</v>
      </c>
      <c r="J3043" s="29">
        <f>Inputs!$D$73</f>
        <v>48760</v>
      </c>
      <c r="K3043" s="29">
        <f>Inputs!$D$75</f>
        <v>49125</v>
      </c>
      <c r="L3043" s="29">
        <f>Inputs!$D$77</f>
        <v>49490</v>
      </c>
      <c r="M3043" s="29">
        <f>Inputs!$D$79</f>
        <v>49856</v>
      </c>
    </row>
    <row r="3044" spans="1:13" ht="15" customHeight="1" x14ac:dyDescent="0.2">
      <c r="A3044" s="91"/>
      <c r="B3044" s="10" t="s">
        <v>888</v>
      </c>
      <c r="C3044" s="10" t="s">
        <v>107</v>
      </c>
      <c r="D3044" s="28">
        <f>(D3043-Inputs!$D$13)/Inputs!$D$10</f>
        <v>0.71457905544147848</v>
      </c>
      <c r="E3044" s="28">
        <f>(E3043-Inputs!$D$13)/Inputs!$D$10</f>
        <v>1.7166324435318274</v>
      </c>
      <c r="F3044" s="28">
        <f>(F3043-Inputs!$D$13)/Inputs!$D$10</f>
        <v>2.7159479808350446</v>
      </c>
      <c r="G3044" s="28">
        <f>(G3043-Inputs!$D$13)/Inputs!$D$10</f>
        <v>3.7152635181382614</v>
      </c>
      <c r="H3044" s="28">
        <f>(H3043-Inputs!$D$13)/Inputs!$D$10</f>
        <v>4.7145790554414786</v>
      </c>
      <c r="I3044" s="28">
        <f>(I3043-Inputs!$D$13)/Inputs!$D$10</f>
        <v>5.7166324435318279</v>
      </c>
      <c r="J3044" s="28">
        <f>(J3043-Inputs!$D$13)/Inputs!$D$10</f>
        <v>6.7159479808350442</v>
      </c>
      <c r="K3044" s="28">
        <f>(K3043-Inputs!$D$13)/Inputs!$D$10</f>
        <v>7.7152635181382614</v>
      </c>
      <c r="L3044" s="28">
        <f>(L3043-Inputs!$D$13)/Inputs!$D$10</f>
        <v>8.7145790554414777</v>
      </c>
      <c r="M3044" s="28">
        <f>(M3043-Inputs!$D$13)/Inputs!$D$10</f>
        <v>9.716632443531827</v>
      </c>
    </row>
    <row r="3045" spans="1:13" ht="15" customHeight="1" x14ac:dyDescent="0.2">
      <c r="A3045" s="91"/>
      <c r="B3045" s="10" t="s">
        <v>889</v>
      </c>
      <c r="C3045" s="10" t="s">
        <v>107</v>
      </c>
      <c r="D3045" s="28">
        <f>D3044</f>
        <v>0.71457905544147848</v>
      </c>
      <c r="E3045" s="28">
        <f>Inputs!$D$7</f>
        <v>1</v>
      </c>
      <c r="F3045" s="28">
        <f>Inputs!$D$7</f>
        <v>1</v>
      </c>
      <c r="G3045" s="28">
        <f>Inputs!$D$7</f>
        <v>1</v>
      </c>
      <c r="H3045" s="28">
        <f>Inputs!$D$7</f>
        <v>1</v>
      </c>
      <c r="I3045" s="28">
        <f>Inputs!$D$7</f>
        <v>1</v>
      </c>
      <c r="J3045" s="28">
        <f>Inputs!$D$7</f>
        <v>1</v>
      </c>
      <c r="K3045" s="28">
        <f>Inputs!$D$7</f>
        <v>1</v>
      </c>
      <c r="L3045" s="28">
        <f>Inputs!$D$7</f>
        <v>1</v>
      </c>
      <c r="M3045" s="28">
        <f>Inputs!$D$7</f>
        <v>1</v>
      </c>
    </row>
    <row r="3046" spans="1:13" ht="15" customHeight="1" x14ac:dyDescent="0.2">
      <c r="A3046" s="91"/>
      <c r="B3046" s="3" t="s">
        <v>890</v>
      </c>
      <c r="C3046" s="10" t="s">
        <v>199</v>
      </c>
      <c r="D3046" s="28">
        <f>Inputs!$D$24+(Inputs!$D$80-Inputs!$D$24)*Inputs!$D$83</f>
        <v>305.5</v>
      </c>
      <c r="E3046" s="28">
        <f>Inputs!$D$24+(Inputs!$D$80-Inputs!$D$24)*Inputs!$D$84</f>
        <v>651.5</v>
      </c>
      <c r="F3046" s="28">
        <f>Inputs!$D$24+(Inputs!$D$80-Inputs!$D$24)*Inputs!$D$85</f>
        <v>911</v>
      </c>
      <c r="G3046" s="28">
        <f>Inputs!$D$24+(Inputs!$D$80-Inputs!$D$24)*Inputs!$D$86</f>
        <v>911</v>
      </c>
      <c r="H3046" s="28">
        <f>Inputs!$D$24+(Inputs!$D$80-Inputs!$D$24)*Inputs!$D$87</f>
        <v>911</v>
      </c>
      <c r="I3046" s="28">
        <f>Inputs!$D$24+(Inputs!$D$80-Inputs!$D$24)*Inputs!$D$88</f>
        <v>911</v>
      </c>
      <c r="J3046" s="28">
        <f>Inputs!$D$24+(Inputs!$D$80-Inputs!$D$24)*Inputs!$D$89</f>
        <v>911</v>
      </c>
      <c r="K3046" s="28">
        <f>Inputs!$D$24+(Inputs!$D$80-Inputs!$D$24)*Inputs!$D$90</f>
        <v>911</v>
      </c>
      <c r="L3046" s="28">
        <f>Inputs!$D$24+(Inputs!$D$80-Inputs!$D$24)*Inputs!$D$91</f>
        <v>911</v>
      </c>
      <c r="M3046" s="28">
        <f>Inputs!$D$24+(Inputs!$D$80-Inputs!$D$24)*Inputs!$D$92</f>
        <v>911</v>
      </c>
    </row>
    <row r="3047" spans="1:13" ht="15" customHeight="1" x14ac:dyDescent="0.2">
      <c r="A3047" s="91"/>
      <c r="B3047" s="10" t="s">
        <v>891</v>
      </c>
      <c r="C3047" s="10" t="s">
        <v>199</v>
      </c>
      <c r="D3047" s="28">
        <f>Inputs!$D$24</f>
        <v>46</v>
      </c>
      <c r="E3047" s="28">
        <f t="shared" ref="E3047:M3047" si="660">D3046</f>
        <v>305.5</v>
      </c>
      <c r="F3047" s="28">
        <f t="shared" si="660"/>
        <v>651.5</v>
      </c>
      <c r="G3047" s="28">
        <f t="shared" si="660"/>
        <v>911</v>
      </c>
      <c r="H3047" s="28">
        <f t="shared" si="660"/>
        <v>911</v>
      </c>
      <c r="I3047" s="28">
        <f t="shared" si="660"/>
        <v>911</v>
      </c>
      <c r="J3047" s="28">
        <f t="shared" si="660"/>
        <v>911</v>
      </c>
      <c r="K3047" s="28">
        <f t="shared" si="660"/>
        <v>911</v>
      </c>
      <c r="L3047" s="28">
        <f t="shared" si="660"/>
        <v>911</v>
      </c>
      <c r="M3047" s="28">
        <f t="shared" si="660"/>
        <v>911</v>
      </c>
    </row>
    <row r="3048" spans="1:13" ht="15" customHeight="1" x14ac:dyDescent="0.2">
      <c r="B3048" s="10" t="s">
        <v>892</v>
      </c>
      <c r="C3048" s="10" t="s">
        <v>199</v>
      </c>
      <c r="D3048" s="28">
        <f>(D3047+D3046)*Inputs!$D$12</f>
        <v>175.75</v>
      </c>
      <c r="E3048" s="28">
        <f>(E3047+E3046)*Inputs!$D$12</f>
        <v>478.5</v>
      </c>
      <c r="F3048" s="28">
        <f>(F3047+F3046)*Inputs!$D$12</f>
        <v>781.25</v>
      </c>
      <c r="G3048" s="28">
        <f>(G3047+G3046)*Inputs!$D$12</f>
        <v>911</v>
      </c>
      <c r="H3048" s="28">
        <f>(H3047+H3046)*Inputs!$D$12</f>
        <v>911</v>
      </c>
      <c r="I3048" s="28">
        <f>(I3047+I3046)*Inputs!$D$12</f>
        <v>911</v>
      </c>
      <c r="J3048" s="28">
        <f>(J3047+J3046)*Inputs!$D$12</f>
        <v>911</v>
      </c>
      <c r="K3048" s="28">
        <f>(K3047+K3046)*Inputs!$D$12</f>
        <v>911</v>
      </c>
      <c r="L3048" s="28">
        <f>(L3047+L3046)*Inputs!$D$12</f>
        <v>911</v>
      </c>
      <c r="M3048" s="28">
        <f>(M3047+M3046)*Inputs!$D$12</f>
        <v>911</v>
      </c>
    </row>
    <row r="3049" spans="1:13" ht="15" customHeight="1" x14ac:dyDescent="0.2">
      <c r="B3049" s="10" t="s">
        <v>893</v>
      </c>
      <c r="C3049" s="10" t="s">
        <v>199</v>
      </c>
      <c r="D3049" s="28">
        <f t="shared" ref="D3049:M3049" si="661">D3046-D3047</f>
        <v>259.5</v>
      </c>
      <c r="E3049" s="28">
        <f t="shared" si="661"/>
        <v>346</v>
      </c>
      <c r="F3049" s="28">
        <f t="shared" si="661"/>
        <v>259.5</v>
      </c>
      <c r="G3049" s="28">
        <f t="shared" si="661"/>
        <v>0</v>
      </c>
      <c r="H3049" s="28">
        <f t="shared" si="661"/>
        <v>0</v>
      </c>
      <c r="I3049" s="28">
        <f t="shared" si="661"/>
        <v>0</v>
      </c>
      <c r="J3049" s="28">
        <f t="shared" si="661"/>
        <v>0</v>
      </c>
      <c r="K3049" s="28">
        <f t="shared" si="661"/>
        <v>0</v>
      </c>
      <c r="L3049" s="28">
        <f t="shared" si="661"/>
        <v>0</v>
      </c>
      <c r="M3049" s="28">
        <f t="shared" si="661"/>
        <v>0</v>
      </c>
    </row>
    <row r="3050" spans="1:13" ht="15" customHeight="1" x14ac:dyDescent="0.2">
      <c r="B3050" s="10" t="s">
        <v>894</v>
      </c>
      <c r="C3050" s="10" t="s">
        <v>199</v>
      </c>
      <c r="D3050" s="28">
        <f>IF(MOD(D3042,Inputs!$D$21)=Inputs!$D$6,Inputs!$D$24,Inputs!$D$6)+SUMPRODUCT(--(D3042&gt;$D$3042:$M$3042),--(MOD(D3042-$D$3042:$M$3042,Inputs!$D$21)=Inputs!$D$6),$D$3049:$M$3049)</f>
        <v>0</v>
      </c>
      <c r="E3050" s="28">
        <f>IF(MOD(E3042,Inputs!$D$21)=Inputs!$D$6,Inputs!$D$24,Inputs!$D$6)+SUMPRODUCT(--(E3042&gt;$D$3042:$M$3042),--(MOD(E3042-$D$3042:$M$3042,Inputs!$D$21)=Inputs!$D$6),$D$3049:$M$3049)</f>
        <v>0</v>
      </c>
      <c r="F3050" s="28">
        <f>IF(MOD(F3042,Inputs!$D$21)=Inputs!$D$6,Inputs!$D$24,Inputs!$D$6)+SUMPRODUCT(--(F3042&gt;$D$3042:$M$3042),--(MOD(F3042-$D$3042:$M$3042,Inputs!$D$21)=Inputs!$D$6),$D$3049:$M$3049)</f>
        <v>0</v>
      </c>
      <c r="G3050" s="28">
        <f>IF(MOD(G3042,Inputs!$D$21)=Inputs!$D$6,Inputs!$D$24,Inputs!$D$6)+SUMPRODUCT(--(G3042&gt;$D$3042:$M$3042),--(MOD(G3042-$D$3042:$M$3042,Inputs!$D$21)=Inputs!$D$6),$D$3049:$M$3049)</f>
        <v>46</v>
      </c>
      <c r="H3050" s="28">
        <f>IF(MOD(H3042,Inputs!$D$21)=Inputs!$D$6,Inputs!$D$24,Inputs!$D$6)+SUMPRODUCT(--(H3042&gt;$D$3042:$M$3042),--(MOD(H3042-$D$3042:$M$3042,Inputs!$D$21)=Inputs!$D$6),$D$3049:$M$3049)</f>
        <v>259.5</v>
      </c>
      <c r="I3050" s="28">
        <f>IF(MOD(I3042,Inputs!$D$21)=Inputs!$D$6,Inputs!$D$24,Inputs!$D$6)+SUMPRODUCT(--(I3042&gt;$D$3042:$M$3042),--(MOD(I3042-$D$3042:$M$3042,Inputs!$D$21)=Inputs!$D$6),$D$3049:$M$3049)</f>
        <v>346</v>
      </c>
      <c r="J3050" s="28">
        <f>IF(MOD(J3042,Inputs!$D$21)=Inputs!$D$6,Inputs!$D$24,Inputs!$D$6)+SUMPRODUCT(--(J3042&gt;$D$3042:$M$3042),--(MOD(J3042-$D$3042:$M$3042,Inputs!$D$21)=Inputs!$D$6),$D$3049:$M$3049)</f>
        <v>259.5</v>
      </c>
      <c r="K3050" s="28">
        <f>IF(MOD(K3042,Inputs!$D$21)=Inputs!$D$6,Inputs!$D$24,Inputs!$D$6)+SUMPRODUCT(--(K3042&gt;$D$3042:$M$3042),--(MOD(K3042-$D$3042:$M$3042,Inputs!$D$21)=Inputs!$D$6),$D$3049:$M$3049)</f>
        <v>46</v>
      </c>
      <c r="L3050" s="28">
        <f>IF(MOD(L3042,Inputs!$D$21)=Inputs!$D$6,Inputs!$D$24,Inputs!$D$6)+SUMPRODUCT(--(L3042&gt;$D$3042:$M$3042),--(MOD(L3042-$D$3042:$M$3042,Inputs!$D$21)=Inputs!$D$6),$D$3049:$M$3049)</f>
        <v>259.5</v>
      </c>
      <c r="M3050" s="28">
        <f>IF(MOD(M3042,Inputs!$D$21)=Inputs!$D$6,Inputs!$D$24,Inputs!$D$6)+SUMPRODUCT(--(M3042&gt;$D$3042:$M$3042),--(MOD(M3042-$D$3042:$M$3042,Inputs!$D$21)=Inputs!$D$6),$D$3049:$M$3049)</f>
        <v>346</v>
      </c>
    </row>
    <row r="3051" spans="1:13" ht="15" customHeight="1" x14ac:dyDescent="0.2">
      <c r="B3051" s="10" t="s">
        <v>895</v>
      </c>
      <c r="C3051" s="10" t="s">
        <v>896</v>
      </c>
      <c r="D3051" s="28">
        <f t="shared" ref="D3051:M3051" si="662">D3048*D3045</f>
        <v>125.58726899383984</v>
      </c>
      <c r="E3051" s="28">
        <f t="shared" si="662"/>
        <v>478.5</v>
      </c>
      <c r="F3051" s="28">
        <f t="shared" si="662"/>
        <v>781.25</v>
      </c>
      <c r="G3051" s="28">
        <f t="shared" si="662"/>
        <v>911</v>
      </c>
      <c r="H3051" s="28">
        <f t="shared" si="662"/>
        <v>911</v>
      </c>
      <c r="I3051" s="28">
        <f t="shared" si="662"/>
        <v>911</v>
      </c>
      <c r="J3051" s="28">
        <f t="shared" si="662"/>
        <v>911</v>
      </c>
      <c r="K3051" s="28">
        <f t="shared" si="662"/>
        <v>911</v>
      </c>
      <c r="L3051" s="28">
        <f t="shared" si="662"/>
        <v>911</v>
      </c>
      <c r="M3051" s="28">
        <f t="shared" si="662"/>
        <v>911</v>
      </c>
    </row>
    <row r="3052" spans="1:13" ht="15" customHeight="1" x14ac:dyDescent="0.2">
      <c r="B3052" s="10" t="s">
        <v>897</v>
      </c>
      <c r="C3052" s="10" t="s">
        <v>110</v>
      </c>
      <c r="D3052" s="16">
        <f>D3051*($D$3071/Inputs!$D$21+$D$3072/Inputs!$D$22)</f>
        <v>1816.9772859324419</v>
      </c>
      <c r="E3052" s="16">
        <f>E3051*($D$3071/Inputs!$D$21+$D$3072/Inputs!$D$22)</f>
        <v>6922.8643817497086</v>
      </c>
      <c r="F3052" s="16">
        <f>F3051*($D$3071/Inputs!$D$21+$D$3072/Inputs!$D$22)</f>
        <v>11303.0048030135</v>
      </c>
      <c r="G3052" s="16">
        <f>G3051*($D$3071/Inputs!$D$21+$D$3072/Inputs!$D$22)</f>
        <v>13180.207840697982</v>
      </c>
      <c r="H3052" s="16">
        <f>H3051*($D$3071/Inputs!$D$21+$D$3072/Inputs!$D$22)</f>
        <v>13180.207840697982</v>
      </c>
      <c r="I3052" s="16">
        <f>I3051*($D$3071/Inputs!$D$21+$D$3072/Inputs!$D$22)</f>
        <v>13180.207840697982</v>
      </c>
      <c r="J3052" s="16">
        <f>J3051*($D$3071/Inputs!$D$21+$D$3072/Inputs!$D$22)</f>
        <v>13180.207840697982</v>
      </c>
      <c r="K3052" s="16">
        <f>K3051*($D$3071/Inputs!$D$21+$D$3072/Inputs!$D$22)</f>
        <v>13180.207840697982</v>
      </c>
      <c r="L3052" s="16">
        <f>L3051*($D$3071/Inputs!$D$21+$D$3072/Inputs!$D$22)</f>
        <v>13180.207840697982</v>
      </c>
      <c r="M3052" s="16">
        <f>M3051*($D$3071/Inputs!$D$21+$D$3072/Inputs!$D$22)</f>
        <v>13180.207840697982</v>
      </c>
    </row>
    <row r="3053" spans="1:13" ht="15" customHeight="1" x14ac:dyDescent="0.2">
      <c r="B3053" s="10" t="s">
        <v>898</v>
      </c>
      <c r="C3053" s="10" t="s">
        <v>110</v>
      </c>
      <c r="D3053" s="16">
        <f t="shared" ref="D3053:M3053" si="663">D3049*($D$3071+$D$3072)</f>
        <v>15560.968620146154</v>
      </c>
      <c r="E3053" s="16">
        <f t="shared" si="663"/>
        <v>20747.95816019487</v>
      </c>
      <c r="F3053" s="16">
        <f t="shared" si="663"/>
        <v>15560.968620146154</v>
      </c>
      <c r="G3053" s="16">
        <f t="shared" si="663"/>
        <v>0</v>
      </c>
      <c r="H3053" s="16">
        <f t="shared" si="663"/>
        <v>0</v>
      </c>
      <c r="I3053" s="16">
        <f t="shared" si="663"/>
        <v>0</v>
      </c>
      <c r="J3053" s="16">
        <f t="shared" si="663"/>
        <v>0</v>
      </c>
      <c r="K3053" s="16">
        <f t="shared" si="663"/>
        <v>0</v>
      </c>
      <c r="L3053" s="16">
        <f t="shared" si="663"/>
        <v>0</v>
      </c>
      <c r="M3053" s="16">
        <f t="shared" si="663"/>
        <v>0</v>
      </c>
    </row>
    <row r="3054" spans="1:13" ht="15" customHeight="1" x14ac:dyDescent="0.2">
      <c r="B3054" s="10" t="s">
        <v>899</v>
      </c>
      <c r="C3054" s="10" t="s">
        <v>110</v>
      </c>
      <c r="D3054" s="16">
        <f t="shared" ref="D3054:M3054" si="664">D3050*$D$3071</f>
        <v>0</v>
      </c>
      <c r="E3054" s="16">
        <f t="shared" si="664"/>
        <v>0</v>
      </c>
      <c r="F3054" s="16">
        <f t="shared" si="664"/>
        <v>0</v>
      </c>
      <c r="G3054" s="16">
        <f t="shared" si="664"/>
        <v>2638.0048485671714</v>
      </c>
      <c r="H3054" s="16">
        <f t="shared" si="664"/>
        <v>14881.788221808281</v>
      </c>
      <c r="I3054" s="16">
        <f t="shared" si="664"/>
        <v>19842.384295744378</v>
      </c>
      <c r="J3054" s="16">
        <f t="shared" si="664"/>
        <v>14881.788221808281</v>
      </c>
      <c r="K3054" s="16">
        <f t="shared" si="664"/>
        <v>2638.0048485671714</v>
      </c>
      <c r="L3054" s="16">
        <f t="shared" si="664"/>
        <v>14881.788221808281</v>
      </c>
      <c r="M3054" s="16">
        <f t="shared" si="664"/>
        <v>19842.384295744378</v>
      </c>
    </row>
    <row r="3055" spans="1:13" ht="15" customHeight="1" x14ac:dyDescent="0.2">
      <c r="B3055" s="10" t="s">
        <v>900</v>
      </c>
      <c r="C3055" s="10" t="s">
        <v>199</v>
      </c>
      <c r="D3055" s="28">
        <f>D3049*Inputs!$D$23</f>
        <v>6.4875000000000007</v>
      </c>
      <c r="E3055" s="28">
        <f>E3049*Inputs!$D$23</f>
        <v>8.65</v>
      </c>
      <c r="F3055" s="28">
        <f>F3049*Inputs!$D$23</f>
        <v>6.4875000000000007</v>
      </c>
      <c r="G3055" s="28">
        <f>G3049*Inputs!$D$23</f>
        <v>0</v>
      </c>
      <c r="H3055" s="28">
        <f>H3049*Inputs!$D$23</f>
        <v>0</v>
      </c>
      <c r="I3055" s="28">
        <f>I3049*Inputs!$D$23</f>
        <v>0</v>
      </c>
      <c r="J3055" s="28">
        <f>J3049*Inputs!$D$23</f>
        <v>0</v>
      </c>
      <c r="K3055" s="28">
        <f>K3049*Inputs!$D$23</f>
        <v>0</v>
      </c>
      <c r="L3055" s="28">
        <f>L3049*Inputs!$D$23</f>
        <v>0</v>
      </c>
      <c r="M3055" s="28">
        <f>M3049*Inputs!$D$23</f>
        <v>0</v>
      </c>
    </row>
    <row r="3056" spans="1:13" ht="15" customHeight="1" x14ac:dyDescent="0.2">
      <c r="B3056" s="3" t="s">
        <v>901</v>
      </c>
      <c r="C3056" s="10" t="s">
        <v>896</v>
      </c>
      <c r="D3056" s="28">
        <f>(D3051*$D$3069*(Inputs!$D$7-Inputs!$D$19)-D3055)/(Inputs!$D$7+$D$3070)^D3044</f>
        <v>43.213488846686175</v>
      </c>
      <c r="E3056" s="28">
        <f>(E3051*$D$3069*(Inputs!$D$7-Inputs!$D$19)-E3055)/(Inputs!$D$7+$D$3070)^E3044</f>
        <v>163.29332190458183</v>
      </c>
      <c r="F3056" s="28">
        <f>(F3051*$D$3069*(Inputs!$D$7-Inputs!$D$19)-F3055)/(Inputs!$D$7+$D$3070)^F3044</f>
        <v>248.28260771010829</v>
      </c>
      <c r="G3056" s="28">
        <f>(G3051*$D$3069*(Inputs!$D$7-Inputs!$D$19)-G3055)/(Inputs!$D$7+$D$3070)^G3044</f>
        <v>268.5238926419492</v>
      </c>
      <c r="H3056" s="28">
        <f>(H3051*$D$3069*(Inputs!$D$7-Inputs!$D$19)-H3055)/(Inputs!$D$7+$D$3070)^H3044</f>
        <v>244.12855518959191</v>
      </c>
      <c r="I3056" s="28">
        <f>(I3051*$D$3069*(Inputs!$D$7-Inputs!$D$19)-I3055)/(Inputs!$D$7+$D$3070)^I3044</f>
        <v>221.8916197826434</v>
      </c>
      <c r="J3056" s="28">
        <f>(J3051*$D$3069*(Inputs!$D$7-Inputs!$D$19)-J3055)/(Inputs!$D$7+$D$3070)^J3044</f>
        <v>201.73281421346593</v>
      </c>
      <c r="K3056" s="28">
        <f>(K3051*$D$3069*(Inputs!$D$7-Inputs!$D$19)-K3055)/(Inputs!$D$7+$D$3070)^K3044</f>
        <v>183.40543176145695</v>
      </c>
      <c r="L3056" s="28">
        <f>(L3051*$D$3069*(Inputs!$D$7-Inputs!$D$19)-L3055)/(Inputs!$D$7+$D$3070)^L3044</f>
        <v>166.74308803332551</v>
      </c>
      <c r="M3056" s="28">
        <f>(M3051*$D$3069*(Inputs!$D$7-Inputs!$D$19)-M3055)/(Inputs!$D$7+$D$3070)^M3044</f>
        <v>151.55496194429571</v>
      </c>
    </row>
    <row r="3057" spans="2:13" ht="15" customHeight="1" x14ac:dyDescent="0.2">
      <c r="B3057" s="10" t="s">
        <v>902</v>
      </c>
      <c r="C3057" s="10" t="s">
        <v>110</v>
      </c>
      <c r="D3057" s="16">
        <f>(D3052*Inputs!$D$19-D3053-D3054)/(Inputs!$D$7+$D$3070)^D3044</f>
        <v>-14027.24269342025</v>
      </c>
      <c r="E3057" s="16">
        <f>(E3052*Inputs!$D$19-E3053-E3054)/(Inputs!$D$7+$D$3070)^E3044</f>
        <v>-15853.087323826181</v>
      </c>
      <c r="F3057" s="16">
        <f>(F3052*Inputs!$D$19-F3053-F3054)/(Inputs!$D$7+$D$3070)^F3044</f>
        <v>-9394.4767487293357</v>
      </c>
      <c r="G3057" s="16">
        <f>(G3052*Inputs!$D$19-G3053-G3054)/(Inputs!$D$7+$D$3070)^G3044</f>
        <v>923.61320322684639</v>
      </c>
      <c r="H3057" s="16">
        <f>(H3052*Inputs!$D$19-H3053-H3054)/(Inputs!$D$7+$D$3070)^H3044</f>
        <v>-6972.3744918015345</v>
      </c>
      <c r="I3057" s="16">
        <f>(I3052*Inputs!$D$19-I3053-I3054)/(Inputs!$D$7+$D$3070)^I3044</f>
        <v>-9214.0648467907959</v>
      </c>
      <c r="J3057" s="16">
        <f>(J3052*Inputs!$D$19-J3053-J3054)/(Inputs!$D$7+$D$3070)^J3044</f>
        <v>-5761.5411965591911</v>
      </c>
      <c r="K3057" s="16">
        <f>(K3052*Inputs!$D$19-K3053-K3054)/(Inputs!$D$7+$D$3070)^K3044</f>
        <v>630.8402453567694</v>
      </c>
      <c r="L3057" s="16">
        <f>(L3052*Inputs!$D$19-L3053-L3054)/(Inputs!$D$7+$D$3070)^L3044</f>
        <v>-4762.2255937446444</v>
      </c>
      <c r="M3057" s="16">
        <f>(M3052*Inputs!$D$19-M3053-M3054)/(Inputs!$D$7+$D$3070)^M3044</f>
        <v>-6293.3302689644106</v>
      </c>
    </row>
    <row r="3058" spans="2:13" ht="15" customHeight="1" x14ac:dyDescent="0.2">
      <c r="B3058" s="10" t="s">
        <v>903</v>
      </c>
      <c r="C3058" s="10" t="s">
        <v>110</v>
      </c>
      <c r="D3058" s="16">
        <f t="shared" ref="D3058:M3058" si="665">D3051*$D$3068</f>
        <v>5435.6520344659666</v>
      </c>
      <c r="E3058" s="16">
        <f t="shared" si="665"/>
        <v>20710.375496894863</v>
      </c>
      <c r="F3058" s="16">
        <f t="shared" si="665"/>
        <v>33813.962083488223</v>
      </c>
      <c r="G3058" s="16">
        <f t="shared" si="665"/>
        <v>39429.784906313944</v>
      </c>
      <c r="H3058" s="16">
        <f t="shared" si="665"/>
        <v>39429.784906313944</v>
      </c>
      <c r="I3058" s="16">
        <f t="shared" si="665"/>
        <v>39429.784906313944</v>
      </c>
      <c r="J3058" s="16">
        <f t="shared" si="665"/>
        <v>39429.784906313944</v>
      </c>
      <c r="K3058" s="16">
        <f t="shared" si="665"/>
        <v>39429.784906313944</v>
      </c>
      <c r="L3058" s="16">
        <f t="shared" si="665"/>
        <v>39429.784906313944</v>
      </c>
      <c r="M3058" s="16">
        <f t="shared" si="665"/>
        <v>39429.784906313944</v>
      </c>
    </row>
    <row r="3059" spans="2:13" ht="15" customHeight="1" x14ac:dyDescent="0.2">
      <c r="B3059" s="10" t="s">
        <v>904</v>
      </c>
      <c r="C3059" s="10" t="s">
        <v>110</v>
      </c>
      <c r="D3059" s="16">
        <f t="shared" ref="D3059:M3059" si="666">D3058*$D$3069</f>
        <v>3261.3912206795799</v>
      </c>
      <c r="E3059" s="16">
        <f t="shared" si="666"/>
        <v>12426.225298136918</v>
      </c>
      <c r="F3059" s="16">
        <f t="shared" si="666"/>
        <v>20288.377250092934</v>
      </c>
      <c r="G3059" s="16">
        <f t="shared" si="666"/>
        <v>23657.870943788366</v>
      </c>
      <c r="H3059" s="16">
        <f t="shared" si="666"/>
        <v>23657.870943788366</v>
      </c>
      <c r="I3059" s="16">
        <f t="shared" si="666"/>
        <v>23657.870943788366</v>
      </c>
      <c r="J3059" s="16">
        <f t="shared" si="666"/>
        <v>23657.870943788366</v>
      </c>
      <c r="K3059" s="16">
        <f t="shared" si="666"/>
        <v>23657.870943788366</v>
      </c>
      <c r="L3059" s="16">
        <f t="shared" si="666"/>
        <v>23657.870943788366</v>
      </c>
      <c r="M3059" s="16">
        <f t="shared" si="666"/>
        <v>23657.870943788366</v>
      </c>
    </row>
    <row r="3060" spans="2:13" ht="15" customHeight="1" x14ac:dyDescent="0.2">
      <c r="B3060" s="10" t="s">
        <v>905</v>
      </c>
      <c r="C3060" s="10" t="s">
        <v>110</v>
      </c>
      <c r="D3060" s="16">
        <f t="shared" ref="D3060:M3060" si="667">D3059-D3052</f>
        <v>1444.413934747138</v>
      </c>
      <c r="E3060" s="16">
        <f t="shared" si="667"/>
        <v>5503.3609163872097</v>
      </c>
      <c r="F3060" s="16">
        <f t="shared" si="667"/>
        <v>8985.3724470794332</v>
      </c>
      <c r="G3060" s="16">
        <f t="shared" si="667"/>
        <v>10477.663103090385</v>
      </c>
      <c r="H3060" s="16">
        <f t="shared" si="667"/>
        <v>10477.663103090385</v>
      </c>
      <c r="I3060" s="16">
        <f t="shared" si="667"/>
        <v>10477.663103090385</v>
      </c>
      <c r="J3060" s="16">
        <f t="shared" si="667"/>
        <v>10477.663103090385</v>
      </c>
      <c r="K3060" s="16">
        <f t="shared" si="667"/>
        <v>10477.663103090385</v>
      </c>
      <c r="L3060" s="16">
        <f t="shared" si="667"/>
        <v>10477.663103090385</v>
      </c>
      <c r="M3060" s="16">
        <f t="shared" si="667"/>
        <v>10477.663103090385</v>
      </c>
    </row>
    <row r="3061" spans="2:13" ht="15" customHeight="1" x14ac:dyDescent="0.2">
      <c r="B3061" s="10" t="s">
        <v>906</v>
      </c>
      <c r="C3061" s="10" t="s">
        <v>110</v>
      </c>
      <c r="D3061" s="16">
        <f>MAX(D3060,Inputs!$D$6)*Inputs!$D$19</f>
        <v>433.32418042414139</v>
      </c>
      <c r="E3061" s="16">
        <f>MAX(E3060,Inputs!$D$6)*Inputs!$D$19</f>
        <v>1651.0082749161629</v>
      </c>
      <c r="F3061" s="16">
        <f>MAX(F3060,Inputs!$D$6)*Inputs!$D$19</f>
        <v>2695.61173412383</v>
      </c>
      <c r="G3061" s="16">
        <f>MAX(G3060,Inputs!$D$6)*Inputs!$D$19</f>
        <v>3143.2989309271152</v>
      </c>
      <c r="H3061" s="16">
        <f>MAX(H3060,Inputs!$D$6)*Inputs!$D$19</f>
        <v>3143.2989309271152</v>
      </c>
      <c r="I3061" s="16">
        <f>MAX(I3060,Inputs!$D$6)*Inputs!$D$19</f>
        <v>3143.2989309271152</v>
      </c>
      <c r="J3061" s="16">
        <f>MAX(J3060,Inputs!$D$6)*Inputs!$D$19</f>
        <v>3143.2989309271152</v>
      </c>
      <c r="K3061" s="16">
        <f>MAX(K3060,Inputs!$D$6)*Inputs!$D$19</f>
        <v>3143.2989309271152</v>
      </c>
      <c r="L3061" s="16">
        <f>MAX(L3060,Inputs!$D$6)*Inputs!$D$19</f>
        <v>3143.2989309271152</v>
      </c>
      <c r="M3061" s="16">
        <f>MAX(M3060,Inputs!$D$6)*Inputs!$D$19</f>
        <v>3143.2989309271152</v>
      </c>
    </row>
    <row r="3062" spans="2:13" ht="15" customHeight="1" x14ac:dyDescent="0.2">
      <c r="B3062" s="10" t="s">
        <v>907</v>
      </c>
      <c r="C3062" s="10" t="s">
        <v>110</v>
      </c>
      <c r="D3062" s="16">
        <f t="shared" ref="D3062:M3062" si="668">D3055*$D$3068</f>
        <v>280.79114114128623</v>
      </c>
      <c r="E3062" s="16">
        <f t="shared" si="668"/>
        <v>374.3881881883816</v>
      </c>
      <c r="F3062" s="16">
        <f t="shared" si="668"/>
        <v>280.79114114128623</v>
      </c>
      <c r="G3062" s="16">
        <f t="shared" si="668"/>
        <v>0</v>
      </c>
      <c r="H3062" s="16">
        <f t="shared" si="668"/>
        <v>0</v>
      </c>
      <c r="I3062" s="16">
        <f t="shared" si="668"/>
        <v>0</v>
      </c>
      <c r="J3062" s="16">
        <f t="shared" si="668"/>
        <v>0</v>
      </c>
      <c r="K3062" s="16">
        <f t="shared" si="668"/>
        <v>0</v>
      </c>
      <c r="L3062" s="16">
        <f t="shared" si="668"/>
        <v>0</v>
      </c>
      <c r="M3062" s="16">
        <f t="shared" si="668"/>
        <v>0</v>
      </c>
    </row>
    <row r="3063" spans="2:13" ht="15" customHeight="1" x14ac:dyDescent="0.2">
      <c r="B3063" s="10" t="s">
        <v>908</v>
      </c>
      <c r="C3063" s="10" t="s">
        <v>110</v>
      </c>
      <c r="D3063" s="16">
        <f t="shared" ref="D3063:M3063" si="669">D3059-D3061-D3053-D3054-D3062</f>
        <v>-13013.692721032001</v>
      </c>
      <c r="E3063" s="16">
        <f t="shared" si="669"/>
        <v>-10347.129325162496</v>
      </c>
      <c r="F3063" s="16">
        <f t="shared" si="669"/>
        <v>1751.0057546816622</v>
      </c>
      <c r="G3063" s="16">
        <f t="shared" si="669"/>
        <v>17876.56716429408</v>
      </c>
      <c r="H3063" s="16">
        <f t="shared" si="669"/>
        <v>5632.7837910529706</v>
      </c>
      <c r="I3063" s="16">
        <f t="shared" si="669"/>
        <v>672.18771711687441</v>
      </c>
      <c r="J3063" s="16">
        <f t="shared" si="669"/>
        <v>5632.7837910529706</v>
      </c>
      <c r="K3063" s="16">
        <f t="shared" si="669"/>
        <v>17876.56716429408</v>
      </c>
      <c r="L3063" s="16">
        <f t="shared" si="669"/>
        <v>5632.7837910529706</v>
      </c>
      <c r="M3063" s="16">
        <f t="shared" si="669"/>
        <v>672.18771711687441</v>
      </c>
    </row>
    <row r="3064" spans="2:13" ht="15" customHeight="1" x14ac:dyDescent="0.2">
      <c r="B3064" s="10" t="s">
        <v>909</v>
      </c>
      <c r="C3064" s="10" t="s">
        <v>110</v>
      </c>
      <c r="D3064" s="16">
        <f>D3063/(Inputs!$D$7+$D$3070)^D3044</f>
        <v>-12156.882023523178</v>
      </c>
      <c r="E3064" s="16">
        <f>E3063/(Inputs!$D$7+$D$3070)^E3044</f>
        <v>-8785.4467537546716</v>
      </c>
      <c r="F3064" s="16">
        <f>F3063/(Inputs!$D$7+$D$3070)^F3044</f>
        <v>1351.6591656376177</v>
      </c>
      <c r="G3064" s="16">
        <f>G3063/(Inputs!$D$7+$D$3070)^G3044</f>
        <v>12545.829810337927</v>
      </c>
      <c r="H3064" s="16">
        <f>H3063/(Inputs!$D$7+$D$3070)^H3044</f>
        <v>3593.9662553058229</v>
      </c>
      <c r="I3064" s="16">
        <f>I3063/(Inputs!$D$7+$D$3070)^I3044</f>
        <v>389.81972021603826</v>
      </c>
      <c r="J3064" s="16">
        <f>J3063/(Inputs!$D$7+$D$3070)^J3044</f>
        <v>2969.8325388769827</v>
      </c>
      <c r="K3064" s="16">
        <f>K3063/(Inputs!$D$7+$D$3070)^K3044</f>
        <v>8568.9705691810159</v>
      </c>
      <c r="L3064" s="16">
        <f>L3063/(Inputs!$D$7+$D$3070)^L3044</f>
        <v>2454.727310501893</v>
      </c>
      <c r="M3064" s="16">
        <f>M3063/(Inputs!$D$7+$D$3070)^M3044</f>
        <v>266.2521140742013</v>
      </c>
    </row>
    <row r="3065" spans="2:13" ht="15" customHeight="1" x14ac:dyDescent="0.2">
      <c r="B3065" s="3" t="s">
        <v>910</v>
      </c>
      <c r="C3065" s="10" t="s">
        <v>896</v>
      </c>
      <c r="D3065" s="28">
        <f>(D3051*$D$3069-D3055)/(Inputs!$D$7+$D$3070)^D3044</f>
        <v>64.330856237917445</v>
      </c>
      <c r="E3065" s="28">
        <f>(E3051*$D$3069-E3055)/(Inputs!$D$7+$D$3070)^E3044</f>
        <v>236.42380139523098</v>
      </c>
      <c r="F3065" s="28">
        <f>(F3051*$D$3069-F3055)/(Inputs!$D$7+$D$3070)^F3044</f>
        <v>356.83568908039001</v>
      </c>
      <c r="G3065" s="28">
        <f>(G3051*$D$3069-G3055)/(Inputs!$D$7+$D$3070)^G3044</f>
        <v>383.60556091707036</v>
      </c>
      <c r="H3065" s="28">
        <f>(H3051*$D$3069-H3055)/(Inputs!$D$7+$D$3070)^H3044</f>
        <v>348.75507884227414</v>
      </c>
      <c r="I3065" s="28">
        <f>(I3051*$D$3069-I3055)/(Inputs!$D$7+$D$3070)^I3044</f>
        <v>316.98802826091918</v>
      </c>
      <c r="J3065" s="28">
        <f>(J3051*$D$3069-J3055)/(Inputs!$D$7+$D$3070)^J3044</f>
        <v>288.18973459066564</v>
      </c>
      <c r="K3065" s="28">
        <f>(K3051*$D$3069-K3055)/(Inputs!$D$7+$D$3070)^K3044</f>
        <v>262.00775965922423</v>
      </c>
      <c r="L3065" s="28">
        <f>(L3051*$D$3069-L3055)/(Inputs!$D$7+$D$3070)^L3044</f>
        <v>238.2044114761793</v>
      </c>
      <c r="M3065" s="28">
        <f>(M3051*$D$3069-M3055)/(Inputs!$D$7+$D$3070)^M3044</f>
        <v>216.50708849185102</v>
      </c>
    </row>
    <row r="3066" spans="2:13" ht="15" customHeight="1" x14ac:dyDescent="0.2">
      <c r="B3066" s="10" t="s">
        <v>911</v>
      </c>
      <c r="C3066" s="10" t="s">
        <v>110</v>
      </c>
      <c r="D3066" s="16">
        <f>(-D3053-D3054)/(Inputs!$D$7+$D$3070)^D3044</f>
        <v>-14536.447397527105</v>
      </c>
      <c r="E3066" s="16">
        <f>(-E3053-E3054)/(Inputs!$D$7+$D$3070)^E3044</f>
        <v>-17616.488200475756</v>
      </c>
      <c r="F3066" s="16">
        <f>(-F3053-F3054)/(Inputs!$D$7+$D$3070)^F3044</f>
        <v>-12012.025548964448</v>
      </c>
      <c r="G3066" s="16">
        <f>(-G3053-G3054)/(Inputs!$D$7+$D$3070)^G3044</f>
        <v>-1851.359915178487</v>
      </c>
      <c r="H3066" s="16">
        <f>(-H3053-H3054)/(Inputs!$D$7+$D$3070)^H3044</f>
        <v>-9495.2419037884629</v>
      </c>
      <c r="I3066" s="16">
        <f>(-I3053-I3054)/(Inputs!$D$7+$D$3070)^I3044</f>
        <v>-11507.131858586603</v>
      </c>
      <c r="J3066" s="16">
        <f>(-J3053-J3054)/(Inputs!$D$7+$D$3070)^J3044</f>
        <v>-7846.2835672839774</v>
      </c>
      <c r="K3066" s="16">
        <f>(-K3053-K3054)/(Inputs!$D$7+$D$3070)^K3044</f>
        <v>-1264.5037327904422</v>
      </c>
      <c r="L3066" s="16">
        <f>(-L3053-L3054)/(Inputs!$D$7+$D$3070)^L3044</f>
        <v>-6485.3779822337692</v>
      </c>
      <c r="M3066" s="16">
        <f>(-M3053-M3054)/(Inputs!$D$7+$D$3070)^M3044</f>
        <v>-7859.5258920747219</v>
      </c>
    </row>
    <row r="3067" spans="2:13" ht="15" customHeight="1" x14ac:dyDescent="0.2">
      <c r="B3067" s="10" t="s">
        <v>912</v>
      </c>
      <c r="C3067" s="10" t="s">
        <v>110</v>
      </c>
      <c r="D3067" s="16">
        <f>Prices!I17</f>
        <v>43559.249176099729</v>
      </c>
    </row>
    <row r="3068" spans="2:13" ht="15" customHeight="1" x14ac:dyDescent="0.2">
      <c r="B3068" s="3" t="s">
        <v>913</v>
      </c>
      <c r="C3068" s="10" t="s">
        <v>914</v>
      </c>
      <c r="D3068" s="28">
        <f>IF(J3075&gt;=J3071,J3075,(D3067-J3074)/J3073)</f>
        <v>43.281871466864921</v>
      </c>
      <c r="G3068" s="99" t="s">
        <v>915</v>
      </c>
      <c r="H3068" s="91"/>
      <c r="I3068" s="91"/>
      <c r="J3068" s="28">
        <f>D3068*Inputs!$D$15</f>
        <v>30.206418096725027</v>
      </c>
      <c r="K3068" s="99" t="s">
        <v>916</v>
      </c>
      <c r="L3068" s="91"/>
      <c r="M3068" s="91"/>
    </row>
    <row r="3069" spans="2:13" ht="15" customHeight="1" x14ac:dyDescent="0.2">
      <c r="B3069" s="10" t="s">
        <v>917</v>
      </c>
      <c r="C3069" s="10" t="s">
        <v>104</v>
      </c>
      <c r="D3069" s="30">
        <f>Inputs!$D$81</f>
        <v>0.6</v>
      </c>
      <c r="G3069" s="99" t="s">
        <v>918</v>
      </c>
      <c r="H3069" s="91"/>
      <c r="I3069" s="91"/>
      <c r="J3069" s="28">
        <f>IF(-D3080/D3079&gt;=J3071,-D3080/D3079,-J3074/J3073)</f>
        <v>32.284876648616972</v>
      </c>
      <c r="K3069" s="99" t="s">
        <v>919</v>
      </c>
      <c r="L3069" s="91"/>
      <c r="M3069" s="91"/>
    </row>
    <row r="3070" spans="2:13" ht="15" customHeight="1" x14ac:dyDescent="0.2">
      <c r="B3070" s="10" t="s">
        <v>920</v>
      </c>
      <c r="C3070" s="10" t="s">
        <v>104</v>
      </c>
      <c r="D3070" s="30">
        <f>Inputs!$D$82</f>
        <v>0.1</v>
      </c>
      <c r="G3070" s="99" t="s">
        <v>918</v>
      </c>
      <c r="H3070" s="91"/>
      <c r="I3070" s="91"/>
      <c r="J3070" s="28">
        <f>J3069*Inputs!$D$15</f>
        <v>22.531615413069783</v>
      </c>
      <c r="K3070" s="99" t="s">
        <v>916</v>
      </c>
      <c r="L3070" s="91"/>
      <c r="M3070" s="91"/>
    </row>
    <row r="3071" spans="2:13" ht="15" customHeight="1" x14ac:dyDescent="0.2">
      <c r="B3071" s="3" t="s">
        <v>921</v>
      </c>
      <c r="C3071" s="10" t="s">
        <v>848</v>
      </c>
      <c r="D3071" s="28">
        <f>Capital!$D$13</f>
        <v>57.347931490590682</v>
      </c>
      <c r="G3071" s="99" t="s">
        <v>922</v>
      </c>
      <c r="H3071" s="91"/>
      <c r="I3071" s="91"/>
      <c r="J3071" s="28">
        <f>($D$3071/Inputs!$D$21+$D$3072/Inputs!$D$22)/$D$3069</f>
        <v>24.113076913095469</v>
      </c>
      <c r="K3071" s="99" t="s">
        <v>919</v>
      </c>
      <c r="L3071" s="91"/>
      <c r="M3071" s="91"/>
    </row>
    <row r="3072" spans="2:13" ht="15" customHeight="1" x14ac:dyDescent="0.2">
      <c r="B3072" s="3" t="s">
        <v>923</v>
      </c>
      <c r="C3072" s="10" t="s">
        <v>848</v>
      </c>
      <c r="D3072" s="28">
        <f>Capital!$D$14</f>
        <v>2.6172655041921802</v>
      </c>
    </row>
    <row r="3073" spans="1:13" ht="15" customHeight="1" x14ac:dyDescent="0.2">
      <c r="B3073" s="10" t="s">
        <v>924</v>
      </c>
      <c r="C3073" s="10" t="s">
        <v>896</v>
      </c>
      <c r="D3073" s="28">
        <f>(M3046*(Inputs!$D$7+Inputs!$D$20)*$D$3069*(Inputs!$D$7-Inputs!$D$19)-M3046*Inputs!$D$20*Inputs!$D$23)/($D$3070-Inputs!$D$20)/(Inputs!$D$7+$D$3070)^M3044</f>
        <v>2068.2441036763203</v>
      </c>
      <c r="G3073" s="92" t="s">
        <v>910</v>
      </c>
      <c r="H3073" s="91"/>
      <c r="I3073" s="91"/>
      <c r="J3073" s="28">
        <f>SUM(D3065:M3065)+(M3046*(Inputs!$D$7+Inputs!$D$20)*$D$3069-M3046*Inputs!$D$20*Inputs!$D$23)/($D$3070-Inputs!$D$20)/(Inputs!$D$7+$D$3070)^M3044</f>
        <v>5667.7711754446318</v>
      </c>
      <c r="K3073" s="99" t="s">
        <v>896</v>
      </c>
      <c r="L3073" s="91"/>
      <c r="M3073" s="91"/>
    </row>
    <row r="3074" spans="1:13" ht="15" customHeight="1" x14ac:dyDescent="0.2">
      <c r="B3074" s="10" t="s">
        <v>925</v>
      </c>
      <c r="C3074" s="10" t="s">
        <v>110</v>
      </c>
      <c r="D3074" s="16">
        <f>(D3077*Inputs!$D$19-D3077-D3078)/($D$3070-Inputs!$D$20)/(Inputs!$D$7+$D$3070)^M3044</f>
        <v>-57156.954988173631</v>
      </c>
      <c r="G3074" s="92" t="s">
        <v>926</v>
      </c>
      <c r="H3074" s="91"/>
      <c r="I3074" s="91"/>
      <c r="J3074" s="16">
        <f>SUM(D3066:M3066)-(D3077+D3078)/($D$3070-Inputs!$D$20)/(Inputs!$D$7+$D$3070)^M3044</f>
        <v>-169036.01450291832</v>
      </c>
      <c r="K3074" s="99" t="s">
        <v>110</v>
      </c>
      <c r="L3074" s="91"/>
      <c r="M3074" s="91"/>
    </row>
    <row r="3075" spans="1:13" ht="15" customHeight="1" x14ac:dyDescent="0.2">
      <c r="B3075" s="10" t="s">
        <v>927</v>
      </c>
      <c r="C3075" s="10" t="s">
        <v>928</v>
      </c>
      <c r="D3075" s="16">
        <f>(M3046*(Inputs!$D$7+Inputs!$D$20)*$D$3068*$D$3069-D3077)-MAX((M3046*(Inputs!$D$7+Inputs!$D$20)*$D$3068*$D$3069-D3077),Inputs!$D$6)*Inputs!$D$19-D3078-M3046*Inputs!$D$20*$D$3068*Inputs!$D$23</f>
        <v>6127.3722993447218</v>
      </c>
      <c r="G3075" s="99" t="s">
        <v>929</v>
      </c>
      <c r="H3075" s="91"/>
      <c r="I3075" s="91"/>
      <c r="J3075" s="28">
        <f>(D3067-D3080)/D3079</f>
        <v>43.281871466864921</v>
      </c>
      <c r="K3075" s="99" t="s">
        <v>919</v>
      </c>
      <c r="L3075" s="91"/>
      <c r="M3075" s="91"/>
    </row>
    <row r="3076" spans="1:13" ht="15" customHeight="1" x14ac:dyDescent="0.2">
      <c r="B3076" s="10" t="s">
        <v>930</v>
      </c>
      <c r="C3076" s="10" t="s">
        <v>110</v>
      </c>
      <c r="D3076" s="16">
        <f>D3075/($D$3070-Inputs!$D$20)</f>
        <v>81698.297324596278</v>
      </c>
      <c r="G3076" s="99" t="s">
        <v>931</v>
      </c>
      <c r="H3076" s="91"/>
      <c r="I3076" s="91"/>
      <c r="J3076" s="16">
        <f>MIN(D3060:M3060,(M3046*(Inputs!$D$7+Inputs!$D$20)*$D$3068*$D$3069-D3077))</f>
        <v>1444.413934747138</v>
      </c>
      <c r="K3076" s="99" t="s">
        <v>110</v>
      </c>
      <c r="L3076" s="91"/>
      <c r="M3076" s="91"/>
    </row>
    <row r="3077" spans="1:13" ht="15" customHeight="1" x14ac:dyDescent="0.2">
      <c r="B3077" s="10" t="s">
        <v>932</v>
      </c>
      <c r="C3077" s="10" t="s">
        <v>928</v>
      </c>
      <c r="D3077" s="16">
        <f>M3046*(Inputs!$D$7+Inputs!$D$20)*($D$3071/Inputs!$D$21+$D$3072/Inputs!$D$22)</f>
        <v>13509.71303671543</v>
      </c>
      <c r="G3077" s="99" t="s">
        <v>933</v>
      </c>
      <c r="H3077" s="91"/>
      <c r="I3077" s="91"/>
      <c r="J3077" s="31" t="str">
        <f>IF(J3076&lt;Inputs!$D$6,"breached","satisfied")</f>
        <v>satisfied</v>
      </c>
      <c r="K3077" s="99" t="s">
        <v>934</v>
      </c>
      <c r="L3077" s="91"/>
      <c r="M3077" s="91"/>
    </row>
    <row r="3078" spans="1:13" ht="15" customHeight="1" x14ac:dyDescent="0.2">
      <c r="B3078" s="10" t="s">
        <v>935</v>
      </c>
      <c r="C3078" s="10" t="s">
        <v>928</v>
      </c>
      <c r="D3078" s="16">
        <f>M3046*Inputs!$D$20*($D$3071+$D$3072)</f>
        <v>1365.7073615561799</v>
      </c>
    </row>
    <row r="3079" spans="1:13" ht="15" customHeight="1" x14ac:dyDescent="0.2">
      <c r="B3079" s="10" t="s">
        <v>936</v>
      </c>
      <c r="C3079" s="10" t="s">
        <v>896</v>
      </c>
      <c r="D3079" s="28">
        <f>SUM(D3056:M3056)+D3073</f>
        <v>3961.0138857044249</v>
      </c>
      <c r="G3079" s="99" t="s">
        <v>937</v>
      </c>
      <c r="H3079" s="91"/>
      <c r="I3079" s="91"/>
      <c r="J3079" s="16">
        <f>D3081-D3067</f>
        <v>0</v>
      </c>
      <c r="K3079" s="99" t="s">
        <v>110</v>
      </c>
      <c r="L3079" s="91"/>
      <c r="M3079" s="91"/>
    </row>
    <row r="3080" spans="1:13" ht="15" customHeight="1" x14ac:dyDescent="0.2">
      <c r="B3080" s="10" t="s">
        <v>938</v>
      </c>
      <c r="C3080" s="10" t="s">
        <v>110</v>
      </c>
      <c r="D3080" s="16">
        <f>SUM(D3057:M3057)+D3074</f>
        <v>-127880.84470342637</v>
      </c>
    </row>
    <row r="3081" spans="1:13" ht="15" customHeight="1" x14ac:dyDescent="0.2">
      <c r="B3081" s="10" t="s">
        <v>939</v>
      </c>
      <c r="C3081" s="10" t="s">
        <v>110</v>
      </c>
      <c r="D3081" s="16">
        <f>SUM(D3064:M3064)+D3076/(Inputs!$D$7+$D$3070)^M3044</f>
        <v>43559.249176099758</v>
      </c>
    </row>
    <row r="3082" spans="1:13" ht="15" customHeight="1" x14ac:dyDescent="0.2">
      <c r="B3082" s="10" t="s">
        <v>940</v>
      </c>
      <c r="C3082" s="10" t="s">
        <v>104</v>
      </c>
      <c r="D3082" s="30">
        <f>IF(ABS(D3067)&gt;Inputs!$D$6,D3081/D3067-Inputs!$D$7,Inputs!$D$6)</f>
        <v>6.6613381477509392E-16</v>
      </c>
    </row>
    <row r="3083" spans="1:13" ht="15" customHeight="1" x14ac:dyDescent="0.2">
      <c r="B3083" s="10" t="s">
        <v>941</v>
      </c>
      <c r="C3083" s="10" t="s">
        <v>104</v>
      </c>
      <c r="D3083" s="30">
        <f>IF(ABS(D3081)&gt;Inputs!$D$119,D3076/(Inputs!$D$7+$D$3070)^M3044/D3081,Inputs!$D$6)</f>
        <v>0.74290813274627765</v>
      </c>
    </row>
    <row r="3084" spans="1:13" ht="15" customHeight="1" x14ac:dyDescent="0.2">
      <c r="B3084" s="10" t="s">
        <v>942</v>
      </c>
      <c r="C3084" s="10" t="s">
        <v>943</v>
      </c>
      <c r="D3084" s="26">
        <f>$D$3068*Inputs!$D$8/Prices!$P$6/(Inputs!$D$26/Inputs!$D$25)/Inputs!$D$11/Inputs!$D$56</f>
        <v>7.8709397959006555</v>
      </c>
    </row>
    <row r="3088" spans="1:13" ht="15" customHeight="1" x14ac:dyDescent="0.2">
      <c r="A3088" s="104" t="s">
        <v>1010</v>
      </c>
      <c r="B3088" s="10" t="s">
        <v>886</v>
      </c>
      <c r="C3088" s="10" t="s">
        <v>107</v>
      </c>
      <c r="D3088" s="28">
        <f>Inputs!$D$60</f>
        <v>1</v>
      </c>
      <c r="E3088" s="28">
        <f>Inputs!$D$62</f>
        <v>2</v>
      </c>
      <c r="F3088" s="28">
        <f>Inputs!$D$64</f>
        <v>3</v>
      </c>
      <c r="G3088" s="28">
        <f>Inputs!$D$66</f>
        <v>4</v>
      </c>
      <c r="H3088" s="28">
        <f>Inputs!$D$68</f>
        <v>5</v>
      </c>
      <c r="I3088" s="28">
        <f>Inputs!$D$70</f>
        <v>6</v>
      </c>
      <c r="J3088" s="28">
        <f>Inputs!$D$72</f>
        <v>7</v>
      </c>
      <c r="K3088" s="28">
        <f>Inputs!$D$74</f>
        <v>8</v>
      </c>
      <c r="L3088" s="28">
        <f>Inputs!$D$76</f>
        <v>9</v>
      </c>
      <c r="M3088" s="28">
        <f>Inputs!$D$78</f>
        <v>10</v>
      </c>
    </row>
    <row r="3089" spans="1:13" ht="15" customHeight="1" x14ac:dyDescent="0.2">
      <c r="A3089" s="91"/>
      <c r="B3089" s="10" t="s">
        <v>887</v>
      </c>
      <c r="C3089" s="10" t="s">
        <v>161</v>
      </c>
      <c r="D3089" s="29">
        <f>Inputs!$D$61</f>
        <v>46568</v>
      </c>
      <c r="E3089" s="29">
        <f>Inputs!$D$63</f>
        <v>46934</v>
      </c>
      <c r="F3089" s="29">
        <f>Inputs!$D$65</f>
        <v>47299</v>
      </c>
      <c r="G3089" s="29">
        <f>Inputs!$D$67</f>
        <v>47664</v>
      </c>
      <c r="H3089" s="29">
        <f>Inputs!$D$69</f>
        <v>48029</v>
      </c>
      <c r="I3089" s="29">
        <f>Inputs!$D$71</f>
        <v>48395</v>
      </c>
      <c r="J3089" s="29">
        <f>Inputs!$D$73</f>
        <v>48760</v>
      </c>
      <c r="K3089" s="29">
        <f>Inputs!$D$75</f>
        <v>49125</v>
      </c>
      <c r="L3089" s="29">
        <f>Inputs!$D$77</f>
        <v>49490</v>
      </c>
      <c r="M3089" s="29">
        <f>Inputs!$D$79</f>
        <v>49856</v>
      </c>
    </row>
    <row r="3090" spans="1:13" ht="15" customHeight="1" x14ac:dyDescent="0.2">
      <c r="A3090" s="91"/>
      <c r="B3090" s="10" t="s">
        <v>888</v>
      </c>
      <c r="C3090" s="10" t="s">
        <v>107</v>
      </c>
      <c r="D3090" s="28">
        <f>(D3089-Inputs!$D$13)/Inputs!$D$10</f>
        <v>0.71457905544147848</v>
      </c>
      <c r="E3090" s="28">
        <f>(E3089-Inputs!$D$13)/Inputs!$D$10</f>
        <v>1.7166324435318274</v>
      </c>
      <c r="F3090" s="28">
        <f>(F3089-Inputs!$D$13)/Inputs!$D$10</f>
        <v>2.7159479808350446</v>
      </c>
      <c r="G3090" s="28">
        <f>(G3089-Inputs!$D$13)/Inputs!$D$10</f>
        <v>3.7152635181382614</v>
      </c>
      <c r="H3090" s="28">
        <f>(H3089-Inputs!$D$13)/Inputs!$D$10</f>
        <v>4.7145790554414786</v>
      </c>
      <c r="I3090" s="28">
        <f>(I3089-Inputs!$D$13)/Inputs!$D$10</f>
        <v>5.7166324435318279</v>
      </c>
      <c r="J3090" s="28">
        <f>(J3089-Inputs!$D$13)/Inputs!$D$10</f>
        <v>6.7159479808350442</v>
      </c>
      <c r="K3090" s="28">
        <f>(K3089-Inputs!$D$13)/Inputs!$D$10</f>
        <v>7.7152635181382614</v>
      </c>
      <c r="L3090" s="28">
        <f>(L3089-Inputs!$D$13)/Inputs!$D$10</f>
        <v>8.7145790554414777</v>
      </c>
      <c r="M3090" s="28">
        <f>(M3089-Inputs!$D$13)/Inputs!$D$10</f>
        <v>9.716632443531827</v>
      </c>
    </row>
    <row r="3091" spans="1:13" ht="15" customHeight="1" x14ac:dyDescent="0.2">
      <c r="A3091" s="91"/>
      <c r="B3091" s="10" t="s">
        <v>889</v>
      </c>
      <c r="C3091" s="10" t="s">
        <v>107</v>
      </c>
      <c r="D3091" s="28">
        <f>D3090</f>
        <v>0.71457905544147848</v>
      </c>
      <c r="E3091" s="28">
        <f>Inputs!$D$7</f>
        <v>1</v>
      </c>
      <c r="F3091" s="28">
        <f>Inputs!$D$7</f>
        <v>1</v>
      </c>
      <c r="G3091" s="28">
        <f>Inputs!$D$7</f>
        <v>1</v>
      </c>
      <c r="H3091" s="28">
        <f>Inputs!$D$7</f>
        <v>1</v>
      </c>
      <c r="I3091" s="28">
        <f>Inputs!$D$7</f>
        <v>1</v>
      </c>
      <c r="J3091" s="28">
        <f>Inputs!$D$7</f>
        <v>1</v>
      </c>
      <c r="K3091" s="28">
        <f>Inputs!$D$7</f>
        <v>1</v>
      </c>
      <c r="L3091" s="28">
        <f>Inputs!$D$7</f>
        <v>1</v>
      </c>
      <c r="M3091" s="28">
        <f>Inputs!$D$7</f>
        <v>1</v>
      </c>
    </row>
    <row r="3092" spans="1:13" ht="15" customHeight="1" x14ac:dyDescent="0.2">
      <c r="A3092" s="91"/>
      <c r="B3092" s="3" t="s">
        <v>890</v>
      </c>
      <c r="C3092" s="10" t="s">
        <v>199</v>
      </c>
      <c r="D3092" s="28">
        <f>Inputs!$D$24+(Inputs!$D$93-Inputs!$D$24)*Inputs!$D$96</f>
        <v>279.10000000000002</v>
      </c>
      <c r="E3092" s="28">
        <f>Inputs!$D$24+(Inputs!$D$93-Inputs!$D$24)*Inputs!$D$97</f>
        <v>900.7</v>
      </c>
      <c r="F3092" s="28">
        <f>Inputs!$D$24+(Inputs!$D$93-Inputs!$D$24)*Inputs!$D$98</f>
        <v>1366.8999999999999</v>
      </c>
      <c r="G3092" s="28">
        <f>Inputs!$D$24+(Inputs!$D$93-Inputs!$D$24)*Inputs!$D$99</f>
        <v>1600</v>
      </c>
      <c r="H3092" s="28">
        <f>Inputs!$D$24+(Inputs!$D$93-Inputs!$D$24)*Inputs!$D$100</f>
        <v>1600</v>
      </c>
      <c r="I3092" s="28">
        <f>Inputs!$D$24+(Inputs!$D$93-Inputs!$D$24)*Inputs!$D$101</f>
        <v>1600</v>
      </c>
      <c r="J3092" s="28">
        <f>Inputs!$D$24+(Inputs!$D$93-Inputs!$D$24)*Inputs!$D$102</f>
        <v>1600</v>
      </c>
      <c r="K3092" s="28">
        <f>Inputs!$D$24+(Inputs!$D$93-Inputs!$D$24)*Inputs!$D$103</f>
        <v>1600</v>
      </c>
      <c r="L3092" s="28">
        <f>Inputs!$D$24+(Inputs!$D$93-Inputs!$D$24)*Inputs!$D$104</f>
        <v>1600</v>
      </c>
      <c r="M3092" s="28">
        <f>Inputs!$D$24+(Inputs!$D$93-Inputs!$D$24)*Inputs!$D$105</f>
        <v>1600</v>
      </c>
    </row>
    <row r="3093" spans="1:13" ht="15" customHeight="1" x14ac:dyDescent="0.2">
      <c r="A3093" s="91"/>
      <c r="B3093" s="10" t="s">
        <v>891</v>
      </c>
      <c r="C3093" s="10" t="s">
        <v>199</v>
      </c>
      <c r="D3093" s="28">
        <f>Inputs!$D$24</f>
        <v>46</v>
      </c>
      <c r="E3093" s="28">
        <f t="shared" ref="E3093:M3093" si="670">D3092</f>
        <v>279.10000000000002</v>
      </c>
      <c r="F3093" s="28">
        <f t="shared" si="670"/>
        <v>900.7</v>
      </c>
      <c r="G3093" s="28">
        <f t="shared" si="670"/>
        <v>1366.8999999999999</v>
      </c>
      <c r="H3093" s="28">
        <f t="shared" si="670"/>
        <v>1600</v>
      </c>
      <c r="I3093" s="28">
        <f t="shared" si="670"/>
        <v>1600</v>
      </c>
      <c r="J3093" s="28">
        <f t="shared" si="670"/>
        <v>1600</v>
      </c>
      <c r="K3093" s="28">
        <f t="shared" si="670"/>
        <v>1600</v>
      </c>
      <c r="L3093" s="28">
        <f t="shared" si="670"/>
        <v>1600</v>
      </c>
      <c r="M3093" s="28">
        <f t="shared" si="670"/>
        <v>1600</v>
      </c>
    </row>
    <row r="3094" spans="1:13" ht="15" customHeight="1" x14ac:dyDescent="0.2">
      <c r="B3094" s="10" t="s">
        <v>892</v>
      </c>
      <c r="C3094" s="10" t="s">
        <v>199</v>
      </c>
      <c r="D3094" s="28">
        <f>(D3093+D3092)*Inputs!$D$12</f>
        <v>162.55000000000001</v>
      </c>
      <c r="E3094" s="28">
        <f>(E3093+E3092)*Inputs!$D$12</f>
        <v>589.90000000000009</v>
      </c>
      <c r="F3094" s="28">
        <f>(F3093+F3092)*Inputs!$D$12</f>
        <v>1133.8</v>
      </c>
      <c r="G3094" s="28">
        <f>(G3093+G3092)*Inputs!$D$12</f>
        <v>1483.4499999999998</v>
      </c>
      <c r="H3094" s="28">
        <f>(H3093+H3092)*Inputs!$D$12</f>
        <v>1600</v>
      </c>
      <c r="I3094" s="28">
        <f>(I3093+I3092)*Inputs!$D$12</f>
        <v>1600</v>
      </c>
      <c r="J3094" s="28">
        <f>(J3093+J3092)*Inputs!$D$12</f>
        <v>1600</v>
      </c>
      <c r="K3094" s="28">
        <f>(K3093+K3092)*Inputs!$D$12</f>
        <v>1600</v>
      </c>
      <c r="L3094" s="28">
        <f>(L3093+L3092)*Inputs!$D$12</f>
        <v>1600</v>
      </c>
      <c r="M3094" s="28">
        <f>(M3093+M3092)*Inputs!$D$12</f>
        <v>1600</v>
      </c>
    </row>
    <row r="3095" spans="1:13" ht="15" customHeight="1" x14ac:dyDescent="0.2">
      <c r="B3095" s="10" t="s">
        <v>893</v>
      </c>
      <c r="C3095" s="10" t="s">
        <v>199</v>
      </c>
      <c r="D3095" s="28">
        <f t="shared" ref="D3095:M3095" si="671">D3092-D3093</f>
        <v>233.10000000000002</v>
      </c>
      <c r="E3095" s="28">
        <f t="shared" si="671"/>
        <v>621.6</v>
      </c>
      <c r="F3095" s="28">
        <f t="shared" si="671"/>
        <v>466.19999999999982</v>
      </c>
      <c r="G3095" s="28">
        <f t="shared" si="671"/>
        <v>233.10000000000014</v>
      </c>
      <c r="H3095" s="28">
        <f t="shared" si="671"/>
        <v>0</v>
      </c>
      <c r="I3095" s="28">
        <f t="shared" si="671"/>
        <v>0</v>
      </c>
      <c r="J3095" s="28">
        <f t="shared" si="671"/>
        <v>0</v>
      </c>
      <c r="K3095" s="28">
        <f t="shared" si="671"/>
        <v>0</v>
      </c>
      <c r="L3095" s="28">
        <f t="shared" si="671"/>
        <v>0</v>
      </c>
      <c r="M3095" s="28">
        <f t="shared" si="671"/>
        <v>0</v>
      </c>
    </row>
    <row r="3096" spans="1:13" ht="15" customHeight="1" x14ac:dyDescent="0.2">
      <c r="B3096" s="10" t="s">
        <v>894</v>
      </c>
      <c r="C3096" s="10" t="s">
        <v>199</v>
      </c>
      <c r="D3096" s="28">
        <f>IF(MOD(D3088,Inputs!$D$21)=Inputs!$D$6,Inputs!$D$24,Inputs!$D$6)+SUMPRODUCT(--(D3088&gt;$D$3088:$M$3088),--(MOD(D3088-$D$3088:$M$3088,Inputs!$D$21)=Inputs!$D$6),$D$3095:$M$3095)</f>
        <v>0</v>
      </c>
      <c r="E3096" s="28">
        <f>IF(MOD(E3088,Inputs!$D$21)=Inputs!$D$6,Inputs!$D$24,Inputs!$D$6)+SUMPRODUCT(--(E3088&gt;$D$3088:$M$3088),--(MOD(E3088-$D$3088:$M$3088,Inputs!$D$21)=Inputs!$D$6),$D$3095:$M$3095)</f>
        <v>0</v>
      </c>
      <c r="F3096" s="28">
        <f>IF(MOD(F3088,Inputs!$D$21)=Inputs!$D$6,Inputs!$D$24,Inputs!$D$6)+SUMPRODUCT(--(F3088&gt;$D$3088:$M$3088),--(MOD(F3088-$D$3088:$M$3088,Inputs!$D$21)=Inputs!$D$6),$D$3095:$M$3095)</f>
        <v>0</v>
      </c>
      <c r="G3096" s="28">
        <f>IF(MOD(G3088,Inputs!$D$21)=Inputs!$D$6,Inputs!$D$24,Inputs!$D$6)+SUMPRODUCT(--(G3088&gt;$D$3088:$M$3088),--(MOD(G3088-$D$3088:$M$3088,Inputs!$D$21)=Inputs!$D$6),$D$3095:$M$3095)</f>
        <v>46</v>
      </c>
      <c r="H3096" s="28">
        <f>IF(MOD(H3088,Inputs!$D$21)=Inputs!$D$6,Inputs!$D$24,Inputs!$D$6)+SUMPRODUCT(--(H3088&gt;$D$3088:$M$3088),--(MOD(H3088-$D$3088:$M$3088,Inputs!$D$21)=Inputs!$D$6),$D$3095:$M$3095)</f>
        <v>233.10000000000002</v>
      </c>
      <c r="I3096" s="28">
        <f>IF(MOD(I3088,Inputs!$D$21)=Inputs!$D$6,Inputs!$D$24,Inputs!$D$6)+SUMPRODUCT(--(I3088&gt;$D$3088:$M$3088),--(MOD(I3088-$D$3088:$M$3088,Inputs!$D$21)=Inputs!$D$6),$D$3095:$M$3095)</f>
        <v>621.6</v>
      </c>
      <c r="J3096" s="28">
        <f>IF(MOD(J3088,Inputs!$D$21)=Inputs!$D$6,Inputs!$D$24,Inputs!$D$6)+SUMPRODUCT(--(J3088&gt;$D$3088:$M$3088),--(MOD(J3088-$D$3088:$M$3088,Inputs!$D$21)=Inputs!$D$6),$D$3095:$M$3095)</f>
        <v>466.19999999999982</v>
      </c>
      <c r="K3096" s="28">
        <f>IF(MOD(K3088,Inputs!$D$21)=Inputs!$D$6,Inputs!$D$24,Inputs!$D$6)+SUMPRODUCT(--(K3088&gt;$D$3088:$M$3088),--(MOD(K3088-$D$3088:$M$3088,Inputs!$D$21)=Inputs!$D$6),$D$3095:$M$3095)</f>
        <v>279.10000000000014</v>
      </c>
      <c r="L3096" s="28">
        <f>IF(MOD(L3088,Inputs!$D$21)=Inputs!$D$6,Inputs!$D$24,Inputs!$D$6)+SUMPRODUCT(--(L3088&gt;$D$3088:$M$3088),--(MOD(L3088-$D$3088:$M$3088,Inputs!$D$21)=Inputs!$D$6),$D$3095:$M$3095)</f>
        <v>233.10000000000002</v>
      </c>
      <c r="M3096" s="28">
        <f>IF(MOD(M3088,Inputs!$D$21)=Inputs!$D$6,Inputs!$D$24,Inputs!$D$6)+SUMPRODUCT(--(M3088&gt;$D$3088:$M$3088),--(MOD(M3088-$D$3088:$M$3088,Inputs!$D$21)=Inputs!$D$6),$D$3095:$M$3095)</f>
        <v>621.6</v>
      </c>
    </row>
    <row r="3097" spans="1:13" ht="15" customHeight="1" x14ac:dyDescent="0.2">
      <c r="B3097" s="10" t="s">
        <v>895</v>
      </c>
      <c r="C3097" s="10" t="s">
        <v>896</v>
      </c>
      <c r="D3097" s="28">
        <f t="shared" ref="D3097:M3097" si="672">D3094*D3091</f>
        <v>116.15482546201234</v>
      </c>
      <c r="E3097" s="28">
        <f t="shared" si="672"/>
        <v>589.90000000000009</v>
      </c>
      <c r="F3097" s="28">
        <f t="shared" si="672"/>
        <v>1133.8</v>
      </c>
      <c r="G3097" s="28">
        <f t="shared" si="672"/>
        <v>1483.4499999999998</v>
      </c>
      <c r="H3097" s="28">
        <f t="shared" si="672"/>
        <v>1600</v>
      </c>
      <c r="I3097" s="28">
        <f t="shared" si="672"/>
        <v>1600</v>
      </c>
      <c r="J3097" s="28">
        <f t="shared" si="672"/>
        <v>1600</v>
      </c>
      <c r="K3097" s="28">
        <f t="shared" si="672"/>
        <v>1600</v>
      </c>
      <c r="L3097" s="28">
        <f t="shared" si="672"/>
        <v>1600</v>
      </c>
      <c r="M3097" s="28">
        <f t="shared" si="672"/>
        <v>1600</v>
      </c>
    </row>
    <row r="3098" spans="1:13" ht="15" customHeight="1" x14ac:dyDescent="0.2">
      <c r="B3098" s="10" t="s">
        <v>897</v>
      </c>
      <c r="C3098" s="10" t="s">
        <v>110</v>
      </c>
      <c r="D3098" s="16">
        <f>D3097*($D$3117/Inputs!$D$21+$D$3118/Inputs!$D$22)</f>
        <v>1680.51014411561</v>
      </c>
      <c r="E3098" s="16">
        <f>E3097*($D$3117/Inputs!$D$21+$D$3118/Inputs!$D$22)</f>
        <v>8534.5824426210111</v>
      </c>
      <c r="F3098" s="16">
        <f>F3097*($D$3117/Inputs!$D$21+$D$3118/Inputs!$D$22)</f>
        <v>16403.643962440583</v>
      </c>
      <c r="G3098" s="16">
        <f>G3097*($D$3117/Inputs!$D$21+$D$3118/Inputs!$D$22)</f>
        <v>21462.326368038881</v>
      </c>
      <c r="H3098" s="16">
        <f>H3097*($D$3117/Inputs!$D$21+$D$3118/Inputs!$D$22)</f>
        <v>23148.553836571649</v>
      </c>
      <c r="I3098" s="16">
        <f>I3097*($D$3117/Inputs!$D$21+$D$3118/Inputs!$D$22)</f>
        <v>23148.553836571649</v>
      </c>
      <c r="J3098" s="16">
        <f>J3097*($D$3117/Inputs!$D$21+$D$3118/Inputs!$D$22)</f>
        <v>23148.553836571649</v>
      </c>
      <c r="K3098" s="16">
        <f>K3097*($D$3117/Inputs!$D$21+$D$3118/Inputs!$D$22)</f>
        <v>23148.553836571649</v>
      </c>
      <c r="L3098" s="16">
        <f>L3097*($D$3117/Inputs!$D$21+$D$3118/Inputs!$D$22)</f>
        <v>23148.553836571649</v>
      </c>
      <c r="M3098" s="16">
        <f>M3097*($D$3117/Inputs!$D$21+$D$3118/Inputs!$D$22)</f>
        <v>23148.553836571649</v>
      </c>
    </row>
    <row r="3099" spans="1:13" ht="15" customHeight="1" x14ac:dyDescent="0.2">
      <c r="B3099" s="10" t="s">
        <v>898</v>
      </c>
      <c r="C3099" s="10" t="s">
        <v>110</v>
      </c>
      <c r="D3099" s="16">
        <f t="shared" ref="D3099:M3099" si="673">D3095*($D$3117+$D$3118)</f>
        <v>13977.887419483886</v>
      </c>
      <c r="E3099" s="16">
        <f t="shared" si="673"/>
        <v>37274.36645195703</v>
      </c>
      <c r="F3099" s="16">
        <f t="shared" si="673"/>
        <v>27955.774838967762</v>
      </c>
      <c r="G3099" s="16">
        <f t="shared" si="673"/>
        <v>13977.887419483894</v>
      </c>
      <c r="H3099" s="16">
        <f t="shared" si="673"/>
        <v>0</v>
      </c>
      <c r="I3099" s="16">
        <f t="shared" si="673"/>
        <v>0</v>
      </c>
      <c r="J3099" s="16">
        <f t="shared" si="673"/>
        <v>0</v>
      </c>
      <c r="K3099" s="16">
        <f t="shared" si="673"/>
        <v>0</v>
      </c>
      <c r="L3099" s="16">
        <f t="shared" si="673"/>
        <v>0</v>
      </c>
      <c r="M3099" s="16">
        <f t="shared" si="673"/>
        <v>0</v>
      </c>
    </row>
    <row r="3100" spans="1:13" ht="15" customHeight="1" x14ac:dyDescent="0.2">
      <c r="B3100" s="10" t="s">
        <v>899</v>
      </c>
      <c r="C3100" s="10" t="s">
        <v>110</v>
      </c>
      <c r="D3100" s="16">
        <f t="shared" ref="D3100:M3100" si="674">D3096*$D$3117</f>
        <v>0</v>
      </c>
      <c r="E3100" s="16">
        <f t="shared" si="674"/>
        <v>0</v>
      </c>
      <c r="F3100" s="16">
        <f t="shared" si="674"/>
        <v>0</v>
      </c>
      <c r="G3100" s="16">
        <f t="shared" si="674"/>
        <v>2638.0048485671714</v>
      </c>
      <c r="H3100" s="16">
        <f t="shared" si="674"/>
        <v>13367.802830456689</v>
      </c>
      <c r="I3100" s="16">
        <f t="shared" si="674"/>
        <v>35647.47421455117</v>
      </c>
      <c r="J3100" s="16">
        <f t="shared" si="674"/>
        <v>26735.605660913367</v>
      </c>
      <c r="K3100" s="16">
        <f t="shared" si="674"/>
        <v>16005.807679023867</v>
      </c>
      <c r="L3100" s="16">
        <f t="shared" si="674"/>
        <v>13367.802830456689</v>
      </c>
      <c r="M3100" s="16">
        <f t="shared" si="674"/>
        <v>35647.47421455117</v>
      </c>
    </row>
    <row r="3101" spans="1:13" ht="15" customHeight="1" x14ac:dyDescent="0.2">
      <c r="B3101" s="10" t="s">
        <v>900</v>
      </c>
      <c r="C3101" s="10" t="s">
        <v>199</v>
      </c>
      <c r="D3101" s="28">
        <f>D3095*Inputs!$D$23</f>
        <v>5.8275000000000006</v>
      </c>
      <c r="E3101" s="28">
        <f>E3095*Inputs!$D$23</f>
        <v>15.540000000000001</v>
      </c>
      <c r="F3101" s="28">
        <f>F3095*Inputs!$D$23</f>
        <v>11.654999999999996</v>
      </c>
      <c r="G3101" s="28">
        <f>G3095*Inputs!$D$23</f>
        <v>5.8275000000000041</v>
      </c>
      <c r="H3101" s="28">
        <f>H3095*Inputs!$D$23</f>
        <v>0</v>
      </c>
      <c r="I3101" s="28">
        <f>I3095*Inputs!$D$23</f>
        <v>0</v>
      </c>
      <c r="J3101" s="28">
        <f>J3095*Inputs!$D$23</f>
        <v>0</v>
      </c>
      <c r="K3101" s="28">
        <f>K3095*Inputs!$D$23</f>
        <v>0</v>
      </c>
      <c r="L3101" s="28">
        <f>L3095*Inputs!$D$23</f>
        <v>0</v>
      </c>
      <c r="M3101" s="28">
        <f>M3095*Inputs!$D$23</f>
        <v>0</v>
      </c>
    </row>
    <row r="3102" spans="1:13" ht="15" customHeight="1" x14ac:dyDescent="0.2">
      <c r="B3102" s="3" t="s">
        <v>901</v>
      </c>
      <c r="C3102" s="10" t="s">
        <v>896</v>
      </c>
      <c r="D3102" s="28">
        <f>(D3097*$D$3115*(Inputs!$D$7-Inputs!$D$19)-D3101)/(Inputs!$D$7+$D$3116)^D3090</f>
        <v>50.541318213721269</v>
      </c>
      <c r="E3102" s="28">
        <f>(E3097*$D$3115*(Inputs!$D$7-Inputs!$D$19)-E3101)/(Inputs!$D$7+$D$3116)^E3090</f>
        <v>238.4864713152904</v>
      </c>
      <c r="F3102" s="28">
        <f>(F3097*$D$3115*(Inputs!$D$7-Inputs!$D$19)-F3101)/(Inputs!$D$7+$D$3116)^F3090</f>
        <v>418.74491871678316</v>
      </c>
      <c r="G3102" s="28">
        <f>(G3097*$D$3115*(Inputs!$D$7-Inputs!$D$19)-G3101)/(Inputs!$D$7+$D$3116)^G3090</f>
        <v>490.87392073514752</v>
      </c>
      <c r="H3102" s="28">
        <f>(H3097*$D$3115*(Inputs!$D$7-Inputs!$D$19)-H3101)/(Inputs!$D$7+$D$3116)^H3090</f>
        <v>472.10300862628105</v>
      </c>
      <c r="I3102" s="28">
        <f>(I3097*$D$3115*(Inputs!$D$7-Inputs!$D$19)-I3101)/(Inputs!$D$7+$D$3116)^I3090</f>
        <v>417.68543753228789</v>
      </c>
      <c r="J3102" s="28">
        <f>(J3097*$D$3115*(Inputs!$D$7-Inputs!$D$19)-J3101)/(Inputs!$D$7+$D$3116)^J3090</f>
        <v>369.66405292491049</v>
      </c>
      <c r="K3102" s="28">
        <f>(K3097*$D$3115*(Inputs!$D$7-Inputs!$D$19)-K3101)/(Inputs!$D$7+$D$3116)^K3090</f>
        <v>327.16369723641031</v>
      </c>
      <c r="L3102" s="28">
        <f>(L3097*$D$3115*(Inputs!$D$7-Inputs!$D$19)-L3101)/(Inputs!$D$7+$D$3116)^L3090</f>
        <v>289.54961658427663</v>
      </c>
      <c r="M3102" s="28">
        <f>(M3097*$D$3115*(Inputs!$D$7-Inputs!$D$19)-M3101)/(Inputs!$D$7+$D$3116)^M3090</f>
        <v>256.17430111750662</v>
      </c>
    </row>
    <row r="3103" spans="1:13" ht="15" customHeight="1" x14ac:dyDescent="0.2">
      <c r="B3103" s="10" t="s">
        <v>902</v>
      </c>
      <c r="C3103" s="10" t="s">
        <v>110</v>
      </c>
      <c r="D3103" s="16">
        <f>(D3098*Inputs!$D$19-D3099-D3100)/(Inputs!$D$7+$D$3116)^D3090</f>
        <v>-12346.937146613671</v>
      </c>
      <c r="E3103" s="16">
        <f>(E3098*Inputs!$D$19-E3099-E3100)/(Inputs!$D$7+$D$3116)^E3090</f>
        <v>-28144.165592831177</v>
      </c>
      <c r="F3103" s="16">
        <f>(F3098*Inputs!$D$19-F3099-F3100)/(Inputs!$D$7+$D$3116)^F3090</f>
        <v>-16528.13772562052</v>
      </c>
      <c r="G3103" s="16">
        <f>(G3098*Inputs!$D$19-G3099-G3100)/(Inputs!$D$7+$D$3116)^G3090</f>
        <v>-6462.9033875784253</v>
      </c>
      <c r="H3103" s="16">
        <f>(H3098*Inputs!$D$19-H3099-H3100)/(Inputs!$D$7+$D$3116)^H3090</f>
        <v>-3610.0349541710043</v>
      </c>
      <c r="I3103" s="16">
        <f>(I3098*Inputs!$D$19-I3099-I3100)/(Inputs!$D$7+$D$3116)^I3090</f>
        <v>-14272.365134506323</v>
      </c>
      <c r="J3103" s="16">
        <f>(J3098*Inputs!$D$19-J3099-J3100)/(Inputs!$D$7+$D$3116)^J3090</f>
        <v>-8709.5665200501735</v>
      </c>
      <c r="K3103" s="16">
        <f>(K3098*Inputs!$D$19-K3099-K3100)/(Inputs!$D$7+$D$3116)^K3090</f>
        <v>-3529.1777141306115</v>
      </c>
      <c r="L3103" s="16">
        <f>(L3098*Inputs!$D$19-L3099-L3100)/(Inputs!$D$7+$D$3116)^L3090</f>
        <v>-2214.1020449702382</v>
      </c>
      <c r="M3103" s="16">
        <f>(M3098*Inputs!$D$19-M3099-M3100)/(Inputs!$D$7+$D$3116)^M3090</f>
        <v>-8753.5088252709138</v>
      </c>
    </row>
    <row r="3104" spans="1:13" ht="15" customHeight="1" x14ac:dyDescent="0.2">
      <c r="B3104" s="10" t="s">
        <v>903</v>
      </c>
      <c r="C3104" s="10" t="s">
        <v>110</v>
      </c>
      <c r="D3104" s="16">
        <f t="shared" ref="D3104:M3104" si="675">D3097*$D$3114</f>
        <v>4052.0342944740396</v>
      </c>
      <c r="E3104" s="16">
        <f t="shared" si="675"/>
        <v>20578.525436224485</v>
      </c>
      <c r="F3104" s="16">
        <f t="shared" si="675"/>
        <v>39552.351482609454</v>
      </c>
      <c r="G3104" s="16">
        <f t="shared" si="675"/>
        <v>51749.811083856926</v>
      </c>
      <c r="H3104" s="16">
        <f t="shared" si="675"/>
        <v>55815.630950939434</v>
      </c>
      <c r="I3104" s="16">
        <f t="shared" si="675"/>
        <v>55815.630950939434</v>
      </c>
      <c r="J3104" s="16">
        <f t="shared" si="675"/>
        <v>55815.630950939434</v>
      </c>
      <c r="K3104" s="16">
        <f t="shared" si="675"/>
        <v>55815.630950939434</v>
      </c>
      <c r="L3104" s="16">
        <f t="shared" si="675"/>
        <v>55815.630950939434</v>
      </c>
      <c r="M3104" s="16">
        <f t="shared" si="675"/>
        <v>55815.630950939434</v>
      </c>
    </row>
    <row r="3105" spans="2:13" ht="15" customHeight="1" x14ac:dyDescent="0.2">
      <c r="B3105" s="10" t="s">
        <v>904</v>
      </c>
      <c r="C3105" s="10" t="s">
        <v>110</v>
      </c>
      <c r="D3105" s="16">
        <f t="shared" ref="D3105:M3105" si="676">D3104*$D$3115</f>
        <v>3039.0257208555295</v>
      </c>
      <c r="E3105" s="16">
        <f t="shared" si="676"/>
        <v>15433.894077168363</v>
      </c>
      <c r="F3105" s="16">
        <f t="shared" si="676"/>
        <v>29664.263611957089</v>
      </c>
      <c r="G3105" s="16">
        <f t="shared" si="676"/>
        <v>38812.358312892698</v>
      </c>
      <c r="H3105" s="16">
        <f t="shared" si="676"/>
        <v>41861.723213204576</v>
      </c>
      <c r="I3105" s="16">
        <f t="shared" si="676"/>
        <v>41861.723213204576</v>
      </c>
      <c r="J3105" s="16">
        <f t="shared" si="676"/>
        <v>41861.723213204576</v>
      </c>
      <c r="K3105" s="16">
        <f t="shared" si="676"/>
        <v>41861.723213204576</v>
      </c>
      <c r="L3105" s="16">
        <f t="shared" si="676"/>
        <v>41861.723213204576</v>
      </c>
      <c r="M3105" s="16">
        <f t="shared" si="676"/>
        <v>41861.723213204576</v>
      </c>
    </row>
    <row r="3106" spans="2:13" ht="15" customHeight="1" x14ac:dyDescent="0.2">
      <c r="B3106" s="10" t="s">
        <v>905</v>
      </c>
      <c r="C3106" s="10" t="s">
        <v>110</v>
      </c>
      <c r="D3106" s="16">
        <f t="shared" ref="D3106:M3106" si="677">D3105-D3098</f>
        <v>1358.5155767399194</v>
      </c>
      <c r="E3106" s="16">
        <f t="shared" si="677"/>
        <v>6899.3116345473518</v>
      </c>
      <c r="F3106" s="16">
        <f t="shared" si="677"/>
        <v>13260.619649516506</v>
      </c>
      <c r="G3106" s="16">
        <f t="shared" si="677"/>
        <v>17350.031944853818</v>
      </c>
      <c r="H3106" s="16">
        <f t="shared" si="677"/>
        <v>18713.169376632926</v>
      </c>
      <c r="I3106" s="16">
        <f t="shared" si="677"/>
        <v>18713.169376632926</v>
      </c>
      <c r="J3106" s="16">
        <f t="shared" si="677"/>
        <v>18713.169376632926</v>
      </c>
      <c r="K3106" s="16">
        <f t="shared" si="677"/>
        <v>18713.169376632926</v>
      </c>
      <c r="L3106" s="16">
        <f t="shared" si="677"/>
        <v>18713.169376632926</v>
      </c>
      <c r="M3106" s="16">
        <f t="shared" si="677"/>
        <v>18713.169376632926</v>
      </c>
    </row>
    <row r="3107" spans="2:13" ht="15" customHeight="1" x14ac:dyDescent="0.2">
      <c r="B3107" s="10" t="s">
        <v>906</v>
      </c>
      <c r="C3107" s="10" t="s">
        <v>110</v>
      </c>
      <c r="D3107" s="16">
        <f>MAX(D3106,Inputs!$D$6)*Inputs!$D$19</f>
        <v>407.55467302197582</v>
      </c>
      <c r="E3107" s="16">
        <f>MAX(E3106,Inputs!$D$6)*Inputs!$D$19</f>
        <v>2069.7934903642054</v>
      </c>
      <c r="F3107" s="16">
        <f>MAX(F3106,Inputs!$D$6)*Inputs!$D$19</f>
        <v>3978.1858948549516</v>
      </c>
      <c r="G3107" s="16">
        <f>MAX(G3106,Inputs!$D$6)*Inputs!$D$19</f>
        <v>5205.0095834561453</v>
      </c>
      <c r="H3107" s="16">
        <f>MAX(H3106,Inputs!$D$6)*Inputs!$D$19</f>
        <v>5613.9508129898777</v>
      </c>
      <c r="I3107" s="16">
        <f>MAX(I3106,Inputs!$D$6)*Inputs!$D$19</f>
        <v>5613.9508129898777</v>
      </c>
      <c r="J3107" s="16">
        <f>MAX(J3106,Inputs!$D$6)*Inputs!$D$19</f>
        <v>5613.9508129898777</v>
      </c>
      <c r="K3107" s="16">
        <f>MAX(K3106,Inputs!$D$6)*Inputs!$D$19</f>
        <v>5613.9508129898777</v>
      </c>
      <c r="L3107" s="16">
        <f>MAX(L3106,Inputs!$D$6)*Inputs!$D$19</f>
        <v>5613.9508129898777</v>
      </c>
      <c r="M3107" s="16">
        <f>MAX(M3106,Inputs!$D$6)*Inputs!$D$19</f>
        <v>5613.9508129898777</v>
      </c>
    </row>
    <row r="3108" spans="2:13" ht="15" customHeight="1" x14ac:dyDescent="0.2">
      <c r="B3108" s="10" t="s">
        <v>907</v>
      </c>
      <c r="C3108" s="10" t="s">
        <v>110</v>
      </c>
      <c r="D3108" s="16">
        <f t="shared" ref="D3108:M3108" si="678">D3101*$D$3114</f>
        <v>203.29099335412474</v>
      </c>
      <c r="E3108" s="16">
        <f t="shared" si="678"/>
        <v>542.10931561099926</v>
      </c>
      <c r="F3108" s="16">
        <f t="shared" si="678"/>
        <v>406.58198670824925</v>
      </c>
      <c r="G3108" s="16">
        <f t="shared" si="678"/>
        <v>203.29099335412485</v>
      </c>
      <c r="H3108" s="16">
        <f t="shared" si="678"/>
        <v>0</v>
      </c>
      <c r="I3108" s="16">
        <f t="shared" si="678"/>
        <v>0</v>
      </c>
      <c r="J3108" s="16">
        <f t="shared" si="678"/>
        <v>0</v>
      </c>
      <c r="K3108" s="16">
        <f t="shared" si="678"/>
        <v>0</v>
      </c>
      <c r="L3108" s="16">
        <f t="shared" si="678"/>
        <v>0</v>
      </c>
      <c r="M3108" s="16">
        <f t="shared" si="678"/>
        <v>0</v>
      </c>
    </row>
    <row r="3109" spans="2:13" ht="15" customHeight="1" x14ac:dyDescent="0.2">
      <c r="B3109" s="10" t="s">
        <v>908</v>
      </c>
      <c r="C3109" s="10" t="s">
        <v>110</v>
      </c>
      <c r="D3109" s="16">
        <f t="shared" ref="D3109:M3109" si="679">D3105-D3107-D3099-D3100-D3108</f>
        <v>-11549.707365004457</v>
      </c>
      <c r="E3109" s="16">
        <f t="shared" si="679"/>
        <v>-24452.375180763873</v>
      </c>
      <c r="F3109" s="16">
        <f t="shared" si="679"/>
        <v>-2676.2791085738745</v>
      </c>
      <c r="G3109" s="16">
        <f t="shared" si="679"/>
        <v>16788.165468031366</v>
      </c>
      <c r="H3109" s="16">
        <f t="shared" si="679"/>
        <v>22879.96956975801</v>
      </c>
      <c r="I3109" s="16">
        <f t="shared" si="679"/>
        <v>600.2981856635306</v>
      </c>
      <c r="J3109" s="16">
        <f t="shared" si="679"/>
        <v>9512.166739301334</v>
      </c>
      <c r="K3109" s="16">
        <f t="shared" si="679"/>
        <v>20241.964721190834</v>
      </c>
      <c r="L3109" s="16">
        <f t="shared" si="679"/>
        <v>22879.96956975801</v>
      </c>
      <c r="M3109" s="16">
        <f t="shared" si="679"/>
        <v>600.2981856635306</v>
      </c>
    </row>
    <row r="3110" spans="2:13" ht="15" customHeight="1" x14ac:dyDescent="0.2">
      <c r="B3110" s="10" t="s">
        <v>909</v>
      </c>
      <c r="C3110" s="10" t="s">
        <v>110</v>
      </c>
      <c r="D3110" s="16">
        <f>D3109/(Inputs!$D$7+$D$3116)^D3090</f>
        <v>-10583.814918369259</v>
      </c>
      <c r="E3110" s="16">
        <f>E3109/(Inputs!$D$7+$D$3116)^E3090</f>
        <v>-19824.620049252397</v>
      </c>
      <c r="F3110" s="16">
        <f>F3109/(Inputs!$D$7+$D$3116)^F3090</f>
        <v>-1920.3178220723319</v>
      </c>
      <c r="G3110" s="16">
        <f>G3109/(Inputs!$D$7+$D$3116)^G3090</f>
        <v>10661.120114417632</v>
      </c>
      <c r="H3110" s="16">
        <f>H3109/(Inputs!$D$7+$D$3116)^H3090</f>
        <v>12859.169608524422</v>
      </c>
      <c r="I3110" s="16">
        <f>I3109/(Inputs!$D$7+$D$3116)^I3090</f>
        <v>298.49501229608381</v>
      </c>
      <c r="J3110" s="16">
        <f>J3109/(Inputs!$D$7+$D$3116)^J3090</f>
        <v>4186.0787011281682</v>
      </c>
      <c r="K3110" s="16">
        <f>K3109/(Inputs!$D$7+$D$3116)^K3090</f>
        <v>7883.8524018021153</v>
      </c>
      <c r="L3110" s="16">
        <f>L3109/(Inputs!$D$7+$D$3116)^L3090</f>
        <v>7886.7695433135095</v>
      </c>
      <c r="M3110" s="16">
        <f>M3109/(Inputs!$D$7+$D$3116)^M3090</f>
        <v>183.07258116007404</v>
      </c>
    </row>
    <row r="3111" spans="2:13" ht="15" customHeight="1" x14ac:dyDescent="0.2">
      <c r="B3111" s="3" t="s">
        <v>910</v>
      </c>
      <c r="C3111" s="10" t="s">
        <v>896</v>
      </c>
      <c r="D3111" s="28">
        <f>(D3097*$D$3115-D3101)/(Inputs!$D$7+$D$3116)^D3090</f>
        <v>74.490519309095831</v>
      </c>
      <c r="E3111" s="28">
        <f>(E3097*$D$3115-E3101)/(Inputs!$D$7+$D$3116)^E3090</f>
        <v>346.09451503846662</v>
      </c>
      <c r="F3111" s="28">
        <f>(F3097*$D$3115-F3101)/(Inputs!$D$7+$D$3116)^F3090</f>
        <v>601.79110266312398</v>
      </c>
      <c r="G3111" s="28">
        <f>(G3097*$D$3115-G3101)/(Inputs!$D$7+$D$3116)^G3090</f>
        <v>702.83446516544734</v>
      </c>
      <c r="H3111" s="28">
        <f>(H3097*$D$3115-H3101)/(Inputs!$D$7+$D$3116)^H3090</f>
        <v>674.43286946611579</v>
      </c>
      <c r="I3111" s="28">
        <f>(I3097*$D$3115-I3101)/(Inputs!$D$7+$D$3116)^I3090</f>
        <v>596.69348218898278</v>
      </c>
      <c r="J3111" s="28">
        <f>(J3097*$D$3115-J3101)/(Inputs!$D$7+$D$3116)^J3090</f>
        <v>528.09150417844353</v>
      </c>
      <c r="K3111" s="28">
        <f>(K3097*$D$3115-K3101)/(Inputs!$D$7+$D$3116)^K3090</f>
        <v>467.37671033772904</v>
      </c>
      <c r="L3111" s="28">
        <f>(L3097*$D$3115-L3101)/(Inputs!$D$7+$D$3116)^L3090</f>
        <v>413.64230940610946</v>
      </c>
      <c r="M3111" s="28">
        <f>(M3097*$D$3115-M3101)/(Inputs!$D$7+$D$3116)^M3090</f>
        <v>365.96328731072373</v>
      </c>
    </row>
    <row r="3112" spans="2:13" ht="15" customHeight="1" x14ac:dyDescent="0.2">
      <c r="B3112" s="10" t="s">
        <v>911</v>
      </c>
      <c r="C3112" s="10" t="s">
        <v>110</v>
      </c>
      <c r="D3112" s="16">
        <f>(-D3099-D3100)/(Inputs!$D$7+$D$3116)^D3090</f>
        <v>-12808.928289029636</v>
      </c>
      <c r="E3112" s="16">
        <f>(-E3099-E3100)/(Inputs!$D$7+$D$3116)^E3090</f>
        <v>-30219.974420642928</v>
      </c>
      <c r="F3112" s="16">
        <f>(-F3099-F3100)/(Inputs!$D$7+$D$3116)^F3090</f>
        <v>-20059.183095337907</v>
      </c>
      <c r="G3112" s="16">
        <f>(-G3099-G3100)/(Inputs!$D$7+$D$3116)^G3090</f>
        <v>-10551.720115889953</v>
      </c>
      <c r="H3112" s="16">
        <f>(-H3099-H3100)/(Inputs!$D$7+$D$3116)^H3090</f>
        <v>-7513.0713511684744</v>
      </c>
      <c r="I3112" s="16">
        <f>(-I3099-I3100)/(Inputs!$D$7+$D$3116)^I3090</f>
        <v>-17725.512933602091</v>
      </c>
      <c r="J3112" s="16">
        <f>(-J3099-J3100)/(Inputs!$D$7+$D$3116)^J3090</f>
        <v>-11765.705173827875</v>
      </c>
      <c r="K3112" s="16">
        <f>(-K3099-K3100)/(Inputs!$D$7+$D$3116)^K3090</f>
        <v>-6233.95144943378</v>
      </c>
      <c r="L3112" s="16">
        <f>(-L3099-L3100)/(Inputs!$D$7+$D$3116)^L3090</f>
        <v>-4607.9073620630261</v>
      </c>
      <c r="M3112" s="16">
        <f>(-M3099-M3100)/(Inputs!$D$7+$D$3116)^M3090</f>
        <v>-10871.389039901173</v>
      </c>
    </row>
    <row r="3113" spans="2:13" ht="15" customHeight="1" x14ac:dyDescent="0.2">
      <c r="B3113" s="10" t="s">
        <v>912</v>
      </c>
      <c r="C3113" s="10" t="s">
        <v>110</v>
      </c>
      <c r="D3113" s="16">
        <f>Prices!I17</f>
        <v>43559.249176099729</v>
      </c>
    </row>
    <row r="3114" spans="2:13" ht="15" customHeight="1" x14ac:dyDescent="0.2">
      <c r="B3114" s="3" t="s">
        <v>913</v>
      </c>
      <c r="C3114" s="10" t="s">
        <v>914</v>
      </c>
      <c r="D3114" s="28">
        <f>IF(J3121&gt;=J3117,J3121,(D3113-J3120)/J3119)</f>
        <v>34.884769344337144</v>
      </c>
      <c r="G3114" s="99" t="s">
        <v>915</v>
      </c>
      <c r="H3114" s="91"/>
      <c r="I3114" s="91"/>
      <c r="J3114" s="28">
        <f>D3114*Inputs!$D$15</f>
        <v>24.346080525412891</v>
      </c>
      <c r="K3114" s="99" t="s">
        <v>916</v>
      </c>
      <c r="L3114" s="91"/>
      <c r="M3114" s="91"/>
    </row>
    <row r="3115" spans="2:13" ht="15" customHeight="1" x14ac:dyDescent="0.2">
      <c r="B3115" s="10" t="s">
        <v>917</v>
      </c>
      <c r="C3115" s="10" t="s">
        <v>104</v>
      </c>
      <c r="D3115" s="30">
        <f>Inputs!$D$94</f>
        <v>0.75</v>
      </c>
      <c r="G3115" s="99" t="s">
        <v>918</v>
      </c>
      <c r="H3115" s="91"/>
      <c r="I3115" s="91"/>
      <c r="J3115" s="28">
        <f>IF(-D3126/D3125&gt;=J3117,-D3126/D3125,-J3120/J3119)</f>
        <v>27.411702074287536</v>
      </c>
      <c r="K3115" s="99" t="s">
        <v>919</v>
      </c>
      <c r="L3115" s="91"/>
      <c r="M3115" s="91"/>
    </row>
    <row r="3116" spans="2:13" ht="15" customHeight="1" x14ac:dyDescent="0.2">
      <c r="B3116" s="10" t="s">
        <v>920</v>
      </c>
      <c r="C3116" s="10" t="s">
        <v>104</v>
      </c>
      <c r="D3116" s="30">
        <f>Inputs!$D$95</f>
        <v>0.13</v>
      </c>
      <c r="G3116" s="99" t="s">
        <v>918</v>
      </c>
      <c r="H3116" s="91"/>
      <c r="I3116" s="91"/>
      <c r="J3116" s="28">
        <f>J3115*Inputs!$D$15</f>
        <v>19.13062687764527</v>
      </c>
      <c r="K3116" s="99" t="s">
        <v>916</v>
      </c>
      <c r="L3116" s="91"/>
      <c r="M3116" s="91"/>
    </row>
    <row r="3117" spans="2:13" ht="15" customHeight="1" x14ac:dyDescent="0.2">
      <c r="B3117" s="3" t="s">
        <v>921</v>
      </c>
      <c r="C3117" s="10" t="s">
        <v>848</v>
      </c>
      <c r="D3117" s="28">
        <f>Capital!$D$13</f>
        <v>57.347931490590682</v>
      </c>
      <c r="G3117" s="99" t="s">
        <v>922</v>
      </c>
      <c r="H3117" s="91"/>
      <c r="I3117" s="91"/>
      <c r="J3117" s="28">
        <f>($D$3117/Inputs!$D$21+$D$3118/Inputs!$D$22)/$D$3115</f>
        <v>19.290461530476374</v>
      </c>
      <c r="K3117" s="99" t="s">
        <v>919</v>
      </c>
      <c r="L3117" s="91"/>
      <c r="M3117" s="91"/>
    </row>
    <row r="3118" spans="2:13" ht="15" customHeight="1" x14ac:dyDescent="0.2">
      <c r="B3118" s="3" t="s">
        <v>923</v>
      </c>
      <c r="C3118" s="10" t="s">
        <v>848</v>
      </c>
      <c r="D3118" s="28">
        <f>Capital!$D$14</f>
        <v>2.6172655041921802</v>
      </c>
    </row>
    <row r="3119" spans="2:13" ht="15" customHeight="1" x14ac:dyDescent="0.2">
      <c r="B3119" s="10" t="s">
        <v>924</v>
      </c>
      <c r="C3119" s="10" t="s">
        <v>896</v>
      </c>
      <c r="D3119" s="28">
        <f>(M3092*(Inputs!$D$7+Inputs!$D$20)*$D$3115*(Inputs!$D$7-Inputs!$D$19)-M3092*Inputs!$D$20*Inputs!$D$23)/($D$3116-Inputs!$D$20)/(Inputs!$D$7+$D$3116)^M3090</f>
        <v>2497.8446594223992</v>
      </c>
      <c r="G3119" s="92" t="s">
        <v>910</v>
      </c>
      <c r="H3119" s="91"/>
      <c r="I3119" s="91"/>
      <c r="J3119" s="28">
        <f>SUM(D3111:M3111)+(M3092*(Inputs!$D$7+Inputs!$D$20)*$D$3115-M3092*Inputs!$D$20*Inputs!$D$23)/($D$3116-Inputs!$D$20)/(Inputs!$D$7+$D$3116)^M3090</f>
        <v>8341.0050516109004</v>
      </c>
      <c r="K3119" s="99" t="s">
        <v>896</v>
      </c>
      <c r="L3119" s="91"/>
      <c r="M3119" s="91"/>
    </row>
    <row r="3120" spans="2:13" ht="15" customHeight="1" x14ac:dyDescent="0.2">
      <c r="B3120" s="10" t="s">
        <v>925</v>
      </c>
      <c r="C3120" s="10" t="s">
        <v>110</v>
      </c>
      <c r="D3120" s="16">
        <f>(D3123*Inputs!$D$19-D3123-D3124)/($D$3116-Inputs!$D$20)/(Inputs!$D$7+$D$3116)^M3090</f>
        <v>-55207.290798783099</v>
      </c>
      <c r="G3120" s="92" t="s">
        <v>926</v>
      </c>
      <c r="H3120" s="91"/>
      <c r="I3120" s="91"/>
      <c r="J3120" s="16">
        <f>SUM(D3112:M3112)-(D3123+D3124)/($D$3116-Inputs!$D$20)/(Inputs!$D$7+$D$3116)^M3090</f>
        <v>-208239.17898202292</v>
      </c>
      <c r="K3120" s="99" t="s">
        <v>110</v>
      </c>
      <c r="L3120" s="91"/>
      <c r="M3120" s="91"/>
    </row>
    <row r="3121" spans="1:13" ht="15" customHeight="1" x14ac:dyDescent="0.2">
      <c r="B3121" s="10" t="s">
        <v>927</v>
      </c>
      <c r="C3121" s="10" t="s">
        <v>928</v>
      </c>
      <c r="D3121" s="16">
        <f>(M3092*(Inputs!$D$7+Inputs!$D$20)*$D$3114*$D$3115-D3123)-MAX((M3092*(Inputs!$D$7+Inputs!$D$20)*$D$3114*$D$3115-D3123),Inputs!$D$6)*Inputs!$D$19-D3124-M3092*Inputs!$D$20*$D$3114*Inputs!$D$23</f>
        <v>10993.20637859847</v>
      </c>
      <c r="G3121" s="99" t="s">
        <v>929</v>
      </c>
      <c r="H3121" s="91"/>
      <c r="I3121" s="91"/>
      <c r="J3121" s="28">
        <f>(D3113-D3126)/D3125</f>
        <v>34.884769344337144</v>
      </c>
      <c r="K3121" s="99" t="s">
        <v>919</v>
      </c>
      <c r="L3121" s="91"/>
      <c r="M3121" s="91"/>
    </row>
    <row r="3122" spans="1:13" ht="15" customHeight="1" x14ac:dyDescent="0.2">
      <c r="B3122" s="10" t="s">
        <v>930</v>
      </c>
      <c r="C3122" s="10" t="s">
        <v>110</v>
      </c>
      <c r="D3122" s="16">
        <f>D3121/($D$3116-Inputs!$D$20)</f>
        <v>104697.2036056997</v>
      </c>
      <c r="G3122" s="99" t="s">
        <v>931</v>
      </c>
      <c r="H3122" s="91"/>
      <c r="I3122" s="91"/>
      <c r="J3122" s="16">
        <f>MIN(D3106:M3106,(M3092*(Inputs!$D$7+Inputs!$D$20)*$D$3114*$D$3115-D3123))</f>
        <v>1358.5155767399194</v>
      </c>
      <c r="K3122" s="99" t="s">
        <v>110</v>
      </c>
      <c r="L3122" s="91"/>
      <c r="M3122" s="91"/>
    </row>
    <row r="3123" spans="1:13" ht="15" customHeight="1" x14ac:dyDescent="0.2">
      <c r="B3123" s="10" t="s">
        <v>932</v>
      </c>
      <c r="C3123" s="10" t="s">
        <v>928</v>
      </c>
      <c r="D3123" s="16">
        <f>M3092*(Inputs!$D$7+Inputs!$D$20)*($D$3117/Inputs!$D$21+$D$3118/Inputs!$D$22)</f>
        <v>23727.267682485937</v>
      </c>
      <c r="G3123" s="99" t="s">
        <v>933</v>
      </c>
      <c r="H3123" s="91"/>
      <c r="I3123" s="91"/>
      <c r="J3123" s="31" t="str">
        <f>IF(J3122&lt;Inputs!$D$6,"breached","satisfied")</f>
        <v>satisfied</v>
      </c>
      <c r="K3123" s="99" t="s">
        <v>934</v>
      </c>
      <c r="L3123" s="91"/>
      <c r="M3123" s="91"/>
    </row>
    <row r="3124" spans="1:13" ht="15" customHeight="1" x14ac:dyDescent="0.2">
      <c r="B3124" s="10" t="s">
        <v>935</v>
      </c>
      <c r="C3124" s="10" t="s">
        <v>928</v>
      </c>
      <c r="D3124" s="16">
        <f>M3092*Inputs!$D$20*($D$3117+$D$3118)</f>
        <v>2398.6078797913146</v>
      </c>
    </row>
    <row r="3125" spans="1:13" ht="15" customHeight="1" x14ac:dyDescent="0.2">
      <c r="B3125" s="10" t="s">
        <v>936</v>
      </c>
      <c r="C3125" s="10" t="s">
        <v>896</v>
      </c>
      <c r="D3125" s="28">
        <f>SUM(D3102:M3102)+D3119</f>
        <v>5828.8314024250149</v>
      </c>
      <c r="G3125" s="99" t="s">
        <v>937</v>
      </c>
      <c r="H3125" s="91"/>
      <c r="I3125" s="91"/>
      <c r="J3125" s="16">
        <f>D3127-D3113</f>
        <v>0</v>
      </c>
      <c r="K3125" s="99" t="s">
        <v>110</v>
      </c>
      <c r="L3125" s="91"/>
      <c r="M3125" s="91"/>
    </row>
    <row r="3126" spans="1:13" ht="15" customHeight="1" x14ac:dyDescent="0.2">
      <c r="B3126" s="10" t="s">
        <v>938</v>
      </c>
      <c r="C3126" s="10" t="s">
        <v>110</v>
      </c>
      <c r="D3126" s="16">
        <f>SUM(D3103:M3103)+D3120</f>
        <v>-159778.18984452612</v>
      </c>
    </row>
    <row r="3127" spans="1:13" ht="15" customHeight="1" x14ac:dyDescent="0.2">
      <c r="B3127" s="10" t="s">
        <v>939</v>
      </c>
      <c r="C3127" s="10" t="s">
        <v>110</v>
      </c>
      <c r="D3127" s="16">
        <f>SUM(D3110:M3110)+D3122/(Inputs!$D$7+$D$3116)^M3090</f>
        <v>43559.2491760997</v>
      </c>
    </row>
    <row r="3128" spans="1:13" ht="15" customHeight="1" x14ac:dyDescent="0.2">
      <c r="B3128" s="10" t="s">
        <v>940</v>
      </c>
      <c r="C3128" s="10" t="s">
        <v>104</v>
      </c>
      <c r="D3128" s="30">
        <f>IF(ABS(D3113)&gt;Inputs!$D$6,D3127/D3113-Inputs!$D$7,Inputs!$D$6)</f>
        <v>-6.6613381477509392E-16</v>
      </c>
    </row>
    <row r="3129" spans="1:13" ht="15" customHeight="1" x14ac:dyDescent="0.2">
      <c r="B3129" s="10" t="s">
        <v>941</v>
      </c>
      <c r="C3129" s="10" t="s">
        <v>104</v>
      </c>
      <c r="D3129" s="30">
        <f>IF(ABS(D3127)&gt;Inputs!$D$119,D3122/(Inputs!$D$7+$D$3116)^M3090/D3127,Inputs!$D$6)</f>
        <v>0.73301180821709133</v>
      </c>
    </row>
    <row r="3130" spans="1:13" ht="15" customHeight="1" x14ac:dyDescent="0.2">
      <c r="B3130" s="10" t="s">
        <v>942</v>
      </c>
      <c r="C3130" s="10" t="s">
        <v>943</v>
      </c>
      <c r="D3130" s="26">
        <f>$D$3114*Inputs!$D$8/Prices!$P$6/(Inputs!$D$26/Inputs!$D$25)/Inputs!$D$11/Inputs!$D$56</f>
        <v>6.3439012685337346</v>
      </c>
    </row>
    <row r="3134" spans="1:13" ht="15" customHeight="1" x14ac:dyDescent="0.2">
      <c r="A3134" s="104" t="s">
        <v>1011</v>
      </c>
      <c r="B3134" s="10" t="s">
        <v>886</v>
      </c>
      <c r="C3134" s="10" t="s">
        <v>107</v>
      </c>
      <c r="D3134" s="28">
        <f>Inputs!$D$60</f>
        <v>1</v>
      </c>
      <c r="E3134" s="28">
        <f>Inputs!$D$62</f>
        <v>2</v>
      </c>
      <c r="F3134" s="28">
        <f>Inputs!$D$64</f>
        <v>3</v>
      </c>
      <c r="G3134" s="28">
        <f>Inputs!$D$66</f>
        <v>4</v>
      </c>
      <c r="H3134" s="28">
        <f>Inputs!$D$68</f>
        <v>5</v>
      </c>
      <c r="I3134" s="28">
        <f>Inputs!$D$70</f>
        <v>6</v>
      </c>
      <c r="J3134" s="28">
        <f>Inputs!$D$72</f>
        <v>7</v>
      </c>
      <c r="K3134" s="28">
        <f>Inputs!$D$74</f>
        <v>8</v>
      </c>
      <c r="L3134" s="28">
        <f>Inputs!$D$76</f>
        <v>9</v>
      </c>
      <c r="M3134" s="28">
        <f>Inputs!$D$78</f>
        <v>10</v>
      </c>
    </row>
    <row r="3135" spans="1:13" ht="15" customHeight="1" x14ac:dyDescent="0.2">
      <c r="A3135" s="91"/>
      <c r="B3135" s="10" t="s">
        <v>887</v>
      </c>
      <c r="C3135" s="10" t="s">
        <v>161</v>
      </c>
      <c r="D3135" s="29">
        <f>Inputs!$D$61</f>
        <v>46568</v>
      </c>
      <c r="E3135" s="29">
        <f>Inputs!$D$63</f>
        <v>46934</v>
      </c>
      <c r="F3135" s="29">
        <f>Inputs!$D$65</f>
        <v>47299</v>
      </c>
      <c r="G3135" s="29">
        <f>Inputs!$D$67</f>
        <v>47664</v>
      </c>
      <c r="H3135" s="29">
        <f>Inputs!$D$69</f>
        <v>48029</v>
      </c>
      <c r="I3135" s="29">
        <f>Inputs!$D$71</f>
        <v>48395</v>
      </c>
      <c r="J3135" s="29">
        <f>Inputs!$D$73</f>
        <v>48760</v>
      </c>
      <c r="K3135" s="29">
        <f>Inputs!$D$75</f>
        <v>49125</v>
      </c>
      <c r="L3135" s="29">
        <f>Inputs!$D$77</f>
        <v>49490</v>
      </c>
      <c r="M3135" s="29">
        <f>Inputs!$D$79</f>
        <v>49856</v>
      </c>
    </row>
    <row r="3136" spans="1:13" ht="15" customHeight="1" x14ac:dyDescent="0.2">
      <c r="A3136" s="91"/>
      <c r="B3136" s="10" t="s">
        <v>888</v>
      </c>
      <c r="C3136" s="10" t="s">
        <v>107</v>
      </c>
      <c r="D3136" s="28">
        <f>(D3135-Inputs!$D$13)/Inputs!$D$10</f>
        <v>0.71457905544147848</v>
      </c>
      <c r="E3136" s="28">
        <f>(E3135-Inputs!$D$13)/Inputs!$D$10</f>
        <v>1.7166324435318274</v>
      </c>
      <c r="F3136" s="28">
        <f>(F3135-Inputs!$D$13)/Inputs!$D$10</f>
        <v>2.7159479808350446</v>
      </c>
      <c r="G3136" s="28">
        <f>(G3135-Inputs!$D$13)/Inputs!$D$10</f>
        <v>3.7152635181382614</v>
      </c>
      <c r="H3136" s="28">
        <f>(H3135-Inputs!$D$13)/Inputs!$D$10</f>
        <v>4.7145790554414786</v>
      </c>
      <c r="I3136" s="28">
        <f>(I3135-Inputs!$D$13)/Inputs!$D$10</f>
        <v>5.7166324435318279</v>
      </c>
      <c r="J3136" s="28">
        <f>(J3135-Inputs!$D$13)/Inputs!$D$10</f>
        <v>6.7159479808350442</v>
      </c>
      <c r="K3136" s="28">
        <f>(K3135-Inputs!$D$13)/Inputs!$D$10</f>
        <v>7.7152635181382614</v>
      </c>
      <c r="L3136" s="28">
        <f>(L3135-Inputs!$D$13)/Inputs!$D$10</f>
        <v>8.7145790554414777</v>
      </c>
      <c r="M3136" s="28">
        <f>(M3135-Inputs!$D$13)/Inputs!$D$10</f>
        <v>9.716632443531827</v>
      </c>
    </row>
    <row r="3137" spans="1:13" ht="15" customHeight="1" x14ac:dyDescent="0.2">
      <c r="A3137" s="91"/>
      <c r="B3137" s="10" t="s">
        <v>889</v>
      </c>
      <c r="C3137" s="10" t="s">
        <v>107</v>
      </c>
      <c r="D3137" s="28">
        <f>D3136</f>
        <v>0.71457905544147848</v>
      </c>
      <c r="E3137" s="28">
        <f>Inputs!$D$7</f>
        <v>1</v>
      </c>
      <c r="F3137" s="28">
        <f>Inputs!$D$7</f>
        <v>1</v>
      </c>
      <c r="G3137" s="28">
        <f>Inputs!$D$7</f>
        <v>1</v>
      </c>
      <c r="H3137" s="28">
        <f>Inputs!$D$7</f>
        <v>1</v>
      </c>
      <c r="I3137" s="28">
        <f>Inputs!$D$7</f>
        <v>1</v>
      </c>
      <c r="J3137" s="28">
        <f>Inputs!$D$7</f>
        <v>1</v>
      </c>
      <c r="K3137" s="28">
        <f>Inputs!$D$7</f>
        <v>1</v>
      </c>
      <c r="L3137" s="28">
        <f>Inputs!$D$7</f>
        <v>1</v>
      </c>
      <c r="M3137" s="28">
        <f>Inputs!$D$7</f>
        <v>1</v>
      </c>
    </row>
    <row r="3138" spans="1:13" ht="15" customHeight="1" x14ac:dyDescent="0.2">
      <c r="A3138" s="91"/>
      <c r="B3138" s="3" t="s">
        <v>890</v>
      </c>
      <c r="C3138" s="10" t="s">
        <v>199</v>
      </c>
      <c r="D3138" s="28">
        <f>Inputs!$D$24+(Inputs!$D$106-Inputs!$D$24)*Inputs!$D$109</f>
        <v>170.32</v>
      </c>
      <c r="E3138" s="28">
        <f>Inputs!$D$24+(Inputs!$D$106-Inputs!$D$24)*Inputs!$D$110</f>
        <v>481.12000000000006</v>
      </c>
      <c r="F3138" s="28">
        <f>Inputs!$D$24+(Inputs!$D$106-Inputs!$D$24)*Inputs!$D$111</f>
        <v>823</v>
      </c>
      <c r="G3138" s="28">
        <f>Inputs!$D$24+(Inputs!$D$106-Inputs!$D$24)*Inputs!$D$112</f>
        <v>1211.5</v>
      </c>
      <c r="H3138" s="28">
        <f>Inputs!$D$24+(Inputs!$D$106-Inputs!$D$24)*Inputs!$D$113</f>
        <v>1600</v>
      </c>
      <c r="I3138" s="28">
        <f>Inputs!$D$24+(Inputs!$D$106-Inputs!$D$24)*Inputs!$D$114</f>
        <v>1600</v>
      </c>
      <c r="J3138" s="28">
        <f>Inputs!$D$24+(Inputs!$D$106-Inputs!$D$24)*Inputs!$D$115</f>
        <v>1600</v>
      </c>
      <c r="K3138" s="28">
        <f>Inputs!$D$24+(Inputs!$D$106-Inputs!$D$24)*Inputs!$D$116</f>
        <v>1600</v>
      </c>
      <c r="L3138" s="28">
        <f>Inputs!$D$24+(Inputs!$D$106-Inputs!$D$24)*Inputs!$D$117</f>
        <v>1600</v>
      </c>
      <c r="M3138" s="28">
        <f>Inputs!$D$24+(Inputs!$D$106-Inputs!$D$24)*Inputs!$D$118</f>
        <v>1600</v>
      </c>
    </row>
    <row r="3139" spans="1:13" ht="15" customHeight="1" x14ac:dyDescent="0.2">
      <c r="A3139" s="91"/>
      <c r="B3139" s="10" t="s">
        <v>891</v>
      </c>
      <c r="C3139" s="10" t="s">
        <v>199</v>
      </c>
      <c r="D3139" s="28">
        <f>Inputs!$D$24</f>
        <v>46</v>
      </c>
      <c r="E3139" s="28">
        <f t="shared" ref="E3139:M3139" si="680">D3138</f>
        <v>170.32</v>
      </c>
      <c r="F3139" s="28">
        <f t="shared" si="680"/>
        <v>481.12000000000006</v>
      </c>
      <c r="G3139" s="28">
        <f t="shared" si="680"/>
        <v>823</v>
      </c>
      <c r="H3139" s="28">
        <f t="shared" si="680"/>
        <v>1211.5</v>
      </c>
      <c r="I3139" s="28">
        <f t="shared" si="680"/>
        <v>1600</v>
      </c>
      <c r="J3139" s="28">
        <f t="shared" si="680"/>
        <v>1600</v>
      </c>
      <c r="K3139" s="28">
        <f t="shared" si="680"/>
        <v>1600</v>
      </c>
      <c r="L3139" s="28">
        <f t="shared" si="680"/>
        <v>1600</v>
      </c>
      <c r="M3139" s="28">
        <f t="shared" si="680"/>
        <v>1600</v>
      </c>
    </row>
    <row r="3140" spans="1:13" ht="15" customHeight="1" x14ac:dyDescent="0.2">
      <c r="B3140" s="10" t="s">
        <v>892</v>
      </c>
      <c r="C3140" s="10" t="s">
        <v>199</v>
      </c>
      <c r="D3140" s="28">
        <f>(D3139+D3138)*Inputs!$D$12</f>
        <v>108.16</v>
      </c>
      <c r="E3140" s="28">
        <f>(E3139+E3138)*Inputs!$D$12</f>
        <v>325.72000000000003</v>
      </c>
      <c r="F3140" s="28">
        <f>(F3139+F3138)*Inputs!$D$12</f>
        <v>652.06000000000006</v>
      </c>
      <c r="G3140" s="28">
        <f>(G3139+G3138)*Inputs!$D$12</f>
        <v>1017.25</v>
      </c>
      <c r="H3140" s="28">
        <f>(H3139+H3138)*Inputs!$D$12</f>
        <v>1405.75</v>
      </c>
      <c r="I3140" s="28">
        <f>(I3139+I3138)*Inputs!$D$12</f>
        <v>1600</v>
      </c>
      <c r="J3140" s="28">
        <f>(J3139+J3138)*Inputs!$D$12</f>
        <v>1600</v>
      </c>
      <c r="K3140" s="28">
        <f>(K3139+K3138)*Inputs!$D$12</f>
        <v>1600</v>
      </c>
      <c r="L3140" s="28">
        <f>(L3139+L3138)*Inputs!$D$12</f>
        <v>1600</v>
      </c>
      <c r="M3140" s="28">
        <f>(M3139+M3138)*Inputs!$D$12</f>
        <v>1600</v>
      </c>
    </row>
    <row r="3141" spans="1:13" ht="15" customHeight="1" x14ac:dyDescent="0.2">
      <c r="B3141" s="10" t="s">
        <v>893</v>
      </c>
      <c r="C3141" s="10" t="s">
        <v>199</v>
      </c>
      <c r="D3141" s="28">
        <f t="shared" ref="D3141:M3141" si="681">D3138-D3139</f>
        <v>124.32</v>
      </c>
      <c r="E3141" s="28">
        <f t="shared" si="681"/>
        <v>310.80000000000007</v>
      </c>
      <c r="F3141" s="28">
        <f t="shared" si="681"/>
        <v>341.87999999999994</v>
      </c>
      <c r="G3141" s="28">
        <f t="shared" si="681"/>
        <v>388.5</v>
      </c>
      <c r="H3141" s="28">
        <f t="shared" si="681"/>
        <v>388.5</v>
      </c>
      <c r="I3141" s="28">
        <f t="shared" si="681"/>
        <v>0</v>
      </c>
      <c r="J3141" s="28">
        <f t="shared" si="681"/>
        <v>0</v>
      </c>
      <c r="K3141" s="28">
        <f t="shared" si="681"/>
        <v>0</v>
      </c>
      <c r="L3141" s="28">
        <f t="shared" si="681"/>
        <v>0</v>
      </c>
      <c r="M3141" s="28">
        <f t="shared" si="681"/>
        <v>0</v>
      </c>
    </row>
    <row r="3142" spans="1:13" ht="15" customHeight="1" x14ac:dyDescent="0.2">
      <c r="B3142" s="10" t="s">
        <v>894</v>
      </c>
      <c r="C3142" s="10" t="s">
        <v>199</v>
      </c>
      <c r="D3142" s="28">
        <f>IF(MOD(D3134,Inputs!$D$21)=Inputs!$D$6,Inputs!$D$24,Inputs!$D$6)+SUMPRODUCT(--(D3134&gt;$D$3134:$M$3134),--(MOD(D3134-$D$3134:$M$3134,Inputs!$D$21)=Inputs!$D$6),$D$3141:$M$3141)</f>
        <v>0</v>
      </c>
      <c r="E3142" s="28">
        <f>IF(MOD(E3134,Inputs!$D$21)=Inputs!$D$6,Inputs!$D$24,Inputs!$D$6)+SUMPRODUCT(--(E3134&gt;$D$3134:$M$3134),--(MOD(E3134-$D$3134:$M$3134,Inputs!$D$21)=Inputs!$D$6),$D$3141:$M$3141)</f>
        <v>0</v>
      </c>
      <c r="F3142" s="28">
        <f>IF(MOD(F3134,Inputs!$D$21)=Inputs!$D$6,Inputs!$D$24,Inputs!$D$6)+SUMPRODUCT(--(F3134&gt;$D$3134:$M$3134),--(MOD(F3134-$D$3134:$M$3134,Inputs!$D$21)=Inputs!$D$6),$D$3141:$M$3141)</f>
        <v>0</v>
      </c>
      <c r="G3142" s="28">
        <f>IF(MOD(G3134,Inputs!$D$21)=Inputs!$D$6,Inputs!$D$24,Inputs!$D$6)+SUMPRODUCT(--(G3134&gt;$D$3134:$M$3134),--(MOD(G3134-$D$3134:$M$3134,Inputs!$D$21)=Inputs!$D$6),$D$3141:$M$3141)</f>
        <v>46</v>
      </c>
      <c r="H3142" s="28">
        <f>IF(MOD(H3134,Inputs!$D$21)=Inputs!$D$6,Inputs!$D$24,Inputs!$D$6)+SUMPRODUCT(--(H3134&gt;$D$3134:$M$3134),--(MOD(H3134-$D$3134:$M$3134,Inputs!$D$21)=Inputs!$D$6),$D$3141:$M$3141)</f>
        <v>124.32</v>
      </c>
      <c r="I3142" s="28">
        <f>IF(MOD(I3134,Inputs!$D$21)=Inputs!$D$6,Inputs!$D$24,Inputs!$D$6)+SUMPRODUCT(--(I3134&gt;$D$3134:$M$3134),--(MOD(I3134-$D$3134:$M$3134,Inputs!$D$21)=Inputs!$D$6),$D$3141:$M$3141)</f>
        <v>310.80000000000007</v>
      </c>
      <c r="J3142" s="28">
        <f>IF(MOD(J3134,Inputs!$D$21)=Inputs!$D$6,Inputs!$D$24,Inputs!$D$6)+SUMPRODUCT(--(J3134&gt;$D$3134:$M$3134),--(MOD(J3134-$D$3134:$M$3134,Inputs!$D$21)=Inputs!$D$6),$D$3141:$M$3141)</f>
        <v>341.87999999999994</v>
      </c>
      <c r="K3142" s="28">
        <f>IF(MOD(K3134,Inputs!$D$21)=Inputs!$D$6,Inputs!$D$24,Inputs!$D$6)+SUMPRODUCT(--(K3134&gt;$D$3134:$M$3134),--(MOD(K3134-$D$3134:$M$3134,Inputs!$D$21)=Inputs!$D$6),$D$3141:$M$3141)</f>
        <v>434.5</v>
      </c>
      <c r="L3142" s="28">
        <f>IF(MOD(L3134,Inputs!$D$21)=Inputs!$D$6,Inputs!$D$24,Inputs!$D$6)+SUMPRODUCT(--(L3134&gt;$D$3134:$M$3134),--(MOD(L3134-$D$3134:$M$3134,Inputs!$D$21)=Inputs!$D$6),$D$3141:$M$3141)</f>
        <v>512.81999999999994</v>
      </c>
      <c r="M3142" s="28">
        <f>IF(MOD(M3134,Inputs!$D$21)=Inputs!$D$6,Inputs!$D$24,Inputs!$D$6)+SUMPRODUCT(--(M3134&gt;$D$3134:$M$3134),--(MOD(M3134-$D$3134:$M$3134,Inputs!$D$21)=Inputs!$D$6),$D$3141:$M$3141)</f>
        <v>310.80000000000007</v>
      </c>
    </row>
    <row r="3143" spans="1:13" ht="15" customHeight="1" x14ac:dyDescent="0.2">
      <c r="B3143" s="10" t="s">
        <v>895</v>
      </c>
      <c r="C3143" s="10" t="s">
        <v>896</v>
      </c>
      <c r="D3143" s="28">
        <f t="shared" ref="D3143:M3143" si="682">D3140*D3137</f>
        <v>77.288870636550314</v>
      </c>
      <c r="E3143" s="28">
        <f t="shared" si="682"/>
        <v>325.72000000000003</v>
      </c>
      <c r="F3143" s="28">
        <f t="shared" si="682"/>
        <v>652.06000000000006</v>
      </c>
      <c r="G3143" s="28">
        <f t="shared" si="682"/>
        <v>1017.25</v>
      </c>
      <c r="H3143" s="28">
        <f t="shared" si="682"/>
        <v>1405.75</v>
      </c>
      <c r="I3143" s="28">
        <f t="shared" si="682"/>
        <v>1600</v>
      </c>
      <c r="J3143" s="28">
        <f t="shared" si="682"/>
        <v>1600</v>
      </c>
      <c r="K3143" s="28">
        <f t="shared" si="682"/>
        <v>1600</v>
      </c>
      <c r="L3143" s="28">
        <f t="shared" si="682"/>
        <v>1600</v>
      </c>
      <c r="M3143" s="28">
        <f t="shared" si="682"/>
        <v>1600</v>
      </c>
    </row>
    <row r="3144" spans="1:13" ht="15" customHeight="1" x14ac:dyDescent="0.2">
      <c r="B3144" s="10" t="s">
        <v>897</v>
      </c>
      <c r="C3144" s="10" t="s">
        <v>110</v>
      </c>
      <c r="D3144" s="16">
        <f>D3143*($D$3163/Inputs!$D$21+$D$3164/Inputs!$D$22)</f>
        <v>1118.2034893112541</v>
      </c>
      <c r="E3144" s="16">
        <f>E3143*($D$3163/Inputs!$D$21+$D$3164/Inputs!$D$22)</f>
        <v>4712.466847280074</v>
      </c>
      <c r="F3144" s="16">
        <f>F3143*($D$3163/Inputs!$D$21+$D$3164/Inputs!$D$22)</f>
        <v>9433.9037591718188</v>
      </c>
      <c r="G3144" s="16">
        <f>G3143*($D$3163/Inputs!$D$21+$D$3164/Inputs!$D$22)</f>
        <v>14717.416493907818</v>
      </c>
      <c r="H3144" s="16">
        <f>H3143*($D$3163/Inputs!$D$21+$D$3164/Inputs!$D$22)</f>
        <v>20338.17472235037</v>
      </c>
      <c r="I3144" s="16">
        <f>I3143*($D$3163/Inputs!$D$21+$D$3164/Inputs!$D$22)</f>
        <v>23148.553836571649</v>
      </c>
      <c r="J3144" s="16">
        <f>J3143*($D$3163/Inputs!$D$21+$D$3164/Inputs!$D$22)</f>
        <v>23148.553836571649</v>
      </c>
      <c r="K3144" s="16">
        <f>K3143*($D$3163/Inputs!$D$21+$D$3164/Inputs!$D$22)</f>
        <v>23148.553836571649</v>
      </c>
      <c r="L3144" s="16">
        <f>L3143*($D$3163/Inputs!$D$21+$D$3164/Inputs!$D$22)</f>
        <v>23148.553836571649</v>
      </c>
      <c r="M3144" s="16">
        <f>M3143*($D$3163/Inputs!$D$21+$D$3164/Inputs!$D$22)</f>
        <v>23148.553836571649</v>
      </c>
    </row>
    <row r="3145" spans="1:13" ht="15" customHeight="1" x14ac:dyDescent="0.2">
      <c r="B3145" s="10" t="s">
        <v>898</v>
      </c>
      <c r="C3145" s="10" t="s">
        <v>110</v>
      </c>
      <c r="D3145" s="16">
        <f t="shared" ref="D3145:M3145" si="683">D3141*($D$3163+$D$3164)</f>
        <v>7454.8732903914051</v>
      </c>
      <c r="E3145" s="16">
        <f t="shared" si="683"/>
        <v>18637.183225978519</v>
      </c>
      <c r="F3145" s="16">
        <f t="shared" si="683"/>
        <v>20500.901548576363</v>
      </c>
      <c r="G3145" s="16">
        <f t="shared" si="683"/>
        <v>23296.479032473144</v>
      </c>
      <c r="H3145" s="16">
        <f t="shared" si="683"/>
        <v>23296.479032473144</v>
      </c>
      <c r="I3145" s="16">
        <f t="shared" si="683"/>
        <v>0</v>
      </c>
      <c r="J3145" s="16">
        <f t="shared" si="683"/>
        <v>0</v>
      </c>
      <c r="K3145" s="16">
        <f t="shared" si="683"/>
        <v>0</v>
      </c>
      <c r="L3145" s="16">
        <f t="shared" si="683"/>
        <v>0</v>
      </c>
      <c r="M3145" s="16">
        <f t="shared" si="683"/>
        <v>0</v>
      </c>
    </row>
    <row r="3146" spans="1:13" ht="15" customHeight="1" x14ac:dyDescent="0.2">
      <c r="B3146" s="10" t="s">
        <v>899</v>
      </c>
      <c r="C3146" s="10" t="s">
        <v>110</v>
      </c>
      <c r="D3146" s="16">
        <f t="shared" ref="D3146:M3146" si="684">D3142*$D$3163</f>
        <v>0</v>
      </c>
      <c r="E3146" s="16">
        <f t="shared" si="684"/>
        <v>0</v>
      </c>
      <c r="F3146" s="16">
        <f t="shared" si="684"/>
        <v>0</v>
      </c>
      <c r="G3146" s="16">
        <f t="shared" si="684"/>
        <v>2638.0048485671714</v>
      </c>
      <c r="H3146" s="16">
        <f t="shared" si="684"/>
        <v>7129.4948429102333</v>
      </c>
      <c r="I3146" s="16">
        <f t="shared" si="684"/>
        <v>17823.737107275589</v>
      </c>
      <c r="J3146" s="16">
        <f t="shared" si="684"/>
        <v>19606.110818003141</v>
      </c>
      <c r="K3146" s="16">
        <f t="shared" si="684"/>
        <v>24917.676232661652</v>
      </c>
      <c r="L3146" s="16">
        <f t="shared" si="684"/>
        <v>29409.166227004709</v>
      </c>
      <c r="M3146" s="16">
        <f t="shared" si="684"/>
        <v>17823.737107275589</v>
      </c>
    </row>
    <row r="3147" spans="1:13" ht="15" customHeight="1" x14ac:dyDescent="0.2">
      <c r="B3147" s="10" t="s">
        <v>900</v>
      </c>
      <c r="C3147" s="10" t="s">
        <v>199</v>
      </c>
      <c r="D3147" s="28">
        <f>D3141*Inputs!$D$23</f>
        <v>3.1080000000000001</v>
      </c>
      <c r="E3147" s="28">
        <f>E3141*Inputs!$D$23</f>
        <v>7.7700000000000022</v>
      </c>
      <c r="F3147" s="28">
        <f>F3141*Inputs!$D$23</f>
        <v>8.5469999999999988</v>
      </c>
      <c r="G3147" s="28">
        <f>G3141*Inputs!$D$23</f>
        <v>9.7125000000000004</v>
      </c>
      <c r="H3147" s="28">
        <f>H3141*Inputs!$D$23</f>
        <v>9.7125000000000004</v>
      </c>
      <c r="I3147" s="28">
        <f>I3141*Inputs!$D$23</f>
        <v>0</v>
      </c>
      <c r="J3147" s="28">
        <f>J3141*Inputs!$D$23</f>
        <v>0</v>
      </c>
      <c r="K3147" s="28">
        <f>K3141*Inputs!$D$23</f>
        <v>0</v>
      </c>
      <c r="L3147" s="28">
        <f>L3141*Inputs!$D$23</f>
        <v>0</v>
      </c>
      <c r="M3147" s="28">
        <f>M3141*Inputs!$D$23</f>
        <v>0</v>
      </c>
    </row>
    <row r="3148" spans="1:13" ht="15" customHeight="1" x14ac:dyDescent="0.2">
      <c r="B3148" s="3" t="s">
        <v>901</v>
      </c>
      <c r="C3148" s="10" t="s">
        <v>896</v>
      </c>
      <c r="D3148" s="28">
        <f>(D3143*$D$3161*(Inputs!$D$7-Inputs!$D$19)-D3147)/(Inputs!$D$7+$D$3162)^D3136</f>
        <v>40.99699201112098</v>
      </c>
      <c r="E3148" s="28">
        <f>(E3143*$D$3161*(Inputs!$D$7-Inputs!$D$19)-E3147)/(Inputs!$D$7+$D$3162)^E3136</f>
        <v>153.02781912726542</v>
      </c>
      <c r="F3148" s="28">
        <f>(F3143*$D$3161*(Inputs!$D$7-Inputs!$D$19)-F3147)/(Inputs!$D$7+$D$3162)^F3136</f>
        <v>268.8019226843403</v>
      </c>
      <c r="G3148" s="28">
        <f>(G3143*$D$3161*(Inputs!$D$7-Inputs!$D$19)-G3147)/(Inputs!$D$7+$D$3162)^G3136</f>
        <v>363.62824610263397</v>
      </c>
      <c r="H3148" s="28">
        <f>(H3143*$D$3161*(Inputs!$D$7-Inputs!$D$19)-H3147)/(Inputs!$D$7+$D$3162)^H3136</f>
        <v>435.07807528321291</v>
      </c>
      <c r="I3148" s="28">
        <f>(I3143*$D$3161*(Inputs!$D$7-Inputs!$D$19)-I3147)/(Inputs!$D$7+$D$3162)^I3136</f>
        <v>431.49711827119876</v>
      </c>
      <c r="J3148" s="28">
        <f>(J3143*$D$3161*(Inputs!$D$7-Inputs!$D$19)-J3147)/(Inputs!$D$7+$D$3162)^J3136</f>
        <v>372.01806500733016</v>
      </c>
      <c r="K3148" s="28">
        <f>(K3143*$D$3161*(Inputs!$D$7-Inputs!$D$19)-K3147)/(Inputs!$D$7+$D$3162)^K3136</f>
        <v>320.73780989845312</v>
      </c>
      <c r="L3148" s="28">
        <f>(L3143*$D$3161*(Inputs!$D$7-Inputs!$D$19)-L3147)/(Inputs!$D$7+$D$3162)^L3136</f>
        <v>276.52620228651875</v>
      </c>
      <c r="M3148" s="28">
        <f>(M3143*$D$3161*(Inputs!$D$7-Inputs!$D$19)-M3147)/(Inputs!$D$7+$D$3162)^M3136</f>
        <v>238.31201718226143</v>
      </c>
    </row>
    <row r="3149" spans="1:13" ht="15" customHeight="1" x14ac:dyDescent="0.2">
      <c r="B3149" s="10" t="s">
        <v>902</v>
      </c>
      <c r="C3149" s="10" t="s">
        <v>110</v>
      </c>
      <c r="D3149" s="16">
        <f>(D3144*Inputs!$D$19-D3145-D3146)/(Inputs!$D$7+$D$3162)^D3136</f>
        <v>-6403.0045740313244</v>
      </c>
      <c r="E3149" s="16">
        <f>(E3144*Inputs!$D$19-E3145-E3146)/(Inputs!$D$7+$D$3162)^E3136</f>
        <v>-13349.632212764713</v>
      </c>
      <c r="F3149" s="16">
        <f>(F3144*Inputs!$D$19-F3145-F3146)/(Inputs!$D$7+$D$3162)^F3136</f>
        <v>-11808.370082432088</v>
      </c>
      <c r="G3149" s="16">
        <f>(G3144*Inputs!$D$19-G3145-G3146)/(Inputs!$D$7+$D$3162)^G3136</f>
        <v>-12397.921878440668</v>
      </c>
      <c r="H3149" s="16">
        <f>(H3144*Inputs!$D$19-H3145-H3146)/(Inputs!$D$7+$D$3162)^H3136</f>
        <v>-12082.366885213038</v>
      </c>
      <c r="I3149" s="16">
        <f>(I3144*Inputs!$D$19-I3145-I3146)/(Inputs!$D$7+$D$3162)^I3136</f>
        <v>-4657.0743222469628</v>
      </c>
      <c r="J3149" s="16">
        <f>(J3144*Inputs!$D$19-J3145-J3146)/(Inputs!$D$7+$D$3162)^J3136</f>
        <v>-4672.9398284057479</v>
      </c>
      <c r="K3149" s="16">
        <f>(K3144*Inputs!$D$19-K3145-K3146)/(Inputs!$D$7+$D$3162)^K3136</f>
        <v>-5718.9047268503064</v>
      </c>
      <c r="L3149" s="16">
        <f>(L3144*Inputs!$D$19-L3145-L3146)/(Inputs!$D$7+$D$3162)^L3136</f>
        <v>-6162.7485564592316</v>
      </c>
      <c r="M3149" s="16">
        <f>(M3144*Inputs!$D$19-M3145-M3146)/(Inputs!$D$7+$D$3162)^M3136</f>
        <v>-2572.0606903447429</v>
      </c>
    </row>
    <row r="3150" spans="1:13" ht="15" customHeight="1" x14ac:dyDescent="0.2">
      <c r="B3150" s="10" t="s">
        <v>903</v>
      </c>
      <c r="C3150" s="10" t="s">
        <v>110</v>
      </c>
      <c r="D3150" s="16">
        <f t="shared" ref="D3150:M3150" si="685">D3143*$D$3160</f>
        <v>2571.8492427688034</v>
      </c>
      <c r="E3150" s="16">
        <f t="shared" si="685"/>
        <v>10838.594592667016</v>
      </c>
      <c r="F3150" s="16">
        <f t="shared" si="685"/>
        <v>21697.820183269232</v>
      </c>
      <c r="G3150" s="16">
        <f t="shared" si="685"/>
        <v>33849.810725133611</v>
      </c>
      <c r="H3150" s="16">
        <f t="shared" si="685"/>
        <v>46777.460237755302</v>
      </c>
      <c r="I3150" s="16">
        <f t="shared" si="685"/>
        <v>53241.28499406614</v>
      </c>
      <c r="J3150" s="16">
        <f t="shared" si="685"/>
        <v>53241.28499406614</v>
      </c>
      <c r="K3150" s="16">
        <f t="shared" si="685"/>
        <v>53241.28499406614</v>
      </c>
      <c r="L3150" s="16">
        <f t="shared" si="685"/>
        <v>53241.28499406614</v>
      </c>
      <c r="M3150" s="16">
        <f t="shared" si="685"/>
        <v>53241.28499406614</v>
      </c>
    </row>
    <row r="3151" spans="1:13" ht="15" customHeight="1" x14ac:dyDescent="0.2">
      <c r="B3151" s="10" t="s">
        <v>904</v>
      </c>
      <c r="C3151" s="10" t="s">
        <v>110</v>
      </c>
      <c r="D3151" s="16">
        <f t="shared" ref="D3151:M3151" si="686">D3150*$D$3161</f>
        <v>2314.664318491923</v>
      </c>
      <c r="E3151" s="16">
        <f t="shared" si="686"/>
        <v>9754.7351334003142</v>
      </c>
      <c r="F3151" s="16">
        <f t="shared" si="686"/>
        <v>19528.038164942311</v>
      </c>
      <c r="G3151" s="16">
        <f t="shared" si="686"/>
        <v>30464.82965262025</v>
      </c>
      <c r="H3151" s="16">
        <f t="shared" si="686"/>
        <v>42099.714213979772</v>
      </c>
      <c r="I3151" s="16">
        <f t="shared" si="686"/>
        <v>47917.156494659524</v>
      </c>
      <c r="J3151" s="16">
        <f t="shared" si="686"/>
        <v>47917.156494659524</v>
      </c>
      <c r="K3151" s="16">
        <f t="shared" si="686"/>
        <v>47917.156494659524</v>
      </c>
      <c r="L3151" s="16">
        <f t="shared" si="686"/>
        <v>47917.156494659524</v>
      </c>
      <c r="M3151" s="16">
        <f t="shared" si="686"/>
        <v>47917.156494659524</v>
      </c>
    </row>
    <row r="3152" spans="1:13" ht="15" customHeight="1" x14ac:dyDescent="0.2">
      <c r="B3152" s="10" t="s">
        <v>905</v>
      </c>
      <c r="C3152" s="10" t="s">
        <v>110</v>
      </c>
      <c r="D3152" s="16">
        <f t="shared" ref="D3152:M3152" si="687">D3151-D3144</f>
        <v>1196.460829180669</v>
      </c>
      <c r="E3152" s="16">
        <f t="shared" si="687"/>
        <v>5042.2682861202402</v>
      </c>
      <c r="F3152" s="16">
        <f t="shared" si="687"/>
        <v>10094.134405770492</v>
      </c>
      <c r="G3152" s="16">
        <f t="shared" si="687"/>
        <v>15747.413158712432</v>
      </c>
      <c r="H3152" s="16">
        <f t="shared" si="687"/>
        <v>21761.539491629403</v>
      </c>
      <c r="I3152" s="16">
        <f t="shared" si="687"/>
        <v>24768.602658087875</v>
      </c>
      <c r="J3152" s="16">
        <f t="shared" si="687"/>
        <v>24768.602658087875</v>
      </c>
      <c r="K3152" s="16">
        <f t="shared" si="687"/>
        <v>24768.602658087875</v>
      </c>
      <c r="L3152" s="16">
        <f t="shared" si="687"/>
        <v>24768.602658087875</v>
      </c>
      <c r="M3152" s="16">
        <f t="shared" si="687"/>
        <v>24768.602658087875</v>
      </c>
    </row>
    <row r="3153" spans="2:13" ht="15" customHeight="1" x14ac:dyDescent="0.2">
      <c r="B3153" s="10" t="s">
        <v>906</v>
      </c>
      <c r="C3153" s="10" t="s">
        <v>110</v>
      </c>
      <c r="D3153" s="16">
        <f>MAX(D3152,Inputs!$D$6)*Inputs!$D$19</f>
        <v>358.93824875420069</v>
      </c>
      <c r="E3153" s="16">
        <f>MAX(E3152,Inputs!$D$6)*Inputs!$D$19</f>
        <v>1512.680485836072</v>
      </c>
      <c r="F3153" s="16">
        <f>MAX(F3152,Inputs!$D$6)*Inputs!$D$19</f>
        <v>3028.2403217311476</v>
      </c>
      <c r="G3153" s="16">
        <f>MAX(G3152,Inputs!$D$6)*Inputs!$D$19</f>
        <v>4724.2239476137293</v>
      </c>
      <c r="H3153" s="16">
        <f>MAX(H3152,Inputs!$D$6)*Inputs!$D$19</f>
        <v>6528.4618474888202</v>
      </c>
      <c r="I3153" s="16">
        <f>MAX(I3152,Inputs!$D$6)*Inputs!$D$19</f>
        <v>7430.5807974263626</v>
      </c>
      <c r="J3153" s="16">
        <f>MAX(J3152,Inputs!$D$6)*Inputs!$D$19</f>
        <v>7430.5807974263626</v>
      </c>
      <c r="K3153" s="16">
        <f>MAX(K3152,Inputs!$D$6)*Inputs!$D$19</f>
        <v>7430.5807974263626</v>
      </c>
      <c r="L3153" s="16">
        <f>MAX(L3152,Inputs!$D$6)*Inputs!$D$19</f>
        <v>7430.5807974263626</v>
      </c>
      <c r="M3153" s="16">
        <f>MAX(M3152,Inputs!$D$6)*Inputs!$D$19</f>
        <v>7430.5807974263626</v>
      </c>
    </row>
    <row r="3154" spans="2:13" ht="15" customHeight="1" x14ac:dyDescent="0.2">
      <c r="B3154" s="10" t="s">
        <v>907</v>
      </c>
      <c r="C3154" s="10" t="s">
        <v>110</v>
      </c>
      <c r="D3154" s="16">
        <f t="shared" ref="D3154:M3154" si="688">D3147*$D$3160</f>
        <v>103.42119610097349</v>
      </c>
      <c r="E3154" s="16">
        <f t="shared" si="688"/>
        <v>258.5529902524338</v>
      </c>
      <c r="F3154" s="16">
        <f t="shared" si="688"/>
        <v>284.40828927767706</v>
      </c>
      <c r="G3154" s="16">
        <f t="shared" si="688"/>
        <v>323.19123781554214</v>
      </c>
      <c r="H3154" s="16">
        <f t="shared" si="688"/>
        <v>323.19123781554214</v>
      </c>
      <c r="I3154" s="16">
        <f t="shared" si="688"/>
        <v>0</v>
      </c>
      <c r="J3154" s="16">
        <f t="shared" si="688"/>
        <v>0</v>
      </c>
      <c r="K3154" s="16">
        <f t="shared" si="688"/>
        <v>0</v>
      </c>
      <c r="L3154" s="16">
        <f t="shared" si="688"/>
        <v>0</v>
      </c>
      <c r="M3154" s="16">
        <f t="shared" si="688"/>
        <v>0</v>
      </c>
    </row>
    <row r="3155" spans="2:13" ht="15" customHeight="1" x14ac:dyDescent="0.2">
      <c r="B3155" s="10" t="s">
        <v>908</v>
      </c>
      <c r="C3155" s="10" t="s">
        <v>110</v>
      </c>
      <c r="D3155" s="16">
        <f t="shared" ref="D3155:M3155" si="689">D3151-D3153-D3145-D3146-D3154</f>
        <v>-5602.568416754656</v>
      </c>
      <c r="E3155" s="16">
        <f t="shared" si="689"/>
        <v>-10653.681568666711</v>
      </c>
      <c r="F3155" s="16">
        <f t="shared" si="689"/>
        <v>-4285.5119946428767</v>
      </c>
      <c r="G3155" s="16">
        <f t="shared" si="689"/>
        <v>-517.06941384933634</v>
      </c>
      <c r="H3155" s="16">
        <f t="shared" si="689"/>
        <v>4822.0872532920339</v>
      </c>
      <c r="I3155" s="16">
        <f t="shared" si="689"/>
        <v>22662.83858995757</v>
      </c>
      <c r="J3155" s="16">
        <f t="shared" si="689"/>
        <v>20880.464879230018</v>
      </c>
      <c r="K3155" s="16">
        <f t="shared" si="689"/>
        <v>15568.899464571507</v>
      </c>
      <c r="L3155" s="16">
        <f t="shared" si="689"/>
        <v>11077.409470228449</v>
      </c>
      <c r="M3155" s="16">
        <f t="shared" si="689"/>
        <v>22662.83858995757</v>
      </c>
    </row>
    <row r="3156" spans="2:13" ht="15" customHeight="1" x14ac:dyDescent="0.2">
      <c r="B3156" s="10" t="s">
        <v>909</v>
      </c>
      <c r="C3156" s="10" t="s">
        <v>110</v>
      </c>
      <c r="D3156" s="16">
        <f>D3155/(Inputs!$D$7+$D$3162)^D3136</f>
        <v>-5038.796739304109</v>
      </c>
      <c r="E3156" s="16">
        <f>E3155/(Inputs!$D$7+$D$3162)^E3136</f>
        <v>-8257.508631405246</v>
      </c>
      <c r="F3156" s="16">
        <f>F3155/(Inputs!$D$7+$D$3162)^F3136</f>
        <v>-2863.7702245634009</v>
      </c>
      <c r="G3156" s="16">
        <f>G3155/(Inputs!$D$7+$D$3162)^G3136</f>
        <v>-297.89995178894435</v>
      </c>
      <c r="H3156" s="16">
        <f>H3155/(Inputs!$D$7+$D$3162)^H3136</f>
        <v>2395.2054903015301</v>
      </c>
      <c r="I3156" s="16">
        <f>I3155/(Inputs!$D$7+$D$3162)^I3136</f>
        <v>9701.3388327500106</v>
      </c>
      <c r="J3156" s="16">
        <f>J3155/(Inputs!$D$7+$D$3162)^J3136</f>
        <v>7706.2600603419323</v>
      </c>
      <c r="K3156" s="16">
        <f>K3155/(Inputs!$D$7+$D$3162)^K3136</f>
        <v>4953.9034888847864</v>
      </c>
      <c r="L3156" s="16">
        <f>L3155/(Inputs!$D$7+$D$3162)^L3136</f>
        <v>3038.8829087053482</v>
      </c>
      <c r="M3156" s="16">
        <f>M3155/(Inputs!$D$7+$D$3162)^M3136</f>
        <v>5357.9630748499867</v>
      </c>
    </row>
    <row r="3157" spans="2:13" ht="15" customHeight="1" x14ac:dyDescent="0.2">
      <c r="B3157" s="3" t="s">
        <v>910</v>
      </c>
      <c r="C3157" s="10" t="s">
        <v>896</v>
      </c>
      <c r="D3157" s="28">
        <f>(D3143*$D$3161-D3147)/(Inputs!$D$7+$D$3162)^D3136</f>
        <v>59.765095798928819</v>
      </c>
      <c r="E3157" s="28">
        <f>(E3143*$D$3161-E3147)/(Inputs!$D$7+$D$3162)^E3136</f>
        <v>221.1922031857838</v>
      </c>
      <c r="F3157" s="28">
        <f>(F3143*$D$3161-F3147)/(Inputs!$D$7+$D$3162)^F3136</f>
        <v>386.45052664112239</v>
      </c>
      <c r="G3157" s="28">
        <f>(G3143*$D$3161-G3147)/(Inputs!$D$7+$D$3162)^G3136</f>
        <v>521.867070169518</v>
      </c>
      <c r="H3157" s="28">
        <f>(H3143*$D$3161-H3147)/(Inputs!$D$7+$D$3162)^H3136</f>
        <v>623.60768582417222</v>
      </c>
      <c r="I3157" s="28">
        <f>(I3143*$D$3161-I3147)/(Inputs!$D$7+$D$3162)^I3136</f>
        <v>616.42445467314121</v>
      </c>
      <c r="J3157" s="28">
        <f>(J3143*$D$3161-J3147)/(Inputs!$D$7+$D$3162)^J3136</f>
        <v>531.4543785819003</v>
      </c>
      <c r="K3157" s="28">
        <f>(K3143*$D$3161-K3147)/(Inputs!$D$7+$D$3162)^K3136</f>
        <v>458.19687128350449</v>
      </c>
      <c r="L3157" s="28">
        <f>(L3143*$D$3161-L3147)/(Inputs!$D$7+$D$3162)^L3136</f>
        <v>395.03743183788401</v>
      </c>
      <c r="M3157" s="28">
        <f>(M3143*$D$3161-M3147)/(Inputs!$D$7+$D$3162)^M3136</f>
        <v>340.44573883180209</v>
      </c>
    </row>
    <row r="3158" spans="2:13" ht="15" customHeight="1" x14ac:dyDescent="0.2">
      <c r="B3158" s="10" t="s">
        <v>911</v>
      </c>
      <c r="C3158" s="10" t="s">
        <v>110</v>
      </c>
      <c r="D3158" s="16">
        <f>(-D3145-D3146)/(Inputs!$D$7+$D$3162)^D3136</f>
        <v>-6704.7090607969039</v>
      </c>
      <c r="E3158" s="16">
        <f>(-E3145-E3146)/(Inputs!$D$7+$D$3162)^E3136</f>
        <v>-14445.4009031226</v>
      </c>
      <c r="F3158" s="16">
        <f>(-F3145-F3146)/(Inputs!$D$7+$D$3162)^F3136</f>
        <v>-13699.616639717549</v>
      </c>
      <c r="G3158" s="16">
        <f>(-G3145-G3146)/(Inputs!$D$7+$D$3162)^G3136</f>
        <v>-14941.671835349038</v>
      </c>
      <c r="H3158" s="16">
        <f>(-H3145-H3146)/(Inputs!$D$7+$D$3162)^H3136</f>
        <v>-15113.052884793095</v>
      </c>
      <c r="I3158" s="16">
        <f>(-I3145-I3146)/(Inputs!$D$7+$D$3162)^I3136</f>
        <v>-7629.8523795762403</v>
      </c>
      <c r="J3158" s="16">
        <f>(-J3145-J3146)/(Inputs!$D$7+$D$3162)^J3136</f>
        <v>-7235.9398897150922</v>
      </c>
      <c r="K3158" s="16">
        <f>(-K3145-K3146)/(Inputs!$D$7+$D$3162)^K3136</f>
        <v>-7928.612006570077</v>
      </c>
      <c r="L3158" s="16">
        <f>(-L3145-L3146)/(Inputs!$D$7+$D$3162)^L3136</f>
        <v>-8067.8621519509534</v>
      </c>
      <c r="M3158" s="16">
        <f>(-M3145-M3146)/(Inputs!$D$7+$D$3162)^M3136</f>
        <v>-4213.8995473821142</v>
      </c>
    </row>
    <row r="3159" spans="2:13" ht="15" customHeight="1" x14ac:dyDescent="0.2">
      <c r="B3159" s="10" t="s">
        <v>912</v>
      </c>
      <c r="C3159" s="10" t="s">
        <v>110</v>
      </c>
      <c r="D3159" s="16">
        <f>Prices!I17</f>
        <v>43559.249176099729</v>
      </c>
    </row>
    <row r="3160" spans="2:13" ht="15" customHeight="1" x14ac:dyDescent="0.2">
      <c r="B3160" s="3" t="s">
        <v>913</v>
      </c>
      <c r="C3160" s="10" t="s">
        <v>914</v>
      </c>
      <c r="D3160" s="28">
        <f>IF(J3167&gt;=J3163,J3167,(D3159-J3166)/J3165)</f>
        <v>33.275803121291339</v>
      </c>
      <c r="G3160" s="99" t="s">
        <v>915</v>
      </c>
      <c r="H3160" s="91"/>
      <c r="I3160" s="91"/>
      <c r="J3160" s="28">
        <f>D3160*Inputs!$D$15</f>
        <v>23.223182998349223</v>
      </c>
      <c r="K3160" s="99" t="s">
        <v>916</v>
      </c>
      <c r="L3160" s="91"/>
      <c r="M3160" s="91"/>
    </row>
    <row r="3161" spans="2:13" ht="15" customHeight="1" x14ac:dyDescent="0.2">
      <c r="B3161" s="10" t="s">
        <v>917</v>
      </c>
      <c r="C3161" s="10" t="s">
        <v>104</v>
      </c>
      <c r="D3161" s="30">
        <f>Inputs!$D$107</f>
        <v>0.9</v>
      </c>
      <c r="G3161" s="99" t="s">
        <v>918</v>
      </c>
      <c r="H3161" s="91"/>
      <c r="I3161" s="91"/>
      <c r="J3161" s="28">
        <f>IF(-D3172/D3171&gt;=J3163,-D3172/D3171,-J3166/J3165)</f>
        <v>24.024174528419383</v>
      </c>
      <c r="K3161" s="99" t="s">
        <v>919</v>
      </c>
      <c r="L3161" s="91"/>
      <c r="M3161" s="91"/>
    </row>
    <row r="3162" spans="2:13" ht="15" customHeight="1" x14ac:dyDescent="0.2">
      <c r="B3162" s="10" t="s">
        <v>920</v>
      </c>
      <c r="C3162" s="10" t="s">
        <v>104</v>
      </c>
      <c r="D3162" s="30">
        <f>Inputs!$D$108</f>
        <v>0.16</v>
      </c>
      <c r="G3162" s="99" t="s">
        <v>918</v>
      </c>
      <c r="H3162" s="91"/>
      <c r="I3162" s="91"/>
      <c r="J3162" s="28">
        <f>J3161*Inputs!$D$15</f>
        <v>16.766471403383886</v>
      </c>
      <c r="K3162" s="99" t="s">
        <v>916</v>
      </c>
      <c r="L3162" s="91"/>
      <c r="M3162" s="91"/>
    </row>
    <row r="3163" spans="2:13" ht="15" customHeight="1" x14ac:dyDescent="0.2">
      <c r="B3163" s="3" t="s">
        <v>921</v>
      </c>
      <c r="C3163" s="10" t="s">
        <v>848</v>
      </c>
      <c r="D3163" s="28">
        <f>Capital!$D$13</f>
        <v>57.347931490590682</v>
      </c>
      <c r="G3163" s="99" t="s">
        <v>922</v>
      </c>
      <c r="H3163" s="91"/>
      <c r="I3163" s="91"/>
      <c r="J3163" s="28">
        <f>($D$3163/Inputs!$D$21+$D$3164/Inputs!$D$22)/$D$3161</f>
        <v>16.07538460873031</v>
      </c>
      <c r="K3163" s="99" t="s">
        <v>919</v>
      </c>
      <c r="L3163" s="91"/>
      <c r="M3163" s="91"/>
    </row>
    <row r="3164" spans="2:13" ht="15" customHeight="1" x14ac:dyDescent="0.2">
      <c r="B3164" s="3" t="s">
        <v>923</v>
      </c>
      <c r="C3164" s="10" t="s">
        <v>848</v>
      </c>
      <c r="D3164" s="28">
        <f>Capital!$D$14</f>
        <v>2.6172655041921802</v>
      </c>
    </row>
    <row r="3165" spans="2:13" ht="15" customHeight="1" x14ac:dyDescent="0.2">
      <c r="B3165" s="10" t="s">
        <v>924</v>
      </c>
      <c r="C3165" s="10" t="s">
        <v>896</v>
      </c>
      <c r="D3165" s="28">
        <f>(M3138*(Inputs!$D$7+Inputs!$D$20)*$D$3161*(Inputs!$D$7-Inputs!$D$19)-M3138*Inputs!$D$20*Inputs!$D$23)/($D$3162-Inputs!$D$20)/(Inputs!$D$7+$D$3162)^M3136</f>
        <v>1807.6547922951956</v>
      </c>
      <c r="G3165" s="92" t="s">
        <v>910</v>
      </c>
      <c r="H3165" s="91"/>
      <c r="I3165" s="91"/>
      <c r="J3165" s="28">
        <f>SUM(D3157:M3157)+(M3138*(Inputs!$D$7+Inputs!$D$20)*$D$3161-M3138*Inputs!$D$20*Inputs!$D$23)/($D$3162-Inputs!$D$20)/(Inputs!$D$7+$D$3162)^M3136</f>
        <v>6737.5559875731687</v>
      </c>
      <c r="K3165" s="99" t="s">
        <v>896</v>
      </c>
      <c r="L3165" s="91"/>
      <c r="M3165" s="91"/>
    </row>
    <row r="3166" spans="2:13" ht="15" customHeight="1" x14ac:dyDescent="0.2">
      <c r="B3166" s="10" t="s">
        <v>925</v>
      </c>
      <c r="C3166" s="10" t="s">
        <v>110</v>
      </c>
      <c r="D3166" s="16">
        <f>(D3169*Inputs!$D$19-D3169-D3170)/($D$3162-Inputs!$D$20)/(Inputs!$D$7+$D$3162)^M3136</f>
        <v>-33287.494112345899</v>
      </c>
      <c r="G3166" s="92" t="s">
        <v>926</v>
      </c>
      <c r="H3166" s="91"/>
      <c r="I3166" s="91"/>
      <c r="J3166" s="16">
        <f>SUM(D3158:M3158)-(D3169+D3170)/($D$3162-Inputs!$D$20)/(Inputs!$D$7+$D$3162)^M3136</f>
        <v>-145733.9249554922</v>
      </c>
      <c r="K3166" s="99" t="s">
        <v>110</v>
      </c>
      <c r="L3166" s="91"/>
      <c r="M3166" s="91"/>
    </row>
    <row r="3167" spans="2:13" ht="15" customHeight="1" x14ac:dyDescent="0.2">
      <c r="B3167" s="10" t="s">
        <v>927</v>
      </c>
      <c r="C3167" s="10" t="s">
        <v>928</v>
      </c>
      <c r="D3167" s="16">
        <f>(M3138*(Inputs!$D$7+Inputs!$D$20)*$D$3160*$D$3161-D3169)-MAX((M3138*(Inputs!$D$7+Inputs!$D$20)*$D$3160*$D$3161-D3169),Inputs!$D$6)*Inputs!$D$19-D3170-M3138*Inputs!$D$20*$D$3160*Inputs!$D$23</f>
        <v>15339.588724265446</v>
      </c>
      <c r="G3167" s="99" t="s">
        <v>929</v>
      </c>
      <c r="H3167" s="91"/>
      <c r="I3167" s="91"/>
      <c r="J3167" s="28">
        <f>(D3159-D3172)/D3171</f>
        <v>33.275803121291339</v>
      </c>
      <c r="K3167" s="99" t="s">
        <v>919</v>
      </c>
      <c r="L3167" s="91"/>
      <c r="M3167" s="91"/>
    </row>
    <row r="3168" spans="2:13" ht="15" customHeight="1" x14ac:dyDescent="0.2">
      <c r="B3168" s="10" t="s">
        <v>930</v>
      </c>
      <c r="C3168" s="10" t="s">
        <v>110</v>
      </c>
      <c r="D3168" s="16">
        <f>D3167/($D$3162-Inputs!$D$20)</f>
        <v>113626.58314270701</v>
      </c>
      <c r="G3168" s="99" t="s">
        <v>931</v>
      </c>
      <c r="H3168" s="91"/>
      <c r="I3168" s="91"/>
      <c r="J3168" s="16">
        <f>MIN(D3152:M3152,(M3138*(Inputs!$D$7+Inputs!$D$20)*$D$3160*$D$3161-D3169))</f>
        <v>1196.460829180669</v>
      </c>
      <c r="K3168" s="99" t="s">
        <v>110</v>
      </c>
      <c r="L3168" s="91"/>
      <c r="M3168" s="91"/>
    </row>
    <row r="3169" spans="1:13" ht="15" customHeight="1" x14ac:dyDescent="0.2">
      <c r="B3169" s="10" t="s">
        <v>932</v>
      </c>
      <c r="C3169" s="10" t="s">
        <v>928</v>
      </c>
      <c r="D3169" s="16">
        <f>M3138*(Inputs!$D$7+Inputs!$D$20)*($D$3163/Inputs!$D$21+$D$3164/Inputs!$D$22)</f>
        <v>23727.267682485937</v>
      </c>
      <c r="G3169" s="99" t="s">
        <v>933</v>
      </c>
      <c r="H3169" s="91"/>
      <c r="I3169" s="91"/>
      <c r="J3169" s="31" t="str">
        <f>IF(J3168&lt;Inputs!$D$6,"breached","satisfied")</f>
        <v>satisfied</v>
      </c>
      <c r="K3169" s="99" t="s">
        <v>934</v>
      </c>
      <c r="L3169" s="91"/>
      <c r="M3169" s="91"/>
    </row>
    <row r="3170" spans="1:13" ht="15" customHeight="1" x14ac:dyDescent="0.2">
      <c r="B3170" s="10" t="s">
        <v>935</v>
      </c>
      <c r="C3170" s="10" t="s">
        <v>928</v>
      </c>
      <c r="D3170" s="16">
        <f>M3138*Inputs!$D$20*($D$3163+$D$3164)</f>
        <v>2398.6078797913146</v>
      </c>
    </row>
    <row r="3171" spans="1:13" ht="15" customHeight="1" x14ac:dyDescent="0.2">
      <c r="B3171" s="10" t="s">
        <v>936</v>
      </c>
      <c r="C3171" s="10" t="s">
        <v>896</v>
      </c>
      <c r="D3171" s="28">
        <f>SUM(D3148:M3148)+D3165</f>
        <v>4708.2790601495317</v>
      </c>
      <c r="G3171" s="99" t="s">
        <v>937</v>
      </c>
      <c r="H3171" s="91"/>
      <c r="I3171" s="91"/>
      <c r="J3171" s="16">
        <f>D3173-D3159</f>
        <v>0</v>
      </c>
      <c r="K3171" s="99" t="s">
        <v>110</v>
      </c>
      <c r="L3171" s="91"/>
      <c r="M3171" s="91"/>
    </row>
    <row r="3172" spans="1:13" ht="15" customHeight="1" x14ac:dyDescent="0.2">
      <c r="B3172" s="10" t="s">
        <v>938</v>
      </c>
      <c r="C3172" s="10" t="s">
        <v>110</v>
      </c>
      <c r="D3172" s="16">
        <f>SUM(D3149:M3149)+D3166</f>
        <v>-113112.51786953473</v>
      </c>
    </row>
    <row r="3173" spans="1:13" ht="15" customHeight="1" x14ac:dyDescent="0.2">
      <c r="B3173" s="10" t="s">
        <v>939</v>
      </c>
      <c r="C3173" s="10" t="s">
        <v>110</v>
      </c>
      <c r="D3173" s="16">
        <f>SUM(D3156:M3156)+D3168/(Inputs!$D$7+$D$3162)^M3136</f>
        <v>43559.249176099722</v>
      </c>
    </row>
    <row r="3174" spans="1:13" ht="15" customHeight="1" x14ac:dyDescent="0.2">
      <c r="B3174" s="10" t="s">
        <v>940</v>
      </c>
      <c r="C3174" s="10" t="s">
        <v>104</v>
      </c>
      <c r="D3174" s="30">
        <f>IF(ABS(D3159)&gt;Inputs!$D$6,D3173/D3159-Inputs!$D$7,Inputs!$D$6)</f>
        <v>-2.2204460492503131E-16</v>
      </c>
    </row>
    <row r="3175" spans="1:13" ht="15" customHeight="1" x14ac:dyDescent="0.2">
      <c r="B3175" s="10" t="s">
        <v>941</v>
      </c>
      <c r="C3175" s="10" t="s">
        <v>104</v>
      </c>
      <c r="D3175" s="30">
        <f>IF(ABS(D3173)&gt;Inputs!$D$119,D3168/(Inputs!$D$7+$D$3162)^M3136/D3173,Inputs!$D$6)</f>
        <v>0.61671565454960842</v>
      </c>
    </row>
    <row r="3176" spans="1:13" ht="15" customHeight="1" x14ac:dyDescent="0.2">
      <c r="B3176" s="10" t="s">
        <v>942</v>
      </c>
      <c r="C3176" s="10" t="s">
        <v>943</v>
      </c>
      <c r="D3176" s="26">
        <f>$D$3160*Inputs!$D$8/Prices!$P$6/(Inputs!$D$26/Inputs!$D$25)/Inputs!$D$11/Inputs!$D$56</f>
        <v>6.0513058736020175</v>
      </c>
    </row>
    <row r="3180" spans="1:13" ht="15" customHeight="1" x14ac:dyDescent="0.2">
      <c r="A3180" s="104" t="s">
        <v>1012</v>
      </c>
      <c r="B3180" s="10" t="s">
        <v>886</v>
      </c>
      <c r="C3180" s="10" t="s">
        <v>107</v>
      </c>
      <c r="D3180" s="28">
        <f>Inputs!$D$60</f>
        <v>1</v>
      </c>
      <c r="E3180" s="28">
        <f>Inputs!$D$62</f>
        <v>2</v>
      </c>
      <c r="F3180" s="28">
        <f>Inputs!$D$64</f>
        <v>3</v>
      </c>
      <c r="G3180" s="28">
        <f>Inputs!$D$66</f>
        <v>4</v>
      </c>
      <c r="H3180" s="28">
        <f>Inputs!$D$68</f>
        <v>5</v>
      </c>
      <c r="I3180" s="28">
        <f>Inputs!$D$70</f>
        <v>6</v>
      </c>
      <c r="J3180" s="28">
        <f>Inputs!$D$72</f>
        <v>7</v>
      </c>
      <c r="K3180" s="28">
        <f>Inputs!$D$74</f>
        <v>8</v>
      </c>
      <c r="L3180" s="28">
        <f>Inputs!$D$76</f>
        <v>9</v>
      </c>
      <c r="M3180" s="28">
        <f>Inputs!$D$78</f>
        <v>10</v>
      </c>
    </row>
    <row r="3181" spans="1:13" ht="15" customHeight="1" x14ac:dyDescent="0.2">
      <c r="A3181" s="91"/>
      <c r="B3181" s="10" t="s">
        <v>887</v>
      </c>
      <c r="C3181" s="10" t="s">
        <v>161</v>
      </c>
      <c r="D3181" s="29">
        <f>Inputs!$D$61</f>
        <v>46568</v>
      </c>
      <c r="E3181" s="29">
        <f>Inputs!$D$63</f>
        <v>46934</v>
      </c>
      <c r="F3181" s="29">
        <f>Inputs!$D$65</f>
        <v>47299</v>
      </c>
      <c r="G3181" s="29">
        <f>Inputs!$D$67</f>
        <v>47664</v>
      </c>
      <c r="H3181" s="29">
        <f>Inputs!$D$69</f>
        <v>48029</v>
      </c>
      <c r="I3181" s="29">
        <f>Inputs!$D$71</f>
        <v>48395</v>
      </c>
      <c r="J3181" s="29">
        <f>Inputs!$D$73</f>
        <v>48760</v>
      </c>
      <c r="K3181" s="29">
        <f>Inputs!$D$75</f>
        <v>49125</v>
      </c>
      <c r="L3181" s="29">
        <f>Inputs!$D$77</f>
        <v>49490</v>
      </c>
      <c r="M3181" s="29">
        <f>Inputs!$D$79</f>
        <v>49856</v>
      </c>
    </row>
    <row r="3182" spans="1:13" ht="15" customHeight="1" x14ac:dyDescent="0.2">
      <c r="A3182" s="91"/>
      <c r="B3182" s="10" t="s">
        <v>888</v>
      </c>
      <c r="C3182" s="10" t="s">
        <v>107</v>
      </c>
      <c r="D3182" s="28">
        <f>(D3181-Inputs!$D$13)/Inputs!$D$10</f>
        <v>0.71457905544147848</v>
      </c>
      <c r="E3182" s="28">
        <f>(E3181-Inputs!$D$13)/Inputs!$D$10</f>
        <v>1.7166324435318274</v>
      </c>
      <c r="F3182" s="28">
        <f>(F3181-Inputs!$D$13)/Inputs!$D$10</f>
        <v>2.7159479808350446</v>
      </c>
      <c r="G3182" s="28">
        <f>(G3181-Inputs!$D$13)/Inputs!$D$10</f>
        <v>3.7152635181382614</v>
      </c>
      <c r="H3182" s="28">
        <f>(H3181-Inputs!$D$13)/Inputs!$D$10</f>
        <v>4.7145790554414786</v>
      </c>
      <c r="I3182" s="28">
        <f>(I3181-Inputs!$D$13)/Inputs!$D$10</f>
        <v>5.7166324435318279</v>
      </c>
      <c r="J3182" s="28">
        <f>(J3181-Inputs!$D$13)/Inputs!$D$10</f>
        <v>6.7159479808350442</v>
      </c>
      <c r="K3182" s="28">
        <f>(K3181-Inputs!$D$13)/Inputs!$D$10</f>
        <v>7.7152635181382614</v>
      </c>
      <c r="L3182" s="28">
        <f>(L3181-Inputs!$D$13)/Inputs!$D$10</f>
        <v>8.7145790554414777</v>
      </c>
      <c r="M3182" s="28">
        <f>(M3181-Inputs!$D$13)/Inputs!$D$10</f>
        <v>9.716632443531827</v>
      </c>
    </row>
    <row r="3183" spans="1:13" ht="15" customHeight="1" x14ac:dyDescent="0.2">
      <c r="A3183" s="91"/>
      <c r="B3183" s="10" t="s">
        <v>889</v>
      </c>
      <c r="C3183" s="10" t="s">
        <v>107</v>
      </c>
      <c r="D3183" s="28">
        <f>D3182</f>
        <v>0.71457905544147848</v>
      </c>
      <c r="E3183" s="28">
        <f>Inputs!$D$7</f>
        <v>1</v>
      </c>
      <c r="F3183" s="28">
        <f>Inputs!$D$7</f>
        <v>1</v>
      </c>
      <c r="G3183" s="28">
        <f>Inputs!$D$7</f>
        <v>1</v>
      </c>
      <c r="H3183" s="28">
        <f>Inputs!$D$7</f>
        <v>1</v>
      </c>
      <c r="I3183" s="28">
        <f>Inputs!$D$7</f>
        <v>1</v>
      </c>
      <c r="J3183" s="28">
        <f>Inputs!$D$7</f>
        <v>1</v>
      </c>
      <c r="K3183" s="28">
        <f>Inputs!$D$7</f>
        <v>1</v>
      </c>
      <c r="L3183" s="28">
        <f>Inputs!$D$7</f>
        <v>1</v>
      </c>
      <c r="M3183" s="28">
        <f>Inputs!$D$7</f>
        <v>1</v>
      </c>
    </row>
    <row r="3184" spans="1:13" ht="15" customHeight="1" x14ac:dyDescent="0.2">
      <c r="A3184" s="91"/>
      <c r="B3184" s="3" t="s">
        <v>890</v>
      </c>
      <c r="C3184" s="10" t="s">
        <v>199</v>
      </c>
      <c r="D3184" s="28">
        <f>Inputs!$D$24+(Inputs!$D$80-Inputs!$D$24)*Inputs!$D$83</f>
        <v>305.5</v>
      </c>
      <c r="E3184" s="28">
        <f>Inputs!$D$24+(Inputs!$D$80-Inputs!$D$24)*Inputs!$D$84</f>
        <v>651.5</v>
      </c>
      <c r="F3184" s="28">
        <f>Inputs!$D$24+(Inputs!$D$80-Inputs!$D$24)*Inputs!$D$85</f>
        <v>911</v>
      </c>
      <c r="G3184" s="28">
        <f>Inputs!$D$24+(Inputs!$D$80-Inputs!$D$24)*Inputs!$D$86</f>
        <v>911</v>
      </c>
      <c r="H3184" s="28">
        <f>Inputs!$D$24+(Inputs!$D$80-Inputs!$D$24)*Inputs!$D$87</f>
        <v>911</v>
      </c>
      <c r="I3184" s="28">
        <f>Inputs!$D$24+(Inputs!$D$80-Inputs!$D$24)*Inputs!$D$88</f>
        <v>911</v>
      </c>
      <c r="J3184" s="28">
        <f>Inputs!$D$24+(Inputs!$D$80-Inputs!$D$24)*Inputs!$D$89</f>
        <v>911</v>
      </c>
      <c r="K3184" s="28">
        <f>Inputs!$D$24+(Inputs!$D$80-Inputs!$D$24)*Inputs!$D$90</f>
        <v>911</v>
      </c>
      <c r="L3184" s="28">
        <f>Inputs!$D$24+(Inputs!$D$80-Inputs!$D$24)*Inputs!$D$91</f>
        <v>911</v>
      </c>
      <c r="M3184" s="28">
        <f>Inputs!$D$24+(Inputs!$D$80-Inputs!$D$24)*Inputs!$D$92</f>
        <v>911</v>
      </c>
    </row>
    <row r="3185" spans="1:13" ht="15" customHeight="1" x14ac:dyDescent="0.2">
      <c r="A3185" s="91"/>
      <c r="B3185" s="10" t="s">
        <v>891</v>
      </c>
      <c r="C3185" s="10" t="s">
        <v>199</v>
      </c>
      <c r="D3185" s="28">
        <f>Inputs!$D$24</f>
        <v>46</v>
      </c>
      <c r="E3185" s="28">
        <f t="shared" ref="E3185:M3185" si="690">D3184</f>
        <v>305.5</v>
      </c>
      <c r="F3185" s="28">
        <f t="shared" si="690"/>
        <v>651.5</v>
      </c>
      <c r="G3185" s="28">
        <f t="shared" si="690"/>
        <v>911</v>
      </c>
      <c r="H3185" s="28">
        <f t="shared" si="690"/>
        <v>911</v>
      </c>
      <c r="I3185" s="28">
        <f t="shared" si="690"/>
        <v>911</v>
      </c>
      <c r="J3185" s="28">
        <f t="shared" si="690"/>
        <v>911</v>
      </c>
      <c r="K3185" s="28">
        <f t="shared" si="690"/>
        <v>911</v>
      </c>
      <c r="L3185" s="28">
        <f t="shared" si="690"/>
        <v>911</v>
      </c>
      <c r="M3185" s="28">
        <f t="shared" si="690"/>
        <v>911</v>
      </c>
    </row>
    <row r="3186" spans="1:13" ht="15" customHeight="1" x14ac:dyDescent="0.2">
      <c r="B3186" s="10" t="s">
        <v>892</v>
      </c>
      <c r="C3186" s="10" t="s">
        <v>199</v>
      </c>
      <c r="D3186" s="28">
        <f>(D3185+D3184)*Inputs!$D$12</f>
        <v>175.75</v>
      </c>
      <c r="E3186" s="28">
        <f>(E3185+E3184)*Inputs!$D$12</f>
        <v>478.5</v>
      </c>
      <c r="F3186" s="28">
        <f>(F3185+F3184)*Inputs!$D$12</f>
        <v>781.25</v>
      </c>
      <c r="G3186" s="28">
        <f>(G3185+G3184)*Inputs!$D$12</f>
        <v>911</v>
      </c>
      <c r="H3186" s="28">
        <f>(H3185+H3184)*Inputs!$D$12</f>
        <v>911</v>
      </c>
      <c r="I3186" s="28">
        <f>(I3185+I3184)*Inputs!$D$12</f>
        <v>911</v>
      </c>
      <c r="J3186" s="28">
        <f>(J3185+J3184)*Inputs!$D$12</f>
        <v>911</v>
      </c>
      <c r="K3186" s="28">
        <f>(K3185+K3184)*Inputs!$D$12</f>
        <v>911</v>
      </c>
      <c r="L3186" s="28">
        <f>(L3185+L3184)*Inputs!$D$12</f>
        <v>911</v>
      </c>
      <c r="M3186" s="28">
        <f>(M3185+M3184)*Inputs!$D$12</f>
        <v>911</v>
      </c>
    </row>
    <row r="3187" spans="1:13" ht="15" customHeight="1" x14ac:dyDescent="0.2">
      <c r="B3187" s="10" t="s">
        <v>893</v>
      </c>
      <c r="C3187" s="10" t="s">
        <v>199</v>
      </c>
      <c r="D3187" s="28">
        <f t="shared" ref="D3187:M3187" si="691">D3184-D3185</f>
        <v>259.5</v>
      </c>
      <c r="E3187" s="28">
        <f t="shared" si="691"/>
        <v>346</v>
      </c>
      <c r="F3187" s="28">
        <f t="shared" si="691"/>
        <v>259.5</v>
      </c>
      <c r="G3187" s="28">
        <f t="shared" si="691"/>
        <v>0</v>
      </c>
      <c r="H3187" s="28">
        <f t="shared" si="691"/>
        <v>0</v>
      </c>
      <c r="I3187" s="28">
        <f t="shared" si="691"/>
        <v>0</v>
      </c>
      <c r="J3187" s="28">
        <f t="shared" si="691"/>
        <v>0</v>
      </c>
      <c r="K3187" s="28">
        <f t="shared" si="691"/>
        <v>0</v>
      </c>
      <c r="L3187" s="28">
        <f t="shared" si="691"/>
        <v>0</v>
      </c>
      <c r="M3187" s="28">
        <f t="shared" si="691"/>
        <v>0</v>
      </c>
    </row>
    <row r="3188" spans="1:13" ht="15" customHeight="1" x14ac:dyDescent="0.2">
      <c r="B3188" s="10" t="s">
        <v>894</v>
      </c>
      <c r="C3188" s="10" t="s">
        <v>199</v>
      </c>
      <c r="D3188" s="28">
        <f>IF(MOD(D3180,Inputs!$D$21)=Inputs!$D$6,Inputs!$D$24,Inputs!$D$6)+SUMPRODUCT(--(D3180&gt;$D$3180:$M$3180),--(MOD(D3180-$D$3180:$M$3180,Inputs!$D$21)=Inputs!$D$6),$D$3187:$M$3187)</f>
        <v>0</v>
      </c>
      <c r="E3188" s="28">
        <f>IF(MOD(E3180,Inputs!$D$21)=Inputs!$D$6,Inputs!$D$24,Inputs!$D$6)+SUMPRODUCT(--(E3180&gt;$D$3180:$M$3180),--(MOD(E3180-$D$3180:$M$3180,Inputs!$D$21)=Inputs!$D$6),$D$3187:$M$3187)</f>
        <v>0</v>
      </c>
      <c r="F3188" s="28">
        <f>IF(MOD(F3180,Inputs!$D$21)=Inputs!$D$6,Inputs!$D$24,Inputs!$D$6)+SUMPRODUCT(--(F3180&gt;$D$3180:$M$3180),--(MOD(F3180-$D$3180:$M$3180,Inputs!$D$21)=Inputs!$D$6),$D$3187:$M$3187)</f>
        <v>0</v>
      </c>
      <c r="G3188" s="28">
        <f>IF(MOD(G3180,Inputs!$D$21)=Inputs!$D$6,Inputs!$D$24,Inputs!$D$6)+SUMPRODUCT(--(G3180&gt;$D$3180:$M$3180),--(MOD(G3180-$D$3180:$M$3180,Inputs!$D$21)=Inputs!$D$6),$D$3187:$M$3187)</f>
        <v>46</v>
      </c>
      <c r="H3188" s="28">
        <f>IF(MOD(H3180,Inputs!$D$21)=Inputs!$D$6,Inputs!$D$24,Inputs!$D$6)+SUMPRODUCT(--(H3180&gt;$D$3180:$M$3180),--(MOD(H3180-$D$3180:$M$3180,Inputs!$D$21)=Inputs!$D$6),$D$3187:$M$3187)</f>
        <v>259.5</v>
      </c>
      <c r="I3188" s="28">
        <f>IF(MOD(I3180,Inputs!$D$21)=Inputs!$D$6,Inputs!$D$24,Inputs!$D$6)+SUMPRODUCT(--(I3180&gt;$D$3180:$M$3180),--(MOD(I3180-$D$3180:$M$3180,Inputs!$D$21)=Inputs!$D$6),$D$3187:$M$3187)</f>
        <v>346</v>
      </c>
      <c r="J3188" s="28">
        <f>IF(MOD(J3180,Inputs!$D$21)=Inputs!$D$6,Inputs!$D$24,Inputs!$D$6)+SUMPRODUCT(--(J3180&gt;$D$3180:$M$3180),--(MOD(J3180-$D$3180:$M$3180,Inputs!$D$21)=Inputs!$D$6),$D$3187:$M$3187)</f>
        <v>259.5</v>
      </c>
      <c r="K3188" s="28">
        <f>IF(MOD(K3180,Inputs!$D$21)=Inputs!$D$6,Inputs!$D$24,Inputs!$D$6)+SUMPRODUCT(--(K3180&gt;$D$3180:$M$3180),--(MOD(K3180-$D$3180:$M$3180,Inputs!$D$21)=Inputs!$D$6),$D$3187:$M$3187)</f>
        <v>46</v>
      </c>
      <c r="L3188" s="28">
        <f>IF(MOD(L3180,Inputs!$D$21)=Inputs!$D$6,Inputs!$D$24,Inputs!$D$6)+SUMPRODUCT(--(L3180&gt;$D$3180:$M$3180),--(MOD(L3180-$D$3180:$M$3180,Inputs!$D$21)=Inputs!$D$6),$D$3187:$M$3187)</f>
        <v>259.5</v>
      </c>
      <c r="M3188" s="28">
        <f>IF(MOD(M3180,Inputs!$D$21)=Inputs!$D$6,Inputs!$D$24,Inputs!$D$6)+SUMPRODUCT(--(M3180&gt;$D$3180:$M$3180),--(MOD(M3180-$D$3180:$M$3180,Inputs!$D$21)=Inputs!$D$6),$D$3187:$M$3187)</f>
        <v>346</v>
      </c>
    </row>
    <row r="3189" spans="1:13" ht="15" customHeight="1" x14ac:dyDescent="0.2">
      <c r="B3189" s="10" t="s">
        <v>895</v>
      </c>
      <c r="C3189" s="10" t="s">
        <v>896</v>
      </c>
      <c r="D3189" s="28">
        <f t="shared" ref="D3189:M3189" si="692">D3186*D3183</f>
        <v>125.58726899383984</v>
      </c>
      <c r="E3189" s="28">
        <f t="shared" si="692"/>
        <v>478.5</v>
      </c>
      <c r="F3189" s="28">
        <f t="shared" si="692"/>
        <v>781.25</v>
      </c>
      <c r="G3189" s="28">
        <f t="shared" si="692"/>
        <v>911</v>
      </c>
      <c r="H3189" s="28">
        <f t="shared" si="692"/>
        <v>911</v>
      </c>
      <c r="I3189" s="28">
        <f t="shared" si="692"/>
        <v>911</v>
      </c>
      <c r="J3189" s="28">
        <f t="shared" si="692"/>
        <v>911</v>
      </c>
      <c r="K3189" s="28">
        <f t="shared" si="692"/>
        <v>911</v>
      </c>
      <c r="L3189" s="28">
        <f t="shared" si="692"/>
        <v>911</v>
      </c>
      <c r="M3189" s="28">
        <f t="shared" si="692"/>
        <v>911</v>
      </c>
    </row>
    <row r="3190" spans="1:13" ht="15" customHeight="1" x14ac:dyDescent="0.2">
      <c r="B3190" s="10" t="s">
        <v>897</v>
      </c>
      <c r="C3190" s="10" t="s">
        <v>110</v>
      </c>
      <c r="D3190" s="16">
        <f>D3189*($D$3209/Inputs!$D$21+$D$3210/Inputs!$D$22)</f>
        <v>1816.9772859324419</v>
      </c>
      <c r="E3190" s="16">
        <f>E3189*($D$3209/Inputs!$D$21+$D$3210/Inputs!$D$22)</f>
        <v>6922.8643817497086</v>
      </c>
      <c r="F3190" s="16">
        <f>F3189*($D$3209/Inputs!$D$21+$D$3210/Inputs!$D$22)</f>
        <v>11303.0048030135</v>
      </c>
      <c r="G3190" s="16">
        <f>G3189*($D$3209/Inputs!$D$21+$D$3210/Inputs!$D$22)</f>
        <v>13180.207840697982</v>
      </c>
      <c r="H3190" s="16">
        <f>H3189*($D$3209/Inputs!$D$21+$D$3210/Inputs!$D$22)</f>
        <v>13180.207840697982</v>
      </c>
      <c r="I3190" s="16">
        <f>I3189*($D$3209/Inputs!$D$21+$D$3210/Inputs!$D$22)</f>
        <v>13180.207840697982</v>
      </c>
      <c r="J3190" s="16">
        <f>J3189*($D$3209/Inputs!$D$21+$D$3210/Inputs!$D$22)</f>
        <v>13180.207840697982</v>
      </c>
      <c r="K3190" s="16">
        <f>K3189*($D$3209/Inputs!$D$21+$D$3210/Inputs!$D$22)</f>
        <v>13180.207840697982</v>
      </c>
      <c r="L3190" s="16">
        <f>L3189*($D$3209/Inputs!$D$21+$D$3210/Inputs!$D$22)</f>
        <v>13180.207840697982</v>
      </c>
      <c r="M3190" s="16">
        <f>M3189*($D$3209/Inputs!$D$21+$D$3210/Inputs!$D$22)</f>
        <v>13180.207840697982</v>
      </c>
    </row>
    <row r="3191" spans="1:13" ht="15" customHeight="1" x14ac:dyDescent="0.2">
      <c r="B3191" s="10" t="s">
        <v>898</v>
      </c>
      <c r="C3191" s="10" t="s">
        <v>110</v>
      </c>
      <c r="D3191" s="16">
        <f t="shared" ref="D3191:M3191" si="693">D3187*($D$3209+$D$3210)</f>
        <v>15560.968620146154</v>
      </c>
      <c r="E3191" s="16">
        <f t="shared" si="693"/>
        <v>20747.95816019487</v>
      </c>
      <c r="F3191" s="16">
        <f t="shared" si="693"/>
        <v>15560.968620146154</v>
      </c>
      <c r="G3191" s="16">
        <f t="shared" si="693"/>
        <v>0</v>
      </c>
      <c r="H3191" s="16">
        <f t="shared" si="693"/>
        <v>0</v>
      </c>
      <c r="I3191" s="16">
        <f t="shared" si="693"/>
        <v>0</v>
      </c>
      <c r="J3191" s="16">
        <f t="shared" si="693"/>
        <v>0</v>
      </c>
      <c r="K3191" s="16">
        <f t="shared" si="693"/>
        <v>0</v>
      </c>
      <c r="L3191" s="16">
        <f t="shared" si="693"/>
        <v>0</v>
      </c>
      <c r="M3191" s="16">
        <f t="shared" si="693"/>
        <v>0</v>
      </c>
    </row>
    <row r="3192" spans="1:13" ht="15" customHeight="1" x14ac:dyDescent="0.2">
      <c r="B3192" s="10" t="s">
        <v>899</v>
      </c>
      <c r="C3192" s="10" t="s">
        <v>110</v>
      </c>
      <c r="D3192" s="16">
        <f t="shared" ref="D3192:M3192" si="694">D3188*$D$3209</f>
        <v>0</v>
      </c>
      <c r="E3192" s="16">
        <f t="shared" si="694"/>
        <v>0</v>
      </c>
      <c r="F3192" s="16">
        <f t="shared" si="694"/>
        <v>0</v>
      </c>
      <c r="G3192" s="16">
        <f t="shared" si="694"/>
        <v>2638.0048485671714</v>
      </c>
      <c r="H3192" s="16">
        <f t="shared" si="694"/>
        <v>14881.788221808281</v>
      </c>
      <c r="I3192" s="16">
        <f t="shared" si="694"/>
        <v>19842.384295744378</v>
      </c>
      <c r="J3192" s="16">
        <f t="shared" si="694"/>
        <v>14881.788221808281</v>
      </c>
      <c r="K3192" s="16">
        <f t="shared" si="694"/>
        <v>2638.0048485671714</v>
      </c>
      <c r="L3192" s="16">
        <f t="shared" si="694"/>
        <v>14881.788221808281</v>
      </c>
      <c r="M3192" s="16">
        <f t="shared" si="694"/>
        <v>19842.384295744378</v>
      </c>
    </row>
    <row r="3193" spans="1:13" ht="15" customHeight="1" x14ac:dyDescent="0.2">
      <c r="B3193" s="10" t="s">
        <v>900</v>
      </c>
      <c r="C3193" s="10" t="s">
        <v>199</v>
      </c>
      <c r="D3193" s="28">
        <f>D3187*Inputs!$D$23</f>
        <v>6.4875000000000007</v>
      </c>
      <c r="E3193" s="28">
        <f>E3187*Inputs!$D$23</f>
        <v>8.65</v>
      </c>
      <c r="F3193" s="28">
        <f>F3187*Inputs!$D$23</f>
        <v>6.4875000000000007</v>
      </c>
      <c r="G3193" s="28">
        <f>G3187*Inputs!$D$23</f>
        <v>0</v>
      </c>
      <c r="H3193" s="28">
        <f>H3187*Inputs!$D$23</f>
        <v>0</v>
      </c>
      <c r="I3193" s="28">
        <f>I3187*Inputs!$D$23</f>
        <v>0</v>
      </c>
      <c r="J3193" s="28">
        <f>J3187*Inputs!$D$23</f>
        <v>0</v>
      </c>
      <c r="K3193" s="28">
        <f>K3187*Inputs!$D$23</f>
        <v>0</v>
      </c>
      <c r="L3193" s="28">
        <f>L3187*Inputs!$D$23</f>
        <v>0</v>
      </c>
      <c r="M3193" s="28">
        <f>M3187*Inputs!$D$23</f>
        <v>0</v>
      </c>
    </row>
    <row r="3194" spans="1:13" ht="15" customHeight="1" x14ac:dyDescent="0.2">
      <c r="B3194" s="3" t="s">
        <v>901</v>
      </c>
      <c r="C3194" s="10" t="s">
        <v>896</v>
      </c>
      <c r="D3194" s="28">
        <f>(D3189*$D$3207*(Inputs!$D$7-Inputs!$D$19)-D3193)/(Inputs!$D$7+$D$3208)^D3182</f>
        <v>43.213488846686175</v>
      </c>
      <c r="E3194" s="28">
        <f>(E3189*$D$3207*(Inputs!$D$7-Inputs!$D$19)-E3193)/(Inputs!$D$7+$D$3208)^E3182</f>
        <v>163.29332190458183</v>
      </c>
      <c r="F3194" s="28">
        <f>(F3189*$D$3207*(Inputs!$D$7-Inputs!$D$19)-F3193)/(Inputs!$D$7+$D$3208)^F3182</f>
        <v>248.28260771010829</v>
      </c>
      <c r="G3194" s="28">
        <f>(G3189*$D$3207*(Inputs!$D$7-Inputs!$D$19)-G3193)/(Inputs!$D$7+$D$3208)^G3182</f>
        <v>268.5238926419492</v>
      </c>
      <c r="H3194" s="28">
        <f>(H3189*$D$3207*(Inputs!$D$7-Inputs!$D$19)-H3193)/(Inputs!$D$7+$D$3208)^H3182</f>
        <v>244.12855518959191</v>
      </c>
      <c r="I3194" s="28">
        <f>(I3189*$D$3207*(Inputs!$D$7-Inputs!$D$19)-I3193)/(Inputs!$D$7+$D$3208)^I3182</f>
        <v>221.8916197826434</v>
      </c>
      <c r="J3194" s="28">
        <f>(J3189*$D$3207*(Inputs!$D$7-Inputs!$D$19)-J3193)/(Inputs!$D$7+$D$3208)^J3182</f>
        <v>201.73281421346593</v>
      </c>
      <c r="K3194" s="28">
        <f>(K3189*$D$3207*(Inputs!$D$7-Inputs!$D$19)-K3193)/(Inputs!$D$7+$D$3208)^K3182</f>
        <v>183.40543176145695</v>
      </c>
      <c r="L3194" s="28">
        <f>(L3189*$D$3207*(Inputs!$D$7-Inputs!$D$19)-L3193)/(Inputs!$D$7+$D$3208)^L3182</f>
        <v>166.74308803332551</v>
      </c>
      <c r="M3194" s="28">
        <f>(M3189*$D$3207*(Inputs!$D$7-Inputs!$D$19)-M3193)/(Inputs!$D$7+$D$3208)^M3182</f>
        <v>151.55496194429571</v>
      </c>
    </row>
    <row r="3195" spans="1:13" ht="15" customHeight="1" x14ac:dyDescent="0.2">
      <c r="B3195" s="10" t="s">
        <v>902</v>
      </c>
      <c r="C3195" s="10" t="s">
        <v>110</v>
      </c>
      <c r="D3195" s="16">
        <f>(D3190*Inputs!$D$19-D3191-D3192)/(Inputs!$D$7+$D$3208)^D3182</f>
        <v>-14027.24269342025</v>
      </c>
      <c r="E3195" s="16">
        <f>(E3190*Inputs!$D$19-E3191-E3192)/(Inputs!$D$7+$D$3208)^E3182</f>
        <v>-15853.087323826181</v>
      </c>
      <c r="F3195" s="16">
        <f>(F3190*Inputs!$D$19-F3191-F3192)/(Inputs!$D$7+$D$3208)^F3182</f>
        <v>-9394.4767487293357</v>
      </c>
      <c r="G3195" s="16">
        <f>(G3190*Inputs!$D$19-G3191-G3192)/(Inputs!$D$7+$D$3208)^G3182</f>
        <v>923.61320322684639</v>
      </c>
      <c r="H3195" s="16">
        <f>(H3190*Inputs!$D$19-H3191-H3192)/(Inputs!$D$7+$D$3208)^H3182</f>
        <v>-6972.3744918015345</v>
      </c>
      <c r="I3195" s="16">
        <f>(I3190*Inputs!$D$19-I3191-I3192)/(Inputs!$D$7+$D$3208)^I3182</f>
        <v>-9214.0648467907959</v>
      </c>
      <c r="J3195" s="16">
        <f>(J3190*Inputs!$D$19-J3191-J3192)/(Inputs!$D$7+$D$3208)^J3182</f>
        <v>-5761.5411965591911</v>
      </c>
      <c r="K3195" s="16">
        <f>(K3190*Inputs!$D$19-K3191-K3192)/(Inputs!$D$7+$D$3208)^K3182</f>
        <v>630.8402453567694</v>
      </c>
      <c r="L3195" s="16">
        <f>(L3190*Inputs!$D$19-L3191-L3192)/(Inputs!$D$7+$D$3208)^L3182</f>
        <v>-4762.2255937446444</v>
      </c>
      <c r="M3195" s="16">
        <f>(M3190*Inputs!$D$19-M3191-M3192)/(Inputs!$D$7+$D$3208)^M3182</f>
        <v>-6293.3302689644106</v>
      </c>
    </row>
    <row r="3196" spans="1:13" ht="15" customHeight="1" x14ac:dyDescent="0.2">
      <c r="B3196" s="10" t="s">
        <v>903</v>
      </c>
      <c r="C3196" s="10" t="s">
        <v>110</v>
      </c>
      <c r="D3196" s="16">
        <f t="shared" ref="D3196:M3196" si="695">D3189*$D$3206</f>
        <v>5889.9555036643769</v>
      </c>
      <c r="E3196" s="16">
        <f t="shared" si="695"/>
        <v>22441.316951017117</v>
      </c>
      <c r="F3196" s="16">
        <f t="shared" si="695"/>
        <v>36640.081228802759</v>
      </c>
      <c r="G3196" s="16">
        <f t="shared" si="695"/>
        <v>42725.265919282327</v>
      </c>
      <c r="H3196" s="16">
        <f t="shared" si="695"/>
        <v>42725.265919282327</v>
      </c>
      <c r="I3196" s="16">
        <f t="shared" si="695"/>
        <v>42725.265919282327</v>
      </c>
      <c r="J3196" s="16">
        <f t="shared" si="695"/>
        <v>42725.265919282327</v>
      </c>
      <c r="K3196" s="16">
        <f t="shared" si="695"/>
        <v>42725.265919282327</v>
      </c>
      <c r="L3196" s="16">
        <f t="shared" si="695"/>
        <v>42725.265919282327</v>
      </c>
      <c r="M3196" s="16">
        <f t="shared" si="695"/>
        <v>42725.265919282327</v>
      </c>
    </row>
    <row r="3197" spans="1:13" ht="15" customHeight="1" x14ac:dyDescent="0.2">
      <c r="B3197" s="10" t="s">
        <v>904</v>
      </c>
      <c r="C3197" s="10" t="s">
        <v>110</v>
      </c>
      <c r="D3197" s="16">
        <f t="shared" ref="D3197:M3197" si="696">D3196*$D$3207</f>
        <v>3533.9733021986262</v>
      </c>
      <c r="E3197" s="16">
        <f t="shared" si="696"/>
        <v>13464.790170610269</v>
      </c>
      <c r="F3197" s="16">
        <f t="shared" si="696"/>
        <v>21984.048737281653</v>
      </c>
      <c r="G3197" s="16">
        <f t="shared" si="696"/>
        <v>25635.159551569395</v>
      </c>
      <c r="H3197" s="16">
        <f t="shared" si="696"/>
        <v>25635.159551569395</v>
      </c>
      <c r="I3197" s="16">
        <f t="shared" si="696"/>
        <v>25635.159551569395</v>
      </c>
      <c r="J3197" s="16">
        <f t="shared" si="696"/>
        <v>25635.159551569395</v>
      </c>
      <c r="K3197" s="16">
        <f t="shared" si="696"/>
        <v>25635.159551569395</v>
      </c>
      <c r="L3197" s="16">
        <f t="shared" si="696"/>
        <v>25635.159551569395</v>
      </c>
      <c r="M3197" s="16">
        <f t="shared" si="696"/>
        <v>25635.159551569395</v>
      </c>
    </row>
    <row r="3198" spans="1:13" ht="15" customHeight="1" x14ac:dyDescent="0.2">
      <c r="B3198" s="10" t="s">
        <v>905</v>
      </c>
      <c r="C3198" s="10" t="s">
        <v>110</v>
      </c>
      <c r="D3198" s="16">
        <f t="shared" ref="D3198:M3198" si="697">D3197-D3190</f>
        <v>1716.9960162661844</v>
      </c>
      <c r="E3198" s="16">
        <f t="shared" si="697"/>
        <v>6541.9257888605607</v>
      </c>
      <c r="F3198" s="16">
        <f t="shared" si="697"/>
        <v>10681.043934268153</v>
      </c>
      <c r="G3198" s="16">
        <f t="shared" si="697"/>
        <v>12454.951710871414</v>
      </c>
      <c r="H3198" s="16">
        <f t="shared" si="697"/>
        <v>12454.951710871414</v>
      </c>
      <c r="I3198" s="16">
        <f t="shared" si="697"/>
        <v>12454.951710871414</v>
      </c>
      <c r="J3198" s="16">
        <f t="shared" si="697"/>
        <v>12454.951710871414</v>
      </c>
      <c r="K3198" s="16">
        <f t="shared" si="697"/>
        <v>12454.951710871414</v>
      </c>
      <c r="L3198" s="16">
        <f t="shared" si="697"/>
        <v>12454.951710871414</v>
      </c>
      <c r="M3198" s="16">
        <f t="shared" si="697"/>
        <v>12454.951710871414</v>
      </c>
    </row>
    <row r="3199" spans="1:13" ht="15" customHeight="1" x14ac:dyDescent="0.2">
      <c r="B3199" s="10" t="s">
        <v>906</v>
      </c>
      <c r="C3199" s="10" t="s">
        <v>110</v>
      </c>
      <c r="D3199" s="16">
        <f>MAX(D3198,Inputs!$D$6)*Inputs!$D$19</f>
        <v>515.09880487985527</v>
      </c>
      <c r="E3199" s="16">
        <f>MAX(E3198,Inputs!$D$6)*Inputs!$D$19</f>
        <v>1962.5777366581681</v>
      </c>
      <c r="F3199" s="16">
        <f>MAX(F3198,Inputs!$D$6)*Inputs!$D$19</f>
        <v>3204.313180280446</v>
      </c>
      <c r="G3199" s="16">
        <f>MAX(G3198,Inputs!$D$6)*Inputs!$D$19</f>
        <v>3736.4855132614239</v>
      </c>
      <c r="H3199" s="16">
        <f>MAX(H3198,Inputs!$D$6)*Inputs!$D$19</f>
        <v>3736.4855132614239</v>
      </c>
      <c r="I3199" s="16">
        <f>MAX(I3198,Inputs!$D$6)*Inputs!$D$19</f>
        <v>3736.4855132614239</v>
      </c>
      <c r="J3199" s="16">
        <f>MAX(J3198,Inputs!$D$6)*Inputs!$D$19</f>
        <v>3736.4855132614239</v>
      </c>
      <c r="K3199" s="16">
        <f>MAX(K3198,Inputs!$D$6)*Inputs!$D$19</f>
        <v>3736.4855132614239</v>
      </c>
      <c r="L3199" s="16">
        <f>MAX(L3198,Inputs!$D$6)*Inputs!$D$19</f>
        <v>3736.4855132614239</v>
      </c>
      <c r="M3199" s="16">
        <f>MAX(M3198,Inputs!$D$6)*Inputs!$D$19</f>
        <v>3736.4855132614239</v>
      </c>
    </row>
    <row r="3200" spans="1:13" ht="15" customHeight="1" x14ac:dyDescent="0.2">
      <c r="B3200" s="10" t="s">
        <v>907</v>
      </c>
      <c r="C3200" s="10" t="s">
        <v>110</v>
      </c>
      <c r="D3200" s="16">
        <f t="shared" ref="D3200:M3200" si="698">D3193*$D$3206</f>
        <v>304.25923452397819</v>
      </c>
      <c r="E3200" s="16">
        <f t="shared" si="698"/>
        <v>405.6789793653042</v>
      </c>
      <c r="F3200" s="16">
        <f t="shared" si="698"/>
        <v>304.25923452397819</v>
      </c>
      <c r="G3200" s="16">
        <f t="shared" si="698"/>
        <v>0</v>
      </c>
      <c r="H3200" s="16">
        <f t="shared" si="698"/>
        <v>0</v>
      </c>
      <c r="I3200" s="16">
        <f t="shared" si="698"/>
        <v>0</v>
      </c>
      <c r="J3200" s="16">
        <f t="shared" si="698"/>
        <v>0</v>
      </c>
      <c r="K3200" s="16">
        <f t="shared" si="698"/>
        <v>0</v>
      </c>
      <c r="L3200" s="16">
        <f t="shared" si="698"/>
        <v>0</v>
      </c>
      <c r="M3200" s="16">
        <f t="shared" si="698"/>
        <v>0</v>
      </c>
    </row>
    <row r="3201" spans="2:13" ht="15" customHeight="1" x14ac:dyDescent="0.2">
      <c r="B3201" s="10" t="s">
        <v>908</v>
      </c>
      <c r="C3201" s="10" t="s">
        <v>110</v>
      </c>
      <c r="D3201" s="16">
        <f t="shared" ref="D3201:M3201" si="699">D3197-D3199-D3191-D3192-D3200</f>
        <v>-12846.35335735136</v>
      </c>
      <c r="E3201" s="16">
        <f t="shared" si="699"/>
        <v>-9651.4247056080731</v>
      </c>
      <c r="F3201" s="16">
        <f t="shared" si="699"/>
        <v>2914.507702331076</v>
      </c>
      <c r="G3201" s="16">
        <f t="shared" si="699"/>
        <v>19260.669189740798</v>
      </c>
      <c r="H3201" s="16">
        <f t="shared" si="699"/>
        <v>7016.8858164996891</v>
      </c>
      <c r="I3201" s="16">
        <f t="shared" si="699"/>
        <v>2056.2897425635929</v>
      </c>
      <c r="J3201" s="16">
        <f t="shared" si="699"/>
        <v>7016.8858164996891</v>
      </c>
      <c r="K3201" s="16">
        <f t="shared" si="699"/>
        <v>19260.669189740798</v>
      </c>
      <c r="L3201" s="16">
        <f t="shared" si="699"/>
        <v>7016.8858164996891</v>
      </c>
      <c r="M3201" s="16">
        <f t="shared" si="699"/>
        <v>2056.2897425635929</v>
      </c>
    </row>
    <row r="3202" spans="2:13" ht="15" customHeight="1" x14ac:dyDescent="0.2">
      <c r="B3202" s="10" t="s">
        <v>909</v>
      </c>
      <c r="C3202" s="10" t="s">
        <v>110</v>
      </c>
      <c r="D3202" s="16">
        <f>D3201/(Inputs!$D$7+$D$3208)^D3182</f>
        <v>-12000.560144271394</v>
      </c>
      <c r="E3202" s="16">
        <f>E3201/(Inputs!$D$7+$D$3208)^E3182</f>
        <v>-8194.7441830838889</v>
      </c>
      <c r="F3202" s="16">
        <f>F3201/(Inputs!$D$7+$D$3208)^F3182</f>
        <v>2249.8047414432572</v>
      </c>
      <c r="G3202" s="16">
        <f>G3201/(Inputs!$D$7+$D$3208)^G3182</f>
        <v>13517.196868219271</v>
      </c>
      <c r="H3202" s="16">
        <f>H3201/(Inputs!$D$7+$D$3208)^H3182</f>
        <v>4477.0848264921042</v>
      </c>
      <c r="I3202" s="16">
        <f>I3201/(Inputs!$D$7+$D$3208)^I3182</f>
        <v>1192.4976784273442</v>
      </c>
      <c r="J3202" s="16">
        <f>J3201/(Inputs!$D$7+$D$3208)^J3182</f>
        <v>3699.5873785401595</v>
      </c>
      <c r="K3202" s="16">
        <f>K3201/(Inputs!$D$7+$D$3208)^K3182</f>
        <v>9232.4273398123532</v>
      </c>
      <c r="L3202" s="16">
        <f>L3201/(Inputs!$D$7+$D$3208)^L3182</f>
        <v>3057.9091773048995</v>
      </c>
      <c r="M3202" s="16">
        <f>M3201/(Inputs!$D$7+$D$3208)^M3182</f>
        <v>814.49195985748509</v>
      </c>
    </row>
    <row r="3203" spans="2:13" ht="15" customHeight="1" x14ac:dyDescent="0.2">
      <c r="B3203" s="3" t="s">
        <v>910</v>
      </c>
      <c r="C3203" s="10" t="s">
        <v>896</v>
      </c>
      <c r="D3203" s="28">
        <f>(D3189*$D$3207-D3193)/(Inputs!$D$7+$D$3208)^D3182</f>
        <v>64.330856237917445</v>
      </c>
      <c r="E3203" s="28">
        <f>(E3189*$D$3207-E3193)/(Inputs!$D$7+$D$3208)^E3182</f>
        <v>236.42380139523098</v>
      </c>
      <c r="F3203" s="28">
        <f>(F3189*$D$3207-F3193)/(Inputs!$D$7+$D$3208)^F3182</f>
        <v>356.83568908039001</v>
      </c>
      <c r="G3203" s="28">
        <f>(G3189*$D$3207-G3193)/(Inputs!$D$7+$D$3208)^G3182</f>
        <v>383.60556091707036</v>
      </c>
      <c r="H3203" s="28">
        <f>(H3189*$D$3207-H3193)/(Inputs!$D$7+$D$3208)^H3182</f>
        <v>348.75507884227414</v>
      </c>
      <c r="I3203" s="28">
        <f>(I3189*$D$3207-I3193)/(Inputs!$D$7+$D$3208)^I3182</f>
        <v>316.98802826091918</v>
      </c>
      <c r="J3203" s="28">
        <f>(J3189*$D$3207-J3193)/(Inputs!$D$7+$D$3208)^J3182</f>
        <v>288.18973459066564</v>
      </c>
      <c r="K3203" s="28">
        <f>(K3189*$D$3207-K3193)/(Inputs!$D$7+$D$3208)^K3182</f>
        <v>262.00775965922423</v>
      </c>
      <c r="L3203" s="28">
        <f>(L3189*$D$3207-L3193)/(Inputs!$D$7+$D$3208)^L3182</f>
        <v>238.2044114761793</v>
      </c>
      <c r="M3203" s="28">
        <f>(M3189*$D$3207-M3193)/(Inputs!$D$7+$D$3208)^M3182</f>
        <v>216.50708849185102</v>
      </c>
    </row>
    <row r="3204" spans="2:13" ht="15" customHeight="1" x14ac:dyDescent="0.2">
      <c r="B3204" s="10" t="s">
        <v>911</v>
      </c>
      <c r="C3204" s="10" t="s">
        <v>110</v>
      </c>
      <c r="D3204" s="16">
        <f>(-D3191-D3192)/(Inputs!$D$7+$D$3208)^D3182</f>
        <v>-14536.447397527105</v>
      </c>
      <c r="E3204" s="16">
        <f>(-E3191-E3192)/(Inputs!$D$7+$D$3208)^E3182</f>
        <v>-17616.488200475756</v>
      </c>
      <c r="F3204" s="16">
        <f>(-F3191-F3192)/(Inputs!$D$7+$D$3208)^F3182</f>
        <v>-12012.025548964448</v>
      </c>
      <c r="G3204" s="16">
        <f>(-G3191-G3192)/(Inputs!$D$7+$D$3208)^G3182</f>
        <v>-1851.359915178487</v>
      </c>
      <c r="H3204" s="16">
        <f>(-H3191-H3192)/(Inputs!$D$7+$D$3208)^H3182</f>
        <v>-9495.2419037884629</v>
      </c>
      <c r="I3204" s="16">
        <f>(-I3191-I3192)/(Inputs!$D$7+$D$3208)^I3182</f>
        <v>-11507.131858586603</v>
      </c>
      <c r="J3204" s="16">
        <f>(-J3191-J3192)/(Inputs!$D$7+$D$3208)^J3182</f>
        <v>-7846.2835672839774</v>
      </c>
      <c r="K3204" s="16">
        <f>(-K3191-K3192)/(Inputs!$D$7+$D$3208)^K3182</f>
        <v>-1264.5037327904422</v>
      </c>
      <c r="L3204" s="16">
        <f>(-L3191-L3192)/(Inputs!$D$7+$D$3208)^L3182</f>
        <v>-6485.3779822337692</v>
      </c>
      <c r="M3204" s="16">
        <f>(-M3191-M3192)/(Inputs!$D$7+$D$3208)^M3182</f>
        <v>-7859.5258920747219</v>
      </c>
    </row>
    <row r="3205" spans="2:13" ht="15" customHeight="1" x14ac:dyDescent="0.2">
      <c r="B3205" s="10" t="s">
        <v>912</v>
      </c>
      <c r="C3205" s="10" t="s">
        <v>110</v>
      </c>
      <c r="D3205" s="16">
        <f>Prices!K17</f>
        <v>57887.949562974638</v>
      </c>
    </row>
    <row r="3206" spans="2:13" ht="15" customHeight="1" x14ac:dyDescent="0.2">
      <c r="B3206" s="3" t="s">
        <v>913</v>
      </c>
      <c r="C3206" s="10" t="s">
        <v>914</v>
      </c>
      <c r="D3206" s="28">
        <f>IF(J3213&gt;=J3209,J3213,(D3205-J3212)/J3211)</f>
        <v>46.899303972867536</v>
      </c>
      <c r="G3206" s="99" t="s">
        <v>915</v>
      </c>
      <c r="H3206" s="91"/>
      <c r="I3206" s="91"/>
      <c r="J3206" s="28">
        <f>D3206*Inputs!$D$15</f>
        <v>32.731024242664255</v>
      </c>
      <c r="K3206" s="99" t="s">
        <v>916</v>
      </c>
      <c r="L3206" s="91"/>
      <c r="M3206" s="91"/>
    </row>
    <row r="3207" spans="2:13" ht="15" customHeight="1" x14ac:dyDescent="0.2">
      <c r="B3207" s="10" t="s">
        <v>917</v>
      </c>
      <c r="C3207" s="10" t="s">
        <v>104</v>
      </c>
      <c r="D3207" s="30">
        <f>Inputs!$D$81</f>
        <v>0.6</v>
      </c>
      <c r="G3207" s="99" t="s">
        <v>918</v>
      </c>
      <c r="H3207" s="91"/>
      <c r="I3207" s="91"/>
      <c r="J3207" s="28">
        <f>IF(-D3218/D3217&gt;=J3209,-D3218/D3217,-J3212/J3211)</f>
        <v>32.284876648616972</v>
      </c>
      <c r="K3207" s="99" t="s">
        <v>919</v>
      </c>
      <c r="L3207" s="91"/>
      <c r="M3207" s="91"/>
    </row>
    <row r="3208" spans="2:13" ht="15" customHeight="1" x14ac:dyDescent="0.2">
      <c r="B3208" s="10" t="s">
        <v>920</v>
      </c>
      <c r="C3208" s="10" t="s">
        <v>104</v>
      </c>
      <c r="D3208" s="30">
        <f>Inputs!$D$82</f>
        <v>0.1</v>
      </c>
      <c r="G3208" s="99" t="s">
        <v>918</v>
      </c>
      <c r="H3208" s="91"/>
      <c r="I3208" s="91"/>
      <c r="J3208" s="28">
        <f>J3207*Inputs!$D$15</f>
        <v>22.531615413069783</v>
      </c>
      <c r="K3208" s="99" t="s">
        <v>916</v>
      </c>
      <c r="L3208" s="91"/>
      <c r="M3208" s="91"/>
    </row>
    <row r="3209" spans="2:13" ht="15" customHeight="1" x14ac:dyDescent="0.2">
      <c r="B3209" s="3" t="s">
        <v>921</v>
      </c>
      <c r="C3209" s="10" t="s">
        <v>848</v>
      </c>
      <c r="D3209" s="28">
        <f>Capital!$D$13</f>
        <v>57.347931490590682</v>
      </c>
      <c r="G3209" s="99" t="s">
        <v>922</v>
      </c>
      <c r="H3209" s="91"/>
      <c r="I3209" s="91"/>
      <c r="J3209" s="28">
        <f>($D$3209/Inputs!$D$21+$D$3210/Inputs!$D$22)/$D$3207</f>
        <v>24.113076913095469</v>
      </c>
      <c r="K3209" s="99" t="s">
        <v>919</v>
      </c>
      <c r="L3209" s="91"/>
      <c r="M3209" s="91"/>
    </row>
    <row r="3210" spans="2:13" ht="15" customHeight="1" x14ac:dyDescent="0.2">
      <c r="B3210" s="3" t="s">
        <v>923</v>
      </c>
      <c r="C3210" s="10" t="s">
        <v>848</v>
      </c>
      <c r="D3210" s="28">
        <f>Capital!$D$14</f>
        <v>2.6172655041921802</v>
      </c>
    </row>
    <row r="3211" spans="2:13" ht="15" customHeight="1" x14ac:dyDescent="0.2">
      <c r="B3211" s="10" t="s">
        <v>924</v>
      </c>
      <c r="C3211" s="10" t="s">
        <v>896</v>
      </c>
      <c r="D3211" s="28">
        <f>(M3184*(Inputs!$D$7+Inputs!$D$20)*$D$3207*(Inputs!$D$7-Inputs!$D$19)-M3184*Inputs!$D$20*Inputs!$D$23)/($D$3208-Inputs!$D$20)/(Inputs!$D$7+$D$3208)^M3182</f>
        <v>2068.2441036763203</v>
      </c>
      <c r="G3211" s="92" t="s">
        <v>910</v>
      </c>
      <c r="H3211" s="91"/>
      <c r="I3211" s="91"/>
      <c r="J3211" s="28">
        <f>SUM(D3203:M3203)+(M3184*(Inputs!$D$7+Inputs!$D$20)*$D$3207-M3184*Inputs!$D$20*Inputs!$D$23)/($D$3208-Inputs!$D$20)/(Inputs!$D$7+$D$3208)^M3182</f>
        <v>5667.7711754446318</v>
      </c>
      <c r="K3211" s="99" t="s">
        <v>896</v>
      </c>
      <c r="L3211" s="91"/>
      <c r="M3211" s="91"/>
    </row>
    <row r="3212" spans="2:13" ht="15" customHeight="1" x14ac:dyDescent="0.2">
      <c r="B3212" s="10" t="s">
        <v>925</v>
      </c>
      <c r="C3212" s="10" t="s">
        <v>110</v>
      </c>
      <c r="D3212" s="16">
        <f>(D3215*Inputs!$D$19-D3215-D3216)/($D$3208-Inputs!$D$20)/(Inputs!$D$7+$D$3208)^M3182</f>
        <v>-57156.954988173631</v>
      </c>
      <c r="G3212" s="92" t="s">
        <v>926</v>
      </c>
      <c r="H3212" s="91"/>
      <c r="I3212" s="91"/>
      <c r="J3212" s="16">
        <f>SUM(D3204:M3204)-(D3215+D3216)/($D$3208-Inputs!$D$20)/(Inputs!$D$7+$D$3208)^M3182</f>
        <v>-169036.01450291832</v>
      </c>
      <c r="K3212" s="99" t="s">
        <v>110</v>
      </c>
      <c r="L3212" s="91"/>
      <c r="M3212" s="91"/>
    </row>
    <row r="3213" spans="2:13" ht="15" customHeight="1" x14ac:dyDescent="0.2">
      <c r="B3213" s="10" t="s">
        <v>927</v>
      </c>
      <c r="C3213" s="10" t="s">
        <v>928</v>
      </c>
      <c r="D3213" s="16">
        <f>(M3184*(Inputs!$D$7+Inputs!$D$20)*$D$3206*$D$3207-D3215)-MAX((M3184*(Inputs!$D$7+Inputs!$D$20)*$D$3206*$D$3207-D3215),Inputs!$D$6)*Inputs!$D$19-D3216-M3184*Inputs!$D$20*$D$3206*Inputs!$D$23</f>
        <v>7544.0171997945063</v>
      </c>
      <c r="G3213" s="99" t="s">
        <v>929</v>
      </c>
      <c r="H3213" s="91"/>
      <c r="I3213" s="91"/>
      <c r="J3213" s="28">
        <f>(D3205-D3218)/D3217</f>
        <v>46.899303972867536</v>
      </c>
      <c r="K3213" s="99" t="s">
        <v>919</v>
      </c>
      <c r="L3213" s="91"/>
      <c r="M3213" s="91"/>
    </row>
    <row r="3214" spans="2:13" ht="15" customHeight="1" x14ac:dyDescent="0.2">
      <c r="B3214" s="10" t="s">
        <v>930</v>
      </c>
      <c r="C3214" s="10" t="s">
        <v>110</v>
      </c>
      <c r="D3214" s="16">
        <f>D3213/($D$3208-Inputs!$D$20)</f>
        <v>100586.89599726007</v>
      </c>
      <c r="G3214" s="99" t="s">
        <v>931</v>
      </c>
      <c r="H3214" s="91"/>
      <c r="I3214" s="91"/>
      <c r="J3214" s="16">
        <f>MIN(D3198:M3198,(M3184*(Inputs!$D$7+Inputs!$D$20)*$D$3206*$D$3207-D3215))</f>
        <v>1716.9960162661844</v>
      </c>
      <c r="K3214" s="99" t="s">
        <v>110</v>
      </c>
      <c r="L3214" s="91"/>
      <c r="M3214" s="91"/>
    </row>
    <row r="3215" spans="2:13" ht="15" customHeight="1" x14ac:dyDescent="0.2">
      <c r="B3215" s="10" t="s">
        <v>932</v>
      </c>
      <c r="C3215" s="10" t="s">
        <v>928</v>
      </c>
      <c r="D3215" s="16">
        <f>M3184*(Inputs!$D$7+Inputs!$D$20)*($D$3209/Inputs!$D$21+$D$3210/Inputs!$D$22)</f>
        <v>13509.71303671543</v>
      </c>
      <c r="G3215" s="99" t="s">
        <v>933</v>
      </c>
      <c r="H3215" s="91"/>
      <c r="I3215" s="91"/>
      <c r="J3215" s="31" t="str">
        <f>IF(J3214&lt;Inputs!$D$6,"breached","satisfied")</f>
        <v>satisfied</v>
      </c>
      <c r="K3215" s="99" t="s">
        <v>934</v>
      </c>
      <c r="L3215" s="91"/>
      <c r="M3215" s="91"/>
    </row>
    <row r="3216" spans="2:13" ht="15" customHeight="1" x14ac:dyDescent="0.2">
      <c r="B3216" s="10" t="s">
        <v>935</v>
      </c>
      <c r="C3216" s="10" t="s">
        <v>928</v>
      </c>
      <c r="D3216" s="16">
        <f>M3184*Inputs!$D$20*($D$3209+$D$3210)</f>
        <v>1365.7073615561799</v>
      </c>
    </row>
    <row r="3217" spans="1:13" ht="15" customHeight="1" x14ac:dyDescent="0.2">
      <c r="B3217" s="10" t="s">
        <v>936</v>
      </c>
      <c r="C3217" s="10" t="s">
        <v>896</v>
      </c>
      <c r="D3217" s="28">
        <f>SUM(D3194:M3194)+D3211</f>
        <v>3961.0138857044249</v>
      </c>
      <c r="G3217" s="99" t="s">
        <v>937</v>
      </c>
      <c r="H3217" s="91"/>
      <c r="I3217" s="91"/>
      <c r="J3217" s="16">
        <f>D3219-D3205</f>
        <v>0</v>
      </c>
      <c r="K3217" s="99" t="s">
        <v>110</v>
      </c>
      <c r="L3217" s="91"/>
      <c r="M3217" s="91"/>
    </row>
    <row r="3218" spans="1:13" ht="15" customHeight="1" x14ac:dyDescent="0.2">
      <c r="B3218" s="10" t="s">
        <v>938</v>
      </c>
      <c r="C3218" s="10" t="s">
        <v>110</v>
      </c>
      <c r="D3218" s="16">
        <f>SUM(D3195:M3195)+D3212</f>
        <v>-127880.84470342637</v>
      </c>
    </row>
    <row r="3219" spans="1:13" ht="15" customHeight="1" x14ac:dyDescent="0.2">
      <c r="B3219" s="10" t="s">
        <v>939</v>
      </c>
      <c r="C3219" s="10" t="s">
        <v>110</v>
      </c>
      <c r="D3219" s="16">
        <f>SUM(D3202:M3202)+D3214/(Inputs!$D$7+$D$3208)^M3182</f>
        <v>57887.949562974674</v>
      </c>
    </row>
    <row r="3220" spans="1:13" ht="15" customHeight="1" x14ac:dyDescent="0.2">
      <c r="B3220" s="10" t="s">
        <v>940</v>
      </c>
      <c r="C3220" s="10" t="s">
        <v>104</v>
      </c>
      <c r="D3220" s="30">
        <f>IF(ABS(D3205)&gt;Inputs!$D$6,D3219/D3205-Inputs!$D$7,Inputs!$D$6)</f>
        <v>6.6613381477509392E-16</v>
      </c>
    </row>
    <row r="3221" spans="1:13" ht="15" customHeight="1" x14ac:dyDescent="0.2">
      <c r="B3221" s="10" t="s">
        <v>941</v>
      </c>
      <c r="C3221" s="10" t="s">
        <v>104</v>
      </c>
      <c r="D3221" s="30">
        <f>IF(ABS(D3219)&gt;Inputs!$D$119,D3214/(Inputs!$D$7+$D$3208)^M3182/D3219,Inputs!$D$6)</f>
        <v>0.68826507452798635</v>
      </c>
    </row>
    <row r="3222" spans="1:13" ht="15" customHeight="1" x14ac:dyDescent="0.2">
      <c r="B3222" s="10" t="s">
        <v>942</v>
      </c>
      <c r="C3222" s="10" t="s">
        <v>943</v>
      </c>
      <c r="D3222" s="26">
        <f>$D$3206*Inputs!$D$8/Prices!$P$6/(Inputs!$D$26/Inputs!$D$25)/Inputs!$D$11/Inputs!$D$56</f>
        <v>8.5287808851492617</v>
      </c>
    </row>
    <row r="3226" spans="1:13" ht="15" customHeight="1" x14ac:dyDescent="0.2">
      <c r="A3226" s="104" t="s">
        <v>1013</v>
      </c>
      <c r="B3226" s="10" t="s">
        <v>886</v>
      </c>
      <c r="C3226" s="10" t="s">
        <v>107</v>
      </c>
      <c r="D3226" s="28">
        <f>Inputs!$D$60</f>
        <v>1</v>
      </c>
      <c r="E3226" s="28">
        <f>Inputs!$D$62</f>
        <v>2</v>
      </c>
      <c r="F3226" s="28">
        <f>Inputs!$D$64</f>
        <v>3</v>
      </c>
      <c r="G3226" s="28">
        <f>Inputs!$D$66</f>
        <v>4</v>
      </c>
      <c r="H3226" s="28">
        <f>Inputs!$D$68</f>
        <v>5</v>
      </c>
      <c r="I3226" s="28">
        <f>Inputs!$D$70</f>
        <v>6</v>
      </c>
      <c r="J3226" s="28">
        <f>Inputs!$D$72</f>
        <v>7</v>
      </c>
      <c r="K3226" s="28">
        <f>Inputs!$D$74</f>
        <v>8</v>
      </c>
      <c r="L3226" s="28">
        <f>Inputs!$D$76</f>
        <v>9</v>
      </c>
      <c r="M3226" s="28">
        <f>Inputs!$D$78</f>
        <v>10</v>
      </c>
    </row>
    <row r="3227" spans="1:13" ht="15" customHeight="1" x14ac:dyDescent="0.2">
      <c r="A3227" s="91"/>
      <c r="B3227" s="10" t="s">
        <v>887</v>
      </c>
      <c r="C3227" s="10" t="s">
        <v>161</v>
      </c>
      <c r="D3227" s="29">
        <f>Inputs!$D$61</f>
        <v>46568</v>
      </c>
      <c r="E3227" s="29">
        <f>Inputs!$D$63</f>
        <v>46934</v>
      </c>
      <c r="F3227" s="29">
        <f>Inputs!$D$65</f>
        <v>47299</v>
      </c>
      <c r="G3227" s="29">
        <f>Inputs!$D$67</f>
        <v>47664</v>
      </c>
      <c r="H3227" s="29">
        <f>Inputs!$D$69</f>
        <v>48029</v>
      </c>
      <c r="I3227" s="29">
        <f>Inputs!$D$71</f>
        <v>48395</v>
      </c>
      <c r="J3227" s="29">
        <f>Inputs!$D$73</f>
        <v>48760</v>
      </c>
      <c r="K3227" s="29">
        <f>Inputs!$D$75</f>
        <v>49125</v>
      </c>
      <c r="L3227" s="29">
        <f>Inputs!$D$77</f>
        <v>49490</v>
      </c>
      <c r="M3227" s="29">
        <f>Inputs!$D$79</f>
        <v>49856</v>
      </c>
    </row>
    <row r="3228" spans="1:13" ht="15" customHeight="1" x14ac:dyDescent="0.2">
      <c r="A3228" s="91"/>
      <c r="B3228" s="10" t="s">
        <v>888</v>
      </c>
      <c r="C3228" s="10" t="s">
        <v>107</v>
      </c>
      <c r="D3228" s="28">
        <f>(D3227-Inputs!$D$13)/Inputs!$D$10</f>
        <v>0.71457905544147848</v>
      </c>
      <c r="E3228" s="28">
        <f>(E3227-Inputs!$D$13)/Inputs!$D$10</f>
        <v>1.7166324435318274</v>
      </c>
      <c r="F3228" s="28">
        <f>(F3227-Inputs!$D$13)/Inputs!$D$10</f>
        <v>2.7159479808350446</v>
      </c>
      <c r="G3228" s="28">
        <f>(G3227-Inputs!$D$13)/Inputs!$D$10</f>
        <v>3.7152635181382614</v>
      </c>
      <c r="H3228" s="28">
        <f>(H3227-Inputs!$D$13)/Inputs!$D$10</f>
        <v>4.7145790554414786</v>
      </c>
      <c r="I3228" s="28">
        <f>(I3227-Inputs!$D$13)/Inputs!$D$10</f>
        <v>5.7166324435318279</v>
      </c>
      <c r="J3228" s="28">
        <f>(J3227-Inputs!$D$13)/Inputs!$D$10</f>
        <v>6.7159479808350442</v>
      </c>
      <c r="K3228" s="28">
        <f>(K3227-Inputs!$D$13)/Inputs!$D$10</f>
        <v>7.7152635181382614</v>
      </c>
      <c r="L3228" s="28">
        <f>(L3227-Inputs!$D$13)/Inputs!$D$10</f>
        <v>8.7145790554414777</v>
      </c>
      <c r="M3228" s="28">
        <f>(M3227-Inputs!$D$13)/Inputs!$D$10</f>
        <v>9.716632443531827</v>
      </c>
    </row>
    <row r="3229" spans="1:13" ht="15" customHeight="1" x14ac:dyDescent="0.2">
      <c r="A3229" s="91"/>
      <c r="B3229" s="10" t="s">
        <v>889</v>
      </c>
      <c r="C3229" s="10" t="s">
        <v>107</v>
      </c>
      <c r="D3229" s="28">
        <f>D3228</f>
        <v>0.71457905544147848</v>
      </c>
      <c r="E3229" s="28">
        <f>Inputs!$D$7</f>
        <v>1</v>
      </c>
      <c r="F3229" s="28">
        <f>Inputs!$D$7</f>
        <v>1</v>
      </c>
      <c r="G3229" s="28">
        <f>Inputs!$D$7</f>
        <v>1</v>
      </c>
      <c r="H3229" s="28">
        <f>Inputs!$D$7</f>
        <v>1</v>
      </c>
      <c r="I3229" s="28">
        <f>Inputs!$D$7</f>
        <v>1</v>
      </c>
      <c r="J3229" s="28">
        <f>Inputs!$D$7</f>
        <v>1</v>
      </c>
      <c r="K3229" s="28">
        <f>Inputs!$D$7</f>
        <v>1</v>
      </c>
      <c r="L3229" s="28">
        <f>Inputs!$D$7</f>
        <v>1</v>
      </c>
      <c r="M3229" s="28">
        <f>Inputs!$D$7</f>
        <v>1</v>
      </c>
    </row>
    <row r="3230" spans="1:13" ht="15" customHeight="1" x14ac:dyDescent="0.2">
      <c r="A3230" s="91"/>
      <c r="B3230" s="3" t="s">
        <v>890</v>
      </c>
      <c r="C3230" s="10" t="s">
        <v>199</v>
      </c>
      <c r="D3230" s="28">
        <f>Inputs!$D$24+(Inputs!$D$93-Inputs!$D$24)*Inputs!$D$96</f>
        <v>279.10000000000002</v>
      </c>
      <c r="E3230" s="28">
        <f>Inputs!$D$24+(Inputs!$D$93-Inputs!$D$24)*Inputs!$D$97</f>
        <v>900.7</v>
      </c>
      <c r="F3230" s="28">
        <f>Inputs!$D$24+(Inputs!$D$93-Inputs!$D$24)*Inputs!$D$98</f>
        <v>1366.8999999999999</v>
      </c>
      <c r="G3230" s="28">
        <f>Inputs!$D$24+(Inputs!$D$93-Inputs!$D$24)*Inputs!$D$99</f>
        <v>1600</v>
      </c>
      <c r="H3230" s="28">
        <f>Inputs!$D$24+(Inputs!$D$93-Inputs!$D$24)*Inputs!$D$100</f>
        <v>1600</v>
      </c>
      <c r="I3230" s="28">
        <f>Inputs!$D$24+(Inputs!$D$93-Inputs!$D$24)*Inputs!$D$101</f>
        <v>1600</v>
      </c>
      <c r="J3230" s="28">
        <f>Inputs!$D$24+(Inputs!$D$93-Inputs!$D$24)*Inputs!$D$102</f>
        <v>1600</v>
      </c>
      <c r="K3230" s="28">
        <f>Inputs!$D$24+(Inputs!$D$93-Inputs!$D$24)*Inputs!$D$103</f>
        <v>1600</v>
      </c>
      <c r="L3230" s="28">
        <f>Inputs!$D$24+(Inputs!$D$93-Inputs!$D$24)*Inputs!$D$104</f>
        <v>1600</v>
      </c>
      <c r="M3230" s="28">
        <f>Inputs!$D$24+(Inputs!$D$93-Inputs!$D$24)*Inputs!$D$105</f>
        <v>1600</v>
      </c>
    </row>
    <row r="3231" spans="1:13" ht="15" customHeight="1" x14ac:dyDescent="0.2">
      <c r="A3231" s="91"/>
      <c r="B3231" s="10" t="s">
        <v>891</v>
      </c>
      <c r="C3231" s="10" t="s">
        <v>199</v>
      </c>
      <c r="D3231" s="28">
        <f>Inputs!$D$24</f>
        <v>46</v>
      </c>
      <c r="E3231" s="28">
        <f t="shared" ref="E3231:M3231" si="700">D3230</f>
        <v>279.10000000000002</v>
      </c>
      <c r="F3231" s="28">
        <f t="shared" si="700"/>
        <v>900.7</v>
      </c>
      <c r="G3231" s="28">
        <f t="shared" si="700"/>
        <v>1366.8999999999999</v>
      </c>
      <c r="H3231" s="28">
        <f t="shared" si="700"/>
        <v>1600</v>
      </c>
      <c r="I3231" s="28">
        <f t="shared" si="700"/>
        <v>1600</v>
      </c>
      <c r="J3231" s="28">
        <f t="shared" si="700"/>
        <v>1600</v>
      </c>
      <c r="K3231" s="28">
        <f t="shared" si="700"/>
        <v>1600</v>
      </c>
      <c r="L3231" s="28">
        <f t="shared" si="700"/>
        <v>1600</v>
      </c>
      <c r="M3231" s="28">
        <f t="shared" si="700"/>
        <v>1600</v>
      </c>
    </row>
    <row r="3232" spans="1:13" ht="15" customHeight="1" x14ac:dyDescent="0.2">
      <c r="B3232" s="10" t="s">
        <v>892</v>
      </c>
      <c r="C3232" s="10" t="s">
        <v>199</v>
      </c>
      <c r="D3232" s="28">
        <f>(D3231+D3230)*Inputs!$D$12</f>
        <v>162.55000000000001</v>
      </c>
      <c r="E3232" s="28">
        <f>(E3231+E3230)*Inputs!$D$12</f>
        <v>589.90000000000009</v>
      </c>
      <c r="F3232" s="28">
        <f>(F3231+F3230)*Inputs!$D$12</f>
        <v>1133.8</v>
      </c>
      <c r="G3232" s="28">
        <f>(G3231+G3230)*Inputs!$D$12</f>
        <v>1483.4499999999998</v>
      </c>
      <c r="H3232" s="28">
        <f>(H3231+H3230)*Inputs!$D$12</f>
        <v>1600</v>
      </c>
      <c r="I3232" s="28">
        <f>(I3231+I3230)*Inputs!$D$12</f>
        <v>1600</v>
      </c>
      <c r="J3232" s="28">
        <f>(J3231+J3230)*Inputs!$D$12</f>
        <v>1600</v>
      </c>
      <c r="K3232" s="28">
        <f>(K3231+K3230)*Inputs!$D$12</f>
        <v>1600</v>
      </c>
      <c r="L3232" s="28">
        <f>(L3231+L3230)*Inputs!$D$12</f>
        <v>1600</v>
      </c>
      <c r="M3232" s="28">
        <f>(M3231+M3230)*Inputs!$D$12</f>
        <v>1600</v>
      </c>
    </row>
    <row r="3233" spans="2:13" ht="15" customHeight="1" x14ac:dyDescent="0.2">
      <c r="B3233" s="10" t="s">
        <v>893</v>
      </c>
      <c r="C3233" s="10" t="s">
        <v>199</v>
      </c>
      <c r="D3233" s="28">
        <f t="shared" ref="D3233:M3233" si="701">D3230-D3231</f>
        <v>233.10000000000002</v>
      </c>
      <c r="E3233" s="28">
        <f t="shared" si="701"/>
        <v>621.6</v>
      </c>
      <c r="F3233" s="28">
        <f t="shared" si="701"/>
        <v>466.19999999999982</v>
      </c>
      <c r="G3233" s="28">
        <f t="shared" si="701"/>
        <v>233.10000000000014</v>
      </c>
      <c r="H3233" s="28">
        <f t="shared" si="701"/>
        <v>0</v>
      </c>
      <c r="I3233" s="28">
        <f t="shared" si="701"/>
        <v>0</v>
      </c>
      <c r="J3233" s="28">
        <f t="shared" si="701"/>
        <v>0</v>
      </c>
      <c r="K3233" s="28">
        <f t="shared" si="701"/>
        <v>0</v>
      </c>
      <c r="L3233" s="28">
        <f t="shared" si="701"/>
        <v>0</v>
      </c>
      <c r="M3233" s="28">
        <f t="shared" si="701"/>
        <v>0</v>
      </c>
    </row>
    <row r="3234" spans="2:13" ht="15" customHeight="1" x14ac:dyDescent="0.2">
      <c r="B3234" s="10" t="s">
        <v>894</v>
      </c>
      <c r="C3234" s="10" t="s">
        <v>199</v>
      </c>
      <c r="D3234" s="28">
        <f>IF(MOD(D3226,Inputs!$D$21)=Inputs!$D$6,Inputs!$D$24,Inputs!$D$6)+SUMPRODUCT(--(D3226&gt;$D$3226:$M$3226),--(MOD(D3226-$D$3226:$M$3226,Inputs!$D$21)=Inputs!$D$6),$D$3233:$M$3233)</f>
        <v>0</v>
      </c>
      <c r="E3234" s="28">
        <f>IF(MOD(E3226,Inputs!$D$21)=Inputs!$D$6,Inputs!$D$24,Inputs!$D$6)+SUMPRODUCT(--(E3226&gt;$D$3226:$M$3226),--(MOD(E3226-$D$3226:$M$3226,Inputs!$D$21)=Inputs!$D$6),$D$3233:$M$3233)</f>
        <v>0</v>
      </c>
      <c r="F3234" s="28">
        <f>IF(MOD(F3226,Inputs!$D$21)=Inputs!$D$6,Inputs!$D$24,Inputs!$D$6)+SUMPRODUCT(--(F3226&gt;$D$3226:$M$3226),--(MOD(F3226-$D$3226:$M$3226,Inputs!$D$21)=Inputs!$D$6),$D$3233:$M$3233)</f>
        <v>0</v>
      </c>
      <c r="G3234" s="28">
        <f>IF(MOD(G3226,Inputs!$D$21)=Inputs!$D$6,Inputs!$D$24,Inputs!$D$6)+SUMPRODUCT(--(G3226&gt;$D$3226:$M$3226),--(MOD(G3226-$D$3226:$M$3226,Inputs!$D$21)=Inputs!$D$6),$D$3233:$M$3233)</f>
        <v>46</v>
      </c>
      <c r="H3234" s="28">
        <f>IF(MOD(H3226,Inputs!$D$21)=Inputs!$D$6,Inputs!$D$24,Inputs!$D$6)+SUMPRODUCT(--(H3226&gt;$D$3226:$M$3226),--(MOD(H3226-$D$3226:$M$3226,Inputs!$D$21)=Inputs!$D$6),$D$3233:$M$3233)</f>
        <v>233.10000000000002</v>
      </c>
      <c r="I3234" s="28">
        <f>IF(MOD(I3226,Inputs!$D$21)=Inputs!$D$6,Inputs!$D$24,Inputs!$D$6)+SUMPRODUCT(--(I3226&gt;$D$3226:$M$3226),--(MOD(I3226-$D$3226:$M$3226,Inputs!$D$21)=Inputs!$D$6),$D$3233:$M$3233)</f>
        <v>621.6</v>
      </c>
      <c r="J3234" s="28">
        <f>IF(MOD(J3226,Inputs!$D$21)=Inputs!$D$6,Inputs!$D$24,Inputs!$D$6)+SUMPRODUCT(--(J3226&gt;$D$3226:$M$3226),--(MOD(J3226-$D$3226:$M$3226,Inputs!$D$21)=Inputs!$D$6),$D$3233:$M$3233)</f>
        <v>466.19999999999982</v>
      </c>
      <c r="K3234" s="28">
        <f>IF(MOD(K3226,Inputs!$D$21)=Inputs!$D$6,Inputs!$D$24,Inputs!$D$6)+SUMPRODUCT(--(K3226&gt;$D$3226:$M$3226),--(MOD(K3226-$D$3226:$M$3226,Inputs!$D$21)=Inputs!$D$6),$D$3233:$M$3233)</f>
        <v>279.10000000000014</v>
      </c>
      <c r="L3234" s="28">
        <f>IF(MOD(L3226,Inputs!$D$21)=Inputs!$D$6,Inputs!$D$24,Inputs!$D$6)+SUMPRODUCT(--(L3226&gt;$D$3226:$M$3226),--(MOD(L3226-$D$3226:$M$3226,Inputs!$D$21)=Inputs!$D$6),$D$3233:$M$3233)</f>
        <v>233.10000000000002</v>
      </c>
      <c r="M3234" s="28">
        <f>IF(MOD(M3226,Inputs!$D$21)=Inputs!$D$6,Inputs!$D$24,Inputs!$D$6)+SUMPRODUCT(--(M3226&gt;$D$3226:$M$3226),--(MOD(M3226-$D$3226:$M$3226,Inputs!$D$21)=Inputs!$D$6),$D$3233:$M$3233)</f>
        <v>621.6</v>
      </c>
    </row>
    <row r="3235" spans="2:13" ht="15" customHeight="1" x14ac:dyDescent="0.2">
      <c r="B3235" s="10" t="s">
        <v>895</v>
      </c>
      <c r="C3235" s="10" t="s">
        <v>896</v>
      </c>
      <c r="D3235" s="28">
        <f t="shared" ref="D3235:M3235" si="702">D3232*D3229</f>
        <v>116.15482546201234</v>
      </c>
      <c r="E3235" s="28">
        <f t="shared" si="702"/>
        <v>589.90000000000009</v>
      </c>
      <c r="F3235" s="28">
        <f t="shared" si="702"/>
        <v>1133.8</v>
      </c>
      <c r="G3235" s="28">
        <f t="shared" si="702"/>
        <v>1483.4499999999998</v>
      </c>
      <c r="H3235" s="28">
        <f t="shared" si="702"/>
        <v>1600</v>
      </c>
      <c r="I3235" s="28">
        <f t="shared" si="702"/>
        <v>1600</v>
      </c>
      <c r="J3235" s="28">
        <f t="shared" si="702"/>
        <v>1600</v>
      </c>
      <c r="K3235" s="28">
        <f t="shared" si="702"/>
        <v>1600</v>
      </c>
      <c r="L3235" s="28">
        <f t="shared" si="702"/>
        <v>1600</v>
      </c>
      <c r="M3235" s="28">
        <f t="shared" si="702"/>
        <v>1600</v>
      </c>
    </row>
    <row r="3236" spans="2:13" ht="15" customHeight="1" x14ac:dyDescent="0.2">
      <c r="B3236" s="10" t="s">
        <v>897</v>
      </c>
      <c r="C3236" s="10" t="s">
        <v>110</v>
      </c>
      <c r="D3236" s="16">
        <f>D3235*($D$3255/Inputs!$D$21+$D$3256/Inputs!$D$22)</f>
        <v>1680.51014411561</v>
      </c>
      <c r="E3236" s="16">
        <f>E3235*($D$3255/Inputs!$D$21+$D$3256/Inputs!$D$22)</f>
        <v>8534.5824426210111</v>
      </c>
      <c r="F3236" s="16">
        <f>F3235*($D$3255/Inputs!$D$21+$D$3256/Inputs!$D$22)</f>
        <v>16403.643962440583</v>
      </c>
      <c r="G3236" s="16">
        <f>G3235*($D$3255/Inputs!$D$21+$D$3256/Inputs!$D$22)</f>
        <v>21462.326368038881</v>
      </c>
      <c r="H3236" s="16">
        <f>H3235*($D$3255/Inputs!$D$21+$D$3256/Inputs!$D$22)</f>
        <v>23148.553836571649</v>
      </c>
      <c r="I3236" s="16">
        <f>I3235*($D$3255/Inputs!$D$21+$D$3256/Inputs!$D$22)</f>
        <v>23148.553836571649</v>
      </c>
      <c r="J3236" s="16">
        <f>J3235*($D$3255/Inputs!$D$21+$D$3256/Inputs!$D$22)</f>
        <v>23148.553836571649</v>
      </c>
      <c r="K3236" s="16">
        <f>K3235*($D$3255/Inputs!$D$21+$D$3256/Inputs!$D$22)</f>
        <v>23148.553836571649</v>
      </c>
      <c r="L3236" s="16">
        <f>L3235*($D$3255/Inputs!$D$21+$D$3256/Inputs!$D$22)</f>
        <v>23148.553836571649</v>
      </c>
      <c r="M3236" s="16">
        <f>M3235*($D$3255/Inputs!$D$21+$D$3256/Inputs!$D$22)</f>
        <v>23148.553836571649</v>
      </c>
    </row>
    <row r="3237" spans="2:13" ht="15" customHeight="1" x14ac:dyDescent="0.2">
      <c r="B3237" s="10" t="s">
        <v>898</v>
      </c>
      <c r="C3237" s="10" t="s">
        <v>110</v>
      </c>
      <c r="D3237" s="16">
        <f t="shared" ref="D3237:M3237" si="703">D3233*($D$3255+$D$3256)</f>
        <v>13977.887419483886</v>
      </c>
      <c r="E3237" s="16">
        <f t="shared" si="703"/>
        <v>37274.36645195703</v>
      </c>
      <c r="F3237" s="16">
        <f t="shared" si="703"/>
        <v>27955.774838967762</v>
      </c>
      <c r="G3237" s="16">
        <f t="shared" si="703"/>
        <v>13977.887419483894</v>
      </c>
      <c r="H3237" s="16">
        <f t="shared" si="703"/>
        <v>0</v>
      </c>
      <c r="I3237" s="16">
        <f t="shared" si="703"/>
        <v>0</v>
      </c>
      <c r="J3237" s="16">
        <f t="shared" si="703"/>
        <v>0</v>
      </c>
      <c r="K3237" s="16">
        <f t="shared" si="703"/>
        <v>0</v>
      </c>
      <c r="L3237" s="16">
        <f t="shared" si="703"/>
        <v>0</v>
      </c>
      <c r="M3237" s="16">
        <f t="shared" si="703"/>
        <v>0</v>
      </c>
    </row>
    <row r="3238" spans="2:13" ht="15" customHeight="1" x14ac:dyDescent="0.2">
      <c r="B3238" s="10" t="s">
        <v>899</v>
      </c>
      <c r="C3238" s="10" t="s">
        <v>110</v>
      </c>
      <c r="D3238" s="16">
        <f t="shared" ref="D3238:M3238" si="704">D3234*$D$3255</f>
        <v>0</v>
      </c>
      <c r="E3238" s="16">
        <f t="shared" si="704"/>
        <v>0</v>
      </c>
      <c r="F3238" s="16">
        <f t="shared" si="704"/>
        <v>0</v>
      </c>
      <c r="G3238" s="16">
        <f t="shared" si="704"/>
        <v>2638.0048485671714</v>
      </c>
      <c r="H3238" s="16">
        <f t="shared" si="704"/>
        <v>13367.802830456689</v>
      </c>
      <c r="I3238" s="16">
        <f t="shared" si="704"/>
        <v>35647.47421455117</v>
      </c>
      <c r="J3238" s="16">
        <f t="shared" si="704"/>
        <v>26735.605660913367</v>
      </c>
      <c r="K3238" s="16">
        <f t="shared" si="704"/>
        <v>16005.807679023867</v>
      </c>
      <c r="L3238" s="16">
        <f t="shared" si="704"/>
        <v>13367.802830456689</v>
      </c>
      <c r="M3238" s="16">
        <f t="shared" si="704"/>
        <v>35647.47421455117</v>
      </c>
    </row>
    <row r="3239" spans="2:13" ht="15" customHeight="1" x14ac:dyDescent="0.2">
      <c r="B3239" s="10" t="s">
        <v>900</v>
      </c>
      <c r="C3239" s="10" t="s">
        <v>199</v>
      </c>
      <c r="D3239" s="28">
        <f>D3233*Inputs!$D$23</f>
        <v>5.8275000000000006</v>
      </c>
      <c r="E3239" s="28">
        <f>E3233*Inputs!$D$23</f>
        <v>15.540000000000001</v>
      </c>
      <c r="F3239" s="28">
        <f>F3233*Inputs!$D$23</f>
        <v>11.654999999999996</v>
      </c>
      <c r="G3239" s="28">
        <f>G3233*Inputs!$D$23</f>
        <v>5.8275000000000041</v>
      </c>
      <c r="H3239" s="28">
        <f>H3233*Inputs!$D$23</f>
        <v>0</v>
      </c>
      <c r="I3239" s="28">
        <f>I3233*Inputs!$D$23</f>
        <v>0</v>
      </c>
      <c r="J3239" s="28">
        <f>J3233*Inputs!$D$23</f>
        <v>0</v>
      </c>
      <c r="K3239" s="28">
        <f>K3233*Inputs!$D$23</f>
        <v>0</v>
      </c>
      <c r="L3239" s="28">
        <f>L3233*Inputs!$D$23</f>
        <v>0</v>
      </c>
      <c r="M3239" s="28">
        <f>M3233*Inputs!$D$23</f>
        <v>0</v>
      </c>
    </row>
    <row r="3240" spans="2:13" ht="15" customHeight="1" x14ac:dyDescent="0.2">
      <c r="B3240" s="3" t="s">
        <v>901</v>
      </c>
      <c r="C3240" s="10" t="s">
        <v>896</v>
      </c>
      <c r="D3240" s="28">
        <f>(D3235*$D$3253*(Inputs!$D$7-Inputs!$D$19)-D3239)/(Inputs!$D$7+$D$3254)^D3228</f>
        <v>50.541318213721269</v>
      </c>
      <c r="E3240" s="28">
        <f>(E3235*$D$3253*(Inputs!$D$7-Inputs!$D$19)-E3239)/(Inputs!$D$7+$D$3254)^E3228</f>
        <v>238.4864713152904</v>
      </c>
      <c r="F3240" s="28">
        <f>(F3235*$D$3253*(Inputs!$D$7-Inputs!$D$19)-F3239)/(Inputs!$D$7+$D$3254)^F3228</f>
        <v>418.74491871678316</v>
      </c>
      <c r="G3240" s="28">
        <f>(G3235*$D$3253*(Inputs!$D$7-Inputs!$D$19)-G3239)/(Inputs!$D$7+$D$3254)^G3228</f>
        <v>490.87392073514752</v>
      </c>
      <c r="H3240" s="28">
        <f>(H3235*$D$3253*(Inputs!$D$7-Inputs!$D$19)-H3239)/(Inputs!$D$7+$D$3254)^H3228</f>
        <v>472.10300862628105</v>
      </c>
      <c r="I3240" s="28">
        <f>(I3235*$D$3253*(Inputs!$D$7-Inputs!$D$19)-I3239)/(Inputs!$D$7+$D$3254)^I3228</f>
        <v>417.68543753228789</v>
      </c>
      <c r="J3240" s="28">
        <f>(J3235*$D$3253*(Inputs!$D$7-Inputs!$D$19)-J3239)/(Inputs!$D$7+$D$3254)^J3228</f>
        <v>369.66405292491049</v>
      </c>
      <c r="K3240" s="28">
        <f>(K3235*$D$3253*(Inputs!$D$7-Inputs!$D$19)-K3239)/(Inputs!$D$7+$D$3254)^K3228</f>
        <v>327.16369723641031</v>
      </c>
      <c r="L3240" s="28">
        <f>(L3235*$D$3253*(Inputs!$D$7-Inputs!$D$19)-L3239)/(Inputs!$D$7+$D$3254)^L3228</f>
        <v>289.54961658427663</v>
      </c>
      <c r="M3240" s="28">
        <f>(M3235*$D$3253*(Inputs!$D$7-Inputs!$D$19)-M3239)/(Inputs!$D$7+$D$3254)^M3228</f>
        <v>256.17430111750662</v>
      </c>
    </row>
    <row r="3241" spans="2:13" ht="15" customHeight="1" x14ac:dyDescent="0.2">
      <c r="B3241" s="10" t="s">
        <v>902</v>
      </c>
      <c r="C3241" s="10" t="s">
        <v>110</v>
      </c>
      <c r="D3241" s="16">
        <f>(D3236*Inputs!$D$19-D3237-D3238)/(Inputs!$D$7+$D$3254)^D3228</f>
        <v>-12346.937146613671</v>
      </c>
      <c r="E3241" s="16">
        <f>(E3236*Inputs!$D$19-E3237-E3238)/(Inputs!$D$7+$D$3254)^E3228</f>
        <v>-28144.165592831177</v>
      </c>
      <c r="F3241" s="16">
        <f>(F3236*Inputs!$D$19-F3237-F3238)/(Inputs!$D$7+$D$3254)^F3228</f>
        <v>-16528.13772562052</v>
      </c>
      <c r="G3241" s="16">
        <f>(G3236*Inputs!$D$19-G3237-G3238)/(Inputs!$D$7+$D$3254)^G3228</f>
        <v>-6462.9033875784253</v>
      </c>
      <c r="H3241" s="16">
        <f>(H3236*Inputs!$D$19-H3237-H3238)/(Inputs!$D$7+$D$3254)^H3228</f>
        <v>-3610.0349541710043</v>
      </c>
      <c r="I3241" s="16">
        <f>(I3236*Inputs!$D$19-I3237-I3238)/(Inputs!$D$7+$D$3254)^I3228</f>
        <v>-14272.365134506323</v>
      </c>
      <c r="J3241" s="16">
        <f>(J3236*Inputs!$D$19-J3237-J3238)/(Inputs!$D$7+$D$3254)^J3228</f>
        <v>-8709.5665200501735</v>
      </c>
      <c r="K3241" s="16">
        <f>(K3236*Inputs!$D$19-K3237-K3238)/(Inputs!$D$7+$D$3254)^K3228</f>
        <v>-3529.1777141306115</v>
      </c>
      <c r="L3241" s="16">
        <f>(L3236*Inputs!$D$19-L3237-L3238)/(Inputs!$D$7+$D$3254)^L3228</f>
        <v>-2214.1020449702382</v>
      </c>
      <c r="M3241" s="16">
        <f>(M3236*Inputs!$D$19-M3237-M3238)/(Inputs!$D$7+$D$3254)^M3228</f>
        <v>-8753.5088252709138</v>
      </c>
    </row>
    <row r="3242" spans="2:13" ht="15" customHeight="1" x14ac:dyDescent="0.2">
      <c r="B3242" s="10" t="s">
        <v>903</v>
      </c>
      <c r="C3242" s="10" t="s">
        <v>110</v>
      </c>
      <c r="D3242" s="16">
        <f t="shared" ref="D3242:M3242" si="705">D3235*$D$3252</f>
        <v>4337.5714077695948</v>
      </c>
      <c r="E3242" s="16">
        <f t="shared" si="705"/>
        <v>22028.644641027859</v>
      </c>
      <c r="F3242" s="16">
        <f t="shared" si="705"/>
        <v>42339.510584840449</v>
      </c>
      <c r="G3242" s="16">
        <f t="shared" si="705"/>
        <v>55396.495834434259</v>
      </c>
      <c r="H3242" s="16">
        <f t="shared" si="705"/>
        <v>59748.824250965539</v>
      </c>
      <c r="I3242" s="16">
        <f t="shared" si="705"/>
        <v>59748.824250965539</v>
      </c>
      <c r="J3242" s="16">
        <f t="shared" si="705"/>
        <v>59748.824250965539</v>
      </c>
      <c r="K3242" s="16">
        <f t="shared" si="705"/>
        <v>59748.824250965539</v>
      </c>
      <c r="L3242" s="16">
        <f t="shared" si="705"/>
        <v>59748.824250965539</v>
      </c>
      <c r="M3242" s="16">
        <f t="shared" si="705"/>
        <v>59748.824250965539</v>
      </c>
    </row>
    <row r="3243" spans="2:13" ht="15" customHeight="1" x14ac:dyDescent="0.2">
      <c r="B3243" s="10" t="s">
        <v>904</v>
      </c>
      <c r="C3243" s="10" t="s">
        <v>110</v>
      </c>
      <c r="D3243" s="16">
        <f t="shared" ref="D3243:M3243" si="706">D3242*$D$3253</f>
        <v>3253.1785558271959</v>
      </c>
      <c r="E3243" s="16">
        <f t="shared" si="706"/>
        <v>16521.483480770894</v>
      </c>
      <c r="F3243" s="16">
        <f t="shared" si="706"/>
        <v>31754.632938630337</v>
      </c>
      <c r="G3243" s="16">
        <f t="shared" si="706"/>
        <v>41547.371875825695</v>
      </c>
      <c r="H3243" s="16">
        <f t="shared" si="706"/>
        <v>44811.618188224151</v>
      </c>
      <c r="I3243" s="16">
        <f t="shared" si="706"/>
        <v>44811.618188224151</v>
      </c>
      <c r="J3243" s="16">
        <f t="shared" si="706"/>
        <v>44811.618188224151</v>
      </c>
      <c r="K3243" s="16">
        <f t="shared" si="706"/>
        <v>44811.618188224151</v>
      </c>
      <c r="L3243" s="16">
        <f t="shared" si="706"/>
        <v>44811.618188224151</v>
      </c>
      <c r="M3243" s="16">
        <f t="shared" si="706"/>
        <v>44811.618188224151</v>
      </c>
    </row>
    <row r="3244" spans="2:13" ht="15" customHeight="1" x14ac:dyDescent="0.2">
      <c r="B3244" s="10" t="s">
        <v>905</v>
      </c>
      <c r="C3244" s="10" t="s">
        <v>110</v>
      </c>
      <c r="D3244" s="16">
        <f t="shared" ref="D3244:M3244" si="707">D3243-D3236</f>
        <v>1572.6684117115858</v>
      </c>
      <c r="E3244" s="16">
        <f t="shared" si="707"/>
        <v>7986.9010381498829</v>
      </c>
      <c r="F3244" s="16">
        <f t="shared" si="707"/>
        <v>15350.988976189754</v>
      </c>
      <c r="G3244" s="16">
        <f t="shared" si="707"/>
        <v>20085.045507786814</v>
      </c>
      <c r="H3244" s="16">
        <f t="shared" si="707"/>
        <v>21663.064351652502</v>
      </c>
      <c r="I3244" s="16">
        <f t="shared" si="707"/>
        <v>21663.064351652502</v>
      </c>
      <c r="J3244" s="16">
        <f t="shared" si="707"/>
        <v>21663.064351652502</v>
      </c>
      <c r="K3244" s="16">
        <f t="shared" si="707"/>
        <v>21663.064351652502</v>
      </c>
      <c r="L3244" s="16">
        <f t="shared" si="707"/>
        <v>21663.064351652502</v>
      </c>
      <c r="M3244" s="16">
        <f t="shared" si="707"/>
        <v>21663.064351652502</v>
      </c>
    </row>
    <row r="3245" spans="2:13" ht="15" customHeight="1" x14ac:dyDescent="0.2">
      <c r="B3245" s="10" t="s">
        <v>906</v>
      </c>
      <c r="C3245" s="10" t="s">
        <v>110</v>
      </c>
      <c r="D3245" s="16">
        <f>MAX(D3244,Inputs!$D$6)*Inputs!$D$19</f>
        <v>471.8005235134757</v>
      </c>
      <c r="E3245" s="16">
        <f>MAX(E3244,Inputs!$D$6)*Inputs!$D$19</f>
        <v>2396.0703114449648</v>
      </c>
      <c r="F3245" s="16">
        <f>MAX(F3244,Inputs!$D$6)*Inputs!$D$19</f>
        <v>4605.2966928569258</v>
      </c>
      <c r="G3245" s="16">
        <f>MAX(G3244,Inputs!$D$6)*Inputs!$D$19</f>
        <v>6025.5136523360443</v>
      </c>
      <c r="H3245" s="16">
        <f>MAX(H3244,Inputs!$D$6)*Inputs!$D$19</f>
        <v>6498.9193054957505</v>
      </c>
      <c r="I3245" s="16">
        <f>MAX(I3244,Inputs!$D$6)*Inputs!$D$19</f>
        <v>6498.9193054957505</v>
      </c>
      <c r="J3245" s="16">
        <f>MAX(J3244,Inputs!$D$6)*Inputs!$D$19</f>
        <v>6498.9193054957505</v>
      </c>
      <c r="K3245" s="16">
        <f>MAX(K3244,Inputs!$D$6)*Inputs!$D$19</f>
        <v>6498.9193054957505</v>
      </c>
      <c r="L3245" s="16">
        <f>MAX(L3244,Inputs!$D$6)*Inputs!$D$19</f>
        <v>6498.9193054957505</v>
      </c>
      <c r="M3245" s="16">
        <f>MAX(M3244,Inputs!$D$6)*Inputs!$D$19</f>
        <v>6498.9193054957505</v>
      </c>
    </row>
    <row r="3246" spans="2:13" ht="15" customHeight="1" x14ac:dyDescent="0.2">
      <c r="B3246" s="10" t="s">
        <v>907</v>
      </c>
      <c r="C3246" s="10" t="s">
        <v>110</v>
      </c>
      <c r="D3246" s="16">
        <f t="shared" ref="D3246:M3246" si="708">D3239*$D$3252</f>
        <v>217.61642082656357</v>
      </c>
      <c r="E3246" s="16">
        <f t="shared" si="708"/>
        <v>580.31045553750278</v>
      </c>
      <c r="F3246" s="16">
        <f t="shared" si="708"/>
        <v>435.23284165312691</v>
      </c>
      <c r="G3246" s="16">
        <f t="shared" si="708"/>
        <v>217.61642082656371</v>
      </c>
      <c r="H3246" s="16">
        <f t="shared" si="708"/>
        <v>0</v>
      </c>
      <c r="I3246" s="16">
        <f t="shared" si="708"/>
        <v>0</v>
      </c>
      <c r="J3246" s="16">
        <f t="shared" si="708"/>
        <v>0</v>
      </c>
      <c r="K3246" s="16">
        <f t="shared" si="708"/>
        <v>0</v>
      </c>
      <c r="L3246" s="16">
        <f t="shared" si="708"/>
        <v>0</v>
      </c>
      <c r="M3246" s="16">
        <f t="shared" si="708"/>
        <v>0</v>
      </c>
    </row>
    <row r="3247" spans="2:13" ht="15" customHeight="1" x14ac:dyDescent="0.2">
      <c r="B3247" s="10" t="s">
        <v>908</v>
      </c>
      <c r="C3247" s="10" t="s">
        <v>110</v>
      </c>
      <c r="D3247" s="16">
        <f t="shared" ref="D3247:M3247" si="709">D3243-D3245-D3237-D3238-D3246</f>
        <v>-11414.12580799673</v>
      </c>
      <c r="E3247" s="16">
        <f t="shared" si="709"/>
        <v>-23729.263738168604</v>
      </c>
      <c r="F3247" s="16">
        <f t="shared" si="709"/>
        <v>-1241.6714348474775</v>
      </c>
      <c r="G3247" s="16">
        <f t="shared" si="709"/>
        <v>18688.349534612022</v>
      </c>
      <c r="H3247" s="16">
        <f t="shared" si="709"/>
        <v>24944.89605227171</v>
      </c>
      <c r="I3247" s="16">
        <f t="shared" si="709"/>
        <v>2665.2246681772303</v>
      </c>
      <c r="J3247" s="16">
        <f t="shared" si="709"/>
        <v>11577.093221815034</v>
      </c>
      <c r="K3247" s="16">
        <f t="shared" si="709"/>
        <v>22306.891203704534</v>
      </c>
      <c r="L3247" s="16">
        <f t="shared" si="709"/>
        <v>24944.89605227171</v>
      </c>
      <c r="M3247" s="16">
        <f t="shared" si="709"/>
        <v>2665.2246681772303</v>
      </c>
    </row>
    <row r="3248" spans="2:13" ht="15" customHeight="1" x14ac:dyDescent="0.2">
      <c r="B3248" s="10" t="s">
        <v>909</v>
      </c>
      <c r="C3248" s="10" t="s">
        <v>110</v>
      </c>
      <c r="D3248" s="16">
        <f>D3247/(Inputs!$D$7+$D$3254)^D3228</f>
        <v>-10459.571934511325</v>
      </c>
      <c r="E3248" s="16">
        <f>E3247/(Inputs!$D$7+$D$3254)^E3228</f>
        <v>-19238.361679799789</v>
      </c>
      <c r="F3248" s="16">
        <f>F3247/(Inputs!$D$7+$D$3254)^F3228</f>
        <v>-890.9398791243143</v>
      </c>
      <c r="G3248" s="16">
        <f>G3247/(Inputs!$D$7+$D$3254)^G3228</f>
        <v>11867.808874538272</v>
      </c>
      <c r="H3248" s="16">
        <f>H3247/(Inputs!$D$7+$D$3254)^H3228</f>
        <v>14019.714852556328</v>
      </c>
      <c r="I3248" s="16">
        <f>I3247/(Inputs!$D$7+$D$3254)^I3228</f>
        <v>1325.2684900588731</v>
      </c>
      <c r="J3248" s="16">
        <f>J3247/(Inputs!$D$7+$D$3254)^J3228</f>
        <v>5094.8038112686372</v>
      </c>
      <c r="K3248" s="16">
        <f>K3247/(Inputs!$D$7+$D$3254)^K3228</f>
        <v>8688.1011905408741</v>
      </c>
      <c r="L3248" s="16">
        <f>L3247/(Inputs!$D$7+$D$3254)^L3228</f>
        <v>8598.5536757975115</v>
      </c>
      <c r="M3248" s="16">
        <f>M3247/(Inputs!$D$7+$D$3254)^M3228</f>
        <v>812.8119841564768</v>
      </c>
    </row>
    <row r="3249" spans="2:13" ht="15" customHeight="1" x14ac:dyDescent="0.2">
      <c r="B3249" s="3" t="s">
        <v>910</v>
      </c>
      <c r="C3249" s="10" t="s">
        <v>896</v>
      </c>
      <c r="D3249" s="28">
        <f>(D3235*$D$3253-D3239)/(Inputs!$D$7+$D$3254)^D3228</f>
        <v>74.490519309095831</v>
      </c>
      <c r="E3249" s="28">
        <f>(E3235*$D$3253-E3239)/(Inputs!$D$7+$D$3254)^E3228</f>
        <v>346.09451503846662</v>
      </c>
      <c r="F3249" s="28">
        <f>(F3235*$D$3253-F3239)/(Inputs!$D$7+$D$3254)^F3228</f>
        <v>601.79110266312398</v>
      </c>
      <c r="G3249" s="28">
        <f>(G3235*$D$3253-G3239)/(Inputs!$D$7+$D$3254)^G3228</f>
        <v>702.83446516544734</v>
      </c>
      <c r="H3249" s="28">
        <f>(H3235*$D$3253-H3239)/(Inputs!$D$7+$D$3254)^H3228</f>
        <v>674.43286946611579</v>
      </c>
      <c r="I3249" s="28">
        <f>(I3235*$D$3253-I3239)/(Inputs!$D$7+$D$3254)^I3228</f>
        <v>596.69348218898278</v>
      </c>
      <c r="J3249" s="28">
        <f>(J3235*$D$3253-J3239)/(Inputs!$D$7+$D$3254)^J3228</f>
        <v>528.09150417844353</v>
      </c>
      <c r="K3249" s="28">
        <f>(K3235*$D$3253-K3239)/(Inputs!$D$7+$D$3254)^K3228</f>
        <v>467.37671033772904</v>
      </c>
      <c r="L3249" s="28">
        <f>(L3235*$D$3253-L3239)/(Inputs!$D$7+$D$3254)^L3228</f>
        <v>413.64230940610946</v>
      </c>
      <c r="M3249" s="28">
        <f>(M3235*$D$3253-M3239)/(Inputs!$D$7+$D$3254)^M3228</f>
        <v>365.96328731072373</v>
      </c>
    </row>
    <row r="3250" spans="2:13" ht="15" customHeight="1" x14ac:dyDescent="0.2">
      <c r="B3250" s="10" t="s">
        <v>911</v>
      </c>
      <c r="C3250" s="10" t="s">
        <v>110</v>
      </c>
      <c r="D3250" s="16">
        <f>(-D3237-D3238)/(Inputs!$D$7+$D$3254)^D3228</f>
        <v>-12808.928289029636</v>
      </c>
      <c r="E3250" s="16">
        <f>(-E3237-E3238)/(Inputs!$D$7+$D$3254)^E3228</f>
        <v>-30219.974420642928</v>
      </c>
      <c r="F3250" s="16">
        <f>(-F3237-F3238)/(Inputs!$D$7+$D$3254)^F3228</f>
        <v>-20059.183095337907</v>
      </c>
      <c r="G3250" s="16">
        <f>(-G3237-G3238)/(Inputs!$D$7+$D$3254)^G3228</f>
        <v>-10551.720115889953</v>
      </c>
      <c r="H3250" s="16">
        <f>(-H3237-H3238)/(Inputs!$D$7+$D$3254)^H3228</f>
        <v>-7513.0713511684744</v>
      </c>
      <c r="I3250" s="16">
        <f>(-I3237-I3238)/(Inputs!$D$7+$D$3254)^I3228</f>
        <v>-17725.512933602091</v>
      </c>
      <c r="J3250" s="16">
        <f>(-J3237-J3238)/(Inputs!$D$7+$D$3254)^J3228</f>
        <v>-11765.705173827875</v>
      </c>
      <c r="K3250" s="16">
        <f>(-K3237-K3238)/(Inputs!$D$7+$D$3254)^K3228</f>
        <v>-6233.95144943378</v>
      </c>
      <c r="L3250" s="16">
        <f>(-L3237-L3238)/(Inputs!$D$7+$D$3254)^L3228</f>
        <v>-4607.9073620630261</v>
      </c>
      <c r="M3250" s="16">
        <f>(-M3237-M3238)/(Inputs!$D$7+$D$3254)^M3228</f>
        <v>-10871.389039901173</v>
      </c>
    </row>
    <row r="3251" spans="2:13" ht="15" customHeight="1" x14ac:dyDescent="0.2">
      <c r="B3251" s="10" t="s">
        <v>912</v>
      </c>
      <c r="C3251" s="10" t="s">
        <v>110</v>
      </c>
      <c r="D3251" s="16">
        <f>Prices!K17</f>
        <v>57887.949562974638</v>
      </c>
    </row>
    <row r="3252" spans="2:13" ht="15" customHeight="1" x14ac:dyDescent="0.2">
      <c r="B3252" s="3" t="s">
        <v>913</v>
      </c>
      <c r="C3252" s="10" t="s">
        <v>914</v>
      </c>
      <c r="D3252" s="28">
        <f>IF(J3259&gt;=J3255,J3259,(D3251-J3258)/J3257)</f>
        <v>37.343015156853461</v>
      </c>
      <c r="G3252" s="99" t="s">
        <v>915</v>
      </c>
      <c r="H3252" s="91"/>
      <c r="I3252" s="91"/>
      <c r="J3252" s="28">
        <f>D3252*Inputs!$D$15</f>
        <v>26.06169027796803</v>
      </c>
      <c r="K3252" s="99" t="s">
        <v>916</v>
      </c>
      <c r="L3252" s="91"/>
      <c r="M3252" s="91"/>
    </row>
    <row r="3253" spans="2:13" ht="15" customHeight="1" x14ac:dyDescent="0.2">
      <c r="B3253" s="10" t="s">
        <v>917</v>
      </c>
      <c r="C3253" s="10" t="s">
        <v>104</v>
      </c>
      <c r="D3253" s="30">
        <f>Inputs!$D$94</f>
        <v>0.75</v>
      </c>
      <c r="G3253" s="99" t="s">
        <v>918</v>
      </c>
      <c r="H3253" s="91"/>
      <c r="I3253" s="91"/>
      <c r="J3253" s="28">
        <f>IF(-D3264/D3263&gt;=J3255,-D3264/D3263,-J3258/J3257)</f>
        <v>27.411702074287536</v>
      </c>
      <c r="K3253" s="99" t="s">
        <v>919</v>
      </c>
      <c r="L3253" s="91"/>
      <c r="M3253" s="91"/>
    </row>
    <row r="3254" spans="2:13" ht="15" customHeight="1" x14ac:dyDescent="0.2">
      <c r="B3254" s="10" t="s">
        <v>920</v>
      </c>
      <c r="C3254" s="10" t="s">
        <v>104</v>
      </c>
      <c r="D3254" s="30">
        <f>Inputs!$D$95</f>
        <v>0.13</v>
      </c>
      <c r="G3254" s="99" t="s">
        <v>918</v>
      </c>
      <c r="H3254" s="91"/>
      <c r="I3254" s="91"/>
      <c r="J3254" s="28">
        <f>J3253*Inputs!$D$15</f>
        <v>19.13062687764527</v>
      </c>
      <c r="K3254" s="99" t="s">
        <v>916</v>
      </c>
      <c r="L3254" s="91"/>
      <c r="M3254" s="91"/>
    </row>
    <row r="3255" spans="2:13" ht="15" customHeight="1" x14ac:dyDescent="0.2">
      <c r="B3255" s="3" t="s">
        <v>921</v>
      </c>
      <c r="C3255" s="10" t="s">
        <v>848</v>
      </c>
      <c r="D3255" s="28">
        <f>Capital!$D$13</f>
        <v>57.347931490590682</v>
      </c>
      <c r="G3255" s="99" t="s">
        <v>922</v>
      </c>
      <c r="H3255" s="91"/>
      <c r="I3255" s="91"/>
      <c r="J3255" s="28">
        <f>($D$3255/Inputs!$D$21+$D$3256/Inputs!$D$22)/$D$3253</f>
        <v>19.290461530476374</v>
      </c>
      <c r="K3255" s="99" t="s">
        <v>919</v>
      </c>
      <c r="L3255" s="91"/>
      <c r="M3255" s="91"/>
    </row>
    <row r="3256" spans="2:13" ht="15" customHeight="1" x14ac:dyDescent="0.2">
      <c r="B3256" s="3" t="s">
        <v>923</v>
      </c>
      <c r="C3256" s="10" t="s">
        <v>848</v>
      </c>
      <c r="D3256" s="28">
        <f>Capital!$D$14</f>
        <v>2.6172655041921802</v>
      </c>
    </row>
    <row r="3257" spans="2:13" ht="15" customHeight="1" x14ac:dyDescent="0.2">
      <c r="B3257" s="10" t="s">
        <v>924</v>
      </c>
      <c r="C3257" s="10" t="s">
        <v>896</v>
      </c>
      <c r="D3257" s="28">
        <f>(M3230*(Inputs!$D$7+Inputs!$D$20)*$D$3253*(Inputs!$D$7-Inputs!$D$19)-M3230*Inputs!$D$20*Inputs!$D$23)/($D$3254-Inputs!$D$20)/(Inputs!$D$7+$D$3254)^M3228</f>
        <v>2497.8446594223992</v>
      </c>
      <c r="G3257" s="92" t="s">
        <v>910</v>
      </c>
      <c r="H3257" s="91"/>
      <c r="I3257" s="91"/>
      <c r="J3257" s="28">
        <f>SUM(D3249:M3249)+(M3230*(Inputs!$D$7+Inputs!$D$20)*$D$3253-M3230*Inputs!$D$20*Inputs!$D$23)/($D$3254-Inputs!$D$20)/(Inputs!$D$7+$D$3254)^M3228</f>
        <v>8341.0050516109004</v>
      </c>
      <c r="K3257" s="99" t="s">
        <v>896</v>
      </c>
      <c r="L3257" s="91"/>
      <c r="M3257" s="91"/>
    </row>
    <row r="3258" spans="2:13" ht="15" customHeight="1" x14ac:dyDescent="0.2">
      <c r="B3258" s="10" t="s">
        <v>925</v>
      </c>
      <c r="C3258" s="10" t="s">
        <v>110</v>
      </c>
      <c r="D3258" s="16">
        <f>(D3261*Inputs!$D$19-D3261-D3262)/($D$3254-Inputs!$D$20)/(Inputs!$D$7+$D$3254)^M3228</f>
        <v>-55207.290798783099</v>
      </c>
      <c r="G3258" s="92" t="s">
        <v>926</v>
      </c>
      <c r="H3258" s="91"/>
      <c r="I3258" s="91"/>
      <c r="J3258" s="16">
        <f>SUM(D3250:M3250)-(D3261+D3262)/($D$3254-Inputs!$D$20)/(Inputs!$D$7+$D$3254)^M3228</f>
        <v>-208239.17898202292</v>
      </c>
      <c r="K3258" s="99" t="s">
        <v>110</v>
      </c>
      <c r="L3258" s="91"/>
      <c r="M3258" s="91"/>
    </row>
    <row r="3259" spans="2:13" ht="15" customHeight="1" x14ac:dyDescent="0.2">
      <c r="B3259" s="10" t="s">
        <v>927</v>
      </c>
      <c r="C3259" s="10" t="s">
        <v>928</v>
      </c>
      <c r="D3259" s="16">
        <f>(M3230*(Inputs!$D$7+Inputs!$D$20)*$D$3252*$D$3253-D3261)-MAX((M3230*(Inputs!$D$7+Inputs!$D$20)*$D$3252*$D$3253-D3261),Inputs!$D$6)*Inputs!$D$19-D3262-M3230*Inputs!$D$20*$D$3252*Inputs!$D$23</f>
        <v>13107.297777362503</v>
      </c>
      <c r="G3259" s="99" t="s">
        <v>929</v>
      </c>
      <c r="H3259" s="91"/>
      <c r="I3259" s="91"/>
      <c r="J3259" s="28">
        <f>(D3251-D3264)/D3263</f>
        <v>37.343015156853461</v>
      </c>
      <c r="K3259" s="99" t="s">
        <v>919</v>
      </c>
      <c r="L3259" s="91"/>
      <c r="M3259" s="91"/>
    </row>
    <row r="3260" spans="2:13" ht="15" customHeight="1" x14ac:dyDescent="0.2">
      <c r="B3260" s="10" t="s">
        <v>930</v>
      </c>
      <c r="C3260" s="10" t="s">
        <v>110</v>
      </c>
      <c r="D3260" s="16">
        <f>D3259/($D$3254-Inputs!$D$20)</f>
        <v>124831.40740345239</v>
      </c>
      <c r="G3260" s="99" t="s">
        <v>931</v>
      </c>
      <c r="H3260" s="91"/>
      <c r="I3260" s="91"/>
      <c r="J3260" s="16">
        <f>MIN(D3244:M3244,(M3230*(Inputs!$D$7+Inputs!$D$20)*$D$3252*$D$3253-D3261))</f>
        <v>1572.6684117115858</v>
      </c>
      <c r="K3260" s="99" t="s">
        <v>110</v>
      </c>
      <c r="L3260" s="91"/>
      <c r="M3260" s="91"/>
    </row>
    <row r="3261" spans="2:13" ht="15" customHeight="1" x14ac:dyDescent="0.2">
      <c r="B3261" s="10" t="s">
        <v>932</v>
      </c>
      <c r="C3261" s="10" t="s">
        <v>928</v>
      </c>
      <c r="D3261" s="16">
        <f>M3230*(Inputs!$D$7+Inputs!$D$20)*($D$3255/Inputs!$D$21+$D$3256/Inputs!$D$22)</f>
        <v>23727.267682485937</v>
      </c>
      <c r="G3261" s="99" t="s">
        <v>933</v>
      </c>
      <c r="H3261" s="91"/>
      <c r="I3261" s="91"/>
      <c r="J3261" s="31" t="str">
        <f>IF(J3260&lt;Inputs!$D$6,"breached","satisfied")</f>
        <v>satisfied</v>
      </c>
      <c r="K3261" s="99" t="s">
        <v>934</v>
      </c>
      <c r="L3261" s="91"/>
      <c r="M3261" s="91"/>
    </row>
    <row r="3262" spans="2:13" ht="15" customHeight="1" x14ac:dyDescent="0.2">
      <c r="B3262" s="10" t="s">
        <v>935</v>
      </c>
      <c r="C3262" s="10" t="s">
        <v>928</v>
      </c>
      <c r="D3262" s="16">
        <f>M3230*Inputs!$D$20*($D$3255+$D$3256)</f>
        <v>2398.6078797913146</v>
      </c>
    </row>
    <row r="3263" spans="2:13" ht="15" customHeight="1" x14ac:dyDescent="0.2">
      <c r="B3263" s="10" t="s">
        <v>936</v>
      </c>
      <c r="C3263" s="10" t="s">
        <v>896</v>
      </c>
      <c r="D3263" s="28">
        <f>SUM(D3240:M3240)+D3257</f>
        <v>5828.8314024250149</v>
      </c>
      <c r="G3263" s="99" t="s">
        <v>937</v>
      </c>
      <c r="H3263" s="91"/>
      <c r="I3263" s="91"/>
      <c r="J3263" s="16">
        <f>D3265-D3251</f>
        <v>0</v>
      </c>
      <c r="K3263" s="99" t="s">
        <v>110</v>
      </c>
      <c r="L3263" s="91"/>
      <c r="M3263" s="91"/>
    </row>
    <row r="3264" spans="2:13" ht="15" customHeight="1" x14ac:dyDescent="0.2">
      <c r="B3264" s="10" t="s">
        <v>938</v>
      </c>
      <c r="C3264" s="10" t="s">
        <v>110</v>
      </c>
      <c r="D3264" s="16">
        <f>SUM(D3241:M3241)+D3258</f>
        <v>-159778.18984452612</v>
      </c>
    </row>
    <row r="3265" spans="1:13" ht="15" customHeight="1" x14ac:dyDescent="0.2">
      <c r="B3265" s="10" t="s">
        <v>939</v>
      </c>
      <c r="C3265" s="10" t="s">
        <v>110</v>
      </c>
      <c r="D3265" s="16">
        <f>SUM(D3248:M3248)+D3260/(Inputs!$D$7+$D$3254)^M3228</f>
        <v>57887.949562974587</v>
      </c>
    </row>
    <row r="3266" spans="1:13" ht="15" customHeight="1" x14ac:dyDescent="0.2">
      <c r="B3266" s="10" t="s">
        <v>940</v>
      </c>
      <c r="C3266" s="10" t="s">
        <v>104</v>
      </c>
      <c r="D3266" s="30">
        <f>IF(ABS(D3251)&gt;Inputs!$D$6,D3265/D3251-Inputs!$D$7,Inputs!$D$6)</f>
        <v>-8.8817841970012523E-16</v>
      </c>
    </row>
    <row r="3267" spans="1:13" ht="15" customHeight="1" x14ac:dyDescent="0.2">
      <c r="B3267" s="10" t="s">
        <v>941</v>
      </c>
      <c r="C3267" s="10" t="s">
        <v>104</v>
      </c>
      <c r="D3267" s="30">
        <f>IF(ABS(D3265)&gt;Inputs!$D$119,D3260/(Inputs!$D$7+$D$3254)^M3228/D3265,Inputs!$D$6)</f>
        <v>0.65764568385822819</v>
      </c>
    </row>
    <row r="3268" spans="1:13" ht="15" customHeight="1" x14ac:dyDescent="0.2">
      <c r="B3268" s="10" t="s">
        <v>942</v>
      </c>
      <c r="C3268" s="10" t="s">
        <v>943</v>
      </c>
      <c r="D3268" s="26">
        <f>$D$3252*Inputs!$D$8/Prices!$P$6/(Inputs!$D$26/Inputs!$D$25)/Inputs!$D$11/Inputs!$D$56</f>
        <v>6.7909407365163874</v>
      </c>
    </row>
    <row r="3272" spans="1:13" ht="15" customHeight="1" x14ac:dyDescent="0.2">
      <c r="A3272" s="104" t="s">
        <v>1014</v>
      </c>
      <c r="B3272" s="10" t="s">
        <v>886</v>
      </c>
      <c r="C3272" s="10" t="s">
        <v>107</v>
      </c>
      <c r="D3272" s="28">
        <f>Inputs!$D$60</f>
        <v>1</v>
      </c>
      <c r="E3272" s="28">
        <f>Inputs!$D$62</f>
        <v>2</v>
      </c>
      <c r="F3272" s="28">
        <f>Inputs!$D$64</f>
        <v>3</v>
      </c>
      <c r="G3272" s="28">
        <f>Inputs!$D$66</f>
        <v>4</v>
      </c>
      <c r="H3272" s="28">
        <f>Inputs!$D$68</f>
        <v>5</v>
      </c>
      <c r="I3272" s="28">
        <f>Inputs!$D$70</f>
        <v>6</v>
      </c>
      <c r="J3272" s="28">
        <f>Inputs!$D$72</f>
        <v>7</v>
      </c>
      <c r="K3272" s="28">
        <f>Inputs!$D$74</f>
        <v>8</v>
      </c>
      <c r="L3272" s="28">
        <f>Inputs!$D$76</f>
        <v>9</v>
      </c>
      <c r="M3272" s="28">
        <f>Inputs!$D$78</f>
        <v>10</v>
      </c>
    </row>
    <row r="3273" spans="1:13" ht="15" customHeight="1" x14ac:dyDescent="0.2">
      <c r="A3273" s="91"/>
      <c r="B3273" s="10" t="s">
        <v>887</v>
      </c>
      <c r="C3273" s="10" t="s">
        <v>161</v>
      </c>
      <c r="D3273" s="29">
        <f>Inputs!$D$61</f>
        <v>46568</v>
      </c>
      <c r="E3273" s="29">
        <f>Inputs!$D$63</f>
        <v>46934</v>
      </c>
      <c r="F3273" s="29">
        <f>Inputs!$D$65</f>
        <v>47299</v>
      </c>
      <c r="G3273" s="29">
        <f>Inputs!$D$67</f>
        <v>47664</v>
      </c>
      <c r="H3273" s="29">
        <f>Inputs!$D$69</f>
        <v>48029</v>
      </c>
      <c r="I3273" s="29">
        <f>Inputs!$D$71</f>
        <v>48395</v>
      </c>
      <c r="J3273" s="29">
        <f>Inputs!$D$73</f>
        <v>48760</v>
      </c>
      <c r="K3273" s="29">
        <f>Inputs!$D$75</f>
        <v>49125</v>
      </c>
      <c r="L3273" s="29">
        <f>Inputs!$D$77</f>
        <v>49490</v>
      </c>
      <c r="M3273" s="29">
        <f>Inputs!$D$79</f>
        <v>49856</v>
      </c>
    </row>
    <row r="3274" spans="1:13" ht="15" customHeight="1" x14ac:dyDescent="0.2">
      <c r="A3274" s="91"/>
      <c r="B3274" s="10" t="s">
        <v>888</v>
      </c>
      <c r="C3274" s="10" t="s">
        <v>107</v>
      </c>
      <c r="D3274" s="28">
        <f>(D3273-Inputs!$D$13)/Inputs!$D$10</f>
        <v>0.71457905544147848</v>
      </c>
      <c r="E3274" s="28">
        <f>(E3273-Inputs!$D$13)/Inputs!$D$10</f>
        <v>1.7166324435318274</v>
      </c>
      <c r="F3274" s="28">
        <f>(F3273-Inputs!$D$13)/Inputs!$D$10</f>
        <v>2.7159479808350446</v>
      </c>
      <c r="G3274" s="28">
        <f>(G3273-Inputs!$D$13)/Inputs!$D$10</f>
        <v>3.7152635181382614</v>
      </c>
      <c r="H3274" s="28">
        <f>(H3273-Inputs!$D$13)/Inputs!$D$10</f>
        <v>4.7145790554414786</v>
      </c>
      <c r="I3274" s="28">
        <f>(I3273-Inputs!$D$13)/Inputs!$D$10</f>
        <v>5.7166324435318279</v>
      </c>
      <c r="J3274" s="28">
        <f>(J3273-Inputs!$D$13)/Inputs!$D$10</f>
        <v>6.7159479808350442</v>
      </c>
      <c r="K3274" s="28">
        <f>(K3273-Inputs!$D$13)/Inputs!$D$10</f>
        <v>7.7152635181382614</v>
      </c>
      <c r="L3274" s="28">
        <f>(L3273-Inputs!$D$13)/Inputs!$D$10</f>
        <v>8.7145790554414777</v>
      </c>
      <c r="M3274" s="28">
        <f>(M3273-Inputs!$D$13)/Inputs!$D$10</f>
        <v>9.716632443531827</v>
      </c>
    </row>
    <row r="3275" spans="1:13" ht="15" customHeight="1" x14ac:dyDescent="0.2">
      <c r="A3275" s="91"/>
      <c r="B3275" s="10" t="s">
        <v>889</v>
      </c>
      <c r="C3275" s="10" t="s">
        <v>107</v>
      </c>
      <c r="D3275" s="28">
        <f>D3274</f>
        <v>0.71457905544147848</v>
      </c>
      <c r="E3275" s="28">
        <f>Inputs!$D$7</f>
        <v>1</v>
      </c>
      <c r="F3275" s="28">
        <f>Inputs!$D$7</f>
        <v>1</v>
      </c>
      <c r="G3275" s="28">
        <f>Inputs!$D$7</f>
        <v>1</v>
      </c>
      <c r="H3275" s="28">
        <f>Inputs!$D$7</f>
        <v>1</v>
      </c>
      <c r="I3275" s="28">
        <f>Inputs!$D$7</f>
        <v>1</v>
      </c>
      <c r="J3275" s="28">
        <f>Inputs!$D$7</f>
        <v>1</v>
      </c>
      <c r="K3275" s="28">
        <f>Inputs!$D$7</f>
        <v>1</v>
      </c>
      <c r="L3275" s="28">
        <f>Inputs!$D$7</f>
        <v>1</v>
      </c>
      <c r="M3275" s="28">
        <f>Inputs!$D$7</f>
        <v>1</v>
      </c>
    </row>
    <row r="3276" spans="1:13" ht="15" customHeight="1" x14ac:dyDescent="0.2">
      <c r="A3276" s="91"/>
      <c r="B3276" s="3" t="s">
        <v>890</v>
      </c>
      <c r="C3276" s="10" t="s">
        <v>199</v>
      </c>
      <c r="D3276" s="28">
        <f>Inputs!$D$24+(Inputs!$D$106-Inputs!$D$24)*Inputs!$D$109</f>
        <v>170.32</v>
      </c>
      <c r="E3276" s="28">
        <f>Inputs!$D$24+(Inputs!$D$106-Inputs!$D$24)*Inputs!$D$110</f>
        <v>481.12000000000006</v>
      </c>
      <c r="F3276" s="28">
        <f>Inputs!$D$24+(Inputs!$D$106-Inputs!$D$24)*Inputs!$D$111</f>
        <v>823</v>
      </c>
      <c r="G3276" s="28">
        <f>Inputs!$D$24+(Inputs!$D$106-Inputs!$D$24)*Inputs!$D$112</f>
        <v>1211.5</v>
      </c>
      <c r="H3276" s="28">
        <f>Inputs!$D$24+(Inputs!$D$106-Inputs!$D$24)*Inputs!$D$113</f>
        <v>1600</v>
      </c>
      <c r="I3276" s="28">
        <f>Inputs!$D$24+(Inputs!$D$106-Inputs!$D$24)*Inputs!$D$114</f>
        <v>1600</v>
      </c>
      <c r="J3276" s="28">
        <f>Inputs!$D$24+(Inputs!$D$106-Inputs!$D$24)*Inputs!$D$115</f>
        <v>1600</v>
      </c>
      <c r="K3276" s="28">
        <f>Inputs!$D$24+(Inputs!$D$106-Inputs!$D$24)*Inputs!$D$116</f>
        <v>1600</v>
      </c>
      <c r="L3276" s="28">
        <f>Inputs!$D$24+(Inputs!$D$106-Inputs!$D$24)*Inputs!$D$117</f>
        <v>1600</v>
      </c>
      <c r="M3276" s="28">
        <f>Inputs!$D$24+(Inputs!$D$106-Inputs!$D$24)*Inputs!$D$118</f>
        <v>1600</v>
      </c>
    </row>
    <row r="3277" spans="1:13" ht="15" customHeight="1" x14ac:dyDescent="0.2">
      <c r="A3277" s="91"/>
      <c r="B3277" s="10" t="s">
        <v>891</v>
      </c>
      <c r="C3277" s="10" t="s">
        <v>199</v>
      </c>
      <c r="D3277" s="28">
        <f>Inputs!$D$24</f>
        <v>46</v>
      </c>
      <c r="E3277" s="28">
        <f t="shared" ref="E3277:M3277" si="710">D3276</f>
        <v>170.32</v>
      </c>
      <c r="F3277" s="28">
        <f t="shared" si="710"/>
        <v>481.12000000000006</v>
      </c>
      <c r="G3277" s="28">
        <f t="shared" si="710"/>
        <v>823</v>
      </c>
      <c r="H3277" s="28">
        <f t="shared" si="710"/>
        <v>1211.5</v>
      </c>
      <c r="I3277" s="28">
        <f t="shared" si="710"/>
        <v>1600</v>
      </c>
      <c r="J3277" s="28">
        <f t="shared" si="710"/>
        <v>1600</v>
      </c>
      <c r="K3277" s="28">
        <f t="shared" si="710"/>
        <v>1600</v>
      </c>
      <c r="L3277" s="28">
        <f t="shared" si="710"/>
        <v>1600</v>
      </c>
      <c r="M3277" s="28">
        <f t="shared" si="710"/>
        <v>1600</v>
      </c>
    </row>
    <row r="3278" spans="1:13" ht="15" customHeight="1" x14ac:dyDescent="0.2">
      <c r="B3278" s="10" t="s">
        <v>892</v>
      </c>
      <c r="C3278" s="10" t="s">
        <v>199</v>
      </c>
      <c r="D3278" s="28">
        <f>(D3277+D3276)*Inputs!$D$12</f>
        <v>108.16</v>
      </c>
      <c r="E3278" s="28">
        <f>(E3277+E3276)*Inputs!$D$12</f>
        <v>325.72000000000003</v>
      </c>
      <c r="F3278" s="28">
        <f>(F3277+F3276)*Inputs!$D$12</f>
        <v>652.06000000000006</v>
      </c>
      <c r="G3278" s="28">
        <f>(G3277+G3276)*Inputs!$D$12</f>
        <v>1017.25</v>
      </c>
      <c r="H3278" s="28">
        <f>(H3277+H3276)*Inputs!$D$12</f>
        <v>1405.75</v>
      </c>
      <c r="I3278" s="28">
        <f>(I3277+I3276)*Inputs!$D$12</f>
        <v>1600</v>
      </c>
      <c r="J3278" s="28">
        <f>(J3277+J3276)*Inputs!$D$12</f>
        <v>1600</v>
      </c>
      <c r="K3278" s="28">
        <f>(K3277+K3276)*Inputs!$D$12</f>
        <v>1600</v>
      </c>
      <c r="L3278" s="28">
        <f>(L3277+L3276)*Inputs!$D$12</f>
        <v>1600</v>
      </c>
      <c r="M3278" s="28">
        <f>(M3277+M3276)*Inputs!$D$12</f>
        <v>1600</v>
      </c>
    </row>
    <row r="3279" spans="1:13" ht="15" customHeight="1" x14ac:dyDescent="0.2">
      <c r="B3279" s="10" t="s">
        <v>893</v>
      </c>
      <c r="C3279" s="10" t="s">
        <v>199</v>
      </c>
      <c r="D3279" s="28">
        <f t="shared" ref="D3279:M3279" si="711">D3276-D3277</f>
        <v>124.32</v>
      </c>
      <c r="E3279" s="28">
        <f t="shared" si="711"/>
        <v>310.80000000000007</v>
      </c>
      <c r="F3279" s="28">
        <f t="shared" si="711"/>
        <v>341.87999999999994</v>
      </c>
      <c r="G3279" s="28">
        <f t="shared" si="711"/>
        <v>388.5</v>
      </c>
      <c r="H3279" s="28">
        <f t="shared" si="711"/>
        <v>388.5</v>
      </c>
      <c r="I3279" s="28">
        <f t="shared" si="711"/>
        <v>0</v>
      </c>
      <c r="J3279" s="28">
        <f t="shared" si="711"/>
        <v>0</v>
      </c>
      <c r="K3279" s="28">
        <f t="shared" si="711"/>
        <v>0</v>
      </c>
      <c r="L3279" s="28">
        <f t="shared" si="711"/>
        <v>0</v>
      </c>
      <c r="M3279" s="28">
        <f t="shared" si="711"/>
        <v>0</v>
      </c>
    </row>
    <row r="3280" spans="1:13" ht="15" customHeight="1" x14ac:dyDescent="0.2">
      <c r="B3280" s="10" t="s">
        <v>894</v>
      </c>
      <c r="C3280" s="10" t="s">
        <v>199</v>
      </c>
      <c r="D3280" s="28">
        <f>IF(MOD(D3272,Inputs!$D$21)=Inputs!$D$6,Inputs!$D$24,Inputs!$D$6)+SUMPRODUCT(--(D3272&gt;$D$3272:$M$3272),--(MOD(D3272-$D$3272:$M$3272,Inputs!$D$21)=Inputs!$D$6),$D$3279:$M$3279)</f>
        <v>0</v>
      </c>
      <c r="E3280" s="28">
        <f>IF(MOD(E3272,Inputs!$D$21)=Inputs!$D$6,Inputs!$D$24,Inputs!$D$6)+SUMPRODUCT(--(E3272&gt;$D$3272:$M$3272),--(MOD(E3272-$D$3272:$M$3272,Inputs!$D$21)=Inputs!$D$6),$D$3279:$M$3279)</f>
        <v>0</v>
      </c>
      <c r="F3280" s="28">
        <f>IF(MOD(F3272,Inputs!$D$21)=Inputs!$D$6,Inputs!$D$24,Inputs!$D$6)+SUMPRODUCT(--(F3272&gt;$D$3272:$M$3272),--(MOD(F3272-$D$3272:$M$3272,Inputs!$D$21)=Inputs!$D$6),$D$3279:$M$3279)</f>
        <v>0</v>
      </c>
      <c r="G3280" s="28">
        <f>IF(MOD(G3272,Inputs!$D$21)=Inputs!$D$6,Inputs!$D$24,Inputs!$D$6)+SUMPRODUCT(--(G3272&gt;$D$3272:$M$3272),--(MOD(G3272-$D$3272:$M$3272,Inputs!$D$21)=Inputs!$D$6),$D$3279:$M$3279)</f>
        <v>46</v>
      </c>
      <c r="H3280" s="28">
        <f>IF(MOD(H3272,Inputs!$D$21)=Inputs!$D$6,Inputs!$D$24,Inputs!$D$6)+SUMPRODUCT(--(H3272&gt;$D$3272:$M$3272),--(MOD(H3272-$D$3272:$M$3272,Inputs!$D$21)=Inputs!$D$6),$D$3279:$M$3279)</f>
        <v>124.32</v>
      </c>
      <c r="I3280" s="28">
        <f>IF(MOD(I3272,Inputs!$D$21)=Inputs!$D$6,Inputs!$D$24,Inputs!$D$6)+SUMPRODUCT(--(I3272&gt;$D$3272:$M$3272),--(MOD(I3272-$D$3272:$M$3272,Inputs!$D$21)=Inputs!$D$6),$D$3279:$M$3279)</f>
        <v>310.80000000000007</v>
      </c>
      <c r="J3280" s="28">
        <f>IF(MOD(J3272,Inputs!$D$21)=Inputs!$D$6,Inputs!$D$24,Inputs!$D$6)+SUMPRODUCT(--(J3272&gt;$D$3272:$M$3272),--(MOD(J3272-$D$3272:$M$3272,Inputs!$D$21)=Inputs!$D$6),$D$3279:$M$3279)</f>
        <v>341.87999999999994</v>
      </c>
      <c r="K3280" s="28">
        <f>IF(MOD(K3272,Inputs!$D$21)=Inputs!$D$6,Inputs!$D$24,Inputs!$D$6)+SUMPRODUCT(--(K3272&gt;$D$3272:$M$3272),--(MOD(K3272-$D$3272:$M$3272,Inputs!$D$21)=Inputs!$D$6),$D$3279:$M$3279)</f>
        <v>434.5</v>
      </c>
      <c r="L3280" s="28">
        <f>IF(MOD(L3272,Inputs!$D$21)=Inputs!$D$6,Inputs!$D$24,Inputs!$D$6)+SUMPRODUCT(--(L3272&gt;$D$3272:$M$3272),--(MOD(L3272-$D$3272:$M$3272,Inputs!$D$21)=Inputs!$D$6),$D$3279:$M$3279)</f>
        <v>512.81999999999994</v>
      </c>
      <c r="M3280" s="28">
        <f>IF(MOD(M3272,Inputs!$D$21)=Inputs!$D$6,Inputs!$D$24,Inputs!$D$6)+SUMPRODUCT(--(M3272&gt;$D$3272:$M$3272),--(MOD(M3272-$D$3272:$M$3272,Inputs!$D$21)=Inputs!$D$6),$D$3279:$M$3279)</f>
        <v>310.80000000000007</v>
      </c>
    </row>
    <row r="3281" spans="2:13" ht="15" customHeight="1" x14ac:dyDescent="0.2">
      <c r="B3281" s="10" t="s">
        <v>895</v>
      </c>
      <c r="C3281" s="10" t="s">
        <v>896</v>
      </c>
      <c r="D3281" s="28">
        <f t="shared" ref="D3281:M3281" si="712">D3278*D3275</f>
        <v>77.288870636550314</v>
      </c>
      <c r="E3281" s="28">
        <f t="shared" si="712"/>
        <v>325.72000000000003</v>
      </c>
      <c r="F3281" s="28">
        <f t="shared" si="712"/>
        <v>652.06000000000006</v>
      </c>
      <c r="G3281" s="28">
        <f t="shared" si="712"/>
        <v>1017.25</v>
      </c>
      <c r="H3281" s="28">
        <f t="shared" si="712"/>
        <v>1405.75</v>
      </c>
      <c r="I3281" s="28">
        <f t="shared" si="712"/>
        <v>1600</v>
      </c>
      <c r="J3281" s="28">
        <f t="shared" si="712"/>
        <v>1600</v>
      </c>
      <c r="K3281" s="28">
        <f t="shared" si="712"/>
        <v>1600</v>
      </c>
      <c r="L3281" s="28">
        <f t="shared" si="712"/>
        <v>1600</v>
      </c>
      <c r="M3281" s="28">
        <f t="shared" si="712"/>
        <v>1600</v>
      </c>
    </row>
    <row r="3282" spans="2:13" ht="15" customHeight="1" x14ac:dyDescent="0.2">
      <c r="B3282" s="10" t="s">
        <v>897</v>
      </c>
      <c r="C3282" s="10" t="s">
        <v>110</v>
      </c>
      <c r="D3282" s="16">
        <f>D3281*($D$3301/Inputs!$D$21+$D$3302/Inputs!$D$22)</f>
        <v>1118.2034893112541</v>
      </c>
      <c r="E3282" s="16">
        <f>E3281*($D$3301/Inputs!$D$21+$D$3302/Inputs!$D$22)</f>
        <v>4712.466847280074</v>
      </c>
      <c r="F3282" s="16">
        <f>F3281*($D$3301/Inputs!$D$21+$D$3302/Inputs!$D$22)</f>
        <v>9433.9037591718188</v>
      </c>
      <c r="G3282" s="16">
        <f>G3281*($D$3301/Inputs!$D$21+$D$3302/Inputs!$D$22)</f>
        <v>14717.416493907818</v>
      </c>
      <c r="H3282" s="16">
        <f>H3281*($D$3301/Inputs!$D$21+$D$3302/Inputs!$D$22)</f>
        <v>20338.17472235037</v>
      </c>
      <c r="I3282" s="16">
        <f>I3281*($D$3301/Inputs!$D$21+$D$3302/Inputs!$D$22)</f>
        <v>23148.553836571649</v>
      </c>
      <c r="J3282" s="16">
        <f>J3281*($D$3301/Inputs!$D$21+$D$3302/Inputs!$D$22)</f>
        <v>23148.553836571649</v>
      </c>
      <c r="K3282" s="16">
        <f>K3281*($D$3301/Inputs!$D$21+$D$3302/Inputs!$D$22)</f>
        <v>23148.553836571649</v>
      </c>
      <c r="L3282" s="16">
        <f>L3281*($D$3301/Inputs!$D$21+$D$3302/Inputs!$D$22)</f>
        <v>23148.553836571649</v>
      </c>
      <c r="M3282" s="16">
        <f>M3281*($D$3301/Inputs!$D$21+$D$3302/Inputs!$D$22)</f>
        <v>23148.553836571649</v>
      </c>
    </row>
    <row r="3283" spans="2:13" ht="15" customHeight="1" x14ac:dyDescent="0.2">
      <c r="B3283" s="10" t="s">
        <v>898</v>
      </c>
      <c r="C3283" s="10" t="s">
        <v>110</v>
      </c>
      <c r="D3283" s="16">
        <f t="shared" ref="D3283:M3283" si="713">D3279*($D$3301+$D$3302)</f>
        <v>7454.8732903914051</v>
      </c>
      <c r="E3283" s="16">
        <f t="shared" si="713"/>
        <v>18637.183225978519</v>
      </c>
      <c r="F3283" s="16">
        <f t="shared" si="713"/>
        <v>20500.901548576363</v>
      </c>
      <c r="G3283" s="16">
        <f t="shared" si="713"/>
        <v>23296.479032473144</v>
      </c>
      <c r="H3283" s="16">
        <f t="shared" si="713"/>
        <v>23296.479032473144</v>
      </c>
      <c r="I3283" s="16">
        <f t="shared" si="713"/>
        <v>0</v>
      </c>
      <c r="J3283" s="16">
        <f t="shared" si="713"/>
        <v>0</v>
      </c>
      <c r="K3283" s="16">
        <f t="shared" si="713"/>
        <v>0</v>
      </c>
      <c r="L3283" s="16">
        <f t="shared" si="713"/>
        <v>0</v>
      </c>
      <c r="M3283" s="16">
        <f t="shared" si="713"/>
        <v>0</v>
      </c>
    </row>
    <row r="3284" spans="2:13" ht="15" customHeight="1" x14ac:dyDescent="0.2">
      <c r="B3284" s="10" t="s">
        <v>899</v>
      </c>
      <c r="C3284" s="10" t="s">
        <v>110</v>
      </c>
      <c r="D3284" s="16">
        <f t="shared" ref="D3284:M3284" si="714">D3280*$D$3301</f>
        <v>0</v>
      </c>
      <c r="E3284" s="16">
        <f t="shared" si="714"/>
        <v>0</v>
      </c>
      <c r="F3284" s="16">
        <f t="shared" si="714"/>
        <v>0</v>
      </c>
      <c r="G3284" s="16">
        <f t="shared" si="714"/>
        <v>2638.0048485671714</v>
      </c>
      <c r="H3284" s="16">
        <f t="shared" si="714"/>
        <v>7129.4948429102333</v>
      </c>
      <c r="I3284" s="16">
        <f t="shared" si="714"/>
        <v>17823.737107275589</v>
      </c>
      <c r="J3284" s="16">
        <f t="shared" si="714"/>
        <v>19606.110818003141</v>
      </c>
      <c r="K3284" s="16">
        <f t="shared" si="714"/>
        <v>24917.676232661652</v>
      </c>
      <c r="L3284" s="16">
        <f t="shared" si="714"/>
        <v>29409.166227004709</v>
      </c>
      <c r="M3284" s="16">
        <f t="shared" si="714"/>
        <v>17823.737107275589</v>
      </c>
    </row>
    <row r="3285" spans="2:13" ht="15" customHeight="1" x14ac:dyDescent="0.2">
      <c r="B3285" s="10" t="s">
        <v>900</v>
      </c>
      <c r="C3285" s="10" t="s">
        <v>199</v>
      </c>
      <c r="D3285" s="28">
        <f>D3279*Inputs!$D$23</f>
        <v>3.1080000000000001</v>
      </c>
      <c r="E3285" s="28">
        <f>E3279*Inputs!$D$23</f>
        <v>7.7700000000000022</v>
      </c>
      <c r="F3285" s="28">
        <f>F3279*Inputs!$D$23</f>
        <v>8.5469999999999988</v>
      </c>
      <c r="G3285" s="28">
        <f>G3279*Inputs!$D$23</f>
        <v>9.7125000000000004</v>
      </c>
      <c r="H3285" s="28">
        <f>H3279*Inputs!$D$23</f>
        <v>9.7125000000000004</v>
      </c>
      <c r="I3285" s="28">
        <f>I3279*Inputs!$D$23</f>
        <v>0</v>
      </c>
      <c r="J3285" s="28">
        <f>J3279*Inputs!$D$23</f>
        <v>0</v>
      </c>
      <c r="K3285" s="28">
        <f>K3279*Inputs!$D$23</f>
        <v>0</v>
      </c>
      <c r="L3285" s="28">
        <f>L3279*Inputs!$D$23</f>
        <v>0</v>
      </c>
      <c r="M3285" s="28">
        <f>M3279*Inputs!$D$23</f>
        <v>0</v>
      </c>
    </row>
    <row r="3286" spans="2:13" ht="15" customHeight="1" x14ac:dyDescent="0.2">
      <c r="B3286" s="3" t="s">
        <v>901</v>
      </c>
      <c r="C3286" s="10" t="s">
        <v>896</v>
      </c>
      <c r="D3286" s="28">
        <f>(D3281*$D$3299*(Inputs!$D$7-Inputs!$D$19)-D3285)/(Inputs!$D$7+$D$3300)^D3274</f>
        <v>40.99699201112098</v>
      </c>
      <c r="E3286" s="28">
        <f>(E3281*$D$3299*(Inputs!$D$7-Inputs!$D$19)-E3285)/(Inputs!$D$7+$D$3300)^E3274</f>
        <v>153.02781912726542</v>
      </c>
      <c r="F3286" s="28">
        <f>(F3281*$D$3299*(Inputs!$D$7-Inputs!$D$19)-F3285)/(Inputs!$D$7+$D$3300)^F3274</f>
        <v>268.8019226843403</v>
      </c>
      <c r="G3286" s="28">
        <f>(G3281*$D$3299*(Inputs!$D$7-Inputs!$D$19)-G3285)/(Inputs!$D$7+$D$3300)^G3274</f>
        <v>363.62824610263397</v>
      </c>
      <c r="H3286" s="28">
        <f>(H3281*$D$3299*(Inputs!$D$7-Inputs!$D$19)-H3285)/(Inputs!$D$7+$D$3300)^H3274</f>
        <v>435.07807528321291</v>
      </c>
      <c r="I3286" s="28">
        <f>(I3281*$D$3299*(Inputs!$D$7-Inputs!$D$19)-I3285)/(Inputs!$D$7+$D$3300)^I3274</f>
        <v>431.49711827119876</v>
      </c>
      <c r="J3286" s="28">
        <f>(J3281*$D$3299*(Inputs!$D$7-Inputs!$D$19)-J3285)/(Inputs!$D$7+$D$3300)^J3274</f>
        <v>372.01806500733016</v>
      </c>
      <c r="K3286" s="28">
        <f>(K3281*$D$3299*(Inputs!$D$7-Inputs!$D$19)-K3285)/(Inputs!$D$7+$D$3300)^K3274</f>
        <v>320.73780989845312</v>
      </c>
      <c r="L3286" s="28">
        <f>(L3281*$D$3299*(Inputs!$D$7-Inputs!$D$19)-L3285)/(Inputs!$D$7+$D$3300)^L3274</f>
        <v>276.52620228651875</v>
      </c>
      <c r="M3286" s="28">
        <f>(M3281*$D$3299*(Inputs!$D$7-Inputs!$D$19)-M3285)/(Inputs!$D$7+$D$3300)^M3274</f>
        <v>238.31201718226143</v>
      </c>
    </row>
    <row r="3287" spans="2:13" ht="15" customHeight="1" x14ac:dyDescent="0.2">
      <c r="B3287" s="10" t="s">
        <v>902</v>
      </c>
      <c r="C3287" s="10" t="s">
        <v>110</v>
      </c>
      <c r="D3287" s="16">
        <f>(D3282*Inputs!$D$19-D3283-D3284)/(Inputs!$D$7+$D$3300)^D3274</f>
        <v>-6403.0045740313244</v>
      </c>
      <c r="E3287" s="16">
        <f>(E3282*Inputs!$D$19-E3283-E3284)/(Inputs!$D$7+$D$3300)^E3274</f>
        <v>-13349.632212764713</v>
      </c>
      <c r="F3287" s="16">
        <f>(F3282*Inputs!$D$19-F3283-F3284)/(Inputs!$D$7+$D$3300)^F3274</f>
        <v>-11808.370082432088</v>
      </c>
      <c r="G3287" s="16">
        <f>(G3282*Inputs!$D$19-G3283-G3284)/(Inputs!$D$7+$D$3300)^G3274</f>
        <v>-12397.921878440668</v>
      </c>
      <c r="H3287" s="16">
        <f>(H3282*Inputs!$D$19-H3283-H3284)/(Inputs!$D$7+$D$3300)^H3274</f>
        <v>-12082.366885213038</v>
      </c>
      <c r="I3287" s="16">
        <f>(I3282*Inputs!$D$19-I3283-I3284)/(Inputs!$D$7+$D$3300)^I3274</f>
        <v>-4657.0743222469628</v>
      </c>
      <c r="J3287" s="16">
        <f>(J3282*Inputs!$D$19-J3283-J3284)/(Inputs!$D$7+$D$3300)^J3274</f>
        <v>-4672.9398284057479</v>
      </c>
      <c r="K3287" s="16">
        <f>(K3282*Inputs!$D$19-K3283-K3284)/(Inputs!$D$7+$D$3300)^K3274</f>
        <v>-5718.9047268503064</v>
      </c>
      <c r="L3287" s="16">
        <f>(L3282*Inputs!$D$19-L3283-L3284)/(Inputs!$D$7+$D$3300)^L3274</f>
        <v>-6162.7485564592316</v>
      </c>
      <c r="M3287" s="16">
        <f>(M3282*Inputs!$D$19-M3283-M3284)/(Inputs!$D$7+$D$3300)^M3274</f>
        <v>-2572.0606903447429</v>
      </c>
    </row>
    <row r="3288" spans="2:13" ht="15" customHeight="1" x14ac:dyDescent="0.2">
      <c r="B3288" s="10" t="s">
        <v>903</v>
      </c>
      <c r="C3288" s="10" t="s">
        <v>110</v>
      </c>
      <c r="D3288" s="16">
        <f t="shared" ref="D3288:M3288" si="715">D3281*$D$3298</f>
        <v>2807.0623761542943</v>
      </c>
      <c r="E3288" s="16">
        <f t="shared" si="715"/>
        <v>11829.857903611181</v>
      </c>
      <c r="F3288" s="16">
        <f t="shared" si="715"/>
        <v>23682.233650462684</v>
      </c>
      <c r="G3288" s="16">
        <f t="shared" si="715"/>
        <v>36945.606510034602</v>
      </c>
      <c r="H3288" s="16">
        <f t="shared" si="715"/>
        <v>51055.577637238777</v>
      </c>
      <c r="I3288" s="16">
        <f t="shared" si="715"/>
        <v>58110.563200840865</v>
      </c>
      <c r="J3288" s="16">
        <f t="shared" si="715"/>
        <v>58110.563200840865</v>
      </c>
      <c r="K3288" s="16">
        <f t="shared" si="715"/>
        <v>58110.563200840865</v>
      </c>
      <c r="L3288" s="16">
        <f t="shared" si="715"/>
        <v>58110.563200840865</v>
      </c>
      <c r="M3288" s="16">
        <f t="shared" si="715"/>
        <v>58110.563200840865</v>
      </c>
    </row>
    <row r="3289" spans="2:13" ht="15" customHeight="1" x14ac:dyDescent="0.2">
      <c r="B3289" s="10" t="s">
        <v>904</v>
      </c>
      <c r="C3289" s="10" t="s">
        <v>110</v>
      </c>
      <c r="D3289" s="16">
        <f t="shared" ref="D3289:M3289" si="716">D3288*$D$3299</f>
        <v>2526.3561385388648</v>
      </c>
      <c r="E3289" s="16">
        <f t="shared" si="716"/>
        <v>10646.872113250063</v>
      </c>
      <c r="F3289" s="16">
        <f t="shared" si="716"/>
        <v>21314.010285416414</v>
      </c>
      <c r="G3289" s="16">
        <f t="shared" si="716"/>
        <v>33251.045859031146</v>
      </c>
      <c r="H3289" s="16">
        <f t="shared" si="716"/>
        <v>45950.019873514902</v>
      </c>
      <c r="I3289" s="16">
        <f t="shared" si="716"/>
        <v>52299.50688075678</v>
      </c>
      <c r="J3289" s="16">
        <f t="shared" si="716"/>
        <v>52299.50688075678</v>
      </c>
      <c r="K3289" s="16">
        <f t="shared" si="716"/>
        <v>52299.50688075678</v>
      </c>
      <c r="L3289" s="16">
        <f t="shared" si="716"/>
        <v>52299.50688075678</v>
      </c>
      <c r="M3289" s="16">
        <f t="shared" si="716"/>
        <v>52299.50688075678</v>
      </c>
    </row>
    <row r="3290" spans="2:13" ht="15" customHeight="1" x14ac:dyDescent="0.2">
      <c r="B3290" s="10" t="s">
        <v>905</v>
      </c>
      <c r="C3290" s="10" t="s">
        <v>110</v>
      </c>
      <c r="D3290" s="16">
        <f t="shared" ref="D3290:M3290" si="717">D3289-D3282</f>
        <v>1408.1526492276107</v>
      </c>
      <c r="E3290" s="16">
        <f t="shared" si="717"/>
        <v>5934.4052659699892</v>
      </c>
      <c r="F3290" s="16">
        <f t="shared" si="717"/>
        <v>11880.106526244595</v>
      </c>
      <c r="G3290" s="16">
        <f t="shared" si="717"/>
        <v>18533.629365123328</v>
      </c>
      <c r="H3290" s="16">
        <f t="shared" si="717"/>
        <v>25611.845151164533</v>
      </c>
      <c r="I3290" s="16">
        <f t="shared" si="717"/>
        <v>29150.953044185131</v>
      </c>
      <c r="J3290" s="16">
        <f t="shared" si="717"/>
        <v>29150.953044185131</v>
      </c>
      <c r="K3290" s="16">
        <f t="shared" si="717"/>
        <v>29150.953044185131</v>
      </c>
      <c r="L3290" s="16">
        <f t="shared" si="717"/>
        <v>29150.953044185131</v>
      </c>
      <c r="M3290" s="16">
        <f t="shared" si="717"/>
        <v>29150.953044185131</v>
      </c>
    </row>
    <row r="3291" spans="2:13" ht="15" customHeight="1" x14ac:dyDescent="0.2">
      <c r="B3291" s="10" t="s">
        <v>906</v>
      </c>
      <c r="C3291" s="10" t="s">
        <v>110</v>
      </c>
      <c r="D3291" s="16">
        <f>MAX(D3290,Inputs!$D$6)*Inputs!$D$19</f>
        <v>422.44579476828318</v>
      </c>
      <c r="E3291" s="16">
        <f>MAX(E3290,Inputs!$D$6)*Inputs!$D$19</f>
        <v>1780.3215797909968</v>
      </c>
      <c r="F3291" s="16">
        <f>MAX(F3290,Inputs!$D$6)*Inputs!$D$19</f>
        <v>3564.0319578733784</v>
      </c>
      <c r="G3291" s="16">
        <f>MAX(G3290,Inputs!$D$6)*Inputs!$D$19</f>
        <v>5560.0888095369983</v>
      </c>
      <c r="H3291" s="16">
        <f>MAX(H3290,Inputs!$D$6)*Inputs!$D$19</f>
        <v>7683.5535453493594</v>
      </c>
      <c r="I3291" s="16">
        <f>MAX(I3290,Inputs!$D$6)*Inputs!$D$19</f>
        <v>8745.2859132555386</v>
      </c>
      <c r="J3291" s="16">
        <f>MAX(J3290,Inputs!$D$6)*Inputs!$D$19</f>
        <v>8745.2859132555386</v>
      </c>
      <c r="K3291" s="16">
        <f>MAX(K3290,Inputs!$D$6)*Inputs!$D$19</f>
        <v>8745.2859132555386</v>
      </c>
      <c r="L3291" s="16">
        <f>MAX(L3290,Inputs!$D$6)*Inputs!$D$19</f>
        <v>8745.2859132555386</v>
      </c>
      <c r="M3291" s="16">
        <f>MAX(M3290,Inputs!$D$6)*Inputs!$D$19</f>
        <v>8745.2859132555386</v>
      </c>
    </row>
    <row r="3292" spans="2:13" ht="15" customHeight="1" x14ac:dyDescent="0.2">
      <c r="B3292" s="10" t="s">
        <v>907</v>
      </c>
      <c r="C3292" s="10" t="s">
        <v>110</v>
      </c>
      <c r="D3292" s="16">
        <f t="shared" ref="D3292:M3292" si="718">D3285*$D$3298</f>
        <v>112.87976901763338</v>
      </c>
      <c r="E3292" s="16">
        <f t="shared" si="718"/>
        <v>282.19942254408352</v>
      </c>
      <c r="F3292" s="16">
        <f t="shared" si="718"/>
        <v>310.41936479849176</v>
      </c>
      <c r="G3292" s="16">
        <f t="shared" si="718"/>
        <v>352.74927818010434</v>
      </c>
      <c r="H3292" s="16">
        <f t="shared" si="718"/>
        <v>352.74927818010434</v>
      </c>
      <c r="I3292" s="16">
        <f t="shared" si="718"/>
        <v>0</v>
      </c>
      <c r="J3292" s="16">
        <f t="shared" si="718"/>
        <v>0</v>
      </c>
      <c r="K3292" s="16">
        <f t="shared" si="718"/>
        <v>0</v>
      </c>
      <c r="L3292" s="16">
        <f t="shared" si="718"/>
        <v>0</v>
      </c>
      <c r="M3292" s="16">
        <f t="shared" si="718"/>
        <v>0</v>
      </c>
    </row>
    <row r="3293" spans="2:13" ht="15" customHeight="1" x14ac:dyDescent="0.2">
      <c r="B3293" s="10" t="s">
        <v>908</v>
      </c>
      <c r="C3293" s="10" t="s">
        <v>110</v>
      </c>
      <c r="D3293" s="16">
        <f t="shared" ref="D3293:M3293" si="719">D3289-D3291-D3283-D3284-D3292</f>
        <v>-5463.8427156384569</v>
      </c>
      <c r="E3293" s="16">
        <f t="shared" si="719"/>
        <v>-10052.832115063535</v>
      </c>
      <c r="F3293" s="16">
        <f t="shared" si="719"/>
        <v>-3061.3425858318201</v>
      </c>
      <c r="G3293" s="16">
        <f t="shared" si="719"/>
        <v>1403.7238902737276</v>
      </c>
      <c r="H3293" s="16">
        <f t="shared" si="719"/>
        <v>7487.7431746020629</v>
      </c>
      <c r="I3293" s="16">
        <f t="shared" si="719"/>
        <v>25730.483860225653</v>
      </c>
      <c r="J3293" s="16">
        <f t="shared" si="719"/>
        <v>23948.110149498101</v>
      </c>
      <c r="K3293" s="16">
        <f t="shared" si="719"/>
        <v>18636.54473483959</v>
      </c>
      <c r="L3293" s="16">
        <f t="shared" si="719"/>
        <v>14145.054740496533</v>
      </c>
      <c r="M3293" s="16">
        <f t="shared" si="719"/>
        <v>25730.483860225653</v>
      </c>
    </row>
    <row r="3294" spans="2:13" ht="15" customHeight="1" x14ac:dyDescent="0.2">
      <c r="B3294" s="10" t="s">
        <v>909</v>
      </c>
      <c r="C3294" s="10" t="s">
        <v>110</v>
      </c>
      <c r="D3294" s="16">
        <f>D3293/(Inputs!$D$7+$D$3300)^D3274</f>
        <v>-4914.0306394646914</v>
      </c>
      <c r="E3294" s="16">
        <f>E3293/(Inputs!$D$7+$D$3300)^E3274</f>
        <v>-7791.7992409635835</v>
      </c>
      <c r="F3294" s="16">
        <f>F3293/(Inputs!$D$7+$D$3300)^F3274</f>
        <v>-2045.7256345221522</v>
      </c>
      <c r="G3294" s="16">
        <f>G3293/(Inputs!$D$7+$D$3300)^G3274</f>
        <v>808.72948203310091</v>
      </c>
      <c r="H3294" s="16">
        <f>H3293/(Inputs!$D$7+$D$3300)^H3274</f>
        <v>3719.2781091903053</v>
      </c>
      <c r="I3294" s="16">
        <f>I3293/(Inputs!$D$7+$D$3300)^I3274</f>
        <v>11014.51352917754</v>
      </c>
      <c r="J3294" s="16">
        <f>J3293/(Inputs!$D$7+$D$3300)^J3274</f>
        <v>8838.4222206336199</v>
      </c>
      <c r="K3294" s="16">
        <f>K3293/(Inputs!$D$7+$D$3300)^K3274</f>
        <v>5930.004506276784</v>
      </c>
      <c r="L3294" s="16">
        <f>L3293/(Inputs!$D$7+$D$3300)^L3274</f>
        <v>3880.4347902028035</v>
      </c>
      <c r="M3294" s="16">
        <f>M3293/(Inputs!$D$7+$D$3300)^M3274</f>
        <v>6083.217769648807</v>
      </c>
    </row>
    <row r="3295" spans="2:13" ht="15" customHeight="1" x14ac:dyDescent="0.2">
      <c r="B3295" s="3" t="s">
        <v>910</v>
      </c>
      <c r="C3295" s="10" t="s">
        <v>896</v>
      </c>
      <c r="D3295" s="28">
        <f>(D3281*$D$3299-D3285)/(Inputs!$D$7+$D$3300)^D3274</f>
        <v>59.765095798928819</v>
      </c>
      <c r="E3295" s="28">
        <f>(E3281*$D$3299-E3285)/(Inputs!$D$7+$D$3300)^E3274</f>
        <v>221.1922031857838</v>
      </c>
      <c r="F3295" s="28">
        <f>(F3281*$D$3299-F3285)/(Inputs!$D$7+$D$3300)^F3274</f>
        <v>386.45052664112239</v>
      </c>
      <c r="G3295" s="28">
        <f>(G3281*$D$3299-G3285)/(Inputs!$D$7+$D$3300)^G3274</f>
        <v>521.867070169518</v>
      </c>
      <c r="H3295" s="28">
        <f>(H3281*$D$3299-H3285)/(Inputs!$D$7+$D$3300)^H3274</f>
        <v>623.60768582417222</v>
      </c>
      <c r="I3295" s="28">
        <f>(I3281*$D$3299-I3285)/(Inputs!$D$7+$D$3300)^I3274</f>
        <v>616.42445467314121</v>
      </c>
      <c r="J3295" s="28">
        <f>(J3281*$D$3299-J3285)/(Inputs!$D$7+$D$3300)^J3274</f>
        <v>531.4543785819003</v>
      </c>
      <c r="K3295" s="28">
        <f>(K3281*$D$3299-K3285)/(Inputs!$D$7+$D$3300)^K3274</f>
        <v>458.19687128350449</v>
      </c>
      <c r="L3295" s="28">
        <f>(L3281*$D$3299-L3285)/(Inputs!$D$7+$D$3300)^L3274</f>
        <v>395.03743183788401</v>
      </c>
      <c r="M3295" s="28">
        <f>(M3281*$D$3299-M3285)/(Inputs!$D$7+$D$3300)^M3274</f>
        <v>340.44573883180209</v>
      </c>
    </row>
    <row r="3296" spans="2:13" ht="15" customHeight="1" x14ac:dyDescent="0.2">
      <c r="B3296" s="10" t="s">
        <v>911</v>
      </c>
      <c r="C3296" s="10" t="s">
        <v>110</v>
      </c>
      <c r="D3296" s="16">
        <f>(-D3283-D3284)/(Inputs!$D$7+$D$3300)^D3274</f>
        <v>-6704.7090607969039</v>
      </c>
      <c r="E3296" s="16">
        <f>(-E3283-E3284)/(Inputs!$D$7+$D$3300)^E3274</f>
        <v>-14445.4009031226</v>
      </c>
      <c r="F3296" s="16">
        <f>(-F3283-F3284)/(Inputs!$D$7+$D$3300)^F3274</f>
        <v>-13699.616639717549</v>
      </c>
      <c r="G3296" s="16">
        <f>(-G3283-G3284)/(Inputs!$D$7+$D$3300)^G3274</f>
        <v>-14941.671835349038</v>
      </c>
      <c r="H3296" s="16">
        <f>(-H3283-H3284)/(Inputs!$D$7+$D$3300)^H3274</f>
        <v>-15113.052884793095</v>
      </c>
      <c r="I3296" s="16">
        <f>(-I3283-I3284)/(Inputs!$D$7+$D$3300)^I3274</f>
        <v>-7629.8523795762403</v>
      </c>
      <c r="J3296" s="16">
        <f>(-J3283-J3284)/(Inputs!$D$7+$D$3300)^J3274</f>
        <v>-7235.9398897150922</v>
      </c>
      <c r="K3296" s="16">
        <f>(-K3283-K3284)/(Inputs!$D$7+$D$3300)^K3274</f>
        <v>-7928.612006570077</v>
      </c>
      <c r="L3296" s="16">
        <f>(-L3283-L3284)/(Inputs!$D$7+$D$3300)^L3274</f>
        <v>-8067.8621519509534</v>
      </c>
      <c r="M3296" s="16">
        <f>(-M3283-M3284)/(Inputs!$D$7+$D$3300)^M3274</f>
        <v>-4213.8995473821142</v>
      </c>
    </row>
    <row r="3297" spans="2:13" ht="15" customHeight="1" x14ac:dyDescent="0.2">
      <c r="B3297" s="10" t="s">
        <v>912</v>
      </c>
      <c r="C3297" s="10" t="s">
        <v>110</v>
      </c>
      <c r="D3297" s="16">
        <f>Prices!K17</f>
        <v>57887.949562974638</v>
      </c>
    </row>
    <row r="3298" spans="2:13" ht="15" customHeight="1" x14ac:dyDescent="0.2">
      <c r="B3298" s="3" t="s">
        <v>913</v>
      </c>
      <c r="C3298" s="10" t="s">
        <v>914</v>
      </c>
      <c r="D3298" s="28">
        <f>IF(J3305&gt;=J3301,J3305,(D3297-J3304)/J3303)</f>
        <v>36.31910200052554</v>
      </c>
      <c r="G3298" s="99" t="s">
        <v>915</v>
      </c>
      <c r="H3298" s="91"/>
      <c r="I3298" s="91"/>
      <c r="J3298" s="28">
        <f>D3298*Inputs!$D$15</f>
        <v>25.347101286166772</v>
      </c>
      <c r="K3298" s="99" t="s">
        <v>916</v>
      </c>
      <c r="L3298" s="91"/>
      <c r="M3298" s="91"/>
    </row>
    <row r="3299" spans="2:13" ht="15" customHeight="1" x14ac:dyDescent="0.2">
      <c r="B3299" s="10" t="s">
        <v>917</v>
      </c>
      <c r="C3299" s="10" t="s">
        <v>104</v>
      </c>
      <c r="D3299" s="30">
        <f>Inputs!$D$107</f>
        <v>0.9</v>
      </c>
      <c r="G3299" s="99" t="s">
        <v>918</v>
      </c>
      <c r="H3299" s="91"/>
      <c r="I3299" s="91"/>
      <c r="J3299" s="28">
        <f>IF(-D3310/D3309&gt;=J3301,-D3310/D3309,-J3304/J3303)</f>
        <v>24.024174528419383</v>
      </c>
      <c r="K3299" s="99" t="s">
        <v>919</v>
      </c>
      <c r="L3299" s="91"/>
      <c r="M3299" s="91"/>
    </row>
    <row r="3300" spans="2:13" ht="15" customHeight="1" x14ac:dyDescent="0.2">
      <c r="B3300" s="10" t="s">
        <v>920</v>
      </c>
      <c r="C3300" s="10" t="s">
        <v>104</v>
      </c>
      <c r="D3300" s="30">
        <f>Inputs!$D$108</f>
        <v>0.16</v>
      </c>
      <c r="G3300" s="99" t="s">
        <v>918</v>
      </c>
      <c r="H3300" s="91"/>
      <c r="I3300" s="91"/>
      <c r="J3300" s="28">
        <f>J3299*Inputs!$D$15</f>
        <v>16.766471403383886</v>
      </c>
      <c r="K3300" s="99" t="s">
        <v>916</v>
      </c>
      <c r="L3300" s="91"/>
      <c r="M3300" s="91"/>
    </row>
    <row r="3301" spans="2:13" ht="15" customHeight="1" x14ac:dyDescent="0.2">
      <c r="B3301" s="3" t="s">
        <v>921</v>
      </c>
      <c r="C3301" s="10" t="s">
        <v>848</v>
      </c>
      <c r="D3301" s="28">
        <f>Capital!$D$13</f>
        <v>57.347931490590682</v>
      </c>
      <c r="G3301" s="99" t="s">
        <v>922</v>
      </c>
      <c r="H3301" s="91"/>
      <c r="I3301" s="91"/>
      <c r="J3301" s="28">
        <f>($D$3301/Inputs!$D$21+$D$3302/Inputs!$D$22)/$D$3299</f>
        <v>16.07538460873031</v>
      </c>
      <c r="K3301" s="99" t="s">
        <v>919</v>
      </c>
      <c r="L3301" s="91"/>
      <c r="M3301" s="91"/>
    </row>
    <row r="3302" spans="2:13" ht="15" customHeight="1" x14ac:dyDescent="0.2">
      <c r="B3302" s="3" t="s">
        <v>923</v>
      </c>
      <c r="C3302" s="10" t="s">
        <v>848</v>
      </c>
      <c r="D3302" s="28">
        <f>Capital!$D$14</f>
        <v>2.6172655041921802</v>
      </c>
    </row>
    <row r="3303" spans="2:13" ht="15" customHeight="1" x14ac:dyDescent="0.2">
      <c r="B3303" s="10" t="s">
        <v>924</v>
      </c>
      <c r="C3303" s="10" t="s">
        <v>896</v>
      </c>
      <c r="D3303" s="28">
        <f>(M3276*(Inputs!$D$7+Inputs!$D$20)*$D$3299*(Inputs!$D$7-Inputs!$D$19)-M3276*Inputs!$D$20*Inputs!$D$23)/($D$3300-Inputs!$D$20)/(Inputs!$D$7+$D$3300)^M3274</f>
        <v>1807.6547922951956</v>
      </c>
      <c r="G3303" s="92" t="s">
        <v>910</v>
      </c>
      <c r="H3303" s="91"/>
      <c r="I3303" s="91"/>
      <c r="J3303" s="28">
        <f>SUM(D3295:M3295)+(M3276*(Inputs!$D$7+Inputs!$D$20)*$D$3299-M3276*Inputs!$D$20*Inputs!$D$23)/($D$3300-Inputs!$D$20)/(Inputs!$D$7+$D$3300)^M3274</f>
        <v>6737.5559875731687</v>
      </c>
      <c r="K3303" s="99" t="s">
        <v>896</v>
      </c>
      <c r="L3303" s="91"/>
      <c r="M3303" s="91"/>
    </row>
    <row r="3304" spans="2:13" ht="15" customHeight="1" x14ac:dyDescent="0.2">
      <c r="B3304" s="10" t="s">
        <v>925</v>
      </c>
      <c r="C3304" s="10" t="s">
        <v>110</v>
      </c>
      <c r="D3304" s="16">
        <f>(D3307*Inputs!$D$19-D3307-D3308)/($D$3300-Inputs!$D$20)/(Inputs!$D$7+$D$3300)^M3274</f>
        <v>-33287.494112345899</v>
      </c>
      <c r="G3304" s="92" t="s">
        <v>926</v>
      </c>
      <c r="H3304" s="91"/>
      <c r="I3304" s="91"/>
      <c r="J3304" s="16">
        <f>SUM(D3296:M3296)-(D3307+D3308)/($D$3300-Inputs!$D$20)/(Inputs!$D$7+$D$3300)^M3274</f>
        <v>-145733.9249554922</v>
      </c>
      <c r="K3304" s="99" t="s">
        <v>110</v>
      </c>
      <c r="L3304" s="91"/>
      <c r="M3304" s="91"/>
    </row>
    <row r="3305" spans="2:13" ht="15" customHeight="1" x14ac:dyDescent="0.2">
      <c r="B3305" s="10" t="s">
        <v>927</v>
      </c>
      <c r="C3305" s="10" t="s">
        <v>928</v>
      </c>
      <c r="D3305" s="16">
        <f>(M3276*(Inputs!$D$7+Inputs!$D$20)*$D$3298*$D$3299-D3307)-MAX((M3276*(Inputs!$D$7+Inputs!$D$20)*$D$3298*$D$3299-D3307),Inputs!$D$6)*Inputs!$D$19-D3308-M3276*Inputs!$D$20*$D$3298*Inputs!$D$23</f>
        <v>18480.881827410991</v>
      </c>
      <c r="G3305" s="99" t="s">
        <v>929</v>
      </c>
      <c r="H3305" s="91"/>
      <c r="I3305" s="91"/>
      <c r="J3305" s="28">
        <f>(D3297-D3310)/D3309</f>
        <v>36.31910200052554</v>
      </c>
      <c r="K3305" s="99" t="s">
        <v>919</v>
      </c>
      <c r="L3305" s="91"/>
      <c r="M3305" s="91"/>
    </row>
    <row r="3306" spans="2:13" ht="15" customHeight="1" x14ac:dyDescent="0.2">
      <c r="B3306" s="10" t="s">
        <v>930</v>
      </c>
      <c r="C3306" s="10" t="s">
        <v>110</v>
      </c>
      <c r="D3306" s="16">
        <f>D3305/($D$3300-Inputs!$D$20)</f>
        <v>136895.42094378511</v>
      </c>
      <c r="G3306" s="99" t="s">
        <v>931</v>
      </c>
      <c r="H3306" s="91"/>
      <c r="I3306" s="91"/>
      <c r="J3306" s="16">
        <f>MIN(D3290:M3290,(M3276*(Inputs!$D$7+Inputs!$D$20)*$D$3298*$D$3299-D3307))</f>
        <v>1408.1526492276107</v>
      </c>
      <c r="K3306" s="99" t="s">
        <v>110</v>
      </c>
      <c r="L3306" s="91"/>
      <c r="M3306" s="91"/>
    </row>
    <row r="3307" spans="2:13" ht="15" customHeight="1" x14ac:dyDescent="0.2">
      <c r="B3307" s="10" t="s">
        <v>932</v>
      </c>
      <c r="C3307" s="10" t="s">
        <v>928</v>
      </c>
      <c r="D3307" s="16">
        <f>M3276*(Inputs!$D$7+Inputs!$D$20)*($D$3301/Inputs!$D$21+$D$3302/Inputs!$D$22)</f>
        <v>23727.267682485937</v>
      </c>
      <c r="G3307" s="99" t="s">
        <v>933</v>
      </c>
      <c r="H3307" s="91"/>
      <c r="I3307" s="91"/>
      <c r="J3307" s="31" t="str">
        <f>IF(J3306&lt;Inputs!$D$6,"breached","satisfied")</f>
        <v>satisfied</v>
      </c>
      <c r="K3307" s="99" t="s">
        <v>934</v>
      </c>
      <c r="L3307" s="91"/>
      <c r="M3307" s="91"/>
    </row>
    <row r="3308" spans="2:13" ht="15" customHeight="1" x14ac:dyDescent="0.2">
      <c r="B3308" s="10" t="s">
        <v>935</v>
      </c>
      <c r="C3308" s="10" t="s">
        <v>928</v>
      </c>
      <c r="D3308" s="16">
        <f>M3276*Inputs!$D$20*($D$3301+$D$3302)</f>
        <v>2398.6078797913146</v>
      </c>
    </row>
    <row r="3309" spans="2:13" ht="15" customHeight="1" x14ac:dyDescent="0.2">
      <c r="B3309" s="10" t="s">
        <v>936</v>
      </c>
      <c r="C3309" s="10" t="s">
        <v>896</v>
      </c>
      <c r="D3309" s="28">
        <f>SUM(D3286:M3286)+D3303</f>
        <v>4708.2790601495317</v>
      </c>
      <c r="G3309" s="99" t="s">
        <v>937</v>
      </c>
      <c r="H3309" s="91"/>
      <c r="I3309" s="91"/>
      <c r="J3309" s="16">
        <f>D3311-D3297</f>
        <v>0</v>
      </c>
      <c r="K3309" s="99" t="s">
        <v>110</v>
      </c>
      <c r="L3309" s="91"/>
      <c r="M3309" s="91"/>
    </row>
    <row r="3310" spans="2:13" ht="15" customHeight="1" x14ac:dyDescent="0.2">
      <c r="B3310" s="10" t="s">
        <v>938</v>
      </c>
      <c r="C3310" s="10" t="s">
        <v>110</v>
      </c>
      <c r="D3310" s="16">
        <f>SUM(D3287:M3287)+D3304</f>
        <v>-113112.51786953473</v>
      </c>
    </row>
    <row r="3311" spans="2:13" ht="15" customHeight="1" x14ac:dyDescent="0.2">
      <c r="B3311" s="10" t="s">
        <v>939</v>
      </c>
      <c r="C3311" s="10" t="s">
        <v>110</v>
      </c>
      <c r="D3311" s="16">
        <f>SUM(D3294:M3294)+D3306/(Inputs!$D$7+$D$3300)^M3274</f>
        <v>57887.949562974667</v>
      </c>
    </row>
    <row r="3312" spans="2:13" ht="15" customHeight="1" x14ac:dyDescent="0.2">
      <c r="B3312" s="10" t="s">
        <v>940</v>
      </c>
      <c r="C3312" s="10" t="s">
        <v>104</v>
      </c>
      <c r="D3312" s="30">
        <f>IF(ABS(D3297)&gt;Inputs!$D$6,D3311/D3297-Inputs!$D$7,Inputs!$D$6)</f>
        <v>4.4408920985006262E-16</v>
      </c>
    </row>
    <row r="3313" spans="1:13" ht="15" customHeight="1" x14ac:dyDescent="0.2">
      <c r="B3313" s="10" t="s">
        <v>941</v>
      </c>
      <c r="C3313" s="10" t="s">
        <v>104</v>
      </c>
      <c r="D3313" s="30">
        <f>IF(ABS(D3311)&gt;Inputs!$D$119,D3306/(Inputs!$D$7+$D$3300)^M3274/D3311,Inputs!$D$6)</f>
        <v>0.55909571707239814</v>
      </c>
    </row>
    <row r="3314" spans="1:13" ht="15" customHeight="1" x14ac:dyDescent="0.2">
      <c r="B3314" s="10" t="s">
        <v>942</v>
      </c>
      <c r="C3314" s="10" t="s">
        <v>943</v>
      </c>
      <c r="D3314" s="26">
        <f>$D$3298*Inputs!$D$8/Prices!$P$6/(Inputs!$D$26/Inputs!$D$25)/Inputs!$D$11/Inputs!$D$56</f>
        <v>6.6047390188790738</v>
      </c>
    </row>
    <row r="3318" spans="1:13" ht="15" customHeight="1" x14ac:dyDescent="0.2">
      <c r="A3318" s="104" t="s">
        <v>1015</v>
      </c>
      <c r="B3318" s="10" t="s">
        <v>886</v>
      </c>
      <c r="C3318" s="10" t="s">
        <v>107</v>
      </c>
      <c r="D3318" s="28">
        <f>Inputs!$D$60</f>
        <v>1</v>
      </c>
      <c r="E3318" s="28">
        <f>Inputs!$D$62</f>
        <v>2</v>
      </c>
      <c r="F3318" s="28">
        <f>Inputs!$D$64</f>
        <v>3</v>
      </c>
      <c r="G3318" s="28">
        <f>Inputs!$D$66</f>
        <v>4</v>
      </c>
      <c r="H3318" s="28">
        <f>Inputs!$D$68</f>
        <v>5</v>
      </c>
      <c r="I3318" s="28">
        <f>Inputs!$D$70</f>
        <v>6</v>
      </c>
      <c r="J3318" s="28">
        <f>Inputs!$D$72</f>
        <v>7</v>
      </c>
      <c r="K3318" s="28">
        <f>Inputs!$D$74</f>
        <v>8</v>
      </c>
      <c r="L3318" s="28">
        <f>Inputs!$D$76</f>
        <v>9</v>
      </c>
      <c r="M3318" s="28">
        <f>Inputs!$D$78</f>
        <v>10</v>
      </c>
    </row>
    <row r="3319" spans="1:13" ht="15" customHeight="1" x14ac:dyDescent="0.2">
      <c r="A3319" s="91"/>
      <c r="B3319" s="10" t="s">
        <v>887</v>
      </c>
      <c r="C3319" s="10" t="s">
        <v>161</v>
      </c>
      <c r="D3319" s="29">
        <f>Inputs!$D$61</f>
        <v>46568</v>
      </c>
      <c r="E3319" s="29">
        <f>Inputs!$D$63</f>
        <v>46934</v>
      </c>
      <c r="F3319" s="29">
        <f>Inputs!$D$65</f>
        <v>47299</v>
      </c>
      <c r="G3319" s="29">
        <f>Inputs!$D$67</f>
        <v>47664</v>
      </c>
      <c r="H3319" s="29">
        <f>Inputs!$D$69</f>
        <v>48029</v>
      </c>
      <c r="I3319" s="29">
        <f>Inputs!$D$71</f>
        <v>48395</v>
      </c>
      <c r="J3319" s="29">
        <f>Inputs!$D$73</f>
        <v>48760</v>
      </c>
      <c r="K3319" s="29">
        <f>Inputs!$D$75</f>
        <v>49125</v>
      </c>
      <c r="L3319" s="29">
        <f>Inputs!$D$77</f>
        <v>49490</v>
      </c>
      <c r="M3319" s="29">
        <f>Inputs!$D$79</f>
        <v>49856</v>
      </c>
    </row>
    <row r="3320" spans="1:13" ht="15" customHeight="1" x14ac:dyDescent="0.2">
      <c r="A3320" s="91"/>
      <c r="B3320" s="10" t="s">
        <v>888</v>
      </c>
      <c r="C3320" s="10" t="s">
        <v>107</v>
      </c>
      <c r="D3320" s="28">
        <f>(D3319-Inputs!$D$13)/Inputs!$D$10</f>
        <v>0.71457905544147848</v>
      </c>
      <c r="E3320" s="28">
        <f>(E3319-Inputs!$D$13)/Inputs!$D$10</f>
        <v>1.7166324435318274</v>
      </c>
      <c r="F3320" s="28">
        <f>(F3319-Inputs!$D$13)/Inputs!$D$10</f>
        <v>2.7159479808350446</v>
      </c>
      <c r="G3320" s="28">
        <f>(G3319-Inputs!$D$13)/Inputs!$D$10</f>
        <v>3.7152635181382614</v>
      </c>
      <c r="H3320" s="28">
        <f>(H3319-Inputs!$D$13)/Inputs!$D$10</f>
        <v>4.7145790554414786</v>
      </c>
      <c r="I3320" s="28">
        <f>(I3319-Inputs!$D$13)/Inputs!$D$10</f>
        <v>5.7166324435318279</v>
      </c>
      <c r="J3320" s="28">
        <f>(J3319-Inputs!$D$13)/Inputs!$D$10</f>
        <v>6.7159479808350442</v>
      </c>
      <c r="K3320" s="28">
        <f>(K3319-Inputs!$D$13)/Inputs!$D$10</f>
        <v>7.7152635181382614</v>
      </c>
      <c r="L3320" s="28">
        <f>(L3319-Inputs!$D$13)/Inputs!$D$10</f>
        <v>8.7145790554414777</v>
      </c>
      <c r="M3320" s="28">
        <f>(M3319-Inputs!$D$13)/Inputs!$D$10</f>
        <v>9.716632443531827</v>
      </c>
    </row>
    <row r="3321" spans="1:13" ht="15" customHeight="1" x14ac:dyDescent="0.2">
      <c r="A3321" s="91"/>
      <c r="B3321" s="10" t="s">
        <v>889</v>
      </c>
      <c r="C3321" s="10" t="s">
        <v>107</v>
      </c>
      <c r="D3321" s="28">
        <f>D3320</f>
        <v>0.71457905544147848</v>
      </c>
      <c r="E3321" s="28">
        <f>Inputs!$D$7</f>
        <v>1</v>
      </c>
      <c r="F3321" s="28">
        <f>Inputs!$D$7</f>
        <v>1</v>
      </c>
      <c r="G3321" s="28">
        <f>Inputs!$D$7</f>
        <v>1</v>
      </c>
      <c r="H3321" s="28">
        <f>Inputs!$D$7</f>
        <v>1</v>
      </c>
      <c r="I3321" s="28">
        <f>Inputs!$D$7</f>
        <v>1</v>
      </c>
      <c r="J3321" s="28">
        <f>Inputs!$D$7</f>
        <v>1</v>
      </c>
      <c r="K3321" s="28">
        <f>Inputs!$D$7</f>
        <v>1</v>
      </c>
      <c r="L3321" s="28">
        <f>Inputs!$D$7</f>
        <v>1</v>
      </c>
      <c r="M3321" s="28">
        <f>Inputs!$D$7</f>
        <v>1</v>
      </c>
    </row>
    <row r="3322" spans="1:13" ht="15" customHeight="1" x14ac:dyDescent="0.2">
      <c r="A3322" s="91"/>
      <c r="B3322" s="3" t="s">
        <v>890</v>
      </c>
      <c r="C3322" s="10" t="s">
        <v>199</v>
      </c>
      <c r="D3322" s="28">
        <f>Inputs!$D$24+(Inputs!$D$80-Inputs!$D$24)*Inputs!$D$83</f>
        <v>305.5</v>
      </c>
      <c r="E3322" s="28">
        <f>Inputs!$D$24+(Inputs!$D$80-Inputs!$D$24)*Inputs!$D$84</f>
        <v>651.5</v>
      </c>
      <c r="F3322" s="28">
        <f>Inputs!$D$24+(Inputs!$D$80-Inputs!$D$24)*Inputs!$D$85</f>
        <v>911</v>
      </c>
      <c r="G3322" s="28">
        <f>Inputs!$D$24+(Inputs!$D$80-Inputs!$D$24)*Inputs!$D$86</f>
        <v>911</v>
      </c>
      <c r="H3322" s="28">
        <f>Inputs!$D$24+(Inputs!$D$80-Inputs!$D$24)*Inputs!$D$87</f>
        <v>911</v>
      </c>
      <c r="I3322" s="28">
        <f>Inputs!$D$24+(Inputs!$D$80-Inputs!$D$24)*Inputs!$D$88</f>
        <v>911</v>
      </c>
      <c r="J3322" s="28">
        <f>Inputs!$D$24+(Inputs!$D$80-Inputs!$D$24)*Inputs!$D$89</f>
        <v>911</v>
      </c>
      <c r="K3322" s="28">
        <f>Inputs!$D$24+(Inputs!$D$80-Inputs!$D$24)*Inputs!$D$90</f>
        <v>911</v>
      </c>
      <c r="L3322" s="28">
        <f>Inputs!$D$24+(Inputs!$D$80-Inputs!$D$24)*Inputs!$D$91</f>
        <v>911</v>
      </c>
      <c r="M3322" s="28">
        <f>Inputs!$D$24+(Inputs!$D$80-Inputs!$D$24)*Inputs!$D$92</f>
        <v>911</v>
      </c>
    </row>
    <row r="3323" spans="1:13" ht="15" customHeight="1" x14ac:dyDescent="0.2">
      <c r="A3323" s="91"/>
      <c r="B3323" s="10" t="s">
        <v>891</v>
      </c>
      <c r="C3323" s="10" t="s">
        <v>199</v>
      </c>
      <c r="D3323" s="28">
        <f>Inputs!$D$24</f>
        <v>46</v>
      </c>
      <c r="E3323" s="28">
        <f t="shared" ref="E3323:M3323" si="720">D3322</f>
        <v>305.5</v>
      </c>
      <c r="F3323" s="28">
        <f t="shared" si="720"/>
        <v>651.5</v>
      </c>
      <c r="G3323" s="28">
        <f t="shared" si="720"/>
        <v>911</v>
      </c>
      <c r="H3323" s="28">
        <f t="shared" si="720"/>
        <v>911</v>
      </c>
      <c r="I3323" s="28">
        <f t="shared" si="720"/>
        <v>911</v>
      </c>
      <c r="J3323" s="28">
        <f t="shared" si="720"/>
        <v>911</v>
      </c>
      <c r="K3323" s="28">
        <f t="shared" si="720"/>
        <v>911</v>
      </c>
      <c r="L3323" s="28">
        <f t="shared" si="720"/>
        <v>911</v>
      </c>
      <c r="M3323" s="28">
        <f t="shared" si="720"/>
        <v>911</v>
      </c>
    </row>
    <row r="3324" spans="1:13" ht="15" customHeight="1" x14ac:dyDescent="0.2">
      <c r="B3324" s="10" t="s">
        <v>892</v>
      </c>
      <c r="C3324" s="10" t="s">
        <v>199</v>
      </c>
      <c r="D3324" s="28">
        <f>(D3323+D3322)*Inputs!$D$12</f>
        <v>175.75</v>
      </c>
      <c r="E3324" s="28">
        <f>(E3323+E3322)*Inputs!$D$12</f>
        <v>478.5</v>
      </c>
      <c r="F3324" s="28">
        <f>(F3323+F3322)*Inputs!$D$12</f>
        <v>781.25</v>
      </c>
      <c r="G3324" s="28">
        <f>(G3323+G3322)*Inputs!$D$12</f>
        <v>911</v>
      </c>
      <c r="H3324" s="28">
        <f>(H3323+H3322)*Inputs!$D$12</f>
        <v>911</v>
      </c>
      <c r="I3324" s="28">
        <f>(I3323+I3322)*Inputs!$D$12</f>
        <v>911</v>
      </c>
      <c r="J3324" s="28">
        <f>(J3323+J3322)*Inputs!$D$12</f>
        <v>911</v>
      </c>
      <c r="K3324" s="28">
        <f>(K3323+K3322)*Inputs!$D$12</f>
        <v>911</v>
      </c>
      <c r="L3324" s="28">
        <f>(L3323+L3322)*Inputs!$D$12</f>
        <v>911</v>
      </c>
      <c r="M3324" s="28">
        <f>(M3323+M3322)*Inputs!$D$12</f>
        <v>911</v>
      </c>
    </row>
    <row r="3325" spans="1:13" ht="15" customHeight="1" x14ac:dyDescent="0.2">
      <c r="B3325" s="10" t="s">
        <v>893</v>
      </c>
      <c r="C3325" s="10" t="s">
        <v>199</v>
      </c>
      <c r="D3325" s="28">
        <f t="shared" ref="D3325:M3325" si="721">D3322-D3323</f>
        <v>259.5</v>
      </c>
      <c r="E3325" s="28">
        <f t="shared" si="721"/>
        <v>346</v>
      </c>
      <c r="F3325" s="28">
        <f t="shared" si="721"/>
        <v>259.5</v>
      </c>
      <c r="G3325" s="28">
        <f t="shared" si="721"/>
        <v>0</v>
      </c>
      <c r="H3325" s="28">
        <f t="shared" si="721"/>
        <v>0</v>
      </c>
      <c r="I3325" s="28">
        <f t="shared" si="721"/>
        <v>0</v>
      </c>
      <c r="J3325" s="28">
        <f t="shared" si="721"/>
        <v>0</v>
      </c>
      <c r="K3325" s="28">
        <f t="shared" si="721"/>
        <v>0</v>
      </c>
      <c r="L3325" s="28">
        <f t="shared" si="721"/>
        <v>0</v>
      </c>
      <c r="M3325" s="28">
        <f t="shared" si="721"/>
        <v>0</v>
      </c>
    </row>
    <row r="3326" spans="1:13" ht="15" customHeight="1" x14ac:dyDescent="0.2">
      <c r="B3326" s="10" t="s">
        <v>894</v>
      </c>
      <c r="C3326" s="10" t="s">
        <v>199</v>
      </c>
      <c r="D3326" s="28">
        <f>IF(MOD(D3318,Inputs!$D$21)=Inputs!$D$6,Inputs!$D$24,Inputs!$D$6)+SUMPRODUCT(--(D3318&gt;$D$3318:$M$3318),--(MOD(D3318-$D$3318:$M$3318,Inputs!$D$21)=Inputs!$D$6),$D$3325:$M$3325)</f>
        <v>0</v>
      </c>
      <c r="E3326" s="28">
        <f>IF(MOD(E3318,Inputs!$D$21)=Inputs!$D$6,Inputs!$D$24,Inputs!$D$6)+SUMPRODUCT(--(E3318&gt;$D$3318:$M$3318),--(MOD(E3318-$D$3318:$M$3318,Inputs!$D$21)=Inputs!$D$6),$D$3325:$M$3325)</f>
        <v>0</v>
      </c>
      <c r="F3326" s="28">
        <f>IF(MOD(F3318,Inputs!$D$21)=Inputs!$D$6,Inputs!$D$24,Inputs!$D$6)+SUMPRODUCT(--(F3318&gt;$D$3318:$M$3318),--(MOD(F3318-$D$3318:$M$3318,Inputs!$D$21)=Inputs!$D$6),$D$3325:$M$3325)</f>
        <v>0</v>
      </c>
      <c r="G3326" s="28">
        <f>IF(MOD(G3318,Inputs!$D$21)=Inputs!$D$6,Inputs!$D$24,Inputs!$D$6)+SUMPRODUCT(--(G3318&gt;$D$3318:$M$3318),--(MOD(G3318-$D$3318:$M$3318,Inputs!$D$21)=Inputs!$D$6),$D$3325:$M$3325)</f>
        <v>46</v>
      </c>
      <c r="H3326" s="28">
        <f>IF(MOD(H3318,Inputs!$D$21)=Inputs!$D$6,Inputs!$D$24,Inputs!$D$6)+SUMPRODUCT(--(H3318&gt;$D$3318:$M$3318),--(MOD(H3318-$D$3318:$M$3318,Inputs!$D$21)=Inputs!$D$6),$D$3325:$M$3325)</f>
        <v>259.5</v>
      </c>
      <c r="I3326" s="28">
        <f>IF(MOD(I3318,Inputs!$D$21)=Inputs!$D$6,Inputs!$D$24,Inputs!$D$6)+SUMPRODUCT(--(I3318&gt;$D$3318:$M$3318),--(MOD(I3318-$D$3318:$M$3318,Inputs!$D$21)=Inputs!$D$6),$D$3325:$M$3325)</f>
        <v>346</v>
      </c>
      <c r="J3326" s="28">
        <f>IF(MOD(J3318,Inputs!$D$21)=Inputs!$D$6,Inputs!$D$24,Inputs!$D$6)+SUMPRODUCT(--(J3318&gt;$D$3318:$M$3318),--(MOD(J3318-$D$3318:$M$3318,Inputs!$D$21)=Inputs!$D$6),$D$3325:$M$3325)</f>
        <v>259.5</v>
      </c>
      <c r="K3326" s="28">
        <f>IF(MOD(K3318,Inputs!$D$21)=Inputs!$D$6,Inputs!$D$24,Inputs!$D$6)+SUMPRODUCT(--(K3318&gt;$D$3318:$M$3318),--(MOD(K3318-$D$3318:$M$3318,Inputs!$D$21)=Inputs!$D$6),$D$3325:$M$3325)</f>
        <v>46</v>
      </c>
      <c r="L3326" s="28">
        <f>IF(MOD(L3318,Inputs!$D$21)=Inputs!$D$6,Inputs!$D$24,Inputs!$D$6)+SUMPRODUCT(--(L3318&gt;$D$3318:$M$3318),--(MOD(L3318-$D$3318:$M$3318,Inputs!$D$21)=Inputs!$D$6),$D$3325:$M$3325)</f>
        <v>259.5</v>
      </c>
      <c r="M3326" s="28">
        <f>IF(MOD(M3318,Inputs!$D$21)=Inputs!$D$6,Inputs!$D$24,Inputs!$D$6)+SUMPRODUCT(--(M3318&gt;$D$3318:$M$3318),--(MOD(M3318-$D$3318:$M$3318,Inputs!$D$21)=Inputs!$D$6),$D$3325:$M$3325)</f>
        <v>346</v>
      </c>
    </row>
    <row r="3327" spans="1:13" ht="15" customHeight="1" x14ac:dyDescent="0.2">
      <c r="B3327" s="10" t="s">
        <v>895</v>
      </c>
      <c r="C3327" s="10" t="s">
        <v>896</v>
      </c>
      <c r="D3327" s="28">
        <f t="shared" ref="D3327:M3327" si="722">D3324*D3321</f>
        <v>125.58726899383984</v>
      </c>
      <c r="E3327" s="28">
        <f t="shared" si="722"/>
        <v>478.5</v>
      </c>
      <c r="F3327" s="28">
        <f t="shared" si="722"/>
        <v>781.25</v>
      </c>
      <c r="G3327" s="28">
        <f t="shared" si="722"/>
        <v>911</v>
      </c>
      <c r="H3327" s="28">
        <f t="shared" si="722"/>
        <v>911</v>
      </c>
      <c r="I3327" s="28">
        <f t="shared" si="722"/>
        <v>911</v>
      </c>
      <c r="J3327" s="28">
        <f t="shared" si="722"/>
        <v>911</v>
      </c>
      <c r="K3327" s="28">
        <f t="shared" si="722"/>
        <v>911</v>
      </c>
      <c r="L3327" s="28">
        <f t="shared" si="722"/>
        <v>911</v>
      </c>
      <c r="M3327" s="28">
        <f t="shared" si="722"/>
        <v>911</v>
      </c>
    </row>
    <row r="3328" spans="1:13" ht="15" customHeight="1" x14ac:dyDescent="0.2">
      <c r="B3328" s="10" t="s">
        <v>897</v>
      </c>
      <c r="C3328" s="10" t="s">
        <v>110</v>
      </c>
      <c r="D3328" s="16">
        <f>D3327*($D$3347/Inputs!$D$21+$D$3348/Inputs!$D$22)</f>
        <v>1816.9772859324419</v>
      </c>
      <c r="E3328" s="16">
        <f>E3327*($D$3347/Inputs!$D$21+$D$3348/Inputs!$D$22)</f>
        <v>6922.8643817497086</v>
      </c>
      <c r="F3328" s="16">
        <f>F3327*($D$3347/Inputs!$D$21+$D$3348/Inputs!$D$22)</f>
        <v>11303.0048030135</v>
      </c>
      <c r="G3328" s="16">
        <f>G3327*($D$3347/Inputs!$D$21+$D$3348/Inputs!$D$22)</f>
        <v>13180.207840697982</v>
      </c>
      <c r="H3328" s="16">
        <f>H3327*($D$3347/Inputs!$D$21+$D$3348/Inputs!$D$22)</f>
        <v>13180.207840697982</v>
      </c>
      <c r="I3328" s="16">
        <f>I3327*($D$3347/Inputs!$D$21+$D$3348/Inputs!$D$22)</f>
        <v>13180.207840697982</v>
      </c>
      <c r="J3328" s="16">
        <f>J3327*($D$3347/Inputs!$D$21+$D$3348/Inputs!$D$22)</f>
        <v>13180.207840697982</v>
      </c>
      <c r="K3328" s="16">
        <f>K3327*($D$3347/Inputs!$D$21+$D$3348/Inputs!$D$22)</f>
        <v>13180.207840697982</v>
      </c>
      <c r="L3328" s="16">
        <f>L3327*($D$3347/Inputs!$D$21+$D$3348/Inputs!$D$22)</f>
        <v>13180.207840697982</v>
      </c>
      <c r="M3328" s="16">
        <f>M3327*($D$3347/Inputs!$D$21+$D$3348/Inputs!$D$22)</f>
        <v>13180.207840697982</v>
      </c>
    </row>
    <row r="3329" spans="2:13" ht="15" customHeight="1" x14ac:dyDescent="0.2">
      <c r="B3329" s="10" t="s">
        <v>898</v>
      </c>
      <c r="C3329" s="10" t="s">
        <v>110</v>
      </c>
      <c r="D3329" s="16">
        <f t="shared" ref="D3329:M3329" si="723">D3325*($D$3347+$D$3348)</f>
        <v>15560.968620146154</v>
      </c>
      <c r="E3329" s="16">
        <f t="shared" si="723"/>
        <v>20747.95816019487</v>
      </c>
      <c r="F3329" s="16">
        <f t="shared" si="723"/>
        <v>15560.968620146154</v>
      </c>
      <c r="G3329" s="16">
        <f t="shared" si="723"/>
        <v>0</v>
      </c>
      <c r="H3329" s="16">
        <f t="shared" si="723"/>
        <v>0</v>
      </c>
      <c r="I3329" s="16">
        <f t="shared" si="723"/>
        <v>0</v>
      </c>
      <c r="J3329" s="16">
        <f t="shared" si="723"/>
        <v>0</v>
      </c>
      <c r="K3329" s="16">
        <f t="shared" si="723"/>
        <v>0</v>
      </c>
      <c r="L3329" s="16">
        <f t="shared" si="723"/>
        <v>0</v>
      </c>
      <c r="M3329" s="16">
        <f t="shared" si="723"/>
        <v>0</v>
      </c>
    </row>
    <row r="3330" spans="2:13" ht="15" customHeight="1" x14ac:dyDescent="0.2">
      <c r="B3330" s="10" t="s">
        <v>899</v>
      </c>
      <c r="C3330" s="10" t="s">
        <v>110</v>
      </c>
      <c r="D3330" s="16">
        <f t="shared" ref="D3330:M3330" si="724">D3326*$D$3347</f>
        <v>0</v>
      </c>
      <c r="E3330" s="16">
        <f t="shared" si="724"/>
        <v>0</v>
      </c>
      <c r="F3330" s="16">
        <f t="shared" si="724"/>
        <v>0</v>
      </c>
      <c r="G3330" s="16">
        <f t="shared" si="724"/>
        <v>2638.0048485671714</v>
      </c>
      <c r="H3330" s="16">
        <f t="shared" si="724"/>
        <v>14881.788221808281</v>
      </c>
      <c r="I3330" s="16">
        <f t="shared" si="724"/>
        <v>19842.384295744378</v>
      </c>
      <c r="J3330" s="16">
        <f t="shared" si="724"/>
        <v>14881.788221808281</v>
      </c>
      <c r="K3330" s="16">
        <f t="shared" si="724"/>
        <v>2638.0048485671714</v>
      </c>
      <c r="L3330" s="16">
        <f t="shared" si="724"/>
        <v>14881.788221808281</v>
      </c>
      <c r="M3330" s="16">
        <f t="shared" si="724"/>
        <v>19842.384295744378</v>
      </c>
    </row>
    <row r="3331" spans="2:13" ht="15" customHeight="1" x14ac:dyDescent="0.2">
      <c r="B3331" s="10" t="s">
        <v>900</v>
      </c>
      <c r="C3331" s="10" t="s">
        <v>199</v>
      </c>
      <c r="D3331" s="28">
        <f>D3325*Inputs!$D$23</f>
        <v>6.4875000000000007</v>
      </c>
      <c r="E3331" s="28">
        <f>E3325*Inputs!$D$23</f>
        <v>8.65</v>
      </c>
      <c r="F3331" s="28">
        <f>F3325*Inputs!$D$23</f>
        <v>6.4875000000000007</v>
      </c>
      <c r="G3331" s="28">
        <f>G3325*Inputs!$D$23</f>
        <v>0</v>
      </c>
      <c r="H3331" s="28">
        <f>H3325*Inputs!$D$23</f>
        <v>0</v>
      </c>
      <c r="I3331" s="28">
        <f>I3325*Inputs!$D$23</f>
        <v>0</v>
      </c>
      <c r="J3331" s="28">
        <f>J3325*Inputs!$D$23</f>
        <v>0</v>
      </c>
      <c r="K3331" s="28">
        <f>K3325*Inputs!$D$23</f>
        <v>0</v>
      </c>
      <c r="L3331" s="28">
        <f>L3325*Inputs!$D$23</f>
        <v>0</v>
      </c>
      <c r="M3331" s="28">
        <f>M3325*Inputs!$D$23</f>
        <v>0</v>
      </c>
    </row>
    <row r="3332" spans="2:13" ht="15" customHeight="1" x14ac:dyDescent="0.2">
      <c r="B3332" s="3" t="s">
        <v>901</v>
      </c>
      <c r="C3332" s="10" t="s">
        <v>896</v>
      </c>
      <c r="D3332" s="28">
        <f>(D3327*$D$3345*(Inputs!$D$7-Inputs!$D$19)-D3331)/(Inputs!$D$7+$D$3346)^D3320</f>
        <v>43.213488846686175</v>
      </c>
      <c r="E3332" s="28">
        <f>(E3327*$D$3345*(Inputs!$D$7-Inputs!$D$19)-E3331)/(Inputs!$D$7+$D$3346)^E3320</f>
        <v>163.29332190458183</v>
      </c>
      <c r="F3332" s="28">
        <f>(F3327*$D$3345*(Inputs!$D$7-Inputs!$D$19)-F3331)/(Inputs!$D$7+$D$3346)^F3320</f>
        <v>248.28260771010829</v>
      </c>
      <c r="G3332" s="28">
        <f>(G3327*$D$3345*(Inputs!$D$7-Inputs!$D$19)-G3331)/(Inputs!$D$7+$D$3346)^G3320</f>
        <v>268.5238926419492</v>
      </c>
      <c r="H3332" s="28">
        <f>(H3327*$D$3345*(Inputs!$D$7-Inputs!$D$19)-H3331)/(Inputs!$D$7+$D$3346)^H3320</f>
        <v>244.12855518959191</v>
      </c>
      <c r="I3332" s="28">
        <f>(I3327*$D$3345*(Inputs!$D$7-Inputs!$D$19)-I3331)/(Inputs!$D$7+$D$3346)^I3320</f>
        <v>221.8916197826434</v>
      </c>
      <c r="J3332" s="28">
        <f>(J3327*$D$3345*(Inputs!$D$7-Inputs!$D$19)-J3331)/(Inputs!$D$7+$D$3346)^J3320</f>
        <v>201.73281421346593</v>
      </c>
      <c r="K3332" s="28">
        <f>(K3327*$D$3345*(Inputs!$D$7-Inputs!$D$19)-K3331)/(Inputs!$D$7+$D$3346)^K3320</f>
        <v>183.40543176145695</v>
      </c>
      <c r="L3332" s="28">
        <f>(L3327*$D$3345*(Inputs!$D$7-Inputs!$D$19)-L3331)/(Inputs!$D$7+$D$3346)^L3320</f>
        <v>166.74308803332551</v>
      </c>
      <c r="M3332" s="28">
        <f>(M3327*$D$3345*(Inputs!$D$7-Inputs!$D$19)-M3331)/(Inputs!$D$7+$D$3346)^M3320</f>
        <v>151.55496194429571</v>
      </c>
    </row>
    <row r="3333" spans="2:13" ht="15" customHeight="1" x14ac:dyDescent="0.2">
      <c r="B3333" s="10" t="s">
        <v>902</v>
      </c>
      <c r="C3333" s="10" t="s">
        <v>110</v>
      </c>
      <c r="D3333" s="16">
        <f>(D3328*Inputs!$D$19-D3329-D3330)/(Inputs!$D$7+$D$3346)^D3320</f>
        <v>-14027.24269342025</v>
      </c>
      <c r="E3333" s="16">
        <f>(E3328*Inputs!$D$19-E3329-E3330)/(Inputs!$D$7+$D$3346)^E3320</f>
        <v>-15853.087323826181</v>
      </c>
      <c r="F3333" s="16">
        <f>(F3328*Inputs!$D$19-F3329-F3330)/(Inputs!$D$7+$D$3346)^F3320</f>
        <v>-9394.4767487293357</v>
      </c>
      <c r="G3333" s="16">
        <f>(G3328*Inputs!$D$19-G3329-G3330)/(Inputs!$D$7+$D$3346)^G3320</f>
        <v>923.61320322684639</v>
      </c>
      <c r="H3333" s="16">
        <f>(H3328*Inputs!$D$19-H3329-H3330)/(Inputs!$D$7+$D$3346)^H3320</f>
        <v>-6972.3744918015345</v>
      </c>
      <c r="I3333" s="16">
        <f>(I3328*Inputs!$D$19-I3329-I3330)/(Inputs!$D$7+$D$3346)^I3320</f>
        <v>-9214.0648467907959</v>
      </c>
      <c r="J3333" s="16">
        <f>(J3328*Inputs!$D$19-J3329-J3330)/(Inputs!$D$7+$D$3346)^J3320</f>
        <v>-5761.5411965591911</v>
      </c>
      <c r="K3333" s="16">
        <f>(K3328*Inputs!$D$19-K3329-K3330)/(Inputs!$D$7+$D$3346)^K3320</f>
        <v>630.8402453567694</v>
      </c>
      <c r="L3333" s="16">
        <f>(L3328*Inputs!$D$19-L3329-L3330)/(Inputs!$D$7+$D$3346)^L3320</f>
        <v>-4762.2255937446444</v>
      </c>
      <c r="M3333" s="16">
        <f>(M3328*Inputs!$D$19-M3329-M3330)/(Inputs!$D$7+$D$3346)^M3320</f>
        <v>-6293.3302689644106</v>
      </c>
    </row>
    <row r="3334" spans="2:13" ht="15" customHeight="1" x14ac:dyDescent="0.2">
      <c r="B3334" s="10" t="s">
        <v>903</v>
      </c>
      <c r="C3334" s="10" t="s">
        <v>110</v>
      </c>
      <c r="D3334" s="16">
        <f t="shared" ref="D3334:M3334" si="725">D3327*$D$3344</f>
        <v>5421.0911539746867</v>
      </c>
      <c r="E3334" s="16">
        <f t="shared" si="725"/>
        <v>20654.89709234879</v>
      </c>
      <c r="F3334" s="16">
        <f t="shared" si="725"/>
        <v>33723.382138761735</v>
      </c>
      <c r="G3334" s="16">
        <f t="shared" si="725"/>
        <v>39324.161444367288</v>
      </c>
      <c r="H3334" s="16">
        <f t="shared" si="725"/>
        <v>39324.161444367288</v>
      </c>
      <c r="I3334" s="16">
        <f t="shared" si="725"/>
        <v>39324.161444367288</v>
      </c>
      <c r="J3334" s="16">
        <f t="shared" si="725"/>
        <v>39324.161444367288</v>
      </c>
      <c r="K3334" s="16">
        <f t="shared" si="725"/>
        <v>39324.161444367288</v>
      </c>
      <c r="L3334" s="16">
        <f t="shared" si="725"/>
        <v>39324.161444367288</v>
      </c>
      <c r="M3334" s="16">
        <f t="shared" si="725"/>
        <v>39324.161444367288</v>
      </c>
    </row>
    <row r="3335" spans="2:13" ht="15" customHeight="1" x14ac:dyDescent="0.2">
      <c r="B3335" s="10" t="s">
        <v>904</v>
      </c>
      <c r="C3335" s="10" t="s">
        <v>110</v>
      </c>
      <c r="D3335" s="16">
        <f t="shared" ref="D3335:M3335" si="726">D3334*$D$3345</f>
        <v>3252.6546923848118</v>
      </c>
      <c r="E3335" s="16">
        <f t="shared" si="726"/>
        <v>12392.938255409274</v>
      </c>
      <c r="F3335" s="16">
        <f t="shared" si="726"/>
        <v>20234.029283257041</v>
      </c>
      <c r="G3335" s="16">
        <f t="shared" si="726"/>
        <v>23594.496866620371</v>
      </c>
      <c r="H3335" s="16">
        <f t="shared" si="726"/>
        <v>23594.496866620371</v>
      </c>
      <c r="I3335" s="16">
        <f t="shared" si="726"/>
        <v>23594.496866620371</v>
      </c>
      <c r="J3335" s="16">
        <f t="shared" si="726"/>
        <v>23594.496866620371</v>
      </c>
      <c r="K3335" s="16">
        <f t="shared" si="726"/>
        <v>23594.496866620371</v>
      </c>
      <c r="L3335" s="16">
        <f t="shared" si="726"/>
        <v>23594.496866620371</v>
      </c>
      <c r="M3335" s="16">
        <f t="shared" si="726"/>
        <v>23594.496866620371</v>
      </c>
    </row>
    <row r="3336" spans="2:13" ht="15" customHeight="1" x14ac:dyDescent="0.2">
      <c r="B3336" s="10" t="s">
        <v>905</v>
      </c>
      <c r="C3336" s="10" t="s">
        <v>110</v>
      </c>
      <c r="D3336" s="16">
        <f t="shared" ref="D3336:M3336" si="727">D3335-D3328</f>
        <v>1435.67740645237</v>
      </c>
      <c r="E3336" s="16">
        <f t="shared" si="727"/>
        <v>5470.0738736595649</v>
      </c>
      <c r="F3336" s="16">
        <f t="shared" si="727"/>
        <v>8931.0244802435409</v>
      </c>
      <c r="G3336" s="16">
        <f t="shared" si="727"/>
        <v>10414.28902592239</v>
      </c>
      <c r="H3336" s="16">
        <f t="shared" si="727"/>
        <v>10414.28902592239</v>
      </c>
      <c r="I3336" s="16">
        <f t="shared" si="727"/>
        <v>10414.28902592239</v>
      </c>
      <c r="J3336" s="16">
        <f t="shared" si="727"/>
        <v>10414.28902592239</v>
      </c>
      <c r="K3336" s="16">
        <f t="shared" si="727"/>
        <v>10414.28902592239</v>
      </c>
      <c r="L3336" s="16">
        <f t="shared" si="727"/>
        <v>10414.28902592239</v>
      </c>
      <c r="M3336" s="16">
        <f t="shared" si="727"/>
        <v>10414.28902592239</v>
      </c>
    </row>
    <row r="3337" spans="2:13" ht="15" customHeight="1" x14ac:dyDescent="0.2">
      <c r="B3337" s="10" t="s">
        <v>906</v>
      </c>
      <c r="C3337" s="10" t="s">
        <v>110</v>
      </c>
      <c r="D3337" s="16">
        <f>MAX(D3336,Inputs!$D$6)*Inputs!$D$19</f>
        <v>430.70322193571099</v>
      </c>
      <c r="E3337" s="16">
        <f>MAX(E3336,Inputs!$D$6)*Inputs!$D$19</f>
        <v>1641.0221620978693</v>
      </c>
      <c r="F3337" s="16">
        <f>MAX(F3336,Inputs!$D$6)*Inputs!$D$19</f>
        <v>2679.3073440730623</v>
      </c>
      <c r="G3337" s="16">
        <f>MAX(G3336,Inputs!$D$6)*Inputs!$D$19</f>
        <v>3124.2867077767169</v>
      </c>
      <c r="H3337" s="16">
        <f>MAX(H3336,Inputs!$D$6)*Inputs!$D$19</f>
        <v>3124.2867077767169</v>
      </c>
      <c r="I3337" s="16">
        <f>MAX(I3336,Inputs!$D$6)*Inputs!$D$19</f>
        <v>3124.2867077767169</v>
      </c>
      <c r="J3337" s="16">
        <f>MAX(J3336,Inputs!$D$6)*Inputs!$D$19</f>
        <v>3124.2867077767169</v>
      </c>
      <c r="K3337" s="16">
        <f>MAX(K3336,Inputs!$D$6)*Inputs!$D$19</f>
        <v>3124.2867077767169</v>
      </c>
      <c r="L3337" s="16">
        <f>MAX(L3336,Inputs!$D$6)*Inputs!$D$19</f>
        <v>3124.2867077767169</v>
      </c>
      <c r="M3337" s="16">
        <f>MAX(M3336,Inputs!$D$6)*Inputs!$D$19</f>
        <v>3124.2867077767169</v>
      </c>
    </row>
    <row r="3338" spans="2:13" ht="15" customHeight="1" x14ac:dyDescent="0.2">
      <c r="B3338" s="10" t="s">
        <v>907</v>
      </c>
      <c r="C3338" s="10" t="s">
        <v>110</v>
      </c>
      <c r="D3338" s="16">
        <f t="shared" ref="D3338:M3338" si="728">D3331*$D$3344</f>
        <v>280.03896528027752</v>
      </c>
      <c r="E3338" s="16">
        <f t="shared" si="728"/>
        <v>373.38528704036997</v>
      </c>
      <c r="F3338" s="16">
        <f t="shared" si="728"/>
        <v>280.03896528027752</v>
      </c>
      <c r="G3338" s="16">
        <f t="shared" si="728"/>
        <v>0</v>
      </c>
      <c r="H3338" s="16">
        <f t="shared" si="728"/>
        <v>0</v>
      </c>
      <c r="I3338" s="16">
        <f t="shared" si="728"/>
        <v>0</v>
      </c>
      <c r="J3338" s="16">
        <f t="shared" si="728"/>
        <v>0</v>
      </c>
      <c r="K3338" s="16">
        <f t="shared" si="728"/>
        <v>0</v>
      </c>
      <c r="L3338" s="16">
        <f t="shared" si="728"/>
        <v>0</v>
      </c>
      <c r="M3338" s="16">
        <f t="shared" si="728"/>
        <v>0</v>
      </c>
    </row>
    <row r="3339" spans="2:13" ht="15" customHeight="1" x14ac:dyDescent="0.2">
      <c r="B3339" s="10" t="s">
        <v>908</v>
      </c>
      <c r="C3339" s="10" t="s">
        <v>110</v>
      </c>
      <c r="D3339" s="16">
        <f t="shared" ref="D3339:M3339" si="729">D3335-D3337-D3329-D3330-D3338</f>
        <v>-13019.056114977329</v>
      </c>
      <c r="E3339" s="16">
        <f t="shared" si="729"/>
        <v>-10369.427353923837</v>
      </c>
      <c r="F3339" s="16">
        <f t="shared" si="729"/>
        <v>1713.7143537575478</v>
      </c>
      <c r="G3339" s="16">
        <f t="shared" si="729"/>
        <v>17832.205310276484</v>
      </c>
      <c r="H3339" s="16">
        <f t="shared" si="729"/>
        <v>5588.4219370353749</v>
      </c>
      <c r="I3339" s="16">
        <f t="shared" si="729"/>
        <v>627.82586309927865</v>
      </c>
      <c r="J3339" s="16">
        <f t="shared" si="729"/>
        <v>5588.4219370353749</v>
      </c>
      <c r="K3339" s="16">
        <f t="shared" si="729"/>
        <v>17832.205310276484</v>
      </c>
      <c r="L3339" s="16">
        <f t="shared" si="729"/>
        <v>5588.4219370353749</v>
      </c>
      <c r="M3339" s="16">
        <f t="shared" si="729"/>
        <v>627.82586309927865</v>
      </c>
    </row>
    <row r="3340" spans="2:13" ht="15" customHeight="1" x14ac:dyDescent="0.2">
      <c r="B3340" s="10" t="s">
        <v>909</v>
      </c>
      <c r="C3340" s="10" t="s">
        <v>110</v>
      </c>
      <c r="D3340" s="16">
        <f>D3339/(Inputs!$D$7+$D$3346)^D3320</f>
        <v>-12161.892296075077</v>
      </c>
      <c r="E3340" s="16">
        <f>E3339/(Inputs!$D$7+$D$3346)^E3320</f>
        <v>-8804.3793618472428</v>
      </c>
      <c r="F3340" s="16">
        <f>F3339/(Inputs!$D$7+$D$3346)^F3320</f>
        <v>1322.8727017874687</v>
      </c>
      <c r="G3340" s="16">
        <f>G3339/(Inputs!$D$7+$D$3346)^G3320</f>
        <v>12514.696524765772</v>
      </c>
      <c r="H3340" s="16">
        <f>H3339/(Inputs!$D$7+$D$3346)^H3320</f>
        <v>3565.6614219807293</v>
      </c>
      <c r="I3340" s="16">
        <f>I3339/(Inputs!$D$7+$D$3346)^I3320</f>
        <v>364.09308897740596</v>
      </c>
      <c r="J3340" s="16">
        <f>J3339/(Inputs!$D$7+$D$3346)^J3320</f>
        <v>2946.4431665109369</v>
      </c>
      <c r="K3340" s="16">
        <f>K3339/(Inputs!$D$7+$D$3346)^K3320</f>
        <v>8547.7061162255086</v>
      </c>
      <c r="L3340" s="16">
        <f>L3339/(Inputs!$D$7+$D$3346)^L3320</f>
        <v>2435.3947284889887</v>
      </c>
      <c r="M3340" s="16">
        <f>M3339/(Inputs!$D$7+$D$3346)^M3320</f>
        <v>248.6804787770001</v>
      </c>
    </row>
    <row r="3341" spans="2:13" ht="15" customHeight="1" x14ac:dyDescent="0.2">
      <c r="B3341" s="3" t="s">
        <v>910</v>
      </c>
      <c r="C3341" s="10" t="s">
        <v>896</v>
      </c>
      <c r="D3341" s="28">
        <f>(D3327*$D$3345-D3331)/(Inputs!$D$7+$D$3346)^D3320</f>
        <v>64.330856237917445</v>
      </c>
      <c r="E3341" s="28">
        <f>(E3327*$D$3345-E3331)/(Inputs!$D$7+$D$3346)^E3320</f>
        <v>236.42380139523098</v>
      </c>
      <c r="F3341" s="28">
        <f>(F3327*$D$3345-F3331)/(Inputs!$D$7+$D$3346)^F3320</f>
        <v>356.83568908039001</v>
      </c>
      <c r="G3341" s="28">
        <f>(G3327*$D$3345-G3331)/(Inputs!$D$7+$D$3346)^G3320</f>
        <v>383.60556091707036</v>
      </c>
      <c r="H3341" s="28">
        <f>(H3327*$D$3345-H3331)/(Inputs!$D$7+$D$3346)^H3320</f>
        <v>348.75507884227414</v>
      </c>
      <c r="I3341" s="28">
        <f>(I3327*$D$3345-I3331)/(Inputs!$D$7+$D$3346)^I3320</f>
        <v>316.98802826091918</v>
      </c>
      <c r="J3341" s="28">
        <f>(J3327*$D$3345-J3331)/(Inputs!$D$7+$D$3346)^J3320</f>
        <v>288.18973459066564</v>
      </c>
      <c r="K3341" s="28">
        <f>(K3327*$D$3345-K3331)/(Inputs!$D$7+$D$3346)^K3320</f>
        <v>262.00775965922423</v>
      </c>
      <c r="L3341" s="28">
        <f>(L3327*$D$3345-L3331)/(Inputs!$D$7+$D$3346)^L3320</f>
        <v>238.2044114761793</v>
      </c>
      <c r="M3341" s="28">
        <f>(M3327*$D$3345-M3331)/(Inputs!$D$7+$D$3346)^M3320</f>
        <v>216.50708849185102</v>
      </c>
    </row>
    <row r="3342" spans="2:13" ht="15" customHeight="1" x14ac:dyDescent="0.2">
      <c r="B3342" s="10" t="s">
        <v>911</v>
      </c>
      <c r="C3342" s="10" t="s">
        <v>110</v>
      </c>
      <c r="D3342" s="16">
        <f>(-D3329-D3330)/(Inputs!$D$7+$D$3346)^D3320</f>
        <v>-14536.447397527105</v>
      </c>
      <c r="E3342" s="16">
        <f>(-E3329-E3330)/(Inputs!$D$7+$D$3346)^E3320</f>
        <v>-17616.488200475756</v>
      </c>
      <c r="F3342" s="16">
        <f>(-F3329-F3330)/(Inputs!$D$7+$D$3346)^F3320</f>
        <v>-12012.025548964448</v>
      </c>
      <c r="G3342" s="16">
        <f>(-G3329-G3330)/(Inputs!$D$7+$D$3346)^G3320</f>
        <v>-1851.359915178487</v>
      </c>
      <c r="H3342" s="16">
        <f>(-H3329-H3330)/(Inputs!$D$7+$D$3346)^H3320</f>
        <v>-9495.2419037884629</v>
      </c>
      <c r="I3342" s="16">
        <f>(-I3329-I3330)/(Inputs!$D$7+$D$3346)^I3320</f>
        <v>-11507.131858586603</v>
      </c>
      <c r="J3342" s="16">
        <f>(-J3329-J3330)/(Inputs!$D$7+$D$3346)^J3320</f>
        <v>-7846.2835672839774</v>
      </c>
      <c r="K3342" s="16">
        <f>(-K3329-K3330)/(Inputs!$D$7+$D$3346)^K3320</f>
        <v>-1264.5037327904422</v>
      </c>
      <c r="L3342" s="16">
        <f>(-L3329-L3330)/(Inputs!$D$7+$D$3346)^L3320</f>
        <v>-6485.3779822337692</v>
      </c>
      <c r="M3342" s="16">
        <f>(-M3329-M3330)/(Inputs!$D$7+$D$3346)^M3320</f>
        <v>-7859.5258920747219</v>
      </c>
    </row>
    <row r="3343" spans="2:13" ht="15" customHeight="1" x14ac:dyDescent="0.2">
      <c r="B3343" s="10" t="s">
        <v>912</v>
      </c>
      <c r="C3343" s="10" t="s">
        <v>110</v>
      </c>
      <c r="D3343" s="16">
        <f>Prices!I18</f>
        <v>43100</v>
      </c>
    </row>
    <row r="3344" spans="2:13" ht="15" customHeight="1" x14ac:dyDescent="0.2">
      <c r="B3344" s="3" t="s">
        <v>913</v>
      </c>
      <c r="C3344" s="10" t="s">
        <v>914</v>
      </c>
      <c r="D3344" s="28">
        <f>IF(J3351&gt;=J3347,J3351,(D3343-J3350)/J3349)</f>
        <v>43.165929137615024</v>
      </c>
      <c r="G3344" s="99" t="s">
        <v>915</v>
      </c>
      <c r="H3344" s="91"/>
      <c r="I3344" s="91"/>
      <c r="J3344" s="28">
        <f>D3344*Inputs!$D$15</f>
        <v>30.125501945141522</v>
      </c>
      <c r="K3344" s="99" t="s">
        <v>916</v>
      </c>
      <c r="L3344" s="91"/>
      <c r="M3344" s="91"/>
    </row>
    <row r="3345" spans="2:13" ht="15" customHeight="1" x14ac:dyDescent="0.2">
      <c r="B3345" s="10" t="s">
        <v>917</v>
      </c>
      <c r="C3345" s="10" t="s">
        <v>104</v>
      </c>
      <c r="D3345" s="30">
        <f>Inputs!$D$81</f>
        <v>0.6</v>
      </c>
      <c r="G3345" s="99" t="s">
        <v>918</v>
      </c>
      <c r="H3345" s="91"/>
      <c r="I3345" s="91"/>
      <c r="J3345" s="28">
        <f>IF(-D3356/D3355&gt;=J3347,-D3356/D3355,-J3350/J3349)</f>
        <v>32.284876648616972</v>
      </c>
      <c r="K3345" s="99" t="s">
        <v>919</v>
      </c>
      <c r="L3345" s="91"/>
      <c r="M3345" s="91"/>
    </row>
    <row r="3346" spans="2:13" ht="15" customHeight="1" x14ac:dyDescent="0.2">
      <c r="B3346" s="10" t="s">
        <v>920</v>
      </c>
      <c r="C3346" s="10" t="s">
        <v>104</v>
      </c>
      <c r="D3346" s="30">
        <f>Inputs!$D$82</f>
        <v>0.1</v>
      </c>
      <c r="G3346" s="99" t="s">
        <v>918</v>
      </c>
      <c r="H3346" s="91"/>
      <c r="I3346" s="91"/>
      <c r="J3346" s="28">
        <f>J3345*Inputs!$D$15</f>
        <v>22.531615413069783</v>
      </c>
      <c r="K3346" s="99" t="s">
        <v>916</v>
      </c>
      <c r="L3346" s="91"/>
      <c r="M3346" s="91"/>
    </row>
    <row r="3347" spans="2:13" ht="15" customHeight="1" x14ac:dyDescent="0.2">
      <c r="B3347" s="3" t="s">
        <v>921</v>
      </c>
      <c r="C3347" s="10" t="s">
        <v>848</v>
      </c>
      <c r="D3347" s="28">
        <f>Capital!$D$13</f>
        <v>57.347931490590682</v>
      </c>
      <c r="G3347" s="99" t="s">
        <v>922</v>
      </c>
      <c r="H3347" s="91"/>
      <c r="I3347" s="91"/>
      <c r="J3347" s="28">
        <f>($D$3347/Inputs!$D$21+$D$3348/Inputs!$D$22)/$D$3345</f>
        <v>24.113076913095469</v>
      </c>
      <c r="K3347" s="99" t="s">
        <v>919</v>
      </c>
      <c r="L3347" s="91"/>
      <c r="M3347" s="91"/>
    </row>
    <row r="3348" spans="2:13" ht="15" customHeight="1" x14ac:dyDescent="0.2">
      <c r="B3348" s="3" t="s">
        <v>923</v>
      </c>
      <c r="C3348" s="10" t="s">
        <v>848</v>
      </c>
      <c r="D3348" s="28">
        <f>Capital!$D$14</f>
        <v>2.6172655041921802</v>
      </c>
    </row>
    <row r="3349" spans="2:13" ht="15" customHeight="1" x14ac:dyDescent="0.2">
      <c r="B3349" s="10" t="s">
        <v>924</v>
      </c>
      <c r="C3349" s="10" t="s">
        <v>896</v>
      </c>
      <c r="D3349" s="28">
        <f>(M3322*(Inputs!$D$7+Inputs!$D$20)*$D$3345*(Inputs!$D$7-Inputs!$D$19)-M3322*Inputs!$D$20*Inputs!$D$23)/($D$3346-Inputs!$D$20)/(Inputs!$D$7+$D$3346)^M3320</f>
        <v>2068.2441036763203</v>
      </c>
      <c r="G3349" s="92" t="s">
        <v>910</v>
      </c>
      <c r="H3349" s="91"/>
      <c r="I3349" s="91"/>
      <c r="J3349" s="28">
        <f>SUM(D3341:M3341)+(M3322*(Inputs!$D$7+Inputs!$D$20)*$D$3345-M3322*Inputs!$D$20*Inputs!$D$23)/($D$3346-Inputs!$D$20)/(Inputs!$D$7+$D$3346)^M3320</f>
        <v>5667.7711754446318</v>
      </c>
      <c r="K3349" s="99" t="s">
        <v>896</v>
      </c>
      <c r="L3349" s="91"/>
      <c r="M3349" s="91"/>
    </row>
    <row r="3350" spans="2:13" ht="15" customHeight="1" x14ac:dyDescent="0.2">
      <c r="B3350" s="10" t="s">
        <v>925</v>
      </c>
      <c r="C3350" s="10" t="s">
        <v>110</v>
      </c>
      <c r="D3350" s="16">
        <f>(D3353*Inputs!$D$19-D3353-D3354)/($D$3346-Inputs!$D$20)/(Inputs!$D$7+$D$3346)^M3320</f>
        <v>-57156.954988173631</v>
      </c>
      <c r="G3350" s="92" t="s">
        <v>926</v>
      </c>
      <c r="H3350" s="91"/>
      <c r="I3350" s="91"/>
      <c r="J3350" s="16">
        <f>SUM(D3342:M3342)-(D3353+D3354)/($D$3346-Inputs!$D$20)/(Inputs!$D$7+$D$3346)^M3320</f>
        <v>-169036.01450291832</v>
      </c>
      <c r="K3350" s="99" t="s">
        <v>110</v>
      </c>
      <c r="L3350" s="91"/>
      <c r="M3350" s="91"/>
    </row>
    <row r="3351" spans="2:13" ht="15" customHeight="1" x14ac:dyDescent="0.2">
      <c r="B3351" s="10" t="s">
        <v>927</v>
      </c>
      <c r="C3351" s="10" t="s">
        <v>928</v>
      </c>
      <c r="D3351" s="16">
        <f>(M3322*(Inputs!$D$7+Inputs!$D$20)*$D$3344*$D$3345-D3353)-MAX((M3322*(Inputs!$D$7+Inputs!$D$20)*$D$3344*$D$3345-D3353),Inputs!$D$6)*Inputs!$D$19-D3354-M3322*Inputs!$D$20*$D$3344*Inputs!$D$23</f>
        <v>6081.9674136404019</v>
      </c>
      <c r="G3351" s="99" t="s">
        <v>929</v>
      </c>
      <c r="H3351" s="91"/>
      <c r="I3351" s="91"/>
      <c r="J3351" s="28">
        <f>(D3343-D3356)/D3355</f>
        <v>43.165929137615024</v>
      </c>
      <c r="K3351" s="99" t="s">
        <v>919</v>
      </c>
      <c r="L3351" s="91"/>
      <c r="M3351" s="91"/>
    </row>
    <row r="3352" spans="2:13" ht="15" customHeight="1" x14ac:dyDescent="0.2">
      <c r="B3352" s="10" t="s">
        <v>930</v>
      </c>
      <c r="C3352" s="10" t="s">
        <v>110</v>
      </c>
      <c r="D3352" s="16">
        <f>D3351/($D$3346-Inputs!$D$20)</f>
        <v>81092.89884853868</v>
      </c>
      <c r="G3352" s="99" t="s">
        <v>931</v>
      </c>
      <c r="H3352" s="91"/>
      <c r="I3352" s="91"/>
      <c r="J3352" s="16">
        <f>MIN(D3336:M3336,(M3322*(Inputs!$D$7+Inputs!$D$20)*$D$3344*$D$3345-D3353))</f>
        <v>1435.67740645237</v>
      </c>
      <c r="K3352" s="99" t="s">
        <v>110</v>
      </c>
      <c r="L3352" s="91"/>
      <c r="M3352" s="91"/>
    </row>
    <row r="3353" spans="2:13" ht="15" customHeight="1" x14ac:dyDescent="0.2">
      <c r="B3353" s="10" t="s">
        <v>932</v>
      </c>
      <c r="C3353" s="10" t="s">
        <v>928</v>
      </c>
      <c r="D3353" s="16">
        <f>M3322*(Inputs!$D$7+Inputs!$D$20)*($D$3347/Inputs!$D$21+$D$3348/Inputs!$D$22)</f>
        <v>13509.71303671543</v>
      </c>
      <c r="G3353" s="99" t="s">
        <v>933</v>
      </c>
      <c r="H3353" s="91"/>
      <c r="I3353" s="91"/>
      <c r="J3353" s="31" t="str">
        <f>IF(J3352&lt;Inputs!$D$6,"breached","satisfied")</f>
        <v>satisfied</v>
      </c>
      <c r="K3353" s="99" t="s">
        <v>934</v>
      </c>
      <c r="L3353" s="91"/>
      <c r="M3353" s="91"/>
    </row>
    <row r="3354" spans="2:13" ht="15" customHeight="1" x14ac:dyDescent="0.2">
      <c r="B3354" s="10" t="s">
        <v>935</v>
      </c>
      <c r="C3354" s="10" t="s">
        <v>928</v>
      </c>
      <c r="D3354" s="16">
        <f>M3322*Inputs!$D$20*($D$3347+$D$3348)</f>
        <v>1365.7073615561799</v>
      </c>
    </row>
    <row r="3355" spans="2:13" ht="15" customHeight="1" x14ac:dyDescent="0.2">
      <c r="B3355" s="10" t="s">
        <v>936</v>
      </c>
      <c r="C3355" s="10" t="s">
        <v>896</v>
      </c>
      <c r="D3355" s="28">
        <f>SUM(D3332:M3332)+D3349</f>
        <v>3961.0138857044249</v>
      </c>
      <c r="G3355" s="99" t="s">
        <v>937</v>
      </c>
      <c r="H3355" s="91"/>
      <c r="I3355" s="91"/>
      <c r="J3355" s="16">
        <f>D3357-D3343</f>
        <v>0</v>
      </c>
      <c r="K3355" s="99" t="s">
        <v>110</v>
      </c>
      <c r="L3355" s="91"/>
      <c r="M3355" s="91"/>
    </row>
    <row r="3356" spans="2:13" ht="15" customHeight="1" x14ac:dyDescent="0.2">
      <c r="B3356" s="10" t="s">
        <v>938</v>
      </c>
      <c r="C3356" s="10" t="s">
        <v>110</v>
      </c>
      <c r="D3356" s="16">
        <f>SUM(D3333:M3333)+D3350</f>
        <v>-127880.84470342637</v>
      </c>
    </row>
    <row r="3357" spans="2:13" ht="15" customHeight="1" x14ac:dyDescent="0.2">
      <c r="B3357" s="10" t="s">
        <v>939</v>
      </c>
      <c r="C3357" s="10" t="s">
        <v>110</v>
      </c>
      <c r="D3357" s="16">
        <f>SUM(D3340:M3340)+D3352/(Inputs!$D$7+$D$3346)^M3320</f>
        <v>43099.999999999993</v>
      </c>
    </row>
    <row r="3358" spans="2:13" ht="15" customHeight="1" x14ac:dyDescent="0.2">
      <c r="B3358" s="10" t="s">
        <v>940</v>
      </c>
      <c r="C3358" s="10" t="s">
        <v>104</v>
      </c>
      <c r="D3358" s="30">
        <f>IF(ABS(D3343)&gt;Inputs!$D$6,D3357/D3343-Inputs!$D$7,Inputs!$D$6)</f>
        <v>-2.2204460492503131E-16</v>
      </c>
    </row>
    <row r="3359" spans="2:13" ht="15" customHeight="1" x14ac:dyDescent="0.2">
      <c r="B3359" s="10" t="s">
        <v>941</v>
      </c>
      <c r="C3359" s="10" t="s">
        <v>104</v>
      </c>
      <c r="D3359" s="30">
        <f>IF(ABS(D3357)&gt;Inputs!$D$119,D3352/(Inputs!$D$7+$D$3346)^M3320/D3357,Inputs!$D$6)</f>
        <v>0.74526040441783081</v>
      </c>
    </row>
    <row r="3360" spans="2:13" ht="15" customHeight="1" x14ac:dyDescent="0.2">
      <c r="B3360" s="10" t="s">
        <v>942</v>
      </c>
      <c r="C3360" s="10" t="s">
        <v>943</v>
      </c>
      <c r="D3360" s="26">
        <f>$D$3344*Inputs!$D$8/Prices!$P$6/(Inputs!$D$26/Inputs!$D$25)/Inputs!$D$11/Inputs!$D$56</f>
        <v>7.849855331149147</v>
      </c>
    </row>
    <row r="3364" spans="1:13" ht="15" customHeight="1" x14ac:dyDescent="0.2">
      <c r="A3364" s="104" t="s">
        <v>1016</v>
      </c>
      <c r="B3364" s="10" t="s">
        <v>886</v>
      </c>
      <c r="C3364" s="10" t="s">
        <v>107</v>
      </c>
      <c r="D3364" s="28">
        <f>Inputs!$D$60</f>
        <v>1</v>
      </c>
      <c r="E3364" s="28">
        <f>Inputs!$D$62</f>
        <v>2</v>
      </c>
      <c r="F3364" s="28">
        <f>Inputs!$D$64</f>
        <v>3</v>
      </c>
      <c r="G3364" s="28">
        <f>Inputs!$D$66</f>
        <v>4</v>
      </c>
      <c r="H3364" s="28">
        <f>Inputs!$D$68</f>
        <v>5</v>
      </c>
      <c r="I3364" s="28">
        <f>Inputs!$D$70</f>
        <v>6</v>
      </c>
      <c r="J3364" s="28">
        <f>Inputs!$D$72</f>
        <v>7</v>
      </c>
      <c r="K3364" s="28">
        <f>Inputs!$D$74</f>
        <v>8</v>
      </c>
      <c r="L3364" s="28">
        <f>Inputs!$D$76</f>
        <v>9</v>
      </c>
      <c r="M3364" s="28">
        <f>Inputs!$D$78</f>
        <v>10</v>
      </c>
    </row>
    <row r="3365" spans="1:13" ht="15" customHeight="1" x14ac:dyDescent="0.2">
      <c r="A3365" s="91"/>
      <c r="B3365" s="10" t="s">
        <v>887</v>
      </c>
      <c r="C3365" s="10" t="s">
        <v>161</v>
      </c>
      <c r="D3365" s="29">
        <f>Inputs!$D$61</f>
        <v>46568</v>
      </c>
      <c r="E3365" s="29">
        <f>Inputs!$D$63</f>
        <v>46934</v>
      </c>
      <c r="F3365" s="29">
        <f>Inputs!$D$65</f>
        <v>47299</v>
      </c>
      <c r="G3365" s="29">
        <f>Inputs!$D$67</f>
        <v>47664</v>
      </c>
      <c r="H3365" s="29">
        <f>Inputs!$D$69</f>
        <v>48029</v>
      </c>
      <c r="I3365" s="29">
        <f>Inputs!$D$71</f>
        <v>48395</v>
      </c>
      <c r="J3365" s="29">
        <f>Inputs!$D$73</f>
        <v>48760</v>
      </c>
      <c r="K3365" s="29">
        <f>Inputs!$D$75</f>
        <v>49125</v>
      </c>
      <c r="L3365" s="29">
        <f>Inputs!$D$77</f>
        <v>49490</v>
      </c>
      <c r="M3365" s="29">
        <f>Inputs!$D$79</f>
        <v>49856</v>
      </c>
    </row>
    <row r="3366" spans="1:13" ht="15" customHeight="1" x14ac:dyDescent="0.2">
      <c r="A3366" s="91"/>
      <c r="B3366" s="10" t="s">
        <v>888</v>
      </c>
      <c r="C3366" s="10" t="s">
        <v>107</v>
      </c>
      <c r="D3366" s="28">
        <f>(D3365-Inputs!$D$13)/Inputs!$D$10</f>
        <v>0.71457905544147848</v>
      </c>
      <c r="E3366" s="28">
        <f>(E3365-Inputs!$D$13)/Inputs!$D$10</f>
        <v>1.7166324435318274</v>
      </c>
      <c r="F3366" s="28">
        <f>(F3365-Inputs!$D$13)/Inputs!$D$10</f>
        <v>2.7159479808350446</v>
      </c>
      <c r="G3366" s="28">
        <f>(G3365-Inputs!$D$13)/Inputs!$D$10</f>
        <v>3.7152635181382614</v>
      </c>
      <c r="H3366" s="28">
        <f>(H3365-Inputs!$D$13)/Inputs!$D$10</f>
        <v>4.7145790554414786</v>
      </c>
      <c r="I3366" s="28">
        <f>(I3365-Inputs!$D$13)/Inputs!$D$10</f>
        <v>5.7166324435318279</v>
      </c>
      <c r="J3366" s="28">
        <f>(J3365-Inputs!$D$13)/Inputs!$D$10</f>
        <v>6.7159479808350442</v>
      </c>
      <c r="K3366" s="28">
        <f>(K3365-Inputs!$D$13)/Inputs!$D$10</f>
        <v>7.7152635181382614</v>
      </c>
      <c r="L3366" s="28">
        <f>(L3365-Inputs!$D$13)/Inputs!$D$10</f>
        <v>8.7145790554414777</v>
      </c>
      <c r="M3366" s="28">
        <f>(M3365-Inputs!$D$13)/Inputs!$D$10</f>
        <v>9.716632443531827</v>
      </c>
    </row>
    <row r="3367" spans="1:13" ht="15" customHeight="1" x14ac:dyDescent="0.2">
      <c r="A3367" s="91"/>
      <c r="B3367" s="10" t="s">
        <v>889</v>
      </c>
      <c r="C3367" s="10" t="s">
        <v>107</v>
      </c>
      <c r="D3367" s="28">
        <f>D3366</f>
        <v>0.71457905544147848</v>
      </c>
      <c r="E3367" s="28">
        <f>Inputs!$D$7</f>
        <v>1</v>
      </c>
      <c r="F3367" s="28">
        <f>Inputs!$D$7</f>
        <v>1</v>
      </c>
      <c r="G3367" s="28">
        <f>Inputs!$D$7</f>
        <v>1</v>
      </c>
      <c r="H3367" s="28">
        <f>Inputs!$D$7</f>
        <v>1</v>
      </c>
      <c r="I3367" s="28">
        <f>Inputs!$D$7</f>
        <v>1</v>
      </c>
      <c r="J3367" s="28">
        <f>Inputs!$D$7</f>
        <v>1</v>
      </c>
      <c r="K3367" s="28">
        <f>Inputs!$D$7</f>
        <v>1</v>
      </c>
      <c r="L3367" s="28">
        <f>Inputs!$D$7</f>
        <v>1</v>
      </c>
      <c r="M3367" s="28">
        <f>Inputs!$D$7</f>
        <v>1</v>
      </c>
    </row>
    <row r="3368" spans="1:13" ht="15" customHeight="1" x14ac:dyDescent="0.2">
      <c r="A3368" s="91"/>
      <c r="B3368" s="3" t="s">
        <v>890</v>
      </c>
      <c r="C3368" s="10" t="s">
        <v>199</v>
      </c>
      <c r="D3368" s="28">
        <f>Inputs!$D$24+(Inputs!$D$93-Inputs!$D$24)*Inputs!$D$96</f>
        <v>279.10000000000002</v>
      </c>
      <c r="E3368" s="28">
        <f>Inputs!$D$24+(Inputs!$D$93-Inputs!$D$24)*Inputs!$D$97</f>
        <v>900.7</v>
      </c>
      <c r="F3368" s="28">
        <f>Inputs!$D$24+(Inputs!$D$93-Inputs!$D$24)*Inputs!$D$98</f>
        <v>1366.8999999999999</v>
      </c>
      <c r="G3368" s="28">
        <f>Inputs!$D$24+(Inputs!$D$93-Inputs!$D$24)*Inputs!$D$99</f>
        <v>1600</v>
      </c>
      <c r="H3368" s="28">
        <f>Inputs!$D$24+(Inputs!$D$93-Inputs!$D$24)*Inputs!$D$100</f>
        <v>1600</v>
      </c>
      <c r="I3368" s="28">
        <f>Inputs!$D$24+(Inputs!$D$93-Inputs!$D$24)*Inputs!$D$101</f>
        <v>1600</v>
      </c>
      <c r="J3368" s="28">
        <f>Inputs!$D$24+(Inputs!$D$93-Inputs!$D$24)*Inputs!$D$102</f>
        <v>1600</v>
      </c>
      <c r="K3368" s="28">
        <f>Inputs!$D$24+(Inputs!$D$93-Inputs!$D$24)*Inputs!$D$103</f>
        <v>1600</v>
      </c>
      <c r="L3368" s="28">
        <f>Inputs!$D$24+(Inputs!$D$93-Inputs!$D$24)*Inputs!$D$104</f>
        <v>1600</v>
      </c>
      <c r="M3368" s="28">
        <f>Inputs!$D$24+(Inputs!$D$93-Inputs!$D$24)*Inputs!$D$105</f>
        <v>1600</v>
      </c>
    </row>
    <row r="3369" spans="1:13" ht="15" customHeight="1" x14ac:dyDescent="0.2">
      <c r="A3369" s="91"/>
      <c r="B3369" s="10" t="s">
        <v>891</v>
      </c>
      <c r="C3369" s="10" t="s">
        <v>199</v>
      </c>
      <c r="D3369" s="28">
        <f>Inputs!$D$24</f>
        <v>46</v>
      </c>
      <c r="E3369" s="28">
        <f t="shared" ref="E3369:M3369" si="730">D3368</f>
        <v>279.10000000000002</v>
      </c>
      <c r="F3369" s="28">
        <f t="shared" si="730"/>
        <v>900.7</v>
      </c>
      <c r="G3369" s="28">
        <f t="shared" si="730"/>
        <v>1366.8999999999999</v>
      </c>
      <c r="H3369" s="28">
        <f t="shared" si="730"/>
        <v>1600</v>
      </c>
      <c r="I3369" s="28">
        <f t="shared" si="730"/>
        <v>1600</v>
      </c>
      <c r="J3369" s="28">
        <f t="shared" si="730"/>
        <v>1600</v>
      </c>
      <c r="K3369" s="28">
        <f t="shared" si="730"/>
        <v>1600</v>
      </c>
      <c r="L3369" s="28">
        <f t="shared" si="730"/>
        <v>1600</v>
      </c>
      <c r="M3369" s="28">
        <f t="shared" si="730"/>
        <v>1600</v>
      </c>
    </row>
    <row r="3370" spans="1:13" ht="15" customHeight="1" x14ac:dyDescent="0.2">
      <c r="B3370" s="10" t="s">
        <v>892</v>
      </c>
      <c r="C3370" s="10" t="s">
        <v>199</v>
      </c>
      <c r="D3370" s="28">
        <f>(D3369+D3368)*Inputs!$D$12</f>
        <v>162.55000000000001</v>
      </c>
      <c r="E3370" s="28">
        <f>(E3369+E3368)*Inputs!$D$12</f>
        <v>589.90000000000009</v>
      </c>
      <c r="F3370" s="28">
        <f>(F3369+F3368)*Inputs!$D$12</f>
        <v>1133.8</v>
      </c>
      <c r="G3370" s="28">
        <f>(G3369+G3368)*Inputs!$D$12</f>
        <v>1483.4499999999998</v>
      </c>
      <c r="H3370" s="28">
        <f>(H3369+H3368)*Inputs!$D$12</f>
        <v>1600</v>
      </c>
      <c r="I3370" s="28">
        <f>(I3369+I3368)*Inputs!$D$12</f>
        <v>1600</v>
      </c>
      <c r="J3370" s="28">
        <f>(J3369+J3368)*Inputs!$D$12</f>
        <v>1600</v>
      </c>
      <c r="K3370" s="28">
        <f>(K3369+K3368)*Inputs!$D$12</f>
        <v>1600</v>
      </c>
      <c r="L3370" s="28">
        <f>(L3369+L3368)*Inputs!$D$12</f>
        <v>1600</v>
      </c>
      <c r="M3370" s="28">
        <f>(M3369+M3368)*Inputs!$D$12</f>
        <v>1600</v>
      </c>
    </row>
    <row r="3371" spans="1:13" ht="15" customHeight="1" x14ac:dyDescent="0.2">
      <c r="B3371" s="10" t="s">
        <v>893</v>
      </c>
      <c r="C3371" s="10" t="s">
        <v>199</v>
      </c>
      <c r="D3371" s="28">
        <f t="shared" ref="D3371:M3371" si="731">D3368-D3369</f>
        <v>233.10000000000002</v>
      </c>
      <c r="E3371" s="28">
        <f t="shared" si="731"/>
        <v>621.6</v>
      </c>
      <c r="F3371" s="28">
        <f t="shared" si="731"/>
        <v>466.19999999999982</v>
      </c>
      <c r="G3371" s="28">
        <f t="shared" si="731"/>
        <v>233.10000000000014</v>
      </c>
      <c r="H3371" s="28">
        <f t="shared" si="731"/>
        <v>0</v>
      </c>
      <c r="I3371" s="28">
        <f t="shared" si="731"/>
        <v>0</v>
      </c>
      <c r="J3371" s="28">
        <f t="shared" si="731"/>
        <v>0</v>
      </c>
      <c r="K3371" s="28">
        <f t="shared" si="731"/>
        <v>0</v>
      </c>
      <c r="L3371" s="28">
        <f t="shared" si="731"/>
        <v>0</v>
      </c>
      <c r="M3371" s="28">
        <f t="shared" si="731"/>
        <v>0</v>
      </c>
    </row>
    <row r="3372" spans="1:13" ht="15" customHeight="1" x14ac:dyDescent="0.2">
      <c r="B3372" s="10" t="s">
        <v>894</v>
      </c>
      <c r="C3372" s="10" t="s">
        <v>199</v>
      </c>
      <c r="D3372" s="28">
        <f>IF(MOD(D3364,Inputs!$D$21)=Inputs!$D$6,Inputs!$D$24,Inputs!$D$6)+SUMPRODUCT(--(D3364&gt;$D$3364:$M$3364),--(MOD(D3364-$D$3364:$M$3364,Inputs!$D$21)=Inputs!$D$6),$D$3371:$M$3371)</f>
        <v>0</v>
      </c>
      <c r="E3372" s="28">
        <f>IF(MOD(E3364,Inputs!$D$21)=Inputs!$D$6,Inputs!$D$24,Inputs!$D$6)+SUMPRODUCT(--(E3364&gt;$D$3364:$M$3364),--(MOD(E3364-$D$3364:$M$3364,Inputs!$D$21)=Inputs!$D$6),$D$3371:$M$3371)</f>
        <v>0</v>
      </c>
      <c r="F3372" s="28">
        <f>IF(MOD(F3364,Inputs!$D$21)=Inputs!$D$6,Inputs!$D$24,Inputs!$D$6)+SUMPRODUCT(--(F3364&gt;$D$3364:$M$3364),--(MOD(F3364-$D$3364:$M$3364,Inputs!$D$21)=Inputs!$D$6),$D$3371:$M$3371)</f>
        <v>0</v>
      </c>
      <c r="G3372" s="28">
        <f>IF(MOD(G3364,Inputs!$D$21)=Inputs!$D$6,Inputs!$D$24,Inputs!$D$6)+SUMPRODUCT(--(G3364&gt;$D$3364:$M$3364),--(MOD(G3364-$D$3364:$M$3364,Inputs!$D$21)=Inputs!$D$6),$D$3371:$M$3371)</f>
        <v>46</v>
      </c>
      <c r="H3372" s="28">
        <f>IF(MOD(H3364,Inputs!$D$21)=Inputs!$D$6,Inputs!$D$24,Inputs!$D$6)+SUMPRODUCT(--(H3364&gt;$D$3364:$M$3364),--(MOD(H3364-$D$3364:$M$3364,Inputs!$D$21)=Inputs!$D$6),$D$3371:$M$3371)</f>
        <v>233.10000000000002</v>
      </c>
      <c r="I3372" s="28">
        <f>IF(MOD(I3364,Inputs!$D$21)=Inputs!$D$6,Inputs!$D$24,Inputs!$D$6)+SUMPRODUCT(--(I3364&gt;$D$3364:$M$3364),--(MOD(I3364-$D$3364:$M$3364,Inputs!$D$21)=Inputs!$D$6),$D$3371:$M$3371)</f>
        <v>621.6</v>
      </c>
      <c r="J3372" s="28">
        <f>IF(MOD(J3364,Inputs!$D$21)=Inputs!$D$6,Inputs!$D$24,Inputs!$D$6)+SUMPRODUCT(--(J3364&gt;$D$3364:$M$3364),--(MOD(J3364-$D$3364:$M$3364,Inputs!$D$21)=Inputs!$D$6),$D$3371:$M$3371)</f>
        <v>466.19999999999982</v>
      </c>
      <c r="K3372" s="28">
        <f>IF(MOD(K3364,Inputs!$D$21)=Inputs!$D$6,Inputs!$D$24,Inputs!$D$6)+SUMPRODUCT(--(K3364&gt;$D$3364:$M$3364),--(MOD(K3364-$D$3364:$M$3364,Inputs!$D$21)=Inputs!$D$6),$D$3371:$M$3371)</f>
        <v>279.10000000000014</v>
      </c>
      <c r="L3372" s="28">
        <f>IF(MOD(L3364,Inputs!$D$21)=Inputs!$D$6,Inputs!$D$24,Inputs!$D$6)+SUMPRODUCT(--(L3364&gt;$D$3364:$M$3364),--(MOD(L3364-$D$3364:$M$3364,Inputs!$D$21)=Inputs!$D$6),$D$3371:$M$3371)</f>
        <v>233.10000000000002</v>
      </c>
      <c r="M3372" s="28">
        <f>IF(MOD(M3364,Inputs!$D$21)=Inputs!$D$6,Inputs!$D$24,Inputs!$D$6)+SUMPRODUCT(--(M3364&gt;$D$3364:$M$3364),--(MOD(M3364-$D$3364:$M$3364,Inputs!$D$21)=Inputs!$D$6),$D$3371:$M$3371)</f>
        <v>621.6</v>
      </c>
    </row>
    <row r="3373" spans="1:13" ht="15" customHeight="1" x14ac:dyDescent="0.2">
      <c r="B3373" s="10" t="s">
        <v>895</v>
      </c>
      <c r="C3373" s="10" t="s">
        <v>896</v>
      </c>
      <c r="D3373" s="28">
        <f t="shared" ref="D3373:M3373" si="732">D3370*D3367</f>
        <v>116.15482546201234</v>
      </c>
      <c r="E3373" s="28">
        <f t="shared" si="732"/>
        <v>589.90000000000009</v>
      </c>
      <c r="F3373" s="28">
        <f t="shared" si="732"/>
        <v>1133.8</v>
      </c>
      <c r="G3373" s="28">
        <f t="shared" si="732"/>
        <v>1483.4499999999998</v>
      </c>
      <c r="H3373" s="28">
        <f t="shared" si="732"/>
        <v>1600</v>
      </c>
      <c r="I3373" s="28">
        <f t="shared" si="732"/>
        <v>1600</v>
      </c>
      <c r="J3373" s="28">
        <f t="shared" si="732"/>
        <v>1600</v>
      </c>
      <c r="K3373" s="28">
        <f t="shared" si="732"/>
        <v>1600</v>
      </c>
      <c r="L3373" s="28">
        <f t="shared" si="732"/>
        <v>1600</v>
      </c>
      <c r="M3373" s="28">
        <f t="shared" si="732"/>
        <v>1600</v>
      </c>
    </row>
    <row r="3374" spans="1:13" ht="15" customHeight="1" x14ac:dyDescent="0.2">
      <c r="B3374" s="10" t="s">
        <v>897</v>
      </c>
      <c r="C3374" s="10" t="s">
        <v>110</v>
      </c>
      <c r="D3374" s="16">
        <f>D3373*($D$3393/Inputs!$D$21+$D$3394/Inputs!$D$22)</f>
        <v>1680.51014411561</v>
      </c>
      <c r="E3374" s="16">
        <f>E3373*($D$3393/Inputs!$D$21+$D$3394/Inputs!$D$22)</f>
        <v>8534.5824426210111</v>
      </c>
      <c r="F3374" s="16">
        <f>F3373*($D$3393/Inputs!$D$21+$D$3394/Inputs!$D$22)</f>
        <v>16403.643962440583</v>
      </c>
      <c r="G3374" s="16">
        <f>G3373*($D$3393/Inputs!$D$21+$D$3394/Inputs!$D$22)</f>
        <v>21462.326368038881</v>
      </c>
      <c r="H3374" s="16">
        <f>H3373*($D$3393/Inputs!$D$21+$D$3394/Inputs!$D$22)</f>
        <v>23148.553836571649</v>
      </c>
      <c r="I3374" s="16">
        <f>I3373*($D$3393/Inputs!$D$21+$D$3394/Inputs!$D$22)</f>
        <v>23148.553836571649</v>
      </c>
      <c r="J3374" s="16">
        <f>J3373*($D$3393/Inputs!$D$21+$D$3394/Inputs!$D$22)</f>
        <v>23148.553836571649</v>
      </c>
      <c r="K3374" s="16">
        <f>K3373*($D$3393/Inputs!$D$21+$D$3394/Inputs!$D$22)</f>
        <v>23148.553836571649</v>
      </c>
      <c r="L3374" s="16">
        <f>L3373*($D$3393/Inputs!$D$21+$D$3394/Inputs!$D$22)</f>
        <v>23148.553836571649</v>
      </c>
      <c r="M3374" s="16">
        <f>M3373*($D$3393/Inputs!$D$21+$D$3394/Inputs!$D$22)</f>
        <v>23148.553836571649</v>
      </c>
    </row>
    <row r="3375" spans="1:13" ht="15" customHeight="1" x14ac:dyDescent="0.2">
      <c r="B3375" s="10" t="s">
        <v>898</v>
      </c>
      <c r="C3375" s="10" t="s">
        <v>110</v>
      </c>
      <c r="D3375" s="16">
        <f t="shared" ref="D3375:M3375" si="733">D3371*($D$3393+$D$3394)</f>
        <v>13977.887419483886</v>
      </c>
      <c r="E3375" s="16">
        <f t="shared" si="733"/>
        <v>37274.36645195703</v>
      </c>
      <c r="F3375" s="16">
        <f t="shared" si="733"/>
        <v>27955.774838967762</v>
      </c>
      <c r="G3375" s="16">
        <f t="shared" si="733"/>
        <v>13977.887419483894</v>
      </c>
      <c r="H3375" s="16">
        <f t="shared" si="733"/>
        <v>0</v>
      </c>
      <c r="I3375" s="16">
        <f t="shared" si="733"/>
        <v>0</v>
      </c>
      <c r="J3375" s="16">
        <f t="shared" si="733"/>
        <v>0</v>
      </c>
      <c r="K3375" s="16">
        <f t="shared" si="733"/>
        <v>0</v>
      </c>
      <c r="L3375" s="16">
        <f t="shared" si="733"/>
        <v>0</v>
      </c>
      <c r="M3375" s="16">
        <f t="shared" si="733"/>
        <v>0</v>
      </c>
    </row>
    <row r="3376" spans="1:13" ht="15" customHeight="1" x14ac:dyDescent="0.2">
      <c r="B3376" s="10" t="s">
        <v>899</v>
      </c>
      <c r="C3376" s="10" t="s">
        <v>110</v>
      </c>
      <c r="D3376" s="16">
        <f t="shared" ref="D3376:M3376" si="734">D3372*$D$3393</f>
        <v>0</v>
      </c>
      <c r="E3376" s="16">
        <f t="shared" si="734"/>
        <v>0</v>
      </c>
      <c r="F3376" s="16">
        <f t="shared" si="734"/>
        <v>0</v>
      </c>
      <c r="G3376" s="16">
        <f t="shared" si="734"/>
        <v>2638.0048485671714</v>
      </c>
      <c r="H3376" s="16">
        <f t="shared" si="734"/>
        <v>13367.802830456689</v>
      </c>
      <c r="I3376" s="16">
        <f t="shared" si="734"/>
        <v>35647.47421455117</v>
      </c>
      <c r="J3376" s="16">
        <f t="shared" si="734"/>
        <v>26735.605660913367</v>
      </c>
      <c r="K3376" s="16">
        <f t="shared" si="734"/>
        <v>16005.807679023867</v>
      </c>
      <c r="L3376" s="16">
        <f t="shared" si="734"/>
        <v>13367.802830456689</v>
      </c>
      <c r="M3376" s="16">
        <f t="shared" si="734"/>
        <v>35647.47421455117</v>
      </c>
    </row>
    <row r="3377" spans="2:13" ht="15" customHeight="1" x14ac:dyDescent="0.2">
      <c r="B3377" s="10" t="s">
        <v>900</v>
      </c>
      <c r="C3377" s="10" t="s">
        <v>199</v>
      </c>
      <c r="D3377" s="28">
        <f>D3371*Inputs!$D$23</f>
        <v>5.8275000000000006</v>
      </c>
      <c r="E3377" s="28">
        <f>E3371*Inputs!$D$23</f>
        <v>15.540000000000001</v>
      </c>
      <c r="F3377" s="28">
        <f>F3371*Inputs!$D$23</f>
        <v>11.654999999999996</v>
      </c>
      <c r="G3377" s="28">
        <f>G3371*Inputs!$D$23</f>
        <v>5.8275000000000041</v>
      </c>
      <c r="H3377" s="28">
        <f>H3371*Inputs!$D$23</f>
        <v>0</v>
      </c>
      <c r="I3377" s="28">
        <f>I3371*Inputs!$D$23</f>
        <v>0</v>
      </c>
      <c r="J3377" s="28">
        <f>J3371*Inputs!$D$23</f>
        <v>0</v>
      </c>
      <c r="K3377" s="28">
        <f>K3371*Inputs!$D$23</f>
        <v>0</v>
      </c>
      <c r="L3377" s="28">
        <f>L3371*Inputs!$D$23</f>
        <v>0</v>
      </c>
      <c r="M3377" s="28">
        <f>M3371*Inputs!$D$23</f>
        <v>0</v>
      </c>
    </row>
    <row r="3378" spans="2:13" ht="15" customHeight="1" x14ac:dyDescent="0.2">
      <c r="B3378" s="3" t="s">
        <v>901</v>
      </c>
      <c r="C3378" s="10" t="s">
        <v>896</v>
      </c>
      <c r="D3378" s="28">
        <f>(D3373*$D$3391*(Inputs!$D$7-Inputs!$D$19)-D3377)/(Inputs!$D$7+$D$3392)^D3366</f>
        <v>50.541318213721269</v>
      </c>
      <c r="E3378" s="28">
        <f>(E3373*$D$3391*(Inputs!$D$7-Inputs!$D$19)-E3377)/(Inputs!$D$7+$D$3392)^E3366</f>
        <v>238.4864713152904</v>
      </c>
      <c r="F3378" s="28">
        <f>(F3373*$D$3391*(Inputs!$D$7-Inputs!$D$19)-F3377)/(Inputs!$D$7+$D$3392)^F3366</f>
        <v>418.74491871678316</v>
      </c>
      <c r="G3378" s="28">
        <f>(G3373*$D$3391*(Inputs!$D$7-Inputs!$D$19)-G3377)/(Inputs!$D$7+$D$3392)^G3366</f>
        <v>490.87392073514752</v>
      </c>
      <c r="H3378" s="28">
        <f>(H3373*$D$3391*(Inputs!$D$7-Inputs!$D$19)-H3377)/(Inputs!$D$7+$D$3392)^H3366</f>
        <v>472.10300862628105</v>
      </c>
      <c r="I3378" s="28">
        <f>(I3373*$D$3391*(Inputs!$D$7-Inputs!$D$19)-I3377)/(Inputs!$D$7+$D$3392)^I3366</f>
        <v>417.68543753228789</v>
      </c>
      <c r="J3378" s="28">
        <f>(J3373*$D$3391*(Inputs!$D$7-Inputs!$D$19)-J3377)/(Inputs!$D$7+$D$3392)^J3366</f>
        <v>369.66405292491049</v>
      </c>
      <c r="K3378" s="28">
        <f>(K3373*$D$3391*(Inputs!$D$7-Inputs!$D$19)-K3377)/(Inputs!$D$7+$D$3392)^K3366</f>
        <v>327.16369723641031</v>
      </c>
      <c r="L3378" s="28">
        <f>(L3373*$D$3391*(Inputs!$D$7-Inputs!$D$19)-L3377)/(Inputs!$D$7+$D$3392)^L3366</f>
        <v>289.54961658427663</v>
      </c>
      <c r="M3378" s="28">
        <f>(M3373*$D$3391*(Inputs!$D$7-Inputs!$D$19)-M3377)/(Inputs!$D$7+$D$3392)^M3366</f>
        <v>256.17430111750662</v>
      </c>
    </row>
    <row r="3379" spans="2:13" ht="15" customHeight="1" x14ac:dyDescent="0.2">
      <c r="B3379" s="10" t="s">
        <v>902</v>
      </c>
      <c r="C3379" s="10" t="s">
        <v>110</v>
      </c>
      <c r="D3379" s="16">
        <f>(D3374*Inputs!$D$19-D3375-D3376)/(Inputs!$D$7+$D$3392)^D3366</f>
        <v>-12346.937146613671</v>
      </c>
      <c r="E3379" s="16">
        <f>(E3374*Inputs!$D$19-E3375-E3376)/(Inputs!$D$7+$D$3392)^E3366</f>
        <v>-28144.165592831177</v>
      </c>
      <c r="F3379" s="16">
        <f>(F3374*Inputs!$D$19-F3375-F3376)/(Inputs!$D$7+$D$3392)^F3366</f>
        <v>-16528.13772562052</v>
      </c>
      <c r="G3379" s="16">
        <f>(G3374*Inputs!$D$19-G3375-G3376)/(Inputs!$D$7+$D$3392)^G3366</f>
        <v>-6462.9033875784253</v>
      </c>
      <c r="H3379" s="16">
        <f>(H3374*Inputs!$D$19-H3375-H3376)/(Inputs!$D$7+$D$3392)^H3366</f>
        <v>-3610.0349541710043</v>
      </c>
      <c r="I3379" s="16">
        <f>(I3374*Inputs!$D$19-I3375-I3376)/(Inputs!$D$7+$D$3392)^I3366</f>
        <v>-14272.365134506323</v>
      </c>
      <c r="J3379" s="16">
        <f>(J3374*Inputs!$D$19-J3375-J3376)/(Inputs!$D$7+$D$3392)^J3366</f>
        <v>-8709.5665200501735</v>
      </c>
      <c r="K3379" s="16">
        <f>(K3374*Inputs!$D$19-K3375-K3376)/(Inputs!$D$7+$D$3392)^K3366</f>
        <v>-3529.1777141306115</v>
      </c>
      <c r="L3379" s="16">
        <f>(L3374*Inputs!$D$19-L3375-L3376)/(Inputs!$D$7+$D$3392)^L3366</f>
        <v>-2214.1020449702382</v>
      </c>
      <c r="M3379" s="16">
        <f>(M3374*Inputs!$D$19-M3375-M3376)/(Inputs!$D$7+$D$3392)^M3366</f>
        <v>-8753.5088252709138</v>
      </c>
    </row>
    <row r="3380" spans="2:13" ht="15" customHeight="1" x14ac:dyDescent="0.2">
      <c r="B3380" s="10" t="s">
        <v>903</v>
      </c>
      <c r="C3380" s="10" t="s">
        <v>110</v>
      </c>
      <c r="D3380" s="16">
        <f t="shared" ref="D3380:M3380" si="735">D3373*$D$3390</f>
        <v>4042.8825444558033</v>
      </c>
      <c r="E3380" s="16">
        <f t="shared" si="735"/>
        <v>20532.04766559133</v>
      </c>
      <c r="F3380" s="16">
        <f t="shared" si="735"/>
        <v>39463.020246223845</v>
      </c>
      <c r="G3380" s="16">
        <f t="shared" si="735"/>
        <v>51632.93119091617</v>
      </c>
      <c r="H3380" s="16">
        <f t="shared" si="735"/>
        <v>55689.568172480293</v>
      </c>
      <c r="I3380" s="16">
        <f t="shared" si="735"/>
        <v>55689.568172480293</v>
      </c>
      <c r="J3380" s="16">
        <f t="shared" si="735"/>
        <v>55689.568172480293</v>
      </c>
      <c r="K3380" s="16">
        <f t="shared" si="735"/>
        <v>55689.568172480293</v>
      </c>
      <c r="L3380" s="16">
        <f t="shared" si="735"/>
        <v>55689.568172480293</v>
      </c>
      <c r="M3380" s="16">
        <f t="shared" si="735"/>
        <v>55689.568172480293</v>
      </c>
    </row>
    <row r="3381" spans="2:13" ht="15" customHeight="1" x14ac:dyDescent="0.2">
      <c r="B3381" s="10" t="s">
        <v>904</v>
      </c>
      <c r="C3381" s="10" t="s">
        <v>110</v>
      </c>
      <c r="D3381" s="16">
        <f t="shared" ref="D3381:M3381" si="736">D3380*$D$3391</f>
        <v>3032.1619083418527</v>
      </c>
      <c r="E3381" s="16">
        <f t="shared" si="736"/>
        <v>15399.035749193497</v>
      </c>
      <c r="F3381" s="16">
        <f t="shared" si="736"/>
        <v>29597.265184667885</v>
      </c>
      <c r="G3381" s="16">
        <f t="shared" si="736"/>
        <v>38724.698393187129</v>
      </c>
      <c r="H3381" s="16">
        <f t="shared" si="736"/>
        <v>41767.176129360218</v>
      </c>
      <c r="I3381" s="16">
        <f t="shared" si="736"/>
        <v>41767.176129360218</v>
      </c>
      <c r="J3381" s="16">
        <f t="shared" si="736"/>
        <v>41767.176129360218</v>
      </c>
      <c r="K3381" s="16">
        <f t="shared" si="736"/>
        <v>41767.176129360218</v>
      </c>
      <c r="L3381" s="16">
        <f t="shared" si="736"/>
        <v>41767.176129360218</v>
      </c>
      <c r="M3381" s="16">
        <f t="shared" si="736"/>
        <v>41767.176129360218</v>
      </c>
    </row>
    <row r="3382" spans="2:13" ht="15" customHeight="1" x14ac:dyDescent="0.2">
      <c r="B3382" s="10" t="s">
        <v>905</v>
      </c>
      <c r="C3382" s="10" t="s">
        <v>110</v>
      </c>
      <c r="D3382" s="16">
        <f t="shared" ref="D3382:M3382" si="737">D3381-D3374</f>
        <v>1351.6517642262427</v>
      </c>
      <c r="E3382" s="16">
        <f t="shared" si="737"/>
        <v>6864.4533065724863</v>
      </c>
      <c r="F3382" s="16">
        <f t="shared" si="737"/>
        <v>13193.621222227302</v>
      </c>
      <c r="G3382" s="16">
        <f t="shared" si="737"/>
        <v>17262.372025148248</v>
      </c>
      <c r="H3382" s="16">
        <f t="shared" si="737"/>
        <v>18618.622292788568</v>
      </c>
      <c r="I3382" s="16">
        <f t="shared" si="737"/>
        <v>18618.622292788568</v>
      </c>
      <c r="J3382" s="16">
        <f t="shared" si="737"/>
        <v>18618.622292788568</v>
      </c>
      <c r="K3382" s="16">
        <f t="shared" si="737"/>
        <v>18618.622292788568</v>
      </c>
      <c r="L3382" s="16">
        <f t="shared" si="737"/>
        <v>18618.622292788568</v>
      </c>
      <c r="M3382" s="16">
        <f t="shared" si="737"/>
        <v>18618.622292788568</v>
      </c>
    </row>
    <row r="3383" spans="2:13" ht="15" customHeight="1" x14ac:dyDescent="0.2">
      <c r="B3383" s="10" t="s">
        <v>906</v>
      </c>
      <c r="C3383" s="10" t="s">
        <v>110</v>
      </c>
      <c r="D3383" s="16">
        <f>MAX(D3382,Inputs!$D$6)*Inputs!$D$19</f>
        <v>405.49552926787277</v>
      </c>
      <c r="E3383" s="16">
        <f>MAX(E3382,Inputs!$D$6)*Inputs!$D$19</f>
        <v>2059.3359919717459</v>
      </c>
      <c r="F3383" s="16">
        <f>MAX(F3382,Inputs!$D$6)*Inputs!$D$19</f>
        <v>3958.0863666681907</v>
      </c>
      <c r="G3383" s="16">
        <f>MAX(G3382,Inputs!$D$6)*Inputs!$D$19</f>
        <v>5178.7116075444746</v>
      </c>
      <c r="H3383" s="16">
        <f>MAX(H3382,Inputs!$D$6)*Inputs!$D$19</f>
        <v>5585.5866878365705</v>
      </c>
      <c r="I3383" s="16">
        <f>MAX(I3382,Inputs!$D$6)*Inputs!$D$19</f>
        <v>5585.5866878365705</v>
      </c>
      <c r="J3383" s="16">
        <f>MAX(J3382,Inputs!$D$6)*Inputs!$D$19</f>
        <v>5585.5866878365705</v>
      </c>
      <c r="K3383" s="16">
        <f>MAX(K3382,Inputs!$D$6)*Inputs!$D$19</f>
        <v>5585.5866878365705</v>
      </c>
      <c r="L3383" s="16">
        <f>MAX(L3382,Inputs!$D$6)*Inputs!$D$19</f>
        <v>5585.5866878365705</v>
      </c>
      <c r="M3383" s="16">
        <f>MAX(M3382,Inputs!$D$6)*Inputs!$D$19</f>
        <v>5585.5866878365705</v>
      </c>
    </row>
    <row r="3384" spans="2:13" ht="15" customHeight="1" x14ac:dyDescent="0.2">
      <c r="B3384" s="10" t="s">
        <v>907</v>
      </c>
      <c r="C3384" s="10" t="s">
        <v>110</v>
      </c>
      <c r="D3384" s="16">
        <f t="shared" ref="D3384:M3384" si="738">D3377*$D$3390</f>
        <v>202.83184907820558</v>
      </c>
      <c r="E3384" s="16">
        <f t="shared" si="738"/>
        <v>540.88493087521488</v>
      </c>
      <c r="F3384" s="16">
        <f t="shared" si="738"/>
        <v>405.66369815641099</v>
      </c>
      <c r="G3384" s="16">
        <f t="shared" si="738"/>
        <v>202.83184907820569</v>
      </c>
      <c r="H3384" s="16">
        <f t="shared" si="738"/>
        <v>0</v>
      </c>
      <c r="I3384" s="16">
        <f t="shared" si="738"/>
        <v>0</v>
      </c>
      <c r="J3384" s="16">
        <f t="shared" si="738"/>
        <v>0</v>
      </c>
      <c r="K3384" s="16">
        <f t="shared" si="738"/>
        <v>0</v>
      </c>
      <c r="L3384" s="16">
        <f t="shared" si="738"/>
        <v>0</v>
      </c>
      <c r="M3384" s="16">
        <f t="shared" si="738"/>
        <v>0</v>
      </c>
    </row>
    <row r="3385" spans="2:13" ht="15" customHeight="1" x14ac:dyDescent="0.2">
      <c r="B3385" s="10" t="s">
        <v>908</v>
      </c>
      <c r="C3385" s="10" t="s">
        <v>110</v>
      </c>
      <c r="D3385" s="16">
        <f t="shared" ref="D3385:M3385" si="739">D3381-D3383-D3375-D3376-D3384</f>
        <v>-11554.052889488112</v>
      </c>
      <c r="E3385" s="16">
        <f t="shared" si="739"/>
        <v>-24475.551625610493</v>
      </c>
      <c r="F3385" s="16">
        <f t="shared" si="739"/>
        <v>-2722.2597191244781</v>
      </c>
      <c r="G3385" s="16">
        <f t="shared" si="739"/>
        <v>16727.262668513387</v>
      </c>
      <c r="H3385" s="16">
        <f t="shared" si="739"/>
        <v>22813.786611066957</v>
      </c>
      <c r="I3385" s="16">
        <f t="shared" si="739"/>
        <v>534.1152269724771</v>
      </c>
      <c r="J3385" s="16">
        <f t="shared" si="739"/>
        <v>9445.9837806102805</v>
      </c>
      <c r="K3385" s="16">
        <f t="shared" si="739"/>
        <v>20175.781762499781</v>
      </c>
      <c r="L3385" s="16">
        <f t="shared" si="739"/>
        <v>22813.786611066957</v>
      </c>
      <c r="M3385" s="16">
        <f t="shared" si="739"/>
        <v>534.1152269724771</v>
      </c>
    </row>
    <row r="3386" spans="2:13" ht="15" customHeight="1" x14ac:dyDescent="0.2">
      <c r="B3386" s="10" t="s">
        <v>909</v>
      </c>
      <c r="C3386" s="10" t="s">
        <v>110</v>
      </c>
      <c r="D3386" s="16">
        <f>D3385/(Inputs!$D$7+$D$3392)^D3366</f>
        <v>-10587.797030244888</v>
      </c>
      <c r="E3386" s="16">
        <f>E3385/(Inputs!$D$7+$D$3392)^E3366</f>
        <v>-19843.410216251719</v>
      </c>
      <c r="F3386" s="16">
        <f>F3385/(Inputs!$D$7+$D$3392)^F3366</f>
        <v>-1953.310414521758</v>
      </c>
      <c r="G3386" s="16">
        <f>G3385/(Inputs!$D$7+$D$3392)^G3366</f>
        <v>10622.444532967003</v>
      </c>
      <c r="H3386" s="16">
        <f>H3385/(Inputs!$D$7+$D$3392)^H3366</f>
        <v>12821.972972907952</v>
      </c>
      <c r="I3386" s="16">
        <f>I3385/(Inputs!$D$7+$D$3392)^I3366</f>
        <v>265.58589556030518</v>
      </c>
      <c r="J3386" s="16">
        <f>J3385/(Inputs!$D$7+$D$3392)^J3366</f>
        <v>4156.953152623053</v>
      </c>
      <c r="K3386" s="16">
        <f>K3385/(Inputs!$D$7+$D$3392)^K3366</f>
        <v>7858.0754238742466</v>
      </c>
      <c r="L3386" s="16">
        <f>L3385/(Inputs!$D$7+$D$3392)^L3366</f>
        <v>7863.9561500832624</v>
      </c>
      <c r="M3386" s="16">
        <f>M3385/(Inputs!$D$7+$D$3392)^M3366</f>
        <v>162.88880355463422</v>
      </c>
    </row>
    <row r="3387" spans="2:13" ht="15" customHeight="1" x14ac:dyDescent="0.2">
      <c r="B3387" s="3" t="s">
        <v>910</v>
      </c>
      <c r="C3387" s="10" t="s">
        <v>896</v>
      </c>
      <c r="D3387" s="28">
        <f>(D3373*$D$3391-D3377)/(Inputs!$D$7+$D$3392)^D3366</f>
        <v>74.490519309095831</v>
      </c>
      <c r="E3387" s="28">
        <f>(E3373*$D$3391-E3377)/(Inputs!$D$7+$D$3392)^E3366</f>
        <v>346.09451503846662</v>
      </c>
      <c r="F3387" s="28">
        <f>(F3373*$D$3391-F3377)/(Inputs!$D$7+$D$3392)^F3366</f>
        <v>601.79110266312398</v>
      </c>
      <c r="G3387" s="28">
        <f>(G3373*$D$3391-G3377)/(Inputs!$D$7+$D$3392)^G3366</f>
        <v>702.83446516544734</v>
      </c>
      <c r="H3387" s="28">
        <f>(H3373*$D$3391-H3377)/(Inputs!$D$7+$D$3392)^H3366</f>
        <v>674.43286946611579</v>
      </c>
      <c r="I3387" s="28">
        <f>(I3373*$D$3391-I3377)/(Inputs!$D$7+$D$3392)^I3366</f>
        <v>596.69348218898278</v>
      </c>
      <c r="J3387" s="28">
        <f>(J3373*$D$3391-J3377)/(Inputs!$D$7+$D$3392)^J3366</f>
        <v>528.09150417844353</v>
      </c>
      <c r="K3387" s="28">
        <f>(K3373*$D$3391-K3377)/(Inputs!$D$7+$D$3392)^K3366</f>
        <v>467.37671033772904</v>
      </c>
      <c r="L3387" s="28">
        <f>(L3373*$D$3391-L3377)/(Inputs!$D$7+$D$3392)^L3366</f>
        <v>413.64230940610946</v>
      </c>
      <c r="M3387" s="28">
        <f>(M3373*$D$3391-M3377)/(Inputs!$D$7+$D$3392)^M3366</f>
        <v>365.96328731072373</v>
      </c>
    </row>
    <row r="3388" spans="2:13" ht="15" customHeight="1" x14ac:dyDescent="0.2">
      <c r="B3388" s="10" t="s">
        <v>911</v>
      </c>
      <c r="C3388" s="10" t="s">
        <v>110</v>
      </c>
      <c r="D3388" s="16">
        <f>(-D3375-D3376)/(Inputs!$D$7+$D$3392)^D3366</f>
        <v>-12808.928289029636</v>
      </c>
      <c r="E3388" s="16">
        <f>(-E3375-E3376)/(Inputs!$D$7+$D$3392)^E3366</f>
        <v>-30219.974420642928</v>
      </c>
      <c r="F3388" s="16">
        <f>(-F3375-F3376)/(Inputs!$D$7+$D$3392)^F3366</f>
        <v>-20059.183095337907</v>
      </c>
      <c r="G3388" s="16">
        <f>(-G3375-G3376)/(Inputs!$D$7+$D$3392)^G3366</f>
        <v>-10551.720115889953</v>
      </c>
      <c r="H3388" s="16">
        <f>(-H3375-H3376)/(Inputs!$D$7+$D$3392)^H3366</f>
        <v>-7513.0713511684744</v>
      </c>
      <c r="I3388" s="16">
        <f>(-I3375-I3376)/(Inputs!$D$7+$D$3392)^I3366</f>
        <v>-17725.512933602091</v>
      </c>
      <c r="J3388" s="16">
        <f>(-J3375-J3376)/(Inputs!$D$7+$D$3392)^J3366</f>
        <v>-11765.705173827875</v>
      </c>
      <c r="K3388" s="16">
        <f>(-K3375-K3376)/(Inputs!$D$7+$D$3392)^K3366</f>
        <v>-6233.95144943378</v>
      </c>
      <c r="L3388" s="16">
        <f>(-L3375-L3376)/(Inputs!$D$7+$D$3392)^L3366</f>
        <v>-4607.9073620630261</v>
      </c>
      <c r="M3388" s="16">
        <f>(-M3375-M3376)/(Inputs!$D$7+$D$3392)^M3366</f>
        <v>-10871.389039901173</v>
      </c>
    </row>
    <row r="3389" spans="2:13" ht="15" customHeight="1" x14ac:dyDescent="0.2">
      <c r="B3389" s="10" t="s">
        <v>912</v>
      </c>
      <c r="C3389" s="10" t="s">
        <v>110</v>
      </c>
      <c r="D3389" s="16">
        <f>Prices!I18</f>
        <v>43100</v>
      </c>
    </row>
    <row r="3390" spans="2:13" ht="15" customHeight="1" x14ac:dyDescent="0.2">
      <c r="B3390" s="3" t="s">
        <v>913</v>
      </c>
      <c r="C3390" s="10" t="s">
        <v>914</v>
      </c>
      <c r="D3390" s="28">
        <f>IF(J3397&gt;=J3393,J3397,(D3389-J3396)/J3395)</f>
        <v>34.805980107800181</v>
      </c>
      <c r="G3390" s="99" t="s">
        <v>915</v>
      </c>
      <c r="H3390" s="91"/>
      <c r="I3390" s="91"/>
      <c r="J3390" s="28">
        <f>D3390*Inputs!$D$15</f>
        <v>24.291093517233744</v>
      </c>
      <c r="K3390" s="99" t="s">
        <v>916</v>
      </c>
      <c r="L3390" s="91"/>
      <c r="M3390" s="91"/>
    </row>
    <row r="3391" spans="2:13" ht="15" customHeight="1" x14ac:dyDescent="0.2">
      <c r="B3391" s="10" t="s">
        <v>917</v>
      </c>
      <c r="C3391" s="10" t="s">
        <v>104</v>
      </c>
      <c r="D3391" s="30">
        <f>Inputs!$D$94</f>
        <v>0.75</v>
      </c>
      <c r="G3391" s="99" t="s">
        <v>918</v>
      </c>
      <c r="H3391" s="91"/>
      <c r="I3391" s="91"/>
      <c r="J3391" s="28">
        <f>IF(-D3402/D3401&gt;=J3393,-D3402/D3401,-J3396/J3395)</f>
        <v>27.411702074287536</v>
      </c>
      <c r="K3391" s="99" t="s">
        <v>919</v>
      </c>
      <c r="L3391" s="91"/>
      <c r="M3391" s="91"/>
    </row>
    <row r="3392" spans="2:13" ht="15" customHeight="1" x14ac:dyDescent="0.2">
      <c r="B3392" s="10" t="s">
        <v>920</v>
      </c>
      <c r="C3392" s="10" t="s">
        <v>104</v>
      </c>
      <c r="D3392" s="30">
        <f>Inputs!$D$95</f>
        <v>0.13</v>
      </c>
      <c r="G3392" s="99" t="s">
        <v>918</v>
      </c>
      <c r="H3392" s="91"/>
      <c r="I3392" s="91"/>
      <c r="J3392" s="28">
        <f>J3391*Inputs!$D$15</f>
        <v>19.13062687764527</v>
      </c>
      <c r="K3392" s="99" t="s">
        <v>916</v>
      </c>
      <c r="L3392" s="91"/>
      <c r="M3392" s="91"/>
    </row>
    <row r="3393" spans="2:13" ht="15" customHeight="1" x14ac:dyDescent="0.2">
      <c r="B3393" s="3" t="s">
        <v>921</v>
      </c>
      <c r="C3393" s="10" t="s">
        <v>848</v>
      </c>
      <c r="D3393" s="28">
        <f>Capital!$D$13</f>
        <v>57.347931490590682</v>
      </c>
      <c r="G3393" s="99" t="s">
        <v>922</v>
      </c>
      <c r="H3393" s="91"/>
      <c r="I3393" s="91"/>
      <c r="J3393" s="28">
        <f>($D$3393/Inputs!$D$21+$D$3394/Inputs!$D$22)/$D$3391</f>
        <v>19.290461530476374</v>
      </c>
      <c r="K3393" s="99" t="s">
        <v>919</v>
      </c>
      <c r="L3393" s="91"/>
      <c r="M3393" s="91"/>
    </row>
    <row r="3394" spans="2:13" ht="15" customHeight="1" x14ac:dyDescent="0.2">
      <c r="B3394" s="3" t="s">
        <v>923</v>
      </c>
      <c r="C3394" s="10" t="s">
        <v>848</v>
      </c>
      <c r="D3394" s="28">
        <f>Capital!$D$14</f>
        <v>2.6172655041921802</v>
      </c>
    </row>
    <row r="3395" spans="2:13" ht="15" customHeight="1" x14ac:dyDescent="0.2">
      <c r="B3395" s="10" t="s">
        <v>924</v>
      </c>
      <c r="C3395" s="10" t="s">
        <v>896</v>
      </c>
      <c r="D3395" s="28">
        <f>(M3368*(Inputs!$D$7+Inputs!$D$20)*$D$3391*(Inputs!$D$7-Inputs!$D$19)-M3368*Inputs!$D$20*Inputs!$D$23)/($D$3392-Inputs!$D$20)/(Inputs!$D$7+$D$3392)^M3366</f>
        <v>2497.8446594223992</v>
      </c>
      <c r="G3395" s="92" t="s">
        <v>910</v>
      </c>
      <c r="H3395" s="91"/>
      <c r="I3395" s="91"/>
      <c r="J3395" s="28">
        <f>SUM(D3387:M3387)+(M3368*(Inputs!$D$7+Inputs!$D$20)*$D$3391-M3368*Inputs!$D$20*Inputs!$D$23)/($D$3392-Inputs!$D$20)/(Inputs!$D$7+$D$3392)^M3366</f>
        <v>8341.0050516109004</v>
      </c>
      <c r="K3395" s="99" t="s">
        <v>896</v>
      </c>
      <c r="L3395" s="91"/>
      <c r="M3395" s="91"/>
    </row>
    <row r="3396" spans="2:13" ht="15" customHeight="1" x14ac:dyDescent="0.2">
      <c r="B3396" s="10" t="s">
        <v>925</v>
      </c>
      <c r="C3396" s="10" t="s">
        <v>110</v>
      </c>
      <c r="D3396" s="16">
        <f>(D3399*Inputs!$D$19-D3399-D3400)/($D$3392-Inputs!$D$20)/(Inputs!$D$7+$D$3392)^M3366</f>
        <v>-55207.290798783099</v>
      </c>
      <c r="G3396" s="92" t="s">
        <v>926</v>
      </c>
      <c r="H3396" s="91"/>
      <c r="I3396" s="91"/>
      <c r="J3396" s="16">
        <f>SUM(D3388:M3388)-(D3399+D3400)/($D$3392-Inputs!$D$20)/(Inputs!$D$7+$D$3392)^M3366</f>
        <v>-208239.17898202292</v>
      </c>
      <c r="K3396" s="99" t="s">
        <v>110</v>
      </c>
      <c r="L3396" s="91"/>
      <c r="M3396" s="91"/>
    </row>
    <row r="3397" spans="2:13" ht="15" customHeight="1" x14ac:dyDescent="0.2">
      <c r="B3397" s="10" t="s">
        <v>927</v>
      </c>
      <c r="C3397" s="10" t="s">
        <v>928</v>
      </c>
      <c r="D3397" s="16">
        <f>(M3368*(Inputs!$D$7+Inputs!$D$20)*$D$3390*$D$3391-D3399)-MAX((M3368*(Inputs!$D$7+Inputs!$D$20)*$D$3390*$D$3391-D3399),Inputs!$D$6)*Inputs!$D$19-D3400-M3368*Inputs!$D$20*$D$3390*Inputs!$D$23</f>
        <v>10925.447635176681</v>
      </c>
      <c r="G3397" s="99" t="s">
        <v>929</v>
      </c>
      <c r="H3397" s="91"/>
      <c r="I3397" s="91"/>
      <c r="J3397" s="28">
        <f>(D3389-D3402)/D3401</f>
        <v>34.805980107800181</v>
      </c>
      <c r="K3397" s="99" t="s">
        <v>919</v>
      </c>
      <c r="L3397" s="91"/>
      <c r="M3397" s="91"/>
    </row>
    <row r="3398" spans="2:13" ht="15" customHeight="1" x14ac:dyDescent="0.2">
      <c r="B3398" s="10" t="s">
        <v>930</v>
      </c>
      <c r="C3398" s="10" t="s">
        <v>110</v>
      </c>
      <c r="D3398" s="16">
        <f>D3397/($D$3392-Inputs!$D$20)</f>
        <v>104051.8822397779</v>
      </c>
      <c r="G3398" s="99" t="s">
        <v>931</v>
      </c>
      <c r="H3398" s="91"/>
      <c r="I3398" s="91"/>
      <c r="J3398" s="16">
        <f>MIN(D3382:M3382,(M3368*(Inputs!$D$7+Inputs!$D$20)*$D$3390*$D$3391-D3399))</f>
        <v>1351.6517642262427</v>
      </c>
      <c r="K3398" s="99" t="s">
        <v>110</v>
      </c>
      <c r="L3398" s="91"/>
      <c r="M3398" s="91"/>
    </row>
    <row r="3399" spans="2:13" ht="15" customHeight="1" x14ac:dyDescent="0.2">
      <c r="B3399" s="10" t="s">
        <v>932</v>
      </c>
      <c r="C3399" s="10" t="s">
        <v>928</v>
      </c>
      <c r="D3399" s="16">
        <f>M3368*(Inputs!$D$7+Inputs!$D$20)*($D$3393/Inputs!$D$21+$D$3394/Inputs!$D$22)</f>
        <v>23727.267682485937</v>
      </c>
      <c r="G3399" s="99" t="s">
        <v>933</v>
      </c>
      <c r="H3399" s="91"/>
      <c r="I3399" s="91"/>
      <c r="J3399" s="31" t="str">
        <f>IF(J3398&lt;Inputs!$D$6,"breached","satisfied")</f>
        <v>satisfied</v>
      </c>
      <c r="K3399" s="99" t="s">
        <v>934</v>
      </c>
      <c r="L3399" s="91"/>
      <c r="M3399" s="91"/>
    </row>
    <row r="3400" spans="2:13" ht="15" customHeight="1" x14ac:dyDescent="0.2">
      <c r="B3400" s="10" t="s">
        <v>935</v>
      </c>
      <c r="C3400" s="10" t="s">
        <v>928</v>
      </c>
      <c r="D3400" s="16">
        <f>M3368*Inputs!$D$20*($D$3393+$D$3394)</f>
        <v>2398.6078797913146</v>
      </c>
    </row>
    <row r="3401" spans="2:13" ht="15" customHeight="1" x14ac:dyDescent="0.2">
      <c r="B3401" s="10" t="s">
        <v>936</v>
      </c>
      <c r="C3401" s="10" t="s">
        <v>896</v>
      </c>
      <c r="D3401" s="28">
        <f>SUM(D3378:M3378)+D3395</f>
        <v>5828.8314024250149</v>
      </c>
      <c r="G3401" s="99" t="s">
        <v>937</v>
      </c>
      <c r="H3401" s="91"/>
      <c r="I3401" s="91"/>
      <c r="J3401" s="16">
        <f>D3403-D3389</f>
        <v>0</v>
      </c>
      <c r="K3401" s="99" t="s">
        <v>110</v>
      </c>
      <c r="L3401" s="91"/>
      <c r="M3401" s="91"/>
    </row>
    <row r="3402" spans="2:13" ht="15" customHeight="1" x14ac:dyDescent="0.2">
      <c r="B3402" s="10" t="s">
        <v>938</v>
      </c>
      <c r="C3402" s="10" t="s">
        <v>110</v>
      </c>
      <c r="D3402" s="16">
        <f>SUM(D3379:M3379)+D3396</f>
        <v>-159778.18984452612</v>
      </c>
    </row>
    <row r="3403" spans="2:13" ht="15" customHeight="1" x14ac:dyDescent="0.2">
      <c r="B3403" s="10" t="s">
        <v>939</v>
      </c>
      <c r="C3403" s="10" t="s">
        <v>110</v>
      </c>
      <c r="D3403" s="16">
        <f>SUM(D3386:M3386)+D3398/(Inputs!$D$7+$D$3392)^M3366</f>
        <v>43099.999999999949</v>
      </c>
    </row>
    <row r="3404" spans="2:13" ht="15" customHeight="1" x14ac:dyDescent="0.2">
      <c r="B3404" s="10" t="s">
        <v>940</v>
      </c>
      <c r="C3404" s="10" t="s">
        <v>104</v>
      </c>
      <c r="D3404" s="30">
        <f>IF(ABS(D3389)&gt;Inputs!$D$6,D3403/D3389-Inputs!$D$7,Inputs!$D$6)</f>
        <v>-1.2212453270876722E-15</v>
      </c>
    </row>
    <row r="3405" spans="2:13" ht="15" customHeight="1" x14ac:dyDescent="0.2">
      <c r="B3405" s="10" t="s">
        <v>941</v>
      </c>
      <c r="C3405" s="10" t="s">
        <v>104</v>
      </c>
      <c r="D3405" s="30">
        <f>IF(ABS(D3403)&gt;Inputs!$D$119,D3398/(Inputs!$D$7+$D$3392)^M3366/D3403,Inputs!$D$6)</f>
        <v>0.73625616541642458</v>
      </c>
    </row>
    <row r="3406" spans="2:13" ht="15" customHeight="1" x14ac:dyDescent="0.2">
      <c r="B3406" s="10" t="s">
        <v>942</v>
      </c>
      <c r="C3406" s="10" t="s">
        <v>943</v>
      </c>
      <c r="D3406" s="26">
        <f>$D$3390*Inputs!$D$8/Prices!$P$6/(Inputs!$D$26/Inputs!$D$25)/Inputs!$D$11/Inputs!$D$56</f>
        <v>6.3295732065454224</v>
      </c>
    </row>
    <row r="3410" spans="1:13" ht="15" customHeight="1" x14ac:dyDescent="0.2">
      <c r="A3410" s="104" t="s">
        <v>1017</v>
      </c>
      <c r="B3410" s="10" t="s">
        <v>886</v>
      </c>
      <c r="C3410" s="10" t="s">
        <v>107</v>
      </c>
      <c r="D3410" s="28">
        <f>Inputs!$D$60</f>
        <v>1</v>
      </c>
      <c r="E3410" s="28">
        <f>Inputs!$D$62</f>
        <v>2</v>
      </c>
      <c r="F3410" s="28">
        <f>Inputs!$D$64</f>
        <v>3</v>
      </c>
      <c r="G3410" s="28">
        <f>Inputs!$D$66</f>
        <v>4</v>
      </c>
      <c r="H3410" s="28">
        <f>Inputs!$D$68</f>
        <v>5</v>
      </c>
      <c r="I3410" s="28">
        <f>Inputs!$D$70</f>
        <v>6</v>
      </c>
      <c r="J3410" s="28">
        <f>Inputs!$D$72</f>
        <v>7</v>
      </c>
      <c r="K3410" s="28">
        <f>Inputs!$D$74</f>
        <v>8</v>
      </c>
      <c r="L3410" s="28">
        <f>Inputs!$D$76</f>
        <v>9</v>
      </c>
      <c r="M3410" s="28">
        <f>Inputs!$D$78</f>
        <v>10</v>
      </c>
    </row>
    <row r="3411" spans="1:13" ht="15" customHeight="1" x14ac:dyDescent="0.2">
      <c r="A3411" s="91"/>
      <c r="B3411" s="10" t="s">
        <v>887</v>
      </c>
      <c r="C3411" s="10" t="s">
        <v>161</v>
      </c>
      <c r="D3411" s="29">
        <f>Inputs!$D$61</f>
        <v>46568</v>
      </c>
      <c r="E3411" s="29">
        <f>Inputs!$D$63</f>
        <v>46934</v>
      </c>
      <c r="F3411" s="29">
        <f>Inputs!$D$65</f>
        <v>47299</v>
      </c>
      <c r="G3411" s="29">
        <f>Inputs!$D$67</f>
        <v>47664</v>
      </c>
      <c r="H3411" s="29">
        <f>Inputs!$D$69</f>
        <v>48029</v>
      </c>
      <c r="I3411" s="29">
        <f>Inputs!$D$71</f>
        <v>48395</v>
      </c>
      <c r="J3411" s="29">
        <f>Inputs!$D$73</f>
        <v>48760</v>
      </c>
      <c r="K3411" s="29">
        <f>Inputs!$D$75</f>
        <v>49125</v>
      </c>
      <c r="L3411" s="29">
        <f>Inputs!$D$77</f>
        <v>49490</v>
      </c>
      <c r="M3411" s="29">
        <f>Inputs!$D$79</f>
        <v>49856</v>
      </c>
    </row>
    <row r="3412" spans="1:13" ht="15" customHeight="1" x14ac:dyDescent="0.2">
      <c r="A3412" s="91"/>
      <c r="B3412" s="10" t="s">
        <v>888</v>
      </c>
      <c r="C3412" s="10" t="s">
        <v>107</v>
      </c>
      <c r="D3412" s="28">
        <f>(D3411-Inputs!$D$13)/Inputs!$D$10</f>
        <v>0.71457905544147848</v>
      </c>
      <c r="E3412" s="28">
        <f>(E3411-Inputs!$D$13)/Inputs!$D$10</f>
        <v>1.7166324435318274</v>
      </c>
      <c r="F3412" s="28">
        <f>(F3411-Inputs!$D$13)/Inputs!$D$10</f>
        <v>2.7159479808350446</v>
      </c>
      <c r="G3412" s="28">
        <f>(G3411-Inputs!$D$13)/Inputs!$D$10</f>
        <v>3.7152635181382614</v>
      </c>
      <c r="H3412" s="28">
        <f>(H3411-Inputs!$D$13)/Inputs!$D$10</f>
        <v>4.7145790554414786</v>
      </c>
      <c r="I3412" s="28">
        <f>(I3411-Inputs!$D$13)/Inputs!$D$10</f>
        <v>5.7166324435318279</v>
      </c>
      <c r="J3412" s="28">
        <f>(J3411-Inputs!$D$13)/Inputs!$D$10</f>
        <v>6.7159479808350442</v>
      </c>
      <c r="K3412" s="28">
        <f>(K3411-Inputs!$D$13)/Inputs!$D$10</f>
        <v>7.7152635181382614</v>
      </c>
      <c r="L3412" s="28">
        <f>(L3411-Inputs!$D$13)/Inputs!$D$10</f>
        <v>8.7145790554414777</v>
      </c>
      <c r="M3412" s="28">
        <f>(M3411-Inputs!$D$13)/Inputs!$D$10</f>
        <v>9.716632443531827</v>
      </c>
    </row>
    <row r="3413" spans="1:13" ht="15" customHeight="1" x14ac:dyDescent="0.2">
      <c r="A3413" s="91"/>
      <c r="B3413" s="10" t="s">
        <v>889</v>
      </c>
      <c r="C3413" s="10" t="s">
        <v>107</v>
      </c>
      <c r="D3413" s="28">
        <f>D3412</f>
        <v>0.71457905544147848</v>
      </c>
      <c r="E3413" s="28">
        <f>Inputs!$D$7</f>
        <v>1</v>
      </c>
      <c r="F3413" s="28">
        <f>Inputs!$D$7</f>
        <v>1</v>
      </c>
      <c r="G3413" s="28">
        <f>Inputs!$D$7</f>
        <v>1</v>
      </c>
      <c r="H3413" s="28">
        <f>Inputs!$D$7</f>
        <v>1</v>
      </c>
      <c r="I3413" s="28">
        <f>Inputs!$D$7</f>
        <v>1</v>
      </c>
      <c r="J3413" s="28">
        <f>Inputs!$D$7</f>
        <v>1</v>
      </c>
      <c r="K3413" s="28">
        <f>Inputs!$D$7</f>
        <v>1</v>
      </c>
      <c r="L3413" s="28">
        <f>Inputs!$D$7</f>
        <v>1</v>
      </c>
      <c r="M3413" s="28">
        <f>Inputs!$D$7</f>
        <v>1</v>
      </c>
    </row>
    <row r="3414" spans="1:13" ht="15" customHeight="1" x14ac:dyDescent="0.2">
      <c r="A3414" s="91"/>
      <c r="B3414" s="3" t="s">
        <v>890</v>
      </c>
      <c r="C3414" s="10" t="s">
        <v>199</v>
      </c>
      <c r="D3414" s="28">
        <f>Inputs!$D$24+(Inputs!$D$106-Inputs!$D$24)*Inputs!$D$109</f>
        <v>170.32</v>
      </c>
      <c r="E3414" s="28">
        <f>Inputs!$D$24+(Inputs!$D$106-Inputs!$D$24)*Inputs!$D$110</f>
        <v>481.12000000000006</v>
      </c>
      <c r="F3414" s="28">
        <f>Inputs!$D$24+(Inputs!$D$106-Inputs!$D$24)*Inputs!$D$111</f>
        <v>823</v>
      </c>
      <c r="G3414" s="28">
        <f>Inputs!$D$24+(Inputs!$D$106-Inputs!$D$24)*Inputs!$D$112</f>
        <v>1211.5</v>
      </c>
      <c r="H3414" s="28">
        <f>Inputs!$D$24+(Inputs!$D$106-Inputs!$D$24)*Inputs!$D$113</f>
        <v>1600</v>
      </c>
      <c r="I3414" s="28">
        <f>Inputs!$D$24+(Inputs!$D$106-Inputs!$D$24)*Inputs!$D$114</f>
        <v>1600</v>
      </c>
      <c r="J3414" s="28">
        <f>Inputs!$D$24+(Inputs!$D$106-Inputs!$D$24)*Inputs!$D$115</f>
        <v>1600</v>
      </c>
      <c r="K3414" s="28">
        <f>Inputs!$D$24+(Inputs!$D$106-Inputs!$D$24)*Inputs!$D$116</f>
        <v>1600</v>
      </c>
      <c r="L3414" s="28">
        <f>Inputs!$D$24+(Inputs!$D$106-Inputs!$D$24)*Inputs!$D$117</f>
        <v>1600</v>
      </c>
      <c r="M3414" s="28">
        <f>Inputs!$D$24+(Inputs!$D$106-Inputs!$D$24)*Inputs!$D$118</f>
        <v>1600</v>
      </c>
    </row>
    <row r="3415" spans="1:13" ht="15" customHeight="1" x14ac:dyDescent="0.2">
      <c r="A3415" s="91"/>
      <c r="B3415" s="10" t="s">
        <v>891</v>
      </c>
      <c r="C3415" s="10" t="s">
        <v>199</v>
      </c>
      <c r="D3415" s="28">
        <f>Inputs!$D$24</f>
        <v>46</v>
      </c>
      <c r="E3415" s="28">
        <f t="shared" ref="E3415:M3415" si="740">D3414</f>
        <v>170.32</v>
      </c>
      <c r="F3415" s="28">
        <f t="shared" si="740"/>
        <v>481.12000000000006</v>
      </c>
      <c r="G3415" s="28">
        <f t="shared" si="740"/>
        <v>823</v>
      </c>
      <c r="H3415" s="28">
        <f t="shared" si="740"/>
        <v>1211.5</v>
      </c>
      <c r="I3415" s="28">
        <f t="shared" si="740"/>
        <v>1600</v>
      </c>
      <c r="J3415" s="28">
        <f t="shared" si="740"/>
        <v>1600</v>
      </c>
      <c r="K3415" s="28">
        <f t="shared" si="740"/>
        <v>1600</v>
      </c>
      <c r="L3415" s="28">
        <f t="shared" si="740"/>
        <v>1600</v>
      </c>
      <c r="M3415" s="28">
        <f t="shared" si="740"/>
        <v>1600</v>
      </c>
    </row>
    <row r="3416" spans="1:13" ht="15" customHeight="1" x14ac:dyDescent="0.2">
      <c r="B3416" s="10" t="s">
        <v>892</v>
      </c>
      <c r="C3416" s="10" t="s">
        <v>199</v>
      </c>
      <c r="D3416" s="28">
        <f>(D3415+D3414)*Inputs!$D$12</f>
        <v>108.16</v>
      </c>
      <c r="E3416" s="28">
        <f>(E3415+E3414)*Inputs!$D$12</f>
        <v>325.72000000000003</v>
      </c>
      <c r="F3416" s="28">
        <f>(F3415+F3414)*Inputs!$D$12</f>
        <v>652.06000000000006</v>
      </c>
      <c r="G3416" s="28">
        <f>(G3415+G3414)*Inputs!$D$12</f>
        <v>1017.25</v>
      </c>
      <c r="H3416" s="28">
        <f>(H3415+H3414)*Inputs!$D$12</f>
        <v>1405.75</v>
      </c>
      <c r="I3416" s="28">
        <f>(I3415+I3414)*Inputs!$D$12</f>
        <v>1600</v>
      </c>
      <c r="J3416" s="28">
        <f>(J3415+J3414)*Inputs!$D$12</f>
        <v>1600</v>
      </c>
      <c r="K3416" s="28">
        <f>(K3415+K3414)*Inputs!$D$12</f>
        <v>1600</v>
      </c>
      <c r="L3416" s="28">
        <f>(L3415+L3414)*Inputs!$D$12</f>
        <v>1600</v>
      </c>
      <c r="M3416" s="28">
        <f>(M3415+M3414)*Inputs!$D$12</f>
        <v>1600</v>
      </c>
    </row>
    <row r="3417" spans="1:13" ht="15" customHeight="1" x14ac:dyDescent="0.2">
      <c r="B3417" s="10" t="s">
        <v>893</v>
      </c>
      <c r="C3417" s="10" t="s">
        <v>199</v>
      </c>
      <c r="D3417" s="28">
        <f t="shared" ref="D3417:M3417" si="741">D3414-D3415</f>
        <v>124.32</v>
      </c>
      <c r="E3417" s="28">
        <f t="shared" si="741"/>
        <v>310.80000000000007</v>
      </c>
      <c r="F3417" s="28">
        <f t="shared" si="741"/>
        <v>341.87999999999994</v>
      </c>
      <c r="G3417" s="28">
        <f t="shared" si="741"/>
        <v>388.5</v>
      </c>
      <c r="H3417" s="28">
        <f t="shared" si="741"/>
        <v>388.5</v>
      </c>
      <c r="I3417" s="28">
        <f t="shared" si="741"/>
        <v>0</v>
      </c>
      <c r="J3417" s="28">
        <f t="shared" si="741"/>
        <v>0</v>
      </c>
      <c r="K3417" s="28">
        <f t="shared" si="741"/>
        <v>0</v>
      </c>
      <c r="L3417" s="28">
        <f t="shared" si="741"/>
        <v>0</v>
      </c>
      <c r="M3417" s="28">
        <f t="shared" si="741"/>
        <v>0</v>
      </c>
    </row>
    <row r="3418" spans="1:13" ht="15" customHeight="1" x14ac:dyDescent="0.2">
      <c r="B3418" s="10" t="s">
        <v>894</v>
      </c>
      <c r="C3418" s="10" t="s">
        <v>199</v>
      </c>
      <c r="D3418" s="28">
        <f>IF(MOD(D3410,Inputs!$D$21)=Inputs!$D$6,Inputs!$D$24,Inputs!$D$6)+SUMPRODUCT(--(D3410&gt;$D$3410:$M$3410),--(MOD(D3410-$D$3410:$M$3410,Inputs!$D$21)=Inputs!$D$6),$D$3417:$M$3417)</f>
        <v>0</v>
      </c>
      <c r="E3418" s="28">
        <f>IF(MOD(E3410,Inputs!$D$21)=Inputs!$D$6,Inputs!$D$24,Inputs!$D$6)+SUMPRODUCT(--(E3410&gt;$D$3410:$M$3410),--(MOD(E3410-$D$3410:$M$3410,Inputs!$D$21)=Inputs!$D$6),$D$3417:$M$3417)</f>
        <v>0</v>
      </c>
      <c r="F3418" s="28">
        <f>IF(MOD(F3410,Inputs!$D$21)=Inputs!$D$6,Inputs!$D$24,Inputs!$D$6)+SUMPRODUCT(--(F3410&gt;$D$3410:$M$3410),--(MOD(F3410-$D$3410:$M$3410,Inputs!$D$21)=Inputs!$D$6),$D$3417:$M$3417)</f>
        <v>0</v>
      </c>
      <c r="G3418" s="28">
        <f>IF(MOD(G3410,Inputs!$D$21)=Inputs!$D$6,Inputs!$D$24,Inputs!$D$6)+SUMPRODUCT(--(G3410&gt;$D$3410:$M$3410),--(MOD(G3410-$D$3410:$M$3410,Inputs!$D$21)=Inputs!$D$6),$D$3417:$M$3417)</f>
        <v>46</v>
      </c>
      <c r="H3418" s="28">
        <f>IF(MOD(H3410,Inputs!$D$21)=Inputs!$D$6,Inputs!$D$24,Inputs!$D$6)+SUMPRODUCT(--(H3410&gt;$D$3410:$M$3410),--(MOD(H3410-$D$3410:$M$3410,Inputs!$D$21)=Inputs!$D$6),$D$3417:$M$3417)</f>
        <v>124.32</v>
      </c>
      <c r="I3418" s="28">
        <f>IF(MOD(I3410,Inputs!$D$21)=Inputs!$D$6,Inputs!$D$24,Inputs!$D$6)+SUMPRODUCT(--(I3410&gt;$D$3410:$M$3410),--(MOD(I3410-$D$3410:$M$3410,Inputs!$D$21)=Inputs!$D$6),$D$3417:$M$3417)</f>
        <v>310.80000000000007</v>
      </c>
      <c r="J3418" s="28">
        <f>IF(MOD(J3410,Inputs!$D$21)=Inputs!$D$6,Inputs!$D$24,Inputs!$D$6)+SUMPRODUCT(--(J3410&gt;$D$3410:$M$3410),--(MOD(J3410-$D$3410:$M$3410,Inputs!$D$21)=Inputs!$D$6),$D$3417:$M$3417)</f>
        <v>341.87999999999994</v>
      </c>
      <c r="K3418" s="28">
        <f>IF(MOD(K3410,Inputs!$D$21)=Inputs!$D$6,Inputs!$D$24,Inputs!$D$6)+SUMPRODUCT(--(K3410&gt;$D$3410:$M$3410),--(MOD(K3410-$D$3410:$M$3410,Inputs!$D$21)=Inputs!$D$6),$D$3417:$M$3417)</f>
        <v>434.5</v>
      </c>
      <c r="L3418" s="28">
        <f>IF(MOD(L3410,Inputs!$D$21)=Inputs!$D$6,Inputs!$D$24,Inputs!$D$6)+SUMPRODUCT(--(L3410&gt;$D$3410:$M$3410),--(MOD(L3410-$D$3410:$M$3410,Inputs!$D$21)=Inputs!$D$6),$D$3417:$M$3417)</f>
        <v>512.81999999999994</v>
      </c>
      <c r="M3418" s="28">
        <f>IF(MOD(M3410,Inputs!$D$21)=Inputs!$D$6,Inputs!$D$24,Inputs!$D$6)+SUMPRODUCT(--(M3410&gt;$D$3410:$M$3410),--(MOD(M3410-$D$3410:$M$3410,Inputs!$D$21)=Inputs!$D$6),$D$3417:$M$3417)</f>
        <v>310.80000000000007</v>
      </c>
    </row>
    <row r="3419" spans="1:13" ht="15" customHeight="1" x14ac:dyDescent="0.2">
      <c r="B3419" s="10" t="s">
        <v>895</v>
      </c>
      <c r="C3419" s="10" t="s">
        <v>896</v>
      </c>
      <c r="D3419" s="28">
        <f t="shared" ref="D3419:M3419" si="742">D3416*D3413</f>
        <v>77.288870636550314</v>
      </c>
      <c r="E3419" s="28">
        <f t="shared" si="742"/>
        <v>325.72000000000003</v>
      </c>
      <c r="F3419" s="28">
        <f t="shared" si="742"/>
        <v>652.06000000000006</v>
      </c>
      <c r="G3419" s="28">
        <f t="shared" si="742"/>
        <v>1017.25</v>
      </c>
      <c r="H3419" s="28">
        <f t="shared" si="742"/>
        <v>1405.75</v>
      </c>
      <c r="I3419" s="28">
        <f t="shared" si="742"/>
        <v>1600</v>
      </c>
      <c r="J3419" s="28">
        <f t="shared" si="742"/>
        <v>1600</v>
      </c>
      <c r="K3419" s="28">
        <f t="shared" si="742"/>
        <v>1600</v>
      </c>
      <c r="L3419" s="28">
        <f t="shared" si="742"/>
        <v>1600</v>
      </c>
      <c r="M3419" s="28">
        <f t="shared" si="742"/>
        <v>1600</v>
      </c>
    </row>
    <row r="3420" spans="1:13" ht="15" customHeight="1" x14ac:dyDescent="0.2">
      <c r="B3420" s="10" t="s">
        <v>897</v>
      </c>
      <c r="C3420" s="10" t="s">
        <v>110</v>
      </c>
      <c r="D3420" s="16">
        <f>D3419*($D$3439/Inputs!$D$21+$D$3440/Inputs!$D$22)</f>
        <v>1118.2034893112541</v>
      </c>
      <c r="E3420" s="16">
        <f>E3419*($D$3439/Inputs!$D$21+$D$3440/Inputs!$D$22)</f>
        <v>4712.466847280074</v>
      </c>
      <c r="F3420" s="16">
        <f>F3419*($D$3439/Inputs!$D$21+$D$3440/Inputs!$D$22)</f>
        <v>9433.9037591718188</v>
      </c>
      <c r="G3420" s="16">
        <f>G3419*($D$3439/Inputs!$D$21+$D$3440/Inputs!$D$22)</f>
        <v>14717.416493907818</v>
      </c>
      <c r="H3420" s="16">
        <f>H3419*($D$3439/Inputs!$D$21+$D$3440/Inputs!$D$22)</f>
        <v>20338.17472235037</v>
      </c>
      <c r="I3420" s="16">
        <f>I3419*($D$3439/Inputs!$D$21+$D$3440/Inputs!$D$22)</f>
        <v>23148.553836571649</v>
      </c>
      <c r="J3420" s="16">
        <f>J3419*($D$3439/Inputs!$D$21+$D$3440/Inputs!$D$22)</f>
        <v>23148.553836571649</v>
      </c>
      <c r="K3420" s="16">
        <f>K3419*($D$3439/Inputs!$D$21+$D$3440/Inputs!$D$22)</f>
        <v>23148.553836571649</v>
      </c>
      <c r="L3420" s="16">
        <f>L3419*($D$3439/Inputs!$D$21+$D$3440/Inputs!$D$22)</f>
        <v>23148.553836571649</v>
      </c>
      <c r="M3420" s="16">
        <f>M3419*($D$3439/Inputs!$D$21+$D$3440/Inputs!$D$22)</f>
        <v>23148.553836571649</v>
      </c>
    </row>
    <row r="3421" spans="1:13" ht="15" customHeight="1" x14ac:dyDescent="0.2">
      <c r="B3421" s="10" t="s">
        <v>898</v>
      </c>
      <c r="C3421" s="10" t="s">
        <v>110</v>
      </c>
      <c r="D3421" s="16">
        <f t="shared" ref="D3421:M3421" si="743">D3417*($D$3439+$D$3440)</f>
        <v>7454.8732903914051</v>
      </c>
      <c r="E3421" s="16">
        <f t="shared" si="743"/>
        <v>18637.183225978519</v>
      </c>
      <c r="F3421" s="16">
        <f t="shared" si="743"/>
        <v>20500.901548576363</v>
      </c>
      <c r="G3421" s="16">
        <f t="shared" si="743"/>
        <v>23296.479032473144</v>
      </c>
      <c r="H3421" s="16">
        <f t="shared" si="743"/>
        <v>23296.479032473144</v>
      </c>
      <c r="I3421" s="16">
        <f t="shared" si="743"/>
        <v>0</v>
      </c>
      <c r="J3421" s="16">
        <f t="shared" si="743"/>
        <v>0</v>
      </c>
      <c r="K3421" s="16">
        <f t="shared" si="743"/>
        <v>0</v>
      </c>
      <c r="L3421" s="16">
        <f t="shared" si="743"/>
        <v>0</v>
      </c>
      <c r="M3421" s="16">
        <f t="shared" si="743"/>
        <v>0</v>
      </c>
    </row>
    <row r="3422" spans="1:13" ht="15" customHeight="1" x14ac:dyDescent="0.2">
      <c r="B3422" s="10" t="s">
        <v>899</v>
      </c>
      <c r="C3422" s="10" t="s">
        <v>110</v>
      </c>
      <c r="D3422" s="16">
        <f t="shared" ref="D3422:M3422" si="744">D3418*$D$3439</f>
        <v>0</v>
      </c>
      <c r="E3422" s="16">
        <f t="shared" si="744"/>
        <v>0</v>
      </c>
      <c r="F3422" s="16">
        <f t="shared" si="744"/>
        <v>0</v>
      </c>
      <c r="G3422" s="16">
        <f t="shared" si="744"/>
        <v>2638.0048485671714</v>
      </c>
      <c r="H3422" s="16">
        <f t="shared" si="744"/>
        <v>7129.4948429102333</v>
      </c>
      <c r="I3422" s="16">
        <f t="shared" si="744"/>
        <v>17823.737107275589</v>
      </c>
      <c r="J3422" s="16">
        <f t="shared" si="744"/>
        <v>19606.110818003141</v>
      </c>
      <c r="K3422" s="16">
        <f t="shared" si="744"/>
        <v>24917.676232661652</v>
      </c>
      <c r="L3422" s="16">
        <f t="shared" si="744"/>
        <v>29409.166227004709</v>
      </c>
      <c r="M3422" s="16">
        <f t="shared" si="744"/>
        <v>17823.737107275589</v>
      </c>
    </row>
    <row r="3423" spans="1:13" ht="15" customHeight="1" x14ac:dyDescent="0.2">
      <c r="B3423" s="10" t="s">
        <v>900</v>
      </c>
      <c r="C3423" s="10" t="s">
        <v>199</v>
      </c>
      <c r="D3423" s="28">
        <f>D3417*Inputs!$D$23</f>
        <v>3.1080000000000001</v>
      </c>
      <c r="E3423" s="28">
        <f>E3417*Inputs!$D$23</f>
        <v>7.7700000000000022</v>
      </c>
      <c r="F3423" s="28">
        <f>F3417*Inputs!$D$23</f>
        <v>8.5469999999999988</v>
      </c>
      <c r="G3423" s="28">
        <f>G3417*Inputs!$D$23</f>
        <v>9.7125000000000004</v>
      </c>
      <c r="H3423" s="28">
        <f>H3417*Inputs!$D$23</f>
        <v>9.7125000000000004</v>
      </c>
      <c r="I3423" s="28">
        <f>I3417*Inputs!$D$23</f>
        <v>0</v>
      </c>
      <c r="J3423" s="28">
        <f>J3417*Inputs!$D$23</f>
        <v>0</v>
      </c>
      <c r="K3423" s="28">
        <f>K3417*Inputs!$D$23</f>
        <v>0</v>
      </c>
      <c r="L3423" s="28">
        <f>L3417*Inputs!$D$23</f>
        <v>0</v>
      </c>
      <c r="M3423" s="28">
        <f>M3417*Inputs!$D$23</f>
        <v>0</v>
      </c>
    </row>
    <row r="3424" spans="1:13" ht="15" customHeight="1" x14ac:dyDescent="0.2">
      <c r="B3424" s="3" t="s">
        <v>901</v>
      </c>
      <c r="C3424" s="10" t="s">
        <v>896</v>
      </c>
      <c r="D3424" s="28">
        <f>(D3419*$D$3437*(Inputs!$D$7-Inputs!$D$19)-D3423)/(Inputs!$D$7+$D$3438)^D3412</f>
        <v>40.99699201112098</v>
      </c>
      <c r="E3424" s="28">
        <f>(E3419*$D$3437*(Inputs!$D$7-Inputs!$D$19)-E3423)/(Inputs!$D$7+$D$3438)^E3412</f>
        <v>153.02781912726542</v>
      </c>
      <c r="F3424" s="28">
        <f>(F3419*$D$3437*(Inputs!$D$7-Inputs!$D$19)-F3423)/(Inputs!$D$7+$D$3438)^F3412</f>
        <v>268.8019226843403</v>
      </c>
      <c r="G3424" s="28">
        <f>(G3419*$D$3437*(Inputs!$D$7-Inputs!$D$19)-G3423)/(Inputs!$D$7+$D$3438)^G3412</f>
        <v>363.62824610263397</v>
      </c>
      <c r="H3424" s="28">
        <f>(H3419*$D$3437*(Inputs!$D$7-Inputs!$D$19)-H3423)/(Inputs!$D$7+$D$3438)^H3412</f>
        <v>435.07807528321291</v>
      </c>
      <c r="I3424" s="28">
        <f>(I3419*$D$3437*(Inputs!$D$7-Inputs!$D$19)-I3423)/(Inputs!$D$7+$D$3438)^I3412</f>
        <v>431.49711827119876</v>
      </c>
      <c r="J3424" s="28">
        <f>(J3419*$D$3437*(Inputs!$D$7-Inputs!$D$19)-J3423)/(Inputs!$D$7+$D$3438)^J3412</f>
        <v>372.01806500733016</v>
      </c>
      <c r="K3424" s="28">
        <f>(K3419*$D$3437*(Inputs!$D$7-Inputs!$D$19)-K3423)/(Inputs!$D$7+$D$3438)^K3412</f>
        <v>320.73780989845312</v>
      </c>
      <c r="L3424" s="28">
        <f>(L3419*$D$3437*(Inputs!$D$7-Inputs!$D$19)-L3423)/(Inputs!$D$7+$D$3438)^L3412</f>
        <v>276.52620228651875</v>
      </c>
      <c r="M3424" s="28">
        <f>(M3419*$D$3437*(Inputs!$D$7-Inputs!$D$19)-M3423)/(Inputs!$D$7+$D$3438)^M3412</f>
        <v>238.31201718226143</v>
      </c>
    </row>
    <row r="3425" spans="2:13" ht="15" customHeight="1" x14ac:dyDescent="0.2">
      <c r="B3425" s="10" t="s">
        <v>902</v>
      </c>
      <c r="C3425" s="10" t="s">
        <v>110</v>
      </c>
      <c r="D3425" s="16">
        <f>(D3420*Inputs!$D$19-D3421-D3422)/(Inputs!$D$7+$D$3438)^D3412</f>
        <v>-6403.0045740313244</v>
      </c>
      <c r="E3425" s="16">
        <f>(E3420*Inputs!$D$19-E3421-E3422)/(Inputs!$D$7+$D$3438)^E3412</f>
        <v>-13349.632212764713</v>
      </c>
      <c r="F3425" s="16">
        <f>(F3420*Inputs!$D$19-F3421-F3422)/(Inputs!$D$7+$D$3438)^F3412</f>
        <v>-11808.370082432088</v>
      </c>
      <c r="G3425" s="16">
        <f>(G3420*Inputs!$D$19-G3421-G3422)/(Inputs!$D$7+$D$3438)^G3412</f>
        <v>-12397.921878440668</v>
      </c>
      <c r="H3425" s="16">
        <f>(H3420*Inputs!$D$19-H3421-H3422)/(Inputs!$D$7+$D$3438)^H3412</f>
        <v>-12082.366885213038</v>
      </c>
      <c r="I3425" s="16">
        <f>(I3420*Inputs!$D$19-I3421-I3422)/(Inputs!$D$7+$D$3438)^I3412</f>
        <v>-4657.0743222469628</v>
      </c>
      <c r="J3425" s="16">
        <f>(J3420*Inputs!$D$19-J3421-J3422)/(Inputs!$D$7+$D$3438)^J3412</f>
        <v>-4672.9398284057479</v>
      </c>
      <c r="K3425" s="16">
        <f>(K3420*Inputs!$D$19-K3421-K3422)/(Inputs!$D$7+$D$3438)^K3412</f>
        <v>-5718.9047268503064</v>
      </c>
      <c r="L3425" s="16">
        <f>(L3420*Inputs!$D$19-L3421-L3422)/(Inputs!$D$7+$D$3438)^L3412</f>
        <v>-6162.7485564592316</v>
      </c>
      <c r="M3425" s="16">
        <f>(M3420*Inputs!$D$19-M3421-M3422)/(Inputs!$D$7+$D$3438)^M3412</f>
        <v>-2572.0606903447429</v>
      </c>
    </row>
    <row r="3426" spans="2:13" ht="15" customHeight="1" x14ac:dyDescent="0.2">
      <c r="B3426" s="10" t="s">
        <v>903</v>
      </c>
      <c r="C3426" s="10" t="s">
        <v>110</v>
      </c>
      <c r="D3426" s="16">
        <f t="shared" ref="D3426:M3426" si="745">D3419*$D$3436</f>
        <v>2564.3104266306655</v>
      </c>
      <c r="E3426" s="16">
        <f t="shared" si="745"/>
        <v>10806.823612287946</v>
      </c>
      <c r="F3426" s="16">
        <f t="shared" si="745"/>
        <v>21634.217747232218</v>
      </c>
      <c r="G3426" s="16">
        <f t="shared" si="745"/>
        <v>33750.587374431758</v>
      </c>
      <c r="H3426" s="16">
        <f t="shared" si="745"/>
        <v>46640.342296984461</v>
      </c>
      <c r="I3426" s="16">
        <f t="shared" si="745"/>
        <v>53085.219758260813</v>
      </c>
      <c r="J3426" s="16">
        <f t="shared" si="745"/>
        <v>53085.219758260813</v>
      </c>
      <c r="K3426" s="16">
        <f t="shared" si="745"/>
        <v>53085.219758260813</v>
      </c>
      <c r="L3426" s="16">
        <f t="shared" si="745"/>
        <v>53085.219758260813</v>
      </c>
      <c r="M3426" s="16">
        <f t="shared" si="745"/>
        <v>53085.219758260813</v>
      </c>
    </row>
    <row r="3427" spans="2:13" ht="15" customHeight="1" x14ac:dyDescent="0.2">
      <c r="B3427" s="10" t="s">
        <v>904</v>
      </c>
      <c r="C3427" s="10" t="s">
        <v>110</v>
      </c>
      <c r="D3427" s="16">
        <f t="shared" ref="D3427:M3427" si="746">D3426*$D$3437</f>
        <v>2307.8793839675991</v>
      </c>
      <c r="E3427" s="16">
        <f t="shared" si="746"/>
        <v>9726.1412510591526</v>
      </c>
      <c r="F3427" s="16">
        <f t="shared" si="746"/>
        <v>19470.795972508997</v>
      </c>
      <c r="G3427" s="16">
        <f t="shared" si="746"/>
        <v>30375.528636988583</v>
      </c>
      <c r="H3427" s="16">
        <f t="shared" si="746"/>
        <v>41976.308067286016</v>
      </c>
      <c r="I3427" s="16">
        <f t="shared" si="746"/>
        <v>47776.697782434734</v>
      </c>
      <c r="J3427" s="16">
        <f t="shared" si="746"/>
        <v>47776.697782434734</v>
      </c>
      <c r="K3427" s="16">
        <f t="shared" si="746"/>
        <v>47776.697782434734</v>
      </c>
      <c r="L3427" s="16">
        <f t="shared" si="746"/>
        <v>47776.697782434734</v>
      </c>
      <c r="M3427" s="16">
        <f t="shared" si="746"/>
        <v>47776.697782434734</v>
      </c>
    </row>
    <row r="3428" spans="2:13" ht="15" customHeight="1" x14ac:dyDescent="0.2">
      <c r="B3428" s="10" t="s">
        <v>905</v>
      </c>
      <c r="C3428" s="10" t="s">
        <v>110</v>
      </c>
      <c r="D3428" s="16">
        <f t="shared" ref="D3428:M3428" si="747">D3427-D3420</f>
        <v>1189.675894656345</v>
      </c>
      <c r="E3428" s="16">
        <f t="shared" si="747"/>
        <v>5013.6744037790786</v>
      </c>
      <c r="F3428" s="16">
        <f t="shared" si="747"/>
        <v>10036.892213337178</v>
      </c>
      <c r="G3428" s="16">
        <f t="shared" si="747"/>
        <v>15658.112143080765</v>
      </c>
      <c r="H3428" s="16">
        <f t="shared" si="747"/>
        <v>21638.133344935646</v>
      </c>
      <c r="I3428" s="16">
        <f t="shared" si="747"/>
        <v>24628.143945863085</v>
      </c>
      <c r="J3428" s="16">
        <f t="shared" si="747"/>
        <v>24628.143945863085</v>
      </c>
      <c r="K3428" s="16">
        <f t="shared" si="747"/>
        <v>24628.143945863085</v>
      </c>
      <c r="L3428" s="16">
        <f t="shared" si="747"/>
        <v>24628.143945863085</v>
      </c>
      <c r="M3428" s="16">
        <f t="shared" si="747"/>
        <v>24628.143945863085</v>
      </c>
    </row>
    <row r="3429" spans="2:13" ht="15" customHeight="1" x14ac:dyDescent="0.2">
      <c r="B3429" s="10" t="s">
        <v>906</v>
      </c>
      <c r="C3429" s="10" t="s">
        <v>110</v>
      </c>
      <c r="D3429" s="16">
        <f>MAX(D3428,Inputs!$D$6)*Inputs!$D$19</f>
        <v>356.90276839690347</v>
      </c>
      <c r="E3429" s="16">
        <f>MAX(E3428,Inputs!$D$6)*Inputs!$D$19</f>
        <v>1504.1023211337235</v>
      </c>
      <c r="F3429" s="16">
        <f>MAX(F3428,Inputs!$D$6)*Inputs!$D$19</f>
        <v>3011.0676640011534</v>
      </c>
      <c r="G3429" s="16">
        <f>MAX(G3428,Inputs!$D$6)*Inputs!$D$19</f>
        <v>4697.4336429242294</v>
      </c>
      <c r="H3429" s="16">
        <f>MAX(H3428,Inputs!$D$6)*Inputs!$D$19</f>
        <v>6491.440003480694</v>
      </c>
      <c r="I3429" s="16">
        <f>MAX(I3428,Inputs!$D$6)*Inputs!$D$19</f>
        <v>7388.4431837589254</v>
      </c>
      <c r="J3429" s="16">
        <f>MAX(J3428,Inputs!$D$6)*Inputs!$D$19</f>
        <v>7388.4431837589254</v>
      </c>
      <c r="K3429" s="16">
        <f>MAX(K3428,Inputs!$D$6)*Inputs!$D$19</f>
        <v>7388.4431837589254</v>
      </c>
      <c r="L3429" s="16">
        <f>MAX(L3428,Inputs!$D$6)*Inputs!$D$19</f>
        <v>7388.4431837589254</v>
      </c>
      <c r="M3429" s="16">
        <f>MAX(M3428,Inputs!$D$6)*Inputs!$D$19</f>
        <v>7388.4431837589254</v>
      </c>
    </row>
    <row r="3430" spans="2:13" ht="15" customHeight="1" x14ac:dyDescent="0.2">
      <c r="B3430" s="10" t="s">
        <v>907</v>
      </c>
      <c r="C3430" s="10" t="s">
        <v>110</v>
      </c>
      <c r="D3430" s="16">
        <f t="shared" ref="D3430:M3430" si="748">D3423*$D$3436</f>
        <v>103.11803938042164</v>
      </c>
      <c r="E3430" s="16">
        <f t="shared" si="748"/>
        <v>257.79509845105417</v>
      </c>
      <c r="F3430" s="16">
        <f t="shared" si="748"/>
        <v>283.57460829615945</v>
      </c>
      <c r="G3430" s="16">
        <f t="shared" si="748"/>
        <v>322.2438730638176</v>
      </c>
      <c r="H3430" s="16">
        <f t="shared" si="748"/>
        <v>322.2438730638176</v>
      </c>
      <c r="I3430" s="16">
        <f t="shared" si="748"/>
        <v>0</v>
      </c>
      <c r="J3430" s="16">
        <f t="shared" si="748"/>
        <v>0</v>
      </c>
      <c r="K3430" s="16">
        <f t="shared" si="748"/>
        <v>0</v>
      </c>
      <c r="L3430" s="16">
        <f t="shared" si="748"/>
        <v>0</v>
      </c>
      <c r="M3430" s="16">
        <f t="shared" si="748"/>
        <v>0</v>
      </c>
    </row>
    <row r="3431" spans="2:13" ht="15" customHeight="1" x14ac:dyDescent="0.2">
      <c r="B3431" s="10" t="s">
        <v>908</v>
      </c>
      <c r="C3431" s="10" t="s">
        <v>110</v>
      </c>
      <c r="D3431" s="16">
        <f t="shared" ref="D3431:M3431" si="749">D3427-D3429-D3421-D3422-D3430</f>
        <v>-5607.014714201131</v>
      </c>
      <c r="E3431" s="16">
        <f t="shared" si="749"/>
        <v>-10672.939394504143</v>
      </c>
      <c r="F3431" s="16">
        <f t="shared" si="749"/>
        <v>-4324.7478483646773</v>
      </c>
      <c r="G3431" s="16">
        <f t="shared" si="749"/>
        <v>-578.63276003977785</v>
      </c>
      <c r="H3431" s="16">
        <f t="shared" si="749"/>
        <v>4736.6503153581243</v>
      </c>
      <c r="I3431" s="16">
        <f t="shared" si="749"/>
        <v>22564.517491400216</v>
      </c>
      <c r="J3431" s="16">
        <f t="shared" si="749"/>
        <v>20782.143780672664</v>
      </c>
      <c r="K3431" s="16">
        <f t="shared" si="749"/>
        <v>15470.578366014153</v>
      </c>
      <c r="L3431" s="16">
        <f t="shared" si="749"/>
        <v>10979.088371671096</v>
      </c>
      <c r="M3431" s="16">
        <f t="shared" si="749"/>
        <v>22564.517491400216</v>
      </c>
    </row>
    <row r="3432" spans="2:13" ht="15" customHeight="1" x14ac:dyDescent="0.2">
      <c r="B3432" s="10" t="s">
        <v>909</v>
      </c>
      <c r="C3432" s="10" t="s">
        <v>110</v>
      </c>
      <c r="D3432" s="16">
        <f>D3431/(Inputs!$D$7+$D$3438)^D3412</f>
        <v>-5042.7956175700619</v>
      </c>
      <c r="E3432" s="16">
        <f>E3431/(Inputs!$D$7+$D$3438)^E3412</f>
        <v>-8272.4350830782896</v>
      </c>
      <c r="F3432" s="16">
        <f>F3431/(Inputs!$D$7+$D$3438)^F3412</f>
        <v>-2889.9893717188111</v>
      </c>
      <c r="G3432" s="16">
        <f>G3431/(Inputs!$D$7+$D$3438)^G3412</f>
        <v>-333.36853177237077</v>
      </c>
      <c r="H3432" s="16">
        <f>H3431/(Inputs!$D$7+$D$3438)^H3412</f>
        <v>2352.7676387935248</v>
      </c>
      <c r="I3432" s="16">
        <f>I3431/(Inputs!$D$7+$D$3438)^I3412</f>
        <v>9659.2502705548159</v>
      </c>
      <c r="J3432" s="16">
        <f>J3431/(Inputs!$D$7+$D$3438)^J3412</f>
        <v>7669.9731309424269</v>
      </c>
      <c r="K3432" s="16">
        <f>K3431/(Inputs!$D$7+$D$3438)^K3412</f>
        <v>4922.6184751763585</v>
      </c>
      <c r="L3432" s="16">
        <f>L3431/(Inputs!$D$7+$D$3438)^L3412</f>
        <v>3011.9103293514759</v>
      </c>
      <c r="M3432" s="16">
        <f>M3431/(Inputs!$D$7+$D$3438)^M3412</f>
        <v>5334.717936626992</v>
      </c>
    </row>
    <row r="3433" spans="2:13" ht="15" customHeight="1" x14ac:dyDescent="0.2">
      <c r="B3433" s="3" t="s">
        <v>910</v>
      </c>
      <c r="C3433" s="10" t="s">
        <v>896</v>
      </c>
      <c r="D3433" s="28">
        <f>(D3419*$D$3437-D3423)/(Inputs!$D$7+$D$3438)^D3412</f>
        <v>59.765095798928819</v>
      </c>
      <c r="E3433" s="28">
        <f>(E3419*$D$3437-E3423)/(Inputs!$D$7+$D$3438)^E3412</f>
        <v>221.1922031857838</v>
      </c>
      <c r="F3433" s="28">
        <f>(F3419*$D$3437-F3423)/(Inputs!$D$7+$D$3438)^F3412</f>
        <v>386.45052664112239</v>
      </c>
      <c r="G3433" s="28">
        <f>(G3419*$D$3437-G3423)/(Inputs!$D$7+$D$3438)^G3412</f>
        <v>521.867070169518</v>
      </c>
      <c r="H3433" s="28">
        <f>(H3419*$D$3437-H3423)/(Inputs!$D$7+$D$3438)^H3412</f>
        <v>623.60768582417222</v>
      </c>
      <c r="I3433" s="28">
        <f>(I3419*$D$3437-I3423)/(Inputs!$D$7+$D$3438)^I3412</f>
        <v>616.42445467314121</v>
      </c>
      <c r="J3433" s="28">
        <f>(J3419*$D$3437-J3423)/(Inputs!$D$7+$D$3438)^J3412</f>
        <v>531.4543785819003</v>
      </c>
      <c r="K3433" s="28">
        <f>(K3419*$D$3437-K3423)/(Inputs!$D$7+$D$3438)^K3412</f>
        <v>458.19687128350449</v>
      </c>
      <c r="L3433" s="28">
        <f>(L3419*$D$3437-L3423)/(Inputs!$D$7+$D$3438)^L3412</f>
        <v>395.03743183788401</v>
      </c>
      <c r="M3433" s="28">
        <f>(M3419*$D$3437-M3423)/(Inputs!$D$7+$D$3438)^M3412</f>
        <v>340.44573883180209</v>
      </c>
    </row>
    <row r="3434" spans="2:13" ht="15" customHeight="1" x14ac:dyDescent="0.2">
      <c r="B3434" s="10" t="s">
        <v>911</v>
      </c>
      <c r="C3434" s="10" t="s">
        <v>110</v>
      </c>
      <c r="D3434" s="16">
        <f>(-D3421-D3422)/(Inputs!$D$7+$D$3438)^D3412</f>
        <v>-6704.7090607969039</v>
      </c>
      <c r="E3434" s="16">
        <f>(-E3421-E3422)/(Inputs!$D$7+$D$3438)^E3412</f>
        <v>-14445.4009031226</v>
      </c>
      <c r="F3434" s="16">
        <f>(-F3421-F3422)/(Inputs!$D$7+$D$3438)^F3412</f>
        <v>-13699.616639717549</v>
      </c>
      <c r="G3434" s="16">
        <f>(-G3421-G3422)/(Inputs!$D$7+$D$3438)^G3412</f>
        <v>-14941.671835349038</v>
      </c>
      <c r="H3434" s="16">
        <f>(-H3421-H3422)/(Inputs!$D$7+$D$3438)^H3412</f>
        <v>-15113.052884793095</v>
      </c>
      <c r="I3434" s="16">
        <f>(-I3421-I3422)/(Inputs!$D$7+$D$3438)^I3412</f>
        <v>-7629.8523795762403</v>
      </c>
      <c r="J3434" s="16">
        <f>(-J3421-J3422)/(Inputs!$D$7+$D$3438)^J3412</f>
        <v>-7235.9398897150922</v>
      </c>
      <c r="K3434" s="16">
        <f>(-K3421-K3422)/(Inputs!$D$7+$D$3438)^K3412</f>
        <v>-7928.612006570077</v>
      </c>
      <c r="L3434" s="16">
        <f>(-L3421-L3422)/(Inputs!$D$7+$D$3438)^L3412</f>
        <v>-8067.8621519509534</v>
      </c>
      <c r="M3434" s="16">
        <f>(-M3421-M3422)/(Inputs!$D$7+$D$3438)^M3412</f>
        <v>-4213.8995473821142</v>
      </c>
    </row>
    <row r="3435" spans="2:13" ht="15" customHeight="1" x14ac:dyDescent="0.2">
      <c r="B3435" s="10" t="s">
        <v>912</v>
      </c>
      <c r="C3435" s="10" t="s">
        <v>110</v>
      </c>
      <c r="D3435" s="16">
        <f>Prices!I18</f>
        <v>43100</v>
      </c>
    </row>
    <row r="3436" spans="2:13" ht="15" customHeight="1" x14ac:dyDescent="0.2">
      <c r="B3436" s="3" t="s">
        <v>913</v>
      </c>
      <c r="C3436" s="10" t="s">
        <v>914</v>
      </c>
      <c r="D3436" s="28">
        <f>IF(J3443&gt;=J3439,J3443,(D3435-J3442)/J3441)</f>
        <v>33.178262348913009</v>
      </c>
      <c r="G3436" s="99" t="s">
        <v>915</v>
      </c>
      <c r="H3436" s="91"/>
      <c r="I3436" s="91"/>
      <c r="J3436" s="28">
        <f>D3436*Inputs!$D$15</f>
        <v>23.155109293306388</v>
      </c>
      <c r="K3436" s="99" t="s">
        <v>916</v>
      </c>
      <c r="L3436" s="91"/>
      <c r="M3436" s="91"/>
    </row>
    <row r="3437" spans="2:13" ht="15" customHeight="1" x14ac:dyDescent="0.2">
      <c r="B3437" s="10" t="s">
        <v>917</v>
      </c>
      <c r="C3437" s="10" t="s">
        <v>104</v>
      </c>
      <c r="D3437" s="30">
        <f>Inputs!$D$107</f>
        <v>0.9</v>
      </c>
      <c r="G3437" s="99" t="s">
        <v>918</v>
      </c>
      <c r="H3437" s="91"/>
      <c r="I3437" s="91"/>
      <c r="J3437" s="28">
        <f>IF(-D3448/D3447&gt;=J3439,-D3448/D3447,-J3442/J3441)</f>
        <v>24.024174528419383</v>
      </c>
      <c r="K3437" s="99" t="s">
        <v>919</v>
      </c>
      <c r="L3437" s="91"/>
      <c r="M3437" s="91"/>
    </row>
    <row r="3438" spans="2:13" ht="15" customHeight="1" x14ac:dyDescent="0.2">
      <c r="B3438" s="10" t="s">
        <v>920</v>
      </c>
      <c r="C3438" s="10" t="s">
        <v>104</v>
      </c>
      <c r="D3438" s="30">
        <f>Inputs!$D$108</f>
        <v>0.16</v>
      </c>
      <c r="G3438" s="99" t="s">
        <v>918</v>
      </c>
      <c r="H3438" s="91"/>
      <c r="I3438" s="91"/>
      <c r="J3438" s="28">
        <f>J3437*Inputs!$D$15</f>
        <v>16.766471403383886</v>
      </c>
      <c r="K3438" s="99" t="s">
        <v>916</v>
      </c>
      <c r="L3438" s="91"/>
      <c r="M3438" s="91"/>
    </row>
    <row r="3439" spans="2:13" ht="15" customHeight="1" x14ac:dyDescent="0.2">
      <c r="B3439" s="3" t="s">
        <v>921</v>
      </c>
      <c r="C3439" s="10" t="s">
        <v>848</v>
      </c>
      <c r="D3439" s="28">
        <f>Capital!$D$13</f>
        <v>57.347931490590682</v>
      </c>
      <c r="G3439" s="99" t="s">
        <v>922</v>
      </c>
      <c r="H3439" s="91"/>
      <c r="I3439" s="91"/>
      <c r="J3439" s="28">
        <f>($D$3439/Inputs!$D$21+$D$3440/Inputs!$D$22)/$D$3437</f>
        <v>16.07538460873031</v>
      </c>
      <c r="K3439" s="99" t="s">
        <v>919</v>
      </c>
      <c r="L3439" s="91"/>
      <c r="M3439" s="91"/>
    </row>
    <row r="3440" spans="2:13" ht="15" customHeight="1" x14ac:dyDescent="0.2">
      <c r="B3440" s="3" t="s">
        <v>923</v>
      </c>
      <c r="C3440" s="10" t="s">
        <v>848</v>
      </c>
      <c r="D3440" s="28">
        <f>Capital!$D$14</f>
        <v>2.6172655041921802</v>
      </c>
    </row>
    <row r="3441" spans="1:13" ht="15" customHeight="1" x14ac:dyDescent="0.2">
      <c r="B3441" s="10" t="s">
        <v>924</v>
      </c>
      <c r="C3441" s="10" t="s">
        <v>896</v>
      </c>
      <c r="D3441" s="28">
        <f>(M3414*(Inputs!$D$7+Inputs!$D$20)*$D$3437*(Inputs!$D$7-Inputs!$D$19)-M3414*Inputs!$D$20*Inputs!$D$23)/($D$3438-Inputs!$D$20)/(Inputs!$D$7+$D$3438)^M3412</f>
        <v>1807.6547922951956</v>
      </c>
      <c r="G3441" s="92" t="s">
        <v>910</v>
      </c>
      <c r="H3441" s="91"/>
      <c r="I3441" s="91"/>
      <c r="J3441" s="28">
        <f>SUM(D3433:M3433)+(M3414*(Inputs!$D$7+Inputs!$D$20)*$D$3437-M3414*Inputs!$D$20*Inputs!$D$23)/($D$3438-Inputs!$D$20)/(Inputs!$D$7+$D$3438)^M3412</f>
        <v>6737.5559875731687</v>
      </c>
      <c r="K3441" s="99" t="s">
        <v>896</v>
      </c>
      <c r="L3441" s="91"/>
      <c r="M3441" s="91"/>
    </row>
    <row r="3442" spans="1:13" ht="15" customHeight="1" x14ac:dyDescent="0.2">
      <c r="B3442" s="10" t="s">
        <v>925</v>
      </c>
      <c r="C3442" s="10" t="s">
        <v>110</v>
      </c>
      <c r="D3442" s="16">
        <f>(D3445*Inputs!$D$19-D3445-D3446)/($D$3438-Inputs!$D$20)/(Inputs!$D$7+$D$3438)^M3412</f>
        <v>-33287.494112345899</v>
      </c>
      <c r="G3442" s="92" t="s">
        <v>926</v>
      </c>
      <c r="H3442" s="91"/>
      <c r="I3442" s="91"/>
      <c r="J3442" s="16">
        <f>SUM(D3434:M3434)-(D3445+D3446)/($D$3438-Inputs!$D$20)/(Inputs!$D$7+$D$3438)^M3412</f>
        <v>-145733.9249554922</v>
      </c>
      <c r="K3442" s="99" t="s">
        <v>110</v>
      </c>
      <c r="L3442" s="91"/>
      <c r="M3442" s="91"/>
    </row>
    <row r="3443" spans="1:13" ht="15" customHeight="1" x14ac:dyDescent="0.2">
      <c r="B3443" s="10" t="s">
        <v>927</v>
      </c>
      <c r="C3443" s="10" t="s">
        <v>928</v>
      </c>
      <c r="D3443" s="16">
        <f>(M3414*(Inputs!$D$7+Inputs!$D$20)*$D$3436*$D$3437-D3445)-MAX((M3414*(Inputs!$D$7+Inputs!$D$20)*$D$3436*$D$3437-D3445),Inputs!$D$6)*Inputs!$D$19-D3446-M3414*Inputs!$D$20*$D$3436*Inputs!$D$23</f>
        <v>15238.907139016537</v>
      </c>
      <c r="G3443" s="99" t="s">
        <v>929</v>
      </c>
      <c r="H3443" s="91"/>
      <c r="I3443" s="91"/>
      <c r="J3443" s="28">
        <f>(D3435-D3448)/D3447</f>
        <v>33.178262348913009</v>
      </c>
      <c r="K3443" s="99" t="s">
        <v>919</v>
      </c>
      <c r="L3443" s="91"/>
      <c r="M3443" s="91"/>
    </row>
    <row r="3444" spans="1:13" ht="15" customHeight="1" x14ac:dyDescent="0.2">
      <c r="B3444" s="10" t="s">
        <v>930</v>
      </c>
      <c r="C3444" s="10" t="s">
        <v>110</v>
      </c>
      <c r="D3444" s="16">
        <f>D3443/($D$3438-Inputs!$D$20)</f>
        <v>112880.79362234472</v>
      </c>
      <c r="G3444" s="99" t="s">
        <v>931</v>
      </c>
      <c r="H3444" s="91"/>
      <c r="I3444" s="91"/>
      <c r="J3444" s="16">
        <f>MIN(D3428:M3428,(M3414*(Inputs!$D$7+Inputs!$D$20)*$D$3436*$D$3437-D3445))</f>
        <v>1189.675894656345</v>
      </c>
      <c r="K3444" s="99" t="s">
        <v>110</v>
      </c>
      <c r="L3444" s="91"/>
      <c r="M3444" s="91"/>
    </row>
    <row r="3445" spans="1:13" ht="15" customHeight="1" x14ac:dyDescent="0.2">
      <c r="B3445" s="10" t="s">
        <v>932</v>
      </c>
      <c r="C3445" s="10" t="s">
        <v>928</v>
      </c>
      <c r="D3445" s="16">
        <f>M3414*(Inputs!$D$7+Inputs!$D$20)*($D$3439/Inputs!$D$21+$D$3440/Inputs!$D$22)</f>
        <v>23727.267682485937</v>
      </c>
      <c r="G3445" s="99" t="s">
        <v>933</v>
      </c>
      <c r="H3445" s="91"/>
      <c r="I3445" s="91"/>
      <c r="J3445" s="31" t="str">
        <f>IF(J3444&lt;Inputs!$D$6,"breached","satisfied")</f>
        <v>satisfied</v>
      </c>
      <c r="K3445" s="99" t="s">
        <v>934</v>
      </c>
      <c r="L3445" s="91"/>
      <c r="M3445" s="91"/>
    </row>
    <row r="3446" spans="1:13" ht="15" customHeight="1" x14ac:dyDescent="0.2">
      <c r="B3446" s="10" t="s">
        <v>935</v>
      </c>
      <c r="C3446" s="10" t="s">
        <v>928</v>
      </c>
      <c r="D3446" s="16">
        <f>M3414*Inputs!$D$20*($D$3439+$D$3440)</f>
        <v>2398.6078797913146</v>
      </c>
    </row>
    <row r="3447" spans="1:13" ht="15" customHeight="1" x14ac:dyDescent="0.2">
      <c r="B3447" s="10" t="s">
        <v>936</v>
      </c>
      <c r="C3447" s="10" t="s">
        <v>896</v>
      </c>
      <c r="D3447" s="28">
        <f>SUM(D3424:M3424)+D3441</f>
        <v>4708.2790601495317</v>
      </c>
      <c r="G3447" s="99" t="s">
        <v>937</v>
      </c>
      <c r="H3447" s="91"/>
      <c r="I3447" s="91"/>
      <c r="J3447" s="16">
        <f>D3449-D3435</f>
        <v>0</v>
      </c>
      <c r="K3447" s="99" t="s">
        <v>110</v>
      </c>
      <c r="L3447" s="91"/>
      <c r="M3447" s="91"/>
    </row>
    <row r="3448" spans="1:13" ht="15" customHeight="1" x14ac:dyDescent="0.2">
      <c r="B3448" s="10" t="s">
        <v>938</v>
      </c>
      <c r="C3448" s="10" t="s">
        <v>110</v>
      </c>
      <c r="D3448" s="16">
        <f>SUM(D3425:M3425)+D3442</f>
        <v>-113112.51786953473</v>
      </c>
    </row>
    <row r="3449" spans="1:13" ht="15" customHeight="1" x14ac:dyDescent="0.2">
      <c r="B3449" s="10" t="s">
        <v>939</v>
      </c>
      <c r="C3449" s="10" t="s">
        <v>110</v>
      </c>
      <c r="D3449" s="16">
        <f>SUM(D3432:M3432)+D3444/(Inputs!$D$7+$D$3438)^M3412</f>
        <v>43100.000000000029</v>
      </c>
    </row>
    <row r="3450" spans="1:13" ht="15" customHeight="1" x14ac:dyDescent="0.2">
      <c r="B3450" s="10" t="s">
        <v>940</v>
      </c>
      <c r="C3450" s="10" t="s">
        <v>104</v>
      </c>
      <c r="D3450" s="30">
        <f>IF(ABS(D3435)&gt;Inputs!$D$6,D3449/D3435-Inputs!$D$7,Inputs!$D$6)</f>
        <v>6.6613381477509392E-16</v>
      </c>
    </row>
    <row r="3451" spans="1:13" ht="15" customHeight="1" x14ac:dyDescent="0.2">
      <c r="B3451" s="10" t="s">
        <v>941</v>
      </c>
      <c r="C3451" s="10" t="s">
        <v>104</v>
      </c>
      <c r="D3451" s="30">
        <f>IF(ABS(D3449)&gt;Inputs!$D$119,D3444/(Inputs!$D$7+$D$3438)^M3412/D3449,Inputs!$D$6)</f>
        <v>0.61919607477248162</v>
      </c>
    </row>
    <row r="3452" spans="1:13" ht="15" customHeight="1" x14ac:dyDescent="0.2">
      <c r="B3452" s="10" t="s">
        <v>942</v>
      </c>
      <c r="C3452" s="10" t="s">
        <v>943</v>
      </c>
      <c r="D3452" s="26">
        <f>$D$3436*Inputs!$D$8/Prices!$P$6/(Inputs!$D$26/Inputs!$D$25)/Inputs!$D$11/Inputs!$D$56</f>
        <v>6.0335677878627427</v>
      </c>
    </row>
    <row r="3456" spans="1:13" ht="15" customHeight="1" x14ac:dyDescent="0.2">
      <c r="A3456" s="104" t="s">
        <v>1018</v>
      </c>
      <c r="B3456" s="10" t="s">
        <v>886</v>
      </c>
      <c r="C3456" s="10" t="s">
        <v>107</v>
      </c>
      <c r="D3456" s="28">
        <f>Inputs!$D$60</f>
        <v>1</v>
      </c>
      <c r="E3456" s="28">
        <f>Inputs!$D$62</f>
        <v>2</v>
      </c>
      <c r="F3456" s="28">
        <f>Inputs!$D$64</f>
        <v>3</v>
      </c>
      <c r="G3456" s="28">
        <f>Inputs!$D$66</f>
        <v>4</v>
      </c>
      <c r="H3456" s="28">
        <f>Inputs!$D$68</f>
        <v>5</v>
      </c>
      <c r="I3456" s="28">
        <f>Inputs!$D$70</f>
        <v>6</v>
      </c>
      <c r="J3456" s="28">
        <f>Inputs!$D$72</f>
        <v>7</v>
      </c>
      <c r="K3456" s="28">
        <f>Inputs!$D$74</f>
        <v>8</v>
      </c>
      <c r="L3456" s="28">
        <f>Inputs!$D$76</f>
        <v>9</v>
      </c>
      <c r="M3456" s="28">
        <f>Inputs!$D$78</f>
        <v>10</v>
      </c>
    </row>
    <row r="3457" spans="1:13" ht="15" customHeight="1" x14ac:dyDescent="0.2">
      <c r="A3457" s="91"/>
      <c r="B3457" s="10" t="s">
        <v>887</v>
      </c>
      <c r="C3457" s="10" t="s">
        <v>161</v>
      </c>
      <c r="D3457" s="29">
        <f>Inputs!$D$61</f>
        <v>46568</v>
      </c>
      <c r="E3457" s="29">
        <f>Inputs!$D$63</f>
        <v>46934</v>
      </c>
      <c r="F3457" s="29">
        <f>Inputs!$D$65</f>
        <v>47299</v>
      </c>
      <c r="G3457" s="29">
        <f>Inputs!$D$67</f>
        <v>47664</v>
      </c>
      <c r="H3457" s="29">
        <f>Inputs!$D$69</f>
        <v>48029</v>
      </c>
      <c r="I3457" s="29">
        <f>Inputs!$D$71</f>
        <v>48395</v>
      </c>
      <c r="J3457" s="29">
        <f>Inputs!$D$73</f>
        <v>48760</v>
      </c>
      <c r="K3457" s="29">
        <f>Inputs!$D$75</f>
        <v>49125</v>
      </c>
      <c r="L3457" s="29">
        <f>Inputs!$D$77</f>
        <v>49490</v>
      </c>
      <c r="M3457" s="29">
        <f>Inputs!$D$79</f>
        <v>49856</v>
      </c>
    </row>
    <row r="3458" spans="1:13" ht="15" customHeight="1" x14ac:dyDescent="0.2">
      <c r="A3458" s="91"/>
      <c r="B3458" s="10" t="s">
        <v>888</v>
      </c>
      <c r="C3458" s="10" t="s">
        <v>107</v>
      </c>
      <c r="D3458" s="28">
        <f>(D3457-Inputs!$D$13)/Inputs!$D$10</f>
        <v>0.71457905544147848</v>
      </c>
      <c r="E3458" s="28">
        <f>(E3457-Inputs!$D$13)/Inputs!$D$10</f>
        <v>1.7166324435318274</v>
      </c>
      <c r="F3458" s="28">
        <f>(F3457-Inputs!$D$13)/Inputs!$D$10</f>
        <v>2.7159479808350446</v>
      </c>
      <c r="G3458" s="28">
        <f>(G3457-Inputs!$D$13)/Inputs!$D$10</f>
        <v>3.7152635181382614</v>
      </c>
      <c r="H3458" s="28">
        <f>(H3457-Inputs!$D$13)/Inputs!$D$10</f>
        <v>4.7145790554414786</v>
      </c>
      <c r="I3458" s="28">
        <f>(I3457-Inputs!$D$13)/Inputs!$D$10</f>
        <v>5.7166324435318279</v>
      </c>
      <c r="J3458" s="28">
        <f>(J3457-Inputs!$D$13)/Inputs!$D$10</f>
        <v>6.7159479808350442</v>
      </c>
      <c r="K3458" s="28">
        <f>(K3457-Inputs!$D$13)/Inputs!$D$10</f>
        <v>7.7152635181382614</v>
      </c>
      <c r="L3458" s="28">
        <f>(L3457-Inputs!$D$13)/Inputs!$D$10</f>
        <v>8.7145790554414777</v>
      </c>
      <c r="M3458" s="28">
        <f>(M3457-Inputs!$D$13)/Inputs!$D$10</f>
        <v>9.716632443531827</v>
      </c>
    </row>
    <row r="3459" spans="1:13" ht="15" customHeight="1" x14ac:dyDescent="0.2">
      <c r="A3459" s="91"/>
      <c r="B3459" s="10" t="s">
        <v>889</v>
      </c>
      <c r="C3459" s="10" t="s">
        <v>107</v>
      </c>
      <c r="D3459" s="28">
        <f>D3458</f>
        <v>0.71457905544147848</v>
      </c>
      <c r="E3459" s="28">
        <f>Inputs!$D$7</f>
        <v>1</v>
      </c>
      <c r="F3459" s="28">
        <f>Inputs!$D$7</f>
        <v>1</v>
      </c>
      <c r="G3459" s="28">
        <f>Inputs!$D$7</f>
        <v>1</v>
      </c>
      <c r="H3459" s="28">
        <f>Inputs!$D$7</f>
        <v>1</v>
      </c>
      <c r="I3459" s="28">
        <f>Inputs!$D$7</f>
        <v>1</v>
      </c>
      <c r="J3459" s="28">
        <f>Inputs!$D$7</f>
        <v>1</v>
      </c>
      <c r="K3459" s="28">
        <f>Inputs!$D$7</f>
        <v>1</v>
      </c>
      <c r="L3459" s="28">
        <f>Inputs!$D$7</f>
        <v>1</v>
      </c>
      <c r="M3459" s="28">
        <f>Inputs!$D$7</f>
        <v>1</v>
      </c>
    </row>
    <row r="3460" spans="1:13" ht="15" customHeight="1" x14ac:dyDescent="0.2">
      <c r="A3460" s="91"/>
      <c r="B3460" s="3" t="s">
        <v>890</v>
      </c>
      <c r="C3460" s="10" t="s">
        <v>199</v>
      </c>
      <c r="D3460" s="28">
        <f>Inputs!$D$24+(Inputs!$D$80-Inputs!$D$24)*Inputs!$D$83</f>
        <v>305.5</v>
      </c>
      <c r="E3460" s="28">
        <f>Inputs!$D$24+(Inputs!$D$80-Inputs!$D$24)*Inputs!$D$84</f>
        <v>651.5</v>
      </c>
      <c r="F3460" s="28">
        <f>Inputs!$D$24+(Inputs!$D$80-Inputs!$D$24)*Inputs!$D$85</f>
        <v>911</v>
      </c>
      <c r="G3460" s="28">
        <f>Inputs!$D$24+(Inputs!$D$80-Inputs!$D$24)*Inputs!$D$86</f>
        <v>911</v>
      </c>
      <c r="H3460" s="28">
        <f>Inputs!$D$24+(Inputs!$D$80-Inputs!$D$24)*Inputs!$D$87</f>
        <v>911</v>
      </c>
      <c r="I3460" s="28">
        <f>Inputs!$D$24+(Inputs!$D$80-Inputs!$D$24)*Inputs!$D$88</f>
        <v>911</v>
      </c>
      <c r="J3460" s="28">
        <f>Inputs!$D$24+(Inputs!$D$80-Inputs!$D$24)*Inputs!$D$89</f>
        <v>911</v>
      </c>
      <c r="K3460" s="28">
        <f>Inputs!$D$24+(Inputs!$D$80-Inputs!$D$24)*Inputs!$D$90</f>
        <v>911</v>
      </c>
      <c r="L3460" s="28">
        <f>Inputs!$D$24+(Inputs!$D$80-Inputs!$D$24)*Inputs!$D$91</f>
        <v>911</v>
      </c>
      <c r="M3460" s="28">
        <f>Inputs!$D$24+(Inputs!$D$80-Inputs!$D$24)*Inputs!$D$92</f>
        <v>911</v>
      </c>
    </row>
    <row r="3461" spans="1:13" ht="15" customHeight="1" x14ac:dyDescent="0.2">
      <c r="A3461" s="91"/>
      <c r="B3461" s="10" t="s">
        <v>891</v>
      </c>
      <c r="C3461" s="10" t="s">
        <v>199</v>
      </c>
      <c r="D3461" s="28">
        <f>Inputs!$D$24</f>
        <v>46</v>
      </c>
      <c r="E3461" s="28">
        <f t="shared" ref="E3461:M3461" si="750">D3460</f>
        <v>305.5</v>
      </c>
      <c r="F3461" s="28">
        <f t="shared" si="750"/>
        <v>651.5</v>
      </c>
      <c r="G3461" s="28">
        <f t="shared" si="750"/>
        <v>911</v>
      </c>
      <c r="H3461" s="28">
        <f t="shared" si="750"/>
        <v>911</v>
      </c>
      <c r="I3461" s="28">
        <f t="shared" si="750"/>
        <v>911</v>
      </c>
      <c r="J3461" s="28">
        <f t="shared" si="750"/>
        <v>911</v>
      </c>
      <c r="K3461" s="28">
        <f t="shared" si="750"/>
        <v>911</v>
      </c>
      <c r="L3461" s="28">
        <f t="shared" si="750"/>
        <v>911</v>
      </c>
      <c r="M3461" s="28">
        <f t="shared" si="750"/>
        <v>911</v>
      </c>
    </row>
    <row r="3462" spans="1:13" ht="15" customHeight="1" x14ac:dyDescent="0.2">
      <c r="B3462" s="10" t="s">
        <v>892</v>
      </c>
      <c r="C3462" s="10" t="s">
        <v>199</v>
      </c>
      <c r="D3462" s="28">
        <f>(D3461+D3460)*Inputs!$D$12</f>
        <v>175.75</v>
      </c>
      <c r="E3462" s="28">
        <f>(E3461+E3460)*Inputs!$D$12</f>
        <v>478.5</v>
      </c>
      <c r="F3462" s="28">
        <f>(F3461+F3460)*Inputs!$D$12</f>
        <v>781.25</v>
      </c>
      <c r="G3462" s="28">
        <f>(G3461+G3460)*Inputs!$D$12</f>
        <v>911</v>
      </c>
      <c r="H3462" s="28">
        <f>(H3461+H3460)*Inputs!$D$12</f>
        <v>911</v>
      </c>
      <c r="I3462" s="28">
        <f>(I3461+I3460)*Inputs!$D$12</f>
        <v>911</v>
      </c>
      <c r="J3462" s="28">
        <f>(J3461+J3460)*Inputs!$D$12</f>
        <v>911</v>
      </c>
      <c r="K3462" s="28">
        <f>(K3461+K3460)*Inputs!$D$12</f>
        <v>911</v>
      </c>
      <c r="L3462" s="28">
        <f>(L3461+L3460)*Inputs!$D$12</f>
        <v>911</v>
      </c>
      <c r="M3462" s="28">
        <f>(M3461+M3460)*Inputs!$D$12</f>
        <v>911</v>
      </c>
    </row>
    <row r="3463" spans="1:13" ht="15" customHeight="1" x14ac:dyDescent="0.2">
      <c r="B3463" s="10" t="s">
        <v>893</v>
      </c>
      <c r="C3463" s="10" t="s">
        <v>199</v>
      </c>
      <c r="D3463" s="28">
        <f t="shared" ref="D3463:M3463" si="751">D3460-D3461</f>
        <v>259.5</v>
      </c>
      <c r="E3463" s="28">
        <f t="shared" si="751"/>
        <v>346</v>
      </c>
      <c r="F3463" s="28">
        <f t="shared" si="751"/>
        <v>259.5</v>
      </c>
      <c r="G3463" s="28">
        <f t="shared" si="751"/>
        <v>0</v>
      </c>
      <c r="H3463" s="28">
        <f t="shared" si="751"/>
        <v>0</v>
      </c>
      <c r="I3463" s="28">
        <f t="shared" si="751"/>
        <v>0</v>
      </c>
      <c r="J3463" s="28">
        <f t="shared" si="751"/>
        <v>0</v>
      </c>
      <c r="K3463" s="28">
        <f t="shared" si="751"/>
        <v>0</v>
      </c>
      <c r="L3463" s="28">
        <f t="shared" si="751"/>
        <v>0</v>
      </c>
      <c r="M3463" s="28">
        <f t="shared" si="751"/>
        <v>0</v>
      </c>
    </row>
    <row r="3464" spans="1:13" ht="15" customHeight="1" x14ac:dyDescent="0.2">
      <c r="B3464" s="10" t="s">
        <v>894</v>
      </c>
      <c r="C3464" s="10" t="s">
        <v>199</v>
      </c>
      <c r="D3464" s="28">
        <f>IF(MOD(D3456,Inputs!$D$21)=Inputs!$D$6,Inputs!$D$24,Inputs!$D$6)+SUMPRODUCT(--(D3456&gt;$D$3456:$M$3456),--(MOD(D3456-$D$3456:$M$3456,Inputs!$D$21)=Inputs!$D$6),$D$3463:$M$3463)</f>
        <v>0</v>
      </c>
      <c r="E3464" s="28">
        <f>IF(MOD(E3456,Inputs!$D$21)=Inputs!$D$6,Inputs!$D$24,Inputs!$D$6)+SUMPRODUCT(--(E3456&gt;$D$3456:$M$3456),--(MOD(E3456-$D$3456:$M$3456,Inputs!$D$21)=Inputs!$D$6),$D$3463:$M$3463)</f>
        <v>0</v>
      </c>
      <c r="F3464" s="28">
        <f>IF(MOD(F3456,Inputs!$D$21)=Inputs!$D$6,Inputs!$D$24,Inputs!$D$6)+SUMPRODUCT(--(F3456&gt;$D$3456:$M$3456),--(MOD(F3456-$D$3456:$M$3456,Inputs!$D$21)=Inputs!$D$6),$D$3463:$M$3463)</f>
        <v>0</v>
      </c>
      <c r="G3464" s="28">
        <f>IF(MOD(G3456,Inputs!$D$21)=Inputs!$D$6,Inputs!$D$24,Inputs!$D$6)+SUMPRODUCT(--(G3456&gt;$D$3456:$M$3456),--(MOD(G3456-$D$3456:$M$3456,Inputs!$D$21)=Inputs!$D$6),$D$3463:$M$3463)</f>
        <v>46</v>
      </c>
      <c r="H3464" s="28">
        <f>IF(MOD(H3456,Inputs!$D$21)=Inputs!$D$6,Inputs!$D$24,Inputs!$D$6)+SUMPRODUCT(--(H3456&gt;$D$3456:$M$3456),--(MOD(H3456-$D$3456:$M$3456,Inputs!$D$21)=Inputs!$D$6),$D$3463:$M$3463)</f>
        <v>259.5</v>
      </c>
      <c r="I3464" s="28">
        <f>IF(MOD(I3456,Inputs!$D$21)=Inputs!$D$6,Inputs!$D$24,Inputs!$D$6)+SUMPRODUCT(--(I3456&gt;$D$3456:$M$3456),--(MOD(I3456-$D$3456:$M$3456,Inputs!$D$21)=Inputs!$D$6),$D$3463:$M$3463)</f>
        <v>346</v>
      </c>
      <c r="J3464" s="28">
        <f>IF(MOD(J3456,Inputs!$D$21)=Inputs!$D$6,Inputs!$D$24,Inputs!$D$6)+SUMPRODUCT(--(J3456&gt;$D$3456:$M$3456),--(MOD(J3456-$D$3456:$M$3456,Inputs!$D$21)=Inputs!$D$6),$D$3463:$M$3463)</f>
        <v>259.5</v>
      </c>
      <c r="K3464" s="28">
        <f>IF(MOD(K3456,Inputs!$D$21)=Inputs!$D$6,Inputs!$D$24,Inputs!$D$6)+SUMPRODUCT(--(K3456&gt;$D$3456:$M$3456),--(MOD(K3456-$D$3456:$M$3456,Inputs!$D$21)=Inputs!$D$6),$D$3463:$M$3463)</f>
        <v>46</v>
      </c>
      <c r="L3464" s="28">
        <f>IF(MOD(L3456,Inputs!$D$21)=Inputs!$D$6,Inputs!$D$24,Inputs!$D$6)+SUMPRODUCT(--(L3456&gt;$D$3456:$M$3456),--(MOD(L3456-$D$3456:$M$3456,Inputs!$D$21)=Inputs!$D$6),$D$3463:$M$3463)</f>
        <v>259.5</v>
      </c>
      <c r="M3464" s="28">
        <f>IF(MOD(M3456,Inputs!$D$21)=Inputs!$D$6,Inputs!$D$24,Inputs!$D$6)+SUMPRODUCT(--(M3456&gt;$D$3456:$M$3456),--(MOD(M3456-$D$3456:$M$3456,Inputs!$D$21)=Inputs!$D$6),$D$3463:$M$3463)</f>
        <v>346</v>
      </c>
    </row>
    <row r="3465" spans="1:13" ht="15" customHeight="1" x14ac:dyDescent="0.2">
      <c r="B3465" s="10" t="s">
        <v>895</v>
      </c>
      <c r="C3465" s="10" t="s">
        <v>896</v>
      </c>
      <c r="D3465" s="28">
        <f t="shared" ref="D3465:M3465" si="752">D3462*D3459</f>
        <v>125.58726899383984</v>
      </c>
      <c r="E3465" s="28">
        <f t="shared" si="752"/>
        <v>478.5</v>
      </c>
      <c r="F3465" s="28">
        <f t="shared" si="752"/>
        <v>781.25</v>
      </c>
      <c r="G3465" s="28">
        <f t="shared" si="752"/>
        <v>911</v>
      </c>
      <c r="H3465" s="28">
        <f t="shared" si="752"/>
        <v>911</v>
      </c>
      <c r="I3465" s="28">
        <f t="shared" si="752"/>
        <v>911</v>
      </c>
      <c r="J3465" s="28">
        <f t="shared" si="752"/>
        <v>911</v>
      </c>
      <c r="K3465" s="28">
        <f t="shared" si="752"/>
        <v>911</v>
      </c>
      <c r="L3465" s="28">
        <f t="shared" si="752"/>
        <v>911</v>
      </c>
      <c r="M3465" s="28">
        <f t="shared" si="752"/>
        <v>911</v>
      </c>
    </row>
    <row r="3466" spans="1:13" ht="15" customHeight="1" x14ac:dyDescent="0.2">
      <c r="B3466" s="10" t="s">
        <v>897</v>
      </c>
      <c r="C3466" s="10" t="s">
        <v>110</v>
      </c>
      <c r="D3466" s="16">
        <f>D3465*($D$3485/Inputs!$D$21+$D$3486/Inputs!$D$22)</f>
        <v>1816.9772859324419</v>
      </c>
      <c r="E3466" s="16">
        <f>E3465*($D$3485/Inputs!$D$21+$D$3486/Inputs!$D$22)</f>
        <v>6922.8643817497086</v>
      </c>
      <c r="F3466" s="16">
        <f>F3465*($D$3485/Inputs!$D$21+$D$3486/Inputs!$D$22)</f>
        <v>11303.0048030135</v>
      </c>
      <c r="G3466" s="16">
        <f>G3465*($D$3485/Inputs!$D$21+$D$3486/Inputs!$D$22)</f>
        <v>13180.207840697982</v>
      </c>
      <c r="H3466" s="16">
        <f>H3465*($D$3485/Inputs!$D$21+$D$3486/Inputs!$D$22)</f>
        <v>13180.207840697982</v>
      </c>
      <c r="I3466" s="16">
        <f>I3465*($D$3485/Inputs!$D$21+$D$3486/Inputs!$D$22)</f>
        <v>13180.207840697982</v>
      </c>
      <c r="J3466" s="16">
        <f>J3465*($D$3485/Inputs!$D$21+$D$3486/Inputs!$D$22)</f>
        <v>13180.207840697982</v>
      </c>
      <c r="K3466" s="16">
        <f>K3465*($D$3485/Inputs!$D$21+$D$3486/Inputs!$D$22)</f>
        <v>13180.207840697982</v>
      </c>
      <c r="L3466" s="16">
        <f>L3465*($D$3485/Inputs!$D$21+$D$3486/Inputs!$D$22)</f>
        <v>13180.207840697982</v>
      </c>
      <c r="M3466" s="16">
        <f>M3465*($D$3485/Inputs!$D$21+$D$3486/Inputs!$D$22)</f>
        <v>13180.207840697982</v>
      </c>
    </row>
    <row r="3467" spans="1:13" ht="15" customHeight="1" x14ac:dyDescent="0.2">
      <c r="B3467" s="10" t="s">
        <v>898</v>
      </c>
      <c r="C3467" s="10" t="s">
        <v>110</v>
      </c>
      <c r="D3467" s="16">
        <f t="shared" ref="D3467:M3467" si="753">D3463*($D$3485+$D$3486)</f>
        <v>15560.968620146154</v>
      </c>
      <c r="E3467" s="16">
        <f t="shared" si="753"/>
        <v>20747.95816019487</v>
      </c>
      <c r="F3467" s="16">
        <f t="shared" si="753"/>
        <v>15560.968620146154</v>
      </c>
      <c r="G3467" s="16">
        <f t="shared" si="753"/>
        <v>0</v>
      </c>
      <c r="H3467" s="16">
        <f t="shared" si="753"/>
        <v>0</v>
      </c>
      <c r="I3467" s="16">
        <f t="shared" si="753"/>
        <v>0</v>
      </c>
      <c r="J3467" s="16">
        <f t="shared" si="753"/>
        <v>0</v>
      </c>
      <c r="K3467" s="16">
        <f t="shared" si="753"/>
        <v>0</v>
      </c>
      <c r="L3467" s="16">
        <f t="shared" si="753"/>
        <v>0</v>
      </c>
      <c r="M3467" s="16">
        <f t="shared" si="753"/>
        <v>0</v>
      </c>
    </row>
    <row r="3468" spans="1:13" ht="15" customHeight="1" x14ac:dyDescent="0.2">
      <c r="B3468" s="10" t="s">
        <v>899</v>
      </c>
      <c r="C3468" s="10" t="s">
        <v>110</v>
      </c>
      <c r="D3468" s="16">
        <f t="shared" ref="D3468:M3468" si="754">D3464*$D$3485</f>
        <v>0</v>
      </c>
      <c r="E3468" s="16">
        <f t="shared" si="754"/>
        <v>0</v>
      </c>
      <c r="F3468" s="16">
        <f t="shared" si="754"/>
        <v>0</v>
      </c>
      <c r="G3468" s="16">
        <f t="shared" si="754"/>
        <v>2638.0048485671714</v>
      </c>
      <c r="H3468" s="16">
        <f t="shared" si="754"/>
        <v>14881.788221808281</v>
      </c>
      <c r="I3468" s="16">
        <f t="shared" si="754"/>
        <v>19842.384295744378</v>
      </c>
      <c r="J3468" s="16">
        <f t="shared" si="754"/>
        <v>14881.788221808281</v>
      </c>
      <c r="K3468" s="16">
        <f t="shared" si="754"/>
        <v>2638.0048485671714</v>
      </c>
      <c r="L3468" s="16">
        <f t="shared" si="754"/>
        <v>14881.788221808281</v>
      </c>
      <c r="M3468" s="16">
        <f t="shared" si="754"/>
        <v>19842.384295744378</v>
      </c>
    </row>
    <row r="3469" spans="1:13" ht="15" customHeight="1" x14ac:dyDescent="0.2">
      <c r="B3469" s="10" t="s">
        <v>900</v>
      </c>
      <c r="C3469" s="10" t="s">
        <v>199</v>
      </c>
      <c r="D3469" s="28">
        <f>D3463*Inputs!$D$23</f>
        <v>6.4875000000000007</v>
      </c>
      <c r="E3469" s="28">
        <f>E3463*Inputs!$D$23</f>
        <v>8.65</v>
      </c>
      <c r="F3469" s="28">
        <f>F3463*Inputs!$D$23</f>
        <v>6.4875000000000007</v>
      </c>
      <c r="G3469" s="28">
        <f>G3463*Inputs!$D$23</f>
        <v>0</v>
      </c>
      <c r="H3469" s="28">
        <f>H3463*Inputs!$D$23</f>
        <v>0</v>
      </c>
      <c r="I3469" s="28">
        <f>I3463*Inputs!$D$23</f>
        <v>0</v>
      </c>
      <c r="J3469" s="28">
        <f>J3463*Inputs!$D$23</f>
        <v>0</v>
      </c>
      <c r="K3469" s="28">
        <f>K3463*Inputs!$D$23</f>
        <v>0</v>
      </c>
      <c r="L3469" s="28">
        <f>L3463*Inputs!$D$23</f>
        <v>0</v>
      </c>
      <c r="M3469" s="28">
        <f>M3463*Inputs!$D$23</f>
        <v>0</v>
      </c>
    </row>
    <row r="3470" spans="1:13" ht="15" customHeight="1" x14ac:dyDescent="0.2">
      <c r="B3470" s="3" t="s">
        <v>901</v>
      </c>
      <c r="C3470" s="10" t="s">
        <v>896</v>
      </c>
      <c r="D3470" s="28">
        <f>(D3465*$D$3483*(Inputs!$D$7-Inputs!$D$19)-D3469)/(Inputs!$D$7+$D$3484)^D3458</f>
        <v>43.213488846686175</v>
      </c>
      <c r="E3470" s="28">
        <f>(E3465*$D$3483*(Inputs!$D$7-Inputs!$D$19)-E3469)/(Inputs!$D$7+$D$3484)^E3458</f>
        <v>163.29332190458183</v>
      </c>
      <c r="F3470" s="28">
        <f>(F3465*$D$3483*(Inputs!$D$7-Inputs!$D$19)-F3469)/(Inputs!$D$7+$D$3484)^F3458</f>
        <v>248.28260771010829</v>
      </c>
      <c r="G3470" s="28">
        <f>(G3465*$D$3483*(Inputs!$D$7-Inputs!$D$19)-G3469)/(Inputs!$D$7+$D$3484)^G3458</f>
        <v>268.5238926419492</v>
      </c>
      <c r="H3470" s="28">
        <f>(H3465*$D$3483*(Inputs!$D$7-Inputs!$D$19)-H3469)/(Inputs!$D$7+$D$3484)^H3458</f>
        <v>244.12855518959191</v>
      </c>
      <c r="I3470" s="28">
        <f>(I3465*$D$3483*(Inputs!$D$7-Inputs!$D$19)-I3469)/(Inputs!$D$7+$D$3484)^I3458</f>
        <v>221.8916197826434</v>
      </c>
      <c r="J3470" s="28">
        <f>(J3465*$D$3483*(Inputs!$D$7-Inputs!$D$19)-J3469)/(Inputs!$D$7+$D$3484)^J3458</f>
        <v>201.73281421346593</v>
      </c>
      <c r="K3470" s="28">
        <f>(K3465*$D$3483*(Inputs!$D$7-Inputs!$D$19)-K3469)/(Inputs!$D$7+$D$3484)^K3458</f>
        <v>183.40543176145695</v>
      </c>
      <c r="L3470" s="28">
        <f>(L3465*$D$3483*(Inputs!$D$7-Inputs!$D$19)-L3469)/(Inputs!$D$7+$D$3484)^L3458</f>
        <v>166.74308803332551</v>
      </c>
      <c r="M3470" s="28">
        <f>(M3465*$D$3483*(Inputs!$D$7-Inputs!$D$19)-M3469)/(Inputs!$D$7+$D$3484)^M3458</f>
        <v>151.55496194429571</v>
      </c>
    </row>
    <row r="3471" spans="1:13" ht="15" customHeight="1" x14ac:dyDescent="0.2">
      <c r="B3471" s="10" t="s">
        <v>902</v>
      </c>
      <c r="C3471" s="10" t="s">
        <v>110</v>
      </c>
      <c r="D3471" s="16">
        <f>(D3466*Inputs!$D$19-D3467-D3468)/(Inputs!$D$7+$D$3484)^D3458</f>
        <v>-14027.24269342025</v>
      </c>
      <c r="E3471" s="16">
        <f>(E3466*Inputs!$D$19-E3467-E3468)/(Inputs!$D$7+$D$3484)^E3458</f>
        <v>-15853.087323826181</v>
      </c>
      <c r="F3471" s="16">
        <f>(F3466*Inputs!$D$19-F3467-F3468)/(Inputs!$D$7+$D$3484)^F3458</f>
        <v>-9394.4767487293357</v>
      </c>
      <c r="G3471" s="16">
        <f>(G3466*Inputs!$D$19-G3467-G3468)/(Inputs!$D$7+$D$3484)^G3458</f>
        <v>923.61320322684639</v>
      </c>
      <c r="H3471" s="16">
        <f>(H3466*Inputs!$D$19-H3467-H3468)/(Inputs!$D$7+$D$3484)^H3458</f>
        <v>-6972.3744918015345</v>
      </c>
      <c r="I3471" s="16">
        <f>(I3466*Inputs!$D$19-I3467-I3468)/(Inputs!$D$7+$D$3484)^I3458</f>
        <v>-9214.0648467907959</v>
      </c>
      <c r="J3471" s="16">
        <f>(J3466*Inputs!$D$19-J3467-J3468)/(Inputs!$D$7+$D$3484)^J3458</f>
        <v>-5761.5411965591911</v>
      </c>
      <c r="K3471" s="16">
        <f>(K3466*Inputs!$D$19-K3467-K3468)/(Inputs!$D$7+$D$3484)^K3458</f>
        <v>630.8402453567694</v>
      </c>
      <c r="L3471" s="16">
        <f>(L3466*Inputs!$D$19-L3467-L3468)/(Inputs!$D$7+$D$3484)^L3458</f>
        <v>-4762.2255937446444</v>
      </c>
      <c r="M3471" s="16">
        <f>(M3466*Inputs!$D$19-M3467-M3468)/(Inputs!$D$7+$D$3484)^M3458</f>
        <v>-6293.3302689644106</v>
      </c>
    </row>
    <row r="3472" spans="1:13" ht="15" customHeight="1" x14ac:dyDescent="0.2">
      <c r="B3472" s="10" t="s">
        <v>903</v>
      </c>
      <c r="C3472" s="10" t="s">
        <v>110</v>
      </c>
      <c r="D3472" s="16">
        <f t="shared" ref="D3472:M3472" si="755">D3465*$D$3482</f>
        <v>5875.3946231730988</v>
      </c>
      <c r="E3472" s="16">
        <f t="shared" si="755"/>
        <v>22385.838546471045</v>
      </c>
      <c r="F3472" s="16">
        <f t="shared" si="755"/>
        <v>36549.501284076287</v>
      </c>
      <c r="G3472" s="16">
        <f t="shared" si="755"/>
        <v>42619.642457335678</v>
      </c>
      <c r="H3472" s="16">
        <f t="shared" si="755"/>
        <v>42619.642457335678</v>
      </c>
      <c r="I3472" s="16">
        <f t="shared" si="755"/>
        <v>42619.642457335678</v>
      </c>
      <c r="J3472" s="16">
        <f t="shared" si="755"/>
        <v>42619.642457335678</v>
      </c>
      <c r="K3472" s="16">
        <f t="shared" si="755"/>
        <v>42619.642457335678</v>
      </c>
      <c r="L3472" s="16">
        <f t="shared" si="755"/>
        <v>42619.642457335678</v>
      </c>
      <c r="M3472" s="16">
        <f t="shared" si="755"/>
        <v>42619.642457335678</v>
      </c>
    </row>
    <row r="3473" spans="2:13" ht="15" customHeight="1" x14ac:dyDescent="0.2">
      <c r="B3473" s="10" t="s">
        <v>904</v>
      </c>
      <c r="C3473" s="10" t="s">
        <v>110</v>
      </c>
      <c r="D3473" s="16">
        <f t="shared" ref="D3473:M3473" si="756">D3472*$D$3483</f>
        <v>3525.2367739038591</v>
      </c>
      <c r="E3473" s="16">
        <f t="shared" si="756"/>
        <v>13431.503127882626</v>
      </c>
      <c r="F3473" s="16">
        <f t="shared" si="756"/>
        <v>21929.700770445772</v>
      </c>
      <c r="G3473" s="16">
        <f t="shared" si="756"/>
        <v>25571.785474401408</v>
      </c>
      <c r="H3473" s="16">
        <f t="shared" si="756"/>
        <v>25571.785474401408</v>
      </c>
      <c r="I3473" s="16">
        <f t="shared" si="756"/>
        <v>25571.785474401408</v>
      </c>
      <c r="J3473" s="16">
        <f t="shared" si="756"/>
        <v>25571.785474401408</v>
      </c>
      <c r="K3473" s="16">
        <f t="shared" si="756"/>
        <v>25571.785474401408</v>
      </c>
      <c r="L3473" s="16">
        <f t="shared" si="756"/>
        <v>25571.785474401408</v>
      </c>
      <c r="M3473" s="16">
        <f t="shared" si="756"/>
        <v>25571.785474401408</v>
      </c>
    </row>
    <row r="3474" spans="2:13" ht="15" customHeight="1" x14ac:dyDescent="0.2">
      <c r="B3474" s="10" t="s">
        <v>905</v>
      </c>
      <c r="C3474" s="10" t="s">
        <v>110</v>
      </c>
      <c r="D3474" s="16">
        <f t="shared" ref="D3474:M3474" si="757">D3473-D3466</f>
        <v>1708.2594879714172</v>
      </c>
      <c r="E3474" s="16">
        <f t="shared" si="757"/>
        <v>6508.6387461329177</v>
      </c>
      <c r="F3474" s="16">
        <f t="shared" si="757"/>
        <v>10626.695967432272</v>
      </c>
      <c r="G3474" s="16">
        <f t="shared" si="757"/>
        <v>12391.577633703426</v>
      </c>
      <c r="H3474" s="16">
        <f t="shared" si="757"/>
        <v>12391.577633703426</v>
      </c>
      <c r="I3474" s="16">
        <f t="shared" si="757"/>
        <v>12391.577633703426</v>
      </c>
      <c r="J3474" s="16">
        <f t="shared" si="757"/>
        <v>12391.577633703426</v>
      </c>
      <c r="K3474" s="16">
        <f t="shared" si="757"/>
        <v>12391.577633703426</v>
      </c>
      <c r="L3474" s="16">
        <f t="shared" si="757"/>
        <v>12391.577633703426</v>
      </c>
      <c r="M3474" s="16">
        <f t="shared" si="757"/>
        <v>12391.577633703426</v>
      </c>
    </row>
    <row r="3475" spans="2:13" ht="15" customHeight="1" x14ac:dyDescent="0.2">
      <c r="B3475" s="10" t="s">
        <v>906</v>
      </c>
      <c r="C3475" s="10" t="s">
        <v>110</v>
      </c>
      <c r="D3475" s="16">
        <f>MAX(D3474,Inputs!$D$6)*Inputs!$D$19</f>
        <v>512.47784639142515</v>
      </c>
      <c r="E3475" s="16">
        <f>MAX(E3474,Inputs!$D$6)*Inputs!$D$19</f>
        <v>1952.5916238398752</v>
      </c>
      <c r="F3475" s="16">
        <f>MAX(F3474,Inputs!$D$6)*Inputs!$D$19</f>
        <v>3188.0087902296814</v>
      </c>
      <c r="G3475" s="16">
        <f>MAX(G3474,Inputs!$D$6)*Inputs!$D$19</f>
        <v>3717.4732901110274</v>
      </c>
      <c r="H3475" s="16">
        <f>MAX(H3474,Inputs!$D$6)*Inputs!$D$19</f>
        <v>3717.4732901110274</v>
      </c>
      <c r="I3475" s="16">
        <f>MAX(I3474,Inputs!$D$6)*Inputs!$D$19</f>
        <v>3717.4732901110274</v>
      </c>
      <c r="J3475" s="16">
        <f>MAX(J3474,Inputs!$D$6)*Inputs!$D$19</f>
        <v>3717.4732901110274</v>
      </c>
      <c r="K3475" s="16">
        <f>MAX(K3474,Inputs!$D$6)*Inputs!$D$19</f>
        <v>3717.4732901110274</v>
      </c>
      <c r="L3475" s="16">
        <f>MAX(L3474,Inputs!$D$6)*Inputs!$D$19</f>
        <v>3717.4732901110274</v>
      </c>
      <c r="M3475" s="16">
        <f>MAX(M3474,Inputs!$D$6)*Inputs!$D$19</f>
        <v>3717.4732901110274</v>
      </c>
    </row>
    <row r="3476" spans="2:13" ht="15" customHeight="1" x14ac:dyDescent="0.2">
      <c r="B3476" s="10" t="s">
        <v>907</v>
      </c>
      <c r="C3476" s="10" t="s">
        <v>110</v>
      </c>
      <c r="D3476" s="16">
        <f t="shared" ref="D3476:M3476" si="758">D3469*$D$3482</f>
        <v>303.50705866296948</v>
      </c>
      <c r="E3476" s="16">
        <f t="shared" si="758"/>
        <v>404.67607821729263</v>
      </c>
      <c r="F3476" s="16">
        <f t="shared" si="758"/>
        <v>303.50705866296948</v>
      </c>
      <c r="G3476" s="16">
        <f t="shared" si="758"/>
        <v>0</v>
      </c>
      <c r="H3476" s="16">
        <f t="shared" si="758"/>
        <v>0</v>
      </c>
      <c r="I3476" s="16">
        <f t="shared" si="758"/>
        <v>0</v>
      </c>
      <c r="J3476" s="16">
        <f t="shared" si="758"/>
        <v>0</v>
      </c>
      <c r="K3476" s="16">
        <f t="shared" si="758"/>
        <v>0</v>
      </c>
      <c r="L3476" s="16">
        <f t="shared" si="758"/>
        <v>0</v>
      </c>
      <c r="M3476" s="16">
        <f t="shared" si="758"/>
        <v>0</v>
      </c>
    </row>
    <row r="3477" spans="2:13" ht="15" customHeight="1" x14ac:dyDescent="0.2">
      <c r="B3477" s="10" t="s">
        <v>908</v>
      </c>
      <c r="C3477" s="10" t="s">
        <v>110</v>
      </c>
      <c r="D3477" s="16">
        <f t="shared" ref="D3477:M3477" si="759">D3473-D3475-D3467-D3468-D3476</f>
        <v>-12851.71675129669</v>
      </c>
      <c r="E3477" s="16">
        <f t="shared" si="759"/>
        <v>-9673.7227343694121</v>
      </c>
      <c r="F3477" s="16">
        <f t="shared" si="759"/>
        <v>2877.2163014069688</v>
      </c>
      <c r="G3477" s="16">
        <f t="shared" si="759"/>
        <v>19216.307335723206</v>
      </c>
      <c r="H3477" s="16">
        <f t="shared" si="759"/>
        <v>6972.523962482097</v>
      </c>
      <c r="I3477" s="16">
        <f t="shared" si="759"/>
        <v>2011.9278885460008</v>
      </c>
      <c r="J3477" s="16">
        <f t="shared" si="759"/>
        <v>6972.523962482097</v>
      </c>
      <c r="K3477" s="16">
        <f t="shared" si="759"/>
        <v>19216.307335723206</v>
      </c>
      <c r="L3477" s="16">
        <f t="shared" si="759"/>
        <v>6972.523962482097</v>
      </c>
      <c r="M3477" s="16">
        <f t="shared" si="759"/>
        <v>2011.9278885460008</v>
      </c>
    </row>
    <row r="3478" spans="2:13" ht="15" customHeight="1" x14ac:dyDescent="0.2">
      <c r="B3478" s="10" t="s">
        <v>909</v>
      </c>
      <c r="C3478" s="10" t="s">
        <v>110</v>
      </c>
      <c r="D3478" s="16">
        <f>D3477/(Inputs!$D$7+$D$3484)^D3458</f>
        <v>-12005.570416823293</v>
      </c>
      <c r="E3478" s="16">
        <f>E3477/(Inputs!$D$7+$D$3484)^E3458</f>
        <v>-8213.6767911764582</v>
      </c>
      <c r="F3478" s="16">
        <f>F3477/(Inputs!$D$7+$D$3484)^F3458</f>
        <v>2221.0182775931139</v>
      </c>
      <c r="G3478" s="16">
        <f>G3477/(Inputs!$D$7+$D$3484)^G3458</f>
        <v>13486.063582647115</v>
      </c>
      <c r="H3478" s="16">
        <f>H3477/(Inputs!$D$7+$D$3484)^H3458</f>
        <v>4448.7799931670133</v>
      </c>
      <c r="I3478" s="16">
        <f>I3477/(Inputs!$D$7+$D$3484)^I3458</f>
        <v>1166.771047188714</v>
      </c>
      <c r="J3478" s="16">
        <f>J3477/(Inputs!$D$7+$D$3484)^J3458</f>
        <v>3676.1980061741156</v>
      </c>
      <c r="K3478" s="16">
        <f>K3477/(Inputs!$D$7+$D$3484)^K3458</f>
        <v>9211.1628868568478</v>
      </c>
      <c r="L3478" s="16">
        <f>L3477/(Inputs!$D$7+$D$3484)^L3458</f>
        <v>3038.5765952919969</v>
      </c>
      <c r="M3478" s="16">
        <f>M3477/(Inputs!$D$7+$D$3484)^M3458</f>
        <v>796.92032456028528</v>
      </c>
    </row>
    <row r="3479" spans="2:13" ht="15" customHeight="1" x14ac:dyDescent="0.2">
      <c r="B3479" s="3" t="s">
        <v>910</v>
      </c>
      <c r="C3479" s="10" t="s">
        <v>896</v>
      </c>
      <c r="D3479" s="28">
        <f>(D3465*$D$3483-D3469)/(Inputs!$D$7+$D$3484)^D3458</f>
        <v>64.330856237917445</v>
      </c>
      <c r="E3479" s="28">
        <f>(E3465*$D$3483-E3469)/(Inputs!$D$7+$D$3484)^E3458</f>
        <v>236.42380139523098</v>
      </c>
      <c r="F3479" s="28">
        <f>(F3465*$D$3483-F3469)/(Inputs!$D$7+$D$3484)^F3458</f>
        <v>356.83568908039001</v>
      </c>
      <c r="G3479" s="28">
        <f>(G3465*$D$3483-G3469)/(Inputs!$D$7+$D$3484)^G3458</f>
        <v>383.60556091707036</v>
      </c>
      <c r="H3479" s="28">
        <f>(H3465*$D$3483-H3469)/(Inputs!$D$7+$D$3484)^H3458</f>
        <v>348.75507884227414</v>
      </c>
      <c r="I3479" s="28">
        <f>(I3465*$D$3483-I3469)/(Inputs!$D$7+$D$3484)^I3458</f>
        <v>316.98802826091918</v>
      </c>
      <c r="J3479" s="28">
        <f>(J3465*$D$3483-J3469)/(Inputs!$D$7+$D$3484)^J3458</f>
        <v>288.18973459066564</v>
      </c>
      <c r="K3479" s="28">
        <f>(K3465*$D$3483-K3469)/(Inputs!$D$7+$D$3484)^K3458</f>
        <v>262.00775965922423</v>
      </c>
      <c r="L3479" s="28">
        <f>(L3465*$D$3483-L3469)/(Inputs!$D$7+$D$3484)^L3458</f>
        <v>238.2044114761793</v>
      </c>
      <c r="M3479" s="28">
        <f>(M3465*$D$3483-M3469)/(Inputs!$D$7+$D$3484)^M3458</f>
        <v>216.50708849185102</v>
      </c>
    </row>
    <row r="3480" spans="2:13" ht="15" customHeight="1" x14ac:dyDescent="0.2">
      <c r="B3480" s="10" t="s">
        <v>911</v>
      </c>
      <c r="C3480" s="10" t="s">
        <v>110</v>
      </c>
      <c r="D3480" s="16">
        <f>(-D3467-D3468)/(Inputs!$D$7+$D$3484)^D3458</f>
        <v>-14536.447397527105</v>
      </c>
      <c r="E3480" s="16">
        <f>(-E3467-E3468)/(Inputs!$D$7+$D$3484)^E3458</f>
        <v>-17616.488200475756</v>
      </c>
      <c r="F3480" s="16">
        <f>(-F3467-F3468)/(Inputs!$D$7+$D$3484)^F3458</f>
        <v>-12012.025548964448</v>
      </c>
      <c r="G3480" s="16">
        <f>(-G3467-G3468)/(Inputs!$D$7+$D$3484)^G3458</f>
        <v>-1851.359915178487</v>
      </c>
      <c r="H3480" s="16">
        <f>(-H3467-H3468)/(Inputs!$D$7+$D$3484)^H3458</f>
        <v>-9495.2419037884629</v>
      </c>
      <c r="I3480" s="16">
        <f>(-I3467-I3468)/(Inputs!$D$7+$D$3484)^I3458</f>
        <v>-11507.131858586603</v>
      </c>
      <c r="J3480" s="16">
        <f>(-J3467-J3468)/(Inputs!$D$7+$D$3484)^J3458</f>
        <v>-7846.2835672839774</v>
      </c>
      <c r="K3480" s="16">
        <f>(-K3467-K3468)/(Inputs!$D$7+$D$3484)^K3458</f>
        <v>-1264.5037327904422</v>
      </c>
      <c r="L3480" s="16">
        <f>(-L3467-L3468)/(Inputs!$D$7+$D$3484)^L3458</f>
        <v>-6485.3779822337692</v>
      </c>
      <c r="M3480" s="16">
        <f>(-M3467-M3468)/(Inputs!$D$7+$D$3484)^M3458</f>
        <v>-7859.5258920747219</v>
      </c>
    </row>
    <row r="3481" spans="2:13" ht="15" customHeight="1" x14ac:dyDescent="0.2">
      <c r="B3481" s="10" t="s">
        <v>912</v>
      </c>
      <c r="C3481" s="10" t="s">
        <v>110</v>
      </c>
      <c r="D3481" s="16">
        <f>Prices!K18</f>
        <v>57428.700386874909</v>
      </c>
    </row>
    <row r="3482" spans="2:13" ht="15" customHeight="1" x14ac:dyDescent="0.2">
      <c r="B3482" s="3" t="s">
        <v>913</v>
      </c>
      <c r="C3482" s="10" t="s">
        <v>914</v>
      </c>
      <c r="D3482" s="28">
        <f>IF(J3489&gt;=J3485,J3489,(D3481-J3488)/J3487)</f>
        <v>46.783361643617646</v>
      </c>
      <c r="G3482" s="99" t="s">
        <v>915</v>
      </c>
      <c r="H3482" s="91"/>
      <c r="I3482" s="91"/>
      <c r="J3482" s="28">
        <f>D3482*Inputs!$D$15</f>
        <v>32.650108091080753</v>
      </c>
      <c r="K3482" s="99" t="s">
        <v>916</v>
      </c>
      <c r="L3482" s="91"/>
      <c r="M3482" s="91"/>
    </row>
    <row r="3483" spans="2:13" ht="15" customHeight="1" x14ac:dyDescent="0.2">
      <c r="B3483" s="10" t="s">
        <v>917</v>
      </c>
      <c r="C3483" s="10" t="s">
        <v>104</v>
      </c>
      <c r="D3483" s="30">
        <f>Inputs!$D$81</f>
        <v>0.6</v>
      </c>
      <c r="G3483" s="99" t="s">
        <v>918</v>
      </c>
      <c r="H3483" s="91"/>
      <c r="I3483" s="91"/>
      <c r="J3483" s="28">
        <f>IF(-D3494/D3493&gt;=J3485,-D3494/D3493,-J3488/J3487)</f>
        <v>32.284876648616972</v>
      </c>
      <c r="K3483" s="99" t="s">
        <v>919</v>
      </c>
      <c r="L3483" s="91"/>
      <c r="M3483" s="91"/>
    </row>
    <row r="3484" spans="2:13" ht="15" customHeight="1" x14ac:dyDescent="0.2">
      <c r="B3484" s="10" t="s">
        <v>920</v>
      </c>
      <c r="C3484" s="10" t="s">
        <v>104</v>
      </c>
      <c r="D3484" s="30">
        <f>Inputs!$D$82</f>
        <v>0.1</v>
      </c>
      <c r="G3484" s="99" t="s">
        <v>918</v>
      </c>
      <c r="H3484" s="91"/>
      <c r="I3484" s="91"/>
      <c r="J3484" s="28">
        <f>J3483*Inputs!$D$15</f>
        <v>22.531615413069783</v>
      </c>
      <c r="K3484" s="99" t="s">
        <v>916</v>
      </c>
      <c r="L3484" s="91"/>
      <c r="M3484" s="91"/>
    </row>
    <row r="3485" spans="2:13" ht="15" customHeight="1" x14ac:dyDescent="0.2">
      <c r="B3485" s="3" t="s">
        <v>921</v>
      </c>
      <c r="C3485" s="10" t="s">
        <v>848</v>
      </c>
      <c r="D3485" s="28">
        <f>Capital!$D$13</f>
        <v>57.347931490590682</v>
      </c>
      <c r="G3485" s="99" t="s">
        <v>922</v>
      </c>
      <c r="H3485" s="91"/>
      <c r="I3485" s="91"/>
      <c r="J3485" s="28">
        <f>($D$3485/Inputs!$D$21+$D$3486/Inputs!$D$22)/$D$3483</f>
        <v>24.113076913095469</v>
      </c>
      <c r="K3485" s="99" t="s">
        <v>919</v>
      </c>
      <c r="L3485" s="91"/>
      <c r="M3485" s="91"/>
    </row>
    <row r="3486" spans="2:13" ht="15" customHeight="1" x14ac:dyDescent="0.2">
      <c r="B3486" s="3" t="s">
        <v>923</v>
      </c>
      <c r="C3486" s="10" t="s">
        <v>848</v>
      </c>
      <c r="D3486" s="28">
        <f>Capital!$D$14</f>
        <v>2.6172655041921802</v>
      </c>
    </row>
    <row r="3487" spans="2:13" ht="15" customHeight="1" x14ac:dyDescent="0.2">
      <c r="B3487" s="10" t="s">
        <v>924</v>
      </c>
      <c r="C3487" s="10" t="s">
        <v>896</v>
      </c>
      <c r="D3487" s="28">
        <f>(M3460*(Inputs!$D$7+Inputs!$D$20)*$D$3483*(Inputs!$D$7-Inputs!$D$19)-M3460*Inputs!$D$20*Inputs!$D$23)/($D$3484-Inputs!$D$20)/(Inputs!$D$7+$D$3484)^M3458</f>
        <v>2068.2441036763203</v>
      </c>
      <c r="G3487" s="92" t="s">
        <v>910</v>
      </c>
      <c r="H3487" s="91"/>
      <c r="I3487" s="91"/>
      <c r="J3487" s="28">
        <f>SUM(D3479:M3479)+(M3460*(Inputs!$D$7+Inputs!$D$20)*$D$3483-M3460*Inputs!$D$20*Inputs!$D$23)/($D$3484-Inputs!$D$20)/(Inputs!$D$7+$D$3484)^M3458</f>
        <v>5667.7711754446318</v>
      </c>
      <c r="K3487" s="99" t="s">
        <v>896</v>
      </c>
      <c r="L3487" s="91"/>
      <c r="M3487" s="91"/>
    </row>
    <row r="3488" spans="2:13" ht="15" customHeight="1" x14ac:dyDescent="0.2">
      <c r="B3488" s="10" t="s">
        <v>925</v>
      </c>
      <c r="C3488" s="10" t="s">
        <v>110</v>
      </c>
      <c r="D3488" s="16">
        <f>(D3491*Inputs!$D$19-D3491-D3492)/($D$3484-Inputs!$D$20)/(Inputs!$D$7+$D$3484)^M3458</f>
        <v>-57156.954988173631</v>
      </c>
      <c r="G3488" s="92" t="s">
        <v>926</v>
      </c>
      <c r="H3488" s="91"/>
      <c r="I3488" s="91"/>
      <c r="J3488" s="16">
        <f>SUM(D3480:M3480)-(D3491+D3492)/($D$3484-Inputs!$D$20)/(Inputs!$D$7+$D$3484)^M3458</f>
        <v>-169036.01450291832</v>
      </c>
      <c r="K3488" s="99" t="s">
        <v>110</v>
      </c>
      <c r="L3488" s="91"/>
      <c r="M3488" s="91"/>
    </row>
    <row r="3489" spans="1:13" ht="15" customHeight="1" x14ac:dyDescent="0.2">
      <c r="B3489" s="10" t="s">
        <v>927</v>
      </c>
      <c r="C3489" s="10" t="s">
        <v>928</v>
      </c>
      <c r="D3489" s="16">
        <f>(M3460*(Inputs!$D$7+Inputs!$D$20)*$D$3482*$D$3483-D3491)-MAX((M3460*(Inputs!$D$7+Inputs!$D$20)*$D$3482*$D$3483-D3491),Inputs!$D$6)*Inputs!$D$19-D3492-M3460*Inputs!$D$20*$D$3482*Inputs!$D$23</f>
        <v>7498.6123140901918</v>
      </c>
      <c r="G3489" s="99" t="s">
        <v>929</v>
      </c>
      <c r="H3489" s="91"/>
      <c r="I3489" s="91"/>
      <c r="J3489" s="28">
        <f>(D3481-D3494)/D3493</f>
        <v>46.783361643617646</v>
      </c>
      <c r="K3489" s="99" t="s">
        <v>919</v>
      </c>
      <c r="L3489" s="91"/>
      <c r="M3489" s="91"/>
    </row>
    <row r="3490" spans="1:13" ht="15" customHeight="1" x14ac:dyDescent="0.2">
      <c r="B3490" s="10" t="s">
        <v>930</v>
      </c>
      <c r="C3490" s="10" t="s">
        <v>110</v>
      </c>
      <c r="D3490" s="16">
        <f>D3489/($D$3484-Inputs!$D$20)</f>
        <v>99981.497521202546</v>
      </c>
      <c r="G3490" s="99" t="s">
        <v>931</v>
      </c>
      <c r="H3490" s="91"/>
      <c r="I3490" s="91"/>
      <c r="J3490" s="16">
        <f>MIN(D3474:M3474,(M3460*(Inputs!$D$7+Inputs!$D$20)*$D$3482*$D$3483-D3491))</f>
        <v>1708.2594879714172</v>
      </c>
      <c r="K3490" s="99" t="s">
        <v>110</v>
      </c>
      <c r="L3490" s="91"/>
      <c r="M3490" s="91"/>
    </row>
    <row r="3491" spans="1:13" ht="15" customHeight="1" x14ac:dyDescent="0.2">
      <c r="B3491" s="10" t="s">
        <v>932</v>
      </c>
      <c r="C3491" s="10" t="s">
        <v>928</v>
      </c>
      <c r="D3491" s="16">
        <f>M3460*(Inputs!$D$7+Inputs!$D$20)*($D$3485/Inputs!$D$21+$D$3486/Inputs!$D$22)</f>
        <v>13509.71303671543</v>
      </c>
      <c r="G3491" s="99" t="s">
        <v>933</v>
      </c>
      <c r="H3491" s="91"/>
      <c r="I3491" s="91"/>
      <c r="J3491" s="31" t="str">
        <f>IF(J3490&lt;Inputs!$D$6,"breached","satisfied")</f>
        <v>satisfied</v>
      </c>
      <c r="K3491" s="99" t="s">
        <v>934</v>
      </c>
      <c r="L3491" s="91"/>
      <c r="M3491" s="91"/>
    </row>
    <row r="3492" spans="1:13" ht="15" customHeight="1" x14ac:dyDescent="0.2">
      <c r="B3492" s="10" t="s">
        <v>935</v>
      </c>
      <c r="C3492" s="10" t="s">
        <v>928</v>
      </c>
      <c r="D3492" s="16">
        <f>M3460*Inputs!$D$20*($D$3485+$D$3486)</f>
        <v>1365.7073615561799</v>
      </c>
    </row>
    <row r="3493" spans="1:13" ht="15" customHeight="1" x14ac:dyDescent="0.2">
      <c r="B3493" s="10" t="s">
        <v>936</v>
      </c>
      <c r="C3493" s="10" t="s">
        <v>896</v>
      </c>
      <c r="D3493" s="28">
        <f>SUM(D3470:M3470)+D3487</f>
        <v>3961.0138857044249</v>
      </c>
      <c r="G3493" s="99" t="s">
        <v>937</v>
      </c>
      <c r="H3493" s="91"/>
      <c r="I3493" s="91"/>
      <c r="J3493" s="16">
        <f>D3495-D3481</f>
        <v>0</v>
      </c>
      <c r="K3493" s="99" t="s">
        <v>110</v>
      </c>
      <c r="L3493" s="91"/>
      <c r="M3493" s="91"/>
    </row>
    <row r="3494" spans="1:13" ht="15" customHeight="1" x14ac:dyDescent="0.2">
      <c r="B3494" s="10" t="s">
        <v>938</v>
      </c>
      <c r="C3494" s="10" t="s">
        <v>110</v>
      </c>
      <c r="D3494" s="16">
        <f>SUM(D3471:M3471)+D3488</f>
        <v>-127880.84470342637</v>
      </c>
    </row>
    <row r="3495" spans="1:13" ht="15" customHeight="1" x14ac:dyDescent="0.2">
      <c r="B3495" s="10" t="s">
        <v>939</v>
      </c>
      <c r="C3495" s="10" t="s">
        <v>110</v>
      </c>
      <c r="D3495" s="16">
        <f>SUM(D3478:M3478)+D3490/(Inputs!$D$7+$D$3484)^M3458</f>
        <v>57428.700386874953</v>
      </c>
    </row>
    <row r="3496" spans="1:13" ht="15" customHeight="1" x14ac:dyDescent="0.2">
      <c r="B3496" s="10" t="s">
        <v>940</v>
      </c>
      <c r="C3496" s="10" t="s">
        <v>104</v>
      </c>
      <c r="D3496" s="30">
        <f>IF(ABS(D3481)&gt;Inputs!$D$6,D3495/D3481-Inputs!$D$7,Inputs!$D$6)</f>
        <v>6.6613381477509392E-16</v>
      </c>
    </row>
    <row r="3497" spans="1:13" ht="15" customHeight="1" x14ac:dyDescent="0.2">
      <c r="B3497" s="10" t="s">
        <v>941</v>
      </c>
      <c r="C3497" s="10" t="s">
        <v>104</v>
      </c>
      <c r="D3497" s="30">
        <f>IF(ABS(D3495)&gt;Inputs!$D$119,D3490/(Inputs!$D$7+$D$3484)^M3458/D3495,Inputs!$D$6)</f>
        <v>0.6895934718112906</v>
      </c>
    </row>
    <row r="3498" spans="1:13" ht="15" customHeight="1" x14ac:dyDescent="0.2">
      <c r="B3498" s="10" t="s">
        <v>942</v>
      </c>
      <c r="C3498" s="10" t="s">
        <v>943</v>
      </c>
      <c r="D3498" s="26">
        <f>$D$3482*Inputs!$D$8/Prices!$P$6/(Inputs!$D$26/Inputs!$D$25)/Inputs!$D$11/Inputs!$D$56</f>
        <v>8.507696420397755</v>
      </c>
    </row>
    <row r="3502" spans="1:13" ht="15" customHeight="1" x14ac:dyDescent="0.2">
      <c r="A3502" s="104" t="s">
        <v>1019</v>
      </c>
      <c r="B3502" s="10" t="s">
        <v>886</v>
      </c>
      <c r="C3502" s="10" t="s">
        <v>107</v>
      </c>
      <c r="D3502" s="28">
        <f>Inputs!$D$60</f>
        <v>1</v>
      </c>
      <c r="E3502" s="28">
        <f>Inputs!$D$62</f>
        <v>2</v>
      </c>
      <c r="F3502" s="28">
        <f>Inputs!$D$64</f>
        <v>3</v>
      </c>
      <c r="G3502" s="28">
        <f>Inputs!$D$66</f>
        <v>4</v>
      </c>
      <c r="H3502" s="28">
        <f>Inputs!$D$68</f>
        <v>5</v>
      </c>
      <c r="I3502" s="28">
        <f>Inputs!$D$70</f>
        <v>6</v>
      </c>
      <c r="J3502" s="28">
        <f>Inputs!$D$72</f>
        <v>7</v>
      </c>
      <c r="K3502" s="28">
        <f>Inputs!$D$74</f>
        <v>8</v>
      </c>
      <c r="L3502" s="28">
        <f>Inputs!$D$76</f>
        <v>9</v>
      </c>
      <c r="M3502" s="28">
        <f>Inputs!$D$78</f>
        <v>10</v>
      </c>
    </row>
    <row r="3503" spans="1:13" ht="15" customHeight="1" x14ac:dyDescent="0.2">
      <c r="A3503" s="91"/>
      <c r="B3503" s="10" t="s">
        <v>887</v>
      </c>
      <c r="C3503" s="10" t="s">
        <v>161</v>
      </c>
      <c r="D3503" s="29">
        <f>Inputs!$D$61</f>
        <v>46568</v>
      </c>
      <c r="E3503" s="29">
        <f>Inputs!$D$63</f>
        <v>46934</v>
      </c>
      <c r="F3503" s="29">
        <f>Inputs!$D$65</f>
        <v>47299</v>
      </c>
      <c r="G3503" s="29">
        <f>Inputs!$D$67</f>
        <v>47664</v>
      </c>
      <c r="H3503" s="29">
        <f>Inputs!$D$69</f>
        <v>48029</v>
      </c>
      <c r="I3503" s="29">
        <f>Inputs!$D$71</f>
        <v>48395</v>
      </c>
      <c r="J3503" s="29">
        <f>Inputs!$D$73</f>
        <v>48760</v>
      </c>
      <c r="K3503" s="29">
        <f>Inputs!$D$75</f>
        <v>49125</v>
      </c>
      <c r="L3503" s="29">
        <f>Inputs!$D$77</f>
        <v>49490</v>
      </c>
      <c r="M3503" s="29">
        <f>Inputs!$D$79</f>
        <v>49856</v>
      </c>
    </row>
    <row r="3504" spans="1:13" ht="15" customHeight="1" x14ac:dyDescent="0.2">
      <c r="A3504" s="91"/>
      <c r="B3504" s="10" t="s">
        <v>888</v>
      </c>
      <c r="C3504" s="10" t="s">
        <v>107</v>
      </c>
      <c r="D3504" s="28">
        <f>(D3503-Inputs!$D$13)/Inputs!$D$10</f>
        <v>0.71457905544147848</v>
      </c>
      <c r="E3504" s="28">
        <f>(E3503-Inputs!$D$13)/Inputs!$D$10</f>
        <v>1.7166324435318274</v>
      </c>
      <c r="F3504" s="28">
        <f>(F3503-Inputs!$D$13)/Inputs!$D$10</f>
        <v>2.7159479808350446</v>
      </c>
      <c r="G3504" s="28">
        <f>(G3503-Inputs!$D$13)/Inputs!$D$10</f>
        <v>3.7152635181382614</v>
      </c>
      <c r="H3504" s="28">
        <f>(H3503-Inputs!$D$13)/Inputs!$D$10</f>
        <v>4.7145790554414786</v>
      </c>
      <c r="I3504" s="28">
        <f>(I3503-Inputs!$D$13)/Inputs!$D$10</f>
        <v>5.7166324435318279</v>
      </c>
      <c r="J3504" s="28">
        <f>(J3503-Inputs!$D$13)/Inputs!$D$10</f>
        <v>6.7159479808350442</v>
      </c>
      <c r="K3504" s="28">
        <f>(K3503-Inputs!$D$13)/Inputs!$D$10</f>
        <v>7.7152635181382614</v>
      </c>
      <c r="L3504" s="28">
        <f>(L3503-Inputs!$D$13)/Inputs!$D$10</f>
        <v>8.7145790554414777</v>
      </c>
      <c r="M3504" s="28">
        <f>(M3503-Inputs!$D$13)/Inputs!$D$10</f>
        <v>9.716632443531827</v>
      </c>
    </row>
    <row r="3505" spans="1:13" ht="15" customHeight="1" x14ac:dyDescent="0.2">
      <c r="A3505" s="91"/>
      <c r="B3505" s="10" t="s">
        <v>889</v>
      </c>
      <c r="C3505" s="10" t="s">
        <v>107</v>
      </c>
      <c r="D3505" s="28">
        <f>D3504</f>
        <v>0.71457905544147848</v>
      </c>
      <c r="E3505" s="28">
        <f>Inputs!$D$7</f>
        <v>1</v>
      </c>
      <c r="F3505" s="28">
        <f>Inputs!$D$7</f>
        <v>1</v>
      </c>
      <c r="G3505" s="28">
        <f>Inputs!$D$7</f>
        <v>1</v>
      </c>
      <c r="H3505" s="28">
        <f>Inputs!$D$7</f>
        <v>1</v>
      </c>
      <c r="I3505" s="28">
        <f>Inputs!$D$7</f>
        <v>1</v>
      </c>
      <c r="J3505" s="28">
        <f>Inputs!$D$7</f>
        <v>1</v>
      </c>
      <c r="K3505" s="28">
        <f>Inputs!$D$7</f>
        <v>1</v>
      </c>
      <c r="L3505" s="28">
        <f>Inputs!$D$7</f>
        <v>1</v>
      </c>
      <c r="M3505" s="28">
        <f>Inputs!$D$7</f>
        <v>1</v>
      </c>
    </row>
    <row r="3506" spans="1:13" ht="15" customHeight="1" x14ac:dyDescent="0.2">
      <c r="A3506" s="91"/>
      <c r="B3506" s="3" t="s">
        <v>890</v>
      </c>
      <c r="C3506" s="10" t="s">
        <v>199</v>
      </c>
      <c r="D3506" s="28">
        <f>Inputs!$D$24+(Inputs!$D$93-Inputs!$D$24)*Inputs!$D$96</f>
        <v>279.10000000000002</v>
      </c>
      <c r="E3506" s="28">
        <f>Inputs!$D$24+(Inputs!$D$93-Inputs!$D$24)*Inputs!$D$97</f>
        <v>900.7</v>
      </c>
      <c r="F3506" s="28">
        <f>Inputs!$D$24+(Inputs!$D$93-Inputs!$D$24)*Inputs!$D$98</f>
        <v>1366.8999999999999</v>
      </c>
      <c r="G3506" s="28">
        <f>Inputs!$D$24+(Inputs!$D$93-Inputs!$D$24)*Inputs!$D$99</f>
        <v>1600</v>
      </c>
      <c r="H3506" s="28">
        <f>Inputs!$D$24+(Inputs!$D$93-Inputs!$D$24)*Inputs!$D$100</f>
        <v>1600</v>
      </c>
      <c r="I3506" s="28">
        <f>Inputs!$D$24+(Inputs!$D$93-Inputs!$D$24)*Inputs!$D$101</f>
        <v>1600</v>
      </c>
      <c r="J3506" s="28">
        <f>Inputs!$D$24+(Inputs!$D$93-Inputs!$D$24)*Inputs!$D$102</f>
        <v>1600</v>
      </c>
      <c r="K3506" s="28">
        <f>Inputs!$D$24+(Inputs!$D$93-Inputs!$D$24)*Inputs!$D$103</f>
        <v>1600</v>
      </c>
      <c r="L3506" s="28">
        <f>Inputs!$D$24+(Inputs!$D$93-Inputs!$D$24)*Inputs!$D$104</f>
        <v>1600</v>
      </c>
      <c r="M3506" s="28">
        <f>Inputs!$D$24+(Inputs!$D$93-Inputs!$D$24)*Inputs!$D$105</f>
        <v>1600</v>
      </c>
    </row>
    <row r="3507" spans="1:13" ht="15" customHeight="1" x14ac:dyDescent="0.2">
      <c r="A3507" s="91"/>
      <c r="B3507" s="10" t="s">
        <v>891</v>
      </c>
      <c r="C3507" s="10" t="s">
        <v>199</v>
      </c>
      <c r="D3507" s="28">
        <f>Inputs!$D$24</f>
        <v>46</v>
      </c>
      <c r="E3507" s="28">
        <f t="shared" ref="E3507:M3507" si="760">D3506</f>
        <v>279.10000000000002</v>
      </c>
      <c r="F3507" s="28">
        <f t="shared" si="760"/>
        <v>900.7</v>
      </c>
      <c r="G3507" s="28">
        <f t="shared" si="760"/>
        <v>1366.8999999999999</v>
      </c>
      <c r="H3507" s="28">
        <f t="shared" si="760"/>
        <v>1600</v>
      </c>
      <c r="I3507" s="28">
        <f t="shared" si="760"/>
        <v>1600</v>
      </c>
      <c r="J3507" s="28">
        <f t="shared" si="760"/>
        <v>1600</v>
      </c>
      <c r="K3507" s="28">
        <f t="shared" si="760"/>
        <v>1600</v>
      </c>
      <c r="L3507" s="28">
        <f t="shared" si="760"/>
        <v>1600</v>
      </c>
      <c r="M3507" s="28">
        <f t="shared" si="760"/>
        <v>1600</v>
      </c>
    </row>
    <row r="3508" spans="1:13" ht="15" customHeight="1" x14ac:dyDescent="0.2">
      <c r="B3508" s="10" t="s">
        <v>892</v>
      </c>
      <c r="C3508" s="10" t="s">
        <v>199</v>
      </c>
      <c r="D3508" s="28">
        <f>(D3507+D3506)*Inputs!$D$12</f>
        <v>162.55000000000001</v>
      </c>
      <c r="E3508" s="28">
        <f>(E3507+E3506)*Inputs!$D$12</f>
        <v>589.90000000000009</v>
      </c>
      <c r="F3508" s="28">
        <f>(F3507+F3506)*Inputs!$D$12</f>
        <v>1133.8</v>
      </c>
      <c r="G3508" s="28">
        <f>(G3507+G3506)*Inputs!$D$12</f>
        <v>1483.4499999999998</v>
      </c>
      <c r="H3508" s="28">
        <f>(H3507+H3506)*Inputs!$D$12</f>
        <v>1600</v>
      </c>
      <c r="I3508" s="28">
        <f>(I3507+I3506)*Inputs!$D$12</f>
        <v>1600</v>
      </c>
      <c r="J3508" s="28">
        <f>(J3507+J3506)*Inputs!$D$12</f>
        <v>1600</v>
      </c>
      <c r="K3508" s="28">
        <f>(K3507+K3506)*Inputs!$D$12</f>
        <v>1600</v>
      </c>
      <c r="L3508" s="28">
        <f>(L3507+L3506)*Inputs!$D$12</f>
        <v>1600</v>
      </c>
      <c r="M3508" s="28">
        <f>(M3507+M3506)*Inputs!$D$12</f>
        <v>1600</v>
      </c>
    </row>
    <row r="3509" spans="1:13" ht="15" customHeight="1" x14ac:dyDescent="0.2">
      <c r="B3509" s="10" t="s">
        <v>893</v>
      </c>
      <c r="C3509" s="10" t="s">
        <v>199</v>
      </c>
      <c r="D3509" s="28">
        <f t="shared" ref="D3509:M3509" si="761">D3506-D3507</f>
        <v>233.10000000000002</v>
      </c>
      <c r="E3509" s="28">
        <f t="shared" si="761"/>
        <v>621.6</v>
      </c>
      <c r="F3509" s="28">
        <f t="shared" si="761"/>
        <v>466.19999999999982</v>
      </c>
      <c r="G3509" s="28">
        <f t="shared" si="761"/>
        <v>233.10000000000014</v>
      </c>
      <c r="H3509" s="28">
        <f t="shared" si="761"/>
        <v>0</v>
      </c>
      <c r="I3509" s="28">
        <f t="shared" si="761"/>
        <v>0</v>
      </c>
      <c r="J3509" s="28">
        <f t="shared" si="761"/>
        <v>0</v>
      </c>
      <c r="K3509" s="28">
        <f t="shared" si="761"/>
        <v>0</v>
      </c>
      <c r="L3509" s="28">
        <f t="shared" si="761"/>
        <v>0</v>
      </c>
      <c r="M3509" s="28">
        <f t="shared" si="761"/>
        <v>0</v>
      </c>
    </row>
    <row r="3510" spans="1:13" ht="15" customHeight="1" x14ac:dyDescent="0.2">
      <c r="B3510" s="10" t="s">
        <v>894</v>
      </c>
      <c r="C3510" s="10" t="s">
        <v>199</v>
      </c>
      <c r="D3510" s="28">
        <f>IF(MOD(D3502,Inputs!$D$21)=Inputs!$D$6,Inputs!$D$24,Inputs!$D$6)+SUMPRODUCT(--(D3502&gt;$D$3502:$M$3502),--(MOD(D3502-$D$3502:$M$3502,Inputs!$D$21)=Inputs!$D$6),$D$3509:$M$3509)</f>
        <v>0</v>
      </c>
      <c r="E3510" s="28">
        <f>IF(MOD(E3502,Inputs!$D$21)=Inputs!$D$6,Inputs!$D$24,Inputs!$D$6)+SUMPRODUCT(--(E3502&gt;$D$3502:$M$3502),--(MOD(E3502-$D$3502:$M$3502,Inputs!$D$21)=Inputs!$D$6),$D$3509:$M$3509)</f>
        <v>0</v>
      </c>
      <c r="F3510" s="28">
        <f>IF(MOD(F3502,Inputs!$D$21)=Inputs!$D$6,Inputs!$D$24,Inputs!$D$6)+SUMPRODUCT(--(F3502&gt;$D$3502:$M$3502),--(MOD(F3502-$D$3502:$M$3502,Inputs!$D$21)=Inputs!$D$6),$D$3509:$M$3509)</f>
        <v>0</v>
      </c>
      <c r="G3510" s="28">
        <f>IF(MOD(G3502,Inputs!$D$21)=Inputs!$D$6,Inputs!$D$24,Inputs!$D$6)+SUMPRODUCT(--(G3502&gt;$D$3502:$M$3502),--(MOD(G3502-$D$3502:$M$3502,Inputs!$D$21)=Inputs!$D$6),$D$3509:$M$3509)</f>
        <v>46</v>
      </c>
      <c r="H3510" s="28">
        <f>IF(MOD(H3502,Inputs!$D$21)=Inputs!$D$6,Inputs!$D$24,Inputs!$D$6)+SUMPRODUCT(--(H3502&gt;$D$3502:$M$3502),--(MOD(H3502-$D$3502:$M$3502,Inputs!$D$21)=Inputs!$D$6),$D$3509:$M$3509)</f>
        <v>233.10000000000002</v>
      </c>
      <c r="I3510" s="28">
        <f>IF(MOD(I3502,Inputs!$D$21)=Inputs!$D$6,Inputs!$D$24,Inputs!$D$6)+SUMPRODUCT(--(I3502&gt;$D$3502:$M$3502),--(MOD(I3502-$D$3502:$M$3502,Inputs!$D$21)=Inputs!$D$6),$D$3509:$M$3509)</f>
        <v>621.6</v>
      </c>
      <c r="J3510" s="28">
        <f>IF(MOD(J3502,Inputs!$D$21)=Inputs!$D$6,Inputs!$D$24,Inputs!$D$6)+SUMPRODUCT(--(J3502&gt;$D$3502:$M$3502),--(MOD(J3502-$D$3502:$M$3502,Inputs!$D$21)=Inputs!$D$6),$D$3509:$M$3509)</f>
        <v>466.19999999999982</v>
      </c>
      <c r="K3510" s="28">
        <f>IF(MOD(K3502,Inputs!$D$21)=Inputs!$D$6,Inputs!$D$24,Inputs!$D$6)+SUMPRODUCT(--(K3502&gt;$D$3502:$M$3502),--(MOD(K3502-$D$3502:$M$3502,Inputs!$D$21)=Inputs!$D$6),$D$3509:$M$3509)</f>
        <v>279.10000000000014</v>
      </c>
      <c r="L3510" s="28">
        <f>IF(MOD(L3502,Inputs!$D$21)=Inputs!$D$6,Inputs!$D$24,Inputs!$D$6)+SUMPRODUCT(--(L3502&gt;$D$3502:$M$3502),--(MOD(L3502-$D$3502:$M$3502,Inputs!$D$21)=Inputs!$D$6),$D$3509:$M$3509)</f>
        <v>233.10000000000002</v>
      </c>
      <c r="M3510" s="28">
        <f>IF(MOD(M3502,Inputs!$D$21)=Inputs!$D$6,Inputs!$D$24,Inputs!$D$6)+SUMPRODUCT(--(M3502&gt;$D$3502:$M$3502),--(MOD(M3502-$D$3502:$M$3502,Inputs!$D$21)=Inputs!$D$6),$D$3509:$M$3509)</f>
        <v>621.6</v>
      </c>
    </row>
    <row r="3511" spans="1:13" ht="15" customHeight="1" x14ac:dyDescent="0.2">
      <c r="B3511" s="10" t="s">
        <v>895</v>
      </c>
      <c r="C3511" s="10" t="s">
        <v>896</v>
      </c>
      <c r="D3511" s="28">
        <f t="shared" ref="D3511:M3511" si="762">D3508*D3505</f>
        <v>116.15482546201234</v>
      </c>
      <c r="E3511" s="28">
        <f t="shared" si="762"/>
        <v>589.90000000000009</v>
      </c>
      <c r="F3511" s="28">
        <f t="shared" si="762"/>
        <v>1133.8</v>
      </c>
      <c r="G3511" s="28">
        <f t="shared" si="762"/>
        <v>1483.4499999999998</v>
      </c>
      <c r="H3511" s="28">
        <f t="shared" si="762"/>
        <v>1600</v>
      </c>
      <c r="I3511" s="28">
        <f t="shared" si="762"/>
        <v>1600</v>
      </c>
      <c r="J3511" s="28">
        <f t="shared" si="762"/>
        <v>1600</v>
      </c>
      <c r="K3511" s="28">
        <f t="shared" si="762"/>
        <v>1600</v>
      </c>
      <c r="L3511" s="28">
        <f t="shared" si="762"/>
        <v>1600</v>
      </c>
      <c r="M3511" s="28">
        <f t="shared" si="762"/>
        <v>1600</v>
      </c>
    </row>
    <row r="3512" spans="1:13" ht="15" customHeight="1" x14ac:dyDescent="0.2">
      <c r="B3512" s="10" t="s">
        <v>897</v>
      </c>
      <c r="C3512" s="10" t="s">
        <v>110</v>
      </c>
      <c r="D3512" s="16">
        <f>D3511*($D$3531/Inputs!$D$21+$D$3532/Inputs!$D$22)</f>
        <v>1680.51014411561</v>
      </c>
      <c r="E3512" s="16">
        <f>E3511*($D$3531/Inputs!$D$21+$D$3532/Inputs!$D$22)</f>
        <v>8534.5824426210111</v>
      </c>
      <c r="F3512" s="16">
        <f>F3511*($D$3531/Inputs!$D$21+$D$3532/Inputs!$D$22)</f>
        <v>16403.643962440583</v>
      </c>
      <c r="G3512" s="16">
        <f>G3511*($D$3531/Inputs!$D$21+$D$3532/Inputs!$D$22)</f>
        <v>21462.326368038881</v>
      </c>
      <c r="H3512" s="16">
        <f>H3511*($D$3531/Inputs!$D$21+$D$3532/Inputs!$D$22)</f>
        <v>23148.553836571649</v>
      </c>
      <c r="I3512" s="16">
        <f>I3511*($D$3531/Inputs!$D$21+$D$3532/Inputs!$D$22)</f>
        <v>23148.553836571649</v>
      </c>
      <c r="J3512" s="16">
        <f>J3511*($D$3531/Inputs!$D$21+$D$3532/Inputs!$D$22)</f>
        <v>23148.553836571649</v>
      </c>
      <c r="K3512" s="16">
        <f>K3511*($D$3531/Inputs!$D$21+$D$3532/Inputs!$D$22)</f>
        <v>23148.553836571649</v>
      </c>
      <c r="L3512" s="16">
        <f>L3511*($D$3531/Inputs!$D$21+$D$3532/Inputs!$D$22)</f>
        <v>23148.553836571649</v>
      </c>
      <c r="M3512" s="16">
        <f>M3511*($D$3531/Inputs!$D$21+$D$3532/Inputs!$D$22)</f>
        <v>23148.553836571649</v>
      </c>
    </row>
    <row r="3513" spans="1:13" ht="15" customHeight="1" x14ac:dyDescent="0.2">
      <c r="B3513" s="10" t="s">
        <v>898</v>
      </c>
      <c r="C3513" s="10" t="s">
        <v>110</v>
      </c>
      <c r="D3513" s="16">
        <f t="shared" ref="D3513:M3513" si="763">D3509*($D$3531+$D$3532)</f>
        <v>13977.887419483886</v>
      </c>
      <c r="E3513" s="16">
        <f t="shared" si="763"/>
        <v>37274.36645195703</v>
      </c>
      <c r="F3513" s="16">
        <f t="shared" si="763"/>
        <v>27955.774838967762</v>
      </c>
      <c r="G3513" s="16">
        <f t="shared" si="763"/>
        <v>13977.887419483894</v>
      </c>
      <c r="H3513" s="16">
        <f t="shared" si="763"/>
        <v>0</v>
      </c>
      <c r="I3513" s="16">
        <f t="shared" si="763"/>
        <v>0</v>
      </c>
      <c r="J3513" s="16">
        <f t="shared" si="763"/>
        <v>0</v>
      </c>
      <c r="K3513" s="16">
        <f t="shared" si="763"/>
        <v>0</v>
      </c>
      <c r="L3513" s="16">
        <f t="shared" si="763"/>
        <v>0</v>
      </c>
      <c r="M3513" s="16">
        <f t="shared" si="763"/>
        <v>0</v>
      </c>
    </row>
    <row r="3514" spans="1:13" ht="15" customHeight="1" x14ac:dyDescent="0.2">
      <c r="B3514" s="10" t="s">
        <v>899</v>
      </c>
      <c r="C3514" s="10" t="s">
        <v>110</v>
      </c>
      <c r="D3514" s="16">
        <f t="shared" ref="D3514:M3514" si="764">D3510*$D$3531</f>
        <v>0</v>
      </c>
      <c r="E3514" s="16">
        <f t="shared" si="764"/>
        <v>0</v>
      </c>
      <c r="F3514" s="16">
        <f t="shared" si="764"/>
        <v>0</v>
      </c>
      <c r="G3514" s="16">
        <f t="shared" si="764"/>
        <v>2638.0048485671714</v>
      </c>
      <c r="H3514" s="16">
        <f t="shared" si="764"/>
        <v>13367.802830456689</v>
      </c>
      <c r="I3514" s="16">
        <f t="shared" si="764"/>
        <v>35647.47421455117</v>
      </c>
      <c r="J3514" s="16">
        <f t="shared" si="764"/>
        <v>26735.605660913367</v>
      </c>
      <c r="K3514" s="16">
        <f t="shared" si="764"/>
        <v>16005.807679023867</v>
      </c>
      <c r="L3514" s="16">
        <f t="shared" si="764"/>
        <v>13367.802830456689</v>
      </c>
      <c r="M3514" s="16">
        <f t="shared" si="764"/>
        <v>35647.47421455117</v>
      </c>
    </row>
    <row r="3515" spans="1:13" ht="15" customHeight="1" x14ac:dyDescent="0.2">
      <c r="B3515" s="10" t="s">
        <v>900</v>
      </c>
      <c r="C3515" s="10" t="s">
        <v>199</v>
      </c>
      <c r="D3515" s="28">
        <f>D3509*Inputs!$D$23</f>
        <v>5.8275000000000006</v>
      </c>
      <c r="E3515" s="28">
        <f>E3509*Inputs!$D$23</f>
        <v>15.540000000000001</v>
      </c>
      <c r="F3515" s="28">
        <f>F3509*Inputs!$D$23</f>
        <v>11.654999999999996</v>
      </c>
      <c r="G3515" s="28">
        <f>G3509*Inputs!$D$23</f>
        <v>5.8275000000000041</v>
      </c>
      <c r="H3515" s="28">
        <f>H3509*Inputs!$D$23</f>
        <v>0</v>
      </c>
      <c r="I3515" s="28">
        <f>I3509*Inputs!$D$23</f>
        <v>0</v>
      </c>
      <c r="J3515" s="28">
        <f>J3509*Inputs!$D$23</f>
        <v>0</v>
      </c>
      <c r="K3515" s="28">
        <f>K3509*Inputs!$D$23</f>
        <v>0</v>
      </c>
      <c r="L3515" s="28">
        <f>L3509*Inputs!$D$23</f>
        <v>0</v>
      </c>
      <c r="M3515" s="28">
        <f>M3509*Inputs!$D$23</f>
        <v>0</v>
      </c>
    </row>
    <row r="3516" spans="1:13" ht="15" customHeight="1" x14ac:dyDescent="0.2">
      <c r="B3516" s="3" t="s">
        <v>901</v>
      </c>
      <c r="C3516" s="10" t="s">
        <v>896</v>
      </c>
      <c r="D3516" s="28">
        <f>(D3511*$D$3529*(Inputs!$D$7-Inputs!$D$19)-D3515)/(Inputs!$D$7+$D$3530)^D3504</f>
        <v>50.541318213721269</v>
      </c>
      <c r="E3516" s="28">
        <f>(E3511*$D$3529*(Inputs!$D$7-Inputs!$D$19)-E3515)/(Inputs!$D$7+$D$3530)^E3504</f>
        <v>238.4864713152904</v>
      </c>
      <c r="F3516" s="28">
        <f>(F3511*$D$3529*(Inputs!$D$7-Inputs!$D$19)-F3515)/(Inputs!$D$7+$D$3530)^F3504</f>
        <v>418.74491871678316</v>
      </c>
      <c r="G3516" s="28">
        <f>(G3511*$D$3529*(Inputs!$D$7-Inputs!$D$19)-G3515)/(Inputs!$D$7+$D$3530)^G3504</f>
        <v>490.87392073514752</v>
      </c>
      <c r="H3516" s="28">
        <f>(H3511*$D$3529*(Inputs!$D$7-Inputs!$D$19)-H3515)/(Inputs!$D$7+$D$3530)^H3504</f>
        <v>472.10300862628105</v>
      </c>
      <c r="I3516" s="28">
        <f>(I3511*$D$3529*(Inputs!$D$7-Inputs!$D$19)-I3515)/(Inputs!$D$7+$D$3530)^I3504</f>
        <v>417.68543753228789</v>
      </c>
      <c r="J3516" s="28">
        <f>(J3511*$D$3529*(Inputs!$D$7-Inputs!$D$19)-J3515)/(Inputs!$D$7+$D$3530)^J3504</f>
        <v>369.66405292491049</v>
      </c>
      <c r="K3516" s="28">
        <f>(K3511*$D$3529*(Inputs!$D$7-Inputs!$D$19)-K3515)/(Inputs!$D$7+$D$3530)^K3504</f>
        <v>327.16369723641031</v>
      </c>
      <c r="L3516" s="28">
        <f>(L3511*$D$3529*(Inputs!$D$7-Inputs!$D$19)-L3515)/(Inputs!$D$7+$D$3530)^L3504</f>
        <v>289.54961658427663</v>
      </c>
      <c r="M3516" s="28">
        <f>(M3511*$D$3529*(Inputs!$D$7-Inputs!$D$19)-M3515)/(Inputs!$D$7+$D$3530)^M3504</f>
        <v>256.17430111750662</v>
      </c>
    </row>
    <row r="3517" spans="1:13" ht="15" customHeight="1" x14ac:dyDescent="0.2">
      <c r="B3517" s="10" t="s">
        <v>902</v>
      </c>
      <c r="C3517" s="10" t="s">
        <v>110</v>
      </c>
      <c r="D3517" s="16">
        <f>(D3512*Inputs!$D$19-D3513-D3514)/(Inputs!$D$7+$D$3530)^D3504</f>
        <v>-12346.937146613671</v>
      </c>
      <c r="E3517" s="16">
        <f>(E3512*Inputs!$D$19-E3513-E3514)/(Inputs!$D$7+$D$3530)^E3504</f>
        <v>-28144.165592831177</v>
      </c>
      <c r="F3517" s="16">
        <f>(F3512*Inputs!$D$19-F3513-F3514)/(Inputs!$D$7+$D$3530)^F3504</f>
        <v>-16528.13772562052</v>
      </c>
      <c r="G3517" s="16">
        <f>(G3512*Inputs!$D$19-G3513-G3514)/(Inputs!$D$7+$D$3530)^G3504</f>
        <v>-6462.9033875784253</v>
      </c>
      <c r="H3517" s="16">
        <f>(H3512*Inputs!$D$19-H3513-H3514)/(Inputs!$D$7+$D$3530)^H3504</f>
        <v>-3610.0349541710043</v>
      </c>
      <c r="I3517" s="16">
        <f>(I3512*Inputs!$D$19-I3513-I3514)/(Inputs!$D$7+$D$3530)^I3504</f>
        <v>-14272.365134506323</v>
      </c>
      <c r="J3517" s="16">
        <f>(J3512*Inputs!$D$19-J3513-J3514)/(Inputs!$D$7+$D$3530)^J3504</f>
        <v>-8709.5665200501735</v>
      </c>
      <c r="K3517" s="16">
        <f>(K3512*Inputs!$D$19-K3513-K3514)/(Inputs!$D$7+$D$3530)^K3504</f>
        <v>-3529.1777141306115</v>
      </c>
      <c r="L3517" s="16">
        <f>(L3512*Inputs!$D$19-L3513-L3514)/(Inputs!$D$7+$D$3530)^L3504</f>
        <v>-2214.1020449702382</v>
      </c>
      <c r="M3517" s="16">
        <f>(M3512*Inputs!$D$19-M3513-M3514)/(Inputs!$D$7+$D$3530)^M3504</f>
        <v>-8753.5088252709138</v>
      </c>
    </row>
    <row r="3518" spans="1:13" ht="15" customHeight="1" x14ac:dyDescent="0.2">
      <c r="B3518" s="10" t="s">
        <v>903</v>
      </c>
      <c r="C3518" s="10" t="s">
        <v>110</v>
      </c>
      <c r="D3518" s="16">
        <f t="shared" ref="D3518:M3518" si="765">D3511*$D$3528</f>
        <v>4328.4196577513594</v>
      </c>
      <c r="E3518" s="16">
        <f t="shared" si="765"/>
        <v>21982.166870394707</v>
      </c>
      <c r="F3518" s="16">
        <f t="shared" si="765"/>
        <v>42250.179348454847</v>
      </c>
      <c r="G3518" s="16">
        <f t="shared" si="765"/>
        <v>55279.615941493503</v>
      </c>
      <c r="H3518" s="16">
        <f t="shared" si="765"/>
        <v>59622.761472506398</v>
      </c>
      <c r="I3518" s="16">
        <f t="shared" si="765"/>
        <v>59622.761472506398</v>
      </c>
      <c r="J3518" s="16">
        <f t="shared" si="765"/>
        <v>59622.761472506398</v>
      </c>
      <c r="K3518" s="16">
        <f t="shared" si="765"/>
        <v>59622.761472506398</v>
      </c>
      <c r="L3518" s="16">
        <f t="shared" si="765"/>
        <v>59622.761472506398</v>
      </c>
      <c r="M3518" s="16">
        <f t="shared" si="765"/>
        <v>59622.761472506398</v>
      </c>
    </row>
    <row r="3519" spans="1:13" ht="15" customHeight="1" x14ac:dyDescent="0.2">
      <c r="B3519" s="10" t="s">
        <v>904</v>
      </c>
      <c r="C3519" s="10" t="s">
        <v>110</v>
      </c>
      <c r="D3519" s="16">
        <f t="shared" ref="D3519:M3519" si="766">D3518*$D$3529</f>
        <v>3246.3147433135196</v>
      </c>
      <c r="E3519" s="16">
        <f t="shared" si="766"/>
        <v>16486.62515279603</v>
      </c>
      <c r="F3519" s="16">
        <f t="shared" si="766"/>
        <v>31687.634511341137</v>
      </c>
      <c r="G3519" s="16">
        <f t="shared" si="766"/>
        <v>41459.711956120125</v>
      </c>
      <c r="H3519" s="16">
        <f t="shared" si="766"/>
        <v>44717.0711043798</v>
      </c>
      <c r="I3519" s="16">
        <f t="shared" si="766"/>
        <v>44717.0711043798</v>
      </c>
      <c r="J3519" s="16">
        <f t="shared" si="766"/>
        <v>44717.0711043798</v>
      </c>
      <c r="K3519" s="16">
        <f t="shared" si="766"/>
        <v>44717.0711043798</v>
      </c>
      <c r="L3519" s="16">
        <f t="shared" si="766"/>
        <v>44717.0711043798</v>
      </c>
      <c r="M3519" s="16">
        <f t="shared" si="766"/>
        <v>44717.0711043798</v>
      </c>
    </row>
    <row r="3520" spans="1:13" ht="15" customHeight="1" x14ac:dyDescent="0.2">
      <c r="B3520" s="10" t="s">
        <v>905</v>
      </c>
      <c r="C3520" s="10" t="s">
        <v>110</v>
      </c>
      <c r="D3520" s="16">
        <f t="shared" ref="D3520:M3520" si="767">D3519-D3512</f>
        <v>1565.8045991979095</v>
      </c>
      <c r="E3520" s="16">
        <f t="shared" si="767"/>
        <v>7952.0427101750192</v>
      </c>
      <c r="F3520" s="16">
        <f t="shared" si="767"/>
        <v>15283.990548900554</v>
      </c>
      <c r="G3520" s="16">
        <f t="shared" si="767"/>
        <v>19997.385588081244</v>
      </c>
      <c r="H3520" s="16">
        <f t="shared" si="767"/>
        <v>21568.517267808151</v>
      </c>
      <c r="I3520" s="16">
        <f t="shared" si="767"/>
        <v>21568.517267808151</v>
      </c>
      <c r="J3520" s="16">
        <f t="shared" si="767"/>
        <v>21568.517267808151</v>
      </c>
      <c r="K3520" s="16">
        <f t="shared" si="767"/>
        <v>21568.517267808151</v>
      </c>
      <c r="L3520" s="16">
        <f t="shared" si="767"/>
        <v>21568.517267808151</v>
      </c>
      <c r="M3520" s="16">
        <f t="shared" si="767"/>
        <v>21568.517267808151</v>
      </c>
    </row>
    <row r="3521" spans="2:13" ht="15" customHeight="1" x14ac:dyDescent="0.2">
      <c r="B3521" s="10" t="s">
        <v>906</v>
      </c>
      <c r="C3521" s="10" t="s">
        <v>110</v>
      </c>
      <c r="D3521" s="16">
        <f>MAX(D3520,Inputs!$D$6)*Inputs!$D$19</f>
        <v>469.74137975937282</v>
      </c>
      <c r="E3521" s="16">
        <f>MAX(E3520,Inputs!$D$6)*Inputs!$D$19</f>
        <v>2385.6128130525058</v>
      </c>
      <c r="F3521" s="16">
        <f>MAX(F3520,Inputs!$D$6)*Inputs!$D$19</f>
        <v>4585.1971646701659</v>
      </c>
      <c r="G3521" s="16">
        <f>MAX(G3520,Inputs!$D$6)*Inputs!$D$19</f>
        <v>5999.2156764243728</v>
      </c>
      <c r="H3521" s="16">
        <f>MAX(H3520,Inputs!$D$6)*Inputs!$D$19</f>
        <v>6470.5551803424451</v>
      </c>
      <c r="I3521" s="16">
        <f>MAX(I3520,Inputs!$D$6)*Inputs!$D$19</f>
        <v>6470.5551803424451</v>
      </c>
      <c r="J3521" s="16">
        <f>MAX(J3520,Inputs!$D$6)*Inputs!$D$19</f>
        <v>6470.5551803424451</v>
      </c>
      <c r="K3521" s="16">
        <f>MAX(K3520,Inputs!$D$6)*Inputs!$D$19</f>
        <v>6470.5551803424451</v>
      </c>
      <c r="L3521" s="16">
        <f>MAX(L3520,Inputs!$D$6)*Inputs!$D$19</f>
        <v>6470.5551803424451</v>
      </c>
      <c r="M3521" s="16">
        <f>MAX(M3520,Inputs!$D$6)*Inputs!$D$19</f>
        <v>6470.5551803424451</v>
      </c>
    </row>
    <row r="3522" spans="2:13" ht="15" customHeight="1" x14ac:dyDescent="0.2">
      <c r="B3522" s="10" t="s">
        <v>907</v>
      </c>
      <c r="C3522" s="10" t="s">
        <v>110</v>
      </c>
      <c r="D3522" s="16">
        <f t="shared" ref="D3522:M3522" si="768">D3515*$D$3528</f>
        <v>217.15727655064441</v>
      </c>
      <c r="E3522" s="16">
        <f t="shared" si="768"/>
        <v>579.08607080171839</v>
      </c>
      <c r="F3522" s="16">
        <f t="shared" si="768"/>
        <v>434.31455310128865</v>
      </c>
      <c r="G3522" s="16">
        <f t="shared" si="768"/>
        <v>217.15727655064455</v>
      </c>
      <c r="H3522" s="16">
        <f t="shared" si="768"/>
        <v>0</v>
      </c>
      <c r="I3522" s="16">
        <f t="shared" si="768"/>
        <v>0</v>
      </c>
      <c r="J3522" s="16">
        <f t="shared" si="768"/>
        <v>0</v>
      </c>
      <c r="K3522" s="16">
        <f t="shared" si="768"/>
        <v>0</v>
      </c>
      <c r="L3522" s="16">
        <f t="shared" si="768"/>
        <v>0</v>
      </c>
      <c r="M3522" s="16">
        <f t="shared" si="768"/>
        <v>0</v>
      </c>
    </row>
    <row r="3523" spans="2:13" ht="15" customHeight="1" x14ac:dyDescent="0.2">
      <c r="B3523" s="10" t="s">
        <v>908</v>
      </c>
      <c r="C3523" s="10" t="s">
        <v>110</v>
      </c>
      <c r="D3523" s="16">
        <f t="shared" ref="D3523:M3523" si="769">D3519-D3521-D3513-D3514-D3522</f>
        <v>-11418.471332480383</v>
      </c>
      <c r="E3523" s="16">
        <f t="shared" si="769"/>
        <v>-23752.440183015224</v>
      </c>
      <c r="F3523" s="16">
        <f t="shared" si="769"/>
        <v>-1287.6520453980775</v>
      </c>
      <c r="G3523" s="16">
        <f t="shared" si="769"/>
        <v>18627.446735094043</v>
      </c>
      <c r="H3523" s="16">
        <f t="shared" si="769"/>
        <v>24878.713093580664</v>
      </c>
      <c r="I3523" s="16">
        <f t="shared" si="769"/>
        <v>2599.0417094861841</v>
      </c>
      <c r="J3523" s="16">
        <f t="shared" si="769"/>
        <v>11510.910263123988</v>
      </c>
      <c r="K3523" s="16">
        <f t="shared" si="769"/>
        <v>22240.708245013488</v>
      </c>
      <c r="L3523" s="16">
        <f t="shared" si="769"/>
        <v>24878.713093580664</v>
      </c>
      <c r="M3523" s="16">
        <f t="shared" si="769"/>
        <v>2599.0417094861841</v>
      </c>
    </row>
    <row r="3524" spans="2:13" ht="15" customHeight="1" x14ac:dyDescent="0.2">
      <c r="B3524" s="10" t="s">
        <v>909</v>
      </c>
      <c r="C3524" s="10" t="s">
        <v>110</v>
      </c>
      <c r="D3524" s="16">
        <f>D3523/(Inputs!$D$7+$D$3530)^D3504</f>
        <v>-10463.554046386953</v>
      </c>
      <c r="E3524" s="16">
        <f>E3523/(Inputs!$D$7+$D$3530)^E3504</f>
        <v>-19257.151846799115</v>
      </c>
      <c r="F3524" s="16">
        <f>F3523/(Inputs!$D$7+$D$3530)^F3504</f>
        <v>-923.93247157373776</v>
      </c>
      <c r="G3524" s="16">
        <f>G3523/(Inputs!$D$7+$D$3530)^G3504</f>
        <v>11829.133293087645</v>
      </c>
      <c r="H3524" s="16">
        <f>H3523/(Inputs!$D$7+$D$3530)^H3504</f>
        <v>13982.518216939861</v>
      </c>
      <c r="I3524" s="16">
        <f>I3523/(Inputs!$D$7+$D$3530)^I3504</f>
        <v>1292.359373323098</v>
      </c>
      <c r="J3524" s="16">
        <f>J3523/(Inputs!$D$7+$D$3530)^J3504</f>
        <v>5065.6782627635248</v>
      </c>
      <c r="K3524" s="16">
        <f>K3523/(Inputs!$D$7+$D$3530)^K3504</f>
        <v>8662.3242126130081</v>
      </c>
      <c r="L3524" s="16">
        <f>L3523/(Inputs!$D$7+$D$3530)^L3504</f>
        <v>8575.7402825672652</v>
      </c>
      <c r="M3524" s="16">
        <f>M3523/(Inputs!$D$7+$D$3530)^M3504</f>
        <v>792.62820655103917</v>
      </c>
    </row>
    <row r="3525" spans="2:13" ht="15" customHeight="1" x14ac:dyDescent="0.2">
      <c r="B3525" s="3" t="s">
        <v>910</v>
      </c>
      <c r="C3525" s="10" t="s">
        <v>896</v>
      </c>
      <c r="D3525" s="28">
        <f>(D3511*$D$3529-D3515)/(Inputs!$D$7+$D$3530)^D3504</f>
        <v>74.490519309095831</v>
      </c>
      <c r="E3525" s="28">
        <f>(E3511*$D$3529-E3515)/(Inputs!$D$7+$D$3530)^E3504</f>
        <v>346.09451503846662</v>
      </c>
      <c r="F3525" s="28">
        <f>(F3511*$D$3529-F3515)/(Inputs!$D$7+$D$3530)^F3504</f>
        <v>601.79110266312398</v>
      </c>
      <c r="G3525" s="28">
        <f>(G3511*$D$3529-G3515)/(Inputs!$D$7+$D$3530)^G3504</f>
        <v>702.83446516544734</v>
      </c>
      <c r="H3525" s="28">
        <f>(H3511*$D$3529-H3515)/(Inputs!$D$7+$D$3530)^H3504</f>
        <v>674.43286946611579</v>
      </c>
      <c r="I3525" s="28">
        <f>(I3511*$D$3529-I3515)/(Inputs!$D$7+$D$3530)^I3504</f>
        <v>596.69348218898278</v>
      </c>
      <c r="J3525" s="28">
        <f>(J3511*$D$3529-J3515)/(Inputs!$D$7+$D$3530)^J3504</f>
        <v>528.09150417844353</v>
      </c>
      <c r="K3525" s="28">
        <f>(K3511*$D$3529-K3515)/(Inputs!$D$7+$D$3530)^K3504</f>
        <v>467.37671033772904</v>
      </c>
      <c r="L3525" s="28">
        <f>(L3511*$D$3529-L3515)/(Inputs!$D$7+$D$3530)^L3504</f>
        <v>413.64230940610946</v>
      </c>
      <c r="M3525" s="28">
        <f>(M3511*$D$3529-M3515)/(Inputs!$D$7+$D$3530)^M3504</f>
        <v>365.96328731072373</v>
      </c>
    </row>
    <row r="3526" spans="2:13" ht="15" customHeight="1" x14ac:dyDescent="0.2">
      <c r="B3526" s="10" t="s">
        <v>911</v>
      </c>
      <c r="C3526" s="10" t="s">
        <v>110</v>
      </c>
      <c r="D3526" s="16">
        <f>(-D3513-D3514)/(Inputs!$D$7+$D$3530)^D3504</f>
        <v>-12808.928289029636</v>
      </c>
      <c r="E3526" s="16">
        <f>(-E3513-E3514)/(Inputs!$D$7+$D$3530)^E3504</f>
        <v>-30219.974420642928</v>
      </c>
      <c r="F3526" s="16">
        <f>(-F3513-F3514)/(Inputs!$D$7+$D$3530)^F3504</f>
        <v>-20059.183095337907</v>
      </c>
      <c r="G3526" s="16">
        <f>(-G3513-G3514)/(Inputs!$D$7+$D$3530)^G3504</f>
        <v>-10551.720115889953</v>
      </c>
      <c r="H3526" s="16">
        <f>(-H3513-H3514)/(Inputs!$D$7+$D$3530)^H3504</f>
        <v>-7513.0713511684744</v>
      </c>
      <c r="I3526" s="16">
        <f>(-I3513-I3514)/(Inputs!$D$7+$D$3530)^I3504</f>
        <v>-17725.512933602091</v>
      </c>
      <c r="J3526" s="16">
        <f>(-J3513-J3514)/(Inputs!$D$7+$D$3530)^J3504</f>
        <v>-11765.705173827875</v>
      </c>
      <c r="K3526" s="16">
        <f>(-K3513-K3514)/(Inputs!$D$7+$D$3530)^K3504</f>
        <v>-6233.95144943378</v>
      </c>
      <c r="L3526" s="16">
        <f>(-L3513-L3514)/(Inputs!$D$7+$D$3530)^L3504</f>
        <v>-4607.9073620630261</v>
      </c>
      <c r="M3526" s="16">
        <f>(-M3513-M3514)/(Inputs!$D$7+$D$3530)^M3504</f>
        <v>-10871.389039901173</v>
      </c>
    </row>
    <row r="3527" spans="2:13" ht="15" customHeight="1" x14ac:dyDescent="0.2">
      <c r="B3527" s="10" t="s">
        <v>912</v>
      </c>
      <c r="C3527" s="10" t="s">
        <v>110</v>
      </c>
      <c r="D3527" s="16">
        <f>Prices!K18</f>
        <v>57428.700386874909</v>
      </c>
    </row>
    <row r="3528" spans="2:13" ht="15" customHeight="1" x14ac:dyDescent="0.2">
      <c r="B3528" s="3" t="s">
        <v>913</v>
      </c>
      <c r="C3528" s="10" t="s">
        <v>914</v>
      </c>
      <c r="D3528" s="28">
        <f>IF(J3535&gt;=J3531,J3535,(D3527-J3534)/J3533)</f>
        <v>37.264225920316498</v>
      </c>
      <c r="G3528" s="99" t="s">
        <v>915</v>
      </c>
      <c r="H3528" s="91"/>
      <c r="I3528" s="91"/>
      <c r="J3528" s="28">
        <f>D3528*Inputs!$D$15</f>
        <v>26.006703269788883</v>
      </c>
      <c r="K3528" s="99" t="s">
        <v>916</v>
      </c>
      <c r="L3528" s="91"/>
      <c r="M3528" s="91"/>
    </row>
    <row r="3529" spans="2:13" ht="15" customHeight="1" x14ac:dyDescent="0.2">
      <c r="B3529" s="10" t="s">
        <v>917</v>
      </c>
      <c r="C3529" s="10" t="s">
        <v>104</v>
      </c>
      <c r="D3529" s="30">
        <f>Inputs!$D$94</f>
        <v>0.75</v>
      </c>
      <c r="G3529" s="99" t="s">
        <v>918</v>
      </c>
      <c r="H3529" s="91"/>
      <c r="I3529" s="91"/>
      <c r="J3529" s="28">
        <f>IF(-D3540/D3539&gt;=J3531,-D3540/D3539,-J3534/J3533)</f>
        <v>27.411702074287536</v>
      </c>
      <c r="K3529" s="99" t="s">
        <v>919</v>
      </c>
      <c r="L3529" s="91"/>
      <c r="M3529" s="91"/>
    </row>
    <row r="3530" spans="2:13" ht="15" customHeight="1" x14ac:dyDescent="0.2">
      <c r="B3530" s="10" t="s">
        <v>920</v>
      </c>
      <c r="C3530" s="10" t="s">
        <v>104</v>
      </c>
      <c r="D3530" s="30">
        <f>Inputs!$D$95</f>
        <v>0.13</v>
      </c>
      <c r="G3530" s="99" t="s">
        <v>918</v>
      </c>
      <c r="H3530" s="91"/>
      <c r="I3530" s="91"/>
      <c r="J3530" s="28">
        <f>J3529*Inputs!$D$15</f>
        <v>19.13062687764527</v>
      </c>
      <c r="K3530" s="99" t="s">
        <v>916</v>
      </c>
      <c r="L3530" s="91"/>
      <c r="M3530" s="91"/>
    </row>
    <row r="3531" spans="2:13" ht="15" customHeight="1" x14ac:dyDescent="0.2">
      <c r="B3531" s="3" t="s">
        <v>921</v>
      </c>
      <c r="C3531" s="10" t="s">
        <v>848</v>
      </c>
      <c r="D3531" s="28">
        <f>Capital!$D$13</f>
        <v>57.347931490590682</v>
      </c>
      <c r="G3531" s="99" t="s">
        <v>922</v>
      </c>
      <c r="H3531" s="91"/>
      <c r="I3531" s="91"/>
      <c r="J3531" s="28">
        <f>($D$3531/Inputs!$D$21+$D$3532/Inputs!$D$22)/$D$3529</f>
        <v>19.290461530476374</v>
      </c>
      <c r="K3531" s="99" t="s">
        <v>919</v>
      </c>
      <c r="L3531" s="91"/>
      <c r="M3531" s="91"/>
    </row>
    <row r="3532" spans="2:13" ht="15" customHeight="1" x14ac:dyDescent="0.2">
      <c r="B3532" s="3" t="s">
        <v>923</v>
      </c>
      <c r="C3532" s="10" t="s">
        <v>848</v>
      </c>
      <c r="D3532" s="28">
        <f>Capital!$D$14</f>
        <v>2.6172655041921802</v>
      </c>
    </row>
    <row r="3533" spans="2:13" ht="15" customHeight="1" x14ac:dyDescent="0.2">
      <c r="B3533" s="10" t="s">
        <v>924</v>
      </c>
      <c r="C3533" s="10" t="s">
        <v>896</v>
      </c>
      <c r="D3533" s="28">
        <f>(M3506*(Inputs!$D$7+Inputs!$D$20)*$D$3529*(Inputs!$D$7-Inputs!$D$19)-M3506*Inputs!$D$20*Inputs!$D$23)/($D$3530-Inputs!$D$20)/(Inputs!$D$7+$D$3530)^M3504</f>
        <v>2497.8446594223992</v>
      </c>
      <c r="G3533" s="92" t="s">
        <v>910</v>
      </c>
      <c r="H3533" s="91"/>
      <c r="I3533" s="91"/>
      <c r="J3533" s="28">
        <f>SUM(D3525:M3525)+(M3506*(Inputs!$D$7+Inputs!$D$20)*$D$3529-M3506*Inputs!$D$20*Inputs!$D$23)/($D$3530-Inputs!$D$20)/(Inputs!$D$7+$D$3530)^M3504</f>
        <v>8341.0050516109004</v>
      </c>
      <c r="K3533" s="99" t="s">
        <v>896</v>
      </c>
      <c r="L3533" s="91"/>
      <c r="M3533" s="91"/>
    </row>
    <row r="3534" spans="2:13" ht="15" customHeight="1" x14ac:dyDescent="0.2">
      <c r="B3534" s="10" t="s">
        <v>925</v>
      </c>
      <c r="C3534" s="10" t="s">
        <v>110</v>
      </c>
      <c r="D3534" s="16">
        <f>(D3537*Inputs!$D$19-D3537-D3538)/($D$3530-Inputs!$D$20)/(Inputs!$D$7+$D$3530)^M3504</f>
        <v>-55207.290798783099</v>
      </c>
      <c r="G3534" s="92" t="s">
        <v>926</v>
      </c>
      <c r="H3534" s="91"/>
      <c r="I3534" s="91"/>
      <c r="J3534" s="16">
        <f>SUM(D3526:M3526)-(D3537+D3538)/($D$3530-Inputs!$D$20)/(Inputs!$D$7+$D$3530)^M3504</f>
        <v>-208239.17898202292</v>
      </c>
      <c r="K3534" s="99" t="s">
        <v>110</v>
      </c>
      <c r="L3534" s="91"/>
      <c r="M3534" s="91"/>
    </row>
    <row r="3535" spans="2:13" ht="15" customHeight="1" x14ac:dyDescent="0.2">
      <c r="B3535" s="10" t="s">
        <v>927</v>
      </c>
      <c r="C3535" s="10" t="s">
        <v>928</v>
      </c>
      <c r="D3535" s="16">
        <f>(M3506*(Inputs!$D$7+Inputs!$D$20)*$D$3528*$D$3529-D3537)-MAX((M3506*(Inputs!$D$7+Inputs!$D$20)*$D$3528*$D$3529-D3537),Inputs!$D$6)*Inputs!$D$19-D3538-M3506*Inputs!$D$20*$D$3528*Inputs!$D$23</f>
        <v>13039.539033940713</v>
      </c>
      <c r="G3535" s="99" t="s">
        <v>929</v>
      </c>
      <c r="H3535" s="91"/>
      <c r="I3535" s="91"/>
      <c r="J3535" s="28">
        <f>(D3527-D3540)/D3539</f>
        <v>37.264225920316498</v>
      </c>
      <c r="K3535" s="99" t="s">
        <v>919</v>
      </c>
      <c r="L3535" s="91"/>
      <c r="M3535" s="91"/>
    </row>
    <row r="3536" spans="2:13" ht="15" customHeight="1" x14ac:dyDescent="0.2">
      <c r="B3536" s="10" t="s">
        <v>930</v>
      </c>
      <c r="C3536" s="10" t="s">
        <v>110</v>
      </c>
      <c r="D3536" s="16">
        <f>D3535/($D$3530-Inputs!$D$20)</f>
        <v>124186.08603753059</v>
      </c>
      <c r="G3536" s="99" t="s">
        <v>931</v>
      </c>
      <c r="H3536" s="91"/>
      <c r="I3536" s="91"/>
      <c r="J3536" s="16">
        <f>MIN(D3520:M3520,(M3506*(Inputs!$D$7+Inputs!$D$20)*$D$3528*$D$3529-D3537))</f>
        <v>1565.8045991979095</v>
      </c>
      <c r="K3536" s="99" t="s">
        <v>110</v>
      </c>
      <c r="L3536" s="91"/>
      <c r="M3536" s="91"/>
    </row>
    <row r="3537" spans="1:13" ht="15" customHeight="1" x14ac:dyDescent="0.2">
      <c r="B3537" s="10" t="s">
        <v>932</v>
      </c>
      <c r="C3537" s="10" t="s">
        <v>928</v>
      </c>
      <c r="D3537" s="16">
        <f>M3506*(Inputs!$D$7+Inputs!$D$20)*($D$3531/Inputs!$D$21+$D$3532/Inputs!$D$22)</f>
        <v>23727.267682485937</v>
      </c>
      <c r="G3537" s="99" t="s">
        <v>933</v>
      </c>
      <c r="H3537" s="91"/>
      <c r="I3537" s="91"/>
      <c r="J3537" s="31" t="str">
        <f>IF(J3536&lt;Inputs!$D$6,"breached","satisfied")</f>
        <v>satisfied</v>
      </c>
      <c r="K3537" s="99" t="s">
        <v>934</v>
      </c>
      <c r="L3537" s="91"/>
      <c r="M3537" s="91"/>
    </row>
    <row r="3538" spans="1:13" ht="15" customHeight="1" x14ac:dyDescent="0.2">
      <c r="B3538" s="10" t="s">
        <v>935</v>
      </c>
      <c r="C3538" s="10" t="s">
        <v>928</v>
      </c>
      <c r="D3538" s="16">
        <f>M3506*Inputs!$D$20*($D$3531+$D$3532)</f>
        <v>2398.6078797913146</v>
      </c>
    </row>
    <row r="3539" spans="1:13" ht="15" customHeight="1" x14ac:dyDescent="0.2">
      <c r="B3539" s="10" t="s">
        <v>936</v>
      </c>
      <c r="C3539" s="10" t="s">
        <v>896</v>
      </c>
      <c r="D3539" s="28">
        <f>SUM(D3516:M3516)+D3533</f>
        <v>5828.8314024250149</v>
      </c>
      <c r="G3539" s="99" t="s">
        <v>937</v>
      </c>
      <c r="H3539" s="91"/>
      <c r="I3539" s="91"/>
      <c r="J3539" s="16">
        <f>D3541-D3527</f>
        <v>0</v>
      </c>
      <c r="K3539" s="99" t="s">
        <v>110</v>
      </c>
      <c r="L3539" s="91"/>
      <c r="M3539" s="91"/>
    </row>
    <row r="3540" spans="1:13" ht="15" customHeight="1" x14ac:dyDescent="0.2">
      <c r="B3540" s="10" t="s">
        <v>938</v>
      </c>
      <c r="C3540" s="10" t="s">
        <v>110</v>
      </c>
      <c r="D3540" s="16">
        <f>SUM(D3517:M3517)+D3534</f>
        <v>-159778.18984452612</v>
      </c>
    </row>
    <row r="3541" spans="1:13" ht="15" customHeight="1" x14ac:dyDescent="0.2">
      <c r="B3541" s="10" t="s">
        <v>939</v>
      </c>
      <c r="C3541" s="10" t="s">
        <v>110</v>
      </c>
      <c r="D3541" s="16">
        <f>SUM(D3524:M3524)+D3536/(Inputs!$D$7+$D$3530)^M3504</f>
        <v>57428.700386874858</v>
      </c>
    </row>
    <row r="3542" spans="1:13" ht="15" customHeight="1" x14ac:dyDescent="0.2">
      <c r="B3542" s="10" t="s">
        <v>940</v>
      </c>
      <c r="C3542" s="10" t="s">
        <v>104</v>
      </c>
      <c r="D3542" s="30">
        <f>IF(ABS(D3527)&gt;Inputs!$D$6,D3541/D3527-Inputs!$D$7,Inputs!$D$6)</f>
        <v>-8.8817841970012523E-16</v>
      </c>
    </row>
    <row r="3543" spans="1:13" ht="15" customHeight="1" x14ac:dyDescent="0.2">
      <c r="B3543" s="10" t="s">
        <v>941</v>
      </c>
      <c r="C3543" s="10" t="s">
        <v>104</v>
      </c>
      <c r="D3543" s="30">
        <f>IF(ABS(D3541)&gt;Inputs!$D$119,D3536/(Inputs!$D$7+$D$3530)^M3504/D3541,Inputs!$D$6)</f>
        <v>0.65947786818531173</v>
      </c>
    </row>
    <row r="3544" spans="1:13" ht="15" customHeight="1" x14ac:dyDescent="0.2">
      <c r="B3544" s="10" t="s">
        <v>942</v>
      </c>
      <c r="C3544" s="10" t="s">
        <v>943</v>
      </c>
      <c r="D3544" s="26">
        <f>$D$3528*Inputs!$D$8/Prices!$P$6/(Inputs!$D$26/Inputs!$D$25)/Inputs!$D$11/Inputs!$D$56</f>
        <v>6.7766126745280735</v>
      </c>
    </row>
    <row r="3548" spans="1:13" ht="15" customHeight="1" x14ac:dyDescent="0.2">
      <c r="A3548" s="104" t="s">
        <v>1020</v>
      </c>
      <c r="B3548" s="10" t="s">
        <v>886</v>
      </c>
      <c r="C3548" s="10" t="s">
        <v>107</v>
      </c>
      <c r="D3548" s="28">
        <f>Inputs!$D$60</f>
        <v>1</v>
      </c>
      <c r="E3548" s="28">
        <f>Inputs!$D$62</f>
        <v>2</v>
      </c>
      <c r="F3548" s="28">
        <f>Inputs!$D$64</f>
        <v>3</v>
      </c>
      <c r="G3548" s="28">
        <f>Inputs!$D$66</f>
        <v>4</v>
      </c>
      <c r="H3548" s="28">
        <f>Inputs!$D$68</f>
        <v>5</v>
      </c>
      <c r="I3548" s="28">
        <f>Inputs!$D$70</f>
        <v>6</v>
      </c>
      <c r="J3548" s="28">
        <f>Inputs!$D$72</f>
        <v>7</v>
      </c>
      <c r="K3548" s="28">
        <f>Inputs!$D$74</f>
        <v>8</v>
      </c>
      <c r="L3548" s="28">
        <f>Inputs!$D$76</f>
        <v>9</v>
      </c>
      <c r="M3548" s="28">
        <f>Inputs!$D$78</f>
        <v>10</v>
      </c>
    </row>
    <row r="3549" spans="1:13" ht="15" customHeight="1" x14ac:dyDescent="0.2">
      <c r="A3549" s="91"/>
      <c r="B3549" s="10" t="s">
        <v>887</v>
      </c>
      <c r="C3549" s="10" t="s">
        <v>161</v>
      </c>
      <c r="D3549" s="29">
        <f>Inputs!$D$61</f>
        <v>46568</v>
      </c>
      <c r="E3549" s="29">
        <f>Inputs!$D$63</f>
        <v>46934</v>
      </c>
      <c r="F3549" s="29">
        <f>Inputs!$D$65</f>
        <v>47299</v>
      </c>
      <c r="G3549" s="29">
        <f>Inputs!$D$67</f>
        <v>47664</v>
      </c>
      <c r="H3549" s="29">
        <f>Inputs!$D$69</f>
        <v>48029</v>
      </c>
      <c r="I3549" s="29">
        <f>Inputs!$D$71</f>
        <v>48395</v>
      </c>
      <c r="J3549" s="29">
        <f>Inputs!$D$73</f>
        <v>48760</v>
      </c>
      <c r="K3549" s="29">
        <f>Inputs!$D$75</f>
        <v>49125</v>
      </c>
      <c r="L3549" s="29">
        <f>Inputs!$D$77</f>
        <v>49490</v>
      </c>
      <c r="M3549" s="29">
        <f>Inputs!$D$79</f>
        <v>49856</v>
      </c>
    </row>
    <row r="3550" spans="1:13" ht="15" customHeight="1" x14ac:dyDescent="0.2">
      <c r="A3550" s="91"/>
      <c r="B3550" s="10" t="s">
        <v>888</v>
      </c>
      <c r="C3550" s="10" t="s">
        <v>107</v>
      </c>
      <c r="D3550" s="28">
        <f>(D3549-Inputs!$D$13)/Inputs!$D$10</f>
        <v>0.71457905544147848</v>
      </c>
      <c r="E3550" s="28">
        <f>(E3549-Inputs!$D$13)/Inputs!$D$10</f>
        <v>1.7166324435318274</v>
      </c>
      <c r="F3550" s="28">
        <f>(F3549-Inputs!$D$13)/Inputs!$D$10</f>
        <v>2.7159479808350446</v>
      </c>
      <c r="G3550" s="28">
        <f>(G3549-Inputs!$D$13)/Inputs!$D$10</f>
        <v>3.7152635181382614</v>
      </c>
      <c r="H3550" s="28">
        <f>(H3549-Inputs!$D$13)/Inputs!$D$10</f>
        <v>4.7145790554414786</v>
      </c>
      <c r="I3550" s="28">
        <f>(I3549-Inputs!$D$13)/Inputs!$D$10</f>
        <v>5.7166324435318279</v>
      </c>
      <c r="J3550" s="28">
        <f>(J3549-Inputs!$D$13)/Inputs!$D$10</f>
        <v>6.7159479808350442</v>
      </c>
      <c r="K3550" s="28">
        <f>(K3549-Inputs!$D$13)/Inputs!$D$10</f>
        <v>7.7152635181382614</v>
      </c>
      <c r="L3550" s="28">
        <f>(L3549-Inputs!$D$13)/Inputs!$D$10</f>
        <v>8.7145790554414777</v>
      </c>
      <c r="M3550" s="28">
        <f>(M3549-Inputs!$D$13)/Inputs!$D$10</f>
        <v>9.716632443531827</v>
      </c>
    </row>
    <row r="3551" spans="1:13" ht="15" customHeight="1" x14ac:dyDescent="0.2">
      <c r="A3551" s="91"/>
      <c r="B3551" s="10" t="s">
        <v>889</v>
      </c>
      <c r="C3551" s="10" t="s">
        <v>107</v>
      </c>
      <c r="D3551" s="28">
        <f>D3550</f>
        <v>0.71457905544147848</v>
      </c>
      <c r="E3551" s="28">
        <f>Inputs!$D$7</f>
        <v>1</v>
      </c>
      <c r="F3551" s="28">
        <f>Inputs!$D$7</f>
        <v>1</v>
      </c>
      <c r="G3551" s="28">
        <f>Inputs!$D$7</f>
        <v>1</v>
      </c>
      <c r="H3551" s="28">
        <f>Inputs!$D$7</f>
        <v>1</v>
      </c>
      <c r="I3551" s="28">
        <f>Inputs!$D$7</f>
        <v>1</v>
      </c>
      <c r="J3551" s="28">
        <f>Inputs!$D$7</f>
        <v>1</v>
      </c>
      <c r="K3551" s="28">
        <f>Inputs!$D$7</f>
        <v>1</v>
      </c>
      <c r="L3551" s="28">
        <f>Inputs!$D$7</f>
        <v>1</v>
      </c>
      <c r="M3551" s="28">
        <f>Inputs!$D$7</f>
        <v>1</v>
      </c>
    </row>
    <row r="3552" spans="1:13" ht="15" customHeight="1" x14ac:dyDescent="0.2">
      <c r="A3552" s="91"/>
      <c r="B3552" s="3" t="s">
        <v>890</v>
      </c>
      <c r="C3552" s="10" t="s">
        <v>199</v>
      </c>
      <c r="D3552" s="28">
        <f>Inputs!$D$24+(Inputs!$D$106-Inputs!$D$24)*Inputs!$D$109</f>
        <v>170.32</v>
      </c>
      <c r="E3552" s="28">
        <f>Inputs!$D$24+(Inputs!$D$106-Inputs!$D$24)*Inputs!$D$110</f>
        <v>481.12000000000006</v>
      </c>
      <c r="F3552" s="28">
        <f>Inputs!$D$24+(Inputs!$D$106-Inputs!$D$24)*Inputs!$D$111</f>
        <v>823</v>
      </c>
      <c r="G3552" s="28">
        <f>Inputs!$D$24+(Inputs!$D$106-Inputs!$D$24)*Inputs!$D$112</f>
        <v>1211.5</v>
      </c>
      <c r="H3552" s="28">
        <f>Inputs!$D$24+(Inputs!$D$106-Inputs!$D$24)*Inputs!$D$113</f>
        <v>1600</v>
      </c>
      <c r="I3552" s="28">
        <f>Inputs!$D$24+(Inputs!$D$106-Inputs!$D$24)*Inputs!$D$114</f>
        <v>1600</v>
      </c>
      <c r="J3552" s="28">
        <f>Inputs!$D$24+(Inputs!$D$106-Inputs!$D$24)*Inputs!$D$115</f>
        <v>1600</v>
      </c>
      <c r="K3552" s="28">
        <f>Inputs!$D$24+(Inputs!$D$106-Inputs!$D$24)*Inputs!$D$116</f>
        <v>1600</v>
      </c>
      <c r="L3552" s="28">
        <f>Inputs!$D$24+(Inputs!$D$106-Inputs!$D$24)*Inputs!$D$117</f>
        <v>1600</v>
      </c>
      <c r="M3552" s="28">
        <f>Inputs!$D$24+(Inputs!$D$106-Inputs!$D$24)*Inputs!$D$118</f>
        <v>1600</v>
      </c>
    </row>
    <row r="3553" spans="1:13" ht="15" customHeight="1" x14ac:dyDescent="0.2">
      <c r="A3553" s="91"/>
      <c r="B3553" s="10" t="s">
        <v>891</v>
      </c>
      <c r="C3553" s="10" t="s">
        <v>199</v>
      </c>
      <c r="D3553" s="28">
        <f>Inputs!$D$24</f>
        <v>46</v>
      </c>
      <c r="E3553" s="28">
        <f t="shared" ref="E3553:M3553" si="770">D3552</f>
        <v>170.32</v>
      </c>
      <c r="F3553" s="28">
        <f t="shared" si="770"/>
        <v>481.12000000000006</v>
      </c>
      <c r="G3553" s="28">
        <f t="shared" si="770"/>
        <v>823</v>
      </c>
      <c r="H3553" s="28">
        <f t="shared" si="770"/>
        <v>1211.5</v>
      </c>
      <c r="I3553" s="28">
        <f t="shared" si="770"/>
        <v>1600</v>
      </c>
      <c r="J3553" s="28">
        <f t="shared" si="770"/>
        <v>1600</v>
      </c>
      <c r="K3553" s="28">
        <f t="shared" si="770"/>
        <v>1600</v>
      </c>
      <c r="L3553" s="28">
        <f t="shared" si="770"/>
        <v>1600</v>
      </c>
      <c r="M3553" s="28">
        <f t="shared" si="770"/>
        <v>1600</v>
      </c>
    </row>
    <row r="3554" spans="1:13" ht="15" customHeight="1" x14ac:dyDescent="0.2">
      <c r="B3554" s="10" t="s">
        <v>892</v>
      </c>
      <c r="C3554" s="10" t="s">
        <v>199</v>
      </c>
      <c r="D3554" s="28">
        <f>(D3553+D3552)*Inputs!$D$12</f>
        <v>108.16</v>
      </c>
      <c r="E3554" s="28">
        <f>(E3553+E3552)*Inputs!$D$12</f>
        <v>325.72000000000003</v>
      </c>
      <c r="F3554" s="28">
        <f>(F3553+F3552)*Inputs!$D$12</f>
        <v>652.06000000000006</v>
      </c>
      <c r="G3554" s="28">
        <f>(G3553+G3552)*Inputs!$D$12</f>
        <v>1017.25</v>
      </c>
      <c r="H3554" s="28">
        <f>(H3553+H3552)*Inputs!$D$12</f>
        <v>1405.75</v>
      </c>
      <c r="I3554" s="28">
        <f>(I3553+I3552)*Inputs!$D$12</f>
        <v>1600</v>
      </c>
      <c r="J3554" s="28">
        <f>(J3553+J3552)*Inputs!$D$12</f>
        <v>1600</v>
      </c>
      <c r="K3554" s="28">
        <f>(K3553+K3552)*Inputs!$D$12</f>
        <v>1600</v>
      </c>
      <c r="L3554" s="28">
        <f>(L3553+L3552)*Inputs!$D$12</f>
        <v>1600</v>
      </c>
      <c r="M3554" s="28">
        <f>(M3553+M3552)*Inputs!$D$12</f>
        <v>1600</v>
      </c>
    </row>
    <row r="3555" spans="1:13" ht="15" customHeight="1" x14ac:dyDescent="0.2">
      <c r="B3555" s="10" t="s">
        <v>893</v>
      </c>
      <c r="C3555" s="10" t="s">
        <v>199</v>
      </c>
      <c r="D3555" s="28">
        <f t="shared" ref="D3555:M3555" si="771">D3552-D3553</f>
        <v>124.32</v>
      </c>
      <c r="E3555" s="28">
        <f t="shared" si="771"/>
        <v>310.80000000000007</v>
      </c>
      <c r="F3555" s="28">
        <f t="shared" si="771"/>
        <v>341.87999999999994</v>
      </c>
      <c r="G3555" s="28">
        <f t="shared" si="771"/>
        <v>388.5</v>
      </c>
      <c r="H3555" s="28">
        <f t="shared" si="771"/>
        <v>388.5</v>
      </c>
      <c r="I3555" s="28">
        <f t="shared" si="771"/>
        <v>0</v>
      </c>
      <c r="J3555" s="28">
        <f t="shared" si="771"/>
        <v>0</v>
      </c>
      <c r="K3555" s="28">
        <f t="shared" si="771"/>
        <v>0</v>
      </c>
      <c r="L3555" s="28">
        <f t="shared" si="771"/>
        <v>0</v>
      </c>
      <c r="M3555" s="28">
        <f t="shared" si="771"/>
        <v>0</v>
      </c>
    </row>
    <row r="3556" spans="1:13" ht="15" customHeight="1" x14ac:dyDescent="0.2">
      <c r="B3556" s="10" t="s">
        <v>894</v>
      </c>
      <c r="C3556" s="10" t="s">
        <v>199</v>
      </c>
      <c r="D3556" s="28">
        <f>IF(MOD(D3548,Inputs!$D$21)=Inputs!$D$6,Inputs!$D$24,Inputs!$D$6)+SUMPRODUCT(--(D3548&gt;$D$3548:$M$3548),--(MOD(D3548-$D$3548:$M$3548,Inputs!$D$21)=Inputs!$D$6),$D$3555:$M$3555)</f>
        <v>0</v>
      </c>
      <c r="E3556" s="28">
        <f>IF(MOD(E3548,Inputs!$D$21)=Inputs!$D$6,Inputs!$D$24,Inputs!$D$6)+SUMPRODUCT(--(E3548&gt;$D$3548:$M$3548),--(MOD(E3548-$D$3548:$M$3548,Inputs!$D$21)=Inputs!$D$6),$D$3555:$M$3555)</f>
        <v>0</v>
      </c>
      <c r="F3556" s="28">
        <f>IF(MOD(F3548,Inputs!$D$21)=Inputs!$D$6,Inputs!$D$24,Inputs!$D$6)+SUMPRODUCT(--(F3548&gt;$D$3548:$M$3548),--(MOD(F3548-$D$3548:$M$3548,Inputs!$D$21)=Inputs!$D$6),$D$3555:$M$3555)</f>
        <v>0</v>
      </c>
      <c r="G3556" s="28">
        <f>IF(MOD(G3548,Inputs!$D$21)=Inputs!$D$6,Inputs!$D$24,Inputs!$D$6)+SUMPRODUCT(--(G3548&gt;$D$3548:$M$3548),--(MOD(G3548-$D$3548:$M$3548,Inputs!$D$21)=Inputs!$D$6),$D$3555:$M$3555)</f>
        <v>46</v>
      </c>
      <c r="H3556" s="28">
        <f>IF(MOD(H3548,Inputs!$D$21)=Inputs!$D$6,Inputs!$D$24,Inputs!$D$6)+SUMPRODUCT(--(H3548&gt;$D$3548:$M$3548),--(MOD(H3548-$D$3548:$M$3548,Inputs!$D$21)=Inputs!$D$6),$D$3555:$M$3555)</f>
        <v>124.32</v>
      </c>
      <c r="I3556" s="28">
        <f>IF(MOD(I3548,Inputs!$D$21)=Inputs!$D$6,Inputs!$D$24,Inputs!$D$6)+SUMPRODUCT(--(I3548&gt;$D$3548:$M$3548),--(MOD(I3548-$D$3548:$M$3548,Inputs!$D$21)=Inputs!$D$6),$D$3555:$M$3555)</f>
        <v>310.80000000000007</v>
      </c>
      <c r="J3556" s="28">
        <f>IF(MOD(J3548,Inputs!$D$21)=Inputs!$D$6,Inputs!$D$24,Inputs!$D$6)+SUMPRODUCT(--(J3548&gt;$D$3548:$M$3548),--(MOD(J3548-$D$3548:$M$3548,Inputs!$D$21)=Inputs!$D$6),$D$3555:$M$3555)</f>
        <v>341.87999999999994</v>
      </c>
      <c r="K3556" s="28">
        <f>IF(MOD(K3548,Inputs!$D$21)=Inputs!$D$6,Inputs!$D$24,Inputs!$D$6)+SUMPRODUCT(--(K3548&gt;$D$3548:$M$3548),--(MOD(K3548-$D$3548:$M$3548,Inputs!$D$21)=Inputs!$D$6),$D$3555:$M$3555)</f>
        <v>434.5</v>
      </c>
      <c r="L3556" s="28">
        <f>IF(MOD(L3548,Inputs!$D$21)=Inputs!$D$6,Inputs!$D$24,Inputs!$D$6)+SUMPRODUCT(--(L3548&gt;$D$3548:$M$3548),--(MOD(L3548-$D$3548:$M$3548,Inputs!$D$21)=Inputs!$D$6),$D$3555:$M$3555)</f>
        <v>512.81999999999994</v>
      </c>
      <c r="M3556" s="28">
        <f>IF(MOD(M3548,Inputs!$D$21)=Inputs!$D$6,Inputs!$D$24,Inputs!$D$6)+SUMPRODUCT(--(M3548&gt;$D$3548:$M$3548),--(MOD(M3548-$D$3548:$M$3548,Inputs!$D$21)=Inputs!$D$6),$D$3555:$M$3555)</f>
        <v>310.80000000000007</v>
      </c>
    </row>
    <row r="3557" spans="1:13" ht="15" customHeight="1" x14ac:dyDescent="0.2">
      <c r="B3557" s="10" t="s">
        <v>895</v>
      </c>
      <c r="C3557" s="10" t="s">
        <v>896</v>
      </c>
      <c r="D3557" s="28">
        <f t="shared" ref="D3557:M3557" si="772">D3554*D3551</f>
        <v>77.288870636550314</v>
      </c>
      <c r="E3557" s="28">
        <f t="shared" si="772"/>
        <v>325.72000000000003</v>
      </c>
      <c r="F3557" s="28">
        <f t="shared" si="772"/>
        <v>652.06000000000006</v>
      </c>
      <c r="G3557" s="28">
        <f t="shared" si="772"/>
        <v>1017.25</v>
      </c>
      <c r="H3557" s="28">
        <f t="shared" si="772"/>
        <v>1405.75</v>
      </c>
      <c r="I3557" s="28">
        <f t="shared" si="772"/>
        <v>1600</v>
      </c>
      <c r="J3557" s="28">
        <f t="shared" si="772"/>
        <v>1600</v>
      </c>
      <c r="K3557" s="28">
        <f t="shared" si="772"/>
        <v>1600</v>
      </c>
      <c r="L3557" s="28">
        <f t="shared" si="772"/>
        <v>1600</v>
      </c>
      <c r="M3557" s="28">
        <f t="shared" si="772"/>
        <v>1600</v>
      </c>
    </row>
    <row r="3558" spans="1:13" ht="15" customHeight="1" x14ac:dyDescent="0.2">
      <c r="B3558" s="10" t="s">
        <v>897</v>
      </c>
      <c r="C3558" s="10" t="s">
        <v>110</v>
      </c>
      <c r="D3558" s="16">
        <f>D3557*($D$3577/Inputs!$D$21+$D$3578/Inputs!$D$22)</f>
        <v>1118.2034893112541</v>
      </c>
      <c r="E3558" s="16">
        <f>E3557*($D$3577/Inputs!$D$21+$D$3578/Inputs!$D$22)</f>
        <v>4712.466847280074</v>
      </c>
      <c r="F3558" s="16">
        <f>F3557*($D$3577/Inputs!$D$21+$D$3578/Inputs!$D$22)</f>
        <v>9433.9037591718188</v>
      </c>
      <c r="G3558" s="16">
        <f>G3557*($D$3577/Inputs!$D$21+$D$3578/Inputs!$D$22)</f>
        <v>14717.416493907818</v>
      </c>
      <c r="H3558" s="16">
        <f>H3557*($D$3577/Inputs!$D$21+$D$3578/Inputs!$D$22)</f>
        <v>20338.17472235037</v>
      </c>
      <c r="I3558" s="16">
        <f>I3557*($D$3577/Inputs!$D$21+$D$3578/Inputs!$D$22)</f>
        <v>23148.553836571649</v>
      </c>
      <c r="J3558" s="16">
        <f>J3557*($D$3577/Inputs!$D$21+$D$3578/Inputs!$D$22)</f>
        <v>23148.553836571649</v>
      </c>
      <c r="K3558" s="16">
        <f>K3557*($D$3577/Inputs!$D$21+$D$3578/Inputs!$D$22)</f>
        <v>23148.553836571649</v>
      </c>
      <c r="L3558" s="16">
        <f>L3557*($D$3577/Inputs!$D$21+$D$3578/Inputs!$D$22)</f>
        <v>23148.553836571649</v>
      </c>
      <c r="M3558" s="16">
        <f>M3557*($D$3577/Inputs!$D$21+$D$3578/Inputs!$D$22)</f>
        <v>23148.553836571649</v>
      </c>
    </row>
    <row r="3559" spans="1:13" ht="15" customHeight="1" x14ac:dyDescent="0.2">
      <c r="B3559" s="10" t="s">
        <v>898</v>
      </c>
      <c r="C3559" s="10" t="s">
        <v>110</v>
      </c>
      <c r="D3559" s="16">
        <f t="shared" ref="D3559:M3559" si="773">D3555*($D$3577+$D$3578)</f>
        <v>7454.8732903914051</v>
      </c>
      <c r="E3559" s="16">
        <f t="shared" si="773"/>
        <v>18637.183225978519</v>
      </c>
      <c r="F3559" s="16">
        <f t="shared" si="773"/>
        <v>20500.901548576363</v>
      </c>
      <c r="G3559" s="16">
        <f t="shared" si="773"/>
        <v>23296.479032473144</v>
      </c>
      <c r="H3559" s="16">
        <f t="shared" si="773"/>
        <v>23296.479032473144</v>
      </c>
      <c r="I3559" s="16">
        <f t="shared" si="773"/>
        <v>0</v>
      </c>
      <c r="J3559" s="16">
        <f t="shared" si="773"/>
        <v>0</v>
      </c>
      <c r="K3559" s="16">
        <f t="shared" si="773"/>
        <v>0</v>
      </c>
      <c r="L3559" s="16">
        <f t="shared" si="773"/>
        <v>0</v>
      </c>
      <c r="M3559" s="16">
        <f t="shared" si="773"/>
        <v>0</v>
      </c>
    </row>
    <row r="3560" spans="1:13" ht="15" customHeight="1" x14ac:dyDescent="0.2">
      <c r="B3560" s="10" t="s">
        <v>899</v>
      </c>
      <c r="C3560" s="10" t="s">
        <v>110</v>
      </c>
      <c r="D3560" s="16">
        <f t="shared" ref="D3560:M3560" si="774">D3556*$D$3577</f>
        <v>0</v>
      </c>
      <c r="E3560" s="16">
        <f t="shared" si="774"/>
        <v>0</v>
      </c>
      <c r="F3560" s="16">
        <f t="shared" si="774"/>
        <v>0</v>
      </c>
      <c r="G3560" s="16">
        <f t="shared" si="774"/>
        <v>2638.0048485671714</v>
      </c>
      <c r="H3560" s="16">
        <f t="shared" si="774"/>
        <v>7129.4948429102333</v>
      </c>
      <c r="I3560" s="16">
        <f t="shared" si="774"/>
        <v>17823.737107275589</v>
      </c>
      <c r="J3560" s="16">
        <f t="shared" si="774"/>
        <v>19606.110818003141</v>
      </c>
      <c r="K3560" s="16">
        <f t="shared" si="774"/>
        <v>24917.676232661652</v>
      </c>
      <c r="L3560" s="16">
        <f t="shared" si="774"/>
        <v>29409.166227004709</v>
      </c>
      <c r="M3560" s="16">
        <f t="shared" si="774"/>
        <v>17823.737107275589</v>
      </c>
    </row>
    <row r="3561" spans="1:13" ht="15" customHeight="1" x14ac:dyDescent="0.2">
      <c r="B3561" s="10" t="s">
        <v>900</v>
      </c>
      <c r="C3561" s="10" t="s">
        <v>199</v>
      </c>
      <c r="D3561" s="28">
        <f>D3555*Inputs!$D$23</f>
        <v>3.1080000000000001</v>
      </c>
      <c r="E3561" s="28">
        <f>E3555*Inputs!$D$23</f>
        <v>7.7700000000000022</v>
      </c>
      <c r="F3561" s="28">
        <f>F3555*Inputs!$D$23</f>
        <v>8.5469999999999988</v>
      </c>
      <c r="G3561" s="28">
        <f>G3555*Inputs!$D$23</f>
        <v>9.7125000000000004</v>
      </c>
      <c r="H3561" s="28">
        <f>H3555*Inputs!$D$23</f>
        <v>9.7125000000000004</v>
      </c>
      <c r="I3561" s="28">
        <f>I3555*Inputs!$D$23</f>
        <v>0</v>
      </c>
      <c r="J3561" s="28">
        <f>J3555*Inputs!$D$23</f>
        <v>0</v>
      </c>
      <c r="K3561" s="28">
        <f>K3555*Inputs!$D$23</f>
        <v>0</v>
      </c>
      <c r="L3561" s="28">
        <f>L3555*Inputs!$D$23</f>
        <v>0</v>
      </c>
      <c r="M3561" s="28">
        <f>M3555*Inputs!$D$23</f>
        <v>0</v>
      </c>
    </row>
    <row r="3562" spans="1:13" ht="15" customHeight="1" x14ac:dyDescent="0.2">
      <c r="B3562" s="3" t="s">
        <v>901</v>
      </c>
      <c r="C3562" s="10" t="s">
        <v>896</v>
      </c>
      <c r="D3562" s="28">
        <f>(D3557*$D$3575*(Inputs!$D$7-Inputs!$D$19)-D3561)/(Inputs!$D$7+$D$3576)^D3550</f>
        <v>40.99699201112098</v>
      </c>
      <c r="E3562" s="28">
        <f>(E3557*$D$3575*(Inputs!$D$7-Inputs!$D$19)-E3561)/(Inputs!$D$7+$D$3576)^E3550</f>
        <v>153.02781912726542</v>
      </c>
      <c r="F3562" s="28">
        <f>(F3557*$D$3575*(Inputs!$D$7-Inputs!$D$19)-F3561)/(Inputs!$D$7+$D$3576)^F3550</f>
        <v>268.8019226843403</v>
      </c>
      <c r="G3562" s="28">
        <f>(G3557*$D$3575*(Inputs!$D$7-Inputs!$D$19)-G3561)/(Inputs!$D$7+$D$3576)^G3550</f>
        <v>363.62824610263397</v>
      </c>
      <c r="H3562" s="28">
        <f>(H3557*$D$3575*(Inputs!$D$7-Inputs!$D$19)-H3561)/(Inputs!$D$7+$D$3576)^H3550</f>
        <v>435.07807528321291</v>
      </c>
      <c r="I3562" s="28">
        <f>(I3557*$D$3575*(Inputs!$D$7-Inputs!$D$19)-I3561)/(Inputs!$D$7+$D$3576)^I3550</f>
        <v>431.49711827119876</v>
      </c>
      <c r="J3562" s="28">
        <f>(J3557*$D$3575*(Inputs!$D$7-Inputs!$D$19)-J3561)/(Inputs!$D$7+$D$3576)^J3550</f>
        <v>372.01806500733016</v>
      </c>
      <c r="K3562" s="28">
        <f>(K3557*$D$3575*(Inputs!$D$7-Inputs!$D$19)-K3561)/(Inputs!$D$7+$D$3576)^K3550</f>
        <v>320.73780989845312</v>
      </c>
      <c r="L3562" s="28">
        <f>(L3557*$D$3575*(Inputs!$D$7-Inputs!$D$19)-L3561)/(Inputs!$D$7+$D$3576)^L3550</f>
        <v>276.52620228651875</v>
      </c>
      <c r="M3562" s="28">
        <f>(M3557*$D$3575*(Inputs!$D$7-Inputs!$D$19)-M3561)/(Inputs!$D$7+$D$3576)^M3550</f>
        <v>238.31201718226143</v>
      </c>
    </row>
    <row r="3563" spans="1:13" ht="15" customHeight="1" x14ac:dyDescent="0.2">
      <c r="B3563" s="10" t="s">
        <v>902</v>
      </c>
      <c r="C3563" s="10" t="s">
        <v>110</v>
      </c>
      <c r="D3563" s="16">
        <f>(D3558*Inputs!$D$19-D3559-D3560)/(Inputs!$D$7+$D$3576)^D3550</f>
        <v>-6403.0045740313244</v>
      </c>
      <c r="E3563" s="16">
        <f>(E3558*Inputs!$D$19-E3559-E3560)/(Inputs!$D$7+$D$3576)^E3550</f>
        <v>-13349.632212764713</v>
      </c>
      <c r="F3563" s="16">
        <f>(F3558*Inputs!$D$19-F3559-F3560)/(Inputs!$D$7+$D$3576)^F3550</f>
        <v>-11808.370082432088</v>
      </c>
      <c r="G3563" s="16">
        <f>(G3558*Inputs!$D$19-G3559-G3560)/(Inputs!$D$7+$D$3576)^G3550</f>
        <v>-12397.921878440668</v>
      </c>
      <c r="H3563" s="16">
        <f>(H3558*Inputs!$D$19-H3559-H3560)/(Inputs!$D$7+$D$3576)^H3550</f>
        <v>-12082.366885213038</v>
      </c>
      <c r="I3563" s="16">
        <f>(I3558*Inputs!$D$19-I3559-I3560)/(Inputs!$D$7+$D$3576)^I3550</f>
        <v>-4657.0743222469628</v>
      </c>
      <c r="J3563" s="16">
        <f>(J3558*Inputs!$D$19-J3559-J3560)/(Inputs!$D$7+$D$3576)^J3550</f>
        <v>-4672.9398284057479</v>
      </c>
      <c r="K3563" s="16">
        <f>(K3558*Inputs!$D$19-K3559-K3560)/(Inputs!$D$7+$D$3576)^K3550</f>
        <v>-5718.9047268503064</v>
      </c>
      <c r="L3563" s="16">
        <f>(L3558*Inputs!$D$19-L3559-L3560)/(Inputs!$D$7+$D$3576)^L3550</f>
        <v>-6162.7485564592316</v>
      </c>
      <c r="M3563" s="16">
        <f>(M3558*Inputs!$D$19-M3559-M3560)/(Inputs!$D$7+$D$3576)^M3550</f>
        <v>-2572.0606903447429</v>
      </c>
    </row>
    <row r="3564" spans="1:13" ht="15" customHeight="1" x14ac:dyDescent="0.2">
      <c r="B3564" s="10" t="s">
        <v>903</v>
      </c>
      <c r="C3564" s="10" t="s">
        <v>110</v>
      </c>
      <c r="D3564" s="16">
        <f t="shared" ref="D3564:M3564" si="775">D3557*$D$3574</f>
        <v>2799.5235600161554</v>
      </c>
      <c r="E3564" s="16">
        <f t="shared" si="775"/>
        <v>11798.086923232107</v>
      </c>
      <c r="F3564" s="16">
        <f t="shared" si="775"/>
        <v>23618.631214425666</v>
      </c>
      <c r="G3564" s="16">
        <f t="shared" si="775"/>
        <v>36846.383159332741</v>
      </c>
      <c r="H3564" s="16">
        <f t="shared" si="775"/>
        <v>50918.459696467929</v>
      </c>
      <c r="I3564" s="16">
        <f t="shared" si="775"/>
        <v>57954.497965035524</v>
      </c>
      <c r="J3564" s="16">
        <f t="shared" si="775"/>
        <v>57954.497965035524</v>
      </c>
      <c r="K3564" s="16">
        <f t="shared" si="775"/>
        <v>57954.497965035524</v>
      </c>
      <c r="L3564" s="16">
        <f t="shared" si="775"/>
        <v>57954.497965035524</v>
      </c>
      <c r="M3564" s="16">
        <f t="shared" si="775"/>
        <v>57954.497965035524</v>
      </c>
    </row>
    <row r="3565" spans="1:13" ht="15" customHeight="1" x14ac:dyDescent="0.2">
      <c r="B3565" s="10" t="s">
        <v>904</v>
      </c>
      <c r="C3565" s="10" t="s">
        <v>110</v>
      </c>
      <c r="D3565" s="16">
        <f t="shared" ref="D3565:M3565" si="776">D3564*$D$3575</f>
        <v>2519.5712040145399</v>
      </c>
      <c r="E3565" s="16">
        <f t="shared" si="776"/>
        <v>10618.278230908896</v>
      </c>
      <c r="F3565" s="16">
        <f t="shared" si="776"/>
        <v>21256.7680929831</v>
      </c>
      <c r="G3565" s="16">
        <f t="shared" si="776"/>
        <v>33161.744843399465</v>
      </c>
      <c r="H3565" s="16">
        <f t="shared" si="776"/>
        <v>45826.613726821139</v>
      </c>
      <c r="I3565" s="16">
        <f t="shared" si="776"/>
        <v>52159.048168531976</v>
      </c>
      <c r="J3565" s="16">
        <f t="shared" si="776"/>
        <v>52159.048168531976</v>
      </c>
      <c r="K3565" s="16">
        <f t="shared" si="776"/>
        <v>52159.048168531976</v>
      </c>
      <c r="L3565" s="16">
        <f t="shared" si="776"/>
        <v>52159.048168531976</v>
      </c>
      <c r="M3565" s="16">
        <f t="shared" si="776"/>
        <v>52159.048168531976</v>
      </c>
    </row>
    <row r="3566" spans="1:13" ht="15" customHeight="1" x14ac:dyDescent="0.2">
      <c r="B3566" s="10" t="s">
        <v>905</v>
      </c>
      <c r="C3566" s="10" t="s">
        <v>110</v>
      </c>
      <c r="D3566" s="16">
        <f t="shared" ref="D3566:M3566" si="777">D3565-D3558</f>
        <v>1401.3677147032859</v>
      </c>
      <c r="E3566" s="16">
        <f t="shared" si="777"/>
        <v>5905.8113836288221</v>
      </c>
      <c r="F3566" s="16">
        <f t="shared" si="777"/>
        <v>11822.864333811282</v>
      </c>
      <c r="G3566" s="16">
        <f t="shared" si="777"/>
        <v>18444.328349491647</v>
      </c>
      <c r="H3566" s="16">
        <f t="shared" si="777"/>
        <v>25488.439004470769</v>
      </c>
      <c r="I3566" s="16">
        <f t="shared" si="777"/>
        <v>29010.494331960326</v>
      </c>
      <c r="J3566" s="16">
        <f t="shared" si="777"/>
        <v>29010.494331960326</v>
      </c>
      <c r="K3566" s="16">
        <f t="shared" si="777"/>
        <v>29010.494331960326</v>
      </c>
      <c r="L3566" s="16">
        <f t="shared" si="777"/>
        <v>29010.494331960326</v>
      </c>
      <c r="M3566" s="16">
        <f t="shared" si="777"/>
        <v>29010.494331960326</v>
      </c>
    </row>
    <row r="3567" spans="1:13" ht="15" customHeight="1" x14ac:dyDescent="0.2">
      <c r="B3567" s="10" t="s">
        <v>906</v>
      </c>
      <c r="C3567" s="10" t="s">
        <v>110</v>
      </c>
      <c r="D3567" s="16">
        <f>MAX(D3566,Inputs!$D$6)*Inputs!$D$19</f>
        <v>420.41031441098573</v>
      </c>
      <c r="E3567" s="16">
        <f>MAX(E3566,Inputs!$D$6)*Inputs!$D$19</f>
        <v>1771.7434150886465</v>
      </c>
      <c r="F3567" s="16">
        <f>MAX(F3566,Inputs!$D$6)*Inputs!$D$19</f>
        <v>3546.8593001433842</v>
      </c>
      <c r="G3567" s="16">
        <f>MAX(G3566,Inputs!$D$6)*Inputs!$D$19</f>
        <v>5533.2985048474939</v>
      </c>
      <c r="H3567" s="16">
        <f>MAX(H3566,Inputs!$D$6)*Inputs!$D$19</f>
        <v>7646.5317013412305</v>
      </c>
      <c r="I3567" s="16">
        <f>MAX(I3566,Inputs!$D$6)*Inputs!$D$19</f>
        <v>8703.1482995880979</v>
      </c>
      <c r="J3567" s="16">
        <f>MAX(J3566,Inputs!$D$6)*Inputs!$D$19</f>
        <v>8703.1482995880979</v>
      </c>
      <c r="K3567" s="16">
        <f>MAX(K3566,Inputs!$D$6)*Inputs!$D$19</f>
        <v>8703.1482995880979</v>
      </c>
      <c r="L3567" s="16">
        <f>MAX(L3566,Inputs!$D$6)*Inputs!$D$19</f>
        <v>8703.1482995880979</v>
      </c>
      <c r="M3567" s="16">
        <f>MAX(M3566,Inputs!$D$6)*Inputs!$D$19</f>
        <v>8703.1482995880979</v>
      </c>
    </row>
    <row r="3568" spans="1:13" ht="15" customHeight="1" x14ac:dyDescent="0.2">
      <c r="B3568" s="10" t="s">
        <v>907</v>
      </c>
      <c r="C3568" s="10" t="s">
        <v>110</v>
      </c>
      <c r="D3568" s="16">
        <f t="shared" ref="D3568:M3568" si="778">D3561*$D$3574</f>
        <v>112.57661229708151</v>
      </c>
      <c r="E3568" s="16">
        <f t="shared" si="778"/>
        <v>281.44153074270383</v>
      </c>
      <c r="F3568" s="16">
        <f t="shared" si="778"/>
        <v>309.5856838169741</v>
      </c>
      <c r="G3568" s="16">
        <f t="shared" si="778"/>
        <v>351.80191342837969</v>
      </c>
      <c r="H3568" s="16">
        <f t="shared" si="778"/>
        <v>351.80191342837969</v>
      </c>
      <c r="I3568" s="16">
        <f t="shared" si="778"/>
        <v>0</v>
      </c>
      <c r="J3568" s="16">
        <f t="shared" si="778"/>
        <v>0</v>
      </c>
      <c r="K3568" s="16">
        <f t="shared" si="778"/>
        <v>0</v>
      </c>
      <c r="L3568" s="16">
        <f t="shared" si="778"/>
        <v>0</v>
      </c>
      <c r="M3568" s="16">
        <f t="shared" si="778"/>
        <v>0</v>
      </c>
    </row>
    <row r="3569" spans="2:13" ht="15" customHeight="1" x14ac:dyDescent="0.2">
      <c r="B3569" s="10" t="s">
        <v>908</v>
      </c>
      <c r="C3569" s="10" t="s">
        <v>110</v>
      </c>
      <c r="D3569" s="16">
        <f t="shared" ref="D3569:M3569" si="779">D3565-D3567-D3559-D3560-D3568</f>
        <v>-5468.2890130849328</v>
      </c>
      <c r="E3569" s="16">
        <f t="shared" si="779"/>
        <v>-10072.089940900973</v>
      </c>
      <c r="F3569" s="16">
        <f t="shared" si="779"/>
        <v>-3100.5784395536202</v>
      </c>
      <c r="G3569" s="16">
        <f t="shared" si="779"/>
        <v>1342.1605440832752</v>
      </c>
      <c r="H3569" s="16">
        <f t="shared" si="779"/>
        <v>7402.3062366681543</v>
      </c>
      <c r="I3569" s="16">
        <f t="shared" si="779"/>
        <v>25632.162761668285</v>
      </c>
      <c r="J3569" s="16">
        <f t="shared" si="779"/>
        <v>23849.789050940733</v>
      </c>
      <c r="K3569" s="16">
        <f t="shared" si="779"/>
        <v>18538.223636282222</v>
      </c>
      <c r="L3569" s="16">
        <f t="shared" si="779"/>
        <v>14046.733641939165</v>
      </c>
      <c r="M3569" s="16">
        <f t="shared" si="779"/>
        <v>25632.162761668285</v>
      </c>
    </row>
    <row r="3570" spans="2:13" ht="15" customHeight="1" x14ac:dyDescent="0.2">
      <c r="B3570" s="10" t="s">
        <v>909</v>
      </c>
      <c r="C3570" s="10" t="s">
        <v>110</v>
      </c>
      <c r="D3570" s="16">
        <f>D3569/(Inputs!$D$7+$D$3576)^D3550</f>
        <v>-4918.0295177306443</v>
      </c>
      <c r="E3570" s="16">
        <f>E3569/(Inputs!$D$7+$D$3576)^E3550</f>
        <v>-7806.7256926366317</v>
      </c>
      <c r="F3570" s="16">
        <f>F3569/(Inputs!$D$7+$D$3576)^F3550</f>
        <v>-2071.9447816775623</v>
      </c>
      <c r="G3570" s="16">
        <f>G3569/(Inputs!$D$7+$D$3576)^G3550</f>
        <v>773.26090204966818</v>
      </c>
      <c r="H3570" s="16">
        <f>H3569/(Inputs!$D$7+$D$3576)^H3550</f>
        <v>3676.8402576823005</v>
      </c>
      <c r="I3570" s="16">
        <f>I3569/(Inputs!$D$7+$D$3576)^I3550</f>
        <v>10972.42496698234</v>
      </c>
      <c r="J3570" s="16">
        <f>J3569/(Inputs!$D$7+$D$3576)^J3550</f>
        <v>8802.1352912341099</v>
      </c>
      <c r="K3570" s="16">
        <f>K3569/(Inputs!$D$7+$D$3576)^K3550</f>
        <v>5898.7194925683516</v>
      </c>
      <c r="L3570" s="16">
        <f>L3569/(Inputs!$D$7+$D$3576)^L3550</f>
        <v>3853.462210848927</v>
      </c>
      <c r="M3570" s="16">
        <f>M3569/(Inputs!$D$7+$D$3576)^M3550</f>
        <v>6059.9726314258087</v>
      </c>
    </row>
    <row r="3571" spans="2:13" ht="15" customHeight="1" x14ac:dyDescent="0.2">
      <c r="B3571" s="3" t="s">
        <v>910</v>
      </c>
      <c r="C3571" s="10" t="s">
        <v>896</v>
      </c>
      <c r="D3571" s="28">
        <f>(D3557*$D$3575-D3561)/(Inputs!$D$7+$D$3576)^D3550</f>
        <v>59.765095798928819</v>
      </c>
      <c r="E3571" s="28">
        <f>(E3557*$D$3575-E3561)/(Inputs!$D$7+$D$3576)^E3550</f>
        <v>221.1922031857838</v>
      </c>
      <c r="F3571" s="28">
        <f>(F3557*$D$3575-F3561)/(Inputs!$D$7+$D$3576)^F3550</f>
        <v>386.45052664112239</v>
      </c>
      <c r="G3571" s="28">
        <f>(G3557*$D$3575-G3561)/(Inputs!$D$7+$D$3576)^G3550</f>
        <v>521.867070169518</v>
      </c>
      <c r="H3571" s="28">
        <f>(H3557*$D$3575-H3561)/(Inputs!$D$7+$D$3576)^H3550</f>
        <v>623.60768582417222</v>
      </c>
      <c r="I3571" s="28">
        <f>(I3557*$D$3575-I3561)/(Inputs!$D$7+$D$3576)^I3550</f>
        <v>616.42445467314121</v>
      </c>
      <c r="J3571" s="28">
        <f>(J3557*$D$3575-J3561)/(Inputs!$D$7+$D$3576)^J3550</f>
        <v>531.4543785819003</v>
      </c>
      <c r="K3571" s="28">
        <f>(K3557*$D$3575-K3561)/(Inputs!$D$7+$D$3576)^K3550</f>
        <v>458.19687128350449</v>
      </c>
      <c r="L3571" s="28">
        <f>(L3557*$D$3575-L3561)/(Inputs!$D$7+$D$3576)^L3550</f>
        <v>395.03743183788401</v>
      </c>
      <c r="M3571" s="28">
        <f>(M3557*$D$3575-M3561)/(Inputs!$D$7+$D$3576)^M3550</f>
        <v>340.44573883180209</v>
      </c>
    </row>
    <row r="3572" spans="2:13" ht="15" customHeight="1" x14ac:dyDescent="0.2">
      <c r="B3572" s="10" t="s">
        <v>911</v>
      </c>
      <c r="C3572" s="10" t="s">
        <v>110</v>
      </c>
      <c r="D3572" s="16">
        <f>(-D3559-D3560)/(Inputs!$D$7+$D$3576)^D3550</f>
        <v>-6704.7090607969039</v>
      </c>
      <c r="E3572" s="16">
        <f>(-E3559-E3560)/(Inputs!$D$7+$D$3576)^E3550</f>
        <v>-14445.4009031226</v>
      </c>
      <c r="F3572" s="16">
        <f>(-F3559-F3560)/(Inputs!$D$7+$D$3576)^F3550</f>
        <v>-13699.616639717549</v>
      </c>
      <c r="G3572" s="16">
        <f>(-G3559-G3560)/(Inputs!$D$7+$D$3576)^G3550</f>
        <v>-14941.671835349038</v>
      </c>
      <c r="H3572" s="16">
        <f>(-H3559-H3560)/(Inputs!$D$7+$D$3576)^H3550</f>
        <v>-15113.052884793095</v>
      </c>
      <c r="I3572" s="16">
        <f>(-I3559-I3560)/(Inputs!$D$7+$D$3576)^I3550</f>
        <v>-7629.8523795762403</v>
      </c>
      <c r="J3572" s="16">
        <f>(-J3559-J3560)/(Inputs!$D$7+$D$3576)^J3550</f>
        <v>-7235.9398897150922</v>
      </c>
      <c r="K3572" s="16">
        <f>(-K3559-K3560)/(Inputs!$D$7+$D$3576)^K3550</f>
        <v>-7928.612006570077</v>
      </c>
      <c r="L3572" s="16">
        <f>(-L3559-L3560)/(Inputs!$D$7+$D$3576)^L3550</f>
        <v>-8067.8621519509534</v>
      </c>
      <c r="M3572" s="16">
        <f>(-M3559-M3560)/(Inputs!$D$7+$D$3576)^M3550</f>
        <v>-4213.8995473821142</v>
      </c>
    </row>
    <row r="3573" spans="2:13" ht="15" customHeight="1" x14ac:dyDescent="0.2">
      <c r="B3573" s="10" t="s">
        <v>912</v>
      </c>
      <c r="C3573" s="10" t="s">
        <v>110</v>
      </c>
      <c r="D3573" s="16">
        <f>Prices!K18</f>
        <v>57428.700386874909</v>
      </c>
    </row>
    <row r="3574" spans="2:13" ht="15" customHeight="1" x14ac:dyDescent="0.2">
      <c r="B3574" s="3" t="s">
        <v>913</v>
      </c>
      <c r="C3574" s="10" t="s">
        <v>914</v>
      </c>
      <c r="D3574" s="28">
        <f>IF(J3581&gt;=J3577,J3581,(D3573-J3580)/J3579)</f>
        <v>36.221561228147202</v>
      </c>
      <c r="G3574" s="99" t="s">
        <v>915</v>
      </c>
      <c r="H3574" s="91"/>
      <c r="I3574" s="91"/>
      <c r="J3574" s="28">
        <f>D3574*Inputs!$D$15</f>
        <v>25.27902758112393</v>
      </c>
      <c r="K3574" s="99" t="s">
        <v>916</v>
      </c>
      <c r="L3574" s="91"/>
      <c r="M3574" s="91"/>
    </row>
    <row r="3575" spans="2:13" ht="15" customHeight="1" x14ac:dyDescent="0.2">
      <c r="B3575" s="10" t="s">
        <v>917</v>
      </c>
      <c r="C3575" s="10" t="s">
        <v>104</v>
      </c>
      <c r="D3575" s="30">
        <f>Inputs!$D$107</f>
        <v>0.9</v>
      </c>
      <c r="G3575" s="99" t="s">
        <v>918</v>
      </c>
      <c r="H3575" s="91"/>
      <c r="I3575" s="91"/>
      <c r="J3575" s="28">
        <f>IF(-D3586/D3585&gt;=J3577,-D3586/D3585,-J3580/J3579)</f>
        <v>24.024174528419383</v>
      </c>
      <c r="K3575" s="99" t="s">
        <v>919</v>
      </c>
      <c r="L3575" s="91"/>
      <c r="M3575" s="91"/>
    </row>
    <row r="3576" spans="2:13" ht="15" customHeight="1" x14ac:dyDescent="0.2">
      <c r="B3576" s="10" t="s">
        <v>920</v>
      </c>
      <c r="C3576" s="10" t="s">
        <v>104</v>
      </c>
      <c r="D3576" s="30">
        <f>Inputs!$D$108</f>
        <v>0.16</v>
      </c>
      <c r="G3576" s="99" t="s">
        <v>918</v>
      </c>
      <c r="H3576" s="91"/>
      <c r="I3576" s="91"/>
      <c r="J3576" s="28">
        <f>J3575*Inputs!$D$15</f>
        <v>16.766471403383886</v>
      </c>
      <c r="K3576" s="99" t="s">
        <v>916</v>
      </c>
      <c r="L3576" s="91"/>
      <c r="M3576" s="91"/>
    </row>
    <row r="3577" spans="2:13" ht="15" customHeight="1" x14ac:dyDescent="0.2">
      <c r="B3577" s="3" t="s">
        <v>921</v>
      </c>
      <c r="C3577" s="10" t="s">
        <v>848</v>
      </c>
      <c r="D3577" s="28">
        <f>Capital!$D$13</f>
        <v>57.347931490590682</v>
      </c>
      <c r="G3577" s="99" t="s">
        <v>922</v>
      </c>
      <c r="H3577" s="91"/>
      <c r="I3577" s="91"/>
      <c r="J3577" s="28">
        <f>($D$3577/Inputs!$D$21+$D$3578/Inputs!$D$22)/$D$3575</f>
        <v>16.07538460873031</v>
      </c>
      <c r="K3577" s="99" t="s">
        <v>919</v>
      </c>
      <c r="L3577" s="91"/>
      <c r="M3577" s="91"/>
    </row>
    <row r="3578" spans="2:13" ht="15" customHeight="1" x14ac:dyDescent="0.2">
      <c r="B3578" s="3" t="s">
        <v>923</v>
      </c>
      <c r="C3578" s="10" t="s">
        <v>848</v>
      </c>
      <c r="D3578" s="28">
        <f>Capital!$D$14</f>
        <v>2.6172655041921802</v>
      </c>
    </row>
    <row r="3579" spans="2:13" ht="15" customHeight="1" x14ac:dyDescent="0.2">
      <c r="B3579" s="10" t="s">
        <v>924</v>
      </c>
      <c r="C3579" s="10" t="s">
        <v>896</v>
      </c>
      <c r="D3579" s="28">
        <f>(M3552*(Inputs!$D$7+Inputs!$D$20)*$D$3575*(Inputs!$D$7-Inputs!$D$19)-M3552*Inputs!$D$20*Inputs!$D$23)/($D$3576-Inputs!$D$20)/(Inputs!$D$7+$D$3576)^M3550</f>
        <v>1807.6547922951956</v>
      </c>
      <c r="G3579" s="92" t="s">
        <v>910</v>
      </c>
      <c r="H3579" s="91"/>
      <c r="I3579" s="91"/>
      <c r="J3579" s="28">
        <f>SUM(D3571:M3571)+(M3552*(Inputs!$D$7+Inputs!$D$20)*$D$3575-M3552*Inputs!$D$20*Inputs!$D$23)/($D$3576-Inputs!$D$20)/(Inputs!$D$7+$D$3576)^M3550</f>
        <v>6737.5559875731687</v>
      </c>
      <c r="K3579" s="99" t="s">
        <v>896</v>
      </c>
      <c r="L3579" s="91"/>
      <c r="M3579" s="91"/>
    </row>
    <row r="3580" spans="2:13" ht="15" customHeight="1" x14ac:dyDescent="0.2">
      <c r="B3580" s="10" t="s">
        <v>925</v>
      </c>
      <c r="C3580" s="10" t="s">
        <v>110</v>
      </c>
      <c r="D3580" s="16">
        <f>(D3583*Inputs!$D$19-D3583-D3584)/($D$3576-Inputs!$D$20)/(Inputs!$D$7+$D$3576)^M3550</f>
        <v>-33287.494112345899</v>
      </c>
      <c r="G3580" s="92" t="s">
        <v>926</v>
      </c>
      <c r="H3580" s="91"/>
      <c r="I3580" s="91"/>
      <c r="J3580" s="16">
        <f>SUM(D3572:M3572)-(D3583+D3584)/($D$3576-Inputs!$D$20)/(Inputs!$D$7+$D$3576)^M3550</f>
        <v>-145733.9249554922</v>
      </c>
      <c r="K3580" s="99" t="s">
        <v>110</v>
      </c>
      <c r="L3580" s="91"/>
      <c r="M3580" s="91"/>
    </row>
    <row r="3581" spans="2:13" ht="15" customHeight="1" x14ac:dyDescent="0.2">
      <c r="B3581" s="10" t="s">
        <v>927</v>
      </c>
      <c r="C3581" s="10" t="s">
        <v>928</v>
      </c>
      <c r="D3581" s="16">
        <f>(M3552*(Inputs!$D$7+Inputs!$D$20)*$D$3574*$D$3575-D3583)-MAX((M3552*(Inputs!$D$7+Inputs!$D$20)*$D$3574*$D$3575-D3583),Inputs!$D$6)*Inputs!$D$19-D3584-M3552*Inputs!$D$20*$D$3574*Inputs!$D$23</f>
        <v>18380.200242162071</v>
      </c>
      <c r="G3581" s="99" t="s">
        <v>929</v>
      </c>
      <c r="H3581" s="91"/>
      <c r="I3581" s="91"/>
      <c r="J3581" s="28">
        <f>(D3573-D3586)/D3585</f>
        <v>36.221561228147202</v>
      </c>
      <c r="K3581" s="99" t="s">
        <v>919</v>
      </c>
      <c r="L3581" s="91"/>
      <c r="M3581" s="91"/>
    </row>
    <row r="3582" spans="2:13" ht="15" customHeight="1" x14ac:dyDescent="0.2">
      <c r="B3582" s="10" t="s">
        <v>930</v>
      </c>
      <c r="C3582" s="10" t="s">
        <v>110</v>
      </c>
      <c r="D3582" s="16">
        <f>D3581/($D$3576-Inputs!$D$20)</f>
        <v>136149.63142342275</v>
      </c>
      <c r="G3582" s="99" t="s">
        <v>931</v>
      </c>
      <c r="H3582" s="91"/>
      <c r="I3582" s="91"/>
      <c r="J3582" s="16">
        <f>MIN(D3566:M3566,(M3552*(Inputs!$D$7+Inputs!$D$20)*$D$3574*$D$3575-D3583))</f>
        <v>1401.3677147032859</v>
      </c>
      <c r="K3582" s="99" t="s">
        <v>110</v>
      </c>
      <c r="L3582" s="91"/>
      <c r="M3582" s="91"/>
    </row>
    <row r="3583" spans="2:13" ht="15" customHeight="1" x14ac:dyDescent="0.2">
      <c r="B3583" s="10" t="s">
        <v>932</v>
      </c>
      <c r="C3583" s="10" t="s">
        <v>928</v>
      </c>
      <c r="D3583" s="16">
        <f>M3552*(Inputs!$D$7+Inputs!$D$20)*($D$3577/Inputs!$D$21+$D$3578/Inputs!$D$22)</f>
        <v>23727.267682485937</v>
      </c>
      <c r="G3583" s="99" t="s">
        <v>933</v>
      </c>
      <c r="H3583" s="91"/>
      <c r="I3583" s="91"/>
      <c r="J3583" s="31" t="str">
        <f>IF(J3582&lt;Inputs!$D$6,"breached","satisfied")</f>
        <v>satisfied</v>
      </c>
      <c r="K3583" s="99" t="s">
        <v>934</v>
      </c>
      <c r="L3583" s="91"/>
      <c r="M3583" s="91"/>
    </row>
    <row r="3584" spans="2:13" ht="15" customHeight="1" x14ac:dyDescent="0.2">
      <c r="B3584" s="10" t="s">
        <v>935</v>
      </c>
      <c r="C3584" s="10" t="s">
        <v>928</v>
      </c>
      <c r="D3584" s="16">
        <f>M3552*Inputs!$D$20*($D$3577+$D$3578)</f>
        <v>2398.6078797913146</v>
      </c>
    </row>
    <row r="3585" spans="1:13" ht="15" customHeight="1" x14ac:dyDescent="0.2">
      <c r="B3585" s="10" t="s">
        <v>936</v>
      </c>
      <c r="C3585" s="10" t="s">
        <v>896</v>
      </c>
      <c r="D3585" s="28">
        <f>SUM(D3562:M3562)+D3579</f>
        <v>4708.2790601495317</v>
      </c>
      <c r="G3585" s="99" t="s">
        <v>937</v>
      </c>
      <c r="H3585" s="91"/>
      <c r="I3585" s="91"/>
      <c r="J3585" s="16">
        <f>D3587-D3573</f>
        <v>0</v>
      </c>
      <c r="K3585" s="99" t="s">
        <v>110</v>
      </c>
      <c r="L3585" s="91"/>
      <c r="M3585" s="91"/>
    </row>
    <row r="3586" spans="1:13" ht="15" customHeight="1" x14ac:dyDescent="0.2">
      <c r="B3586" s="10" t="s">
        <v>938</v>
      </c>
      <c r="C3586" s="10" t="s">
        <v>110</v>
      </c>
      <c r="D3586" s="16">
        <f>SUM(D3563:M3563)+D3580</f>
        <v>-113112.51786953473</v>
      </c>
    </row>
    <row r="3587" spans="1:13" ht="15" customHeight="1" x14ac:dyDescent="0.2">
      <c r="B3587" s="10" t="s">
        <v>939</v>
      </c>
      <c r="C3587" s="10" t="s">
        <v>110</v>
      </c>
      <c r="D3587" s="16">
        <f>SUM(D3570:M3570)+D3582/(Inputs!$D$7+$D$3576)^M3550</f>
        <v>57428.700386874931</v>
      </c>
    </row>
    <row r="3588" spans="1:13" ht="15" customHeight="1" x14ac:dyDescent="0.2">
      <c r="B3588" s="10" t="s">
        <v>940</v>
      </c>
      <c r="C3588" s="10" t="s">
        <v>104</v>
      </c>
      <c r="D3588" s="30">
        <f>IF(ABS(D3573)&gt;Inputs!$D$6,D3587/D3573-Inputs!$D$7,Inputs!$D$6)</f>
        <v>4.4408920985006262E-16</v>
      </c>
    </row>
    <row r="3589" spans="1:13" ht="15" customHeight="1" x14ac:dyDescent="0.2">
      <c r="B3589" s="10" t="s">
        <v>941</v>
      </c>
      <c r="C3589" s="10" t="s">
        <v>104</v>
      </c>
      <c r="D3589" s="30">
        <f>IF(ABS(D3587)&gt;Inputs!$D$119,D3582/(Inputs!$D$7+$D$3576)^M3550/D3587,Inputs!$D$6)</f>
        <v>0.56049648362728433</v>
      </c>
    </row>
    <row r="3590" spans="1:13" ht="15" customHeight="1" x14ac:dyDescent="0.2">
      <c r="B3590" s="10" t="s">
        <v>942</v>
      </c>
      <c r="C3590" s="10" t="s">
        <v>943</v>
      </c>
      <c r="D3590" s="26">
        <f>$D$3574*Inputs!$D$8/Prices!$P$6/(Inputs!$D$26/Inputs!$D$25)/Inputs!$D$11/Inputs!$D$56</f>
        <v>6.5870009331397981</v>
      </c>
    </row>
    <row r="3594" spans="1:13" ht="15" customHeight="1" x14ac:dyDescent="0.2">
      <c r="A3594" s="104" t="s">
        <v>1021</v>
      </c>
      <c r="B3594" s="10" t="s">
        <v>886</v>
      </c>
      <c r="C3594" s="10" t="s">
        <v>107</v>
      </c>
      <c r="D3594" s="28">
        <f>Inputs!$D$60</f>
        <v>1</v>
      </c>
      <c r="E3594" s="28">
        <f>Inputs!$D$62</f>
        <v>2</v>
      </c>
      <c r="F3594" s="28">
        <f>Inputs!$D$64</f>
        <v>3</v>
      </c>
      <c r="G3594" s="28">
        <f>Inputs!$D$66</f>
        <v>4</v>
      </c>
      <c r="H3594" s="28">
        <f>Inputs!$D$68</f>
        <v>5</v>
      </c>
      <c r="I3594" s="28">
        <f>Inputs!$D$70</f>
        <v>6</v>
      </c>
      <c r="J3594" s="28">
        <f>Inputs!$D$72</f>
        <v>7</v>
      </c>
      <c r="K3594" s="28">
        <f>Inputs!$D$74</f>
        <v>8</v>
      </c>
      <c r="L3594" s="28">
        <f>Inputs!$D$76</f>
        <v>9</v>
      </c>
      <c r="M3594" s="28">
        <f>Inputs!$D$78</f>
        <v>10</v>
      </c>
    </row>
    <row r="3595" spans="1:13" ht="15" customHeight="1" x14ac:dyDescent="0.2">
      <c r="A3595" s="91"/>
      <c r="B3595" s="10" t="s">
        <v>887</v>
      </c>
      <c r="C3595" s="10" t="s">
        <v>161</v>
      </c>
      <c r="D3595" s="29">
        <f>Inputs!$D$61</f>
        <v>46568</v>
      </c>
      <c r="E3595" s="29">
        <f>Inputs!$D$63</f>
        <v>46934</v>
      </c>
      <c r="F3595" s="29">
        <f>Inputs!$D$65</f>
        <v>47299</v>
      </c>
      <c r="G3595" s="29">
        <f>Inputs!$D$67</f>
        <v>47664</v>
      </c>
      <c r="H3595" s="29">
        <f>Inputs!$D$69</f>
        <v>48029</v>
      </c>
      <c r="I3595" s="29">
        <f>Inputs!$D$71</f>
        <v>48395</v>
      </c>
      <c r="J3595" s="29">
        <f>Inputs!$D$73</f>
        <v>48760</v>
      </c>
      <c r="K3595" s="29">
        <f>Inputs!$D$75</f>
        <v>49125</v>
      </c>
      <c r="L3595" s="29">
        <f>Inputs!$D$77</f>
        <v>49490</v>
      </c>
      <c r="M3595" s="29">
        <f>Inputs!$D$79</f>
        <v>49856</v>
      </c>
    </row>
    <row r="3596" spans="1:13" ht="15" customHeight="1" x14ac:dyDescent="0.2">
      <c r="A3596" s="91"/>
      <c r="B3596" s="10" t="s">
        <v>888</v>
      </c>
      <c r="C3596" s="10" t="s">
        <v>107</v>
      </c>
      <c r="D3596" s="28">
        <f>(D3595-Inputs!$D$13)/Inputs!$D$10</f>
        <v>0.71457905544147848</v>
      </c>
      <c r="E3596" s="28">
        <f>(E3595-Inputs!$D$13)/Inputs!$D$10</f>
        <v>1.7166324435318274</v>
      </c>
      <c r="F3596" s="28">
        <f>(F3595-Inputs!$D$13)/Inputs!$D$10</f>
        <v>2.7159479808350446</v>
      </c>
      <c r="G3596" s="28">
        <f>(G3595-Inputs!$D$13)/Inputs!$D$10</f>
        <v>3.7152635181382614</v>
      </c>
      <c r="H3596" s="28">
        <f>(H3595-Inputs!$D$13)/Inputs!$D$10</f>
        <v>4.7145790554414786</v>
      </c>
      <c r="I3596" s="28">
        <f>(I3595-Inputs!$D$13)/Inputs!$D$10</f>
        <v>5.7166324435318279</v>
      </c>
      <c r="J3596" s="28">
        <f>(J3595-Inputs!$D$13)/Inputs!$D$10</f>
        <v>6.7159479808350442</v>
      </c>
      <c r="K3596" s="28">
        <f>(K3595-Inputs!$D$13)/Inputs!$D$10</f>
        <v>7.7152635181382614</v>
      </c>
      <c r="L3596" s="28">
        <f>(L3595-Inputs!$D$13)/Inputs!$D$10</f>
        <v>8.7145790554414777</v>
      </c>
      <c r="M3596" s="28">
        <f>(M3595-Inputs!$D$13)/Inputs!$D$10</f>
        <v>9.716632443531827</v>
      </c>
    </row>
    <row r="3597" spans="1:13" ht="15" customHeight="1" x14ac:dyDescent="0.2">
      <c r="A3597" s="91"/>
      <c r="B3597" s="10" t="s">
        <v>889</v>
      </c>
      <c r="C3597" s="10" t="s">
        <v>107</v>
      </c>
      <c r="D3597" s="28">
        <f>D3596</f>
        <v>0.71457905544147848</v>
      </c>
      <c r="E3597" s="28">
        <f>Inputs!$D$7</f>
        <v>1</v>
      </c>
      <c r="F3597" s="28">
        <f>Inputs!$D$7</f>
        <v>1</v>
      </c>
      <c r="G3597" s="28">
        <f>Inputs!$D$7</f>
        <v>1</v>
      </c>
      <c r="H3597" s="28">
        <f>Inputs!$D$7</f>
        <v>1</v>
      </c>
      <c r="I3597" s="28">
        <f>Inputs!$D$7</f>
        <v>1</v>
      </c>
      <c r="J3597" s="28">
        <f>Inputs!$D$7</f>
        <v>1</v>
      </c>
      <c r="K3597" s="28">
        <f>Inputs!$D$7</f>
        <v>1</v>
      </c>
      <c r="L3597" s="28">
        <f>Inputs!$D$7</f>
        <v>1</v>
      </c>
      <c r="M3597" s="28">
        <f>Inputs!$D$7</f>
        <v>1</v>
      </c>
    </row>
    <row r="3598" spans="1:13" ht="15" customHeight="1" x14ac:dyDescent="0.2">
      <c r="A3598" s="91"/>
      <c r="B3598" s="3" t="s">
        <v>890</v>
      </c>
      <c r="C3598" s="10" t="s">
        <v>199</v>
      </c>
      <c r="D3598" s="28">
        <f>Inputs!$D$24+(Inputs!$D$80-Inputs!$D$24)*Inputs!$D$83</f>
        <v>305.5</v>
      </c>
      <c r="E3598" s="28">
        <f>Inputs!$D$24+(Inputs!$D$80-Inputs!$D$24)*Inputs!$D$84</f>
        <v>651.5</v>
      </c>
      <c r="F3598" s="28">
        <f>Inputs!$D$24+(Inputs!$D$80-Inputs!$D$24)*Inputs!$D$85</f>
        <v>911</v>
      </c>
      <c r="G3598" s="28">
        <f>Inputs!$D$24+(Inputs!$D$80-Inputs!$D$24)*Inputs!$D$86</f>
        <v>911</v>
      </c>
      <c r="H3598" s="28">
        <f>Inputs!$D$24+(Inputs!$D$80-Inputs!$D$24)*Inputs!$D$87</f>
        <v>911</v>
      </c>
      <c r="I3598" s="28">
        <f>Inputs!$D$24+(Inputs!$D$80-Inputs!$D$24)*Inputs!$D$88</f>
        <v>911</v>
      </c>
      <c r="J3598" s="28">
        <f>Inputs!$D$24+(Inputs!$D$80-Inputs!$D$24)*Inputs!$D$89</f>
        <v>911</v>
      </c>
      <c r="K3598" s="28">
        <f>Inputs!$D$24+(Inputs!$D$80-Inputs!$D$24)*Inputs!$D$90</f>
        <v>911</v>
      </c>
      <c r="L3598" s="28">
        <f>Inputs!$D$24+(Inputs!$D$80-Inputs!$D$24)*Inputs!$D$91</f>
        <v>911</v>
      </c>
      <c r="M3598" s="28">
        <f>Inputs!$D$24+(Inputs!$D$80-Inputs!$D$24)*Inputs!$D$92</f>
        <v>911</v>
      </c>
    </row>
    <row r="3599" spans="1:13" ht="15" customHeight="1" x14ac:dyDescent="0.2">
      <c r="A3599" s="91"/>
      <c r="B3599" s="10" t="s">
        <v>891</v>
      </c>
      <c r="C3599" s="10" t="s">
        <v>199</v>
      </c>
      <c r="D3599" s="28">
        <f>Inputs!$D$24</f>
        <v>46</v>
      </c>
      <c r="E3599" s="28">
        <f t="shared" ref="E3599:M3599" si="780">D3598</f>
        <v>305.5</v>
      </c>
      <c r="F3599" s="28">
        <f t="shared" si="780"/>
        <v>651.5</v>
      </c>
      <c r="G3599" s="28">
        <f t="shared" si="780"/>
        <v>911</v>
      </c>
      <c r="H3599" s="28">
        <f t="shared" si="780"/>
        <v>911</v>
      </c>
      <c r="I3599" s="28">
        <f t="shared" si="780"/>
        <v>911</v>
      </c>
      <c r="J3599" s="28">
        <f t="shared" si="780"/>
        <v>911</v>
      </c>
      <c r="K3599" s="28">
        <f t="shared" si="780"/>
        <v>911</v>
      </c>
      <c r="L3599" s="28">
        <f t="shared" si="780"/>
        <v>911</v>
      </c>
      <c r="M3599" s="28">
        <f t="shared" si="780"/>
        <v>911</v>
      </c>
    </row>
    <row r="3600" spans="1:13" ht="15" customHeight="1" x14ac:dyDescent="0.2">
      <c r="B3600" s="10" t="s">
        <v>892</v>
      </c>
      <c r="C3600" s="10" t="s">
        <v>199</v>
      </c>
      <c r="D3600" s="28">
        <f>(D3599+D3598)*Inputs!$D$12</f>
        <v>175.75</v>
      </c>
      <c r="E3600" s="28">
        <f>(E3599+E3598)*Inputs!$D$12</f>
        <v>478.5</v>
      </c>
      <c r="F3600" s="28">
        <f>(F3599+F3598)*Inputs!$D$12</f>
        <v>781.25</v>
      </c>
      <c r="G3600" s="28">
        <f>(G3599+G3598)*Inputs!$D$12</f>
        <v>911</v>
      </c>
      <c r="H3600" s="28">
        <f>(H3599+H3598)*Inputs!$D$12</f>
        <v>911</v>
      </c>
      <c r="I3600" s="28">
        <f>(I3599+I3598)*Inputs!$D$12</f>
        <v>911</v>
      </c>
      <c r="J3600" s="28">
        <f>(J3599+J3598)*Inputs!$D$12</f>
        <v>911</v>
      </c>
      <c r="K3600" s="28">
        <f>(K3599+K3598)*Inputs!$D$12</f>
        <v>911</v>
      </c>
      <c r="L3600" s="28">
        <f>(L3599+L3598)*Inputs!$D$12</f>
        <v>911</v>
      </c>
      <c r="M3600" s="28">
        <f>(M3599+M3598)*Inputs!$D$12</f>
        <v>911</v>
      </c>
    </row>
    <row r="3601" spans="2:13" ht="15" customHeight="1" x14ac:dyDescent="0.2">
      <c r="B3601" s="10" t="s">
        <v>893</v>
      </c>
      <c r="C3601" s="10" t="s">
        <v>199</v>
      </c>
      <c r="D3601" s="28">
        <f t="shared" ref="D3601:M3601" si="781">D3598-D3599</f>
        <v>259.5</v>
      </c>
      <c r="E3601" s="28">
        <f t="shared" si="781"/>
        <v>346</v>
      </c>
      <c r="F3601" s="28">
        <f t="shared" si="781"/>
        <v>259.5</v>
      </c>
      <c r="G3601" s="28">
        <f t="shared" si="781"/>
        <v>0</v>
      </c>
      <c r="H3601" s="28">
        <f t="shared" si="781"/>
        <v>0</v>
      </c>
      <c r="I3601" s="28">
        <f t="shared" si="781"/>
        <v>0</v>
      </c>
      <c r="J3601" s="28">
        <f t="shared" si="781"/>
        <v>0</v>
      </c>
      <c r="K3601" s="28">
        <f t="shared" si="781"/>
        <v>0</v>
      </c>
      <c r="L3601" s="28">
        <f t="shared" si="781"/>
        <v>0</v>
      </c>
      <c r="M3601" s="28">
        <f t="shared" si="781"/>
        <v>0</v>
      </c>
    </row>
    <row r="3602" spans="2:13" ht="15" customHeight="1" x14ac:dyDescent="0.2">
      <c r="B3602" s="10" t="s">
        <v>894</v>
      </c>
      <c r="C3602" s="10" t="s">
        <v>199</v>
      </c>
      <c r="D3602" s="28">
        <f>IF(MOD(D3594,Inputs!$D$21)=Inputs!$D$6,Inputs!$D$24,Inputs!$D$6)+SUMPRODUCT(--(D3594&gt;$D$3594:$M$3594),--(MOD(D3594-$D$3594:$M$3594,Inputs!$D$21)=Inputs!$D$6),$D$3601:$M$3601)</f>
        <v>0</v>
      </c>
      <c r="E3602" s="28">
        <f>IF(MOD(E3594,Inputs!$D$21)=Inputs!$D$6,Inputs!$D$24,Inputs!$D$6)+SUMPRODUCT(--(E3594&gt;$D$3594:$M$3594),--(MOD(E3594-$D$3594:$M$3594,Inputs!$D$21)=Inputs!$D$6),$D$3601:$M$3601)</f>
        <v>0</v>
      </c>
      <c r="F3602" s="28">
        <f>IF(MOD(F3594,Inputs!$D$21)=Inputs!$D$6,Inputs!$D$24,Inputs!$D$6)+SUMPRODUCT(--(F3594&gt;$D$3594:$M$3594),--(MOD(F3594-$D$3594:$M$3594,Inputs!$D$21)=Inputs!$D$6),$D$3601:$M$3601)</f>
        <v>0</v>
      </c>
      <c r="G3602" s="28">
        <f>IF(MOD(G3594,Inputs!$D$21)=Inputs!$D$6,Inputs!$D$24,Inputs!$D$6)+SUMPRODUCT(--(G3594&gt;$D$3594:$M$3594),--(MOD(G3594-$D$3594:$M$3594,Inputs!$D$21)=Inputs!$D$6),$D$3601:$M$3601)</f>
        <v>46</v>
      </c>
      <c r="H3602" s="28">
        <f>IF(MOD(H3594,Inputs!$D$21)=Inputs!$D$6,Inputs!$D$24,Inputs!$D$6)+SUMPRODUCT(--(H3594&gt;$D$3594:$M$3594),--(MOD(H3594-$D$3594:$M$3594,Inputs!$D$21)=Inputs!$D$6),$D$3601:$M$3601)</f>
        <v>259.5</v>
      </c>
      <c r="I3602" s="28">
        <f>IF(MOD(I3594,Inputs!$D$21)=Inputs!$D$6,Inputs!$D$24,Inputs!$D$6)+SUMPRODUCT(--(I3594&gt;$D$3594:$M$3594),--(MOD(I3594-$D$3594:$M$3594,Inputs!$D$21)=Inputs!$D$6),$D$3601:$M$3601)</f>
        <v>346</v>
      </c>
      <c r="J3602" s="28">
        <f>IF(MOD(J3594,Inputs!$D$21)=Inputs!$D$6,Inputs!$D$24,Inputs!$D$6)+SUMPRODUCT(--(J3594&gt;$D$3594:$M$3594),--(MOD(J3594-$D$3594:$M$3594,Inputs!$D$21)=Inputs!$D$6),$D$3601:$M$3601)</f>
        <v>259.5</v>
      </c>
      <c r="K3602" s="28">
        <f>IF(MOD(K3594,Inputs!$D$21)=Inputs!$D$6,Inputs!$D$24,Inputs!$D$6)+SUMPRODUCT(--(K3594&gt;$D$3594:$M$3594),--(MOD(K3594-$D$3594:$M$3594,Inputs!$D$21)=Inputs!$D$6),$D$3601:$M$3601)</f>
        <v>46</v>
      </c>
      <c r="L3602" s="28">
        <f>IF(MOD(L3594,Inputs!$D$21)=Inputs!$D$6,Inputs!$D$24,Inputs!$D$6)+SUMPRODUCT(--(L3594&gt;$D$3594:$M$3594),--(MOD(L3594-$D$3594:$M$3594,Inputs!$D$21)=Inputs!$D$6),$D$3601:$M$3601)</f>
        <v>259.5</v>
      </c>
      <c r="M3602" s="28">
        <f>IF(MOD(M3594,Inputs!$D$21)=Inputs!$D$6,Inputs!$D$24,Inputs!$D$6)+SUMPRODUCT(--(M3594&gt;$D$3594:$M$3594),--(MOD(M3594-$D$3594:$M$3594,Inputs!$D$21)=Inputs!$D$6),$D$3601:$M$3601)</f>
        <v>346</v>
      </c>
    </row>
    <row r="3603" spans="2:13" ht="15" customHeight="1" x14ac:dyDescent="0.2">
      <c r="B3603" s="10" t="s">
        <v>895</v>
      </c>
      <c r="C3603" s="10" t="s">
        <v>896</v>
      </c>
      <c r="D3603" s="28">
        <f t="shared" ref="D3603:M3603" si="782">D3600*D3597</f>
        <v>125.58726899383984</v>
      </c>
      <c r="E3603" s="28">
        <f t="shared" si="782"/>
        <v>478.5</v>
      </c>
      <c r="F3603" s="28">
        <f t="shared" si="782"/>
        <v>781.25</v>
      </c>
      <c r="G3603" s="28">
        <f t="shared" si="782"/>
        <v>911</v>
      </c>
      <c r="H3603" s="28">
        <f t="shared" si="782"/>
        <v>911</v>
      </c>
      <c r="I3603" s="28">
        <f t="shared" si="782"/>
        <v>911</v>
      </c>
      <c r="J3603" s="28">
        <f t="shared" si="782"/>
        <v>911</v>
      </c>
      <c r="K3603" s="28">
        <f t="shared" si="782"/>
        <v>911</v>
      </c>
      <c r="L3603" s="28">
        <f t="shared" si="782"/>
        <v>911</v>
      </c>
      <c r="M3603" s="28">
        <f t="shared" si="782"/>
        <v>911</v>
      </c>
    </row>
    <row r="3604" spans="2:13" ht="15" customHeight="1" x14ac:dyDescent="0.2">
      <c r="B3604" s="10" t="s">
        <v>897</v>
      </c>
      <c r="C3604" s="10" t="s">
        <v>110</v>
      </c>
      <c r="D3604" s="16">
        <f>D3603*($D$3623/Inputs!$D$21+$D$3624/Inputs!$D$22)</f>
        <v>1816.9772859324419</v>
      </c>
      <c r="E3604" s="16">
        <f>E3603*($D$3623/Inputs!$D$21+$D$3624/Inputs!$D$22)</f>
        <v>6922.8643817497086</v>
      </c>
      <c r="F3604" s="16">
        <f>F3603*($D$3623/Inputs!$D$21+$D$3624/Inputs!$D$22)</f>
        <v>11303.0048030135</v>
      </c>
      <c r="G3604" s="16">
        <f>G3603*($D$3623/Inputs!$D$21+$D$3624/Inputs!$D$22)</f>
        <v>13180.207840697982</v>
      </c>
      <c r="H3604" s="16">
        <f>H3603*($D$3623/Inputs!$D$21+$D$3624/Inputs!$D$22)</f>
        <v>13180.207840697982</v>
      </c>
      <c r="I3604" s="16">
        <f>I3603*($D$3623/Inputs!$D$21+$D$3624/Inputs!$D$22)</f>
        <v>13180.207840697982</v>
      </c>
      <c r="J3604" s="16">
        <f>J3603*($D$3623/Inputs!$D$21+$D$3624/Inputs!$D$22)</f>
        <v>13180.207840697982</v>
      </c>
      <c r="K3604" s="16">
        <f>K3603*($D$3623/Inputs!$D$21+$D$3624/Inputs!$D$22)</f>
        <v>13180.207840697982</v>
      </c>
      <c r="L3604" s="16">
        <f>L3603*($D$3623/Inputs!$D$21+$D$3624/Inputs!$D$22)</f>
        <v>13180.207840697982</v>
      </c>
      <c r="M3604" s="16">
        <f>M3603*($D$3623/Inputs!$D$21+$D$3624/Inputs!$D$22)</f>
        <v>13180.207840697982</v>
      </c>
    </row>
    <row r="3605" spans="2:13" ht="15" customHeight="1" x14ac:dyDescent="0.2">
      <c r="B3605" s="10" t="s">
        <v>898</v>
      </c>
      <c r="C3605" s="10" t="s">
        <v>110</v>
      </c>
      <c r="D3605" s="16">
        <f t="shared" ref="D3605:M3605" si="783">D3601*($D$3623+$D$3624)</f>
        <v>15560.968620146154</v>
      </c>
      <c r="E3605" s="16">
        <f t="shared" si="783"/>
        <v>20747.95816019487</v>
      </c>
      <c r="F3605" s="16">
        <f t="shared" si="783"/>
        <v>15560.968620146154</v>
      </c>
      <c r="G3605" s="16">
        <f t="shared" si="783"/>
        <v>0</v>
      </c>
      <c r="H3605" s="16">
        <f t="shared" si="783"/>
        <v>0</v>
      </c>
      <c r="I3605" s="16">
        <f t="shared" si="783"/>
        <v>0</v>
      </c>
      <c r="J3605" s="16">
        <f t="shared" si="783"/>
        <v>0</v>
      </c>
      <c r="K3605" s="16">
        <f t="shared" si="783"/>
        <v>0</v>
      </c>
      <c r="L3605" s="16">
        <f t="shared" si="783"/>
        <v>0</v>
      </c>
      <c r="M3605" s="16">
        <f t="shared" si="783"/>
        <v>0</v>
      </c>
    </row>
    <row r="3606" spans="2:13" ht="15" customHeight="1" x14ac:dyDescent="0.2">
      <c r="B3606" s="10" t="s">
        <v>899</v>
      </c>
      <c r="C3606" s="10" t="s">
        <v>110</v>
      </c>
      <c r="D3606" s="16">
        <f t="shared" ref="D3606:M3606" si="784">D3602*$D$3623</f>
        <v>0</v>
      </c>
      <c r="E3606" s="16">
        <f t="shared" si="784"/>
        <v>0</v>
      </c>
      <c r="F3606" s="16">
        <f t="shared" si="784"/>
        <v>0</v>
      </c>
      <c r="G3606" s="16">
        <f t="shared" si="784"/>
        <v>2638.0048485671714</v>
      </c>
      <c r="H3606" s="16">
        <f t="shared" si="784"/>
        <v>14881.788221808281</v>
      </c>
      <c r="I3606" s="16">
        <f t="shared" si="784"/>
        <v>19842.384295744378</v>
      </c>
      <c r="J3606" s="16">
        <f t="shared" si="784"/>
        <v>14881.788221808281</v>
      </c>
      <c r="K3606" s="16">
        <f t="shared" si="784"/>
        <v>2638.0048485671714</v>
      </c>
      <c r="L3606" s="16">
        <f t="shared" si="784"/>
        <v>14881.788221808281</v>
      </c>
      <c r="M3606" s="16">
        <f t="shared" si="784"/>
        <v>19842.384295744378</v>
      </c>
    </row>
    <row r="3607" spans="2:13" ht="15" customHeight="1" x14ac:dyDescent="0.2">
      <c r="B3607" s="10" t="s">
        <v>900</v>
      </c>
      <c r="C3607" s="10" t="s">
        <v>199</v>
      </c>
      <c r="D3607" s="28">
        <f>D3601*Inputs!$D$23</f>
        <v>6.4875000000000007</v>
      </c>
      <c r="E3607" s="28">
        <f>E3601*Inputs!$D$23</f>
        <v>8.65</v>
      </c>
      <c r="F3607" s="28">
        <f>F3601*Inputs!$D$23</f>
        <v>6.4875000000000007</v>
      </c>
      <c r="G3607" s="28">
        <f>G3601*Inputs!$D$23</f>
        <v>0</v>
      </c>
      <c r="H3607" s="28">
        <f>H3601*Inputs!$D$23</f>
        <v>0</v>
      </c>
      <c r="I3607" s="28">
        <f>I3601*Inputs!$D$23</f>
        <v>0</v>
      </c>
      <c r="J3607" s="28">
        <f>J3601*Inputs!$D$23</f>
        <v>0</v>
      </c>
      <c r="K3607" s="28">
        <f>K3601*Inputs!$D$23</f>
        <v>0</v>
      </c>
      <c r="L3607" s="28">
        <f>L3601*Inputs!$D$23</f>
        <v>0</v>
      </c>
      <c r="M3607" s="28">
        <f>M3601*Inputs!$D$23</f>
        <v>0</v>
      </c>
    </row>
    <row r="3608" spans="2:13" ht="15" customHeight="1" x14ac:dyDescent="0.2">
      <c r="B3608" s="3" t="s">
        <v>901</v>
      </c>
      <c r="C3608" s="10" t="s">
        <v>896</v>
      </c>
      <c r="D3608" s="28">
        <f>(D3603*$D$3621*(Inputs!$D$7-Inputs!$D$19)-D3607)/(Inputs!$D$7+$D$3622)^D3596</f>
        <v>43.213488846686175</v>
      </c>
      <c r="E3608" s="28">
        <f>(E3603*$D$3621*(Inputs!$D$7-Inputs!$D$19)-E3607)/(Inputs!$D$7+$D$3622)^E3596</f>
        <v>163.29332190458183</v>
      </c>
      <c r="F3608" s="28">
        <f>(F3603*$D$3621*(Inputs!$D$7-Inputs!$D$19)-F3607)/(Inputs!$D$7+$D$3622)^F3596</f>
        <v>248.28260771010829</v>
      </c>
      <c r="G3608" s="28">
        <f>(G3603*$D$3621*(Inputs!$D$7-Inputs!$D$19)-G3607)/(Inputs!$D$7+$D$3622)^G3596</f>
        <v>268.5238926419492</v>
      </c>
      <c r="H3608" s="28">
        <f>(H3603*$D$3621*(Inputs!$D$7-Inputs!$D$19)-H3607)/(Inputs!$D$7+$D$3622)^H3596</f>
        <v>244.12855518959191</v>
      </c>
      <c r="I3608" s="28">
        <f>(I3603*$D$3621*(Inputs!$D$7-Inputs!$D$19)-I3607)/(Inputs!$D$7+$D$3622)^I3596</f>
        <v>221.8916197826434</v>
      </c>
      <c r="J3608" s="28">
        <f>(J3603*$D$3621*(Inputs!$D$7-Inputs!$D$19)-J3607)/(Inputs!$D$7+$D$3622)^J3596</f>
        <v>201.73281421346593</v>
      </c>
      <c r="K3608" s="28">
        <f>(K3603*$D$3621*(Inputs!$D$7-Inputs!$D$19)-K3607)/(Inputs!$D$7+$D$3622)^K3596</f>
        <v>183.40543176145695</v>
      </c>
      <c r="L3608" s="28">
        <f>(L3603*$D$3621*(Inputs!$D$7-Inputs!$D$19)-L3607)/(Inputs!$D$7+$D$3622)^L3596</f>
        <v>166.74308803332551</v>
      </c>
      <c r="M3608" s="28">
        <f>(M3603*$D$3621*(Inputs!$D$7-Inputs!$D$19)-M3607)/(Inputs!$D$7+$D$3622)^M3596</f>
        <v>151.55496194429571</v>
      </c>
    </row>
    <row r="3609" spans="2:13" ht="15" customHeight="1" x14ac:dyDescent="0.2">
      <c r="B3609" s="10" t="s">
        <v>902</v>
      </c>
      <c r="C3609" s="10" t="s">
        <v>110</v>
      </c>
      <c r="D3609" s="16">
        <f>(D3604*Inputs!$D$19-D3605-D3606)/(Inputs!$D$7+$D$3622)^D3596</f>
        <v>-14027.24269342025</v>
      </c>
      <c r="E3609" s="16">
        <f>(E3604*Inputs!$D$19-E3605-E3606)/(Inputs!$D$7+$D$3622)^E3596</f>
        <v>-15853.087323826181</v>
      </c>
      <c r="F3609" s="16">
        <f>(F3604*Inputs!$D$19-F3605-F3606)/(Inputs!$D$7+$D$3622)^F3596</f>
        <v>-9394.4767487293357</v>
      </c>
      <c r="G3609" s="16">
        <f>(G3604*Inputs!$D$19-G3605-G3606)/(Inputs!$D$7+$D$3622)^G3596</f>
        <v>923.61320322684639</v>
      </c>
      <c r="H3609" s="16">
        <f>(H3604*Inputs!$D$19-H3605-H3606)/(Inputs!$D$7+$D$3622)^H3596</f>
        <v>-6972.3744918015345</v>
      </c>
      <c r="I3609" s="16">
        <f>(I3604*Inputs!$D$19-I3605-I3606)/(Inputs!$D$7+$D$3622)^I3596</f>
        <v>-9214.0648467907959</v>
      </c>
      <c r="J3609" s="16">
        <f>(J3604*Inputs!$D$19-J3605-J3606)/(Inputs!$D$7+$D$3622)^J3596</f>
        <v>-5761.5411965591911</v>
      </c>
      <c r="K3609" s="16">
        <f>(K3604*Inputs!$D$19-K3605-K3606)/(Inputs!$D$7+$D$3622)^K3596</f>
        <v>630.8402453567694</v>
      </c>
      <c r="L3609" s="16">
        <f>(L3604*Inputs!$D$19-L3605-L3606)/(Inputs!$D$7+$D$3622)^L3596</f>
        <v>-4762.2255937446444</v>
      </c>
      <c r="M3609" s="16">
        <f>(M3604*Inputs!$D$19-M3605-M3606)/(Inputs!$D$7+$D$3622)^M3596</f>
        <v>-6293.3302689644106</v>
      </c>
    </row>
    <row r="3610" spans="2:13" ht="15" customHeight="1" x14ac:dyDescent="0.2">
      <c r="B3610" s="10" t="s">
        <v>903</v>
      </c>
      <c r="C3610" s="10" t="s">
        <v>110</v>
      </c>
      <c r="D3610" s="16">
        <f t="shared" ref="D3610:M3610" si="785">D3603*$D$3620</f>
        <v>5005.7446615635099</v>
      </c>
      <c r="E3610" s="16">
        <f t="shared" si="785"/>
        <v>19072.385598858978</v>
      </c>
      <c r="F3610" s="16">
        <f t="shared" si="785"/>
        <v>31139.605536277064</v>
      </c>
      <c r="G3610" s="16">
        <f t="shared" si="785"/>
        <v>36311.271223741962</v>
      </c>
      <c r="H3610" s="16">
        <f t="shared" si="785"/>
        <v>36311.271223741962</v>
      </c>
      <c r="I3610" s="16">
        <f t="shared" si="785"/>
        <v>36311.271223741962</v>
      </c>
      <c r="J3610" s="16">
        <f t="shared" si="785"/>
        <v>36311.271223741962</v>
      </c>
      <c r="K3610" s="16">
        <f t="shared" si="785"/>
        <v>36311.271223741962</v>
      </c>
      <c r="L3610" s="16">
        <f t="shared" si="785"/>
        <v>36311.271223741962</v>
      </c>
      <c r="M3610" s="16">
        <f t="shared" si="785"/>
        <v>36311.271223741962</v>
      </c>
    </row>
    <row r="3611" spans="2:13" ht="15" customHeight="1" x14ac:dyDescent="0.2">
      <c r="B3611" s="10" t="s">
        <v>904</v>
      </c>
      <c r="C3611" s="10" t="s">
        <v>110</v>
      </c>
      <c r="D3611" s="16">
        <f t="shared" ref="D3611:M3611" si="786">D3610*$D$3621</f>
        <v>3003.4467969381058</v>
      </c>
      <c r="E3611" s="16">
        <f t="shared" si="786"/>
        <v>11443.431359315387</v>
      </c>
      <c r="F3611" s="16">
        <f t="shared" si="786"/>
        <v>18683.763321766237</v>
      </c>
      <c r="G3611" s="16">
        <f t="shared" si="786"/>
        <v>21786.762734245178</v>
      </c>
      <c r="H3611" s="16">
        <f t="shared" si="786"/>
        <v>21786.762734245178</v>
      </c>
      <c r="I3611" s="16">
        <f t="shared" si="786"/>
        <v>21786.762734245178</v>
      </c>
      <c r="J3611" s="16">
        <f t="shared" si="786"/>
        <v>21786.762734245178</v>
      </c>
      <c r="K3611" s="16">
        <f t="shared" si="786"/>
        <v>21786.762734245178</v>
      </c>
      <c r="L3611" s="16">
        <f t="shared" si="786"/>
        <v>21786.762734245178</v>
      </c>
      <c r="M3611" s="16">
        <f t="shared" si="786"/>
        <v>21786.762734245178</v>
      </c>
    </row>
    <row r="3612" spans="2:13" ht="15" customHeight="1" x14ac:dyDescent="0.2">
      <c r="B3612" s="10" t="s">
        <v>905</v>
      </c>
      <c r="C3612" s="10" t="s">
        <v>110</v>
      </c>
      <c r="D3612" s="16">
        <f t="shared" ref="D3612:M3612" si="787">D3611-D3604</f>
        <v>1186.4695110056639</v>
      </c>
      <c r="E3612" s="16">
        <f t="shared" si="787"/>
        <v>4520.5669775656788</v>
      </c>
      <c r="F3612" s="16">
        <f t="shared" si="787"/>
        <v>7380.7585187527366</v>
      </c>
      <c r="G3612" s="16">
        <f t="shared" si="787"/>
        <v>8606.5548935471961</v>
      </c>
      <c r="H3612" s="16">
        <f t="shared" si="787"/>
        <v>8606.5548935471961</v>
      </c>
      <c r="I3612" s="16">
        <f t="shared" si="787"/>
        <v>8606.5548935471961</v>
      </c>
      <c r="J3612" s="16">
        <f t="shared" si="787"/>
        <v>8606.5548935471961</v>
      </c>
      <c r="K3612" s="16">
        <f t="shared" si="787"/>
        <v>8606.5548935471961</v>
      </c>
      <c r="L3612" s="16">
        <f t="shared" si="787"/>
        <v>8606.5548935471961</v>
      </c>
      <c r="M3612" s="16">
        <f t="shared" si="787"/>
        <v>8606.5548935471961</v>
      </c>
    </row>
    <row r="3613" spans="2:13" ht="15" customHeight="1" x14ac:dyDescent="0.2">
      <c r="B3613" s="10" t="s">
        <v>906</v>
      </c>
      <c r="C3613" s="10" t="s">
        <v>110</v>
      </c>
      <c r="D3613" s="16">
        <f>MAX(D3612,Inputs!$D$6)*Inputs!$D$19</f>
        <v>355.94085330169918</v>
      </c>
      <c r="E3613" s="16">
        <f>MAX(E3612,Inputs!$D$6)*Inputs!$D$19</f>
        <v>1356.1700932697036</v>
      </c>
      <c r="F3613" s="16">
        <f>MAX(F3612,Inputs!$D$6)*Inputs!$D$19</f>
        <v>2214.227555625821</v>
      </c>
      <c r="G3613" s="16">
        <f>MAX(G3612,Inputs!$D$6)*Inputs!$D$19</f>
        <v>2581.9664680641586</v>
      </c>
      <c r="H3613" s="16">
        <f>MAX(H3612,Inputs!$D$6)*Inputs!$D$19</f>
        <v>2581.9664680641586</v>
      </c>
      <c r="I3613" s="16">
        <f>MAX(I3612,Inputs!$D$6)*Inputs!$D$19</f>
        <v>2581.9664680641586</v>
      </c>
      <c r="J3613" s="16">
        <f>MAX(J3612,Inputs!$D$6)*Inputs!$D$19</f>
        <v>2581.9664680641586</v>
      </c>
      <c r="K3613" s="16">
        <f>MAX(K3612,Inputs!$D$6)*Inputs!$D$19</f>
        <v>2581.9664680641586</v>
      </c>
      <c r="L3613" s="16">
        <f>MAX(L3612,Inputs!$D$6)*Inputs!$D$19</f>
        <v>2581.9664680641586</v>
      </c>
      <c r="M3613" s="16">
        <f>MAX(M3612,Inputs!$D$6)*Inputs!$D$19</f>
        <v>2581.9664680641586</v>
      </c>
    </row>
    <row r="3614" spans="2:13" ht="15" customHeight="1" x14ac:dyDescent="0.2">
      <c r="B3614" s="10" t="s">
        <v>907</v>
      </c>
      <c r="C3614" s="10" t="s">
        <v>110</v>
      </c>
      <c r="D3614" s="16">
        <f t="shared" ref="D3614:M3614" si="788">D3607*$D$3620</f>
        <v>258.58328437324479</v>
      </c>
      <c r="E3614" s="16">
        <f t="shared" si="788"/>
        <v>344.77771249765971</v>
      </c>
      <c r="F3614" s="16">
        <f t="shared" si="788"/>
        <v>258.58328437324479</v>
      </c>
      <c r="G3614" s="16">
        <f t="shared" si="788"/>
        <v>0</v>
      </c>
      <c r="H3614" s="16">
        <f t="shared" si="788"/>
        <v>0</v>
      </c>
      <c r="I3614" s="16">
        <f t="shared" si="788"/>
        <v>0</v>
      </c>
      <c r="J3614" s="16">
        <f t="shared" si="788"/>
        <v>0</v>
      </c>
      <c r="K3614" s="16">
        <f t="shared" si="788"/>
        <v>0</v>
      </c>
      <c r="L3614" s="16">
        <f t="shared" si="788"/>
        <v>0</v>
      </c>
      <c r="M3614" s="16">
        <f t="shared" si="788"/>
        <v>0</v>
      </c>
    </row>
    <row r="3615" spans="2:13" ht="15" customHeight="1" x14ac:dyDescent="0.2">
      <c r="B3615" s="10" t="s">
        <v>908</v>
      </c>
      <c r="C3615" s="10" t="s">
        <v>110</v>
      </c>
      <c r="D3615" s="16">
        <f t="shared" ref="D3615:M3615" si="789">D3611-D3613-D3605-D3606-D3614</f>
        <v>-13172.045960882991</v>
      </c>
      <c r="E3615" s="16">
        <f t="shared" si="789"/>
        <v>-11005.474606646847</v>
      </c>
      <c r="F3615" s="16">
        <f t="shared" si="789"/>
        <v>649.98386162101747</v>
      </c>
      <c r="G3615" s="16">
        <f t="shared" si="789"/>
        <v>16566.791417613847</v>
      </c>
      <c r="H3615" s="16">
        <f t="shared" si="789"/>
        <v>4323.0080443727384</v>
      </c>
      <c r="I3615" s="16">
        <f t="shared" si="789"/>
        <v>-637.58802956335785</v>
      </c>
      <c r="J3615" s="16">
        <f t="shared" si="789"/>
        <v>4323.0080443727384</v>
      </c>
      <c r="K3615" s="16">
        <f t="shared" si="789"/>
        <v>16566.791417613847</v>
      </c>
      <c r="L3615" s="16">
        <f t="shared" si="789"/>
        <v>4323.0080443727384</v>
      </c>
      <c r="M3615" s="16">
        <f t="shared" si="789"/>
        <v>-637.58802956335785</v>
      </c>
    </row>
    <row r="3616" spans="2:13" ht="15" customHeight="1" x14ac:dyDescent="0.2">
      <c r="B3616" s="10" t="s">
        <v>909</v>
      </c>
      <c r="C3616" s="10" t="s">
        <v>110</v>
      </c>
      <c r="D3616" s="16">
        <f>D3615/(Inputs!$D$7+$D$3622)^D3596</f>
        <v>-12304.809417859142</v>
      </c>
      <c r="E3616" s="16">
        <f>E3615/(Inputs!$D$7+$D$3622)^E3596</f>
        <v>-9344.4285963804341</v>
      </c>
      <c r="F3616" s="16">
        <f>F3615/(Inputs!$D$7+$D$3622)^F3596</f>
        <v>501.74400725273762</v>
      </c>
      <c r="G3616" s="16">
        <f>G3615/(Inputs!$D$7+$D$3622)^G3596</f>
        <v>11626.625163464812</v>
      </c>
      <c r="H3616" s="16">
        <f>H3615/(Inputs!$D$7+$D$3622)^H3596</f>
        <v>2758.2711513922427</v>
      </c>
      <c r="I3616" s="16">
        <f>I3615/(Inputs!$D$7+$D$3622)^I3596</f>
        <v>-369.75443163932204</v>
      </c>
      <c r="J3616" s="16">
        <f>J3615/(Inputs!$D$7+$D$3622)^J3596</f>
        <v>2279.2655341037171</v>
      </c>
      <c r="K3616" s="16">
        <f>K3615/(Inputs!$D$7+$D$3622)^K3596</f>
        <v>7941.1414271325784</v>
      </c>
      <c r="L3616" s="16">
        <f>L3615/(Inputs!$D$7+$D$3622)^L3596</f>
        <v>1883.9363099462073</v>
      </c>
      <c r="M3616" s="16">
        <f>M3615/(Inputs!$D$7+$D$3622)^M3596</f>
        <v>-252.54725199052112</v>
      </c>
    </row>
    <row r="3617" spans="2:13" ht="15" customHeight="1" x14ac:dyDescent="0.2">
      <c r="B3617" s="3" t="s">
        <v>910</v>
      </c>
      <c r="C3617" s="10" t="s">
        <v>896</v>
      </c>
      <c r="D3617" s="28">
        <f>(D3603*$D$3621-D3607)/(Inputs!$D$7+$D$3622)^D3596</f>
        <v>64.330856237917445</v>
      </c>
      <c r="E3617" s="28">
        <f>(E3603*$D$3621-E3607)/(Inputs!$D$7+$D$3622)^E3596</f>
        <v>236.42380139523098</v>
      </c>
      <c r="F3617" s="28">
        <f>(F3603*$D$3621-F3607)/(Inputs!$D$7+$D$3622)^F3596</f>
        <v>356.83568908039001</v>
      </c>
      <c r="G3617" s="28">
        <f>(G3603*$D$3621-G3607)/(Inputs!$D$7+$D$3622)^G3596</f>
        <v>383.60556091707036</v>
      </c>
      <c r="H3617" s="28">
        <f>(H3603*$D$3621-H3607)/(Inputs!$D$7+$D$3622)^H3596</f>
        <v>348.75507884227414</v>
      </c>
      <c r="I3617" s="28">
        <f>(I3603*$D$3621-I3607)/(Inputs!$D$7+$D$3622)^I3596</f>
        <v>316.98802826091918</v>
      </c>
      <c r="J3617" s="28">
        <f>(J3603*$D$3621-J3607)/(Inputs!$D$7+$D$3622)^J3596</f>
        <v>288.18973459066564</v>
      </c>
      <c r="K3617" s="28">
        <f>(K3603*$D$3621-K3607)/(Inputs!$D$7+$D$3622)^K3596</f>
        <v>262.00775965922423</v>
      </c>
      <c r="L3617" s="28">
        <f>(L3603*$D$3621-L3607)/(Inputs!$D$7+$D$3622)^L3596</f>
        <v>238.2044114761793</v>
      </c>
      <c r="M3617" s="28">
        <f>(M3603*$D$3621-M3607)/(Inputs!$D$7+$D$3622)^M3596</f>
        <v>216.50708849185102</v>
      </c>
    </row>
    <row r="3618" spans="2:13" ht="15" customHeight="1" x14ac:dyDescent="0.2">
      <c r="B3618" s="10" t="s">
        <v>911</v>
      </c>
      <c r="C3618" s="10" t="s">
        <v>110</v>
      </c>
      <c r="D3618" s="16">
        <f>(-D3605-D3606)/(Inputs!$D$7+$D$3622)^D3596</f>
        <v>-14536.447397527105</v>
      </c>
      <c r="E3618" s="16">
        <f>(-E3605-E3606)/(Inputs!$D$7+$D$3622)^E3596</f>
        <v>-17616.488200475756</v>
      </c>
      <c r="F3618" s="16">
        <f>(-F3605-F3606)/(Inputs!$D$7+$D$3622)^F3596</f>
        <v>-12012.025548964448</v>
      </c>
      <c r="G3618" s="16">
        <f>(-G3605-G3606)/(Inputs!$D$7+$D$3622)^G3596</f>
        <v>-1851.359915178487</v>
      </c>
      <c r="H3618" s="16">
        <f>(-H3605-H3606)/(Inputs!$D$7+$D$3622)^H3596</f>
        <v>-9495.2419037884629</v>
      </c>
      <c r="I3618" s="16">
        <f>(-I3605-I3606)/(Inputs!$D$7+$D$3622)^I3596</f>
        <v>-11507.131858586603</v>
      </c>
      <c r="J3618" s="16">
        <f>(-J3605-J3606)/(Inputs!$D$7+$D$3622)^J3596</f>
        <v>-7846.2835672839774</v>
      </c>
      <c r="K3618" s="16">
        <f>(-K3605-K3606)/(Inputs!$D$7+$D$3622)^K3596</f>
        <v>-1264.5037327904422</v>
      </c>
      <c r="L3618" s="16">
        <f>(-L3605-L3606)/(Inputs!$D$7+$D$3622)^L3596</f>
        <v>-6485.3779822337692</v>
      </c>
      <c r="M3618" s="16">
        <f>(-M3605-M3606)/(Inputs!$D$7+$D$3622)^M3596</f>
        <v>-7859.5258920747219</v>
      </c>
    </row>
    <row r="3619" spans="2:13" ht="15" customHeight="1" x14ac:dyDescent="0.2">
      <c r="B3619" s="10" t="s">
        <v>912</v>
      </c>
      <c r="C3619" s="10" t="s">
        <v>110</v>
      </c>
      <c r="D3619" s="16">
        <f>Prices!I19</f>
        <v>30000</v>
      </c>
    </row>
    <row r="3620" spans="2:13" ht="15" customHeight="1" x14ac:dyDescent="0.2">
      <c r="B3620" s="3" t="s">
        <v>913</v>
      </c>
      <c r="C3620" s="10" t="s">
        <v>914</v>
      </c>
      <c r="D3620" s="28">
        <f>IF(J3627&gt;=J3623,J3627,(D3619-J3626)/J3625)</f>
        <v>39.858695086434643</v>
      </c>
      <c r="G3620" s="99" t="s">
        <v>915</v>
      </c>
      <c r="H3620" s="91"/>
      <c r="I3620" s="91"/>
      <c r="J3620" s="28">
        <f>D3620*Inputs!$D$15</f>
        <v>27.817383300822737</v>
      </c>
      <c r="K3620" s="99" t="s">
        <v>916</v>
      </c>
      <c r="L3620" s="91"/>
      <c r="M3620" s="91"/>
    </row>
    <row r="3621" spans="2:13" ht="15" customHeight="1" x14ac:dyDescent="0.2">
      <c r="B3621" s="10" t="s">
        <v>917</v>
      </c>
      <c r="C3621" s="10" t="s">
        <v>104</v>
      </c>
      <c r="D3621" s="30">
        <f>Inputs!$D$81</f>
        <v>0.6</v>
      </c>
      <c r="G3621" s="99" t="s">
        <v>918</v>
      </c>
      <c r="H3621" s="91"/>
      <c r="I3621" s="91"/>
      <c r="J3621" s="28">
        <f>IF(-D3632/D3631&gt;=J3623,-D3632/D3631,-J3626/J3625)</f>
        <v>32.284876648616972</v>
      </c>
      <c r="K3621" s="99" t="s">
        <v>919</v>
      </c>
      <c r="L3621" s="91"/>
      <c r="M3621" s="91"/>
    </row>
    <row r="3622" spans="2:13" ht="15" customHeight="1" x14ac:dyDescent="0.2">
      <c r="B3622" s="10" t="s">
        <v>920</v>
      </c>
      <c r="C3622" s="10" t="s">
        <v>104</v>
      </c>
      <c r="D3622" s="30">
        <f>Inputs!$D$82</f>
        <v>0.1</v>
      </c>
      <c r="G3622" s="99" t="s">
        <v>918</v>
      </c>
      <c r="H3622" s="91"/>
      <c r="I3622" s="91"/>
      <c r="J3622" s="28">
        <f>J3621*Inputs!$D$15</f>
        <v>22.531615413069783</v>
      </c>
      <c r="K3622" s="99" t="s">
        <v>916</v>
      </c>
      <c r="L3622" s="91"/>
      <c r="M3622" s="91"/>
    </row>
    <row r="3623" spans="2:13" ht="15" customHeight="1" x14ac:dyDescent="0.2">
      <c r="B3623" s="3" t="s">
        <v>921</v>
      </c>
      <c r="C3623" s="10" t="s">
        <v>848</v>
      </c>
      <c r="D3623" s="28">
        <f>Capital!$D$13</f>
        <v>57.347931490590682</v>
      </c>
      <c r="G3623" s="99" t="s">
        <v>922</v>
      </c>
      <c r="H3623" s="91"/>
      <c r="I3623" s="91"/>
      <c r="J3623" s="28">
        <f>($D$3623/Inputs!$D$21+$D$3624/Inputs!$D$22)/$D$3621</f>
        <v>24.113076913095469</v>
      </c>
      <c r="K3623" s="99" t="s">
        <v>919</v>
      </c>
      <c r="L3623" s="91"/>
      <c r="M3623" s="91"/>
    </row>
    <row r="3624" spans="2:13" ht="15" customHeight="1" x14ac:dyDescent="0.2">
      <c r="B3624" s="3" t="s">
        <v>923</v>
      </c>
      <c r="C3624" s="10" t="s">
        <v>848</v>
      </c>
      <c r="D3624" s="28">
        <f>Capital!$D$14</f>
        <v>2.6172655041921802</v>
      </c>
    </row>
    <row r="3625" spans="2:13" ht="15" customHeight="1" x14ac:dyDescent="0.2">
      <c r="B3625" s="10" t="s">
        <v>924</v>
      </c>
      <c r="C3625" s="10" t="s">
        <v>896</v>
      </c>
      <c r="D3625" s="28">
        <f>(M3598*(Inputs!$D$7+Inputs!$D$20)*$D$3621*(Inputs!$D$7-Inputs!$D$19)-M3598*Inputs!$D$20*Inputs!$D$23)/($D$3622-Inputs!$D$20)/(Inputs!$D$7+$D$3622)^M3596</f>
        <v>2068.2441036763203</v>
      </c>
      <c r="G3625" s="92" t="s">
        <v>910</v>
      </c>
      <c r="H3625" s="91"/>
      <c r="I3625" s="91"/>
      <c r="J3625" s="28">
        <f>SUM(D3617:M3617)+(M3598*(Inputs!$D$7+Inputs!$D$20)*$D$3621-M3598*Inputs!$D$20*Inputs!$D$23)/($D$3622-Inputs!$D$20)/(Inputs!$D$7+$D$3622)^M3596</f>
        <v>5667.7711754446318</v>
      </c>
      <c r="K3625" s="99" t="s">
        <v>896</v>
      </c>
      <c r="L3625" s="91"/>
      <c r="M3625" s="91"/>
    </row>
    <row r="3626" spans="2:13" ht="15" customHeight="1" x14ac:dyDescent="0.2">
      <c r="B3626" s="10" t="s">
        <v>925</v>
      </c>
      <c r="C3626" s="10" t="s">
        <v>110</v>
      </c>
      <c r="D3626" s="16">
        <f>(D3629*Inputs!$D$19-D3629-D3630)/($D$3622-Inputs!$D$20)/(Inputs!$D$7+$D$3622)^M3596</f>
        <v>-57156.954988173631</v>
      </c>
      <c r="G3626" s="92" t="s">
        <v>926</v>
      </c>
      <c r="H3626" s="91"/>
      <c r="I3626" s="91"/>
      <c r="J3626" s="16">
        <f>SUM(D3618:M3618)-(D3629+D3630)/($D$3622-Inputs!$D$20)/(Inputs!$D$7+$D$3622)^M3596</f>
        <v>-169036.01450291832</v>
      </c>
      <c r="K3626" s="99" t="s">
        <v>110</v>
      </c>
      <c r="L3626" s="91"/>
      <c r="M3626" s="91"/>
    </row>
    <row r="3627" spans="2:13" ht="15" customHeight="1" x14ac:dyDescent="0.2">
      <c r="B3627" s="10" t="s">
        <v>927</v>
      </c>
      <c r="C3627" s="10" t="s">
        <v>928</v>
      </c>
      <c r="D3627" s="16">
        <f>(M3598*(Inputs!$D$7+Inputs!$D$20)*$D$3620*$D$3621-D3629)-MAX((M3598*(Inputs!$D$7+Inputs!$D$20)*$D$3620*$D$3621-D3629),Inputs!$D$6)*Inputs!$D$19-D3630-M3598*Inputs!$D$20*$D$3620*Inputs!$D$23</f>
        <v>4786.8012300490927</v>
      </c>
      <c r="G3627" s="99" t="s">
        <v>929</v>
      </c>
      <c r="H3627" s="91"/>
      <c r="I3627" s="91"/>
      <c r="J3627" s="28">
        <f>(D3619-D3632)/D3631</f>
        <v>39.858695086434643</v>
      </c>
      <c r="K3627" s="99" t="s">
        <v>919</v>
      </c>
      <c r="L3627" s="91"/>
      <c r="M3627" s="91"/>
    </row>
    <row r="3628" spans="2:13" ht="15" customHeight="1" x14ac:dyDescent="0.2">
      <c r="B3628" s="10" t="s">
        <v>930</v>
      </c>
      <c r="C3628" s="10" t="s">
        <v>110</v>
      </c>
      <c r="D3628" s="16">
        <f>D3627/($D$3622-Inputs!$D$20)</f>
        <v>63824.01640065456</v>
      </c>
      <c r="G3628" s="99" t="s">
        <v>931</v>
      </c>
      <c r="H3628" s="91"/>
      <c r="I3628" s="91"/>
      <c r="J3628" s="16">
        <f>MIN(D3612:M3612,(M3598*(Inputs!$D$7+Inputs!$D$20)*$D$3620*$D$3621-D3629))</f>
        <v>1186.4695110056639</v>
      </c>
      <c r="K3628" s="99" t="s">
        <v>110</v>
      </c>
      <c r="L3628" s="91"/>
      <c r="M3628" s="91"/>
    </row>
    <row r="3629" spans="2:13" ht="15" customHeight="1" x14ac:dyDescent="0.2">
      <c r="B3629" s="10" t="s">
        <v>932</v>
      </c>
      <c r="C3629" s="10" t="s">
        <v>928</v>
      </c>
      <c r="D3629" s="16">
        <f>M3598*(Inputs!$D$7+Inputs!$D$20)*($D$3623/Inputs!$D$21+$D$3624/Inputs!$D$22)</f>
        <v>13509.71303671543</v>
      </c>
      <c r="G3629" s="99" t="s">
        <v>933</v>
      </c>
      <c r="H3629" s="91"/>
      <c r="I3629" s="91"/>
      <c r="J3629" s="31" t="str">
        <f>IF(J3628&lt;Inputs!$D$6,"breached","satisfied")</f>
        <v>satisfied</v>
      </c>
      <c r="K3629" s="99" t="s">
        <v>934</v>
      </c>
      <c r="L3629" s="91"/>
      <c r="M3629" s="91"/>
    </row>
    <row r="3630" spans="2:13" ht="15" customHeight="1" x14ac:dyDescent="0.2">
      <c r="B3630" s="10" t="s">
        <v>935</v>
      </c>
      <c r="C3630" s="10" t="s">
        <v>928</v>
      </c>
      <c r="D3630" s="16">
        <f>M3598*Inputs!$D$20*($D$3623+$D$3624)</f>
        <v>1365.7073615561799</v>
      </c>
    </row>
    <row r="3631" spans="2:13" ht="15" customHeight="1" x14ac:dyDescent="0.2">
      <c r="B3631" s="10" t="s">
        <v>936</v>
      </c>
      <c r="C3631" s="10" t="s">
        <v>896</v>
      </c>
      <c r="D3631" s="28">
        <f>SUM(D3608:M3608)+D3625</f>
        <v>3961.0138857044249</v>
      </c>
      <c r="G3631" s="99" t="s">
        <v>937</v>
      </c>
      <c r="H3631" s="91"/>
      <c r="I3631" s="91"/>
      <c r="J3631" s="16">
        <f>D3633-D3619</f>
        <v>0</v>
      </c>
      <c r="K3631" s="99" t="s">
        <v>110</v>
      </c>
      <c r="L3631" s="91"/>
      <c r="M3631" s="91"/>
    </row>
    <row r="3632" spans="2:13" ht="15" customHeight="1" x14ac:dyDescent="0.2">
      <c r="B3632" s="10" t="s">
        <v>938</v>
      </c>
      <c r="C3632" s="10" t="s">
        <v>110</v>
      </c>
      <c r="D3632" s="16">
        <f>SUM(D3609:M3609)+D3626</f>
        <v>-127880.84470342637</v>
      </c>
    </row>
    <row r="3633" spans="1:13" ht="15" customHeight="1" x14ac:dyDescent="0.2">
      <c r="B3633" s="10" t="s">
        <v>939</v>
      </c>
      <c r="C3633" s="10" t="s">
        <v>110</v>
      </c>
      <c r="D3633" s="16">
        <f>SUM(D3616:M3616)+D3628/(Inputs!$D$7+$D$3622)^M3596</f>
        <v>30000.000000000022</v>
      </c>
    </row>
    <row r="3634" spans="1:13" ht="15" customHeight="1" x14ac:dyDescent="0.2">
      <c r="B3634" s="10" t="s">
        <v>940</v>
      </c>
      <c r="C3634" s="10" t="s">
        <v>104</v>
      </c>
      <c r="D3634" s="30">
        <f>IF(ABS(D3619)&gt;Inputs!$D$6,D3633/D3619-Inputs!$D$7,Inputs!$D$6)</f>
        <v>6.6613381477509392E-16</v>
      </c>
    </row>
    <row r="3635" spans="1:13" ht="15" customHeight="1" x14ac:dyDescent="0.2">
      <c r="B3635" s="10" t="s">
        <v>941</v>
      </c>
      <c r="C3635" s="10" t="s">
        <v>104</v>
      </c>
      <c r="D3635" s="30">
        <f>IF(ABS(D3633)&gt;Inputs!$D$119,D3628/(Inputs!$D$7+$D$3622)^M3596/D3633,Inputs!$D$6)</f>
        <v>0.84268520348590426</v>
      </c>
    </row>
    <row r="3636" spans="1:13" ht="15" customHeight="1" x14ac:dyDescent="0.2">
      <c r="B3636" s="10" t="s">
        <v>942</v>
      </c>
      <c r="C3636" s="10" t="s">
        <v>943</v>
      </c>
      <c r="D3636" s="26">
        <f>$D$3620*Inputs!$D$8/Prices!$P$6/(Inputs!$D$26/Inputs!$D$25)/Inputs!$D$11/Inputs!$D$56</f>
        <v>7.2484247731446976</v>
      </c>
    </row>
    <row r="3640" spans="1:13" ht="15" customHeight="1" x14ac:dyDescent="0.2">
      <c r="A3640" s="104" t="s">
        <v>1022</v>
      </c>
      <c r="B3640" s="10" t="s">
        <v>886</v>
      </c>
      <c r="C3640" s="10" t="s">
        <v>107</v>
      </c>
      <c r="D3640" s="28">
        <f>Inputs!$D$60</f>
        <v>1</v>
      </c>
      <c r="E3640" s="28">
        <f>Inputs!$D$62</f>
        <v>2</v>
      </c>
      <c r="F3640" s="28">
        <f>Inputs!$D$64</f>
        <v>3</v>
      </c>
      <c r="G3640" s="28">
        <f>Inputs!$D$66</f>
        <v>4</v>
      </c>
      <c r="H3640" s="28">
        <f>Inputs!$D$68</f>
        <v>5</v>
      </c>
      <c r="I3640" s="28">
        <f>Inputs!$D$70</f>
        <v>6</v>
      </c>
      <c r="J3640" s="28">
        <f>Inputs!$D$72</f>
        <v>7</v>
      </c>
      <c r="K3640" s="28">
        <f>Inputs!$D$74</f>
        <v>8</v>
      </c>
      <c r="L3640" s="28">
        <f>Inputs!$D$76</f>
        <v>9</v>
      </c>
      <c r="M3640" s="28">
        <f>Inputs!$D$78</f>
        <v>10</v>
      </c>
    </row>
    <row r="3641" spans="1:13" ht="15" customHeight="1" x14ac:dyDescent="0.2">
      <c r="A3641" s="91"/>
      <c r="B3641" s="10" t="s">
        <v>887</v>
      </c>
      <c r="C3641" s="10" t="s">
        <v>161</v>
      </c>
      <c r="D3641" s="29">
        <f>Inputs!$D$61</f>
        <v>46568</v>
      </c>
      <c r="E3641" s="29">
        <f>Inputs!$D$63</f>
        <v>46934</v>
      </c>
      <c r="F3641" s="29">
        <f>Inputs!$D$65</f>
        <v>47299</v>
      </c>
      <c r="G3641" s="29">
        <f>Inputs!$D$67</f>
        <v>47664</v>
      </c>
      <c r="H3641" s="29">
        <f>Inputs!$D$69</f>
        <v>48029</v>
      </c>
      <c r="I3641" s="29">
        <f>Inputs!$D$71</f>
        <v>48395</v>
      </c>
      <c r="J3641" s="29">
        <f>Inputs!$D$73</f>
        <v>48760</v>
      </c>
      <c r="K3641" s="29">
        <f>Inputs!$D$75</f>
        <v>49125</v>
      </c>
      <c r="L3641" s="29">
        <f>Inputs!$D$77</f>
        <v>49490</v>
      </c>
      <c r="M3641" s="29">
        <f>Inputs!$D$79</f>
        <v>49856</v>
      </c>
    </row>
    <row r="3642" spans="1:13" ht="15" customHeight="1" x14ac:dyDescent="0.2">
      <c r="A3642" s="91"/>
      <c r="B3642" s="10" t="s">
        <v>888</v>
      </c>
      <c r="C3642" s="10" t="s">
        <v>107</v>
      </c>
      <c r="D3642" s="28">
        <f>(D3641-Inputs!$D$13)/Inputs!$D$10</f>
        <v>0.71457905544147848</v>
      </c>
      <c r="E3642" s="28">
        <f>(E3641-Inputs!$D$13)/Inputs!$D$10</f>
        <v>1.7166324435318274</v>
      </c>
      <c r="F3642" s="28">
        <f>(F3641-Inputs!$D$13)/Inputs!$D$10</f>
        <v>2.7159479808350446</v>
      </c>
      <c r="G3642" s="28">
        <f>(G3641-Inputs!$D$13)/Inputs!$D$10</f>
        <v>3.7152635181382614</v>
      </c>
      <c r="H3642" s="28">
        <f>(H3641-Inputs!$D$13)/Inputs!$D$10</f>
        <v>4.7145790554414786</v>
      </c>
      <c r="I3642" s="28">
        <f>(I3641-Inputs!$D$13)/Inputs!$D$10</f>
        <v>5.7166324435318279</v>
      </c>
      <c r="J3642" s="28">
        <f>(J3641-Inputs!$D$13)/Inputs!$D$10</f>
        <v>6.7159479808350442</v>
      </c>
      <c r="K3642" s="28">
        <f>(K3641-Inputs!$D$13)/Inputs!$D$10</f>
        <v>7.7152635181382614</v>
      </c>
      <c r="L3642" s="28">
        <f>(L3641-Inputs!$D$13)/Inputs!$D$10</f>
        <v>8.7145790554414777</v>
      </c>
      <c r="M3642" s="28">
        <f>(M3641-Inputs!$D$13)/Inputs!$D$10</f>
        <v>9.716632443531827</v>
      </c>
    </row>
    <row r="3643" spans="1:13" ht="15" customHeight="1" x14ac:dyDescent="0.2">
      <c r="A3643" s="91"/>
      <c r="B3643" s="10" t="s">
        <v>889</v>
      </c>
      <c r="C3643" s="10" t="s">
        <v>107</v>
      </c>
      <c r="D3643" s="28">
        <f>D3642</f>
        <v>0.71457905544147848</v>
      </c>
      <c r="E3643" s="28">
        <f>Inputs!$D$7</f>
        <v>1</v>
      </c>
      <c r="F3643" s="28">
        <f>Inputs!$D$7</f>
        <v>1</v>
      </c>
      <c r="G3643" s="28">
        <f>Inputs!$D$7</f>
        <v>1</v>
      </c>
      <c r="H3643" s="28">
        <f>Inputs!$D$7</f>
        <v>1</v>
      </c>
      <c r="I3643" s="28">
        <f>Inputs!$D$7</f>
        <v>1</v>
      </c>
      <c r="J3643" s="28">
        <f>Inputs!$D$7</f>
        <v>1</v>
      </c>
      <c r="K3643" s="28">
        <f>Inputs!$D$7</f>
        <v>1</v>
      </c>
      <c r="L3643" s="28">
        <f>Inputs!$D$7</f>
        <v>1</v>
      </c>
      <c r="M3643" s="28">
        <f>Inputs!$D$7</f>
        <v>1</v>
      </c>
    </row>
    <row r="3644" spans="1:13" ht="15" customHeight="1" x14ac:dyDescent="0.2">
      <c r="A3644" s="91"/>
      <c r="B3644" s="3" t="s">
        <v>890</v>
      </c>
      <c r="C3644" s="10" t="s">
        <v>199</v>
      </c>
      <c r="D3644" s="28">
        <f>Inputs!$D$24+(Inputs!$D$93-Inputs!$D$24)*Inputs!$D$96</f>
        <v>279.10000000000002</v>
      </c>
      <c r="E3644" s="28">
        <f>Inputs!$D$24+(Inputs!$D$93-Inputs!$D$24)*Inputs!$D$97</f>
        <v>900.7</v>
      </c>
      <c r="F3644" s="28">
        <f>Inputs!$D$24+(Inputs!$D$93-Inputs!$D$24)*Inputs!$D$98</f>
        <v>1366.8999999999999</v>
      </c>
      <c r="G3644" s="28">
        <f>Inputs!$D$24+(Inputs!$D$93-Inputs!$D$24)*Inputs!$D$99</f>
        <v>1600</v>
      </c>
      <c r="H3644" s="28">
        <f>Inputs!$D$24+(Inputs!$D$93-Inputs!$D$24)*Inputs!$D$100</f>
        <v>1600</v>
      </c>
      <c r="I3644" s="28">
        <f>Inputs!$D$24+(Inputs!$D$93-Inputs!$D$24)*Inputs!$D$101</f>
        <v>1600</v>
      </c>
      <c r="J3644" s="28">
        <f>Inputs!$D$24+(Inputs!$D$93-Inputs!$D$24)*Inputs!$D$102</f>
        <v>1600</v>
      </c>
      <c r="K3644" s="28">
        <f>Inputs!$D$24+(Inputs!$D$93-Inputs!$D$24)*Inputs!$D$103</f>
        <v>1600</v>
      </c>
      <c r="L3644" s="28">
        <f>Inputs!$D$24+(Inputs!$D$93-Inputs!$D$24)*Inputs!$D$104</f>
        <v>1600</v>
      </c>
      <c r="M3644" s="28">
        <f>Inputs!$D$24+(Inputs!$D$93-Inputs!$D$24)*Inputs!$D$105</f>
        <v>1600</v>
      </c>
    </row>
    <row r="3645" spans="1:13" ht="15" customHeight="1" x14ac:dyDescent="0.2">
      <c r="A3645" s="91"/>
      <c r="B3645" s="10" t="s">
        <v>891</v>
      </c>
      <c r="C3645" s="10" t="s">
        <v>199</v>
      </c>
      <c r="D3645" s="28">
        <f>Inputs!$D$24</f>
        <v>46</v>
      </c>
      <c r="E3645" s="28">
        <f t="shared" ref="E3645:M3645" si="790">D3644</f>
        <v>279.10000000000002</v>
      </c>
      <c r="F3645" s="28">
        <f t="shared" si="790"/>
        <v>900.7</v>
      </c>
      <c r="G3645" s="28">
        <f t="shared" si="790"/>
        <v>1366.8999999999999</v>
      </c>
      <c r="H3645" s="28">
        <f t="shared" si="790"/>
        <v>1600</v>
      </c>
      <c r="I3645" s="28">
        <f t="shared" si="790"/>
        <v>1600</v>
      </c>
      <c r="J3645" s="28">
        <f t="shared" si="790"/>
        <v>1600</v>
      </c>
      <c r="K3645" s="28">
        <f t="shared" si="790"/>
        <v>1600</v>
      </c>
      <c r="L3645" s="28">
        <f t="shared" si="790"/>
        <v>1600</v>
      </c>
      <c r="M3645" s="28">
        <f t="shared" si="790"/>
        <v>1600</v>
      </c>
    </row>
    <row r="3646" spans="1:13" ht="15" customHeight="1" x14ac:dyDescent="0.2">
      <c r="B3646" s="10" t="s">
        <v>892</v>
      </c>
      <c r="C3646" s="10" t="s">
        <v>199</v>
      </c>
      <c r="D3646" s="28">
        <f>(D3645+D3644)*Inputs!$D$12</f>
        <v>162.55000000000001</v>
      </c>
      <c r="E3646" s="28">
        <f>(E3645+E3644)*Inputs!$D$12</f>
        <v>589.90000000000009</v>
      </c>
      <c r="F3646" s="28">
        <f>(F3645+F3644)*Inputs!$D$12</f>
        <v>1133.8</v>
      </c>
      <c r="G3646" s="28">
        <f>(G3645+G3644)*Inputs!$D$12</f>
        <v>1483.4499999999998</v>
      </c>
      <c r="H3646" s="28">
        <f>(H3645+H3644)*Inputs!$D$12</f>
        <v>1600</v>
      </c>
      <c r="I3646" s="28">
        <f>(I3645+I3644)*Inputs!$D$12</f>
        <v>1600</v>
      </c>
      <c r="J3646" s="28">
        <f>(J3645+J3644)*Inputs!$D$12</f>
        <v>1600</v>
      </c>
      <c r="K3646" s="28">
        <f>(K3645+K3644)*Inputs!$D$12</f>
        <v>1600</v>
      </c>
      <c r="L3646" s="28">
        <f>(L3645+L3644)*Inputs!$D$12</f>
        <v>1600</v>
      </c>
      <c r="M3646" s="28">
        <f>(M3645+M3644)*Inputs!$D$12</f>
        <v>1600</v>
      </c>
    </row>
    <row r="3647" spans="1:13" ht="15" customHeight="1" x14ac:dyDescent="0.2">
      <c r="B3647" s="10" t="s">
        <v>893</v>
      </c>
      <c r="C3647" s="10" t="s">
        <v>199</v>
      </c>
      <c r="D3647" s="28">
        <f t="shared" ref="D3647:M3647" si="791">D3644-D3645</f>
        <v>233.10000000000002</v>
      </c>
      <c r="E3647" s="28">
        <f t="shared" si="791"/>
        <v>621.6</v>
      </c>
      <c r="F3647" s="28">
        <f t="shared" si="791"/>
        <v>466.19999999999982</v>
      </c>
      <c r="G3647" s="28">
        <f t="shared" si="791"/>
        <v>233.10000000000014</v>
      </c>
      <c r="H3647" s="28">
        <f t="shared" si="791"/>
        <v>0</v>
      </c>
      <c r="I3647" s="28">
        <f t="shared" si="791"/>
        <v>0</v>
      </c>
      <c r="J3647" s="28">
        <f t="shared" si="791"/>
        <v>0</v>
      </c>
      <c r="K3647" s="28">
        <f t="shared" si="791"/>
        <v>0</v>
      </c>
      <c r="L3647" s="28">
        <f t="shared" si="791"/>
        <v>0</v>
      </c>
      <c r="M3647" s="28">
        <f t="shared" si="791"/>
        <v>0</v>
      </c>
    </row>
    <row r="3648" spans="1:13" ht="15" customHeight="1" x14ac:dyDescent="0.2">
      <c r="B3648" s="10" t="s">
        <v>894</v>
      </c>
      <c r="C3648" s="10" t="s">
        <v>199</v>
      </c>
      <c r="D3648" s="28">
        <f>IF(MOD(D3640,Inputs!$D$21)=Inputs!$D$6,Inputs!$D$24,Inputs!$D$6)+SUMPRODUCT(--(D3640&gt;$D$3640:$M$3640),--(MOD(D3640-$D$3640:$M$3640,Inputs!$D$21)=Inputs!$D$6),$D$3647:$M$3647)</f>
        <v>0</v>
      </c>
      <c r="E3648" s="28">
        <f>IF(MOD(E3640,Inputs!$D$21)=Inputs!$D$6,Inputs!$D$24,Inputs!$D$6)+SUMPRODUCT(--(E3640&gt;$D$3640:$M$3640),--(MOD(E3640-$D$3640:$M$3640,Inputs!$D$21)=Inputs!$D$6),$D$3647:$M$3647)</f>
        <v>0</v>
      </c>
      <c r="F3648" s="28">
        <f>IF(MOD(F3640,Inputs!$D$21)=Inputs!$D$6,Inputs!$D$24,Inputs!$D$6)+SUMPRODUCT(--(F3640&gt;$D$3640:$M$3640),--(MOD(F3640-$D$3640:$M$3640,Inputs!$D$21)=Inputs!$D$6),$D$3647:$M$3647)</f>
        <v>0</v>
      </c>
      <c r="G3648" s="28">
        <f>IF(MOD(G3640,Inputs!$D$21)=Inputs!$D$6,Inputs!$D$24,Inputs!$D$6)+SUMPRODUCT(--(G3640&gt;$D$3640:$M$3640),--(MOD(G3640-$D$3640:$M$3640,Inputs!$D$21)=Inputs!$D$6),$D$3647:$M$3647)</f>
        <v>46</v>
      </c>
      <c r="H3648" s="28">
        <f>IF(MOD(H3640,Inputs!$D$21)=Inputs!$D$6,Inputs!$D$24,Inputs!$D$6)+SUMPRODUCT(--(H3640&gt;$D$3640:$M$3640),--(MOD(H3640-$D$3640:$M$3640,Inputs!$D$21)=Inputs!$D$6),$D$3647:$M$3647)</f>
        <v>233.10000000000002</v>
      </c>
      <c r="I3648" s="28">
        <f>IF(MOD(I3640,Inputs!$D$21)=Inputs!$D$6,Inputs!$D$24,Inputs!$D$6)+SUMPRODUCT(--(I3640&gt;$D$3640:$M$3640),--(MOD(I3640-$D$3640:$M$3640,Inputs!$D$21)=Inputs!$D$6),$D$3647:$M$3647)</f>
        <v>621.6</v>
      </c>
      <c r="J3648" s="28">
        <f>IF(MOD(J3640,Inputs!$D$21)=Inputs!$D$6,Inputs!$D$24,Inputs!$D$6)+SUMPRODUCT(--(J3640&gt;$D$3640:$M$3640),--(MOD(J3640-$D$3640:$M$3640,Inputs!$D$21)=Inputs!$D$6),$D$3647:$M$3647)</f>
        <v>466.19999999999982</v>
      </c>
      <c r="K3648" s="28">
        <f>IF(MOD(K3640,Inputs!$D$21)=Inputs!$D$6,Inputs!$D$24,Inputs!$D$6)+SUMPRODUCT(--(K3640&gt;$D$3640:$M$3640),--(MOD(K3640-$D$3640:$M$3640,Inputs!$D$21)=Inputs!$D$6),$D$3647:$M$3647)</f>
        <v>279.10000000000014</v>
      </c>
      <c r="L3648" s="28">
        <f>IF(MOD(L3640,Inputs!$D$21)=Inputs!$D$6,Inputs!$D$24,Inputs!$D$6)+SUMPRODUCT(--(L3640&gt;$D$3640:$M$3640),--(MOD(L3640-$D$3640:$M$3640,Inputs!$D$21)=Inputs!$D$6),$D$3647:$M$3647)</f>
        <v>233.10000000000002</v>
      </c>
      <c r="M3648" s="28">
        <f>IF(MOD(M3640,Inputs!$D$21)=Inputs!$D$6,Inputs!$D$24,Inputs!$D$6)+SUMPRODUCT(--(M3640&gt;$D$3640:$M$3640),--(MOD(M3640-$D$3640:$M$3640,Inputs!$D$21)=Inputs!$D$6),$D$3647:$M$3647)</f>
        <v>621.6</v>
      </c>
    </row>
    <row r="3649" spans="2:13" ht="15" customHeight="1" x14ac:dyDescent="0.2">
      <c r="B3649" s="10" t="s">
        <v>895</v>
      </c>
      <c r="C3649" s="10" t="s">
        <v>896</v>
      </c>
      <c r="D3649" s="28">
        <f t="shared" ref="D3649:M3649" si="792">D3646*D3643</f>
        <v>116.15482546201234</v>
      </c>
      <c r="E3649" s="28">
        <f t="shared" si="792"/>
        <v>589.90000000000009</v>
      </c>
      <c r="F3649" s="28">
        <f t="shared" si="792"/>
        <v>1133.8</v>
      </c>
      <c r="G3649" s="28">
        <f t="shared" si="792"/>
        <v>1483.4499999999998</v>
      </c>
      <c r="H3649" s="28">
        <f t="shared" si="792"/>
        <v>1600</v>
      </c>
      <c r="I3649" s="28">
        <f t="shared" si="792"/>
        <v>1600</v>
      </c>
      <c r="J3649" s="28">
        <f t="shared" si="792"/>
        <v>1600</v>
      </c>
      <c r="K3649" s="28">
        <f t="shared" si="792"/>
        <v>1600</v>
      </c>
      <c r="L3649" s="28">
        <f t="shared" si="792"/>
        <v>1600</v>
      </c>
      <c r="M3649" s="28">
        <f t="shared" si="792"/>
        <v>1600</v>
      </c>
    </row>
    <row r="3650" spans="2:13" ht="15" customHeight="1" x14ac:dyDescent="0.2">
      <c r="B3650" s="10" t="s">
        <v>897</v>
      </c>
      <c r="C3650" s="10" t="s">
        <v>110</v>
      </c>
      <c r="D3650" s="16">
        <f>D3649*($D$3669/Inputs!$D$21+$D$3670/Inputs!$D$22)</f>
        <v>1680.51014411561</v>
      </c>
      <c r="E3650" s="16">
        <f>E3649*($D$3669/Inputs!$D$21+$D$3670/Inputs!$D$22)</f>
        <v>8534.5824426210111</v>
      </c>
      <c r="F3650" s="16">
        <f>F3649*($D$3669/Inputs!$D$21+$D$3670/Inputs!$D$22)</f>
        <v>16403.643962440583</v>
      </c>
      <c r="G3650" s="16">
        <f>G3649*($D$3669/Inputs!$D$21+$D$3670/Inputs!$D$22)</f>
        <v>21462.326368038881</v>
      </c>
      <c r="H3650" s="16">
        <f>H3649*($D$3669/Inputs!$D$21+$D$3670/Inputs!$D$22)</f>
        <v>23148.553836571649</v>
      </c>
      <c r="I3650" s="16">
        <f>I3649*($D$3669/Inputs!$D$21+$D$3670/Inputs!$D$22)</f>
        <v>23148.553836571649</v>
      </c>
      <c r="J3650" s="16">
        <f>J3649*($D$3669/Inputs!$D$21+$D$3670/Inputs!$D$22)</f>
        <v>23148.553836571649</v>
      </c>
      <c r="K3650" s="16">
        <f>K3649*($D$3669/Inputs!$D$21+$D$3670/Inputs!$D$22)</f>
        <v>23148.553836571649</v>
      </c>
      <c r="L3650" s="16">
        <f>L3649*($D$3669/Inputs!$D$21+$D$3670/Inputs!$D$22)</f>
        <v>23148.553836571649</v>
      </c>
      <c r="M3650" s="16">
        <f>M3649*($D$3669/Inputs!$D$21+$D$3670/Inputs!$D$22)</f>
        <v>23148.553836571649</v>
      </c>
    </row>
    <row r="3651" spans="2:13" ht="15" customHeight="1" x14ac:dyDescent="0.2">
      <c r="B3651" s="10" t="s">
        <v>898</v>
      </c>
      <c r="C3651" s="10" t="s">
        <v>110</v>
      </c>
      <c r="D3651" s="16">
        <f t="shared" ref="D3651:M3651" si="793">D3647*($D$3669+$D$3670)</f>
        <v>13977.887419483886</v>
      </c>
      <c r="E3651" s="16">
        <f t="shared" si="793"/>
        <v>37274.36645195703</v>
      </c>
      <c r="F3651" s="16">
        <f t="shared" si="793"/>
        <v>27955.774838967762</v>
      </c>
      <c r="G3651" s="16">
        <f t="shared" si="793"/>
        <v>13977.887419483894</v>
      </c>
      <c r="H3651" s="16">
        <f t="shared" si="793"/>
        <v>0</v>
      </c>
      <c r="I3651" s="16">
        <f t="shared" si="793"/>
        <v>0</v>
      </c>
      <c r="J3651" s="16">
        <f t="shared" si="793"/>
        <v>0</v>
      </c>
      <c r="K3651" s="16">
        <f t="shared" si="793"/>
        <v>0</v>
      </c>
      <c r="L3651" s="16">
        <f t="shared" si="793"/>
        <v>0</v>
      </c>
      <c r="M3651" s="16">
        <f t="shared" si="793"/>
        <v>0</v>
      </c>
    </row>
    <row r="3652" spans="2:13" ht="15" customHeight="1" x14ac:dyDescent="0.2">
      <c r="B3652" s="10" t="s">
        <v>899</v>
      </c>
      <c r="C3652" s="10" t="s">
        <v>110</v>
      </c>
      <c r="D3652" s="16">
        <f t="shared" ref="D3652:M3652" si="794">D3648*$D$3669</f>
        <v>0</v>
      </c>
      <c r="E3652" s="16">
        <f t="shared" si="794"/>
        <v>0</v>
      </c>
      <c r="F3652" s="16">
        <f t="shared" si="794"/>
        <v>0</v>
      </c>
      <c r="G3652" s="16">
        <f t="shared" si="794"/>
        <v>2638.0048485671714</v>
      </c>
      <c r="H3652" s="16">
        <f t="shared" si="794"/>
        <v>13367.802830456689</v>
      </c>
      <c r="I3652" s="16">
        <f t="shared" si="794"/>
        <v>35647.47421455117</v>
      </c>
      <c r="J3652" s="16">
        <f t="shared" si="794"/>
        <v>26735.605660913367</v>
      </c>
      <c r="K3652" s="16">
        <f t="shared" si="794"/>
        <v>16005.807679023867</v>
      </c>
      <c r="L3652" s="16">
        <f t="shared" si="794"/>
        <v>13367.802830456689</v>
      </c>
      <c r="M3652" s="16">
        <f t="shared" si="794"/>
        <v>35647.47421455117</v>
      </c>
    </row>
    <row r="3653" spans="2:13" ht="15" customHeight="1" x14ac:dyDescent="0.2">
      <c r="B3653" s="10" t="s">
        <v>900</v>
      </c>
      <c r="C3653" s="10" t="s">
        <v>199</v>
      </c>
      <c r="D3653" s="28">
        <f>D3647*Inputs!$D$23</f>
        <v>5.8275000000000006</v>
      </c>
      <c r="E3653" s="28">
        <f>E3647*Inputs!$D$23</f>
        <v>15.540000000000001</v>
      </c>
      <c r="F3653" s="28">
        <f>F3647*Inputs!$D$23</f>
        <v>11.654999999999996</v>
      </c>
      <c r="G3653" s="28">
        <f>G3647*Inputs!$D$23</f>
        <v>5.8275000000000041</v>
      </c>
      <c r="H3653" s="28">
        <f>H3647*Inputs!$D$23</f>
        <v>0</v>
      </c>
      <c r="I3653" s="28">
        <f>I3647*Inputs!$D$23</f>
        <v>0</v>
      </c>
      <c r="J3653" s="28">
        <f>J3647*Inputs!$D$23</f>
        <v>0</v>
      </c>
      <c r="K3653" s="28">
        <f>K3647*Inputs!$D$23</f>
        <v>0</v>
      </c>
      <c r="L3653" s="28">
        <f>L3647*Inputs!$D$23</f>
        <v>0</v>
      </c>
      <c r="M3653" s="28">
        <f>M3647*Inputs!$D$23</f>
        <v>0</v>
      </c>
    </row>
    <row r="3654" spans="2:13" ht="15" customHeight="1" x14ac:dyDescent="0.2">
      <c r="B3654" s="3" t="s">
        <v>901</v>
      </c>
      <c r="C3654" s="10" t="s">
        <v>896</v>
      </c>
      <c r="D3654" s="28">
        <f>(D3649*$D$3667*(Inputs!$D$7-Inputs!$D$19)-D3653)/(Inputs!$D$7+$D$3668)^D3642</f>
        <v>50.541318213721269</v>
      </c>
      <c r="E3654" s="28">
        <f>(E3649*$D$3667*(Inputs!$D$7-Inputs!$D$19)-E3653)/(Inputs!$D$7+$D$3668)^E3642</f>
        <v>238.4864713152904</v>
      </c>
      <c r="F3654" s="28">
        <f>(F3649*$D$3667*(Inputs!$D$7-Inputs!$D$19)-F3653)/(Inputs!$D$7+$D$3668)^F3642</f>
        <v>418.74491871678316</v>
      </c>
      <c r="G3654" s="28">
        <f>(G3649*$D$3667*(Inputs!$D$7-Inputs!$D$19)-G3653)/(Inputs!$D$7+$D$3668)^G3642</f>
        <v>490.87392073514752</v>
      </c>
      <c r="H3654" s="28">
        <f>(H3649*$D$3667*(Inputs!$D$7-Inputs!$D$19)-H3653)/(Inputs!$D$7+$D$3668)^H3642</f>
        <v>472.10300862628105</v>
      </c>
      <c r="I3654" s="28">
        <f>(I3649*$D$3667*(Inputs!$D$7-Inputs!$D$19)-I3653)/(Inputs!$D$7+$D$3668)^I3642</f>
        <v>417.68543753228789</v>
      </c>
      <c r="J3654" s="28">
        <f>(J3649*$D$3667*(Inputs!$D$7-Inputs!$D$19)-J3653)/(Inputs!$D$7+$D$3668)^J3642</f>
        <v>369.66405292491049</v>
      </c>
      <c r="K3654" s="28">
        <f>(K3649*$D$3667*(Inputs!$D$7-Inputs!$D$19)-K3653)/(Inputs!$D$7+$D$3668)^K3642</f>
        <v>327.16369723641031</v>
      </c>
      <c r="L3654" s="28">
        <f>(L3649*$D$3667*(Inputs!$D$7-Inputs!$D$19)-L3653)/(Inputs!$D$7+$D$3668)^L3642</f>
        <v>289.54961658427663</v>
      </c>
      <c r="M3654" s="28">
        <f>(M3649*$D$3667*(Inputs!$D$7-Inputs!$D$19)-M3653)/(Inputs!$D$7+$D$3668)^M3642</f>
        <v>256.17430111750662</v>
      </c>
    </row>
    <row r="3655" spans="2:13" ht="15" customHeight="1" x14ac:dyDescent="0.2">
      <c r="B3655" s="10" t="s">
        <v>902</v>
      </c>
      <c r="C3655" s="10" t="s">
        <v>110</v>
      </c>
      <c r="D3655" s="16">
        <f>(D3650*Inputs!$D$19-D3651-D3652)/(Inputs!$D$7+$D$3668)^D3642</f>
        <v>-12346.937146613671</v>
      </c>
      <c r="E3655" s="16">
        <f>(E3650*Inputs!$D$19-E3651-E3652)/(Inputs!$D$7+$D$3668)^E3642</f>
        <v>-28144.165592831177</v>
      </c>
      <c r="F3655" s="16">
        <f>(F3650*Inputs!$D$19-F3651-F3652)/(Inputs!$D$7+$D$3668)^F3642</f>
        <v>-16528.13772562052</v>
      </c>
      <c r="G3655" s="16">
        <f>(G3650*Inputs!$D$19-G3651-G3652)/(Inputs!$D$7+$D$3668)^G3642</f>
        <v>-6462.9033875784253</v>
      </c>
      <c r="H3655" s="16">
        <f>(H3650*Inputs!$D$19-H3651-H3652)/(Inputs!$D$7+$D$3668)^H3642</f>
        <v>-3610.0349541710043</v>
      </c>
      <c r="I3655" s="16">
        <f>(I3650*Inputs!$D$19-I3651-I3652)/(Inputs!$D$7+$D$3668)^I3642</f>
        <v>-14272.365134506323</v>
      </c>
      <c r="J3655" s="16">
        <f>(J3650*Inputs!$D$19-J3651-J3652)/(Inputs!$D$7+$D$3668)^J3642</f>
        <v>-8709.5665200501735</v>
      </c>
      <c r="K3655" s="16">
        <f>(K3650*Inputs!$D$19-K3651-K3652)/(Inputs!$D$7+$D$3668)^K3642</f>
        <v>-3529.1777141306115</v>
      </c>
      <c r="L3655" s="16">
        <f>(L3650*Inputs!$D$19-L3651-L3652)/(Inputs!$D$7+$D$3668)^L3642</f>
        <v>-2214.1020449702382</v>
      </c>
      <c r="M3655" s="16">
        <f>(M3650*Inputs!$D$19-M3651-M3652)/(Inputs!$D$7+$D$3668)^M3642</f>
        <v>-8753.5088252709138</v>
      </c>
    </row>
    <row r="3656" spans="2:13" ht="15" customHeight="1" x14ac:dyDescent="0.2">
      <c r="B3656" s="10" t="s">
        <v>903</v>
      </c>
      <c r="C3656" s="10" t="s">
        <v>110</v>
      </c>
      <c r="D3656" s="16">
        <f t="shared" ref="D3656:M3656" si="795">D3649*$D$3666</f>
        <v>3781.8305241624557</v>
      </c>
      <c r="E3656" s="16">
        <f t="shared" si="795"/>
        <v>19206.277632719051</v>
      </c>
      <c r="F3656" s="16">
        <f t="shared" si="795"/>
        <v>36914.86282416826</v>
      </c>
      <c r="G3656" s="16">
        <f t="shared" si="795"/>
        <v>48298.953304385606</v>
      </c>
      <c r="H3656" s="16">
        <f t="shared" si="795"/>
        <v>52093.650131124727</v>
      </c>
      <c r="I3656" s="16">
        <f t="shared" si="795"/>
        <v>52093.650131124727</v>
      </c>
      <c r="J3656" s="16">
        <f t="shared" si="795"/>
        <v>52093.650131124727</v>
      </c>
      <c r="K3656" s="16">
        <f t="shared" si="795"/>
        <v>52093.650131124727</v>
      </c>
      <c r="L3656" s="16">
        <f t="shared" si="795"/>
        <v>52093.650131124727</v>
      </c>
      <c r="M3656" s="16">
        <f t="shared" si="795"/>
        <v>52093.650131124727</v>
      </c>
    </row>
    <row r="3657" spans="2:13" ht="15" customHeight="1" x14ac:dyDescent="0.2">
      <c r="B3657" s="10" t="s">
        <v>904</v>
      </c>
      <c r="C3657" s="10" t="s">
        <v>110</v>
      </c>
      <c r="D3657" s="16">
        <f t="shared" ref="D3657:M3657" si="796">D3656*$D$3667</f>
        <v>2836.372893121842</v>
      </c>
      <c r="E3657" s="16">
        <f t="shared" si="796"/>
        <v>14404.708224539288</v>
      </c>
      <c r="F3657" s="16">
        <f t="shared" si="796"/>
        <v>27686.147118126195</v>
      </c>
      <c r="G3657" s="16">
        <f t="shared" si="796"/>
        <v>36224.214978289208</v>
      </c>
      <c r="H3657" s="16">
        <f t="shared" si="796"/>
        <v>39070.237598343549</v>
      </c>
      <c r="I3657" s="16">
        <f t="shared" si="796"/>
        <v>39070.237598343549</v>
      </c>
      <c r="J3657" s="16">
        <f t="shared" si="796"/>
        <v>39070.237598343549</v>
      </c>
      <c r="K3657" s="16">
        <f t="shared" si="796"/>
        <v>39070.237598343549</v>
      </c>
      <c r="L3657" s="16">
        <f t="shared" si="796"/>
        <v>39070.237598343549</v>
      </c>
      <c r="M3657" s="16">
        <f t="shared" si="796"/>
        <v>39070.237598343549</v>
      </c>
    </row>
    <row r="3658" spans="2:13" ht="15" customHeight="1" x14ac:dyDescent="0.2">
      <c r="B3658" s="10" t="s">
        <v>905</v>
      </c>
      <c r="C3658" s="10" t="s">
        <v>110</v>
      </c>
      <c r="D3658" s="16">
        <f t="shared" ref="D3658:M3658" si="797">D3657-D3650</f>
        <v>1155.862749006232</v>
      </c>
      <c r="E3658" s="16">
        <f t="shared" si="797"/>
        <v>5870.1257819182774</v>
      </c>
      <c r="F3658" s="16">
        <f t="shared" si="797"/>
        <v>11282.503155685612</v>
      </c>
      <c r="G3658" s="16">
        <f t="shared" si="797"/>
        <v>14761.888610250327</v>
      </c>
      <c r="H3658" s="16">
        <f t="shared" si="797"/>
        <v>15921.683761771899</v>
      </c>
      <c r="I3658" s="16">
        <f t="shared" si="797"/>
        <v>15921.683761771899</v>
      </c>
      <c r="J3658" s="16">
        <f t="shared" si="797"/>
        <v>15921.683761771899</v>
      </c>
      <c r="K3658" s="16">
        <f t="shared" si="797"/>
        <v>15921.683761771899</v>
      </c>
      <c r="L3658" s="16">
        <f t="shared" si="797"/>
        <v>15921.683761771899</v>
      </c>
      <c r="M3658" s="16">
        <f t="shared" si="797"/>
        <v>15921.683761771899</v>
      </c>
    </row>
    <row r="3659" spans="2:13" ht="15" customHeight="1" x14ac:dyDescent="0.2">
      <c r="B3659" s="10" t="s">
        <v>906</v>
      </c>
      <c r="C3659" s="10" t="s">
        <v>110</v>
      </c>
      <c r="D3659" s="16">
        <f>MAX(D3658,Inputs!$D$6)*Inputs!$D$19</f>
        <v>346.75882470186957</v>
      </c>
      <c r="E3659" s="16">
        <f>MAX(E3658,Inputs!$D$6)*Inputs!$D$19</f>
        <v>1761.0377345754832</v>
      </c>
      <c r="F3659" s="16">
        <f>MAX(F3658,Inputs!$D$6)*Inputs!$D$19</f>
        <v>3384.7509467056834</v>
      </c>
      <c r="G3659" s="16">
        <f>MAX(G3658,Inputs!$D$6)*Inputs!$D$19</f>
        <v>4428.5665830750977</v>
      </c>
      <c r="H3659" s="16">
        <f>MAX(H3658,Inputs!$D$6)*Inputs!$D$19</f>
        <v>4776.5051285315694</v>
      </c>
      <c r="I3659" s="16">
        <f>MAX(I3658,Inputs!$D$6)*Inputs!$D$19</f>
        <v>4776.5051285315694</v>
      </c>
      <c r="J3659" s="16">
        <f>MAX(J3658,Inputs!$D$6)*Inputs!$D$19</f>
        <v>4776.5051285315694</v>
      </c>
      <c r="K3659" s="16">
        <f>MAX(K3658,Inputs!$D$6)*Inputs!$D$19</f>
        <v>4776.5051285315694</v>
      </c>
      <c r="L3659" s="16">
        <f>MAX(L3658,Inputs!$D$6)*Inputs!$D$19</f>
        <v>4776.5051285315694</v>
      </c>
      <c r="M3659" s="16">
        <f>MAX(M3658,Inputs!$D$6)*Inputs!$D$19</f>
        <v>4776.5051285315694</v>
      </c>
    </row>
    <row r="3660" spans="2:13" ht="15" customHeight="1" x14ac:dyDescent="0.2">
      <c r="B3660" s="10" t="s">
        <v>907</v>
      </c>
      <c r="C3660" s="10" t="s">
        <v>110</v>
      </c>
      <c r="D3660" s="16">
        <f t="shared" ref="D3660:M3660" si="798">D3653*$D$3666</f>
        <v>189.73484133695587</v>
      </c>
      <c r="E3660" s="16">
        <f t="shared" si="798"/>
        <v>505.95957689854896</v>
      </c>
      <c r="F3660" s="16">
        <f t="shared" si="798"/>
        <v>379.46968267391156</v>
      </c>
      <c r="G3660" s="16">
        <f t="shared" si="798"/>
        <v>189.73484133695598</v>
      </c>
      <c r="H3660" s="16">
        <f t="shared" si="798"/>
        <v>0</v>
      </c>
      <c r="I3660" s="16">
        <f t="shared" si="798"/>
        <v>0</v>
      </c>
      <c r="J3660" s="16">
        <f t="shared" si="798"/>
        <v>0</v>
      </c>
      <c r="K3660" s="16">
        <f t="shared" si="798"/>
        <v>0</v>
      </c>
      <c r="L3660" s="16">
        <f t="shared" si="798"/>
        <v>0</v>
      </c>
      <c r="M3660" s="16">
        <f t="shared" si="798"/>
        <v>0</v>
      </c>
    </row>
    <row r="3661" spans="2:13" ht="15" customHeight="1" x14ac:dyDescent="0.2">
      <c r="B3661" s="10" t="s">
        <v>908</v>
      </c>
      <c r="C3661" s="10" t="s">
        <v>110</v>
      </c>
      <c r="D3661" s="16">
        <f t="shared" ref="D3661:M3661" si="799">D3657-D3659-D3651-D3652-D3660</f>
        <v>-11678.00819240087</v>
      </c>
      <c r="E3661" s="16">
        <f t="shared" si="799"/>
        <v>-25136.655538891773</v>
      </c>
      <c r="F3661" s="16">
        <f t="shared" si="799"/>
        <v>-4033.8483502211625</v>
      </c>
      <c r="G3661" s="16">
        <f t="shared" si="799"/>
        <v>14990.021285826087</v>
      </c>
      <c r="H3661" s="16">
        <f t="shared" si="799"/>
        <v>20925.929639355287</v>
      </c>
      <c r="I3661" s="16">
        <f t="shared" si="799"/>
        <v>-1353.7417447391927</v>
      </c>
      <c r="J3661" s="16">
        <f t="shared" si="799"/>
        <v>7558.1268088986108</v>
      </c>
      <c r="K3661" s="16">
        <f t="shared" si="799"/>
        <v>18287.924790788111</v>
      </c>
      <c r="L3661" s="16">
        <f t="shared" si="799"/>
        <v>20925.929639355287</v>
      </c>
      <c r="M3661" s="16">
        <f t="shared" si="799"/>
        <v>-1353.7417447391927</v>
      </c>
    </row>
    <row r="3662" spans="2:13" ht="15" customHeight="1" x14ac:dyDescent="0.2">
      <c r="B3662" s="10" t="s">
        <v>909</v>
      </c>
      <c r="C3662" s="10" t="s">
        <v>110</v>
      </c>
      <c r="D3662" s="16">
        <f>D3661/(Inputs!$D$7+$D$3668)^D3642</f>
        <v>-10701.386053994023</v>
      </c>
      <c r="E3662" s="16">
        <f>E3661/(Inputs!$D$7+$D$3668)^E3642</f>
        <v>-20379.396344265395</v>
      </c>
      <c r="F3662" s="16">
        <f>F3661/(Inputs!$D$7+$D$3668)^F3642</f>
        <v>-2894.4181694840399</v>
      </c>
      <c r="G3662" s="16">
        <f>G3661/(Inputs!$D$7+$D$3668)^G3642</f>
        <v>9519.2305407154672</v>
      </c>
      <c r="H3662" s="16">
        <f>H3661/(Inputs!$D$7+$D$3668)^H3642</f>
        <v>11760.945644097023</v>
      </c>
      <c r="I3662" s="16">
        <f>I3661/(Inputs!$D$7+$D$3668)^I3642</f>
        <v>-673.14072971084818</v>
      </c>
      <c r="J3662" s="16">
        <f>J3661/(Inputs!$D$7+$D$3668)^J3642</f>
        <v>3326.1521294022391</v>
      </c>
      <c r="K3662" s="16">
        <f>K3661/(Inputs!$D$7+$D$3668)^K3642</f>
        <v>7122.7917730186236</v>
      </c>
      <c r="L3662" s="16">
        <f>L3661/(Inputs!$D$7+$D$3668)^L3642</f>
        <v>7213.2082187438964</v>
      </c>
      <c r="M3662" s="16">
        <f>M3661/(Inputs!$D$7+$D$3668)^M3642</f>
        <v>-412.84981589542468</v>
      </c>
    </row>
    <row r="3663" spans="2:13" ht="15" customHeight="1" x14ac:dyDescent="0.2">
      <c r="B3663" s="3" t="s">
        <v>910</v>
      </c>
      <c r="C3663" s="10" t="s">
        <v>896</v>
      </c>
      <c r="D3663" s="28">
        <f>(D3649*$D$3667-D3653)/(Inputs!$D$7+$D$3668)^D3642</f>
        <v>74.490519309095831</v>
      </c>
      <c r="E3663" s="28">
        <f>(E3649*$D$3667-E3653)/(Inputs!$D$7+$D$3668)^E3642</f>
        <v>346.09451503846662</v>
      </c>
      <c r="F3663" s="28">
        <f>(F3649*$D$3667-F3653)/(Inputs!$D$7+$D$3668)^F3642</f>
        <v>601.79110266312398</v>
      </c>
      <c r="G3663" s="28">
        <f>(G3649*$D$3667-G3653)/(Inputs!$D$7+$D$3668)^G3642</f>
        <v>702.83446516544734</v>
      </c>
      <c r="H3663" s="28">
        <f>(H3649*$D$3667-H3653)/(Inputs!$D$7+$D$3668)^H3642</f>
        <v>674.43286946611579</v>
      </c>
      <c r="I3663" s="28">
        <f>(I3649*$D$3667-I3653)/(Inputs!$D$7+$D$3668)^I3642</f>
        <v>596.69348218898278</v>
      </c>
      <c r="J3663" s="28">
        <f>(J3649*$D$3667-J3653)/(Inputs!$D$7+$D$3668)^J3642</f>
        <v>528.09150417844353</v>
      </c>
      <c r="K3663" s="28">
        <f>(K3649*$D$3667-K3653)/(Inputs!$D$7+$D$3668)^K3642</f>
        <v>467.37671033772904</v>
      </c>
      <c r="L3663" s="28">
        <f>(L3649*$D$3667-L3653)/(Inputs!$D$7+$D$3668)^L3642</f>
        <v>413.64230940610946</v>
      </c>
      <c r="M3663" s="28">
        <f>(M3649*$D$3667-M3653)/(Inputs!$D$7+$D$3668)^M3642</f>
        <v>365.96328731072373</v>
      </c>
    </row>
    <row r="3664" spans="2:13" ht="15" customHeight="1" x14ac:dyDescent="0.2">
      <c r="B3664" s="10" t="s">
        <v>911</v>
      </c>
      <c r="C3664" s="10" t="s">
        <v>110</v>
      </c>
      <c r="D3664" s="16">
        <f>(-D3651-D3652)/(Inputs!$D$7+$D$3668)^D3642</f>
        <v>-12808.928289029636</v>
      </c>
      <c r="E3664" s="16">
        <f>(-E3651-E3652)/(Inputs!$D$7+$D$3668)^E3642</f>
        <v>-30219.974420642928</v>
      </c>
      <c r="F3664" s="16">
        <f>(-F3651-F3652)/(Inputs!$D$7+$D$3668)^F3642</f>
        <v>-20059.183095337907</v>
      </c>
      <c r="G3664" s="16">
        <f>(-G3651-G3652)/(Inputs!$D$7+$D$3668)^G3642</f>
        <v>-10551.720115889953</v>
      </c>
      <c r="H3664" s="16">
        <f>(-H3651-H3652)/(Inputs!$D$7+$D$3668)^H3642</f>
        <v>-7513.0713511684744</v>
      </c>
      <c r="I3664" s="16">
        <f>(-I3651-I3652)/(Inputs!$D$7+$D$3668)^I3642</f>
        <v>-17725.512933602091</v>
      </c>
      <c r="J3664" s="16">
        <f>(-J3651-J3652)/(Inputs!$D$7+$D$3668)^J3642</f>
        <v>-11765.705173827875</v>
      </c>
      <c r="K3664" s="16">
        <f>(-K3651-K3652)/(Inputs!$D$7+$D$3668)^K3642</f>
        <v>-6233.95144943378</v>
      </c>
      <c r="L3664" s="16">
        <f>(-L3651-L3652)/(Inputs!$D$7+$D$3668)^L3642</f>
        <v>-4607.9073620630261</v>
      </c>
      <c r="M3664" s="16">
        <f>(-M3651-M3652)/(Inputs!$D$7+$D$3668)^M3642</f>
        <v>-10871.389039901173</v>
      </c>
    </row>
    <row r="3665" spans="2:13" ht="15" customHeight="1" x14ac:dyDescent="0.2">
      <c r="B3665" s="10" t="s">
        <v>912</v>
      </c>
      <c r="C3665" s="10" t="s">
        <v>110</v>
      </c>
      <c r="D3665" s="16">
        <f>Prices!I19</f>
        <v>30000</v>
      </c>
    </row>
    <row r="3666" spans="2:13" ht="15" customHeight="1" x14ac:dyDescent="0.2">
      <c r="B3666" s="3" t="s">
        <v>913</v>
      </c>
      <c r="C3666" s="10" t="s">
        <v>914</v>
      </c>
      <c r="D3666" s="28">
        <f>IF(J3673&gt;=J3669,J3673,(D3665-J3672)/J3671)</f>
        <v>32.558531331952956</v>
      </c>
      <c r="G3666" s="99" t="s">
        <v>915</v>
      </c>
      <c r="H3666" s="91"/>
      <c r="I3666" s="91"/>
      <c r="J3666" s="28">
        <f>D3666*Inputs!$D$15</f>
        <v>22.722599016569966</v>
      </c>
      <c r="K3666" s="99" t="s">
        <v>916</v>
      </c>
      <c r="L3666" s="91"/>
      <c r="M3666" s="91"/>
    </row>
    <row r="3667" spans="2:13" ht="15" customHeight="1" x14ac:dyDescent="0.2">
      <c r="B3667" s="10" t="s">
        <v>917</v>
      </c>
      <c r="C3667" s="10" t="s">
        <v>104</v>
      </c>
      <c r="D3667" s="30">
        <f>Inputs!$D$94</f>
        <v>0.75</v>
      </c>
      <c r="G3667" s="99" t="s">
        <v>918</v>
      </c>
      <c r="H3667" s="91"/>
      <c r="I3667" s="91"/>
      <c r="J3667" s="28">
        <f>IF(-D3678/D3677&gt;=J3669,-D3678/D3677,-J3672/J3671)</f>
        <v>27.411702074287536</v>
      </c>
      <c r="K3667" s="99" t="s">
        <v>919</v>
      </c>
      <c r="L3667" s="91"/>
      <c r="M3667" s="91"/>
    </row>
    <row r="3668" spans="2:13" ht="15" customHeight="1" x14ac:dyDescent="0.2">
      <c r="B3668" s="10" t="s">
        <v>920</v>
      </c>
      <c r="C3668" s="10" t="s">
        <v>104</v>
      </c>
      <c r="D3668" s="30">
        <f>Inputs!$D$95</f>
        <v>0.13</v>
      </c>
      <c r="G3668" s="99" t="s">
        <v>918</v>
      </c>
      <c r="H3668" s="91"/>
      <c r="I3668" s="91"/>
      <c r="J3668" s="28">
        <f>J3667*Inputs!$D$15</f>
        <v>19.13062687764527</v>
      </c>
      <c r="K3668" s="99" t="s">
        <v>916</v>
      </c>
      <c r="L3668" s="91"/>
      <c r="M3668" s="91"/>
    </row>
    <row r="3669" spans="2:13" ht="15" customHeight="1" x14ac:dyDescent="0.2">
      <c r="B3669" s="3" t="s">
        <v>921</v>
      </c>
      <c r="C3669" s="10" t="s">
        <v>848</v>
      </c>
      <c r="D3669" s="28">
        <f>Capital!$D$13</f>
        <v>57.347931490590682</v>
      </c>
      <c r="G3669" s="99" t="s">
        <v>922</v>
      </c>
      <c r="H3669" s="91"/>
      <c r="I3669" s="91"/>
      <c r="J3669" s="28">
        <f>($D$3669/Inputs!$D$21+$D$3670/Inputs!$D$22)/$D$3667</f>
        <v>19.290461530476374</v>
      </c>
      <c r="K3669" s="99" t="s">
        <v>919</v>
      </c>
      <c r="L3669" s="91"/>
      <c r="M3669" s="91"/>
    </row>
    <row r="3670" spans="2:13" ht="15" customHeight="1" x14ac:dyDescent="0.2">
      <c r="B3670" s="3" t="s">
        <v>923</v>
      </c>
      <c r="C3670" s="10" t="s">
        <v>848</v>
      </c>
      <c r="D3670" s="28">
        <f>Capital!$D$14</f>
        <v>2.6172655041921802</v>
      </c>
    </row>
    <row r="3671" spans="2:13" ht="15" customHeight="1" x14ac:dyDescent="0.2">
      <c r="B3671" s="10" t="s">
        <v>924</v>
      </c>
      <c r="C3671" s="10" t="s">
        <v>896</v>
      </c>
      <c r="D3671" s="28">
        <f>(M3644*(Inputs!$D$7+Inputs!$D$20)*$D$3667*(Inputs!$D$7-Inputs!$D$19)-M3644*Inputs!$D$20*Inputs!$D$23)/($D$3668-Inputs!$D$20)/(Inputs!$D$7+$D$3668)^M3642</f>
        <v>2497.8446594223992</v>
      </c>
      <c r="G3671" s="92" t="s">
        <v>910</v>
      </c>
      <c r="H3671" s="91"/>
      <c r="I3671" s="91"/>
      <c r="J3671" s="28">
        <f>SUM(D3663:M3663)+(M3644*(Inputs!$D$7+Inputs!$D$20)*$D$3667-M3644*Inputs!$D$20*Inputs!$D$23)/($D$3668-Inputs!$D$20)/(Inputs!$D$7+$D$3668)^M3642</f>
        <v>8341.0050516109004</v>
      </c>
      <c r="K3671" s="99" t="s">
        <v>896</v>
      </c>
      <c r="L3671" s="91"/>
      <c r="M3671" s="91"/>
    </row>
    <row r="3672" spans="2:13" ht="15" customHeight="1" x14ac:dyDescent="0.2">
      <c r="B3672" s="10" t="s">
        <v>925</v>
      </c>
      <c r="C3672" s="10" t="s">
        <v>110</v>
      </c>
      <c r="D3672" s="16">
        <f>(D3675*Inputs!$D$19-D3675-D3676)/($D$3668-Inputs!$D$20)/(Inputs!$D$7+$D$3668)^M3642</f>
        <v>-55207.290798783099</v>
      </c>
      <c r="G3672" s="92" t="s">
        <v>926</v>
      </c>
      <c r="H3672" s="91"/>
      <c r="I3672" s="91"/>
      <c r="J3672" s="16">
        <f>SUM(D3664:M3664)-(D3675+D3676)/($D$3668-Inputs!$D$20)/(Inputs!$D$7+$D$3668)^M3642</f>
        <v>-208239.17898202292</v>
      </c>
      <c r="K3672" s="99" t="s">
        <v>110</v>
      </c>
      <c r="L3672" s="91"/>
      <c r="M3672" s="91"/>
    </row>
    <row r="3673" spans="2:13" ht="15" customHeight="1" x14ac:dyDescent="0.2">
      <c r="B3673" s="10" t="s">
        <v>927</v>
      </c>
      <c r="C3673" s="10" t="s">
        <v>928</v>
      </c>
      <c r="D3673" s="16">
        <f>(M3644*(Inputs!$D$7+Inputs!$D$20)*$D$3666*$D$3667-D3675)-MAX((M3644*(Inputs!$D$7+Inputs!$D$20)*$D$3666*$D$3667-D3675),Inputs!$D$6)*Inputs!$D$19-D3676-M3644*Inputs!$D$20*$D$3666*Inputs!$D$23</f>
        <v>8992.6416879480676</v>
      </c>
      <c r="G3673" s="99" t="s">
        <v>929</v>
      </c>
      <c r="H3673" s="91"/>
      <c r="I3673" s="91"/>
      <c r="J3673" s="28">
        <f>(D3665-D3678)/D3677</f>
        <v>32.558531331952956</v>
      </c>
      <c r="K3673" s="99" t="s">
        <v>919</v>
      </c>
      <c r="L3673" s="91"/>
      <c r="M3673" s="91"/>
    </row>
    <row r="3674" spans="2:13" ht="15" customHeight="1" x14ac:dyDescent="0.2">
      <c r="B3674" s="10" t="s">
        <v>930</v>
      </c>
      <c r="C3674" s="10" t="s">
        <v>110</v>
      </c>
      <c r="D3674" s="16">
        <f>D3673/($D$3668-Inputs!$D$20)</f>
        <v>85644.206551886353</v>
      </c>
      <c r="G3674" s="99" t="s">
        <v>931</v>
      </c>
      <c r="H3674" s="91"/>
      <c r="I3674" s="91"/>
      <c r="J3674" s="16">
        <f>MIN(D3658:M3658,(M3644*(Inputs!$D$7+Inputs!$D$20)*$D$3666*$D$3667-D3675))</f>
        <v>1155.862749006232</v>
      </c>
      <c r="K3674" s="99" t="s">
        <v>110</v>
      </c>
      <c r="L3674" s="91"/>
      <c r="M3674" s="91"/>
    </row>
    <row r="3675" spans="2:13" ht="15" customHeight="1" x14ac:dyDescent="0.2">
      <c r="B3675" s="10" t="s">
        <v>932</v>
      </c>
      <c r="C3675" s="10" t="s">
        <v>928</v>
      </c>
      <c r="D3675" s="16">
        <f>M3644*(Inputs!$D$7+Inputs!$D$20)*($D$3669/Inputs!$D$21+$D$3670/Inputs!$D$22)</f>
        <v>23727.267682485937</v>
      </c>
      <c r="G3675" s="99" t="s">
        <v>933</v>
      </c>
      <c r="H3675" s="91"/>
      <c r="I3675" s="91"/>
      <c r="J3675" s="31" t="str">
        <f>IF(J3674&lt;Inputs!$D$6,"breached","satisfied")</f>
        <v>satisfied</v>
      </c>
      <c r="K3675" s="99" t="s">
        <v>934</v>
      </c>
      <c r="L3675" s="91"/>
      <c r="M3675" s="91"/>
    </row>
    <row r="3676" spans="2:13" ht="15" customHeight="1" x14ac:dyDescent="0.2">
      <c r="B3676" s="10" t="s">
        <v>935</v>
      </c>
      <c r="C3676" s="10" t="s">
        <v>928</v>
      </c>
      <c r="D3676" s="16">
        <f>M3644*Inputs!$D$20*($D$3669+$D$3670)</f>
        <v>2398.6078797913146</v>
      </c>
    </row>
    <row r="3677" spans="2:13" ht="15" customHeight="1" x14ac:dyDescent="0.2">
      <c r="B3677" s="10" t="s">
        <v>936</v>
      </c>
      <c r="C3677" s="10" t="s">
        <v>896</v>
      </c>
      <c r="D3677" s="28">
        <f>SUM(D3654:M3654)+D3671</f>
        <v>5828.8314024250149</v>
      </c>
      <c r="G3677" s="99" t="s">
        <v>937</v>
      </c>
      <c r="H3677" s="91"/>
      <c r="I3677" s="91"/>
      <c r="J3677" s="16">
        <f>D3679-D3665</f>
        <v>0</v>
      </c>
      <c r="K3677" s="99" t="s">
        <v>110</v>
      </c>
      <c r="L3677" s="91"/>
      <c r="M3677" s="91"/>
    </row>
    <row r="3678" spans="2:13" ht="15" customHeight="1" x14ac:dyDescent="0.2">
      <c r="B3678" s="10" t="s">
        <v>938</v>
      </c>
      <c r="C3678" s="10" t="s">
        <v>110</v>
      </c>
      <c r="D3678" s="16">
        <f>SUM(D3655:M3655)+D3672</f>
        <v>-159778.18984452612</v>
      </c>
    </row>
    <row r="3679" spans="2:13" ht="15" customHeight="1" x14ac:dyDescent="0.2">
      <c r="B3679" s="10" t="s">
        <v>939</v>
      </c>
      <c r="C3679" s="10" t="s">
        <v>110</v>
      </c>
      <c r="D3679" s="16">
        <f>SUM(D3662:M3662)+D3674/(Inputs!$D$7+$D$3668)^M3642</f>
        <v>29999.999999999978</v>
      </c>
    </row>
    <row r="3680" spans="2:13" ht="15" customHeight="1" x14ac:dyDescent="0.2">
      <c r="B3680" s="10" t="s">
        <v>940</v>
      </c>
      <c r="C3680" s="10" t="s">
        <v>104</v>
      </c>
      <c r="D3680" s="30">
        <f>IF(ABS(D3665)&gt;Inputs!$D$6,D3679/D3665-Inputs!$D$7,Inputs!$D$6)</f>
        <v>-7.7715611723760958E-16</v>
      </c>
    </row>
    <row r="3681" spans="1:13" ht="15" customHeight="1" x14ac:dyDescent="0.2">
      <c r="B3681" s="10" t="s">
        <v>941</v>
      </c>
      <c r="C3681" s="10" t="s">
        <v>104</v>
      </c>
      <c r="D3681" s="30">
        <f>IF(ABS(D3679)&gt;Inputs!$D$119,D3674/(Inputs!$D$7+$D$3668)^M3642/D3679,Inputs!$D$6)</f>
        <v>0.87062876024574931</v>
      </c>
    </row>
    <row r="3682" spans="1:13" ht="15" customHeight="1" x14ac:dyDescent="0.2">
      <c r="B3682" s="10" t="s">
        <v>942</v>
      </c>
      <c r="C3682" s="10" t="s">
        <v>943</v>
      </c>
      <c r="D3682" s="26">
        <f>$D$3666*Inputs!$D$8/Prices!$P$6/(Inputs!$D$26/Inputs!$D$25)/Inputs!$D$11/Inputs!$D$56</f>
        <v>5.9208678199817522</v>
      </c>
    </row>
    <row r="3686" spans="1:13" ht="15" customHeight="1" x14ac:dyDescent="0.2">
      <c r="A3686" s="104" t="s">
        <v>1023</v>
      </c>
      <c r="B3686" s="10" t="s">
        <v>886</v>
      </c>
      <c r="C3686" s="10" t="s">
        <v>107</v>
      </c>
      <c r="D3686" s="28">
        <f>Inputs!$D$60</f>
        <v>1</v>
      </c>
      <c r="E3686" s="28">
        <f>Inputs!$D$62</f>
        <v>2</v>
      </c>
      <c r="F3686" s="28">
        <f>Inputs!$D$64</f>
        <v>3</v>
      </c>
      <c r="G3686" s="28">
        <f>Inputs!$D$66</f>
        <v>4</v>
      </c>
      <c r="H3686" s="28">
        <f>Inputs!$D$68</f>
        <v>5</v>
      </c>
      <c r="I3686" s="28">
        <f>Inputs!$D$70</f>
        <v>6</v>
      </c>
      <c r="J3686" s="28">
        <f>Inputs!$D$72</f>
        <v>7</v>
      </c>
      <c r="K3686" s="28">
        <f>Inputs!$D$74</f>
        <v>8</v>
      </c>
      <c r="L3686" s="28">
        <f>Inputs!$D$76</f>
        <v>9</v>
      </c>
      <c r="M3686" s="28">
        <f>Inputs!$D$78</f>
        <v>10</v>
      </c>
    </row>
    <row r="3687" spans="1:13" ht="15" customHeight="1" x14ac:dyDescent="0.2">
      <c r="A3687" s="91"/>
      <c r="B3687" s="10" t="s">
        <v>887</v>
      </c>
      <c r="C3687" s="10" t="s">
        <v>161</v>
      </c>
      <c r="D3687" s="29">
        <f>Inputs!$D$61</f>
        <v>46568</v>
      </c>
      <c r="E3687" s="29">
        <f>Inputs!$D$63</f>
        <v>46934</v>
      </c>
      <c r="F3687" s="29">
        <f>Inputs!$D$65</f>
        <v>47299</v>
      </c>
      <c r="G3687" s="29">
        <f>Inputs!$D$67</f>
        <v>47664</v>
      </c>
      <c r="H3687" s="29">
        <f>Inputs!$D$69</f>
        <v>48029</v>
      </c>
      <c r="I3687" s="29">
        <f>Inputs!$D$71</f>
        <v>48395</v>
      </c>
      <c r="J3687" s="29">
        <f>Inputs!$D$73</f>
        <v>48760</v>
      </c>
      <c r="K3687" s="29">
        <f>Inputs!$D$75</f>
        <v>49125</v>
      </c>
      <c r="L3687" s="29">
        <f>Inputs!$D$77</f>
        <v>49490</v>
      </c>
      <c r="M3687" s="29">
        <f>Inputs!$D$79</f>
        <v>49856</v>
      </c>
    </row>
    <row r="3688" spans="1:13" ht="15" customHeight="1" x14ac:dyDescent="0.2">
      <c r="A3688" s="91"/>
      <c r="B3688" s="10" t="s">
        <v>888</v>
      </c>
      <c r="C3688" s="10" t="s">
        <v>107</v>
      </c>
      <c r="D3688" s="28">
        <f>(D3687-Inputs!$D$13)/Inputs!$D$10</f>
        <v>0.71457905544147848</v>
      </c>
      <c r="E3688" s="28">
        <f>(E3687-Inputs!$D$13)/Inputs!$D$10</f>
        <v>1.7166324435318274</v>
      </c>
      <c r="F3688" s="28">
        <f>(F3687-Inputs!$D$13)/Inputs!$D$10</f>
        <v>2.7159479808350446</v>
      </c>
      <c r="G3688" s="28">
        <f>(G3687-Inputs!$D$13)/Inputs!$D$10</f>
        <v>3.7152635181382614</v>
      </c>
      <c r="H3688" s="28">
        <f>(H3687-Inputs!$D$13)/Inputs!$D$10</f>
        <v>4.7145790554414786</v>
      </c>
      <c r="I3688" s="28">
        <f>(I3687-Inputs!$D$13)/Inputs!$D$10</f>
        <v>5.7166324435318279</v>
      </c>
      <c r="J3688" s="28">
        <f>(J3687-Inputs!$D$13)/Inputs!$D$10</f>
        <v>6.7159479808350442</v>
      </c>
      <c r="K3688" s="28">
        <f>(K3687-Inputs!$D$13)/Inputs!$D$10</f>
        <v>7.7152635181382614</v>
      </c>
      <c r="L3688" s="28">
        <f>(L3687-Inputs!$D$13)/Inputs!$D$10</f>
        <v>8.7145790554414777</v>
      </c>
      <c r="M3688" s="28">
        <f>(M3687-Inputs!$D$13)/Inputs!$D$10</f>
        <v>9.716632443531827</v>
      </c>
    </row>
    <row r="3689" spans="1:13" ht="15" customHeight="1" x14ac:dyDescent="0.2">
      <c r="A3689" s="91"/>
      <c r="B3689" s="10" t="s">
        <v>889</v>
      </c>
      <c r="C3689" s="10" t="s">
        <v>107</v>
      </c>
      <c r="D3689" s="28">
        <f>D3688</f>
        <v>0.71457905544147848</v>
      </c>
      <c r="E3689" s="28">
        <f>Inputs!$D$7</f>
        <v>1</v>
      </c>
      <c r="F3689" s="28">
        <f>Inputs!$D$7</f>
        <v>1</v>
      </c>
      <c r="G3689" s="28">
        <f>Inputs!$D$7</f>
        <v>1</v>
      </c>
      <c r="H3689" s="28">
        <f>Inputs!$D$7</f>
        <v>1</v>
      </c>
      <c r="I3689" s="28">
        <f>Inputs!$D$7</f>
        <v>1</v>
      </c>
      <c r="J3689" s="28">
        <f>Inputs!$D$7</f>
        <v>1</v>
      </c>
      <c r="K3689" s="28">
        <f>Inputs!$D$7</f>
        <v>1</v>
      </c>
      <c r="L3689" s="28">
        <f>Inputs!$D$7</f>
        <v>1</v>
      </c>
      <c r="M3689" s="28">
        <f>Inputs!$D$7</f>
        <v>1</v>
      </c>
    </row>
    <row r="3690" spans="1:13" ht="15" customHeight="1" x14ac:dyDescent="0.2">
      <c r="A3690" s="91"/>
      <c r="B3690" s="3" t="s">
        <v>890</v>
      </c>
      <c r="C3690" s="10" t="s">
        <v>199</v>
      </c>
      <c r="D3690" s="28">
        <f>Inputs!$D$24+(Inputs!$D$106-Inputs!$D$24)*Inputs!$D$109</f>
        <v>170.32</v>
      </c>
      <c r="E3690" s="28">
        <f>Inputs!$D$24+(Inputs!$D$106-Inputs!$D$24)*Inputs!$D$110</f>
        <v>481.12000000000006</v>
      </c>
      <c r="F3690" s="28">
        <f>Inputs!$D$24+(Inputs!$D$106-Inputs!$D$24)*Inputs!$D$111</f>
        <v>823</v>
      </c>
      <c r="G3690" s="28">
        <f>Inputs!$D$24+(Inputs!$D$106-Inputs!$D$24)*Inputs!$D$112</f>
        <v>1211.5</v>
      </c>
      <c r="H3690" s="28">
        <f>Inputs!$D$24+(Inputs!$D$106-Inputs!$D$24)*Inputs!$D$113</f>
        <v>1600</v>
      </c>
      <c r="I3690" s="28">
        <f>Inputs!$D$24+(Inputs!$D$106-Inputs!$D$24)*Inputs!$D$114</f>
        <v>1600</v>
      </c>
      <c r="J3690" s="28">
        <f>Inputs!$D$24+(Inputs!$D$106-Inputs!$D$24)*Inputs!$D$115</f>
        <v>1600</v>
      </c>
      <c r="K3690" s="28">
        <f>Inputs!$D$24+(Inputs!$D$106-Inputs!$D$24)*Inputs!$D$116</f>
        <v>1600</v>
      </c>
      <c r="L3690" s="28">
        <f>Inputs!$D$24+(Inputs!$D$106-Inputs!$D$24)*Inputs!$D$117</f>
        <v>1600</v>
      </c>
      <c r="M3690" s="28">
        <f>Inputs!$D$24+(Inputs!$D$106-Inputs!$D$24)*Inputs!$D$118</f>
        <v>1600</v>
      </c>
    </row>
    <row r="3691" spans="1:13" ht="15" customHeight="1" x14ac:dyDescent="0.2">
      <c r="A3691" s="91"/>
      <c r="B3691" s="10" t="s">
        <v>891</v>
      </c>
      <c r="C3691" s="10" t="s">
        <v>199</v>
      </c>
      <c r="D3691" s="28">
        <f>Inputs!$D$24</f>
        <v>46</v>
      </c>
      <c r="E3691" s="28">
        <f t="shared" ref="E3691:M3691" si="800">D3690</f>
        <v>170.32</v>
      </c>
      <c r="F3691" s="28">
        <f t="shared" si="800"/>
        <v>481.12000000000006</v>
      </c>
      <c r="G3691" s="28">
        <f t="shared" si="800"/>
        <v>823</v>
      </c>
      <c r="H3691" s="28">
        <f t="shared" si="800"/>
        <v>1211.5</v>
      </c>
      <c r="I3691" s="28">
        <f t="shared" si="800"/>
        <v>1600</v>
      </c>
      <c r="J3691" s="28">
        <f t="shared" si="800"/>
        <v>1600</v>
      </c>
      <c r="K3691" s="28">
        <f t="shared" si="800"/>
        <v>1600</v>
      </c>
      <c r="L3691" s="28">
        <f t="shared" si="800"/>
        <v>1600</v>
      </c>
      <c r="M3691" s="28">
        <f t="shared" si="800"/>
        <v>1600</v>
      </c>
    </row>
    <row r="3692" spans="1:13" ht="15" customHeight="1" x14ac:dyDescent="0.2">
      <c r="B3692" s="10" t="s">
        <v>892</v>
      </c>
      <c r="C3692" s="10" t="s">
        <v>199</v>
      </c>
      <c r="D3692" s="28">
        <f>(D3691+D3690)*Inputs!$D$12</f>
        <v>108.16</v>
      </c>
      <c r="E3692" s="28">
        <f>(E3691+E3690)*Inputs!$D$12</f>
        <v>325.72000000000003</v>
      </c>
      <c r="F3692" s="28">
        <f>(F3691+F3690)*Inputs!$D$12</f>
        <v>652.06000000000006</v>
      </c>
      <c r="G3692" s="28">
        <f>(G3691+G3690)*Inputs!$D$12</f>
        <v>1017.25</v>
      </c>
      <c r="H3692" s="28">
        <f>(H3691+H3690)*Inputs!$D$12</f>
        <v>1405.75</v>
      </c>
      <c r="I3692" s="28">
        <f>(I3691+I3690)*Inputs!$D$12</f>
        <v>1600</v>
      </c>
      <c r="J3692" s="28">
        <f>(J3691+J3690)*Inputs!$D$12</f>
        <v>1600</v>
      </c>
      <c r="K3692" s="28">
        <f>(K3691+K3690)*Inputs!$D$12</f>
        <v>1600</v>
      </c>
      <c r="L3692" s="28">
        <f>(L3691+L3690)*Inputs!$D$12</f>
        <v>1600</v>
      </c>
      <c r="M3692" s="28">
        <f>(M3691+M3690)*Inputs!$D$12</f>
        <v>1600</v>
      </c>
    </row>
    <row r="3693" spans="1:13" ht="15" customHeight="1" x14ac:dyDescent="0.2">
      <c r="B3693" s="10" t="s">
        <v>893</v>
      </c>
      <c r="C3693" s="10" t="s">
        <v>199</v>
      </c>
      <c r="D3693" s="28">
        <f t="shared" ref="D3693:M3693" si="801">D3690-D3691</f>
        <v>124.32</v>
      </c>
      <c r="E3693" s="28">
        <f t="shared" si="801"/>
        <v>310.80000000000007</v>
      </c>
      <c r="F3693" s="28">
        <f t="shared" si="801"/>
        <v>341.87999999999994</v>
      </c>
      <c r="G3693" s="28">
        <f t="shared" si="801"/>
        <v>388.5</v>
      </c>
      <c r="H3693" s="28">
        <f t="shared" si="801"/>
        <v>388.5</v>
      </c>
      <c r="I3693" s="28">
        <f t="shared" si="801"/>
        <v>0</v>
      </c>
      <c r="J3693" s="28">
        <f t="shared" si="801"/>
        <v>0</v>
      </c>
      <c r="K3693" s="28">
        <f t="shared" si="801"/>
        <v>0</v>
      </c>
      <c r="L3693" s="28">
        <f t="shared" si="801"/>
        <v>0</v>
      </c>
      <c r="M3693" s="28">
        <f t="shared" si="801"/>
        <v>0</v>
      </c>
    </row>
    <row r="3694" spans="1:13" ht="15" customHeight="1" x14ac:dyDescent="0.2">
      <c r="B3694" s="10" t="s">
        <v>894</v>
      </c>
      <c r="C3694" s="10" t="s">
        <v>199</v>
      </c>
      <c r="D3694" s="28">
        <f>IF(MOD(D3686,Inputs!$D$21)=Inputs!$D$6,Inputs!$D$24,Inputs!$D$6)+SUMPRODUCT(--(D3686&gt;$D$3686:$M$3686),--(MOD(D3686-$D$3686:$M$3686,Inputs!$D$21)=Inputs!$D$6),$D$3693:$M$3693)</f>
        <v>0</v>
      </c>
      <c r="E3694" s="28">
        <f>IF(MOD(E3686,Inputs!$D$21)=Inputs!$D$6,Inputs!$D$24,Inputs!$D$6)+SUMPRODUCT(--(E3686&gt;$D$3686:$M$3686),--(MOD(E3686-$D$3686:$M$3686,Inputs!$D$21)=Inputs!$D$6),$D$3693:$M$3693)</f>
        <v>0</v>
      </c>
      <c r="F3694" s="28">
        <f>IF(MOD(F3686,Inputs!$D$21)=Inputs!$D$6,Inputs!$D$24,Inputs!$D$6)+SUMPRODUCT(--(F3686&gt;$D$3686:$M$3686),--(MOD(F3686-$D$3686:$M$3686,Inputs!$D$21)=Inputs!$D$6),$D$3693:$M$3693)</f>
        <v>0</v>
      </c>
      <c r="G3694" s="28">
        <f>IF(MOD(G3686,Inputs!$D$21)=Inputs!$D$6,Inputs!$D$24,Inputs!$D$6)+SUMPRODUCT(--(G3686&gt;$D$3686:$M$3686),--(MOD(G3686-$D$3686:$M$3686,Inputs!$D$21)=Inputs!$D$6),$D$3693:$M$3693)</f>
        <v>46</v>
      </c>
      <c r="H3694" s="28">
        <f>IF(MOD(H3686,Inputs!$D$21)=Inputs!$D$6,Inputs!$D$24,Inputs!$D$6)+SUMPRODUCT(--(H3686&gt;$D$3686:$M$3686),--(MOD(H3686-$D$3686:$M$3686,Inputs!$D$21)=Inputs!$D$6),$D$3693:$M$3693)</f>
        <v>124.32</v>
      </c>
      <c r="I3694" s="28">
        <f>IF(MOD(I3686,Inputs!$D$21)=Inputs!$D$6,Inputs!$D$24,Inputs!$D$6)+SUMPRODUCT(--(I3686&gt;$D$3686:$M$3686),--(MOD(I3686-$D$3686:$M$3686,Inputs!$D$21)=Inputs!$D$6),$D$3693:$M$3693)</f>
        <v>310.80000000000007</v>
      </c>
      <c r="J3694" s="28">
        <f>IF(MOD(J3686,Inputs!$D$21)=Inputs!$D$6,Inputs!$D$24,Inputs!$D$6)+SUMPRODUCT(--(J3686&gt;$D$3686:$M$3686),--(MOD(J3686-$D$3686:$M$3686,Inputs!$D$21)=Inputs!$D$6),$D$3693:$M$3693)</f>
        <v>341.87999999999994</v>
      </c>
      <c r="K3694" s="28">
        <f>IF(MOD(K3686,Inputs!$D$21)=Inputs!$D$6,Inputs!$D$24,Inputs!$D$6)+SUMPRODUCT(--(K3686&gt;$D$3686:$M$3686),--(MOD(K3686-$D$3686:$M$3686,Inputs!$D$21)=Inputs!$D$6),$D$3693:$M$3693)</f>
        <v>434.5</v>
      </c>
      <c r="L3694" s="28">
        <f>IF(MOD(L3686,Inputs!$D$21)=Inputs!$D$6,Inputs!$D$24,Inputs!$D$6)+SUMPRODUCT(--(L3686&gt;$D$3686:$M$3686),--(MOD(L3686-$D$3686:$M$3686,Inputs!$D$21)=Inputs!$D$6),$D$3693:$M$3693)</f>
        <v>512.81999999999994</v>
      </c>
      <c r="M3694" s="28">
        <f>IF(MOD(M3686,Inputs!$D$21)=Inputs!$D$6,Inputs!$D$24,Inputs!$D$6)+SUMPRODUCT(--(M3686&gt;$D$3686:$M$3686),--(MOD(M3686-$D$3686:$M$3686,Inputs!$D$21)=Inputs!$D$6),$D$3693:$M$3693)</f>
        <v>310.80000000000007</v>
      </c>
    </row>
    <row r="3695" spans="1:13" ht="15" customHeight="1" x14ac:dyDescent="0.2">
      <c r="B3695" s="10" t="s">
        <v>895</v>
      </c>
      <c r="C3695" s="10" t="s">
        <v>896</v>
      </c>
      <c r="D3695" s="28">
        <f t="shared" ref="D3695:M3695" si="802">D3692*D3689</f>
        <v>77.288870636550314</v>
      </c>
      <c r="E3695" s="28">
        <f t="shared" si="802"/>
        <v>325.72000000000003</v>
      </c>
      <c r="F3695" s="28">
        <f t="shared" si="802"/>
        <v>652.06000000000006</v>
      </c>
      <c r="G3695" s="28">
        <f t="shared" si="802"/>
        <v>1017.25</v>
      </c>
      <c r="H3695" s="28">
        <f t="shared" si="802"/>
        <v>1405.75</v>
      </c>
      <c r="I3695" s="28">
        <f t="shared" si="802"/>
        <v>1600</v>
      </c>
      <c r="J3695" s="28">
        <f t="shared" si="802"/>
        <v>1600</v>
      </c>
      <c r="K3695" s="28">
        <f t="shared" si="802"/>
        <v>1600</v>
      </c>
      <c r="L3695" s="28">
        <f t="shared" si="802"/>
        <v>1600</v>
      </c>
      <c r="M3695" s="28">
        <f t="shared" si="802"/>
        <v>1600</v>
      </c>
    </row>
    <row r="3696" spans="1:13" ht="15" customHeight="1" x14ac:dyDescent="0.2">
      <c r="B3696" s="10" t="s">
        <v>897</v>
      </c>
      <c r="C3696" s="10" t="s">
        <v>110</v>
      </c>
      <c r="D3696" s="16">
        <f>D3695*($D$3715/Inputs!$D$21+$D$3716/Inputs!$D$22)</f>
        <v>1118.2034893112541</v>
      </c>
      <c r="E3696" s="16">
        <f>E3695*($D$3715/Inputs!$D$21+$D$3716/Inputs!$D$22)</f>
        <v>4712.466847280074</v>
      </c>
      <c r="F3696" s="16">
        <f>F3695*($D$3715/Inputs!$D$21+$D$3716/Inputs!$D$22)</f>
        <v>9433.9037591718188</v>
      </c>
      <c r="G3696" s="16">
        <f>G3695*($D$3715/Inputs!$D$21+$D$3716/Inputs!$D$22)</f>
        <v>14717.416493907818</v>
      </c>
      <c r="H3696" s="16">
        <f>H3695*($D$3715/Inputs!$D$21+$D$3716/Inputs!$D$22)</f>
        <v>20338.17472235037</v>
      </c>
      <c r="I3696" s="16">
        <f>I3695*($D$3715/Inputs!$D$21+$D$3716/Inputs!$D$22)</f>
        <v>23148.553836571649</v>
      </c>
      <c r="J3696" s="16">
        <f>J3695*($D$3715/Inputs!$D$21+$D$3716/Inputs!$D$22)</f>
        <v>23148.553836571649</v>
      </c>
      <c r="K3696" s="16">
        <f>K3695*($D$3715/Inputs!$D$21+$D$3716/Inputs!$D$22)</f>
        <v>23148.553836571649</v>
      </c>
      <c r="L3696" s="16">
        <f>L3695*($D$3715/Inputs!$D$21+$D$3716/Inputs!$D$22)</f>
        <v>23148.553836571649</v>
      </c>
      <c r="M3696" s="16">
        <f>M3695*($D$3715/Inputs!$D$21+$D$3716/Inputs!$D$22)</f>
        <v>23148.553836571649</v>
      </c>
    </row>
    <row r="3697" spans="2:13" ht="15" customHeight="1" x14ac:dyDescent="0.2">
      <c r="B3697" s="10" t="s">
        <v>898</v>
      </c>
      <c r="C3697" s="10" t="s">
        <v>110</v>
      </c>
      <c r="D3697" s="16">
        <f t="shared" ref="D3697:M3697" si="803">D3693*($D$3715+$D$3716)</f>
        <v>7454.8732903914051</v>
      </c>
      <c r="E3697" s="16">
        <f t="shared" si="803"/>
        <v>18637.183225978519</v>
      </c>
      <c r="F3697" s="16">
        <f t="shared" si="803"/>
        <v>20500.901548576363</v>
      </c>
      <c r="G3697" s="16">
        <f t="shared" si="803"/>
        <v>23296.479032473144</v>
      </c>
      <c r="H3697" s="16">
        <f t="shared" si="803"/>
        <v>23296.479032473144</v>
      </c>
      <c r="I3697" s="16">
        <f t="shared" si="803"/>
        <v>0</v>
      </c>
      <c r="J3697" s="16">
        <f t="shared" si="803"/>
        <v>0</v>
      </c>
      <c r="K3697" s="16">
        <f t="shared" si="803"/>
        <v>0</v>
      </c>
      <c r="L3697" s="16">
        <f t="shared" si="803"/>
        <v>0</v>
      </c>
      <c r="M3697" s="16">
        <f t="shared" si="803"/>
        <v>0</v>
      </c>
    </row>
    <row r="3698" spans="2:13" ht="15" customHeight="1" x14ac:dyDescent="0.2">
      <c r="B3698" s="10" t="s">
        <v>899</v>
      </c>
      <c r="C3698" s="10" t="s">
        <v>110</v>
      </c>
      <c r="D3698" s="16">
        <f t="shared" ref="D3698:M3698" si="804">D3694*$D$3715</f>
        <v>0</v>
      </c>
      <c r="E3698" s="16">
        <f t="shared" si="804"/>
        <v>0</v>
      </c>
      <c r="F3698" s="16">
        <f t="shared" si="804"/>
        <v>0</v>
      </c>
      <c r="G3698" s="16">
        <f t="shared" si="804"/>
        <v>2638.0048485671714</v>
      </c>
      <c r="H3698" s="16">
        <f t="shared" si="804"/>
        <v>7129.4948429102333</v>
      </c>
      <c r="I3698" s="16">
        <f t="shared" si="804"/>
        <v>17823.737107275589</v>
      </c>
      <c r="J3698" s="16">
        <f t="shared" si="804"/>
        <v>19606.110818003141</v>
      </c>
      <c r="K3698" s="16">
        <f t="shared" si="804"/>
        <v>24917.676232661652</v>
      </c>
      <c r="L3698" s="16">
        <f t="shared" si="804"/>
        <v>29409.166227004709</v>
      </c>
      <c r="M3698" s="16">
        <f t="shared" si="804"/>
        <v>17823.737107275589</v>
      </c>
    </row>
    <row r="3699" spans="2:13" ht="15" customHeight="1" x14ac:dyDescent="0.2">
      <c r="B3699" s="10" t="s">
        <v>900</v>
      </c>
      <c r="C3699" s="10" t="s">
        <v>199</v>
      </c>
      <c r="D3699" s="28">
        <f>D3693*Inputs!$D$23</f>
        <v>3.1080000000000001</v>
      </c>
      <c r="E3699" s="28">
        <f>E3693*Inputs!$D$23</f>
        <v>7.7700000000000022</v>
      </c>
      <c r="F3699" s="28">
        <f>F3693*Inputs!$D$23</f>
        <v>8.5469999999999988</v>
      </c>
      <c r="G3699" s="28">
        <f>G3693*Inputs!$D$23</f>
        <v>9.7125000000000004</v>
      </c>
      <c r="H3699" s="28">
        <f>H3693*Inputs!$D$23</f>
        <v>9.7125000000000004</v>
      </c>
      <c r="I3699" s="28">
        <f>I3693*Inputs!$D$23</f>
        <v>0</v>
      </c>
      <c r="J3699" s="28">
        <f>J3693*Inputs!$D$23</f>
        <v>0</v>
      </c>
      <c r="K3699" s="28">
        <f>K3693*Inputs!$D$23</f>
        <v>0</v>
      </c>
      <c r="L3699" s="28">
        <f>L3693*Inputs!$D$23</f>
        <v>0</v>
      </c>
      <c r="M3699" s="28">
        <f>M3693*Inputs!$D$23</f>
        <v>0</v>
      </c>
    </row>
    <row r="3700" spans="2:13" ht="15" customHeight="1" x14ac:dyDescent="0.2">
      <c r="B3700" s="3" t="s">
        <v>901</v>
      </c>
      <c r="C3700" s="10" t="s">
        <v>896</v>
      </c>
      <c r="D3700" s="28">
        <f>(D3695*$D$3713*(Inputs!$D$7-Inputs!$D$19)-D3699)/(Inputs!$D$7+$D$3714)^D3688</f>
        <v>40.99699201112098</v>
      </c>
      <c r="E3700" s="28">
        <f>(E3695*$D$3713*(Inputs!$D$7-Inputs!$D$19)-E3699)/(Inputs!$D$7+$D$3714)^E3688</f>
        <v>153.02781912726542</v>
      </c>
      <c r="F3700" s="28">
        <f>(F3695*$D$3713*(Inputs!$D$7-Inputs!$D$19)-F3699)/(Inputs!$D$7+$D$3714)^F3688</f>
        <v>268.8019226843403</v>
      </c>
      <c r="G3700" s="28">
        <f>(G3695*$D$3713*(Inputs!$D$7-Inputs!$D$19)-G3699)/(Inputs!$D$7+$D$3714)^G3688</f>
        <v>363.62824610263397</v>
      </c>
      <c r="H3700" s="28">
        <f>(H3695*$D$3713*(Inputs!$D$7-Inputs!$D$19)-H3699)/(Inputs!$D$7+$D$3714)^H3688</f>
        <v>435.07807528321291</v>
      </c>
      <c r="I3700" s="28">
        <f>(I3695*$D$3713*(Inputs!$D$7-Inputs!$D$19)-I3699)/(Inputs!$D$7+$D$3714)^I3688</f>
        <v>431.49711827119876</v>
      </c>
      <c r="J3700" s="28">
        <f>(J3695*$D$3713*(Inputs!$D$7-Inputs!$D$19)-J3699)/(Inputs!$D$7+$D$3714)^J3688</f>
        <v>372.01806500733016</v>
      </c>
      <c r="K3700" s="28">
        <f>(K3695*$D$3713*(Inputs!$D$7-Inputs!$D$19)-K3699)/(Inputs!$D$7+$D$3714)^K3688</f>
        <v>320.73780989845312</v>
      </c>
      <c r="L3700" s="28">
        <f>(L3695*$D$3713*(Inputs!$D$7-Inputs!$D$19)-L3699)/(Inputs!$D$7+$D$3714)^L3688</f>
        <v>276.52620228651875</v>
      </c>
      <c r="M3700" s="28">
        <f>(M3695*$D$3713*(Inputs!$D$7-Inputs!$D$19)-M3699)/(Inputs!$D$7+$D$3714)^M3688</f>
        <v>238.31201718226143</v>
      </c>
    </row>
    <row r="3701" spans="2:13" ht="15" customHeight="1" x14ac:dyDescent="0.2">
      <c r="B3701" s="10" t="s">
        <v>902</v>
      </c>
      <c r="C3701" s="10" t="s">
        <v>110</v>
      </c>
      <c r="D3701" s="16">
        <f>(D3696*Inputs!$D$19-D3697-D3698)/(Inputs!$D$7+$D$3714)^D3688</f>
        <v>-6403.0045740313244</v>
      </c>
      <c r="E3701" s="16">
        <f>(E3696*Inputs!$D$19-E3697-E3698)/(Inputs!$D$7+$D$3714)^E3688</f>
        <v>-13349.632212764713</v>
      </c>
      <c r="F3701" s="16">
        <f>(F3696*Inputs!$D$19-F3697-F3698)/(Inputs!$D$7+$D$3714)^F3688</f>
        <v>-11808.370082432088</v>
      </c>
      <c r="G3701" s="16">
        <f>(G3696*Inputs!$D$19-G3697-G3698)/(Inputs!$D$7+$D$3714)^G3688</f>
        <v>-12397.921878440668</v>
      </c>
      <c r="H3701" s="16">
        <f>(H3696*Inputs!$D$19-H3697-H3698)/(Inputs!$D$7+$D$3714)^H3688</f>
        <v>-12082.366885213038</v>
      </c>
      <c r="I3701" s="16">
        <f>(I3696*Inputs!$D$19-I3697-I3698)/(Inputs!$D$7+$D$3714)^I3688</f>
        <v>-4657.0743222469628</v>
      </c>
      <c r="J3701" s="16">
        <f>(J3696*Inputs!$D$19-J3697-J3698)/(Inputs!$D$7+$D$3714)^J3688</f>
        <v>-4672.9398284057479</v>
      </c>
      <c r="K3701" s="16">
        <f>(K3696*Inputs!$D$19-K3697-K3698)/(Inputs!$D$7+$D$3714)^K3688</f>
        <v>-5718.9047268503064</v>
      </c>
      <c r="L3701" s="16">
        <f>(L3696*Inputs!$D$19-L3697-L3698)/(Inputs!$D$7+$D$3714)^L3688</f>
        <v>-6162.7485564592316</v>
      </c>
      <c r="M3701" s="16">
        <f>(M3696*Inputs!$D$19-M3697-M3698)/(Inputs!$D$7+$D$3714)^M3688</f>
        <v>-2572.0606903447429</v>
      </c>
    </row>
    <row r="3702" spans="2:13" ht="15" customHeight="1" x14ac:dyDescent="0.2">
      <c r="B3702" s="10" t="s">
        <v>903</v>
      </c>
      <c r="C3702" s="10" t="s">
        <v>110</v>
      </c>
      <c r="D3702" s="16">
        <f t="shared" ref="D3702:M3702" si="805">D3695*$D$3712</f>
        <v>2349.267054646114</v>
      </c>
      <c r="E3702" s="16">
        <f t="shared" si="805"/>
        <v>9900.5621215205556</v>
      </c>
      <c r="F3702" s="16">
        <f t="shared" si="805"/>
        <v>19819.969719264071</v>
      </c>
      <c r="G3702" s="16">
        <f t="shared" si="805"/>
        <v>30920.259173881812</v>
      </c>
      <c r="H3702" s="16">
        <f t="shared" si="805"/>
        <v>42729.077742624089</v>
      </c>
      <c r="I3702" s="16">
        <f t="shared" si="805"/>
        <v>48633.48702699523</v>
      </c>
      <c r="J3702" s="16">
        <f t="shared" si="805"/>
        <v>48633.48702699523</v>
      </c>
      <c r="K3702" s="16">
        <f t="shared" si="805"/>
        <v>48633.48702699523</v>
      </c>
      <c r="L3702" s="16">
        <f t="shared" si="805"/>
        <v>48633.48702699523</v>
      </c>
      <c r="M3702" s="16">
        <f t="shared" si="805"/>
        <v>48633.48702699523</v>
      </c>
    </row>
    <row r="3703" spans="2:13" ht="15" customHeight="1" x14ac:dyDescent="0.2">
      <c r="B3703" s="10" t="s">
        <v>904</v>
      </c>
      <c r="C3703" s="10" t="s">
        <v>110</v>
      </c>
      <c r="D3703" s="16">
        <f t="shared" ref="D3703:M3703" si="806">D3702*$D$3713</f>
        <v>2114.3403491815029</v>
      </c>
      <c r="E3703" s="16">
        <f t="shared" si="806"/>
        <v>8910.5059093684995</v>
      </c>
      <c r="F3703" s="16">
        <f t="shared" si="806"/>
        <v>17837.972747337662</v>
      </c>
      <c r="G3703" s="16">
        <f t="shared" si="806"/>
        <v>27828.23325649363</v>
      </c>
      <c r="H3703" s="16">
        <f t="shared" si="806"/>
        <v>38456.169968361683</v>
      </c>
      <c r="I3703" s="16">
        <f t="shared" si="806"/>
        <v>43770.138324295709</v>
      </c>
      <c r="J3703" s="16">
        <f t="shared" si="806"/>
        <v>43770.138324295709</v>
      </c>
      <c r="K3703" s="16">
        <f t="shared" si="806"/>
        <v>43770.138324295709</v>
      </c>
      <c r="L3703" s="16">
        <f t="shared" si="806"/>
        <v>43770.138324295709</v>
      </c>
      <c r="M3703" s="16">
        <f t="shared" si="806"/>
        <v>43770.138324295709</v>
      </c>
    </row>
    <row r="3704" spans="2:13" ht="15" customHeight="1" x14ac:dyDescent="0.2">
      <c r="B3704" s="10" t="s">
        <v>905</v>
      </c>
      <c r="C3704" s="10" t="s">
        <v>110</v>
      </c>
      <c r="D3704" s="16">
        <f t="shared" ref="D3704:M3704" si="807">D3703-D3696</f>
        <v>996.13685987024883</v>
      </c>
      <c r="E3704" s="16">
        <f t="shared" si="807"/>
        <v>4198.0390620884255</v>
      </c>
      <c r="F3704" s="16">
        <f t="shared" si="807"/>
        <v>8404.0689881658436</v>
      </c>
      <c r="G3704" s="16">
        <f t="shared" si="807"/>
        <v>13110.816762585811</v>
      </c>
      <c r="H3704" s="16">
        <f t="shared" si="807"/>
        <v>18117.995246011313</v>
      </c>
      <c r="I3704" s="16">
        <f t="shared" si="807"/>
        <v>20621.58448772406</v>
      </c>
      <c r="J3704" s="16">
        <f t="shared" si="807"/>
        <v>20621.58448772406</v>
      </c>
      <c r="K3704" s="16">
        <f t="shared" si="807"/>
        <v>20621.58448772406</v>
      </c>
      <c r="L3704" s="16">
        <f t="shared" si="807"/>
        <v>20621.58448772406</v>
      </c>
      <c r="M3704" s="16">
        <f t="shared" si="807"/>
        <v>20621.58448772406</v>
      </c>
    </row>
    <row r="3705" spans="2:13" ht="15" customHeight="1" x14ac:dyDescent="0.2">
      <c r="B3705" s="10" t="s">
        <v>906</v>
      </c>
      <c r="C3705" s="10" t="s">
        <v>110</v>
      </c>
      <c r="D3705" s="16">
        <f>MAX(D3704,Inputs!$D$6)*Inputs!$D$19</f>
        <v>298.84105796107463</v>
      </c>
      <c r="E3705" s="16">
        <f>MAX(E3704,Inputs!$D$6)*Inputs!$D$19</f>
        <v>1259.4117186265275</v>
      </c>
      <c r="F3705" s="16">
        <f>MAX(F3704,Inputs!$D$6)*Inputs!$D$19</f>
        <v>2521.2206964497532</v>
      </c>
      <c r="G3705" s="16">
        <f>MAX(G3704,Inputs!$D$6)*Inputs!$D$19</f>
        <v>3933.2450287757433</v>
      </c>
      <c r="H3705" s="16">
        <f>MAX(H3704,Inputs!$D$6)*Inputs!$D$19</f>
        <v>5435.3985738033934</v>
      </c>
      <c r="I3705" s="16">
        <f>MAX(I3704,Inputs!$D$6)*Inputs!$D$19</f>
        <v>6186.4753463172174</v>
      </c>
      <c r="J3705" s="16">
        <f>MAX(J3704,Inputs!$D$6)*Inputs!$D$19</f>
        <v>6186.4753463172174</v>
      </c>
      <c r="K3705" s="16">
        <f>MAX(K3704,Inputs!$D$6)*Inputs!$D$19</f>
        <v>6186.4753463172174</v>
      </c>
      <c r="L3705" s="16">
        <f>MAX(L3704,Inputs!$D$6)*Inputs!$D$19</f>
        <v>6186.4753463172174</v>
      </c>
      <c r="M3705" s="16">
        <f>MAX(M3704,Inputs!$D$6)*Inputs!$D$19</f>
        <v>6186.4753463172174</v>
      </c>
    </row>
    <row r="3706" spans="2:13" ht="15" customHeight="1" x14ac:dyDescent="0.2">
      <c r="B3706" s="10" t="s">
        <v>907</v>
      </c>
      <c r="C3706" s="10" t="s">
        <v>110</v>
      </c>
      <c r="D3706" s="16">
        <f t="shared" ref="D3706:M3706" si="808">D3699*$D$3712</f>
        <v>94.470548549938243</v>
      </c>
      <c r="E3706" s="16">
        <f t="shared" si="808"/>
        <v>236.17637137484567</v>
      </c>
      <c r="F3706" s="16">
        <f t="shared" si="808"/>
        <v>259.79400851233009</v>
      </c>
      <c r="G3706" s="16">
        <f t="shared" si="808"/>
        <v>295.22046421855703</v>
      </c>
      <c r="H3706" s="16">
        <f t="shared" si="808"/>
        <v>295.22046421855703</v>
      </c>
      <c r="I3706" s="16">
        <f t="shared" si="808"/>
        <v>0</v>
      </c>
      <c r="J3706" s="16">
        <f t="shared" si="808"/>
        <v>0</v>
      </c>
      <c r="K3706" s="16">
        <f t="shared" si="808"/>
        <v>0</v>
      </c>
      <c r="L3706" s="16">
        <f t="shared" si="808"/>
        <v>0</v>
      </c>
      <c r="M3706" s="16">
        <f t="shared" si="808"/>
        <v>0</v>
      </c>
    </row>
    <row r="3707" spans="2:13" ht="15" customHeight="1" x14ac:dyDescent="0.2">
      <c r="B3707" s="10" t="s">
        <v>908</v>
      </c>
      <c r="C3707" s="10" t="s">
        <v>110</v>
      </c>
      <c r="D3707" s="16">
        <f t="shared" ref="D3707:M3707" si="809">D3703-D3705-D3697-D3698-D3706</f>
        <v>-5733.8445477209152</v>
      </c>
      <c r="E3707" s="16">
        <f t="shared" si="809"/>
        <v>-11222.265406611392</v>
      </c>
      <c r="F3707" s="16">
        <f t="shared" si="809"/>
        <v>-5443.9435062007833</v>
      </c>
      <c r="G3707" s="16">
        <f t="shared" si="809"/>
        <v>-2334.7161175409847</v>
      </c>
      <c r="H3707" s="16">
        <f t="shared" si="809"/>
        <v>2299.5770549563531</v>
      </c>
      <c r="I3707" s="16">
        <f t="shared" si="809"/>
        <v>19759.925870702904</v>
      </c>
      <c r="J3707" s="16">
        <f t="shared" si="809"/>
        <v>17977.552159975352</v>
      </c>
      <c r="K3707" s="16">
        <f t="shared" si="809"/>
        <v>12665.986745316841</v>
      </c>
      <c r="L3707" s="16">
        <f t="shared" si="809"/>
        <v>8174.4967509737835</v>
      </c>
      <c r="M3707" s="16">
        <f t="shared" si="809"/>
        <v>19759.925870702904</v>
      </c>
    </row>
    <row r="3708" spans="2:13" ht="15" customHeight="1" x14ac:dyDescent="0.2">
      <c r="B3708" s="10" t="s">
        <v>909</v>
      </c>
      <c r="C3708" s="10" t="s">
        <v>110</v>
      </c>
      <c r="D3708" s="16">
        <f>D3707/(Inputs!$D$7+$D$3714)^D3688</f>
        <v>-5156.86289958215</v>
      </c>
      <c r="E3708" s="16">
        <f>E3707/(Inputs!$D$7+$D$3714)^E3688</f>
        <v>-8698.2094275801883</v>
      </c>
      <c r="F3708" s="16">
        <f>F3707/(Inputs!$D$7+$D$3714)^F3688</f>
        <v>-3637.8858201194366</v>
      </c>
      <c r="G3708" s="16">
        <f>G3707/(Inputs!$D$7+$D$3714)^G3688</f>
        <v>-1345.1033850147417</v>
      </c>
      <c r="H3708" s="16">
        <f>H3707/(Inputs!$D$7+$D$3714)^H3688</f>
        <v>1142.2355710470817</v>
      </c>
      <c r="I3708" s="16">
        <f>I3707/(Inputs!$D$7+$D$3714)^I3688</f>
        <v>8458.6816175206477</v>
      </c>
      <c r="J3708" s="16">
        <f>J3707/(Inputs!$D$7+$D$3714)^J3688</f>
        <v>6634.895008057917</v>
      </c>
      <c r="K3708" s="16">
        <f>K3707/(Inputs!$D$7+$D$3714)^K3688</f>
        <v>4030.2190961267465</v>
      </c>
      <c r="L3708" s="16">
        <f>L3707/(Inputs!$D$7+$D$3714)^L3688</f>
        <v>2242.5223632443126</v>
      </c>
      <c r="M3708" s="16">
        <f>M3707/(Inputs!$D$7+$D$3714)^M3688</f>
        <v>4671.6545571618681</v>
      </c>
    </row>
    <row r="3709" spans="2:13" ht="15" customHeight="1" x14ac:dyDescent="0.2">
      <c r="B3709" s="3" t="s">
        <v>910</v>
      </c>
      <c r="C3709" s="10" t="s">
        <v>896</v>
      </c>
      <c r="D3709" s="28">
        <f>(D3695*$D$3713-D3699)/(Inputs!$D$7+$D$3714)^D3688</f>
        <v>59.765095798928819</v>
      </c>
      <c r="E3709" s="28">
        <f>(E3695*$D$3713-E3699)/(Inputs!$D$7+$D$3714)^E3688</f>
        <v>221.1922031857838</v>
      </c>
      <c r="F3709" s="28">
        <f>(F3695*$D$3713-F3699)/(Inputs!$D$7+$D$3714)^F3688</f>
        <v>386.45052664112239</v>
      </c>
      <c r="G3709" s="28">
        <f>(G3695*$D$3713-G3699)/(Inputs!$D$7+$D$3714)^G3688</f>
        <v>521.867070169518</v>
      </c>
      <c r="H3709" s="28">
        <f>(H3695*$D$3713-H3699)/(Inputs!$D$7+$D$3714)^H3688</f>
        <v>623.60768582417222</v>
      </c>
      <c r="I3709" s="28">
        <f>(I3695*$D$3713-I3699)/(Inputs!$D$7+$D$3714)^I3688</f>
        <v>616.42445467314121</v>
      </c>
      <c r="J3709" s="28">
        <f>(J3695*$D$3713-J3699)/(Inputs!$D$7+$D$3714)^J3688</f>
        <v>531.4543785819003</v>
      </c>
      <c r="K3709" s="28">
        <f>(K3695*$D$3713-K3699)/(Inputs!$D$7+$D$3714)^K3688</f>
        <v>458.19687128350449</v>
      </c>
      <c r="L3709" s="28">
        <f>(L3695*$D$3713-L3699)/(Inputs!$D$7+$D$3714)^L3688</f>
        <v>395.03743183788401</v>
      </c>
      <c r="M3709" s="28">
        <f>(M3695*$D$3713-M3699)/(Inputs!$D$7+$D$3714)^M3688</f>
        <v>340.44573883180209</v>
      </c>
    </row>
    <row r="3710" spans="2:13" ht="15" customHeight="1" x14ac:dyDescent="0.2">
      <c r="B3710" s="10" t="s">
        <v>911</v>
      </c>
      <c r="C3710" s="10" t="s">
        <v>110</v>
      </c>
      <c r="D3710" s="16">
        <f>(-D3697-D3698)/(Inputs!$D$7+$D$3714)^D3688</f>
        <v>-6704.7090607969039</v>
      </c>
      <c r="E3710" s="16">
        <f>(-E3697-E3698)/(Inputs!$D$7+$D$3714)^E3688</f>
        <v>-14445.4009031226</v>
      </c>
      <c r="F3710" s="16">
        <f>(-F3697-F3698)/(Inputs!$D$7+$D$3714)^F3688</f>
        <v>-13699.616639717549</v>
      </c>
      <c r="G3710" s="16">
        <f>(-G3697-G3698)/(Inputs!$D$7+$D$3714)^G3688</f>
        <v>-14941.671835349038</v>
      </c>
      <c r="H3710" s="16">
        <f>(-H3697-H3698)/(Inputs!$D$7+$D$3714)^H3688</f>
        <v>-15113.052884793095</v>
      </c>
      <c r="I3710" s="16">
        <f>(-I3697-I3698)/(Inputs!$D$7+$D$3714)^I3688</f>
        <v>-7629.8523795762403</v>
      </c>
      <c r="J3710" s="16">
        <f>(-J3697-J3698)/(Inputs!$D$7+$D$3714)^J3688</f>
        <v>-7235.9398897150922</v>
      </c>
      <c r="K3710" s="16">
        <f>(-K3697-K3698)/(Inputs!$D$7+$D$3714)^K3688</f>
        <v>-7928.612006570077</v>
      </c>
      <c r="L3710" s="16">
        <f>(-L3697-L3698)/(Inputs!$D$7+$D$3714)^L3688</f>
        <v>-8067.8621519509534</v>
      </c>
      <c r="M3710" s="16">
        <f>(-M3697-M3698)/(Inputs!$D$7+$D$3714)^M3688</f>
        <v>-4213.8995473821142</v>
      </c>
    </row>
    <row r="3711" spans="2:13" ht="15" customHeight="1" x14ac:dyDescent="0.2">
      <c r="B3711" s="10" t="s">
        <v>912</v>
      </c>
      <c r="C3711" s="10" t="s">
        <v>110</v>
      </c>
      <c r="D3711" s="16">
        <f>Prices!I19</f>
        <v>30000</v>
      </c>
    </row>
    <row r="3712" spans="2:13" ht="15" customHeight="1" x14ac:dyDescent="0.2">
      <c r="B3712" s="3" t="s">
        <v>913</v>
      </c>
      <c r="C3712" s="10" t="s">
        <v>914</v>
      </c>
      <c r="D3712" s="28">
        <f>IF(J3719&gt;=J3715,J3719,(D3711-J3718)/J3717)</f>
        <v>30.39592939187202</v>
      </c>
      <c r="G3712" s="99" t="s">
        <v>915</v>
      </c>
      <c r="H3712" s="91"/>
      <c r="I3712" s="91"/>
      <c r="J3712" s="28">
        <f>D3712*Inputs!$D$15</f>
        <v>21.213319122587482</v>
      </c>
      <c r="K3712" s="99" t="s">
        <v>916</v>
      </c>
      <c r="L3712" s="91"/>
      <c r="M3712" s="91"/>
    </row>
    <row r="3713" spans="2:13" ht="15" customHeight="1" x14ac:dyDescent="0.2">
      <c r="B3713" s="10" t="s">
        <v>917</v>
      </c>
      <c r="C3713" s="10" t="s">
        <v>104</v>
      </c>
      <c r="D3713" s="30">
        <f>Inputs!$D$107</f>
        <v>0.9</v>
      </c>
      <c r="G3713" s="99" t="s">
        <v>918</v>
      </c>
      <c r="H3713" s="91"/>
      <c r="I3713" s="91"/>
      <c r="J3713" s="28">
        <f>IF(-D3724/D3723&gt;=J3715,-D3724/D3723,-J3718/J3717)</f>
        <v>24.024174528419383</v>
      </c>
      <c r="K3713" s="99" t="s">
        <v>919</v>
      </c>
      <c r="L3713" s="91"/>
      <c r="M3713" s="91"/>
    </row>
    <row r="3714" spans="2:13" ht="15" customHeight="1" x14ac:dyDescent="0.2">
      <c r="B3714" s="10" t="s">
        <v>920</v>
      </c>
      <c r="C3714" s="10" t="s">
        <v>104</v>
      </c>
      <c r="D3714" s="30">
        <f>Inputs!$D$108</f>
        <v>0.16</v>
      </c>
      <c r="G3714" s="99" t="s">
        <v>918</v>
      </c>
      <c r="H3714" s="91"/>
      <c r="I3714" s="91"/>
      <c r="J3714" s="28">
        <f>J3713*Inputs!$D$15</f>
        <v>16.766471403383886</v>
      </c>
      <c r="K3714" s="99" t="s">
        <v>916</v>
      </c>
      <c r="L3714" s="91"/>
      <c r="M3714" s="91"/>
    </row>
    <row r="3715" spans="2:13" ht="15" customHeight="1" x14ac:dyDescent="0.2">
      <c r="B3715" s="3" t="s">
        <v>921</v>
      </c>
      <c r="C3715" s="10" t="s">
        <v>848</v>
      </c>
      <c r="D3715" s="28">
        <f>Capital!$D$13</f>
        <v>57.347931490590682</v>
      </c>
      <c r="G3715" s="99" t="s">
        <v>922</v>
      </c>
      <c r="H3715" s="91"/>
      <c r="I3715" s="91"/>
      <c r="J3715" s="28">
        <f>($D$3715/Inputs!$D$21+$D$3716/Inputs!$D$22)/$D$3713</f>
        <v>16.07538460873031</v>
      </c>
      <c r="K3715" s="99" t="s">
        <v>919</v>
      </c>
      <c r="L3715" s="91"/>
      <c r="M3715" s="91"/>
    </row>
    <row r="3716" spans="2:13" ht="15" customHeight="1" x14ac:dyDescent="0.2">
      <c r="B3716" s="3" t="s">
        <v>923</v>
      </c>
      <c r="C3716" s="10" t="s">
        <v>848</v>
      </c>
      <c r="D3716" s="28">
        <f>Capital!$D$14</f>
        <v>2.6172655041921802</v>
      </c>
    </row>
    <row r="3717" spans="2:13" ht="15" customHeight="1" x14ac:dyDescent="0.2">
      <c r="B3717" s="10" t="s">
        <v>924</v>
      </c>
      <c r="C3717" s="10" t="s">
        <v>896</v>
      </c>
      <c r="D3717" s="28">
        <f>(M3690*(Inputs!$D$7+Inputs!$D$20)*$D$3713*(Inputs!$D$7-Inputs!$D$19)-M3690*Inputs!$D$20*Inputs!$D$23)/($D$3714-Inputs!$D$20)/(Inputs!$D$7+$D$3714)^M3688</f>
        <v>1807.6547922951956</v>
      </c>
      <c r="G3717" s="92" t="s">
        <v>910</v>
      </c>
      <c r="H3717" s="91"/>
      <c r="I3717" s="91"/>
      <c r="J3717" s="28">
        <f>SUM(D3709:M3709)+(M3690*(Inputs!$D$7+Inputs!$D$20)*$D$3713-M3690*Inputs!$D$20*Inputs!$D$23)/($D$3714-Inputs!$D$20)/(Inputs!$D$7+$D$3714)^M3688</f>
        <v>6737.5559875731687</v>
      </c>
      <c r="K3717" s="99" t="s">
        <v>896</v>
      </c>
      <c r="L3717" s="91"/>
      <c r="M3717" s="91"/>
    </row>
    <row r="3718" spans="2:13" ht="15" customHeight="1" x14ac:dyDescent="0.2">
      <c r="B3718" s="10" t="s">
        <v>925</v>
      </c>
      <c r="C3718" s="10" t="s">
        <v>110</v>
      </c>
      <c r="D3718" s="16">
        <f>(D3721*Inputs!$D$19-D3721-D3722)/($D$3714-Inputs!$D$20)/(Inputs!$D$7+$D$3714)^M3688</f>
        <v>-33287.494112345899</v>
      </c>
      <c r="G3718" s="92" t="s">
        <v>926</v>
      </c>
      <c r="H3718" s="91"/>
      <c r="I3718" s="91"/>
      <c r="J3718" s="16">
        <f>SUM(D3710:M3710)-(D3721+D3722)/($D$3714-Inputs!$D$20)/(Inputs!$D$7+$D$3714)^M3688</f>
        <v>-145733.9249554922</v>
      </c>
      <c r="K3718" s="99" t="s">
        <v>110</v>
      </c>
      <c r="L3718" s="91"/>
      <c r="M3718" s="91"/>
    </row>
    <row r="3719" spans="2:13" ht="15" customHeight="1" x14ac:dyDescent="0.2">
      <c r="B3719" s="10" t="s">
        <v>927</v>
      </c>
      <c r="C3719" s="10" t="s">
        <v>928</v>
      </c>
      <c r="D3719" s="16">
        <f>(M3690*(Inputs!$D$7+Inputs!$D$20)*$D$3712*$D$3713-D3721)-MAX((M3690*(Inputs!$D$7+Inputs!$D$20)*$D$3712*$D$3713-D3721),Inputs!$D$6)*Inputs!$D$19-D3722-M3690*Inputs!$D$20*$D$3712*Inputs!$D$23</f>
        <v>12366.983060758825</v>
      </c>
      <c r="G3719" s="99" t="s">
        <v>929</v>
      </c>
      <c r="H3719" s="91"/>
      <c r="I3719" s="91"/>
      <c r="J3719" s="28">
        <f>(D3711-D3724)/D3723</f>
        <v>30.39592939187202</v>
      </c>
      <c r="K3719" s="99" t="s">
        <v>919</v>
      </c>
      <c r="L3719" s="91"/>
      <c r="M3719" s="91"/>
    </row>
    <row r="3720" spans="2:13" ht="15" customHeight="1" x14ac:dyDescent="0.2">
      <c r="B3720" s="10" t="s">
        <v>930</v>
      </c>
      <c r="C3720" s="10" t="s">
        <v>110</v>
      </c>
      <c r="D3720" s="16">
        <f>D3719/($D$3714-Inputs!$D$20)</f>
        <v>91607.281931546837</v>
      </c>
      <c r="G3720" s="99" t="s">
        <v>931</v>
      </c>
      <c r="H3720" s="91"/>
      <c r="I3720" s="91"/>
      <c r="J3720" s="16">
        <f>MIN(D3704:M3704,(M3690*(Inputs!$D$7+Inputs!$D$20)*$D$3712*$D$3713-D3721))</f>
        <v>996.13685987024883</v>
      </c>
      <c r="K3720" s="99" t="s">
        <v>110</v>
      </c>
      <c r="L3720" s="91"/>
      <c r="M3720" s="91"/>
    </row>
    <row r="3721" spans="2:13" ht="15" customHeight="1" x14ac:dyDescent="0.2">
      <c r="B3721" s="10" t="s">
        <v>932</v>
      </c>
      <c r="C3721" s="10" t="s">
        <v>928</v>
      </c>
      <c r="D3721" s="16">
        <f>M3690*(Inputs!$D$7+Inputs!$D$20)*($D$3715/Inputs!$D$21+$D$3716/Inputs!$D$22)</f>
        <v>23727.267682485937</v>
      </c>
      <c r="G3721" s="99" t="s">
        <v>933</v>
      </c>
      <c r="H3721" s="91"/>
      <c r="I3721" s="91"/>
      <c r="J3721" s="31" t="str">
        <f>IF(J3720&lt;Inputs!$D$6,"breached","satisfied")</f>
        <v>satisfied</v>
      </c>
      <c r="K3721" s="99" t="s">
        <v>934</v>
      </c>
      <c r="L3721" s="91"/>
      <c r="M3721" s="91"/>
    </row>
    <row r="3722" spans="2:13" ht="15" customHeight="1" x14ac:dyDescent="0.2">
      <c r="B3722" s="10" t="s">
        <v>935</v>
      </c>
      <c r="C3722" s="10" t="s">
        <v>928</v>
      </c>
      <c r="D3722" s="16">
        <f>M3690*Inputs!$D$20*($D$3715+$D$3716)</f>
        <v>2398.6078797913146</v>
      </c>
    </row>
    <row r="3723" spans="2:13" ht="15" customHeight="1" x14ac:dyDescent="0.2">
      <c r="B3723" s="10" t="s">
        <v>936</v>
      </c>
      <c r="C3723" s="10" t="s">
        <v>896</v>
      </c>
      <c r="D3723" s="28">
        <f>SUM(D3700:M3700)+D3717</f>
        <v>4708.2790601495317</v>
      </c>
      <c r="G3723" s="99" t="s">
        <v>937</v>
      </c>
      <c r="H3723" s="91"/>
      <c r="I3723" s="91"/>
      <c r="J3723" s="16">
        <f>D3725-D3711</f>
        <v>0</v>
      </c>
      <c r="K3723" s="99" t="s">
        <v>110</v>
      </c>
      <c r="L3723" s="91"/>
      <c r="M3723" s="91"/>
    </row>
    <row r="3724" spans="2:13" ht="15" customHeight="1" x14ac:dyDescent="0.2">
      <c r="B3724" s="10" t="s">
        <v>938</v>
      </c>
      <c r="C3724" s="10" t="s">
        <v>110</v>
      </c>
      <c r="D3724" s="16">
        <f>SUM(D3701:M3701)+D3718</f>
        <v>-113112.51786953473</v>
      </c>
    </row>
    <row r="3725" spans="2:13" ht="15" customHeight="1" x14ac:dyDescent="0.2">
      <c r="B3725" s="10" t="s">
        <v>939</v>
      </c>
      <c r="C3725" s="10" t="s">
        <v>110</v>
      </c>
      <c r="D3725" s="16">
        <f>SUM(D3708:M3708)+D3720/(Inputs!$D$7+$D$3714)^M3688</f>
        <v>30000.000000000007</v>
      </c>
    </row>
    <row r="3726" spans="2:13" ht="15" customHeight="1" x14ac:dyDescent="0.2">
      <c r="B3726" s="10" t="s">
        <v>940</v>
      </c>
      <c r="C3726" s="10" t="s">
        <v>104</v>
      </c>
      <c r="D3726" s="30">
        <f>IF(ABS(D3711)&gt;Inputs!$D$6,D3725/D3711-Inputs!$D$7,Inputs!$D$6)</f>
        <v>2.2204460492503131E-16</v>
      </c>
    </row>
    <row r="3727" spans="2:13" ht="15" customHeight="1" x14ac:dyDescent="0.2">
      <c r="B3727" s="10" t="s">
        <v>941</v>
      </c>
      <c r="C3727" s="10" t="s">
        <v>104</v>
      </c>
      <c r="D3727" s="30">
        <f>IF(ABS(D3725)&gt;Inputs!$D$119,D3720/(Inputs!$D$7+$D$3714)^M3688/D3725,Inputs!$D$6)</f>
        <v>0.7219284439712651</v>
      </c>
    </row>
    <row r="3728" spans="2:13" ht="15" customHeight="1" x14ac:dyDescent="0.2">
      <c r="B3728" s="10" t="s">
        <v>942</v>
      </c>
      <c r="C3728" s="10" t="s">
        <v>943</v>
      </c>
      <c r="D3728" s="26">
        <f>$D$3712*Inputs!$D$8/Prices!$P$6/(Inputs!$D$26/Inputs!$D$25)/Inputs!$D$11/Inputs!$D$56</f>
        <v>5.5275920882263385</v>
      </c>
    </row>
    <row r="3732" spans="1:13" ht="15" customHeight="1" x14ac:dyDescent="0.2">
      <c r="A3732" s="104" t="s">
        <v>1024</v>
      </c>
      <c r="B3732" s="10" t="s">
        <v>886</v>
      </c>
      <c r="C3732" s="10" t="s">
        <v>107</v>
      </c>
      <c r="D3732" s="28">
        <f>Inputs!$D$60</f>
        <v>1</v>
      </c>
      <c r="E3732" s="28">
        <f>Inputs!$D$62</f>
        <v>2</v>
      </c>
      <c r="F3732" s="28">
        <f>Inputs!$D$64</f>
        <v>3</v>
      </c>
      <c r="G3732" s="28">
        <f>Inputs!$D$66</f>
        <v>4</v>
      </c>
      <c r="H3732" s="28">
        <f>Inputs!$D$68</f>
        <v>5</v>
      </c>
      <c r="I3732" s="28">
        <f>Inputs!$D$70</f>
        <v>6</v>
      </c>
      <c r="J3732" s="28">
        <f>Inputs!$D$72</f>
        <v>7</v>
      </c>
      <c r="K3732" s="28">
        <f>Inputs!$D$74</f>
        <v>8</v>
      </c>
      <c r="L3732" s="28">
        <f>Inputs!$D$76</f>
        <v>9</v>
      </c>
      <c r="M3732" s="28">
        <f>Inputs!$D$78</f>
        <v>10</v>
      </c>
    </row>
    <row r="3733" spans="1:13" ht="15" customHeight="1" x14ac:dyDescent="0.2">
      <c r="A3733" s="91"/>
      <c r="B3733" s="10" t="s">
        <v>887</v>
      </c>
      <c r="C3733" s="10" t="s">
        <v>161</v>
      </c>
      <c r="D3733" s="29">
        <f>Inputs!$D$61</f>
        <v>46568</v>
      </c>
      <c r="E3733" s="29">
        <f>Inputs!$D$63</f>
        <v>46934</v>
      </c>
      <c r="F3733" s="29">
        <f>Inputs!$D$65</f>
        <v>47299</v>
      </c>
      <c r="G3733" s="29">
        <f>Inputs!$D$67</f>
        <v>47664</v>
      </c>
      <c r="H3733" s="29">
        <f>Inputs!$D$69</f>
        <v>48029</v>
      </c>
      <c r="I3733" s="29">
        <f>Inputs!$D$71</f>
        <v>48395</v>
      </c>
      <c r="J3733" s="29">
        <f>Inputs!$D$73</f>
        <v>48760</v>
      </c>
      <c r="K3733" s="29">
        <f>Inputs!$D$75</f>
        <v>49125</v>
      </c>
      <c r="L3733" s="29">
        <f>Inputs!$D$77</f>
        <v>49490</v>
      </c>
      <c r="M3733" s="29">
        <f>Inputs!$D$79</f>
        <v>49856</v>
      </c>
    </row>
    <row r="3734" spans="1:13" ht="15" customHeight="1" x14ac:dyDescent="0.2">
      <c r="A3734" s="91"/>
      <c r="B3734" s="10" t="s">
        <v>888</v>
      </c>
      <c r="C3734" s="10" t="s">
        <v>107</v>
      </c>
      <c r="D3734" s="28">
        <f>(D3733-Inputs!$D$13)/Inputs!$D$10</f>
        <v>0.71457905544147848</v>
      </c>
      <c r="E3734" s="28">
        <f>(E3733-Inputs!$D$13)/Inputs!$D$10</f>
        <v>1.7166324435318274</v>
      </c>
      <c r="F3734" s="28">
        <f>(F3733-Inputs!$D$13)/Inputs!$D$10</f>
        <v>2.7159479808350446</v>
      </c>
      <c r="G3734" s="28">
        <f>(G3733-Inputs!$D$13)/Inputs!$D$10</f>
        <v>3.7152635181382614</v>
      </c>
      <c r="H3734" s="28">
        <f>(H3733-Inputs!$D$13)/Inputs!$D$10</f>
        <v>4.7145790554414786</v>
      </c>
      <c r="I3734" s="28">
        <f>(I3733-Inputs!$D$13)/Inputs!$D$10</f>
        <v>5.7166324435318279</v>
      </c>
      <c r="J3734" s="28">
        <f>(J3733-Inputs!$D$13)/Inputs!$D$10</f>
        <v>6.7159479808350442</v>
      </c>
      <c r="K3734" s="28">
        <f>(K3733-Inputs!$D$13)/Inputs!$D$10</f>
        <v>7.7152635181382614</v>
      </c>
      <c r="L3734" s="28">
        <f>(L3733-Inputs!$D$13)/Inputs!$D$10</f>
        <v>8.7145790554414777</v>
      </c>
      <c r="M3734" s="28">
        <f>(M3733-Inputs!$D$13)/Inputs!$D$10</f>
        <v>9.716632443531827</v>
      </c>
    </row>
    <row r="3735" spans="1:13" ht="15" customHeight="1" x14ac:dyDescent="0.2">
      <c r="A3735" s="91"/>
      <c r="B3735" s="10" t="s">
        <v>889</v>
      </c>
      <c r="C3735" s="10" t="s">
        <v>107</v>
      </c>
      <c r="D3735" s="28">
        <f>D3734</f>
        <v>0.71457905544147848</v>
      </c>
      <c r="E3735" s="28">
        <f>Inputs!$D$7</f>
        <v>1</v>
      </c>
      <c r="F3735" s="28">
        <f>Inputs!$D$7</f>
        <v>1</v>
      </c>
      <c r="G3735" s="28">
        <f>Inputs!$D$7</f>
        <v>1</v>
      </c>
      <c r="H3735" s="28">
        <f>Inputs!$D$7</f>
        <v>1</v>
      </c>
      <c r="I3735" s="28">
        <f>Inputs!$D$7</f>
        <v>1</v>
      </c>
      <c r="J3735" s="28">
        <f>Inputs!$D$7</f>
        <v>1</v>
      </c>
      <c r="K3735" s="28">
        <f>Inputs!$D$7</f>
        <v>1</v>
      </c>
      <c r="L3735" s="28">
        <f>Inputs!$D$7</f>
        <v>1</v>
      </c>
      <c r="M3735" s="28">
        <f>Inputs!$D$7</f>
        <v>1</v>
      </c>
    </row>
    <row r="3736" spans="1:13" ht="15" customHeight="1" x14ac:dyDescent="0.2">
      <c r="A3736" s="91"/>
      <c r="B3736" s="3" t="s">
        <v>890</v>
      </c>
      <c r="C3736" s="10" t="s">
        <v>199</v>
      </c>
      <c r="D3736" s="28">
        <f>Inputs!$D$24+(Inputs!$D$80-Inputs!$D$24)*Inputs!$D$83</f>
        <v>305.5</v>
      </c>
      <c r="E3736" s="28">
        <f>Inputs!$D$24+(Inputs!$D$80-Inputs!$D$24)*Inputs!$D$84</f>
        <v>651.5</v>
      </c>
      <c r="F3736" s="28">
        <f>Inputs!$D$24+(Inputs!$D$80-Inputs!$D$24)*Inputs!$D$85</f>
        <v>911</v>
      </c>
      <c r="G3736" s="28">
        <f>Inputs!$D$24+(Inputs!$D$80-Inputs!$D$24)*Inputs!$D$86</f>
        <v>911</v>
      </c>
      <c r="H3736" s="28">
        <f>Inputs!$D$24+(Inputs!$D$80-Inputs!$D$24)*Inputs!$D$87</f>
        <v>911</v>
      </c>
      <c r="I3736" s="28">
        <f>Inputs!$D$24+(Inputs!$D$80-Inputs!$D$24)*Inputs!$D$88</f>
        <v>911</v>
      </c>
      <c r="J3736" s="28">
        <f>Inputs!$D$24+(Inputs!$D$80-Inputs!$D$24)*Inputs!$D$89</f>
        <v>911</v>
      </c>
      <c r="K3736" s="28">
        <f>Inputs!$D$24+(Inputs!$D$80-Inputs!$D$24)*Inputs!$D$90</f>
        <v>911</v>
      </c>
      <c r="L3736" s="28">
        <f>Inputs!$D$24+(Inputs!$D$80-Inputs!$D$24)*Inputs!$D$91</f>
        <v>911</v>
      </c>
      <c r="M3736" s="28">
        <f>Inputs!$D$24+(Inputs!$D$80-Inputs!$D$24)*Inputs!$D$92</f>
        <v>911</v>
      </c>
    </row>
    <row r="3737" spans="1:13" ht="15" customHeight="1" x14ac:dyDescent="0.2">
      <c r="A3737" s="91"/>
      <c r="B3737" s="10" t="s">
        <v>891</v>
      </c>
      <c r="C3737" s="10" t="s">
        <v>199</v>
      </c>
      <c r="D3737" s="28">
        <f>Inputs!$D$24</f>
        <v>46</v>
      </c>
      <c r="E3737" s="28">
        <f t="shared" ref="E3737:M3737" si="810">D3736</f>
        <v>305.5</v>
      </c>
      <c r="F3737" s="28">
        <f t="shared" si="810"/>
        <v>651.5</v>
      </c>
      <c r="G3737" s="28">
        <f t="shared" si="810"/>
        <v>911</v>
      </c>
      <c r="H3737" s="28">
        <f t="shared" si="810"/>
        <v>911</v>
      </c>
      <c r="I3737" s="28">
        <f t="shared" si="810"/>
        <v>911</v>
      </c>
      <c r="J3737" s="28">
        <f t="shared" si="810"/>
        <v>911</v>
      </c>
      <c r="K3737" s="28">
        <f t="shared" si="810"/>
        <v>911</v>
      </c>
      <c r="L3737" s="28">
        <f t="shared" si="810"/>
        <v>911</v>
      </c>
      <c r="M3737" s="28">
        <f t="shared" si="810"/>
        <v>911</v>
      </c>
    </row>
    <row r="3738" spans="1:13" ht="15" customHeight="1" x14ac:dyDescent="0.2">
      <c r="B3738" s="10" t="s">
        <v>892</v>
      </c>
      <c r="C3738" s="10" t="s">
        <v>199</v>
      </c>
      <c r="D3738" s="28">
        <f>(D3737+D3736)*Inputs!$D$12</f>
        <v>175.75</v>
      </c>
      <c r="E3738" s="28">
        <f>(E3737+E3736)*Inputs!$D$12</f>
        <v>478.5</v>
      </c>
      <c r="F3738" s="28">
        <f>(F3737+F3736)*Inputs!$D$12</f>
        <v>781.25</v>
      </c>
      <c r="G3738" s="28">
        <f>(G3737+G3736)*Inputs!$D$12</f>
        <v>911</v>
      </c>
      <c r="H3738" s="28">
        <f>(H3737+H3736)*Inputs!$D$12</f>
        <v>911</v>
      </c>
      <c r="I3738" s="28">
        <f>(I3737+I3736)*Inputs!$D$12</f>
        <v>911</v>
      </c>
      <c r="J3738" s="28">
        <f>(J3737+J3736)*Inputs!$D$12</f>
        <v>911</v>
      </c>
      <c r="K3738" s="28">
        <f>(K3737+K3736)*Inputs!$D$12</f>
        <v>911</v>
      </c>
      <c r="L3738" s="28">
        <f>(L3737+L3736)*Inputs!$D$12</f>
        <v>911</v>
      </c>
      <c r="M3738" s="28">
        <f>(M3737+M3736)*Inputs!$D$12</f>
        <v>911</v>
      </c>
    </row>
    <row r="3739" spans="1:13" ht="15" customHeight="1" x14ac:dyDescent="0.2">
      <c r="B3739" s="10" t="s">
        <v>893</v>
      </c>
      <c r="C3739" s="10" t="s">
        <v>199</v>
      </c>
      <c r="D3739" s="28">
        <f t="shared" ref="D3739:M3739" si="811">D3736-D3737</f>
        <v>259.5</v>
      </c>
      <c r="E3739" s="28">
        <f t="shared" si="811"/>
        <v>346</v>
      </c>
      <c r="F3739" s="28">
        <f t="shared" si="811"/>
        <v>259.5</v>
      </c>
      <c r="G3739" s="28">
        <f t="shared" si="811"/>
        <v>0</v>
      </c>
      <c r="H3739" s="28">
        <f t="shared" si="811"/>
        <v>0</v>
      </c>
      <c r="I3739" s="28">
        <f t="shared" si="811"/>
        <v>0</v>
      </c>
      <c r="J3739" s="28">
        <f t="shared" si="811"/>
        <v>0</v>
      </c>
      <c r="K3739" s="28">
        <f t="shared" si="811"/>
        <v>0</v>
      </c>
      <c r="L3739" s="28">
        <f t="shared" si="811"/>
        <v>0</v>
      </c>
      <c r="M3739" s="28">
        <f t="shared" si="811"/>
        <v>0</v>
      </c>
    </row>
    <row r="3740" spans="1:13" ht="15" customHeight="1" x14ac:dyDescent="0.2">
      <c r="B3740" s="10" t="s">
        <v>894</v>
      </c>
      <c r="C3740" s="10" t="s">
        <v>199</v>
      </c>
      <c r="D3740" s="28">
        <f>IF(MOD(D3732,Inputs!$D$21)=Inputs!$D$6,Inputs!$D$24,Inputs!$D$6)+SUMPRODUCT(--(D3732&gt;$D$3732:$M$3732),--(MOD(D3732-$D$3732:$M$3732,Inputs!$D$21)=Inputs!$D$6),$D$3739:$M$3739)</f>
        <v>0</v>
      </c>
      <c r="E3740" s="28">
        <f>IF(MOD(E3732,Inputs!$D$21)=Inputs!$D$6,Inputs!$D$24,Inputs!$D$6)+SUMPRODUCT(--(E3732&gt;$D$3732:$M$3732),--(MOD(E3732-$D$3732:$M$3732,Inputs!$D$21)=Inputs!$D$6),$D$3739:$M$3739)</f>
        <v>0</v>
      </c>
      <c r="F3740" s="28">
        <f>IF(MOD(F3732,Inputs!$D$21)=Inputs!$D$6,Inputs!$D$24,Inputs!$D$6)+SUMPRODUCT(--(F3732&gt;$D$3732:$M$3732),--(MOD(F3732-$D$3732:$M$3732,Inputs!$D$21)=Inputs!$D$6),$D$3739:$M$3739)</f>
        <v>0</v>
      </c>
      <c r="G3740" s="28">
        <f>IF(MOD(G3732,Inputs!$D$21)=Inputs!$D$6,Inputs!$D$24,Inputs!$D$6)+SUMPRODUCT(--(G3732&gt;$D$3732:$M$3732),--(MOD(G3732-$D$3732:$M$3732,Inputs!$D$21)=Inputs!$D$6),$D$3739:$M$3739)</f>
        <v>46</v>
      </c>
      <c r="H3740" s="28">
        <f>IF(MOD(H3732,Inputs!$D$21)=Inputs!$D$6,Inputs!$D$24,Inputs!$D$6)+SUMPRODUCT(--(H3732&gt;$D$3732:$M$3732),--(MOD(H3732-$D$3732:$M$3732,Inputs!$D$21)=Inputs!$D$6),$D$3739:$M$3739)</f>
        <v>259.5</v>
      </c>
      <c r="I3740" s="28">
        <f>IF(MOD(I3732,Inputs!$D$21)=Inputs!$D$6,Inputs!$D$24,Inputs!$D$6)+SUMPRODUCT(--(I3732&gt;$D$3732:$M$3732),--(MOD(I3732-$D$3732:$M$3732,Inputs!$D$21)=Inputs!$D$6),$D$3739:$M$3739)</f>
        <v>346</v>
      </c>
      <c r="J3740" s="28">
        <f>IF(MOD(J3732,Inputs!$D$21)=Inputs!$D$6,Inputs!$D$24,Inputs!$D$6)+SUMPRODUCT(--(J3732&gt;$D$3732:$M$3732),--(MOD(J3732-$D$3732:$M$3732,Inputs!$D$21)=Inputs!$D$6),$D$3739:$M$3739)</f>
        <v>259.5</v>
      </c>
      <c r="K3740" s="28">
        <f>IF(MOD(K3732,Inputs!$D$21)=Inputs!$D$6,Inputs!$D$24,Inputs!$D$6)+SUMPRODUCT(--(K3732&gt;$D$3732:$M$3732),--(MOD(K3732-$D$3732:$M$3732,Inputs!$D$21)=Inputs!$D$6),$D$3739:$M$3739)</f>
        <v>46</v>
      </c>
      <c r="L3740" s="28">
        <f>IF(MOD(L3732,Inputs!$D$21)=Inputs!$D$6,Inputs!$D$24,Inputs!$D$6)+SUMPRODUCT(--(L3732&gt;$D$3732:$M$3732),--(MOD(L3732-$D$3732:$M$3732,Inputs!$D$21)=Inputs!$D$6),$D$3739:$M$3739)</f>
        <v>259.5</v>
      </c>
      <c r="M3740" s="28">
        <f>IF(MOD(M3732,Inputs!$D$21)=Inputs!$D$6,Inputs!$D$24,Inputs!$D$6)+SUMPRODUCT(--(M3732&gt;$D$3732:$M$3732),--(MOD(M3732-$D$3732:$M$3732,Inputs!$D$21)=Inputs!$D$6),$D$3739:$M$3739)</f>
        <v>346</v>
      </c>
    </row>
    <row r="3741" spans="1:13" ht="15" customHeight="1" x14ac:dyDescent="0.2">
      <c r="B3741" s="10" t="s">
        <v>895</v>
      </c>
      <c r="C3741" s="10" t="s">
        <v>896</v>
      </c>
      <c r="D3741" s="28">
        <f t="shared" ref="D3741:M3741" si="812">D3738*D3735</f>
        <v>125.58726899383984</v>
      </c>
      <c r="E3741" s="28">
        <f t="shared" si="812"/>
        <v>478.5</v>
      </c>
      <c r="F3741" s="28">
        <f t="shared" si="812"/>
        <v>781.25</v>
      </c>
      <c r="G3741" s="28">
        <f t="shared" si="812"/>
        <v>911</v>
      </c>
      <c r="H3741" s="28">
        <f t="shared" si="812"/>
        <v>911</v>
      </c>
      <c r="I3741" s="28">
        <f t="shared" si="812"/>
        <v>911</v>
      </c>
      <c r="J3741" s="28">
        <f t="shared" si="812"/>
        <v>911</v>
      </c>
      <c r="K3741" s="28">
        <f t="shared" si="812"/>
        <v>911</v>
      </c>
      <c r="L3741" s="28">
        <f t="shared" si="812"/>
        <v>911</v>
      </c>
      <c r="M3741" s="28">
        <f t="shared" si="812"/>
        <v>911</v>
      </c>
    </row>
    <row r="3742" spans="1:13" ht="15" customHeight="1" x14ac:dyDescent="0.2">
      <c r="B3742" s="10" t="s">
        <v>897</v>
      </c>
      <c r="C3742" s="10" t="s">
        <v>110</v>
      </c>
      <c r="D3742" s="16">
        <f>D3741*($D$3761/Inputs!$D$21+$D$3762/Inputs!$D$22)</f>
        <v>1816.9772859324419</v>
      </c>
      <c r="E3742" s="16">
        <f>E3741*($D$3761/Inputs!$D$21+$D$3762/Inputs!$D$22)</f>
        <v>6922.8643817497086</v>
      </c>
      <c r="F3742" s="16">
        <f>F3741*($D$3761/Inputs!$D$21+$D$3762/Inputs!$D$22)</f>
        <v>11303.0048030135</v>
      </c>
      <c r="G3742" s="16">
        <f>G3741*($D$3761/Inputs!$D$21+$D$3762/Inputs!$D$22)</f>
        <v>13180.207840697982</v>
      </c>
      <c r="H3742" s="16">
        <f>H3741*($D$3761/Inputs!$D$21+$D$3762/Inputs!$D$22)</f>
        <v>13180.207840697982</v>
      </c>
      <c r="I3742" s="16">
        <f>I3741*($D$3761/Inputs!$D$21+$D$3762/Inputs!$D$22)</f>
        <v>13180.207840697982</v>
      </c>
      <c r="J3742" s="16">
        <f>J3741*($D$3761/Inputs!$D$21+$D$3762/Inputs!$D$22)</f>
        <v>13180.207840697982</v>
      </c>
      <c r="K3742" s="16">
        <f>K3741*($D$3761/Inputs!$D$21+$D$3762/Inputs!$D$22)</f>
        <v>13180.207840697982</v>
      </c>
      <c r="L3742" s="16">
        <f>L3741*($D$3761/Inputs!$D$21+$D$3762/Inputs!$D$22)</f>
        <v>13180.207840697982</v>
      </c>
      <c r="M3742" s="16">
        <f>M3741*($D$3761/Inputs!$D$21+$D$3762/Inputs!$D$22)</f>
        <v>13180.207840697982</v>
      </c>
    </row>
    <row r="3743" spans="1:13" ht="15" customHeight="1" x14ac:dyDescent="0.2">
      <c r="B3743" s="10" t="s">
        <v>898</v>
      </c>
      <c r="C3743" s="10" t="s">
        <v>110</v>
      </c>
      <c r="D3743" s="16">
        <f t="shared" ref="D3743:M3743" si="813">D3739*($D$3761+$D$3762)</f>
        <v>15560.968620146154</v>
      </c>
      <c r="E3743" s="16">
        <f t="shared" si="813"/>
        <v>20747.95816019487</v>
      </c>
      <c r="F3743" s="16">
        <f t="shared" si="813"/>
        <v>15560.968620146154</v>
      </c>
      <c r="G3743" s="16">
        <f t="shared" si="813"/>
        <v>0</v>
      </c>
      <c r="H3743" s="16">
        <f t="shared" si="813"/>
        <v>0</v>
      </c>
      <c r="I3743" s="16">
        <f t="shared" si="813"/>
        <v>0</v>
      </c>
      <c r="J3743" s="16">
        <f t="shared" si="813"/>
        <v>0</v>
      </c>
      <c r="K3743" s="16">
        <f t="shared" si="813"/>
        <v>0</v>
      </c>
      <c r="L3743" s="16">
        <f t="shared" si="813"/>
        <v>0</v>
      </c>
      <c r="M3743" s="16">
        <f t="shared" si="813"/>
        <v>0</v>
      </c>
    </row>
    <row r="3744" spans="1:13" ht="15" customHeight="1" x14ac:dyDescent="0.2">
      <c r="B3744" s="10" t="s">
        <v>899</v>
      </c>
      <c r="C3744" s="10" t="s">
        <v>110</v>
      </c>
      <c r="D3744" s="16">
        <f t="shared" ref="D3744:M3744" si="814">D3740*$D$3761</f>
        <v>0</v>
      </c>
      <c r="E3744" s="16">
        <f t="shared" si="814"/>
        <v>0</v>
      </c>
      <c r="F3744" s="16">
        <f t="shared" si="814"/>
        <v>0</v>
      </c>
      <c r="G3744" s="16">
        <f t="shared" si="814"/>
        <v>2638.0048485671714</v>
      </c>
      <c r="H3744" s="16">
        <f t="shared" si="814"/>
        <v>14881.788221808281</v>
      </c>
      <c r="I3744" s="16">
        <f t="shared" si="814"/>
        <v>19842.384295744378</v>
      </c>
      <c r="J3744" s="16">
        <f t="shared" si="814"/>
        <v>14881.788221808281</v>
      </c>
      <c r="K3744" s="16">
        <f t="shared" si="814"/>
        <v>2638.0048485671714</v>
      </c>
      <c r="L3744" s="16">
        <f t="shared" si="814"/>
        <v>14881.788221808281</v>
      </c>
      <c r="M3744" s="16">
        <f t="shared" si="814"/>
        <v>19842.384295744378</v>
      </c>
    </row>
    <row r="3745" spans="2:13" ht="15" customHeight="1" x14ac:dyDescent="0.2">
      <c r="B3745" s="10" t="s">
        <v>900</v>
      </c>
      <c r="C3745" s="10" t="s">
        <v>199</v>
      </c>
      <c r="D3745" s="28">
        <f>D3739*Inputs!$D$23</f>
        <v>6.4875000000000007</v>
      </c>
      <c r="E3745" s="28">
        <f>E3739*Inputs!$D$23</f>
        <v>8.65</v>
      </c>
      <c r="F3745" s="28">
        <f>F3739*Inputs!$D$23</f>
        <v>6.4875000000000007</v>
      </c>
      <c r="G3745" s="28">
        <f>G3739*Inputs!$D$23</f>
        <v>0</v>
      </c>
      <c r="H3745" s="28">
        <f>H3739*Inputs!$D$23</f>
        <v>0</v>
      </c>
      <c r="I3745" s="28">
        <f>I3739*Inputs!$D$23</f>
        <v>0</v>
      </c>
      <c r="J3745" s="28">
        <f>J3739*Inputs!$D$23</f>
        <v>0</v>
      </c>
      <c r="K3745" s="28">
        <f>K3739*Inputs!$D$23</f>
        <v>0</v>
      </c>
      <c r="L3745" s="28">
        <f>L3739*Inputs!$D$23</f>
        <v>0</v>
      </c>
      <c r="M3745" s="28">
        <f>M3739*Inputs!$D$23</f>
        <v>0</v>
      </c>
    </row>
    <row r="3746" spans="2:13" ht="15" customHeight="1" x14ac:dyDescent="0.2">
      <c r="B3746" s="3" t="s">
        <v>901</v>
      </c>
      <c r="C3746" s="10" t="s">
        <v>896</v>
      </c>
      <c r="D3746" s="28">
        <f>(D3741*$D$3759*(Inputs!$D$7-Inputs!$D$19)-D3745)/(Inputs!$D$7+$D$3760)^D3734</f>
        <v>43.213488846686175</v>
      </c>
      <c r="E3746" s="28">
        <f>(E3741*$D$3759*(Inputs!$D$7-Inputs!$D$19)-E3745)/(Inputs!$D$7+$D$3760)^E3734</f>
        <v>163.29332190458183</v>
      </c>
      <c r="F3746" s="28">
        <f>(F3741*$D$3759*(Inputs!$D$7-Inputs!$D$19)-F3745)/(Inputs!$D$7+$D$3760)^F3734</f>
        <v>248.28260771010829</v>
      </c>
      <c r="G3746" s="28">
        <f>(G3741*$D$3759*(Inputs!$D$7-Inputs!$D$19)-G3745)/(Inputs!$D$7+$D$3760)^G3734</f>
        <v>268.5238926419492</v>
      </c>
      <c r="H3746" s="28">
        <f>(H3741*$D$3759*(Inputs!$D$7-Inputs!$D$19)-H3745)/(Inputs!$D$7+$D$3760)^H3734</f>
        <v>244.12855518959191</v>
      </c>
      <c r="I3746" s="28">
        <f>(I3741*$D$3759*(Inputs!$D$7-Inputs!$D$19)-I3745)/(Inputs!$D$7+$D$3760)^I3734</f>
        <v>221.8916197826434</v>
      </c>
      <c r="J3746" s="28">
        <f>(J3741*$D$3759*(Inputs!$D$7-Inputs!$D$19)-J3745)/(Inputs!$D$7+$D$3760)^J3734</f>
        <v>201.73281421346593</v>
      </c>
      <c r="K3746" s="28">
        <f>(K3741*$D$3759*(Inputs!$D$7-Inputs!$D$19)-K3745)/(Inputs!$D$7+$D$3760)^K3734</f>
        <v>183.40543176145695</v>
      </c>
      <c r="L3746" s="28">
        <f>(L3741*$D$3759*(Inputs!$D$7-Inputs!$D$19)-L3745)/(Inputs!$D$7+$D$3760)^L3734</f>
        <v>166.74308803332551</v>
      </c>
      <c r="M3746" s="28">
        <f>(M3741*$D$3759*(Inputs!$D$7-Inputs!$D$19)-M3745)/(Inputs!$D$7+$D$3760)^M3734</f>
        <v>151.55496194429571</v>
      </c>
    </row>
    <row r="3747" spans="2:13" ht="15" customHeight="1" x14ac:dyDescent="0.2">
      <c r="B3747" s="10" t="s">
        <v>902</v>
      </c>
      <c r="C3747" s="10" t="s">
        <v>110</v>
      </c>
      <c r="D3747" s="16">
        <f>(D3742*Inputs!$D$19-D3743-D3744)/(Inputs!$D$7+$D$3760)^D3734</f>
        <v>-14027.24269342025</v>
      </c>
      <c r="E3747" s="16">
        <f>(E3742*Inputs!$D$19-E3743-E3744)/(Inputs!$D$7+$D$3760)^E3734</f>
        <v>-15853.087323826181</v>
      </c>
      <c r="F3747" s="16">
        <f>(F3742*Inputs!$D$19-F3743-F3744)/(Inputs!$D$7+$D$3760)^F3734</f>
        <v>-9394.4767487293357</v>
      </c>
      <c r="G3747" s="16">
        <f>(G3742*Inputs!$D$19-G3743-G3744)/(Inputs!$D$7+$D$3760)^G3734</f>
        <v>923.61320322684639</v>
      </c>
      <c r="H3747" s="16">
        <f>(H3742*Inputs!$D$19-H3743-H3744)/(Inputs!$D$7+$D$3760)^H3734</f>
        <v>-6972.3744918015345</v>
      </c>
      <c r="I3747" s="16">
        <f>(I3742*Inputs!$D$19-I3743-I3744)/(Inputs!$D$7+$D$3760)^I3734</f>
        <v>-9214.0648467907959</v>
      </c>
      <c r="J3747" s="16">
        <f>(J3742*Inputs!$D$19-J3743-J3744)/(Inputs!$D$7+$D$3760)^J3734</f>
        <v>-5761.5411965591911</v>
      </c>
      <c r="K3747" s="16">
        <f>(K3742*Inputs!$D$19-K3743-K3744)/(Inputs!$D$7+$D$3760)^K3734</f>
        <v>630.8402453567694</v>
      </c>
      <c r="L3747" s="16">
        <f>(L3742*Inputs!$D$19-L3743-L3744)/(Inputs!$D$7+$D$3760)^L3734</f>
        <v>-4762.2255937446444</v>
      </c>
      <c r="M3747" s="16">
        <f>(M3742*Inputs!$D$19-M3743-M3744)/(Inputs!$D$7+$D$3760)^M3734</f>
        <v>-6293.3302689644106</v>
      </c>
    </row>
    <row r="3748" spans="2:13" ht="15" customHeight="1" x14ac:dyDescent="0.2">
      <c r="B3748" s="10" t="s">
        <v>903</v>
      </c>
      <c r="C3748" s="10" t="s">
        <v>110</v>
      </c>
      <c r="D3748" s="16">
        <f t="shared" ref="D3748:M3748" si="815">D3741*$D$3758</f>
        <v>5460.0481307619211</v>
      </c>
      <c r="E3748" s="16">
        <f t="shared" si="815"/>
        <v>20803.327052981233</v>
      </c>
      <c r="F3748" s="16">
        <f t="shared" si="815"/>
        <v>33965.724681591615</v>
      </c>
      <c r="G3748" s="16">
        <f t="shared" si="815"/>
        <v>39606.752236710352</v>
      </c>
      <c r="H3748" s="16">
        <f t="shared" si="815"/>
        <v>39606.752236710352</v>
      </c>
      <c r="I3748" s="16">
        <f t="shared" si="815"/>
        <v>39606.752236710352</v>
      </c>
      <c r="J3748" s="16">
        <f t="shared" si="815"/>
        <v>39606.752236710352</v>
      </c>
      <c r="K3748" s="16">
        <f t="shared" si="815"/>
        <v>39606.752236710352</v>
      </c>
      <c r="L3748" s="16">
        <f t="shared" si="815"/>
        <v>39606.752236710352</v>
      </c>
      <c r="M3748" s="16">
        <f t="shared" si="815"/>
        <v>39606.752236710352</v>
      </c>
    </row>
    <row r="3749" spans="2:13" ht="15" customHeight="1" x14ac:dyDescent="0.2">
      <c r="B3749" s="10" t="s">
        <v>904</v>
      </c>
      <c r="C3749" s="10" t="s">
        <v>110</v>
      </c>
      <c r="D3749" s="16">
        <f t="shared" ref="D3749:M3749" si="816">D3748*$D$3759</f>
        <v>3276.0288784571526</v>
      </c>
      <c r="E3749" s="16">
        <f t="shared" si="816"/>
        <v>12481.996231788738</v>
      </c>
      <c r="F3749" s="16">
        <f t="shared" si="816"/>
        <v>20379.434808954968</v>
      </c>
      <c r="G3749" s="16">
        <f t="shared" si="816"/>
        <v>23764.05134202621</v>
      </c>
      <c r="H3749" s="16">
        <f t="shared" si="816"/>
        <v>23764.05134202621</v>
      </c>
      <c r="I3749" s="16">
        <f t="shared" si="816"/>
        <v>23764.05134202621</v>
      </c>
      <c r="J3749" s="16">
        <f t="shared" si="816"/>
        <v>23764.05134202621</v>
      </c>
      <c r="K3749" s="16">
        <f t="shared" si="816"/>
        <v>23764.05134202621</v>
      </c>
      <c r="L3749" s="16">
        <f t="shared" si="816"/>
        <v>23764.05134202621</v>
      </c>
      <c r="M3749" s="16">
        <f t="shared" si="816"/>
        <v>23764.05134202621</v>
      </c>
    </row>
    <row r="3750" spans="2:13" ht="15" customHeight="1" x14ac:dyDescent="0.2">
      <c r="B3750" s="10" t="s">
        <v>905</v>
      </c>
      <c r="C3750" s="10" t="s">
        <v>110</v>
      </c>
      <c r="D3750" s="16">
        <f t="shared" ref="D3750:M3750" si="817">D3749-D3742</f>
        <v>1459.0515925247107</v>
      </c>
      <c r="E3750" s="16">
        <f t="shared" si="817"/>
        <v>5559.1318500390298</v>
      </c>
      <c r="F3750" s="16">
        <f t="shared" si="817"/>
        <v>9076.4300059414672</v>
      </c>
      <c r="G3750" s="16">
        <f t="shared" si="817"/>
        <v>10583.843501328229</v>
      </c>
      <c r="H3750" s="16">
        <f t="shared" si="817"/>
        <v>10583.843501328229</v>
      </c>
      <c r="I3750" s="16">
        <f t="shared" si="817"/>
        <v>10583.843501328229</v>
      </c>
      <c r="J3750" s="16">
        <f t="shared" si="817"/>
        <v>10583.843501328229</v>
      </c>
      <c r="K3750" s="16">
        <f t="shared" si="817"/>
        <v>10583.843501328229</v>
      </c>
      <c r="L3750" s="16">
        <f t="shared" si="817"/>
        <v>10583.843501328229</v>
      </c>
      <c r="M3750" s="16">
        <f t="shared" si="817"/>
        <v>10583.843501328229</v>
      </c>
    </row>
    <row r="3751" spans="2:13" ht="15" customHeight="1" x14ac:dyDescent="0.2">
      <c r="B3751" s="10" t="s">
        <v>906</v>
      </c>
      <c r="C3751" s="10" t="s">
        <v>110</v>
      </c>
      <c r="D3751" s="16">
        <f>MAX(D3750,Inputs!$D$6)*Inputs!$D$19</f>
        <v>437.71547775741323</v>
      </c>
      <c r="E3751" s="16">
        <f>MAX(E3750,Inputs!$D$6)*Inputs!$D$19</f>
        <v>1667.7395550117089</v>
      </c>
      <c r="F3751" s="16">
        <f>MAX(F3750,Inputs!$D$6)*Inputs!$D$19</f>
        <v>2722.9290017824401</v>
      </c>
      <c r="G3751" s="16">
        <f>MAX(G3750,Inputs!$D$6)*Inputs!$D$19</f>
        <v>3175.1530503984686</v>
      </c>
      <c r="H3751" s="16">
        <f>MAX(H3750,Inputs!$D$6)*Inputs!$D$19</f>
        <v>3175.1530503984686</v>
      </c>
      <c r="I3751" s="16">
        <f>MAX(I3750,Inputs!$D$6)*Inputs!$D$19</f>
        <v>3175.1530503984686</v>
      </c>
      <c r="J3751" s="16">
        <f>MAX(J3750,Inputs!$D$6)*Inputs!$D$19</f>
        <v>3175.1530503984686</v>
      </c>
      <c r="K3751" s="16">
        <f>MAX(K3750,Inputs!$D$6)*Inputs!$D$19</f>
        <v>3175.1530503984686</v>
      </c>
      <c r="L3751" s="16">
        <f>MAX(L3750,Inputs!$D$6)*Inputs!$D$19</f>
        <v>3175.1530503984686</v>
      </c>
      <c r="M3751" s="16">
        <f>MAX(M3750,Inputs!$D$6)*Inputs!$D$19</f>
        <v>3175.1530503984686</v>
      </c>
    </row>
    <row r="3752" spans="2:13" ht="15" customHeight="1" x14ac:dyDescent="0.2">
      <c r="B3752" s="10" t="s">
        <v>907</v>
      </c>
      <c r="C3752" s="10" t="s">
        <v>110</v>
      </c>
      <c r="D3752" s="16">
        <f t="shared" ref="D3752:M3752" si="818">D3745*$D$3758</f>
        <v>282.05137775593681</v>
      </c>
      <c r="E3752" s="16">
        <f t="shared" si="818"/>
        <v>376.06850367458236</v>
      </c>
      <c r="F3752" s="16">
        <f t="shared" si="818"/>
        <v>282.05137775593681</v>
      </c>
      <c r="G3752" s="16">
        <f t="shared" si="818"/>
        <v>0</v>
      </c>
      <c r="H3752" s="16">
        <f t="shared" si="818"/>
        <v>0</v>
      </c>
      <c r="I3752" s="16">
        <f t="shared" si="818"/>
        <v>0</v>
      </c>
      <c r="J3752" s="16">
        <f t="shared" si="818"/>
        <v>0</v>
      </c>
      <c r="K3752" s="16">
        <f t="shared" si="818"/>
        <v>0</v>
      </c>
      <c r="L3752" s="16">
        <f t="shared" si="818"/>
        <v>0</v>
      </c>
      <c r="M3752" s="16">
        <f t="shared" si="818"/>
        <v>0</v>
      </c>
    </row>
    <row r="3753" spans="2:13" ht="15" customHeight="1" x14ac:dyDescent="0.2">
      <c r="B3753" s="10" t="s">
        <v>908</v>
      </c>
      <c r="C3753" s="10" t="s">
        <v>110</v>
      </c>
      <c r="D3753" s="16">
        <f t="shared" ref="D3753:M3753" si="819">D3749-D3751-D3743-D3744-D3752</f>
        <v>-13004.706597202352</v>
      </c>
      <c r="E3753" s="16">
        <f t="shared" si="819"/>
        <v>-10309.769987092423</v>
      </c>
      <c r="F3753" s="16">
        <f t="shared" si="819"/>
        <v>1813.4858092704385</v>
      </c>
      <c r="G3753" s="16">
        <f t="shared" si="819"/>
        <v>17950.89344306057</v>
      </c>
      <c r="H3753" s="16">
        <f t="shared" si="819"/>
        <v>5707.1100698194605</v>
      </c>
      <c r="I3753" s="16">
        <f t="shared" si="819"/>
        <v>746.51399588336426</v>
      </c>
      <c r="J3753" s="16">
        <f t="shared" si="819"/>
        <v>5707.1100698194605</v>
      </c>
      <c r="K3753" s="16">
        <f t="shared" si="819"/>
        <v>17950.89344306057</v>
      </c>
      <c r="L3753" s="16">
        <f t="shared" si="819"/>
        <v>5707.1100698194605</v>
      </c>
      <c r="M3753" s="16">
        <f t="shared" si="819"/>
        <v>746.51399588336426</v>
      </c>
    </row>
    <row r="3754" spans="2:13" ht="15" customHeight="1" x14ac:dyDescent="0.2">
      <c r="B3754" s="10" t="s">
        <v>909</v>
      </c>
      <c r="C3754" s="10" t="s">
        <v>110</v>
      </c>
      <c r="D3754" s="16">
        <f>D3753/(Inputs!$D$7+$D$3760)^D3734</f>
        <v>-12148.487538607358</v>
      </c>
      <c r="E3754" s="16">
        <f>E3753/(Inputs!$D$7+$D$3760)^E3734</f>
        <v>-8753.7260257096495</v>
      </c>
      <c r="F3754" s="16">
        <f>F3753/(Inputs!$D$7+$D$3760)^F3734</f>
        <v>1399.8895830583826</v>
      </c>
      <c r="G3754" s="16">
        <f>G3753/(Inputs!$D$7+$D$3760)^G3734</f>
        <v>12597.992221346158</v>
      </c>
      <c r="H3754" s="16">
        <f>H3753/(Inputs!$D$7+$D$3760)^H3734</f>
        <v>3641.3897225785267</v>
      </c>
      <c r="I3754" s="16">
        <f>I3753/(Inputs!$D$7+$D$3760)^I3734</f>
        <v>432.92352657198597</v>
      </c>
      <c r="J3754" s="16">
        <f>J3753/(Inputs!$D$7+$D$3760)^J3734</f>
        <v>3009.0203737668958</v>
      </c>
      <c r="K3754" s="16">
        <f>K3753/(Inputs!$D$7+$D$3760)^K3734</f>
        <v>8604.5981977639185</v>
      </c>
      <c r="L3754" s="16">
        <f>L3753/(Inputs!$D$7+$D$3760)^L3734</f>
        <v>2487.1181767492153</v>
      </c>
      <c r="M3754" s="16">
        <f>M3753/(Inputs!$D$7+$D$3760)^M3734</f>
        <v>295.69259379276411</v>
      </c>
    </row>
    <row r="3755" spans="2:13" ht="15" customHeight="1" x14ac:dyDescent="0.2">
      <c r="B3755" s="3" t="s">
        <v>910</v>
      </c>
      <c r="C3755" s="10" t="s">
        <v>896</v>
      </c>
      <c r="D3755" s="28">
        <f>(D3741*$D$3759-D3745)/(Inputs!$D$7+$D$3760)^D3734</f>
        <v>64.330856237917445</v>
      </c>
      <c r="E3755" s="28">
        <f>(E3741*$D$3759-E3745)/(Inputs!$D$7+$D$3760)^E3734</f>
        <v>236.42380139523098</v>
      </c>
      <c r="F3755" s="28">
        <f>(F3741*$D$3759-F3745)/(Inputs!$D$7+$D$3760)^F3734</f>
        <v>356.83568908039001</v>
      </c>
      <c r="G3755" s="28">
        <f>(G3741*$D$3759-G3745)/(Inputs!$D$7+$D$3760)^G3734</f>
        <v>383.60556091707036</v>
      </c>
      <c r="H3755" s="28">
        <f>(H3741*$D$3759-H3745)/(Inputs!$D$7+$D$3760)^H3734</f>
        <v>348.75507884227414</v>
      </c>
      <c r="I3755" s="28">
        <f>(I3741*$D$3759-I3745)/(Inputs!$D$7+$D$3760)^I3734</f>
        <v>316.98802826091918</v>
      </c>
      <c r="J3755" s="28">
        <f>(J3741*$D$3759-J3745)/(Inputs!$D$7+$D$3760)^J3734</f>
        <v>288.18973459066564</v>
      </c>
      <c r="K3755" s="28">
        <f>(K3741*$D$3759-K3745)/(Inputs!$D$7+$D$3760)^K3734</f>
        <v>262.00775965922423</v>
      </c>
      <c r="L3755" s="28">
        <f>(L3741*$D$3759-L3745)/(Inputs!$D$7+$D$3760)^L3734</f>
        <v>238.2044114761793</v>
      </c>
      <c r="M3755" s="28">
        <f>(M3741*$D$3759-M3745)/(Inputs!$D$7+$D$3760)^M3734</f>
        <v>216.50708849185102</v>
      </c>
    </row>
    <row r="3756" spans="2:13" ht="15" customHeight="1" x14ac:dyDescent="0.2">
      <c r="B3756" s="10" t="s">
        <v>911</v>
      </c>
      <c r="C3756" s="10" t="s">
        <v>110</v>
      </c>
      <c r="D3756" s="16">
        <f>(-D3743-D3744)/(Inputs!$D$7+$D$3760)^D3734</f>
        <v>-14536.447397527105</v>
      </c>
      <c r="E3756" s="16">
        <f>(-E3743-E3744)/(Inputs!$D$7+$D$3760)^E3734</f>
        <v>-17616.488200475756</v>
      </c>
      <c r="F3756" s="16">
        <f>(-F3743-F3744)/(Inputs!$D$7+$D$3760)^F3734</f>
        <v>-12012.025548964448</v>
      </c>
      <c r="G3756" s="16">
        <f>(-G3743-G3744)/(Inputs!$D$7+$D$3760)^G3734</f>
        <v>-1851.359915178487</v>
      </c>
      <c r="H3756" s="16">
        <f>(-H3743-H3744)/(Inputs!$D$7+$D$3760)^H3734</f>
        <v>-9495.2419037884629</v>
      </c>
      <c r="I3756" s="16">
        <f>(-I3743-I3744)/(Inputs!$D$7+$D$3760)^I3734</f>
        <v>-11507.131858586603</v>
      </c>
      <c r="J3756" s="16">
        <f>(-J3743-J3744)/(Inputs!$D$7+$D$3760)^J3734</f>
        <v>-7846.2835672839774</v>
      </c>
      <c r="K3756" s="16">
        <f>(-K3743-K3744)/(Inputs!$D$7+$D$3760)^K3734</f>
        <v>-1264.5037327904422</v>
      </c>
      <c r="L3756" s="16">
        <f>(-L3743-L3744)/(Inputs!$D$7+$D$3760)^L3734</f>
        <v>-6485.3779822337692</v>
      </c>
      <c r="M3756" s="16">
        <f>(-M3743-M3744)/(Inputs!$D$7+$D$3760)^M3734</f>
        <v>-7859.5258920747219</v>
      </c>
    </row>
    <row r="3757" spans="2:13" ht="15" customHeight="1" x14ac:dyDescent="0.2">
      <c r="B3757" s="10" t="s">
        <v>912</v>
      </c>
      <c r="C3757" s="10" t="s">
        <v>110</v>
      </c>
      <c r="D3757" s="16">
        <f>Prices!K19</f>
        <v>44328.700386874909</v>
      </c>
    </row>
    <row r="3758" spans="2:13" ht="15" customHeight="1" x14ac:dyDescent="0.2">
      <c r="B3758" s="3" t="s">
        <v>913</v>
      </c>
      <c r="C3758" s="10" t="s">
        <v>914</v>
      </c>
      <c r="D3758" s="28">
        <f>IF(J3765&gt;=J3761,J3765,(D3757-J3764)/J3763)</f>
        <v>43.476127592437265</v>
      </c>
      <c r="G3758" s="99" t="s">
        <v>915</v>
      </c>
      <c r="H3758" s="91"/>
      <c r="I3758" s="91"/>
      <c r="J3758" s="28">
        <f>D3758*Inputs!$D$15</f>
        <v>30.341989446761968</v>
      </c>
      <c r="K3758" s="99" t="s">
        <v>916</v>
      </c>
      <c r="L3758" s="91"/>
      <c r="M3758" s="91"/>
    </row>
    <row r="3759" spans="2:13" ht="15" customHeight="1" x14ac:dyDescent="0.2">
      <c r="B3759" s="10" t="s">
        <v>917</v>
      </c>
      <c r="C3759" s="10" t="s">
        <v>104</v>
      </c>
      <c r="D3759" s="30">
        <f>Inputs!$D$81</f>
        <v>0.6</v>
      </c>
      <c r="G3759" s="99" t="s">
        <v>918</v>
      </c>
      <c r="H3759" s="91"/>
      <c r="I3759" s="91"/>
      <c r="J3759" s="28">
        <f>IF(-D3770/D3769&gt;=J3761,-D3770/D3769,-J3764/J3763)</f>
        <v>32.284876648616972</v>
      </c>
      <c r="K3759" s="99" t="s">
        <v>919</v>
      </c>
      <c r="L3759" s="91"/>
      <c r="M3759" s="91"/>
    </row>
    <row r="3760" spans="2:13" ht="15" customHeight="1" x14ac:dyDescent="0.2">
      <c r="B3760" s="10" t="s">
        <v>920</v>
      </c>
      <c r="C3760" s="10" t="s">
        <v>104</v>
      </c>
      <c r="D3760" s="30">
        <f>Inputs!$D$82</f>
        <v>0.1</v>
      </c>
      <c r="G3760" s="99" t="s">
        <v>918</v>
      </c>
      <c r="H3760" s="91"/>
      <c r="I3760" s="91"/>
      <c r="J3760" s="28">
        <f>J3759*Inputs!$D$15</f>
        <v>22.531615413069783</v>
      </c>
      <c r="K3760" s="99" t="s">
        <v>916</v>
      </c>
      <c r="L3760" s="91"/>
      <c r="M3760" s="91"/>
    </row>
    <row r="3761" spans="2:13" ht="15" customHeight="1" x14ac:dyDescent="0.2">
      <c r="B3761" s="3" t="s">
        <v>921</v>
      </c>
      <c r="C3761" s="10" t="s">
        <v>848</v>
      </c>
      <c r="D3761" s="28">
        <f>Capital!$D$13</f>
        <v>57.347931490590682</v>
      </c>
      <c r="G3761" s="99" t="s">
        <v>922</v>
      </c>
      <c r="H3761" s="91"/>
      <c r="I3761" s="91"/>
      <c r="J3761" s="28">
        <f>($D$3761/Inputs!$D$21+$D$3762/Inputs!$D$22)/$D$3759</f>
        <v>24.113076913095469</v>
      </c>
      <c r="K3761" s="99" t="s">
        <v>919</v>
      </c>
      <c r="L3761" s="91"/>
      <c r="M3761" s="91"/>
    </row>
    <row r="3762" spans="2:13" ht="15" customHeight="1" x14ac:dyDescent="0.2">
      <c r="B3762" s="3" t="s">
        <v>923</v>
      </c>
      <c r="C3762" s="10" t="s">
        <v>848</v>
      </c>
      <c r="D3762" s="28">
        <f>Capital!$D$14</f>
        <v>2.6172655041921802</v>
      </c>
    </row>
    <row r="3763" spans="2:13" ht="15" customHeight="1" x14ac:dyDescent="0.2">
      <c r="B3763" s="10" t="s">
        <v>924</v>
      </c>
      <c r="C3763" s="10" t="s">
        <v>896</v>
      </c>
      <c r="D3763" s="28">
        <f>(M3736*(Inputs!$D$7+Inputs!$D$20)*$D$3759*(Inputs!$D$7-Inputs!$D$19)-M3736*Inputs!$D$20*Inputs!$D$23)/($D$3760-Inputs!$D$20)/(Inputs!$D$7+$D$3760)^M3734</f>
        <v>2068.2441036763203</v>
      </c>
      <c r="G3763" s="92" t="s">
        <v>910</v>
      </c>
      <c r="H3763" s="91"/>
      <c r="I3763" s="91"/>
      <c r="J3763" s="28">
        <f>SUM(D3755:M3755)+(M3736*(Inputs!$D$7+Inputs!$D$20)*$D$3759-M3736*Inputs!$D$20*Inputs!$D$23)/($D$3760-Inputs!$D$20)/(Inputs!$D$7+$D$3760)^M3734</f>
        <v>5667.7711754446318</v>
      </c>
      <c r="K3763" s="99" t="s">
        <v>896</v>
      </c>
      <c r="L3763" s="91"/>
      <c r="M3763" s="91"/>
    </row>
    <row r="3764" spans="2:13" ht="15" customHeight="1" x14ac:dyDescent="0.2">
      <c r="B3764" s="10" t="s">
        <v>925</v>
      </c>
      <c r="C3764" s="10" t="s">
        <v>110</v>
      </c>
      <c r="D3764" s="16">
        <f>(D3767*Inputs!$D$19-D3767-D3768)/($D$3760-Inputs!$D$20)/(Inputs!$D$7+$D$3760)^M3734</f>
        <v>-57156.954988173631</v>
      </c>
      <c r="G3764" s="92" t="s">
        <v>926</v>
      </c>
      <c r="H3764" s="91"/>
      <c r="I3764" s="91"/>
      <c r="J3764" s="16">
        <f>SUM(D3756:M3756)-(D3767+D3768)/($D$3760-Inputs!$D$20)/(Inputs!$D$7+$D$3760)^M3734</f>
        <v>-169036.01450291832</v>
      </c>
      <c r="K3764" s="99" t="s">
        <v>110</v>
      </c>
      <c r="L3764" s="91"/>
      <c r="M3764" s="91"/>
    </row>
    <row r="3765" spans="2:13" ht="15" customHeight="1" x14ac:dyDescent="0.2">
      <c r="B3765" s="10" t="s">
        <v>927</v>
      </c>
      <c r="C3765" s="10" t="s">
        <v>928</v>
      </c>
      <c r="D3765" s="16">
        <f>(M3736*(Inputs!$D$7+Inputs!$D$20)*$D$3758*$D$3759-D3767)-MAX((M3736*(Inputs!$D$7+Inputs!$D$20)*$D$3758*$D$3759-D3767),Inputs!$D$6)*Inputs!$D$19-D3768-M3736*Inputs!$D$20*$D$3758*Inputs!$D$23</f>
        <v>6203.4461304988772</v>
      </c>
      <c r="G3765" s="99" t="s">
        <v>929</v>
      </c>
      <c r="H3765" s="91"/>
      <c r="I3765" s="91"/>
      <c r="J3765" s="28">
        <f>(D3757-D3770)/D3769</f>
        <v>43.476127592437265</v>
      </c>
      <c r="K3765" s="99" t="s">
        <v>919</v>
      </c>
      <c r="L3765" s="91"/>
      <c r="M3765" s="91"/>
    </row>
    <row r="3766" spans="2:13" ht="15" customHeight="1" x14ac:dyDescent="0.2">
      <c r="B3766" s="10" t="s">
        <v>930</v>
      </c>
      <c r="C3766" s="10" t="s">
        <v>110</v>
      </c>
      <c r="D3766" s="16">
        <f>D3765/($D$3760-Inputs!$D$20)</f>
        <v>82712.615073318346</v>
      </c>
      <c r="G3766" s="99" t="s">
        <v>931</v>
      </c>
      <c r="H3766" s="91"/>
      <c r="I3766" s="91"/>
      <c r="J3766" s="16">
        <f>MIN(D3750:M3750,(M3736*(Inputs!$D$7+Inputs!$D$20)*$D$3758*$D$3759-D3767))</f>
        <v>1459.0515925247107</v>
      </c>
      <c r="K3766" s="99" t="s">
        <v>110</v>
      </c>
      <c r="L3766" s="91"/>
      <c r="M3766" s="91"/>
    </row>
    <row r="3767" spans="2:13" ht="15" customHeight="1" x14ac:dyDescent="0.2">
      <c r="B3767" s="10" t="s">
        <v>932</v>
      </c>
      <c r="C3767" s="10" t="s">
        <v>928</v>
      </c>
      <c r="D3767" s="16">
        <f>M3736*(Inputs!$D$7+Inputs!$D$20)*($D$3761/Inputs!$D$21+$D$3762/Inputs!$D$22)</f>
        <v>13509.71303671543</v>
      </c>
      <c r="G3767" s="99" t="s">
        <v>933</v>
      </c>
      <c r="H3767" s="91"/>
      <c r="I3767" s="91"/>
      <c r="J3767" s="31" t="str">
        <f>IF(J3766&lt;Inputs!$D$6,"breached","satisfied")</f>
        <v>satisfied</v>
      </c>
      <c r="K3767" s="99" t="s">
        <v>934</v>
      </c>
      <c r="L3767" s="91"/>
      <c r="M3767" s="91"/>
    </row>
    <row r="3768" spans="2:13" ht="15" customHeight="1" x14ac:dyDescent="0.2">
      <c r="B3768" s="10" t="s">
        <v>935</v>
      </c>
      <c r="C3768" s="10" t="s">
        <v>928</v>
      </c>
      <c r="D3768" s="16">
        <f>M3736*Inputs!$D$20*($D$3761+$D$3762)</f>
        <v>1365.7073615561799</v>
      </c>
    </row>
    <row r="3769" spans="2:13" ht="15" customHeight="1" x14ac:dyDescent="0.2">
      <c r="B3769" s="10" t="s">
        <v>936</v>
      </c>
      <c r="C3769" s="10" t="s">
        <v>896</v>
      </c>
      <c r="D3769" s="28">
        <f>SUM(D3746:M3746)+D3763</f>
        <v>3961.0138857044249</v>
      </c>
      <c r="G3769" s="99" t="s">
        <v>937</v>
      </c>
      <c r="H3769" s="91"/>
      <c r="I3769" s="91"/>
      <c r="J3769" s="16">
        <f>D3771-D3757</f>
        <v>0</v>
      </c>
      <c r="K3769" s="99" t="s">
        <v>110</v>
      </c>
      <c r="L3769" s="91"/>
      <c r="M3769" s="91"/>
    </row>
    <row r="3770" spans="2:13" ht="15" customHeight="1" x14ac:dyDescent="0.2">
      <c r="B3770" s="10" t="s">
        <v>938</v>
      </c>
      <c r="C3770" s="10" t="s">
        <v>110</v>
      </c>
      <c r="D3770" s="16">
        <f>SUM(D3747:M3747)+D3764</f>
        <v>-127880.84470342637</v>
      </c>
    </row>
    <row r="3771" spans="2:13" ht="15" customHeight="1" x14ac:dyDescent="0.2">
      <c r="B3771" s="10" t="s">
        <v>939</v>
      </c>
      <c r="C3771" s="10" t="s">
        <v>110</v>
      </c>
      <c r="D3771" s="16">
        <f>SUM(D3754:M3754)+D3766/(Inputs!$D$7+$D$3760)^M3734</f>
        <v>44328.700386874953</v>
      </c>
    </row>
    <row r="3772" spans="2:13" ht="15" customHeight="1" x14ac:dyDescent="0.2">
      <c r="B3772" s="10" t="s">
        <v>940</v>
      </c>
      <c r="C3772" s="10" t="s">
        <v>104</v>
      </c>
      <c r="D3772" s="30">
        <f>IF(ABS(D3757)&gt;Inputs!$D$6,D3771/D3757-Inputs!$D$7,Inputs!$D$6)</f>
        <v>8.8817841970012523E-16</v>
      </c>
    </row>
    <row r="3773" spans="2:13" ht="15" customHeight="1" x14ac:dyDescent="0.2">
      <c r="B3773" s="10" t="s">
        <v>941</v>
      </c>
      <c r="C3773" s="10" t="s">
        <v>104</v>
      </c>
      <c r="D3773" s="30">
        <f>IF(ABS(D3771)&gt;Inputs!$D$119,D3766/(Inputs!$D$7+$D$3760)^M3734/D3771,Inputs!$D$6)</f>
        <v>0.739076247885321</v>
      </c>
    </row>
    <row r="3774" spans="2:13" ht="15" customHeight="1" x14ac:dyDescent="0.2">
      <c r="B3774" s="10" t="s">
        <v>942</v>
      </c>
      <c r="C3774" s="10" t="s">
        <v>943</v>
      </c>
      <c r="D3774" s="26">
        <f>$D$3758*Inputs!$D$8/Prices!$P$6/(Inputs!$D$26/Inputs!$D$25)/Inputs!$D$11/Inputs!$D$56</f>
        <v>7.9062658623933064</v>
      </c>
    </row>
    <row r="3778" spans="1:13" ht="15" customHeight="1" x14ac:dyDescent="0.2">
      <c r="A3778" s="104" t="s">
        <v>1025</v>
      </c>
      <c r="B3778" s="10" t="s">
        <v>886</v>
      </c>
      <c r="C3778" s="10" t="s">
        <v>107</v>
      </c>
      <c r="D3778" s="28">
        <f>Inputs!$D$60</f>
        <v>1</v>
      </c>
      <c r="E3778" s="28">
        <f>Inputs!$D$62</f>
        <v>2</v>
      </c>
      <c r="F3778" s="28">
        <f>Inputs!$D$64</f>
        <v>3</v>
      </c>
      <c r="G3778" s="28">
        <f>Inputs!$D$66</f>
        <v>4</v>
      </c>
      <c r="H3778" s="28">
        <f>Inputs!$D$68</f>
        <v>5</v>
      </c>
      <c r="I3778" s="28">
        <f>Inputs!$D$70</f>
        <v>6</v>
      </c>
      <c r="J3778" s="28">
        <f>Inputs!$D$72</f>
        <v>7</v>
      </c>
      <c r="K3778" s="28">
        <f>Inputs!$D$74</f>
        <v>8</v>
      </c>
      <c r="L3778" s="28">
        <f>Inputs!$D$76</f>
        <v>9</v>
      </c>
      <c r="M3778" s="28">
        <f>Inputs!$D$78</f>
        <v>10</v>
      </c>
    </row>
    <row r="3779" spans="1:13" ht="15" customHeight="1" x14ac:dyDescent="0.2">
      <c r="A3779" s="91"/>
      <c r="B3779" s="10" t="s">
        <v>887</v>
      </c>
      <c r="C3779" s="10" t="s">
        <v>161</v>
      </c>
      <c r="D3779" s="29">
        <f>Inputs!$D$61</f>
        <v>46568</v>
      </c>
      <c r="E3779" s="29">
        <f>Inputs!$D$63</f>
        <v>46934</v>
      </c>
      <c r="F3779" s="29">
        <f>Inputs!$D$65</f>
        <v>47299</v>
      </c>
      <c r="G3779" s="29">
        <f>Inputs!$D$67</f>
        <v>47664</v>
      </c>
      <c r="H3779" s="29">
        <f>Inputs!$D$69</f>
        <v>48029</v>
      </c>
      <c r="I3779" s="29">
        <f>Inputs!$D$71</f>
        <v>48395</v>
      </c>
      <c r="J3779" s="29">
        <f>Inputs!$D$73</f>
        <v>48760</v>
      </c>
      <c r="K3779" s="29">
        <f>Inputs!$D$75</f>
        <v>49125</v>
      </c>
      <c r="L3779" s="29">
        <f>Inputs!$D$77</f>
        <v>49490</v>
      </c>
      <c r="M3779" s="29">
        <f>Inputs!$D$79</f>
        <v>49856</v>
      </c>
    </row>
    <row r="3780" spans="1:13" ht="15" customHeight="1" x14ac:dyDescent="0.2">
      <c r="A3780" s="91"/>
      <c r="B3780" s="10" t="s">
        <v>888</v>
      </c>
      <c r="C3780" s="10" t="s">
        <v>107</v>
      </c>
      <c r="D3780" s="28">
        <f>(D3779-Inputs!$D$13)/Inputs!$D$10</f>
        <v>0.71457905544147848</v>
      </c>
      <c r="E3780" s="28">
        <f>(E3779-Inputs!$D$13)/Inputs!$D$10</f>
        <v>1.7166324435318274</v>
      </c>
      <c r="F3780" s="28">
        <f>(F3779-Inputs!$D$13)/Inputs!$D$10</f>
        <v>2.7159479808350446</v>
      </c>
      <c r="G3780" s="28">
        <f>(G3779-Inputs!$D$13)/Inputs!$D$10</f>
        <v>3.7152635181382614</v>
      </c>
      <c r="H3780" s="28">
        <f>(H3779-Inputs!$D$13)/Inputs!$D$10</f>
        <v>4.7145790554414786</v>
      </c>
      <c r="I3780" s="28">
        <f>(I3779-Inputs!$D$13)/Inputs!$D$10</f>
        <v>5.7166324435318279</v>
      </c>
      <c r="J3780" s="28">
        <f>(J3779-Inputs!$D$13)/Inputs!$D$10</f>
        <v>6.7159479808350442</v>
      </c>
      <c r="K3780" s="28">
        <f>(K3779-Inputs!$D$13)/Inputs!$D$10</f>
        <v>7.7152635181382614</v>
      </c>
      <c r="L3780" s="28">
        <f>(L3779-Inputs!$D$13)/Inputs!$D$10</f>
        <v>8.7145790554414777</v>
      </c>
      <c r="M3780" s="28">
        <f>(M3779-Inputs!$D$13)/Inputs!$D$10</f>
        <v>9.716632443531827</v>
      </c>
    </row>
    <row r="3781" spans="1:13" ht="15" customHeight="1" x14ac:dyDescent="0.2">
      <c r="A3781" s="91"/>
      <c r="B3781" s="10" t="s">
        <v>889</v>
      </c>
      <c r="C3781" s="10" t="s">
        <v>107</v>
      </c>
      <c r="D3781" s="28">
        <f>D3780</f>
        <v>0.71457905544147848</v>
      </c>
      <c r="E3781" s="28">
        <f>Inputs!$D$7</f>
        <v>1</v>
      </c>
      <c r="F3781" s="28">
        <f>Inputs!$D$7</f>
        <v>1</v>
      </c>
      <c r="G3781" s="28">
        <f>Inputs!$D$7</f>
        <v>1</v>
      </c>
      <c r="H3781" s="28">
        <f>Inputs!$D$7</f>
        <v>1</v>
      </c>
      <c r="I3781" s="28">
        <f>Inputs!$D$7</f>
        <v>1</v>
      </c>
      <c r="J3781" s="28">
        <f>Inputs!$D$7</f>
        <v>1</v>
      </c>
      <c r="K3781" s="28">
        <f>Inputs!$D$7</f>
        <v>1</v>
      </c>
      <c r="L3781" s="28">
        <f>Inputs!$D$7</f>
        <v>1</v>
      </c>
      <c r="M3781" s="28">
        <f>Inputs!$D$7</f>
        <v>1</v>
      </c>
    </row>
    <row r="3782" spans="1:13" ht="15" customHeight="1" x14ac:dyDescent="0.2">
      <c r="A3782" s="91"/>
      <c r="B3782" s="3" t="s">
        <v>890</v>
      </c>
      <c r="C3782" s="10" t="s">
        <v>199</v>
      </c>
      <c r="D3782" s="28">
        <f>Inputs!$D$24+(Inputs!$D$93-Inputs!$D$24)*Inputs!$D$96</f>
        <v>279.10000000000002</v>
      </c>
      <c r="E3782" s="28">
        <f>Inputs!$D$24+(Inputs!$D$93-Inputs!$D$24)*Inputs!$D$97</f>
        <v>900.7</v>
      </c>
      <c r="F3782" s="28">
        <f>Inputs!$D$24+(Inputs!$D$93-Inputs!$D$24)*Inputs!$D$98</f>
        <v>1366.8999999999999</v>
      </c>
      <c r="G3782" s="28">
        <f>Inputs!$D$24+(Inputs!$D$93-Inputs!$D$24)*Inputs!$D$99</f>
        <v>1600</v>
      </c>
      <c r="H3782" s="28">
        <f>Inputs!$D$24+(Inputs!$D$93-Inputs!$D$24)*Inputs!$D$100</f>
        <v>1600</v>
      </c>
      <c r="I3782" s="28">
        <f>Inputs!$D$24+(Inputs!$D$93-Inputs!$D$24)*Inputs!$D$101</f>
        <v>1600</v>
      </c>
      <c r="J3782" s="28">
        <f>Inputs!$D$24+(Inputs!$D$93-Inputs!$D$24)*Inputs!$D$102</f>
        <v>1600</v>
      </c>
      <c r="K3782" s="28">
        <f>Inputs!$D$24+(Inputs!$D$93-Inputs!$D$24)*Inputs!$D$103</f>
        <v>1600</v>
      </c>
      <c r="L3782" s="28">
        <f>Inputs!$D$24+(Inputs!$D$93-Inputs!$D$24)*Inputs!$D$104</f>
        <v>1600</v>
      </c>
      <c r="M3782" s="28">
        <f>Inputs!$D$24+(Inputs!$D$93-Inputs!$D$24)*Inputs!$D$105</f>
        <v>1600</v>
      </c>
    </row>
    <row r="3783" spans="1:13" ht="15" customHeight="1" x14ac:dyDescent="0.2">
      <c r="A3783" s="91"/>
      <c r="B3783" s="10" t="s">
        <v>891</v>
      </c>
      <c r="C3783" s="10" t="s">
        <v>199</v>
      </c>
      <c r="D3783" s="28">
        <f>Inputs!$D$24</f>
        <v>46</v>
      </c>
      <c r="E3783" s="28">
        <f t="shared" ref="E3783:M3783" si="820">D3782</f>
        <v>279.10000000000002</v>
      </c>
      <c r="F3783" s="28">
        <f t="shared" si="820"/>
        <v>900.7</v>
      </c>
      <c r="G3783" s="28">
        <f t="shared" si="820"/>
        <v>1366.8999999999999</v>
      </c>
      <c r="H3783" s="28">
        <f t="shared" si="820"/>
        <v>1600</v>
      </c>
      <c r="I3783" s="28">
        <f t="shared" si="820"/>
        <v>1600</v>
      </c>
      <c r="J3783" s="28">
        <f t="shared" si="820"/>
        <v>1600</v>
      </c>
      <c r="K3783" s="28">
        <f t="shared" si="820"/>
        <v>1600</v>
      </c>
      <c r="L3783" s="28">
        <f t="shared" si="820"/>
        <v>1600</v>
      </c>
      <c r="M3783" s="28">
        <f t="shared" si="820"/>
        <v>1600</v>
      </c>
    </row>
    <row r="3784" spans="1:13" ht="15" customHeight="1" x14ac:dyDescent="0.2">
      <c r="B3784" s="10" t="s">
        <v>892</v>
      </c>
      <c r="C3784" s="10" t="s">
        <v>199</v>
      </c>
      <c r="D3784" s="28">
        <f>(D3783+D3782)*Inputs!$D$12</f>
        <v>162.55000000000001</v>
      </c>
      <c r="E3784" s="28">
        <f>(E3783+E3782)*Inputs!$D$12</f>
        <v>589.90000000000009</v>
      </c>
      <c r="F3784" s="28">
        <f>(F3783+F3782)*Inputs!$D$12</f>
        <v>1133.8</v>
      </c>
      <c r="G3784" s="28">
        <f>(G3783+G3782)*Inputs!$D$12</f>
        <v>1483.4499999999998</v>
      </c>
      <c r="H3784" s="28">
        <f>(H3783+H3782)*Inputs!$D$12</f>
        <v>1600</v>
      </c>
      <c r="I3784" s="28">
        <f>(I3783+I3782)*Inputs!$D$12</f>
        <v>1600</v>
      </c>
      <c r="J3784" s="28">
        <f>(J3783+J3782)*Inputs!$D$12</f>
        <v>1600</v>
      </c>
      <c r="K3784" s="28">
        <f>(K3783+K3782)*Inputs!$D$12</f>
        <v>1600</v>
      </c>
      <c r="L3784" s="28">
        <f>(L3783+L3782)*Inputs!$D$12</f>
        <v>1600</v>
      </c>
      <c r="M3784" s="28">
        <f>(M3783+M3782)*Inputs!$D$12</f>
        <v>1600</v>
      </c>
    </row>
    <row r="3785" spans="1:13" ht="15" customHeight="1" x14ac:dyDescent="0.2">
      <c r="B3785" s="10" t="s">
        <v>893</v>
      </c>
      <c r="C3785" s="10" t="s">
        <v>199</v>
      </c>
      <c r="D3785" s="28">
        <f t="shared" ref="D3785:M3785" si="821">D3782-D3783</f>
        <v>233.10000000000002</v>
      </c>
      <c r="E3785" s="28">
        <f t="shared" si="821"/>
        <v>621.6</v>
      </c>
      <c r="F3785" s="28">
        <f t="shared" si="821"/>
        <v>466.19999999999982</v>
      </c>
      <c r="G3785" s="28">
        <f t="shared" si="821"/>
        <v>233.10000000000014</v>
      </c>
      <c r="H3785" s="28">
        <f t="shared" si="821"/>
        <v>0</v>
      </c>
      <c r="I3785" s="28">
        <f t="shared" si="821"/>
        <v>0</v>
      </c>
      <c r="J3785" s="28">
        <f t="shared" si="821"/>
        <v>0</v>
      </c>
      <c r="K3785" s="28">
        <f t="shared" si="821"/>
        <v>0</v>
      </c>
      <c r="L3785" s="28">
        <f t="shared" si="821"/>
        <v>0</v>
      </c>
      <c r="M3785" s="28">
        <f t="shared" si="821"/>
        <v>0</v>
      </c>
    </row>
    <row r="3786" spans="1:13" ht="15" customHeight="1" x14ac:dyDescent="0.2">
      <c r="B3786" s="10" t="s">
        <v>894</v>
      </c>
      <c r="C3786" s="10" t="s">
        <v>199</v>
      </c>
      <c r="D3786" s="28">
        <f>IF(MOD(D3778,Inputs!$D$21)=Inputs!$D$6,Inputs!$D$24,Inputs!$D$6)+SUMPRODUCT(--(D3778&gt;$D$3778:$M$3778),--(MOD(D3778-$D$3778:$M$3778,Inputs!$D$21)=Inputs!$D$6),$D$3785:$M$3785)</f>
        <v>0</v>
      </c>
      <c r="E3786" s="28">
        <f>IF(MOD(E3778,Inputs!$D$21)=Inputs!$D$6,Inputs!$D$24,Inputs!$D$6)+SUMPRODUCT(--(E3778&gt;$D$3778:$M$3778),--(MOD(E3778-$D$3778:$M$3778,Inputs!$D$21)=Inputs!$D$6),$D$3785:$M$3785)</f>
        <v>0</v>
      </c>
      <c r="F3786" s="28">
        <f>IF(MOD(F3778,Inputs!$D$21)=Inputs!$D$6,Inputs!$D$24,Inputs!$D$6)+SUMPRODUCT(--(F3778&gt;$D$3778:$M$3778),--(MOD(F3778-$D$3778:$M$3778,Inputs!$D$21)=Inputs!$D$6),$D$3785:$M$3785)</f>
        <v>0</v>
      </c>
      <c r="G3786" s="28">
        <f>IF(MOD(G3778,Inputs!$D$21)=Inputs!$D$6,Inputs!$D$24,Inputs!$D$6)+SUMPRODUCT(--(G3778&gt;$D$3778:$M$3778),--(MOD(G3778-$D$3778:$M$3778,Inputs!$D$21)=Inputs!$D$6),$D$3785:$M$3785)</f>
        <v>46</v>
      </c>
      <c r="H3786" s="28">
        <f>IF(MOD(H3778,Inputs!$D$21)=Inputs!$D$6,Inputs!$D$24,Inputs!$D$6)+SUMPRODUCT(--(H3778&gt;$D$3778:$M$3778),--(MOD(H3778-$D$3778:$M$3778,Inputs!$D$21)=Inputs!$D$6),$D$3785:$M$3785)</f>
        <v>233.10000000000002</v>
      </c>
      <c r="I3786" s="28">
        <f>IF(MOD(I3778,Inputs!$D$21)=Inputs!$D$6,Inputs!$D$24,Inputs!$D$6)+SUMPRODUCT(--(I3778&gt;$D$3778:$M$3778),--(MOD(I3778-$D$3778:$M$3778,Inputs!$D$21)=Inputs!$D$6),$D$3785:$M$3785)</f>
        <v>621.6</v>
      </c>
      <c r="J3786" s="28">
        <f>IF(MOD(J3778,Inputs!$D$21)=Inputs!$D$6,Inputs!$D$24,Inputs!$D$6)+SUMPRODUCT(--(J3778&gt;$D$3778:$M$3778),--(MOD(J3778-$D$3778:$M$3778,Inputs!$D$21)=Inputs!$D$6),$D$3785:$M$3785)</f>
        <v>466.19999999999982</v>
      </c>
      <c r="K3786" s="28">
        <f>IF(MOD(K3778,Inputs!$D$21)=Inputs!$D$6,Inputs!$D$24,Inputs!$D$6)+SUMPRODUCT(--(K3778&gt;$D$3778:$M$3778),--(MOD(K3778-$D$3778:$M$3778,Inputs!$D$21)=Inputs!$D$6),$D$3785:$M$3785)</f>
        <v>279.10000000000014</v>
      </c>
      <c r="L3786" s="28">
        <f>IF(MOD(L3778,Inputs!$D$21)=Inputs!$D$6,Inputs!$D$24,Inputs!$D$6)+SUMPRODUCT(--(L3778&gt;$D$3778:$M$3778),--(MOD(L3778-$D$3778:$M$3778,Inputs!$D$21)=Inputs!$D$6),$D$3785:$M$3785)</f>
        <v>233.10000000000002</v>
      </c>
      <c r="M3786" s="28">
        <f>IF(MOD(M3778,Inputs!$D$21)=Inputs!$D$6,Inputs!$D$24,Inputs!$D$6)+SUMPRODUCT(--(M3778&gt;$D$3778:$M$3778),--(MOD(M3778-$D$3778:$M$3778,Inputs!$D$21)=Inputs!$D$6),$D$3785:$M$3785)</f>
        <v>621.6</v>
      </c>
    </row>
    <row r="3787" spans="1:13" ht="15" customHeight="1" x14ac:dyDescent="0.2">
      <c r="B3787" s="10" t="s">
        <v>895</v>
      </c>
      <c r="C3787" s="10" t="s">
        <v>896</v>
      </c>
      <c r="D3787" s="28">
        <f t="shared" ref="D3787:M3787" si="822">D3784*D3781</f>
        <v>116.15482546201234</v>
      </c>
      <c r="E3787" s="28">
        <f t="shared" si="822"/>
        <v>589.90000000000009</v>
      </c>
      <c r="F3787" s="28">
        <f t="shared" si="822"/>
        <v>1133.8</v>
      </c>
      <c r="G3787" s="28">
        <f t="shared" si="822"/>
        <v>1483.4499999999998</v>
      </c>
      <c r="H3787" s="28">
        <f t="shared" si="822"/>
        <v>1600</v>
      </c>
      <c r="I3787" s="28">
        <f t="shared" si="822"/>
        <v>1600</v>
      </c>
      <c r="J3787" s="28">
        <f t="shared" si="822"/>
        <v>1600</v>
      </c>
      <c r="K3787" s="28">
        <f t="shared" si="822"/>
        <v>1600</v>
      </c>
      <c r="L3787" s="28">
        <f t="shared" si="822"/>
        <v>1600</v>
      </c>
      <c r="M3787" s="28">
        <f t="shared" si="822"/>
        <v>1600</v>
      </c>
    </row>
    <row r="3788" spans="1:13" ht="15" customHeight="1" x14ac:dyDescent="0.2">
      <c r="B3788" s="10" t="s">
        <v>897</v>
      </c>
      <c r="C3788" s="10" t="s">
        <v>110</v>
      </c>
      <c r="D3788" s="16">
        <f>D3787*($D$3807/Inputs!$D$21+$D$3808/Inputs!$D$22)</f>
        <v>1680.51014411561</v>
      </c>
      <c r="E3788" s="16">
        <f>E3787*($D$3807/Inputs!$D$21+$D$3808/Inputs!$D$22)</f>
        <v>8534.5824426210111</v>
      </c>
      <c r="F3788" s="16">
        <f>F3787*($D$3807/Inputs!$D$21+$D$3808/Inputs!$D$22)</f>
        <v>16403.643962440583</v>
      </c>
      <c r="G3788" s="16">
        <f>G3787*($D$3807/Inputs!$D$21+$D$3808/Inputs!$D$22)</f>
        <v>21462.326368038881</v>
      </c>
      <c r="H3788" s="16">
        <f>H3787*($D$3807/Inputs!$D$21+$D$3808/Inputs!$D$22)</f>
        <v>23148.553836571649</v>
      </c>
      <c r="I3788" s="16">
        <f>I3787*($D$3807/Inputs!$D$21+$D$3808/Inputs!$D$22)</f>
        <v>23148.553836571649</v>
      </c>
      <c r="J3788" s="16">
        <f>J3787*($D$3807/Inputs!$D$21+$D$3808/Inputs!$D$22)</f>
        <v>23148.553836571649</v>
      </c>
      <c r="K3788" s="16">
        <f>K3787*($D$3807/Inputs!$D$21+$D$3808/Inputs!$D$22)</f>
        <v>23148.553836571649</v>
      </c>
      <c r="L3788" s="16">
        <f>L3787*($D$3807/Inputs!$D$21+$D$3808/Inputs!$D$22)</f>
        <v>23148.553836571649</v>
      </c>
      <c r="M3788" s="16">
        <f>M3787*($D$3807/Inputs!$D$21+$D$3808/Inputs!$D$22)</f>
        <v>23148.553836571649</v>
      </c>
    </row>
    <row r="3789" spans="1:13" ht="15" customHeight="1" x14ac:dyDescent="0.2">
      <c r="B3789" s="10" t="s">
        <v>898</v>
      </c>
      <c r="C3789" s="10" t="s">
        <v>110</v>
      </c>
      <c r="D3789" s="16">
        <f t="shared" ref="D3789:M3789" si="823">D3785*($D$3807+$D$3808)</f>
        <v>13977.887419483886</v>
      </c>
      <c r="E3789" s="16">
        <f t="shared" si="823"/>
        <v>37274.36645195703</v>
      </c>
      <c r="F3789" s="16">
        <f t="shared" si="823"/>
        <v>27955.774838967762</v>
      </c>
      <c r="G3789" s="16">
        <f t="shared" si="823"/>
        <v>13977.887419483894</v>
      </c>
      <c r="H3789" s="16">
        <f t="shared" si="823"/>
        <v>0</v>
      </c>
      <c r="I3789" s="16">
        <f t="shared" si="823"/>
        <v>0</v>
      </c>
      <c r="J3789" s="16">
        <f t="shared" si="823"/>
        <v>0</v>
      </c>
      <c r="K3789" s="16">
        <f t="shared" si="823"/>
        <v>0</v>
      </c>
      <c r="L3789" s="16">
        <f t="shared" si="823"/>
        <v>0</v>
      </c>
      <c r="M3789" s="16">
        <f t="shared" si="823"/>
        <v>0</v>
      </c>
    </row>
    <row r="3790" spans="1:13" ht="15" customHeight="1" x14ac:dyDescent="0.2">
      <c r="B3790" s="10" t="s">
        <v>899</v>
      </c>
      <c r="C3790" s="10" t="s">
        <v>110</v>
      </c>
      <c r="D3790" s="16">
        <f t="shared" ref="D3790:M3790" si="824">D3786*$D$3807</f>
        <v>0</v>
      </c>
      <c r="E3790" s="16">
        <f t="shared" si="824"/>
        <v>0</v>
      </c>
      <c r="F3790" s="16">
        <f t="shared" si="824"/>
        <v>0</v>
      </c>
      <c r="G3790" s="16">
        <f t="shared" si="824"/>
        <v>2638.0048485671714</v>
      </c>
      <c r="H3790" s="16">
        <f t="shared" si="824"/>
        <v>13367.802830456689</v>
      </c>
      <c r="I3790" s="16">
        <f t="shared" si="824"/>
        <v>35647.47421455117</v>
      </c>
      <c r="J3790" s="16">
        <f t="shared" si="824"/>
        <v>26735.605660913367</v>
      </c>
      <c r="K3790" s="16">
        <f t="shared" si="824"/>
        <v>16005.807679023867</v>
      </c>
      <c r="L3790" s="16">
        <f t="shared" si="824"/>
        <v>13367.802830456689</v>
      </c>
      <c r="M3790" s="16">
        <f t="shared" si="824"/>
        <v>35647.47421455117</v>
      </c>
    </row>
    <row r="3791" spans="1:13" ht="15" customHeight="1" x14ac:dyDescent="0.2">
      <c r="B3791" s="10" t="s">
        <v>900</v>
      </c>
      <c r="C3791" s="10" t="s">
        <v>199</v>
      </c>
      <c r="D3791" s="28">
        <f>D3785*Inputs!$D$23</f>
        <v>5.8275000000000006</v>
      </c>
      <c r="E3791" s="28">
        <f>E3785*Inputs!$D$23</f>
        <v>15.540000000000001</v>
      </c>
      <c r="F3791" s="28">
        <f>F3785*Inputs!$D$23</f>
        <v>11.654999999999996</v>
      </c>
      <c r="G3791" s="28">
        <f>G3785*Inputs!$D$23</f>
        <v>5.8275000000000041</v>
      </c>
      <c r="H3791" s="28">
        <f>H3785*Inputs!$D$23</f>
        <v>0</v>
      </c>
      <c r="I3791" s="28">
        <f>I3785*Inputs!$D$23</f>
        <v>0</v>
      </c>
      <c r="J3791" s="28">
        <f>J3785*Inputs!$D$23</f>
        <v>0</v>
      </c>
      <c r="K3791" s="28">
        <f>K3785*Inputs!$D$23</f>
        <v>0</v>
      </c>
      <c r="L3791" s="28">
        <f>L3785*Inputs!$D$23</f>
        <v>0</v>
      </c>
      <c r="M3791" s="28">
        <f>M3785*Inputs!$D$23</f>
        <v>0</v>
      </c>
    </row>
    <row r="3792" spans="1:13" ht="15" customHeight="1" x14ac:dyDescent="0.2">
      <c r="B3792" s="3" t="s">
        <v>901</v>
      </c>
      <c r="C3792" s="10" t="s">
        <v>896</v>
      </c>
      <c r="D3792" s="28">
        <f>(D3787*$D$3805*(Inputs!$D$7-Inputs!$D$19)-D3791)/(Inputs!$D$7+$D$3806)^D3780</f>
        <v>50.541318213721269</v>
      </c>
      <c r="E3792" s="28">
        <f>(E3787*$D$3805*(Inputs!$D$7-Inputs!$D$19)-E3791)/(Inputs!$D$7+$D$3806)^E3780</f>
        <v>238.4864713152904</v>
      </c>
      <c r="F3792" s="28">
        <f>(F3787*$D$3805*(Inputs!$D$7-Inputs!$D$19)-F3791)/(Inputs!$D$7+$D$3806)^F3780</f>
        <v>418.74491871678316</v>
      </c>
      <c r="G3792" s="28">
        <f>(G3787*$D$3805*(Inputs!$D$7-Inputs!$D$19)-G3791)/(Inputs!$D$7+$D$3806)^G3780</f>
        <v>490.87392073514752</v>
      </c>
      <c r="H3792" s="28">
        <f>(H3787*$D$3805*(Inputs!$D$7-Inputs!$D$19)-H3791)/(Inputs!$D$7+$D$3806)^H3780</f>
        <v>472.10300862628105</v>
      </c>
      <c r="I3792" s="28">
        <f>(I3787*$D$3805*(Inputs!$D$7-Inputs!$D$19)-I3791)/(Inputs!$D$7+$D$3806)^I3780</f>
        <v>417.68543753228789</v>
      </c>
      <c r="J3792" s="28">
        <f>(J3787*$D$3805*(Inputs!$D$7-Inputs!$D$19)-J3791)/(Inputs!$D$7+$D$3806)^J3780</f>
        <v>369.66405292491049</v>
      </c>
      <c r="K3792" s="28">
        <f>(K3787*$D$3805*(Inputs!$D$7-Inputs!$D$19)-K3791)/(Inputs!$D$7+$D$3806)^K3780</f>
        <v>327.16369723641031</v>
      </c>
      <c r="L3792" s="28">
        <f>(L3787*$D$3805*(Inputs!$D$7-Inputs!$D$19)-L3791)/(Inputs!$D$7+$D$3806)^L3780</f>
        <v>289.54961658427663</v>
      </c>
      <c r="M3792" s="28">
        <f>(M3787*$D$3805*(Inputs!$D$7-Inputs!$D$19)-M3791)/(Inputs!$D$7+$D$3806)^M3780</f>
        <v>256.17430111750662</v>
      </c>
    </row>
    <row r="3793" spans="2:13" ht="15" customHeight="1" x14ac:dyDescent="0.2">
      <c r="B3793" s="10" t="s">
        <v>902</v>
      </c>
      <c r="C3793" s="10" t="s">
        <v>110</v>
      </c>
      <c r="D3793" s="16">
        <f>(D3788*Inputs!$D$19-D3789-D3790)/(Inputs!$D$7+$D$3806)^D3780</f>
        <v>-12346.937146613671</v>
      </c>
      <c r="E3793" s="16">
        <f>(E3788*Inputs!$D$19-E3789-E3790)/(Inputs!$D$7+$D$3806)^E3780</f>
        <v>-28144.165592831177</v>
      </c>
      <c r="F3793" s="16">
        <f>(F3788*Inputs!$D$19-F3789-F3790)/(Inputs!$D$7+$D$3806)^F3780</f>
        <v>-16528.13772562052</v>
      </c>
      <c r="G3793" s="16">
        <f>(G3788*Inputs!$D$19-G3789-G3790)/(Inputs!$D$7+$D$3806)^G3780</f>
        <v>-6462.9033875784253</v>
      </c>
      <c r="H3793" s="16">
        <f>(H3788*Inputs!$D$19-H3789-H3790)/(Inputs!$D$7+$D$3806)^H3780</f>
        <v>-3610.0349541710043</v>
      </c>
      <c r="I3793" s="16">
        <f>(I3788*Inputs!$D$19-I3789-I3790)/(Inputs!$D$7+$D$3806)^I3780</f>
        <v>-14272.365134506323</v>
      </c>
      <c r="J3793" s="16">
        <f>(J3788*Inputs!$D$19-J3789-J3790)/(Inputs!$D$7+$D$3806)^J3780</f>
        <v>-8709.5665200501735</v>
      </c>
      <c r="K3793" s="16">
        <f>(K3788*Inputs!$D$19-K3789-K3790)/(Inputs!$D$7+$D$3806)^K3780</f>
        <v>-3529.1777141306115</v>
      </c>
      <c r="L3793" s="16">
        <f>(L3788*Inputs!$D$19-L3789-L3790)/(Inputs!$D$7+$D$3806)^L3780</f>
        <v>-2214.1020449702382</v>
      </c>
      <c r="M3793" s="16">
        <f>(M3788*Inputs!$D$19-M3789-M3790)/(Inputs!$D$7+$D$3806)^M3780</f>
        <v>-8753.5088252709138</v>
      </c>
    </row>
    <row r="3794" spans="2:13" ht="15" customHeight="1" x14ac:dyDescent="0.2">
      <c r="B3794" s="10" t="s">
        <v>903</v>
      </c>
      <c r="C3794" s="10" t="s">
        <v>110</v>
      </c>
      <c r="D3794" s="16">
        <f t="shared" ref="D3794:M3794" si="825">D3787*$D$3804</f>
        <v>4067.3676374580104</v>
      </c>
      <c r="E3794" s="16">
        <f t="shared" si="825"/>
        <v>20656.396837522425</v>
      </c>
      <c r="F3794" s="16">
        <f t="shared" si="825"/>
        <v>39702.021926399255</v>
      </c>
      <c r="G3794" s="16">
        <f t="shared" si="825"/>
        <v>51945.638054962925</v>
      </c>
      <c r="H3794" s="16">
        <f t="shared" si="825"/>
        <v>56026.843431150824</v>
      </c>
      <c r="I3794" s="16">
        <f t="shared" si="825"/>
        <v>56026.843431150824</v>
      </c>
      <c r="J3794" s="16">
        <f t="shared" si="825"/>
        <v>56026.843431150824</v>
      </c>
      <c r="K3794" s="16">
        <f t="shared" si="825"/>
        <v>56026.843431150824</v>
      </c>
      <c r="L3794" s="16">
        <f t="shared" si="825"/>
        <v>56026.843431150824</v>
      </c>
      <c r="M3794" s="16">
        <f t="shared" si="825"/>
        <v>56026.843431150824</v>
      </c>
    </row>
    <row r="3795" spans="2:13" ht="15" customHeight="1" x14ac:dyDescent="0.2">
      <c r="B3795" s="10" t="s">
        <v>904</v>
      </c>
      <c r="C3795" s="10" t="s">
        <v>110</v>
      </c>
      <c r="D3795" s="16">
        <f t="shared" ref="D3795:M3795" si="826">D3794*$D$3805</f>
        <v>3050.525728093508</v>
      </c>
      <c r="E3795" s="16">
        <f t="shared" si="826"/>
        <v>15492.29762814182</v>
      </c>
      <c r="F3795" s="16">
        <f t="shared" si="826"/>
        <v>29776.516444799439</v>
      </c>
      <c r="G3795" s="16">
        <f t="shared" si="826"/>
        <v>38959.228541222197</v>
      </c>
      <c r="H3795" s="16">
        <f t="shared" si="826"/>
        <v>42020.132573363117</v>
      </c>
      <c r="I3795" s="16">
        <f t="shared" si="826"/>
        <v>42020.132573363117</v>
      </c>
      <c r="J3795" s="16">
        <f t="shared" si="826"/>
        <v>42020.132573363117</v>
      </c>
      <c r="K3795" s="16">
        <f t="shared" si="826"/>
        <v>42020.132573363117</v>
      </c>
      <c r="L3795" s="16">
        <f t="shared" si="826"/>
        <v>42020.132573363117</v>
      </c>
      <c r="M3795" s="16">
        <f t="shared" si="826"/>
        <v>42020.132573363117</v>
      </c>
    </row>
    <row r="3796" spans="2:13" ht="15" customHeight="1" x14ac:dyDescent="0.2">
      <c r="B3796" s="10" t="s">
        <v>905</v>
      </c>
      <c r="C3796" s="10" t="s">
        <v>110</v>
      </c>
      <c r="D3796" s="16">
        <f t="shared" ref="D3796:M3796" si="827">D3795-D3788</f>
        <v>1370.0155839778979</v>
      </c>
      <c r="E3796" s="16">
        <f t="shared" si="827"/>
        <v>6957.7151855208085</v>
      </c>
      <c r="F3796" s="16">
        <f t="shared" si="827"/>
        <v>13372.872482358856</v>
      </c>
      <c r="G3796" s="16">
        <f t="shared" si="827"/>
        <v>17496.902173183316</v>
      </c>
      <c r="H3796" s="16">
        <f t="shared" si="827"/>
        <v>18871.578736791467</v>
      </c>
      <c r="I3796" s="16">
        <f t="shared" si="827"/>
        <v>18871.578736791467</v>
      </c>
      <c r="J3796" s="16">
        <f t="shared" si="827"/>
        <v>18871.578736791467</v>
      </c>
      <c r="K3796" s="16">
        <f t="shared" si="827"/>
        <v>18871.578736791467</v>
      </c>
      <c r="L3796" s="16">
        <f t="shared" si="827"/>
        <v>18871.578736791467</v>
      </c>
      <c r="M3796" s="16">
        <f t="shared" si="827"/>
        <v>18871.578736791467</v>
      </c>
    </row>
    <row r="3797" spans="2:13" ht="15" customHeight="1" x14ac:dyDescent="0.2">
      <c r="B3797" s="10" t="s">
        <v>906</v>
      </c>
      <c r="C3797" s="10" t="s">
        <v>110</v>
      </c>
      <c r="D3797" s="16">
        <f>MAX(D3796,Inputs!$D$6)*Inputs!$D$19</f>
        <v>411.00467519336934</v>
      </c>
      <c r="E3797" s="16">
        <f>MAX(E3796,Inputs!$D$6)*Inputs!$D$19</f>
        <v>2087.3145556562426</v>
      </c>
      <c r="F3797" s="16">
        <f>MAX(F3796,Inputs!$D$6)*Inputs!$D$19</f>
        <v>4011.8617447076567</v>
      </c>
      <c r="G3797" s="16">
        <f>MAX(G3796,Inputs!$D$6)*Inputs!$D$19</f>
        <v>5249.0706519549949</v>
      </c>
      <c r="H3797" s="16">
        <f>MAX(H3796,Inputs!$D$6)*Inputs!$D$19</f>
        <v>5661.4736210374404</v>
      </c>
      <c r="I3797" s="16">
        <f>MAX(I3796,Inputs!$D$6)*Inputs!$D$19</f>
        <v>5661.4736210374404</v>
      </c>
      <c r="J3797" s="16">
        <f>MAX(J3796,Inputs!$D$6)*Inputs!$D$19</f>
        <v>5661.4736210374404</v>
      </c>
      <c r="K3797" s="16">
        <f>MAX(K3796,Inputs!$D$6)*Inputs!$D$19</f>
        <v>5661.4736210374404</v>
      </c>
      <c r="L3797" s="16">
        <f>MAX(L3796,Inputs!$D$6)*Inputs!$D$19</f>
        <v>5661.4736210374404</v>
      </c>
      <c r="M3797" s="16">
        <f>MAX(M3796,Inputs!$D$6)*Inputs!$D$19</f>
        <v>5661.4736210374404</v>
      </c>
    </row>
    <row r="3798" spans="2:13" ht="15" customHeight="1" x14ac:dyDescent="0.2">
      <c r="B3798" s="10" t="s">
        <v>907</v>
      </c>
      <c r="C3798" s="10" t="s">
        <v>110</v>
      </c>
      <c r="D3798" s="16">
        <f t="shared" ref="D3798:M3798" si="828">D3791*$D$3804</f>
        <v>204.06026880939467</v>
      </c>
      <c r="E3798" s="16">
        <f t="shared" si="828"/>
        <v>544.16071682505242</v>
      </c>
      <c r="F3798" s="16">
        <f t="shared" si="828"/>
        <v>408.12053761878917</v>
      </c>
      <c r="G3798" s="16">
        <f t="shared" si="828"/>
        <v>204.06026880939478</v>
      </c>
      <c r="H3798" s="16">
        <f t="shared" si="828"/>
        <v>0</v>
      </c>
      <c r="I3798" s="16">
        <f t="shared" si="828"/>
        <v>0</v>
      </c>
      <c r="J3798" s="16">
        <f t="shared" si="828"/>
        <v>0</v>
      </c>
      <c r="K3798" s="16">
        <f t="shared" si="828"/>
        <v>0</v>
      </c>
      <c r="L3798" s="16">
        <f t="shared" si="828"/>
        <v>0</v>
      </c>
      <c r="M3798" s="16">
        <f t="shared" si="828"/>
        <v>0</v>
      </c>
    </row>
    <row r="3799" spans="2:13" ht="15" customHeight="1" x14ac:dyDescent="0.2">
      <c r="B3799" s="10" t="s">
        <v>908</v>
      </c>
      <c r="C3799" s="10" t="s">
        <v>110</v>
      </c>
      <c r="D3799" s="16">
        <f t="shared" ref="D3799:M3799" si="829">D3795-D3797-D3789-D3790-D3798</f>
        <v>-11542.426635393143</v>
      </c>
      <c r="E3799" s="16">
        <f t="shared" si="829"/>
        <v>-24413.544096296504</v>
      </c>
      <c r="F3799" s="16">
        <f t="shared" si="829"/>
        <v>-2599.2406764947691</v>
      </c>
      <c r="G3799" s="16">
        <f t="shared" si="829"/>
        <v>16890.205352406745</v>
      </c>
      <c r="H3799" s="16">
        <f t="shared" si="829"/>
        <v>22990.856121868987</v>
      </c>
      <c r="I3799" s="16">
        <f t="shared" si="829"/>
        <v>711.18473777450708</v>
      </c>
      <c r="J3799" s="16">
        <f t="shared" si="829"/>
        <v>9623.0532914123105</v>
      </c>
      <c r="K3799" s="16">
        <f t="shared" si="829"/>
        <v>20352.851273301811</v>
      </c>
      <c r="L3799" s="16">
        <f t="shared" si="829"/>
        <v>22990.856121868987</v>
      </c>
      <c r="M3799" s="16">
        <f t="shared" si="829"/>
        <v>711.18473777450708</v>
      </c>
    </row>
    <row r="3800" spans="2:13" ht="15" customHeight="1" x14ac:dyDescent="0.2">
      <c r="B3800" s="10" t="s">
        <v>909</v>
      </c>
      <c r="C3800" s="10" t="s">
        <v>110</v>
      </c>
      <c r="D3800" s="16">
        <f>D3799/(Inputs!$D$7+$D$3806)^D3780</f>
        <v>-10577.14307013609</v>
      </c>
      <c r="E3800" s="16">
        <f>E3799/(Inputs!$D$7+$D$3806)^E3780</f>
        <v>-19793.137974812787</v>
      </c>
      <c r="F3800" s="16">
        <f>F3799/(Inputs!$D$7+$D$3806)^F3780</f>
        <v>-1865.0402265360249</v>
      </c>
      <c r="G3800" s="16">
        <f>G3799/(Inputs!$D$7+$D$3806)^G3780</f>
        <v>10725.919300836109</v>
      </c>
      <c r="H3800" s="16">
        <f>H3799/(Inputs!$D$7+$D$3806)^H3780</f>
        <v>12921.49088812893</v>
      </c>
      <c r="I3800" s="16">
        <f>I3799/(Inputs!$D$7+$D$3806)^I3780</f>
        <v>353.63274805194101</v>
      </c>
      <c r="J3800" s="16">
        <f>J3799/(Inputs!$D$7+$D$3806)^J3780</f>
        <v>4234.8772395427077</v>
      </c>
      <c r="K3800" s="16">
        <f>K3799/(Inputs!$D$7+$D$3806)^K3780</f>
        <v>7927.0405617573833</v>
      </c>
      <c r="L3800" s="16">
        <f>L3799/(Inputs!$D$7+$D$3806)^L3780</f>
        <v>7924.9923512278974</v>
      </c>
      <c r="M3800" s="16">
        <f>M3799/(Inputs!$D$7+$D$3806)^M3780</f>
        <v>216.88958710097805</v>
      </c>
    </row>
    <row r="3801" spans="2:13" ht="15" customHeight="1" x14ac:dyDescent="0.2">
      <c r="B3801" s="3" t="s">
        <v>910</v>
      </c>
      <c r="C3801" s="10" t="s">
        <v>896</v>
      </c>
      <c r="D3801" s="28">
        <f>(D3787*$D$3805-D3791)/(Inputs!$D$7+$D$3806)^D3780</f>
        <v>74.490519309095831</v>
      </c>
      <c r="E3801" s="28">
        <f>(E3787*$D$3805-E3791)/(Inputs!$D$7+$D$3806)^E3780</f>
        <v>346.09451503846662</v>
      </c>
      <c r="F3801" s="28">
        <f>(F3787*$D$3805-F3791)/(Inputs!$D$7+$D$3806)^F3780</f>
        <v>601.79110266312398</v>
      </c>
      <c r="G3801" s="28">
        <f>(G3787*$D$3805-G3791)/(Inputs!$D$7+$D$3806)^G3780</f>
        <v>702.83446516544734</v>
      </c>
      <c r="H3801" s="28">
        <f>(H3787*$D$3805-H3791)/(Inputs!$D$7+$D$3806)^H3780</f>
        <v>674.43286946611579</v>
      </c>
      <c r="I3801" s="28">
        <f>(I3787*$D$3805-I3791)/(Inputs!$D$7+$D$3806)^I3780</f>
        <v>596.69348218898278</v>
      </c>
      <c r="J3801" s="28">
        <f>(J3787*$D$3805-J3791)/(Inputs!$D$7+$D$3806)^J3780</f>
        <v>528.09150417844353</v>
      </c>
      <c r="K3801" s="28">
        <f>(K3787*$D$3805-K3791)/(Inputs!$D$7+$D$3806)^K3780</f>
        <v>467.37671033772904</v>
      </c>
      <c r="L3801" s="28">
        <f>(L3787*$D$3805-L3791)/(Inputs!$D$7+$D$3806)^L3780</f>
        <v>413.64230940610946</v>
      </c>
      <c r="M3801" s="28">
        <f>(M3787*$D$3805-M3791)/(Inputs!$D$7+$D$3806)^M3780</f>
        <v>365.96328731072373</v>
      </c>
    </row>
    <row r="3802" spans="2:13" ht="15" customHeight="1" x14ac:dyDescent="0.2">
      <c r="B3802" s="10" t="s">
        <v>911</v>
      </c>
      <c r="C3802" s="10" t="s">
        <v>110</v>
      </c>
      <c r="D3802" s="16">
        <f>(-D3789-D3790)/(Inputs!$D$7+$D$3806)^D3780</f>
        <v>-12808.928289029636</v>
      </c>
      <c r="E3802" s="16">
        <f>(-E3789-E3790)/(Inputs!$D$7+$D$3806)^E3780</f>
        <v>-30219.974420642928</v>
      </c>
      <c r="F3802" s="16">
        <f>(-F3789-F3790)/(Inputs!$D$7+$D$3806)^F3780</f>
        <v>-20059.183095337907</v>
      </c>
      <c r="G3802" s="16">
        <f>(-G3789-G3790)/(Inputs!$D$7+$D$3806)^G3780</f>
        <v>-10551.720115889953</v>
      </c>
      <c r="H3802" s="16">
        <f>(-H3789-H3790)/(Inputs!$D$7+$D$3806)^H3780</f>
        <v>-7513.0713511684744</v>
      </c>
      <c r="I3802" s="16">
        <f>(-I3789-I3790)/(Inputs!$D$7+$D$3806)^I3780</f>
        <v>-17725.512933602091</v>
      </c>
      <c r="J3802" s="16">
        <f>(-J3789-J3790)/(Inputs!$D$7+$D$3806)^J3780</f>
        <v>-11765.705173827875</v>
      </c>
      <c r="K3802" s="16">
        <f>(-K3789-K3790)/(Inputs!$D$7+$D$3806)^K3780</f>
        <v>-6233.95144943378</v>
      </c>
      <c r="L3802" s="16">
        <f>(-L3789-L3790)/(Inputs!$D$7+$D$3806)^L3780</f>
        <v>-4607.9073620630261</v>
      </c>
      <c r="M3802" s="16">
        <f>(-M3789-M3790)/(Inputs!$D$7+$D$3806)^M3780</f>
        <v>-10871.389039901173</v>
      </c>
    </row>
    <row r="3803" spans="2:13" ht="15" customHeight="1" x14ac:dyDescent="0.2">
      <c r="B3803" s="10" t="s">
        <v>912</v>
      </c>
      <c r="C3803" s="10" t="s">
        <v>110</v>
      </c>
      <c r="D3803" s="16">
        <f>Prices!K19</f>
        <v>44328.700386874909</v>
      </c>
    </row>
    <row r="3804" spans="2:13" ht="15" customHeight="1" x14ac:dyDescent="0.2">
      <c r="B3804" s="3" t="s">
        <v>913</v>
      </c>
      <c r="C3804" s="10" t="s">
        <v>914</v>
      </c>
      <c r="D3804" s="28">
        <f>IF(J3811&gt;=J3807,J3811,(D3803-J3810)/J3809)</f>
        <v>35.016777144469266</v>
      </c>
      <c r="G3804" s="99" t="s">
        <v>915</v>
      </c>
      <c r="H3804" s="91"/>
      <c r="I3804" s="91"/>
      <c r="J3804" s="28">
        <f>D3804*Inputs!$D$15</f>
        <v>24.438208769125101</v>
      </c>
      <c r="K3804" s="99" t="s">
        <v>916</v>
      </c>
      <c r="L3804" s="91"/>
      <c r="M3804" s="91"/>
    </row>
    <row r="3805" spans="2:13" ht="15" customHeight="1" x14ac:dyDescent="0.2">
      <c r="B3805" s="10" t="s">
        <v>917</v>
      </c>
      <c r="C3805" s="10" t="s">
        <v>104</v>
      </c>
      <c r="D3805" s="30">
        <f>Inputs!$D$94</f>
        <v>0.75</v>
      </c>
      <c r="G3805" s="99" t="s">
        <v>918</v>
      </c>
      <c r="H3805" s="91"/>
      <c r="I3805" s="91"/>
      <c r="J3805" s="28">
        <f>IF(-D3816/D3815&gt;=J3807,-D3816/D3815,-J3810/J3809)</f>
        <v>27.411702074287536</v>
      </c>
      <c r="K3805" s="99" t="s">
        <v>919</v>
      </c>
      <c r="L3805" s="91"/>
      <c r="M3805" s="91"/>
    </row>
    <row r="3806" spans="2:13" ht="15" customHeight="1" x14ac:dyDescent="0.2">
      <c r="B3806" s="10" t="s">
        <v>920</v>
      </c>
      <c r="C3806" s="10" t="s">
        <v>104</v>
      </c>
      <c r="D3806" s="30">
        <f>Inputs!$D$95</f>
        <v>0.13</v>
      </c>
      <c r="G3806" s="99" t="s">
        <v>918</v>
      </c>
      <c r="H3806" s="91"/>
      <c r="I3806" s="91"/>
      <c r="J3806" s="28">
        <f>J3805*Inputs!$D$15</f>
        <v>19.13062687764527</v>
      </c>
      <c r="K3806" s="99" t="s">
        <v>916</v>
      </c>
      <c r="L3806" s="91"/>
      <c r="M3806" s="91"/>
    </row>
    <row r="3807" spans="2:13" ht="15" customHeight="1" x14ac:dyDescent="0.2">
      <c r="B3807" s="3" t="s">
        <v>921</v>
      </c>
      <c r="C3807" s="10" t="s">
        <v>848</v>
      </c>
      <c r="D3807" s="28">
        <f>Capital!$D$13</f>
        <v>57.347931490590682</v>
      </c>
      <c r="G3807" s="99" t="s">
        <v>922</v>
      </c>
      <c r="H3807" s="91"/>
      <c r="I3807" s="91"/>
      <c r="J3807" s="28">
        <f>($D$3807/Inputs!$D$21+$D$3808/Inputs!$D$22)/$D$3805</f>
        <v>19.290461530476374</v>
      </c>
      <c r="K3807" s="99" t="s">
        <v>919</v>
      </c>
      <c r="L3807" s="91"/>
      <c r="M3807" s="91"/>
    </row>
    <row r="3808" spans="2:13" ht="15" customHeight="1" x14ac:dyDescent="0.2">
      <c r="B3808" s="3" t="s">
        <v>923</v>
      </c>
      <c r="C3808" s="10" t="s">
        <v>848</v>
      </c>
      <c r="D3808" s="28">
        <f>Capital!$D$14</f>
        <v>2.6172655041921802</v>
      </c>
    </row>
    <row r="3809" spans="1:13" ht="15" customHeight="1" x14ac:dyDescent="0.2">
      <c r="B3809" s="10" t="s">
        <v>924</v>
      </c>
      <c r="C3809" s="10" t="s">
        <v>896</v>
      </c>
      <c r="D3809" s="28">
        <f>(M3782*(Inputs!$D$7+Inputs!$D$20)*$D$3805*(Inputs!$D$7-Inputs!$D$19)-M3782*Inputs!$D$20*Inputs!$D$23)/($D$3806-Inputs!$D$20)/(Inputs!$D$7+$D$3806)^M3780</f>
        <v>2497.8446594223992</v>
      </c>
      <c r="G3809" s="92" t="s">
        <v>910</v>
      </c>
      <c r="H3809" s="91"/>
      <c r="I3809" s="91"/>
      <c r="J3809" s="28">
        <f>SUM(D3801:M3801)+(M3782*(Inputs!$D$7+Inputs!$D$20)*$D$3805-M3782*Inputs!$D$20*Inputs!$D$23)/($D$3806-Inputs!$D$20)/(Inputs!$D$7+$D$3806)^M3780</f>
        <v>8341.0050516109004</v>
      </c>
      <c r="K3809" s="99" t="s">
        <v>896</v>
      </c>
      <c r="L3809" s="91"/>
      <c r="M3809" s="91"/>
    </row>
    <row r="3810" spans="1:13" ht="15" customHeight="1" x14ac:dyDescent="0.2">
      <c r="B3810" s="10" t="s">
        <v>925</v>
      </c>
      <c r="C3810" s="10" t="s">
        <v>110</v>
      </c>
      <c r="D3810" s="16">
        <f>(D3813*Inputs!$D$19-D3813-D3814)/($D$3806-Inputs!$D$20)/(Inputs!$D$7+$D$3806)^M3780</f>
        <v>-55207.290798783099</v>
      </c>
      <c r="G3810" s="92" t="s">
        <v>926</v>
      </c>
      <c r="H3810" s="91"/>
      <c r="I3810" s="91"/>
      <c r="J3810" s="16">
        <f>SUM(D3802:M3802)-(D3813+D3814)/($D$3806-Inputs!$D$20)/(Inputs!$D$7+$D$3806)^M3780</f>
        <v>-208239.17898202292</v>
      </c>
      <c r="K3810" s="99" t="s">
        <v>110</v>
      </c>
      <c r="L3810" s="91"/>
      <c r="M3810" s="91"/>
    </row>
    <row r="3811" spans="1:13" ht="15" customHeight="1" x14ac:dyDescent="0.2">
      <c r="B3811" s="10" t="s">
        <v>927</v>
      </c>
      <c r="C3811" s="10" t="s">
        <v>928</v>
      </c>
      <c r="D3811" s="16">
        <f>(M3782*(Inputs!$D$7+Inputs!$D$20)*$D$3804*$D$3805-D3813)-MAX((M3782*(Inputs!$D$7+Inputs!$D$20)*$D$3804*$D$3805-D3813),Inputs!$D$6)*Inputs!$D$19-D3814-M3782*Inputs!$D$20*$D$3804*Inputs!$D$23</f>
        <v>11106.733086712098</v>
      </c>
      <c r="G3811" s="99" t="s">
        <v>929</v>
      </c>
      <c r="H3811" s="91"/>
      <c r="I3811" s="91"/>
      <c r="J3811" s="28">
        <f>(D3803-D3816)/D3815</f>
        <v>35.016777144469266</v>
      </c>
      <c r="K3811" s="99" t="s">
        <v>919</v>
      </c>
      <c r="L3811" s="91"/>
      <c r="M3811" s="91"/>
    </row>
    <row r="3812" spans="1:13" ht="15" customHeight="1" x14ac:dyDescent="0.2">
      <c r="B3812" s="10" t="s">
        <v>930</v>
      </c>
      <c r="C3812" s="10" t="s">
        <v>110</v>
      </c>
      <c r="D3812" s="16">
        <f>D3811/($D$3806-Inputs!$D$20)</f>
        <v>105778.41034963902</v>
      </c>
      <c r="G3812" s="99" t="s">
        <v>931</v>
      </c>
      <c r="H3812" s="91"/>
      <c r="I3812" s="91"/>
      <c r="J3812" s="16">
        <f>MIN(D3796:M3796,(M3782*(Inputs!$D$7+Inputs!$D$20)*$D$3804*$D$3805-D3813))</f>
        <v>1370.0155839778979</v>
      </c>
      <c r="K3812" s="99" t="s">
        <v>110</v>
      </c>
      <c r="L3812" s="91"/>
      <c r="M3812" s="91"/>
    </row>
    <row r="3813" spans="1:13" ht="15" customHeight="1" x14ac:dyDescent="0.2">
      <c r="B3813" s="10" t="s">
        <v>932</v>
      </c>
      <c r="C3813" s="10" t="s">
        <v>928</v>
      </c>
      <c r="D3813" s="16">
        <f>M3782*(Inputs!$D$7+Inputs!$D$20)*($D$3807/Inputs!$D$21+$D$3808/Inputs!$D$22)</f>
        <v>23727.267682485937</v>
      </c>
      <c r="G3813" s="99" t="s">
        <v>933</v>
      </c>
      <c r="H3813" s="91"/>
      <c r="I3813" s="91"/>
      <c r="J3813" s="31" t="str">
        <f>IF(J3812&lt;Inputs!$D$6,"breached","satisfied")</f>
        <v>satisfied</v>
      </c>
      <c r="K3813" s="99" t="s">
        <v>934</v>
      </c>
      <c r="L3813" s="91"/>
      <c r="M3813" s="91"/>
    </row>
    <row r="3814" spans="1:13" ht="15" customHeight="1" x14ac:dyDescent="0.2">
      <c r="B3814" s="10" t="s">
        <v>935</v>
      </c>
      <c r="C3814" s="10" t="s">
        <v>928</v>
      </c>
      <c r="D3814" s="16">
        <f>M3782*Inputs!$D$20*($D$3807+$D$3808)</f>
        <v>2398.6078797913146</v>
      </c>
    </row>
    <row r="3815" spans="1:13" ht="15" customHeight="1" x14ac:dyDescent="0.2">
      <c r="B3815" s="10" t="s">
        <v>936</v>
      </c>
      <c r="C3815" s="10" t="s">
        <v>896</v>
      </c>
      <c r="D3815" s="28">
        <f>SUM(D3792:M3792)+D3809</f>
        <v>5828.8314024250149</v>
      </c>
      <c r="G3815" s="99" t="s">
        <v>937</v>
      </c>
      <c r="H3815" s="91"/>
      <c r="I3815" s="91"/>
      <c r="J3815" s="16">
        <f>D3817-D3803</f>
        <v>0</v>
      </c>
      <c r="K3815" s="99" t="s">
        <v>110</v>
      </c>
      <c r="L3815" s="91"/>
      <c r="M3815" s="91"/>
    </row>
    <row r="3816" spans="1:13" ht="15" customHeight="1" x14ac:dyDescent="0.2">
      <c r="B3816" s="10" t="s">
        <v>938</v>
      </c>
      <c r="C3816" s="10" t="s">
        <v>110</v>
      </c>
      <c r="D3816" s="16">
        <f>SUM(D3793:M3793)+D3810</f>
        <v>-159778.18984452612</v>
      </c>
    </row>
    <row r="3817" spans="1:13" ht="15" customHeight="1" x14ac:dyDescent="0.2">
      <c r="B3817" s="10" t="s">
        <v>939</v>
      </c>
      <c r="C3817" s="10" t="s">
        <v>110</v>
      </c>
      <c r="D3817" s="16">
        <f>SUM(D3800:M3800)+D3812/(Inputs!$D$7+$D$3806)^M3780</f>
        <v>44328.700386874858</v>
      </c>
    </row>
    <row r="3818" spans="1:13" ht="15" customHeight="1" x14ac:dyDescent="0.2">
      <c r="B3818" s="10" t="s">
        <v>940</v>
      </c>
      <c r="C3818" s="10" t="s">
        <v>104</v>
      </c>
      <c r="D3818" s="30">
        <f>IF(ABS(D3803)&gt;Inputs!$D$6,D3817/D3803-Inputs!$D$7,Inputs!$D$6)</f>
        <v>-1.1102230246251565E-15</v>
      </c>
    </row>
    <row r="3819" spans="1:13" ht="15" customHeight="1" x14ac:dyDescent="0.2">
      <c r="B3819" s="10" t="s">
        <v>941</v>
      </c>
      <c r="C3819" s="10" t="s">
        <v>104</v>
      </c>
      <c r="D3819" s="30">
        <f>IF(ABS(D3817)&gt;Inputs!$D$119,D3812/(Inputs!$D$7+$D$3806)^M3780/D3817,Inputs!$D$6)</f>
        <v>0.72772670302027009</v>
      </c>
    </row>
    <row r="3820" spans="1:13" ht="15" customHeight="1" x14ac:dyDescent="0.2">
      <c r="B3820" s="10" t="s">
        <v>942</v>
      </c>
      <c r="C3820" s="10" t="s">
        <v>943</v>
      </c>
      <c r="D3820" s="26">
        <f>$D$3804*Inputs!$D$8/Prices!$P$6/(Inputs!$D$26/Inputs!$D$25)/Inputs!$D$11/Inputs!$D$56</f>
        <v>6.3679072879644023</v>
      </c>
    </row>
    <row r="3824" spans="1:13" ht="15" customHeight="1" x14ac:dyDescent="0.2">
      <c r="A3824" s="104" t="s">
        <v>1026</v>
      </c>
      <c r="B3824" s="10" t="s">
        <v>886</v>
      </c>
      <c r="C3824" s="10" t="s">
        <v>107</v>
      </c>
      <c r="D3824" s="28">
        <f>Inputs!$D$60</f>
        <v>1</v>
      </c>
      <c r="E3824" s="28">
        <f>Inputs!$D$62</f>
        <v>2</v>
      </c>
      <c r="F3824" s="28">
        <f>Inputs!$D$64</f>
        <v>3</v>
      </c>
      <c r="G3824" s="28">
        <f>Inputs!$D$66</f>
        <v>4</v>
      </c>
      <c r="H3824" s="28">
        <f>Inputs!$D$68</f>
        <v>5</v>
      </c>
      <c r="I3824" s="28">
        <f>Inputs!$D$70</f>
        <v>6</v>
      </c>
      <c r="J3824" s="28">
        <f>Inputs!$D$72</f>
        <v>7</v>
      </c>
      <c r="K3824" s="28">
        <f>Inputs!$D$74</f>
        <v>8</v>
      </c>
      <c r="L3824" s="28">
        <f>Inputs!$D$76</f>
        <v>9</v>
      </c>
      <c r="M3824" s="28">
        <f>Inputs!$D$78</f>
        <v>10</v>
      </c>
    </row>
    <row r="3825" spans="1:13" ht="15" customHeight="1" x14ac:dyDescent="0.2">
      <c r="A3825" s="91"/>
      <c r="B3825" s="10" t="s">
        <v>887</v>
      </c>
      <c r="C3825" s="10" t="s">
        <v>161</v>
      </c>
      <c r="D3825" s="29">
        <f>Inputs!$D$61</f>
        <v>46568</v>
      </c>
      <c r="E3825" s="29">
        <f>Inputs!$D$63</f>
        <v>46934</v>
      </c>
      <c r="F3825" s="29">
        <f>Inputs!$D$65</f>
        <v>47299</v>
      </c>
      <c r="G3825" s="29">
        <f>Inputs!$D$67</f>
        <v>47664</v>
      </c>
      <c r="H3825" s="29">
        <f>Inputs!$D$69</f>
        <v>48029</v>
      </c>
      <c r="I3825" s="29">
        <f>Inputs!$D$71</f>
        <v>48395</v>
      </c>
      <c r="J3825" s="29">
        <f>Inputs!$D$73</f>
        <v>48760</v>
      </c>
      <c r="K3825" s="29">
        <f>Inputs!$D$75</f>
        <v>49125</v>
      </c>
      <c r="L3825" s="29">
        <f>Inputs!$D$77</f>
        <v>49490</v>
      </c>
      <c r="M3825" s="29">
        <f>Inputs!$D$79</f>
        <v>49856</v>
      </c>
    </row>
    <row r="3826" spans="1:13" ht="15" customHeight="1" x14ac:dyDescent="0.2">
      <c r="A3826" s="91"/>
      <c r="B3826" s="10" t="s">
        <v>888</v>
      </c>
      <c r="C3826" s="10" t="s">
        <v>107</v>
      </c>
      <c r="D3826" s="28">
        <f>(D3825-Inputs!$D$13)/Inputs!$D$10</f>
        <v>0.71457905544147848</v>
      </c>
      <c r="E3826" s="28">
        <f>(E3825-Inputs!$D$13)/Inputs!$D$10</f>
        <v>1.7166324435318274</v>
      </c>
      <c r="F3826" s="28">
        <f>(F3825-Inputs!$D$13)/Inputs!$D$10</f>
        <v>2.7159479808350446</v>
      </c>
      <c r="G3826" s="28">
        <f>(G3825-Inputs!$D$13)/Inputs!$D$10</f>
        <v>3.7152635181382614</v>
      </c>
      <c r="H3826" s="28">
        <f>(H3825-Inputs!$D$13)/Inputs!$D$10</f>
        <v>4.7145790554414786</v>
      </c>
      <c r="I3826" s="28">
        <f>(I3825-Inputs!$D$13)/Inputs!$D$10</f>
        <v>5.7166324435318279</v>
      </c>
      <c r="J3826" s="28">
        <f>(J3825-Inputs!$D$13)/Inputs!$D$10</f>
        <v>6.7159479808350442</v>
      </c>
      <c r="K3826" s="28">
        <f>(K3825-Inputs!$D$13)/Inputs!$D$10</f>
        <v>7.7152635181382614</v>
      </c>
      <c r="L3826" s="28">
        <f>(L3825-Inputs!$D$13)/Inputs!$D$10</f>
        <v>8.7145790554414777</v>
      </c>
      <c r="M3826" s="28">
        <f>(M3825-Inputs!$D$13)/Inputs!$D$10</f>
        <v>9.716632443531827</v>
      </c>
    </row>
    <row r="3827" spans="1:13" ht="15" customHeight="1" x14ac:dyDescent="0.2">
      <c r="A3827" s="91"/>
      <c r="B3827" s="10" t="s">
        <v>889</v>
      </c>
      <c r="C3827" s="10" t="s">
        <v>107</v>
      </c>
      <c r="D3827" s="28">
        <f>D3826</f>
        <v>0.71457905544147848</v>
      </c>
      <c r="E3827" s="28">
        <f>Inputs!$D$7</f>
        <v>1</v>
      </c>
      <c r="F3827" s="28">
        <f>Inputs!$D$7</f>
        <v>1</v>
      </c>
      <c r="G3827" s="28">
        <f>Inputs!$D$7</f>
        <v>1</v>
      </c>
      <c r="H3827" s="28">
        <f>Inputs!$D$7</f>
        <v>1</v>
      </c>
      <c r="I3827" s="28">
        <f>Inputs!$D$7</f>
        <v>1</v>
      </c>
      <c r="J3827" s="28">
        <f>Inputs!$D$7</f>
        <v>1</v>
      </c>
      <c r="K3827" s="28">
        <f>Inputs!$D$7</f>
        <v>1</v>
      </c>
      <c r="L3827" s="28">
        <f>Inputs!$D$7</f>
        <v>1</v>
      </c>
      <c r="M3827" s="28">
        <f>Inputs!$D$7</f>
        <v>1</v>
      </c>
    </row>
    <row r="3828" spans="1:13" ht="15" customHeight="1" x14ac:dyDescent="0.2">
      <c r="A3828" s="91"/>
      <c r="B3828" s="3" t="s">
        <v>890</v>
      </c>
      <c r="C3828" s="10" t="s">
        <v>199</v>
      </c>
      <c r="D3828" s="28">
        <f>Inputs!$D$24+(Inputs!$D$106-Inputs!$D$24)*Inputs!$D$109</f>
        <v>170.32</v>
      </c>
      <c r="E3828" s="28">
        <f>Inputs!$D$24+(Inputs!$D$106-Inputs!$D$24)*Inputs!$D$110</f>
        <v>481.12000000000006</v>
      </c>
      <c r="F3828" s="28">
        <f>Inputs!$D$24+(Inputs!$D$106-Inputs!$D$24)*Inputs!$D$111</f>
        <v>823</v>
      </c>
      <c r="G3828" s="28">
        <f>Inputs!$D$24+(Inputs!$D$106-Inputs!$D$24)*Inputs!$D$112</f>
        <v>1211.5</v>
      </c>
      <c r="H3828" s="28">
        <f>Inputs!$D$24+(Inputs!$D$106-Inputs!$D$24)*Inputs!$D$113</f>
        <v>1600</v>
      </c>
      <c r="I3828" s="28">
        <f>Inputs!$D$24+(Inputs!$D$106-Inputs!$D$24)*Inputs!$D$114</f>
        <v>1600</v>
      </c>
      <c r="J3828" s="28">
        <f>Inputs!$D$24+(Inputs!$D$106-Inputs!$D$24)*Inputs!$D$115</f>
        <v>1600</v>
      </c>
      <c r="K3828" s="28">
        <f>Inputs!$D$24+(Inputs!$D$106-Inputs!$D$24)*Inputs!$D$116</f>
        <v>1600</v>
      </c>
      <c r="L3828" s="28">
        <f>Inputs!$D$24+(Inputs!$D$106-Inputs!$D$24)*Inputs!$D$117</f>
        <v>1600</v>
      </c>
      <c r="M3828" s="28">
        <f>Inputs!$D$24+(Inputs!$D$106-Inputs!$D$24)*Inputs!$D$118</f>
        <v>1600</v>
      </c>
    </row>
    <row r="3829" spans="1:13" ht="15" customHeight="1" x14ac:dyDescent="0.2">
      <c r="A3829" s="91"/>
      <c r="B3829" s="10" t="s">
        <v>891</v>
      </c>
      <c r="C3829" s="10" t="s">
        <v>199</v>
      </c>
      <c r="D3829" s="28">
        <f>Inputs!$D$24</f>
        <v>46</v>
      </c>
      <c r="E3829" s="28">
        <f t="shared" ref="E3829:M3829" si="830">D3828</f>
        <v>170.32</v>
      </c>
      <c r="F3829" s="28">
        <f t="shared" si="830"/>
        <v>481.12000000000006</v>
      </c>
      <c r="G3829" s="28">
        <f t="shared" si="830"/>
        <v>823</v>
      </c>
      <c r="H3829" s="28">
        <f t="shared" si="830"/>
        <v>1211.5</v>
      </c>
      <c r="I3829" s="28">
        <f t="shared" si="830"/>
        <v>1600</v>
      </c>
      <c r="J3829" s="28">
        <f t="shared" si="830"/>
        <v>1600</v>
      </c>
      <c r="K3829" s="28">
        <f t="shared" si="830"/>
        <v>1600</v>
      </c>
      <c r="L3829" s="28">
        <f t="shared" si="830"/>
        <v>1600</v>
      </c>
      <c r="M3829" s="28">
        <f t="shared" si="830"/>
        <v>1600</v>
      </c>
    </row>
    <row r="3830" spans="1:13" ht="15" customHeight="1" x14ac:dyDescent="0.2">
      <c r="B3830" s="10" t="s">
        <v>892</v>
      </c>
      <c r="C3830" s="10" t="s">
        <v>199</v>
      </c>
      <c r="D3830" s="28">
        <f>(D3829+D3828)*Inputs!$D$12</f>
        <v>108.16</v>
      </c>
      <c r="E3830" s="28">
        <f>(E3829+E3828)*Inputs!$D$12</f>
        <v>325.72000000000003</v>
      </c>
      <c r="F3830" s="28">
        <f>(F3829+F3828)*Inputs!$D$12</f>
        <v>652.06000000000006</v>
      </c>
      <c r="G3830" s="28">
        <f>(G3829+G3828)*Inputs!$D$12</f>
        <v>1017.25</v>
      </c>
      <c r="H3830" s="28">
        <f>(H3829+H3828)*Inputs!$D$12</f>
        <v>1405.75</v>
      </c>
      <c r="I3830" s="28">
        <f>(I3829+I3828)*Inputs!$D$12</f>
        <v>1600</v>
      </c>
      <c r="J3830" s="28">
        <f>(J3829+J3828)*Inputs!$D$12</f>
        <v>1600</v>
      </c>
      <c r="K3830" s="28">
        <f>(K3829+K3828)*Inputs!$D$12</f>
        <v>1600</v>
      </c>
      <c r="L3830" s="28">
        <f>(L3829+L3828)*Inputs!$D$12</f>
        <v>1600</v>
      </c>
      <c r="M3830" s="28">
        <f>(M3829+M3828)*Inputs!$D$12</f>
        <v>1600</v>
      </c>
    </row>
    <row r="3831" spans="1:13" ht="15" customHeight="1" x14ac:dyDescent="0.2">
      <c r="B3831" s="10" t="s">
        <v>893</v>
      </c>
      <c r="C3831" s="10" t="s">
        <v>199</v>
      </c>
      <c r="D3831" s="28">
        <f t="shared" ref="D3831:M3831" si="831">D3828-D3829</f>
        <v>124.32</v>
      </c>
      <c r="E3831" s="28">
        <f t="shared" si="831"/>
        <v>310.80000000000007</v>
      </c>
      <c r="F3831" s="28">
        <f t="shared" si="831"/>
        <v>341.87999999999994</v>
      </c>
      <c r="G3831" s="28">
        <f t="shared" si="831"/>
        <v>388.5</v>
      </c>
      <c r="H3831" s="28">
        <f t="shared" si="831"/>
        <v>388.5</v>
      </c>
      <c r="I3831" s="28">
        <f t="shared" si="831"/>
        <v>0</v>
      </c>
      <c r="J3831" s="28">
        <f t="shared" si="831"/>
        <v>0</v>
      </c>
      <c r="K3831" s="28">
        <f t="shared" si="831"/>
        <v>0</v>
      </c>
      <c r="L3831" s="28">
        <f t="shared" si="831"/>
        <v>0</v>
      </c>
      <c r="M3831" s="28">
        <f t="shared" si="831"/>
        <v>0</v>
      </c>
    </row>
    <row r="3832" spans="1:13" ht="15" customHeight="1" x14ac:dyDescent="0.2">
      <c r="B3832" s="10" t="s">
        <v>894</v>
      </c>
      <c r="C3832" s="10" t="s">
        <v>199</v>
      </c>
      <c r="D3832" s="28">
        <f>IF(MOD(D3824,Inputs!$D$21)=Inputs!$D$6,Inputs!$D$24,Inputs!$D$6)+SUMPRODUCT(--(D3824&gt;$D$3824:$M$3824),--(MOD(D3824-$D$3824:$M$3824,Inputs!$D$21)=Inputs!$D$6),$D$3831:$M$3831)</f>
        <v>0</v>
      </c>
      <c r="E3832" s="28">
        <f>IF(MOD(E3824,Inputs!$D$21)=Inputs!$D$6,Inputs!$D$24,Inputs!$D$6)+SUMPRODUCT(--(E3824&gt;$D$3824:$M$3824),--(MOD(E3824-$D$3824:$M$3824,Inputs!$D$21)=Inputs!$D$6),$D$3831:$M$3831)</f>
        <v>0</v>
      </c>
      <c r="F3832" s="28">
        <f>IF(MOD(F3824,Inputs!$D$21)=Inputs!$D$6,Inputs!$D$24,Inputs!$D$6)+SUMPRODUCT(--(F3824&gt;$D$3824:$M$3824),--(MOD(F3824-$D$3824:$M$3824,Inputs!$D$21)=Inputs!$D$6),$D$3831:$M$3831)</f>
        <v>0</v>
      </c>
      <c r="G3832" s="28">
        <f>IF(MOD(G3824,Inputs!$D$21)=Inputs!$D$6,Inputs!$D$24,Inputs!$D$6)+SUMPRODUCT(--(G3824&gt;$D$3824:$M$3824),--(MOD(G3824-$D$3824:$M$3824,Inputs!$D$21)=Inputs!$D$6),$D$3831:$M$3831)</f>
        <v>46</v>
      </c>
      <c r="H3832" s="28">
        <f>IF(MOD(H3824,Inputs!$D$21)=Inputs!$D$6,Inputs!$D$24,Inputs!$D$6)+SUMPRODUCT(--(H3824&gt;$D$3824:$M$3824),--(MOD(H3824-$D$3824:$M$3824,Inputs!$D$21)=Inputs!$D$6),$D$3831:$M$3831)</f>
        <v>124.32</v>
      </c>
      <c r="I3832" s="28">
        <f>IF(MOD(I3824,Inputs!$D$21)=Inputs!$D$6,Inputs!$D$24,Inputs!$D$6)+SUMPRODUCT(--(I3824&gt;$D$3824:$M$3824),--(MOD(I3824-$D$3824:$M$3824,Inputs!$D$21)=Inputs!$D$6),$D$3831:$M$3831)</f>
        <v>310.80000000000007</v>
      </c>
      <c r="J3832" s="28">
        <f>IF(MOD(J3824,Inputs!$D$21)=Inputs!$D$6,Inputs!$D$24,Inputs!$D$6)+SUMPRODUCT(--(J3824&gt;$D$3824:$M$3824),--(MOD(J3824-$D$3824:$M$3824,Inputs!$D$21)=Inputs!$D$6),$D$3831:$M$3831)</f>
        <v>341.87999999999994</v>
      </c>
      <c r="K3832" s="28">
        <f>IF(MOD(K3824,Inputs!$D$21)=Inputs!$D$6,Inputs!$D$24,Inputs!$D$6)+SUMPRODUCT(--(K3824&gt;$D$3824:$M$3824),--(MOD(K3824-$D$3824:$M$3824,Inputs!$D$21)=Inputs!$D$6),$D$3831:$M$3831)</f>
        <v>434.5</v>
      </c>
      <c r="L3832" s="28">
        <f>IF(MOD(L3824,Inputs!$D$21)=Inputs!$D$6,Inputs!$D$24,Inputs!$D$6)+SUMPRODUCT(--(L3824&gt;$D$3824:$M$3824),--(MOD(L3824-$D$3824:$M$3824,Inputs!$D$21)=Inputs!$D$6),$D$3831:$M$3831)</f>
        <v>512.81999999999994</v>
      </c>
      <c r="M3832" s="28">
        <f>IF(MOD(M3824,Inputs!$D$21)=Inputs!$D$6,Inputs!$D$24,Inputs!$D$6)+SUMPRODUCT(--(M3824&gt;$D$3824:$M$3824),--(MOD(M3824-$D$3824:$M$3824,Inputs!$D$21)=Inputs!$D$6),$D$3831:$M$3831)</f>
        <v>310.80000000000007</v>
      </c>
    </row>
    <row r="3833" spans="1:13" ht="15" customHeight="1" x14ac:dyDescent="0.2">
      <c r="B3833" s="10" t="s">
        <v>895</v>
      </c>
      <c r="C3833" s="10" t="s">
        <v>896</v>
      </c>
      <c r="D3833" s="28">
        <f t="shared" ref="D3833:M3833" si="832">D3830*D3827</f>
        <v>77.288870636550314</v>
      </c>
      <c r="E3833" s="28">
        <f t="shared" si="832"/>
        <v>325.72000000000003</v>
      </c>
      <c r="F3833" s="28">
        <f t="shared" si="832"/>
        <v>652.06000000000006</v>
      </c>
      <c r="G3833" s="28">
        <f t="shared" si="832"/>
        <v>1017.25</v>
      </c>
      <c r="H3833" s="28">
        <f t="shared" si="832"/>
        <v>1405.75</v>
      </c>
      <c r="I3833" s="28">
        <f t="shared" si="832"/>
        <v>1600</v>
      </c>
      <c r="J3833" s="28">
        <f t="shared" si="832"/>
        <v>1600</v>
      </c>
      <c r="K3833" s="28">
        <f t="shared" si="832"/>
        <v>1600</v>
      </c>
      <c r="L3833" s="28">
        <f t="shared" si="832"/>
        <v>1600</v>
      </c>
      <c r="M3833" s="28">
        <f t="shared" si="832"/>
        <v>1600</v>
      </c>
    </row>
    <row r="3834" spans="1:13" ht="15" customHeight="1" x14ac:dyDescent="0.2">
      <c r="B3834" s="10" t="s">
        <v>897</v>
      </c>
      <c r="C3834" s="10" t="s">
        <v>110</v>
      </c>
      <c r="D3834" s="16">
        <f>D3833*($D$3853/Inputs!$D$21+$D$3854/Inputs!$D$22)</f>
        <v>1118.2034893112541</v>
      </c>
      <c r="E3834" s="16">
        <f>E3833*($D$3853/Inputs!$D$21+$D$3854/Inputs!$D$22)</f>
        <v>4712.466847280074</v>
      </c>
      <c r="F3834" s="16">
        <f>F3833*($D$3853/Inputs!$D$21+$D$3854/Inputs!$D$22)</f>
        <v>9433.9037591718188</v>
      </c>
      <c r="G3834" s="16">
        <f>G3833*($D$3853/Inputs!$D$21+$D$3854/Inputs!$D$22)</f>
        <v>14717.416493907818</v>
      </c>
      <c r="H3834" s="16">
        <f>H3833*($D$3853/Inputs!$D$21+$D$3854/Inputs!$D$22)</f>
        <v>20338.17472235037</v>
      </c>
      <c r="I3834" s="16">
        <f>I3833*($D$3853/Inputs!$D$21+$D$3854/Inputs!$D$22)</f>
        <v>23148.553836571649</v>
      </c>
      <c r="J3834" s="16">
        <f>J3833*($D$3853/Inputs!$D$21+$D$3854/Inputs!$D$22)</f>
        <v>23148.553836571649</v>
      </c>
      <c r="K3834" s="16">
        <f>K3833*($D$3853/Inputs!$D$21+$D$3854/Inputs!$D$22)</f>
        <v>23148.553836571649</v>
      </c>
      <c r="L3834" s="16">
        <f>L3833*($D$3853/Inputs!$D$21+$D$3854/Inputs!$D$22)</f>
        <v>23148.553836571649</v>
      </c>
      <c r="M3834" s="16">
        <f>M3833*($D$3853/Inputs!$D$21+$D$3854/Inputs!$D$22)</f>
        <v>23148.553836571649</v>
      </c>
    </row>
    <row r="3835" spans="1:13" ht="15" customHeight="1" x14ac:dyDescent="0.2">
      <c r="B3835" s="10" t="s">
        <v>898</v>
      </c>
      <c r="C3835" s="10" t="s">
        <v>110</v>
      </c>
      <c r="D3835" s="16">
        <f t="shared" ref="D3835:M3835" si="833">D3831*($D$3853+$D$3854)</f>
        <v>7454.8732903914051</v>
      </c>
      <c r="E3835" s="16">
        <f t="shared" si="833"/>
        <v>18637.183225978519</v>
      </c>
      <c r="F3835" s="16">
        <f t="shared" si="833"/>
        <v>20500.901548576363</v>
      </c>
      <c r="G3835" s="16">
        <f t="shared" si="833"/>
        <v>23296.479032473144</v>
      </c>
      <c r="H3835" s="16">
        <f t="shared" si="833"/>
        <v>23296.479032473144</v>
      </c>
      <c r="I3835" s="16">
        <f t="shared" si="833"/>
        <v>0</v>
      </c>
      <c r="J3835" s="16">
        <f t="shared" si="833"/>
        <v>0</v>
      </c>
      <c r="K3835" s="16">
        <f t="shared" si="833"/>
        <v>0</v>
      </c>
      <c r="L3835" s="16">
        <f t="shared" si="833"/>
        <v>0</v>
      </c>
      <c r="M3835" s="16">
        <f t="shared" si="833"/>
        <v>0</v>
      </c>
    </row>
    <row r="3836" spans="1:13" ht="15" customHeight="1" x14ac:dyDescent="0.2">
      <c r="B3836" s="10" t="s">
        <v>899</v>
      </c>
      <c r="C3836" s="10" t="s">
        <v>110</v>
      </c>
      <c r="D3836" s="16">
        <f t="shared" ref="D3836:M3836" si="834">D3832*$D$3853</f>
        <v>0</v>
      </c>
      <c r="E3836" s="16">
        <f t="shared" si="834"/>
        <v>0</v>
      </c>
      <c r="F3836" s="16">
        <f t="shared" si="834"/>
        <v>0</v>
      </c>
      <c r="G3836" s="16">
        <f t="shared" si="834"/>
        <v>2638.0048485671714</v>
      </c>
      <c r="H3836" s="16">
        <f t="shared" si="834"/>
        <v>7129.4948429102333</v>
      </c>
      <c r="I3836" s="16">
        <f t="shared" si="834"/>
        <v>17823.737107275589</v>
      </c>
      <c r="J3836" s="16">
        <f t="shared" si="834"/>
        <v>19606.110818003141</v>
      </c>
      <c r="K3836" s="16">
        <f t="shared" si="834"/>
        <v>24917.676232661652</v>
      </c>
      <c r="L3836" s="16">
        <f t="shared" si="834"/>
        <v>29409.166227004709</v>
      </c>
      <c r="M3836" s="16">
        <f t="shared" si="834"/>
        <v>17823.737107275589</v>
      </c>
    </row>
    <row r="3837" spans="1:13" ht="15" customHeight="1" x14ac:dyDescent="0.2">
      <c r="B3837" s="10" t="s">
        <v>900</v>
      </c>
      <c r="C3837" s="10" t="s">
        <v>199</v>
      </c>
      <c r="D3837" s="28">
        <f>D3831*Inputs!$D$23</f>
        <v>3.1080000000000001</v>
      </c>
      <c r="E3837" s="28">
        <f>E3831*Inputs!$D$23</f>
        <v>7.7700000000000022</v>
      </c>
      <c r="F3837" s="28">
        <f>F3831*Inputs!$D$23</f>
        <v>8.5469999999999988</v>
      </c>
      <c r="G3837" s="28">
        <f>G3831*Inputs!$D$23</f>
        <v>9.7125000000000004</v>
      </c>
      <c r="H3837" s="28">
        <f>H3831*Inputs!$D$23</f>
        <v>9.7125000000000004</v>
      </c>
      <c r="I3837" s="28">
        <f>I3831*Inputs!$D$23</f>
        <v>0</v>
      </c>
      <c r="J3837" s="28">
        <f>J3831*Inputs!$D$23</f>
        <v>0</v>
      </c>
      <c r="K3837" s="28">
        <f>K3831*Inputs!$D$23</f>
        <v>0</v>
      </c>
      <c r="L3837" s="28">
        <f>L3831*Inputs!$D$23</f>
        <v>0</v>
      </c>
      <c r="M3837" s="28">
        <f>M3831*Inputs!$D$23</f>
        <v>0</v>
      </c>
    </row>
    <row r="3838" spans="1:13" ht="15" customHeight="1" x14ac:dyDescent="0.2">
      <c r="B3838" s="3" t="s">
        <v>901</v>
      </c>
      <c r="C3838" s="10" t="s">
        <v>896</v>
      </c>
      <c r="D3838" s="28">
        <f>(D3833*$D$3851*(Inputs!$D$7-Inputs!$D$19)-D3837)/(Inputs!$D$7+$D$3852)^D3826</f>
        <v>40.99699201112098</v>
      </c>
      <c r="E3838" s="28">
        <f>(E3833*$D$3851*(Inputs!$D$7-Inputs!$D$19)-E3837)/(Inputs!$D$7+$D$3852)^E3826</f>
        <v>153.02781912726542</v>
      </c>
      <c r="F3838" s="28">
        <f>(F3833*$D$3851*(Inputs!$D$7-Inputs!$D$19)-F3837)/(Inputs!$D$7+$D$3852)^F3826</f>
        <v>268.8019226843403</v>
      </c>
      <c r="G3838" s="28">
        <f>(G3833*$D$3851*(Inputs!$D$7-Inputs!$D$19)-G3837)/(Inputs!$D$7+$D$3852)^G3826</f>
        <v>363.62824610263397</v>
      </c>
      <c r="H3838" s="28">
        <f>(H3833*$D$3851*(Inputs!$D$7-Inputs!$D$19)-H3837)/(Inputs!$D$7+$D$3852)^H3826</f>
        <v>435.07807528321291</v>
      </c>
      <c r="I3838" s="28">
        <f>(I3833*$D$3851*(Inputs!$D$7-Inputs!$D$19)-I3837)/(Inputs!$D$7+$D$3852)^I3826</f>
        <v>431.49711827119876</v>
      </c>
      <c r="J3838" s="28">
        <f>(J3833*$D$3851*(Inputs!$D$7-Inputs!$D$19)-J3837)/(Inputs!$D$7+$D$3852)^J3826</f>
        <v>372.01806500733016</v>
      </c>
      <c r="K3838" s="28">
        <f>(K3833*$D$3851*(Inputs!$D$7-Inputs!$D$19)-K3837)/(Inputs!$D$7+$D$3852)^K3826</f>
        <v>320.73780989845312</v>
      </c>
      <c r="L3838" s="28">
        <f>(L3833*$D$3851*(Inputs!$D$7-Inputs!$D$19)-L3837)/(Inputs!$D$7+$D$3852)^L3826</f>
        <v>276.52620228651875</v>
      </c>
      <c r="M3838" s="28">
        <f>(M3833*$D$3851*(Inputs!$D$7-Inputs!$D$19)-M3837)/(Inputs!$D$7+$D$3852)^M3826</f>
        <v>238.31201718226143</v>
      </c>
    </row>
    <row r="3839" spans="1:13" ht="15" customHeight="1" x14ac:dyDescent="0.2">
      <c r="B3839" s="10" t="s">
        <v>902</v>
      </c>
      <c r="C3839" s="10" t="s">
        <v>110</v>
      </c>
      <c r="D3839" s="16">
        <f>(D3834*Inputs!$D$19-D3835-D3836)/(Inputs!$D$7+$D$3852)^D3826</f>
        <v>-6403.0045740313244</v>
      </c>
      <c r="E3839" s="16">
        <f>(E3834*Inputs!$D$19-E3835-E3836)/(Inputs!$D$7+$D$3852)^E3826</f>
        <v>-13349.632212764713</v>
      </c>
      <c r="F3839" s="16">
        <f>(F3834*Inputs!$D$19-F3835-F3836)/(Inputs!$D$7+$D$3852)^F3826</f>
        <v>-11808.370082432088</v>
      </c>
      <c r="G3839" s="16">
        <f>(G3834*Inputs!$D$19-G3835-G3836)/(Inputs!$D$7+$D$3852)^G3826</f>
        <v>-12397.921878440668</v>
      </c>
      <c r="H3839" s="16">
        <f>(H3834*Inputs!$D$19-H3835-H3836)/(Inputs!$D$7+$D$3852)^H3826</f>
        <v>-12082.366885213038</v>
      </c>
      <c r="I3839" s="16">
        <f>(I3834*Inputs!$D$19-I3835-I3836)/(Inputs!$D$7+$D$3852)^I3826</f>
        <v>-4657.0743222469628</v>
      </c>
      <c r="J3839" s="16">
        <f>(J3834*Inputs!$D$19-J3835-J3836)/(Inputs!$D$7+$D$3852)^J3826</f>
        <v>-4672.9398284057479</v>
      </c>
      <c r="K3839" s="16">
        <f>(K3834*Inputs!$D$19-K3835-K3836)/(Inputs!$D$7+$D$3852)^K3826</f>
        <v>-5718.9047268503064</v>
      </c>
      <c r="L3839" s="16">
        <f>(L3834*Inputs!$D$19-L3835-L3836)/(Inputs!$D$7+$D$3852)^L3826</f>
        <v>-6162.7485564592316</v>
      </c>
      <c r="M3839" s="16">
        <f>(M3834*Inputs!$D$19-M3835-M3836)/(Inputs!$D$7+$D$3852)^M3826</f>
        <v>-2572.0606903447429</v>
      </c>
    </row>
    <row r="3840" spans="1:13" ht="15" customHeight="1" x14ac:dyDescent="0.2">
      <c r="B3840" s="10" t="s">
        <v>903</v>
      </c>
      <c r="C3840" s="10" t="s">
        <v>110</v>
      </c>
      <c r="D3840" s="16">
        <f t="shared" ref="D3840:M3840" si="835">D3833*$D$3850</f>
        <v>2584.4801880316045</v>
      </c>
      <c r="E3840" s="16">
        <f t="shared" si="835"/>
        <v>10891.825432464717</v>
      </c>
      <c r="F3840" s="16">
        <f t="shared" si="835"/>
        <v>21804.383186457522</v>
      </c>
      <c r="G3840" s="16">
        <f t="shared" si="835"/>
        <v>34016.054958782799</v>
      </c>
      <c r="H3840" s="16">
        <f t="shared" si="835"/>
        <v>47007.195142107565</v>
      </c>
      <c r="I3840" s="16">
        <f t="shared" si="835"/>
        <v>53502.765233769947</v>
      </c>
      <c r="J3840" s="16">
        <f t="shared" si="835"/>
        <v>53502.765233769947</v>
      </c>
      <c r="K3840" s="16">
        <f t="shared" si="835"/>
        <v>53502.765233769947</v>
      </c>
      <c r="L3840" s="16">
        <f t="shared" si="835"/>
        <v>53502.765233769947</v>
      </c>
      <c r="M3840" s="16">
        <f t="shared" si="835"/>
        <v>53502.765233769947</v>
      </c>
    </row>
    <row r="3841" spans="2:13" ht="15" customHeight="1" x14ac:dyDescent="0.2">
      <c r="B3841" s="10" t="s">
        <v>904</v>
      </c>
      <c r="C3841" s="10" t="s">
        <v>110</v>
      </c>
      <c r="D3841" s="16">
        <f t="shared" ref="D3841:M3841" si="836">D3840*$D$3851</f>
        <v>2326.0321692284442</v>
      </c>
      <c r="E3841" s="16">
        <f t="shared" si="836"/>
        <v>9802.6428892182448</v>
      </c>
      <c r="F3841" s="16">
        <f t="shared" si="836"/>
        <v>19623.94486781177</v>
      </c>
      <c r="G3841" s="16">
        <f t="shared" si="836"/>
        <v>30614.449462904518</v>
      </c>
      <c r="H3841" s="16">
        <f t="shared" si="836"/>
        <v>42306.475627896813</v>
      </c>
      <c r="I3841" s="16">
        <f t="shared" si="836"/>
        <v>48152.48871039295</v>
      </c>
      <c r="J3841" s="16">
        <f t="shared" si="836"/>
        <v>48152.48871039295</v>
      </c>
      <c r="K3841" s="16">
        <f t="shared" si="836"/>
        <v>48152.48871039295</v>
      </c>
      <c r="L3841" s="16">
        <f t="shared" si="836"/>
        <v>48152.48871039295</v>
      </c>
      <c r="M3841" s="16">
        <f t="shared" si="836"/>
        <v>48152.48871039295</v>
      </c>
    </row>
    <row r="3842" spans="2:13" ht="15" customHeight="1" x14ac:dyDescent="0.2">
      <c r="B3842" s="10" t="s">
        <v>905</v>
      </c>
      <c r="C3842" s="10" t="s">
        <v>110</v>
      </c>
      <c r="D3842" s="16">
        <f t="shared" ref="D3842:M3842" si="837">D3841-D3834</f>
        <v>1207.8286799171901</v>
      </c>
      <c r="E3842" s="16">
        <f t="shared" si="837"/>
        <v>5090.1760419381708</v>
      </c>
      <c r="F3842" s="16">
        <f t="shared" si="837"/>
        <v>10190.041108639951</v>
      </c>
      <c r="G3842" s="16">
        <f t="shared" si="837"/>
        <v>15897.0329689967</v>
      </c>
      <c r="H3842" s="16">
        <f t="shared" si="837"/>
        <v>21968.300905546443</v>
      </c>
      <c r="I3842" s="16">
        <f t="shared" si="837"/>
        <v>25003.934873821301</v>
      </c>
      <c r="J3842" s="16">
        <f t="shared" si="837"/>
        <v>25003.934873821301</v>
      </c>
      <c r="K3842" s="16">
        <f t="shared" si="837"/>
        <v>25003.934873821301</v>
      </c>
      <c r="L3842" s="16">
        <f t="shared" si="837"/>
        <v>25003.934873821301</v>
      </c>
      <c r="M3842" s="16">
        <f t="shared" si="837"/>
        <v>25003.934873821301</v>
      </c>
    </row>
    <row r="3843" spans="2:13" ht="15" customHeight="1" x14ac:dyDescent="0.2">
      <c r="B3843" s="10" t="s">
        <v>906</v>
      </c>
      <c r="C3843" s="10" t="s">
        <v>110</v>
      </c>
      <c r="D3843" s="16">
        <f>MAX(D3842,Inputs!$D$6)*Inputs!$D$19</f>
        <v>362.348603975157</v>
      </c>
      <c r="E3843" s="16">
        <f>MAX(E3842,Inputs!$D$6)*Inputs!$D$19</f>
        <v>1527.0528125814512</v>
      </c>
      <c r="F3843" s="16">
        <f>MAX(F3842,Inputs!$D$6)*Inputs!$D$19</f>
        <v>3057.0123325919853</v>
      </c>
      <c r="G3843" s="16">
        <f>MAX(G3842,Inputs!$D$6)*Inputs!$D$19</f>
        <v>4769.1098906990101</v>
      </c>
      <c r="H3843" s="16">
        <f>MAX(H3842,Inputs!$D$6)*Inputs!$D$19</f>
        <v>6590.4902716639326</v>
      </c>
      <c r="I3843" s="16">
        <f>MAX(I3842,Inputs!$D$6)*Inputs!$D$19</f>
        <v>7501.1804621463898</v>
      </c>
      <c r="J3843" s="16">
        <f>MAX(J3842,Inputs!$D$6)*Inputs!$D$19</f>
        <v>7501.1804621463898</v>
      </c>
      <c r="K3843" s="16">
        <f>MAX(K3842,Inputs!$D$6)*Inputs!$D$19</f>
        <v>7501.1804621463898</v>
      </c>
      <c r="L3843" s="16">
        <f>MAX(L3842,Inputs!$D$6)*Inputs!$D$19</f>
        <v>7501.1804621463898</v>
      </c>
      <c r="M3843" s="16">
        <f>MAX(M3842,Inputs!$D$6)*Inputs!$D$19</f>
        <v>7501.1804621463898</v>
      </c>
    </row>
    <row r="3844" spans="2:13" ht="15" customHeight="1" x14ac:dyDescent="0.2">
      <c r="B3844" s="10" t="s">
        <v>907</v>
      </c>
      <c r="C3844" s="10" t="s">
        <v>110</v>
      </c>
      <c r="D3844" s="16">
        <f t="shared" ref="D3844:M3844" si="838">D3837*$D$3850</f>
        <v>103.92912146659812</v>
      </c>
      <c r="E3844" s="16">
        <f t="shared" si="838"/>
        <v>259.82280366649536</v>
      </c>
      <c r="F3844" s="16">
        <f t="shared" si="838"/>
        <v>285.80508403314479</v>
      </c>
      <c r="G3844" s="16">
        <f t="shared" si="838"/>
        <v>324.77850458311912</v>
      </c>
      <c r="H3844" s="16">
        <f t="shared" si="838"/>
        <v>324.77850458311912</v>
      </c>
      <c r="I3844" s="16">
        <f t="shared" si="838"/>
        <v>0</v>
      </c>
      <c r="J3844" s="16">
        <f t="shared" si="838"/>
        <v>0</v>
      </c>
      <c r="K3844" s="16">
        <f t="shared" si="838"/>
        <v>0</v>
      </c>
      <c r="L3844" s="16">
        <f t="shared" si="838"/>
        <v>0</v>
      </c>
      <c r="M3844" s="16">
        <f t="shared" si="838"/>
        <v>0</v>
      </c>
    </row>
    <row r="3845" spans="2:13" ht="15" customHeight="1" x14ac:dyDescent="0.2">
      <c r="B3845" s="10" t="s">
        <v>908</v>
      </c>
      <c r="C3845" s="10" t="s">
        <v>110</v>
      </c>
      <c r="D3845" s="16">
        <f t="shared" ref="D3845:M3845" si="839">D3841-D3843-D3835-D3836-D3844</f>
        <v>-5595.1188466047161</v>
      </c>
      <c r="E3845" s="16">
        <f t="shared" si="839"/>
        <v>-10621.41595300822</v>
      </c>
      <c r="F3845" s="16">
        <f t="shared" si="839"/>
        <v>-4219.7740973897235</v>
      </c>
      <c r="G3845" s="16">
        <f t="shared" si="839"/>
        <v>-413.92281341792784</v>
      </c>
      <c r="H3845" s="16">
        <f t="shared" si="839"/>
        <v>4965.232976266383</v>
      </c>
      <c r="I3845" s="16">
        <f t="shared" si="839"/>
        <v>22827.571140970973</v>
      </c>
      <c r="J3845" s="16">
        <f t="shared" si="839"/>
        <v>21045.197430243421</v>
      </c>
      <c r="K3845" s="16">
        <f t="shared" si="839"/>
        <v>15733.63201558491</v>
      </c>
      <c r="L3845" s="16">
        <f t="shared" si="839"/>
        <v>11242.142021241852</v>
      </c>
      <c r="M3845" s="16">
        <f t="shared" si="839"/>
        <v>22827.571140970973</v>
      </c>
    </row>
    <row r="3846" spans="2:13" ht="15" customHeight="1" x14ac:dyDescent="0.2">
      <c r="B3846" s="10" t="s">
        <v>909</v>
      </c>
      <c r="C3846" s="10" t="s">
        <v>110</v>
      </c>
      <c r="D3846" s="16">
        <f>D3845/(Inputs!$D$7+$D$3852)^D3826</f>
        <v>-5032.0967997427324</v>
      </c>
      <c r="E3846" s="16">
        <f>E3845/(Inputs!$D$7+$D$3852)^E3826</f>
        <v>-8232.5000371385286</v>
      </c>
      <c r="F3846" s="16">
        <f>F3845/(Inputs!$D$7+$D$3852)^F3826</f>
        <v>-2819.8412300781861</v>
      </c>
      <c r="G3846" s="16">
        <f>G3845/(Inputs!$D$7+$D$3852)^G3826</f>
        <v>-238.47395119270053</v>
      </c>
      <c r="H3846" s="16">
        <f>H3845/(Inputs!$D$7+$D$3852)^H3826</f>
        <v>2466.3081899358572</v>
      </c>
      <c r="I3846" s="16">
        <f>I3845/(Inputs!$D$7+$D$3852)^I3826</f>
        <v>9771.8563139481721</v>
      </c>
      <c r="J3846" s="16">
        <f>J3845/(Inputs!$D$7+$D$3852)^J3826</f>
        <v>7767.0571683495991</v>
      </c>
      <c r="K3846" s="16">
        <f>K3845/(Inputs!$D$7+$D$3852)^K3826</f>
        <v>5006.3201135187392</v>
      </c>
      <c r="L3846" s="16">
        <f>L3845/(Inputs!$D$7+$D$3852)^L3826</f>
        <v>3084.0742447417638</v>
      </c>
      <c r="M3846" s="16">
        <f>M3845/(Inputs!$D$7+$D$3852)^M3826</f>
        <v>5396.9092519606847</v>
      </c>
    </row>
    <row r="3847" spans="2:13" ht="15" customHeight="1" x14ac:dyDescent="0.2">
      <c r="B3847" s="3" t="s">
        <v>910</v>
      </c>
      <c r="C3847" s="10" t="s">
        <v>896</v>
      </c>
      <c r="D3847" s="28">
        <f>(D3833*$D$3851-D3837)/(Inputs!$D$7+$D$3852)^D3826</f>
        <v>59.765095798928819</v>
      </c>
      <c r="E3847" s="28">
        <f>(E3833*$D$3851-E3837)/(Inputs!$D$7+$D$3852)^E3826</f>
        <v>221.1922031857838</v>
      </c>
      <c r="F3847" s="28">
        <f>(F3833*$D$3851-F3837)/(Inputs!$D$7+$D$3852)^F3826</f>
        <v>386.45052664112239</v>
      </c>
      <c r="G3847" s="28">
        <f>(G3833*$D$3851-G3837)/(Inputs!$D$7+$D$3852)^G3826</f>
        <v>521.867070169518</v>
      </c>
      <c r="H3847" s="28">
        <f>(H3833*$D$3851-H3837)/(Inputs!$D$7+$D$3852)^H3826</f>
        <v>623.60768582417222</v>
      </c>
      <c r="I3847" s="28">
        <f>(I3833*$D$3851-I3837)/(Inputs!$D$7+$D$3852)^I3826</f>
        <v>616.42445467314121</v>
      </c>
      <c r="J3847" s="28">
        <f>(J3833*$D$3851-J3837)/(Inputs!$D$7+$D$3852)^J3826</f>
        <v>531.4543785819003</v>
      </c>
      <c r="K3847" s="28">
        <f>(K3833*$D$3851-K3837)/(Inputs!$D$7+$D$3852)^K3826</f>
        <v>458.19687128350449</v>
      </c>
      <c r="L3847" s="28">
        <f>(L3833*$D$3851-L3837)/(Inputs!$D$7+$D$3852)^L3826</f>
        <v>395.03743183788401</v>
      </c>
      <c r="M3847" s="28">
        <f>(M3833*$D$3851-M3837)/(Inputs!$D$7+$D$3852)^M3826</f>
        <v>340.44573883180209</v>
      </c>
    </row>
    <row r="3848" spans="2:13" ht="15" customHeight="1" x14ac:dyDescent="0.2">
      <c r="B3848" s="10" t="s">
        <v>911</v>
      </c>
      <c r="C3848" s="10" t="s">
        <v>110</v>
      </c>
      <c r="D3848" s="16">
        <f>(-D3835-D3836)/(Inputs!$D$7+$D$3852)^D3826</f>
        <v>-6704.7090607969039</v>
      </c>
      <c r="E3848" s="16">
        <f>(-E3835-E3836)/(Inputs!$D$7+$D$3852)^E3826</f>
        <v>-14445.4009031226</v>
      </c>
      <c r="F3848" s="16">
        <f>(-F3835-F3836)/(Inputs!$D$7+$D$3852)^F3826</f>
        <v>-13699.616639717549</v>
      </c>
      <c r="G3848" s="16">
        <f>(-G3835-G3836)/(Inputs!$D$7+$D$3852)^G3826</f>
        <v>-14941.671835349038</v>
      </c>
      <c r="H3848" s="16">
        <f>(-H3835-H3836)/(Inputs!$D$7+$D$3852)^H3826</f>
        <v>-15113.052884793095</v>
      </c>
      <c r="I3848" s="16">
        <f>(-I3835-I3836)/(Inputs!$D$7+$D$3852)^I3826</f>
        <v>-7629.8523795762403</v>
      </c>
      <c r="J3848" s="16">
        <f>(-J3835-J3836)/(Inputs!$D$7+$D$3852)^J3826</f>
        <v>-7235.9398897150922</v>
      </c>
      <c r="K3848" s="16">
        <f>(-K3835-K3836)/(Inputs!$D$7+$D$3852)^K3826</f>
        <v>-7928.612006570077</v>
      </c>
      <c r="L3848" s="16">
        <f>(-L3835-L3836)/(Inputs!$D$7+$D$3852)^L3826</f>
        <v>-8067.8621519509534</v>
      </c>
      <c r="M3848" s="16">
        <f>(-M3835-M3836)/(Inputs!$D$7+$D$3852)^M3826</f>
        <v>-4213.8995473821142</v>
      </c>
    </row>
    <row r="3849" spans="2:13" ht="15" customHeight="1" x14ac:dyDescent="0.2">
      <c r="B3849" s="10" t="s">
        <v>912</v>
      </c>
      <c r="C3849" s="10" t="s">
        <v>110</v>
      </c>
      <c r="D3849" s="16">
        <f>Prices!K19</f>
        <v>44328.700386874909</v>
      </c>
    </row>
    <row r="3850" spans="2:13" ht="15" customHeight="1" x14ac:dyDescent="0.2">
      <c r="B3850" s="3" t="s">
        <v>913</v>
      </c>
      <c r="C3850" s="10" t="s">
        <v>914</v>
      </c>
      <c r="D3850" s="28">
        <f>IF(J3857&gt;=J3853,J3857,(D3849-J3856)/J3855)</f>
        <v>33.439228271106217</v>
      </c>
      <c r="G3850" s="99" t="s">
        <v>915</v>
      </c>
      <c r="H3850" s="91"/>
      <c r="I3850" s="91"/>
      <c r="J3850" s="28">
        <f>D3850*Inputs!$D$15</f>
        <v>23.337237410405027</v>
      </c>
      <c r="K3850" s="99" t="s">
        <v>916</v>
      </c>
      <c r="L3850" s="91"/>
      <c r="M3850" s="91"/>
    </row>
    <row r="3851" spans="2:13" ht="15" customHeight="1" x14ac:dyDescent="0.2">
      <c r="B3851" s="10" t="s">
        <v>917</v>
      </c>
      <c r="C3851" s="10" t="s">
        <v>104</v>
      </c>
      <c r="D3851" s="30">
        <f>Inputs!$D$107</f>
        <v>0.9</v>
      </c>
      <c r="G3851" s="99" t="s">
        <v>918</v>
      </c>
      <c r="H3851" s="91"/>
      <c r="I3851" s="91"/>
      <c r="J3851" s="28">
        <f>IF(-D3862/D3861&gt;=J3853,-D3862/D3861,-J3856/J3855)</f>
        <v>24.024174528419383</v>
      </c>
      <c r="K3851" s="99" t="s">
        <v>919</v>
      </c>
      <c r="L3851" s="91"/>
      <c r="M3851" s="91"/>
    </row>
    <row r="3852" spans="2:13" ht="15" customHeight="1" x14ac:dyDescent="0.2">
      <c r="B3852" s="10" t="s">
        <v>920</v>
      </c>
      <c r="C3852" s="10" t="s">
        <v>104</v>
      </c>
      <c r="D3852" s="30">
        <f>Inputs!$D$108</f>
        <v>0.16</v>
      </c>
      <c r="G3852" s="99" t="s">
        <v>918</v>
      </c>
      <c r="H3852" s="91"/>
      <c r="I3852" s="91"/>
      <c r="J3852" s="28">
        <f>J3851*Inputs!$D$15</f>
        <v>16.766471403383886</v>
      </c>
      <c r="K3852" s="99" t="s">
        <v>916</v>
      </c>
      <c r="L3852" s="91"/>
      <c r="M3852" s="91"/>
    </row>
    <row r="3853" spans="2:13" ht="15" customHeight="1" x14ac:dyDescent="0.2">
      <c r="B3853" s="3" t="s">
        <v>921</v>
      </c>
      <c r="C3853" s="10" t="s">
        <v>848</v>
      </c>
      <c r="D3853" s="28">
        <f>Capital!$D$13</f>
        <v>57.347931490590682</v>
      </c>
      <c r="G3853" s="99" t="s">
        <v>922</v>
      </c>
      <c r="H3853" s="91"/>
      <c r="I3853" s="91"/>
      <c r="J3853" s="28">
        <f>($D$3853/Inputs!$D$21+$D$3854/Inputs!$D$22)/$D$3851</f>
        <v>16.07538460873031</v>
      </c>
      <c r="K3853" s="99" t="s">
        <v>919</v>
      </c>
      <c r="L3853" s="91"/>
      <c r="M3853" s="91"/>
    </row>
    <row r="3854" spans="2:13" ht="15" customHeight="1" x14ac:dyDescent="0.2">
      <c r="B3854" s="3" t="s">
        <v>923</v>
      </c>
      <c r="C3854" s="10" t="s">
        <v>848</v>
      </c>
      <c r="D3854" s="28">
        <f>Capital!$D$14</f>
        <v>2.6172655041921802</v>
      </c>
    </row>
    <row r="3855" spans="2:13" ht="15" customHeight="1" x14ac:dyDescent="0.2">
      <c r="B3855" s="10" t="s">
        <v>924</v>
      </c>
      <c r="C3855" s="10" t="s">
        <v>896</v>
      </c>
      <c r="D3855" s="28">
        <f>(M3828*(Inputs!$D$7+Inputs!$D$20)*$D$3851*(Inputs!$D$7-Inputs!$D$19)-M3828*Inputs!$D$20*Inputs!$D$23)/($D$3852-Inputs!$D$20)/(Inputs!$D$7+$D$3852)^M3826</f>
        <v>1807.6547922951956</v>
      </c>
      <c r="G3855" s="92" t="s">
        <v>910</v>
      </c>
      <c r="H3855" s="91"/>
      <c r="I3855" s="91"/>
      <c r="J3855" s="28">
        <f>SUM(D3847:M3847)+(M3828*(Inputs!$D$7+Inputs!$D$20)*$D$3851-M3828*Inputs!$D$20*Inputs!$D$23)/($D$3852-Inputs!$D$20)/(Inputs!$D$7+$D$3852)^M3826</f>
        <v>6737.5559875731687</v>
      </c>
      <c r="K3855" s="99" t="s">
        <v>896</v>
      </c>
      <c r="L3855" s="91"/>
      <c r="M3855" s="91"/>
    </row>
    <row r="3856" spans="2:13" ht="15" customHeight="1" x14ac:dyDescent="0.2">
      <c r="B3856" s="10" t="s">
        <v>925</v>
      </c>
      <c r="C3856" s="10" t="s">
        <v>110</v>
      </c>
      <c r="D3856" s="16">
        <f>(D3859*Inputs!$D$19-D3859-D3860)/($D$3852-Inputs!$D$20)/(Inputs!$D$7+$D$3852)^M3826</f>
        <v>-33287.494112345899</v>
      </c>
      <c r="G3856" s="92" t="s">
        <v>926</v>
      </c>
      <c r="H3856" s="91"/>
      <c r="I3856" s="91"/>
      <c r="J3856" s="16">
        <f>SUM(D3848:M3848)-(D3859+D3860)/($D$3852-Inputs!$D$20)/(Inputs!$D$7+$D$3852)^M3826</f>
        <v>-145733.9249554922</v>
      </c>
      <c r="K3856" s="99" t="s">
        <v>110</v>
      </c>
      <c r="L3856" s="91"/>
      <c r="M3856" s="91"/>
    </row>
    <row r="3857" spans="1:13" ht="15" customHeight="1" x14ac:dyDescent="0.2">
      <c r="B3857" s="10" t="s">
        <v>927</v>
      </c>
      <c r="C3857" s="10" t="s">
        <v>928</v>
      </c>
      <c r="D3857" s="16">
        <f>(M3828*(Inputs!$D$7+Inputs!$D$20)*$D$3850*$D$3851-D3859)-MAX((M3828*(Inputs!$D$7+Inputs!$D$20)*$D$3850*$D$3851-D3859),Inputs!$D$6)*Inputs!$D$19-D3860-M3828*Inputs!$D$20*$D$3850*Inputs!$D$23</f>
        <v>15508.276163904362</v>
      </c>
      <c r="G3857" s="99" t="s">
        <v>929</v>
      </c>
      <c r="H3857" s="91"/>
      <c r="I3857" s="91"/>
      <c r="J3857" s="28">
        <f>(D3849-D3862)/D3861</f>
        <v>33.439228271106217</v>
      </c>
      <c r="K3857" s="99" t="s">
        <v>919</v>
      </c>
      <c r="L3857" s="91"/>
      <c r="M3857" s="91"/>
    </row>
    <row r="3858" spans="1:13" ht="15" customHeight="1" x14ac:dyDescent="0.2">
      <c r="B3858" s="10" t="s">
        <v>930</v>
      </c>
      <c r="C3858" s="10" t="s">
        <v>110</v>
      </c>
      <c r="D3858" s="16">
        <f>D3857/($D$3852-Inputs!$D$20)</f>
        <v>114876.11973262489</v>
      </c>
      <c r="G3858" s="99" t="s">
        <v>931</v>
      </c>
      <c r="H3858" s="91"/>
      <c r="I3858" s="91"/>
      <c r="J3858" s="16">
        <f>MIN(D3842:M3842,(M3828*(Inputs!$D$7+Inputs!$D$20)*$D$3850*$D$3851-D3859))</f>
        <v>1207.8286799171901</v>
      </c>
      <c r="K3858" s="99" t="s">
        <v>110</v>
      </c>
      <c r="L3858" s="91"/>
      <c r="M3858" s="91"/>
    </row>
    <row r="3859" spans="1:13" ht="15" customHeight="1" x14ac:dyDescent="0.2">
      <c r="B3859" s="10" t="s">
        <v>932</v>
      </c>
      <c r="C3859" s="10" t="s">
        <v>928</v>
      </c>
      <c r="D3859" s="16">
        <f>M3828*(Inputs!$D$7+Inputs!$D$20)*($D$3853/Inputs!$D$21+$D$3854/Inputs!$D$22)</f>
        <v>23727.267682485937</v>
      </c>
      <c r="G3859" s="99" t="s">
        <v>933</v>
      </c>
      <c r="H3859" s="91"/>
      <c r="I3859" s="91"/>
      <c r="J3859" s="31" t="str">
        <f>IF(J3858&lt;Inputs!$D$6,"breached","satisfied")</f>
        <v>satisfied</v>
      </c>
      <c r="K3859" s="99" t="s">
        <v>934</v>
      </c>
      <c r="L3859" s="91"/>
      <c r="M3859" s="91"/>
    </row>
    <row r="3860" spans="1:13" ht="15" customHeight="1" x14ac:dyDescent="0.2">
      <c r="B3860" s="10" t="s">
        <v>935</v>
      </c>
      <c r="C3860" s="10" t="s">
        <v>928</v>
      </c>
      <c r="D3860" s="16">
        <f>M3828*Inputs!$D$20*($D$3853+$D$3854)</f>
        <v>2398.6078797913146</v>
      </c>
    </row>
    <row r="3861" spans="1:13" ht="15" customHeight="1" x14ac:dyDescent="0.2">
      <c r="B3861" s="10" t="s">
        <v>936</v>
      </c>
      <c r="C3861" s="10" t="s">
        <v>896</v>
      </c>
      <c r="D3861" s="28">
        <f>SUM(D3838:M3838)+D3855</f>
        <v>4708.2790601495317</v>
      </c>
      <c r="G3861" s="99" t="s">
        <v>937</v>
      </c>
      <c r="H3861" s="91"/>
      <c r="I3861" s="91"/>
      <c r="J3861" s="16">
        <f>D3863-D3849</f>
        <v>0</v>
      </c>
      <c r="K3861" s="99" t="s">
        <v>110</v>
      </c>
      <c r="L3861" s="91"/>
      <c r="M3861" s="91"/>
    </row>
    <row r="3862" spans="1:13" ht="15" customHeight="1" x14ac:dyDescent="0.2">
      <c r="B3862" s="10" t="s">
        <v>938</v>
      </c>
      <c r="C3862" s="10" t="s">
        <v>110</v>
      </c>
      <c r="D3862" s="16">
        <f>SUM(D3839:M3839)+D3856</f>
        <v>-113112.51786953473</v>
      </c>
    </row>
    <row r="3863" spans="1:13" ht="15" customHeight="1" x14ac:dyDescent="0.2">
      <c r="B3863" s="10" t="s">
        <v>939</v>
      </c>
      <c r="C3863" s="10" t="s">
        <v>110</v>
      </c>
      <c r="D3863" s="16">
        <f>SUM(D3846:M3846)+D3858/(Inputs!$D$7+$D$3852)^M3826</f>
        <v>44328.700386874916</v>
      </c>
    </row>
    <row r="3864" spans="1:13" ht="15" customHeight="1" x14ac:dyDescent="0.2">
      <c r="B3864" s="10" t="s">
        <v>940</v>
      </c>
      <c r="C3864" s="10" t="s">
        <v>104</v>
      </c>
      <c r="D3864" s="30">
        <f>IF(ABS(D3849)&gt;Inputs!$D$6,D3863/D3849-Inputs!$D$7,Inputs!$D$6)</f>
        <v>2.2204460492503131E-16</v>
      </c>
    </row>
    <row r="3865" spans="1:13" ht="15" customHeight="1" x14ac:dyDescent="0.2">
      <c r="B3865" s="10" t="s">
        <v>941</v>
      </c>
      <c r="C3865" s="10" t="s">
        <v>104</v>
      </c>
      <c r="D3865" s="30">
        <f>IF(ABS(D3863)&gt;Inputs!$D$119,D3858/(Inputs!$D$7+$D$3852)^M3826/D3863,Inputs!$D$6)</f>
        <v>0.61267501382949774</v>
      </c>
    </row>
    <row r="3866" spans="1:13" ht="15" customHeight="1" x14ac:dyDescent="0.2">
      <c r="B3866" s="10" t="s">
        <v>942</v>
      </c>
      <c r="C3866" s="10" t="s">
        <v>943</v>
      </c>
      <c r="D3866" s="26">
        <f>$D$3850*Inputs!$D$8/Prices!$P$6/(Inputs!$D$26/Inputs!$D$25)/Inputs!$D$11/Inputs!$D$56</f>
        <v>6.0810252335033947</v>
      </c>
    </row>
    <row r="3870" spans="1:13" ht="15" customHeight="1" x14ac:dyDescent="0.2">
      <c r="A3870" s="104" t="s">
        <v>1027</v>
      </c>
      <c r="B3870" s="10" t="s">
        <v>886</v>
      </c>
      <c r="C3870" s="10" t="s">
        <v>107</v>
      </c>
      <c r="D3870" s="28">
        <f>Inputs!$D$60</f>
        <v>1</v>
      </c>
      <c r="E3870" s="28">
        <f>Inputs!$D$62</f>
        <v>2</v>
      </c>
      <c r="F3870" s="28">
        <f>Inputs!$D$64</f>
        <v>3</v>
      </c>
      <c r="G3870" s="28">
        <f>Inputs!$D$66</f>
        <v>4</v>
      </c>
      <c r="H3870" s="28">
        <f>Inputs!$D$68</f>
        <v>5</v>
      </c>
      <c r="I3870" s="28">
        <f>Inputs!$D$70</f>
        <v>6</v>
      </c>
      <c r="J3870" s="28">
        <f>Inputs!$D$72</f>
        <v>7</v>
      </c>
      <c r="K3870" s="28">
        <f>Inputs!$D$74</f>
        <v>8</v>
      </c>
      <c r="L3870" s="28">
        <f>Inputs!$D$76</f>
        <v>9</v>
      </c>
      <c r="M3870" s="28">
        <f>Inputs!$D$78</f>
        <v>10</v>
      </c>
    </row>
    <row r="3871" spans="1:13" ht="15" customHeight="1" x14ac:dyDescent="0.2">
      <c r="A3871" s="91"/>
      <c r="B3871" s="10" t="s">
        <v>887</v>
      </c>
      <c r="C3871" s="10" t="s">
        <v>161</v>
      </c>
      <c r="D3871" s="29">
        <f>Inputs!$D$61</f>
        <v>46568</v>
      </c>
      <c r="E3871" s="29">
        <f>Inputs!$D$63</f>
        <v>46934</v>
      </c>
      <c r="F3871" s="29">
        <f>Inputs!$D$65</f>
        <v>47299</v>
      </c>
      <c r="G3871" s="29">
        <f>Inputs!$D$67</f>
        <v>47664</v>
      </c>
      <c r="H3871" s="29">
        <f>Inputs!$D$69</f>
        <v>48029</v>
      </c>
      <c r="I3871" s="29">
        <f>Inputs!$D$71</f>
        <v>48395</v>
      </c>
      <c r="J3871" s="29">
        <f>Inputs!$D$73</f>
        <v>48760</v>
      </c>
      <c r="K3871" s="29">
        <f>Inputs!$D$75</f>
        <v>49125</v>
      </c>
      <c r="L3871" s="29">
        <f>Inputs!$D$77</f>
        <v>49490</v>
      </c>
      <c r="M3871" s="29">
        <f>Inputs!$D$79</f>
        <v>49856</v>
      </c>
    </row>
    <row r="3872" spans="1:13" ht="15" customHeight="1" x14ac:dyDescent="0.2">
      <c r="A3872" s="91"/>
      <c r="B3872" s="10" t="s">
        <v>888</v>
      </c>
      <c r="C3872" s="10" t="s">
        <v>107</v>
      </c>
      <c r="D3872" s="28">
        <f>(D3871-Inputs!$D$13)/Inputs!$D$10</f>
        <v>0.71457905544147848</v>
      </c>
      <c r="E3872" s="28">
        <f>(E3871-Inputs!$D$13)/Inputs!$D$10</f>
        <v>1.7166324435318274</v>
      </c>
      <c r="F3872" s="28">
        <f>(F3871-Inputs!$D$13)/Inputs!$D$10</f>
        <v>2.7159479808350446</v>
      </c>
      <c r="G3872" s="28">
        <f>(G3871-Inputs!$D$13)/Inputs!$D$10</f>
        <v>3.7152635181382614</v>
      </c>
      <c r="H3872" s="28">
        <f>(H3871-Inputs!$D$13)/Inputs!$D$10</f>
        <v>4.7145790554414786</v>
      </c>
      <c r="I3872" s="28">
        <f>(I3871-Inputs!$D$13)/Inputs!$D$10</f>
        <v>5.7166324435318279</v>
      </c>
      <c r="J3872" s="28">
        <f>(J3871-Inputs!$D$13)/Inputs!$D$10</f>
        <v>6.7159479808350442</v>
      </c>
      <c r="K3872" s="28">
        <f>(K3871-Inputs!$D$13)/Inputs!$D$10</f>
        <v>7.7152635181382614</v>
      </c>
      <c r="L3872" s="28">
        <f>(L3871-Inputs!$D$13)/Inputs!$D$10</f>
        <v>8.7145790554414777</v>
      </c>
      <c r="M3872" s="28">
        <f>(M3871-Inputs!$D$13)/Inputs!$D$10</f>
        <v>9.716632443531827</v>
      </c>
    </row>
    <row r="3873" spans="1:13" ht="15" customHeight="1" x14ac:dyDescent="0.2">
      <c r="A3873" s="91"/>
      <c r="B3873" s="10" t="s">
        <v>889</v>
      </c>
      <c r="C3873" s="10" t="s">
        <v>107</v>
      </c>
      <c r="D3873" s="28">
        <f>D3872</f>
        <v>0.71457905544147848</v>
      </c>
      <c r="E3873" s="28">
        <f>Inputs!$D$7</f>
        <v>1</v>
      </c>
      <c r="F3873" s="28">
        <f>Inputs!$D$7</f>
        <v>1</v>
      </c>
      <c r="G3873" s="28">
        <f>Inputs!$D$7</f>
        <v>1</v>
      </c>
      <c r="H3873" s="28">
        <f>Inputs!$D$7</f>
        <v>1</v>
      </c>
      <c r="I3873" s="28">
        <f>Inputs!$D$7</f>
        <v>1</v>
      </c>
      <c r="J3873" s="28">
        <f>Inputs!$D$7</f>
        <v>1</v>
      </c>
      <c r="K3873" s="28">
        <f>Inputs!$D$7</f>
        <v>1</v>
      </c>
      <c r="L3873" s="28">
        <f>Inputs!$D$7</f>
        <v>1</v>
      </c>
      <c r="M3873" s="28">
        <f>Inputs!$D$7</f>
        <v>1</v>
      </c>
    </row>
    <row r="3874" spans="1:13" ht="15" customHeight="1" x14ac:dyDescent="0.2">
      <c r="A3874" s="91"/>
      <c r="B3874" s="3" t="s">
        <v>890</v>
      </c>
      <c r="C3874" s="10" t="s">
        <v>199</v>
      </c>
      <c r="D3874" s="28">
        <f>Inputs!$D$24+(Inputs!$D$80-Inputs!$D$24)*Inputs!$D$83</f>
        <v>305.5</v>
      </c>
      <c r="E3874" s="28">
        <f>Inputs!$D$24+(Inputs!$D$80-Inputs!$D$24)*Inputs!$D$84</f>
        <v>651.5</v>
      </c>
      <c r="F3874" s="28">
        <f>Inputs!$D$24+(Inputs!$D$80-Inputs!$D$24)*Inputs!$D$85</f>
        <v>911</v>
      </c>
      <c r="G3874" s="28">
        <f>Inputs!$D$24+(Inputs!$D$80-Inputs!$D$24)*Inputs!$D$86</f>
        <v>911</v>
      </c>
      <c r="H3874" s="28">
        <f>Inputs!$D$24+(Inputs!$D$80-Inputs!$D$24)*Inputs!$D$87</f>
        <v>911</v>
      </c>
      <c r="I3874" s="28">
        <f>Inputs!$D$24+(Inputs!$D$80-Inputs!$D$24)*Inputs!$D$88</f>
        <v>911</v>
      </c>
      <c r="J3874" s="28">
        <f>Inputs!$D$24+(Inputs!$D$80-Inputs!$D$24)*Inputs!$D$89</f>
        <v>911</v>
      </c>
      <c r="K3874" s="28">
        <f>Inputs!$D$24+(Inputs!$D$80-Inputs!$D$24)*Inputs!$D$90</f>
        <v>911</v>
      </c>
      <c r="L3874" s="28">
        <f>Inputs!$D$24+(Inputs!$D$80-Inputs!$D$24)*Inputs!$D$91</f>
        <v>911</v>
      </c>
      <c r="M3874" s="28">
        <f>Inputs!$D$24+(Inputs!$D$80-Inputs!$D$24)*Inputs!$D$92</f>
        <v>911</v>
      </c>
    </row>
    <row r="3875" spans="1:13" ht="15" customHeight="1" x14ac:dyDescent="0.2">
      <c r="A3875" s="91"/>
      <c r="B3875" s="10" t="s">
        <v>891</v>
      </c>
      <c r="C3875" s="10" t="s">
        <v>199</v>
      </c>
      <c r="D3875" s="28">
        <f>Inputs!$D$24</f>
        <v>46</v>
      </c>
      <c r="E3875" s="28">
        <f t="shared" ref="E3875:M3875" si="840">D3874</f>
        <v>305.5</v>
      </c>
      <c r="F3875" s="28">
        <f t="shared" si="840"/>
        <v>651.5</v>
      </c>
      <c r="G3875" s="28">
        <f t="shared" si="840"/>
        <v>911</v>
      </c>
      <c r="H3875" s="28">
        <f t="shared" si="840"/>
        <v>911</v>
      </c>
      <c r="I3875" s="28">
        <f t="shared" si="840"/>
        <v>911</v>
      </c>
      <c r="J3875" s="28">
        <f t="shared" si="840"/>
        <v>911</v>
      </c>
      <c r="K3875" s="28">
        <f t="shared" si="840"/>
        <v>911</v>
      </c>
      <c r="L3875" s="28">
        <f t="shared" si="840"/>
        <v>911</v>
      </c>
      <c r="M3875" s="28">
        <f t="shared" si="840"/>
        <v>911</v>
      </c>
    </row>
    <row r="3876" spans="1:13" ht="15" customHeight="1" x14ac:dyDescent="0.2">
      <c r="B3876" s="10" t="s">
        <v>892</v>
      </c>
      <c r="C3876" s="10" t="s">
        <v>199</v>
      </c>
      <c r="D3876" s="28">
        <f>(D3875+D3874)*Inputs!$D$12</f>
        <v>175.75</v>
      </c>
      <c r="E3876" s="28">
        <f>(E3875+E3874)*Inputs!$D$12</f>
        <v>478.5</v>
      </c>
      <c r="F3876" s="28">
        <f>(F3875+F3874)*Inputs!$D$12</f>
        <v>781.25</v>
      </c>
      <c r="G3876" s="28">
        <f>(G3875+G3874)*Inputs!$D$12</f>
        <v>911</v>
      </c>
      <c r="H3876" s="28">
        <f>(H3875+H3874)*Inputs!$D$12</f>
        <v>911</v>
      </c>
      <c r="I3876" s="28">
        <f>(I3875+I3874)*Inputs!$D$12</f>
        <v>911</v>
      </c>
      <c r="J3876" s="28">
        <f>(J3875+J3874)*Inputs!$D$12</f>
        <v>911</v>
      </c>
      <c r="K3876" s="28">
        <f>(K3875+K3874)*Inputs!$D$12</f>
        <v>911</v>
      </c>
      <c r="L3876" s="28">
        <f>(L3875+L3874)*Inputs!$D$12</f>
        <v>911</v>
      </c>
      <c r="M3876" s="28">
        <f>(M3875+M3874)*Inputs!$D$12</f>
        <v>911</v>
      </c>
    </row>
    <row r="3877" spans="1:13" ht="15" customHeight="1" x14ac:dyDescent="0.2">
      <c r="B3877" s="10" t="s">
        <v>893</v>
      </c>
      <c r="C3877" s="10" t="s">
        <v>199</v>
      </c>
      <c r="D3877" s="28">
        <f t="shared" ref="D3877:M3877" si="841">D3874-D3875</f>
        <v>259.5</v>
      </c>
      <c r="E3877" s="28">
        <f t="shared" si="841"/>
        <v>346</v>
      </c>
      <c r="F3877" s="28">
        <f t="shared" si="841"/>
        <v>259.5</v>
      </c>
      <c r="G3877" s="28">
        <f t="shared" si="841"/>
        <v>0</v>
      </c>
      <c r="H3877" s="28">
        <f t="shared" si="841"/>
        <v>0</v>
      </c>
      <c r="I3877" s="28">
        <f t="shared" si="841"/>
        <v>0</v>
      </c>
      <c r="J3877" s="28">
        <f t="shared" si="841"/>
        <v>0</v>
      </c>
      <c r="K3877" s="28">
        <f t="shared" si="841"/>
        <v>0</v>
      </c>
      <c r="L3877" s="28">
        <f t="shared" si="841"/>
        <v>0</v>
      </c>
      <c r="M3877" s="28">
        <f t="shared" si="841"/>
        <v>0</v>
      </c>
    </row>
    <row r="3878" spans="1:13" ht="15" customHeight="1" x14ac:dyDescent="0.2">
      <c r="B3878" s="10" t="s">
        <v>894</v>
      </c>
      <c r="C3878" s="10" t="s">
        <v>199</v>
      </c>
      <c r="D3878" s="28">
        <f>IF(MOD(D3870,Inputs!$D$21)=Inputs!$D$6,Inputs!$D$24,Inputs!$D$6)+SUMPRODUCT(--(D3870&gt;$D$3870:$M$3870),--(MOD(D3870-$D$3870:$M$3870,Inputs!$D$21)=Inputs!$D$6),$D$3877:$M$3877)</f>
        <v>0</v>
      </c>
      <c r="E3878" s="28">
        <f>IF(MOD(E3870,Inputs!$D$21)=Inputs!$D$6,Inputs!$D$24,Inputs!$D$6)+SUMPRODUCT(--(E3870&gt;$D$3870:$M$3870),--(MOD(E3870-$D$3870:$M$3870,Inputs!$D$21)=Inputs!$D$6),$D$3877:$M$3877)</f>
        <v>0</v>
      </c>
      <c r="F3878" s="28">
        <f>IF(MOD(F3870,Inputs!$D$21)=Inputs!$D$6,Inputs!$D$24,Inputs!$D$6)+SUMPRODUCT(--(F3870&gt;$D$3870:$M$3870),--(MOD(F3870-$D$3870:$M$3870,Inputs!$D$21)=Inputs!$D$6),$D$3877:$M$3877)</f>
        <v>0</v>
      </c>
      <c r="G3878" s="28">
        <f>IF(MOD(G3870,Inputs!$D$21)=Inputs!$D$6,Inputs!$D$24,Inputs!$D$6)+SUMPRODUCT(--(G3870&gt;$D$3870:$M$3870),--(MOD(G3870-$D$3870:$M$3870,Inputs!$D$21)=Inputs!$D$6),$D$3877:$M$3877)</f>
        <v>46</v>
      </c>
      <c r="H3878" s="28">
        <f>IF(MOD(H3870,Inputs!$D$21)=Inputs!$D$6,Inputs!$D$24,Inputs!$D$6)+SUMPRODUCT(--(H3870&gt;$D$3870:$M$3870),--(MOD(H3870-$D$3870:$M$3870,Inputs!$D$21)=Inputs!$D$6),$D$3877:$M$3877)</f>
        <v>259.5</v>
      </c>
      <c r="I3878" s="28">
        <f>IF(MOD(I3870,Inputs!$D$21)=Inputs!$D$6,Inputs!$D$24,Inputs!$D$6)+SUMPRODUCT(--(I3870&gt;$D$3870:$M$3870),--(MOD(I3870-$D$3870:$M$3870,Inputs!$D$21)=Inputs!$D$6),$D$3877:$M$3877)</f>
        <v>346</v>
      </c>
      <c r="J3878" s="28">
        <f>IF(MOD(J3870,Inputs!$D$21)=Inputs!$D$6,Inputs!$D$24,Inputs!$D$6)+SUMPRODUCT(--(J3870&gt;$D$3870:$M$3870),--(MOD(J3870-$D$3870:$M$3870,Inputs!$D$21)=Inputs!$D$6),$D$3877:$M$3877)</f>
        <v>259.5</v>
      </c>
      <c r="K3878" s="28">
        <f>IF(MOD(K3870,Inputs!$D$21)=Inputs!$D$6,Inputs!$D$24,Inputs!$D$6)+SUMPRODUCT(--(K3870&gt;$D$3870:$M$3870),--(MOD(K3870-$D$3870:$M$3870,Inputs!$D$21)=Inputs!$D$6),$D$3877:$M$3877)</f>
        <v>46</v>
      </c>
      <c r="L3878" s="28">
        <f>IF(MOD(L3870,Inputs!$D$21)=Inputs!$D$6,Inputs!$D$24,Inputs!$D$6)+SUMPRODUCT(--(L3870&gt;$D$3870:$M$3870),--(MOD(L3870-$D$3870:$M$3870,Inputs!$D$21)=Inputs!$D$6),$D$3877:$M$3877)</f>
        <v>259.5</v>
      </c>
      <c r="M3878" s="28">
        <f>IF(MOD(M3870,Inputs!$D$21)=Inputs!$D$6,Inputs!$D$24,Inputs!$D$6)+SUMPRODUCT(--(M3870&gt;$D$3870:$M$3870),--(MOD(M3870-$D$3870:$M$3870,Inputs!$D$21)=Inputs!$D$6),$D$3877:$M$3877)</f>
        <v>346</v>
      </c>
    </row>
    <row r="3879" spans="1:13" ht="15" customHeight="1" x14ac:dyDescent="0.2">
      <c r="B3879" s="10" t="s">
        <v>895</v>
      </c>
      <c r="C3879" s="10" t="s">
        <v>896</v>
      </c>
      <c r="D3879" s="28">
        <f t="shared" ref="D3879:M3879" si="842">D3876*D3873</f>
        <v>125.58726899383984</v>
      </c>
      <c r="E3879" s="28">
        <f t="shared" si="842"/>
        <v>478.5</v>
      </c>
      <c r="F3879" s="28">
        <f t="shared" si="842"/>
        <v>781.25</v>
      </c>
      <c r="G3879" s="28">
        <f t="shared" si="842"/>
        <v>911</v>
      </c>
      <c r="H3879" s="28">
        <f t="shared" si="842"/>
        <v>911</v>
      </c>
      <c r="I3879" s="28">
        <f t="shared" si="842"/>
        <v>911</v>
      </c>
      <c r="J3879" s="28">
        <f t="shared" si="842"/>
        <v>911</v>
      </c>
      <c r="K3879" s="28">
        <f t="shared" si="842"/>
        <v>911</v>
      </c>
      <c r="L3879" s="28">
        <f t="shared" si="842"/>
        <v>911</v>
      </c>
      <c r="M3879" s="28">
        <f t="shared" si="842"/>
        <v>911</v>
      </c>
    </row>
    <row r="3880" spans="1:13" ht="15" customHeight="1" x14ac:dyDescent="0.2">
      <c r="B3880" s="10" t="s">
        <v>897</v>
      </c>
      <c r="C3880" s="10" t="s">
        <v>110</v>
      </c>
      <c r="D3880" s="16">
        <f>D3879*($D$3899/Inputs!$D$21+$D$3900/Inputs!$D$22)</f>
        <v>1816.9772859324419</v>
      </c>
      <c r="E3880" s="16">
        <f>E3879*($D$3899/Inputs!$D$21+$D$3900/Inputs!$D$22)</f>
        <v>6922.8643817497086</v>
      </c>
      <c r="F3880" s="16">
        <f>F3879*($D$3899/Inputs!$D$21+$D$3900/Inputs!$D$22)</f>
        <v>11303.0048030135</v>
      </c>
      <c r="G3880" s="16">
        <f>G3879*($D$3899/Inputs!$D$21+$D$3900/Inputs!$D$22)</f>
        <v>13180.207840697982</v>
      </c>
      <c r="H3880" s="16">
        <f>H3879*($D$3899/Inputs!$D$21+$D$3900/Inputs!$D$22)</f>
        <v>13180.207840697982</v>
      </c>
      <c r="I3880" s="16">
        <f>I3879*($D$3899/Inputs!$D$21+$D$3900/Inputs!$D$22)</f>
        <v>13180.207840697982</v>
      </c>
      <c r="J3880" s="16">
        <f>J3879*($D$3899/Inputs!$D$21+$D$3900/Inputs!$D$22)</f>
        <v>13180.207840697982</v>
      </c>
      <c r="K3880" s="16">
        <f>K3879*($D$3899/Inputs!$D$21+$D$3900/Inputs!$D$22)</f>
        <v>13180.207840697982</v>
      </c>
      <c r="L3880" s="16">
        <f>L3879*($D$3899/Inputs!$D$21+$D$3900/Inputs!$D$22)</f>
        <v>13180.207840697982</v>
      </c>
      <c r="M3880" s="16">
        <f>M3879*($D$3899/Inputs!$D$21+$D$3900/Inputs!$D$22)</f>
        <v>13180.207840697982</v>
      </c>
    </row>
    <row r="3881" spans="1:13" ht="15" customHeight="1" x14ac:dyDescent="0.2">
      <c r="B3881" s="10" t="s">
        <v>898</v>
      </c>
      <c r="C3881" s="10" t="s">
        <v>110</v>
      </c>
      <c r="D3881" s="16">
        <f t="shared" ref="D3881:M3881" si="843">D3877*($D$3899+$D$3900)</f>
        <v>15560.968620146154</v>
      </c>
      <c r="E3881" s="16">
        <f t="shared" si="843"/>
        <v>20747.95816019487</v>
      </c>
      <c r="F3881" s="16">
        <f t="shared" si="843"/>
        <v>15560.968620146154</v>
      </c>
      <c r="G3881" s="16">
        <f t="shared" si="843"/>
        <v>0</v>
      </c>
      <c r="H3881" s="16">
        <f t="shared" si="843"/>
        <v>0</v>
      </c>
      <c r="I3881" s="16">
        <f t="shared" si="843"/>
        <v>0</v>
      </c>
      <c r="J3881" s="16">
        <f t="shared" si="843"/>
        <v>0</v>
      </c>
      <c r="K3881" s="16">
        <f t="shared" si="843"/>
        <v>0</v>
      </c>
      <c r="L3881" s="16">
        <f t="shared" si="843"/>
        <v>0</v>
      </c>
      <c r="M3881" s="16">
        <f t="shared" si="843"/>
        <v>0</v>
      </c>
    </row>
    <row r="3882" spans="1:13" ht="15" customHeight="1" x14ac:dyDescent="0.2">
      <c r="B3882" s="10" t="s">
        <v>899</v>
      </c>
      <c r="C3882" s="10" t="s">
        <v>110</v>
      </c>
      <c r="D3882" s="16">
        <f t="shared" ref="D3882:M3882" si="844">D3878*$D$3899</f>
        <v>0</v>
      </c>
      <c r="E3882" s="16">
        <f t="shared" si="844"/>
        <v>0</v>
      </c>
      <c r="F3882" s="16">
        <f t="shared" si="844"/>
        <v>0</v>
      </c>
      <c r="G3882" s="16">
        <f t="shared" si="844"/>
        <v>2638.0048485671714</v>
      </c>
      <c r="H3882" s="16">
        <f t="shared" si="844"/>
        <v>14881.788221808281</v>
      </c>
      <c r="I3882" s="16">
        <f t="shared" si="844"/>
        <v>19842.384295744378</v>
      </c>
      <c r="J3882" s="16">
        <f t="shared" si="844"/>
        <v>14881.788221808281</v>
      </c>
      <c r="K3882" s="16">
        <f t="shared" si="844"/>
        <v>2638.0048485671714</v>
      </c>
      <c r="L3882" s="16">
        <f t="shared" si="844"/>
        <v>14881.788221808281</v>
      </c>
      <c r="M3882" s="16">
        <f t="shared" si="844"/>
        <v>19842.384295744378</v>
      </c>
    </row>
    <row r="3883" spans="1:13" ht="15" customHeight="1" x14ac:dyDescent="0.2">
      <c r="B3883" s="10" t="s">
        <v>900</v>
      </c>
      <c r="C3883" s="10" t="s">
        <v>199</v>
      </c>
      <c r="D3883" s="28">
        <f>D3877*Inputs!$D$23</f>
        <v>6.4875000000000007</v>
      </c>
      <c r="E3883" s="28">
        <f>E3877*Inputs!$D$23</f>
        <v>8.65</v>
      </c>
      <c r="F3883" s="28">
        <f>F3877*Inputs!$D$23</f>
        <v>6.4875000000000007</v>
      </c>
      <c r="G3883" s="28">
        <f>G3877*Inputs!$D$23</f>
        <v>0</v>
      </c>
      <c r="H3883" s="28">
        <f>H3877*Inputs!$D$23</f>
        <v>0</v>
      </c>
      <c r="I3883" s="28">
        <f>I3877*Inputs!$D$23</f>
        <v>0</v>
      </c>
      <c r="J3883" s="28">
        <f>J3877*Inputs!$D$23</f>
        <v>0</v>
      </c>
      <c r="K3883" s="28">
        <f>K3877*Inputs!$D$23</f>
        <v>0</v>
      </c>
      <c r="L3883" s="28">
        <f>L3877*Inputs!$D$23</f>
        <v>0</v>
      </c>
      <c r="M3883" s="28">
        <f>M3877*Inputs!$D$23</f>
        <v>0</v>
      </c>
    </row>
    <row r="3884" spans="1:13" ht="15" customHeight="1" x14ac:dyDescent="0.2">
      <c r="B3884" s="3" t="s">
        <v>901</v>
      </c>
      <c r="C3884" s="10" t="s">
        <v>896</v>
      </c>
      <c r="D3884" s="28">
        <f>(D3879*$D$3897*(Inputs!$D$7-Inputs!$D$19)-D3883)/(Inputs!$D$7+$D$3898)^D3872</f>
        <v>43.213488846686175</v>
      </c>
      <c r="E3884" s="28">
        <f>(E3879*$D$3897*(Inputs!$D$7-Inputs!$D$19)-E3883)/(Inputs!$D$7+$D$3898)^E3872</f>
        <v>163.29332190458183</v>
      </c>
      <c r="F3884" s="28">
        <f>(F3879*$D$3897*(Inputs!$D$7-Inputs!$D$19)-F3883)/(Inputs!$D$7+$D$3898)^F3872</f>
        <v>248.28260771010829</v>
      </c>
      <c r="G3884" s="28">
        <f>(G3879*$D$3897*(Inputs!$D$7-Inputs!$D$19)-G3883)/(Inputs!$D$7+$D$3898)^G3872</f>
        <v>268.5238926419492</v>
      </c>
      <c r="H3884" s="28">
        <f>(H3879*$D$3897*(Inputs!$D$7-Inputs!$D$19)-H3883)/(Inputs!$D$7+$D$3898)^H3872</f>
        <v>244.12855518959191</v>
      </c>
      <c r="I3884" s="28">
        <f>(I3879*$D$3897*(Inputs!$D$7-Inputs!$D$19)-I3883)/(Inputs!$D$7+$D$3898)^I3872</f>
        <v>221.8916197826434</v>
      </c>
      <c r="J3884" s="28">
        <f>(J3879*$D$3897*(Inputs!$D$7-Inputs!$D$19)-J3883)/(Inputs!$D$7+$D$3898)^J3872</f>
        <v>201.73281421346593</v>
      </c>
      <c r="K3884" s="28">
        <f>(K3879*$D$3897*(Inputs!$D$7-Inputs!$D$19)-K3883)/(Inputs!$D$7+$D$3898)^K3872</f>
        <v>183.40543176145695</v>
      </c>
      <c r="L3884" s="28">
        <f>(L3879*$D$3897*(Inputs!$D$7-Inputs!$D$19)-L3883)/(Inputs!$D$7+$D$3898)^L3872</f>
        <v>166.74308803332551</v>
      </c>
      <c r="M3884" s="28">
        <f>(M3879*$D$3897*(Inputs!$D$7-Inputs!$D$19)-M3883)/(Inputs!$D$7+$D$3898)^M3872</f>
        <v>151.55496194429571</v>
      </c>
    </row>
    <row r="3885" spans="1:13" ht="15" customHeight="1" x14ac:dyDescent="0.2">
      <c r="B3885" s="10" t="s">
        <v>902</v>
      </c>
      <c r="C3885" s="10" t="s">
        <v>110</v>
      </c>
      <c r="D3885" s="16">
        <f>(D3880*Inputs!$D$19-D3881-D3882)/(Inputs!$D$7+$D$3898)^D3872</f>
        <v>-14027.24269342025</v>
      </c>
      <c r="E3885" s="16">
        <f>(E3880*Inputs!$D$19-E3881-E3882)/(Inputs!$D$7+$D$3898)^E3872</f>
        <v>-15853.087323826181</v>
      </c>
      <c r="F3885" s="16">
        <f>(F3880*Inputs!$D$19-F3881-F3882)/(Inputs!$D$7+$D$3898)^F3872</f>
        <v>-9394.4767487293357</v>
      </c>
      <c r="G3885" s="16">
        <f>(G3880*Inputs!$D$19-G3881-G3882)/(Inputs!$D$7+$D$3898)^G3872</f>
        <v>923.61320322684639</v>
      </c>
      <c r="H3885" s="16">
        <f>(H3880*Inputs!$D$19-H3881-H3882)/(Inputs!$D$7+$D$3898)^H3872</f>
        <v>-6972.3744918015345</v>
      </c>
      <c r="I3885" s="16">
        <f>(I3880*Inputs!$D$19-I3881-I3882)/(Inputs!$D$7+$D$3898)^I3872</f>
        <v>-9214.0648467907959</v>
      </c>
      <c r="J3885" s="16">
        <f>(J3880*Inputs!$D$19-J3881-J3882)/(Inputs!$D$7+$D$3898)^J3872</f>
        <v>-5761.5411965591911</v>
      </c>
      <c r="K3885" s="16">
        <f>(K3880*Inputs!$D$19-K3881-K3882)/(Inputs!$D$7+$D$3898)^K3872</f>
        <v>630.8402453567694</v>
      </c>
      <c r="L3885" s="16">
        <f>(L3880*Inputs!$D$19-L3881-L3882)/(Inputs!$D$7+$D$3898)^L3872</f>
        <v>-4762.2255937446444</v>
      </c>
      <c r="M3885" s="16">
        <f>(M3880*Inputs!$D$19-M3881-M3882)/(Inputs!$D$7+$D$3898)^M3872</f>
        <v>-6293.3302689644106</v>
      </c>
    </row>
    <row r="3886" spans="1:13" ht="15" customHeight="1" x14ac:dyDescent="0.2">
      <c r="B3886" s="10" t="s">
        <v>903</v>
      </c>
      <c r="C3886" s="10" t="s">
        <v>110</v>
      </c>
      <c r="D3886" s="16">
        <f t="shared" ref="D3886:M3886" si="845">D3879*$D$3896</f>
        <v>4963.1764264996191</v>
      </c>
      <c r="E3886" s="16">
        <f t="shared" si="845"/>
        <v>18910.196384607723</v>
      </c>
      <c r="F3886" s="16">
        <f t="shared" si="845"/>
        <v>30874.798172361094</v>
      </c>
      <c r="G3886" s="16">
        <f t="shared" si="845"/>
        <v>36002.484652826824</v>
      </c>
      <c r="H3886" s="16">
        <f t="shared" si="845"/>
        <v>36002.484652826824</v>
      </c>
      <c r="I3886" s="16">
        <f t="shared" si="845"/>
        <v>36002.484652826824</v>
      </c>
      <c r="J3886" s="16">
        <f t="shared" si="845"/>
        <v>36002.484652826824</v>
      </c>
      <c r="K3886" s="16">
        <f t="shared" si="845"/>
        <v>36002.484652826824</v>
      </c>
      <c r="L3886" s="16">
        <f t="shared" si="845"/>
        <v>36002.484652826824</v>
      </c>
      <c r="M3886" s="16">
        <f t="shared" si="845"/>
        <v>36002.484652826824</v>
      </c>
    </row>
    <row r="3887" spans="1:13" ht="15" customHeight="1" x14ac:dyDescent="0.2">
      <c r="B3887" s="10" t="s">
        <v>904</v>
      </c>
      <c r="C3887" s="10" t="s">
        <v>110</v>
      </c>
      <c r="D3887" s="16">
        <f t="shared" ref="D3887:M3887" si="846">D3886*$D$3897</f>
        <v>2977.9058558997713</v>
      </c>
      <c r="E3887" s="16">
        <f t="shared" si="846"/>
        <v>11346.117830764633</v>
      </c>
      <c r="F3887" s="16">
        <f t="shared" si="846"/>
        <v>18524.878903416655</v>
      </c>
      <c r="G3887" s="16">
        <f t="shared" si="846"/>
        <v>21601.490791696095</v>
      </c>
      <c r="H3887" s="16">
        <f t="shared" si="846"/>
        <v>21601.490791696095</v>
      </c>
      <c r="I3887" s="16">
        <f t="shared" si="846"/>
        <v>21601.490791696095</v>
      </c>
      <c r="J3887" s="16">
        <f t="shared" si="846"/>
        <v>21601.490791696095</v>
      </c>
      <c r="K3887" s="16">
        <f t="shared" si="846"/>
        <v>21601.490791696095</v>
      </c>
      <c r="L3887" s="16">
        <f t="shared" si="846"/>
        <v>21601.490791696095</v>
      </c>
      <c r="M3887" s="16">
        <f t="shared" si="846"/>
        <v>21601.490791696095</v>
      </c>
    </row>
    <row r="3888" spans="1:13" ht="15" customHeight="1" x14ac:dyDescent="0.2">
      <c r="B3888" s="10" t="s">
        <v>905</v>
      </c>
      <c r="C3888" s="10" t="s">
        <v>110</v>
      </c>
      <c r="D3888" s="16">
        <f t="shared" ref="D3888:M3888" si="847">D3887-D3880</f>
        <v>1160.9285699673294</v>
      </c>
      <c r="E3888" s="16">
        <f t="shared" si="847"/>
        <v>4423.2534490149246</v>
      </c>
      <c r="F3888" s="16">
        <f t="shared" si="847"/>
        <v>7221.8741004031544</v>
      </c>
      <c r="G3888" s="16">
        <f t="shared" si="847"/>
        <v>8421.2829509981129</v>
      </c>
      <c r="H3888" s="16">
        <f t="shared" si="847"/>
        <v>8421.2829509981129</v>
      </c>
      <c r="I3888" s="16">
        <f t="shared" si="847"/>
        <v>8421.2829509981129</v>
      </c>
      <c r="J3888" s="16">
        <f t="shared" si="847"/>
        <v>8421.2829509981129</v>
      </c>
      <c r="K3888" s="16">
        <f t="shared" si="847"/>
        <v>8421.2829509981129</v>
      </c>
      <c r="L3888" s="16">
        <f t="shared" si="847"/>
        <v>8421.2829509981129</v>
      </c>
      <c r="M3888" s="16">
        <f t="shared" si="847"/>
        <v>8421.2829509981129</v>
      </c>
    </row>
    <row r="3889" spans="2:13" ht="15" customHeight="1" x14ac:dyDescent="0.2">
      <c r="B3889" s="10" t="s">
        <v>906</v>
      </c>
      <c r="C3889" s="10" t="s">
        <v>110</v>
      </c>
      <c r="D3889" s="16">
        <f>MAX(D3888,Inputs!$D$6)*Inputs!$D$19</f>
        <v>348.27857099019883</v>
      </c>
      <c r="E3889" s="16">
        <f>MAX(E3888,Inputs!$D$6)*Inputs!$D$19</f>
        <v>1326.9760347044773</v>
      </c>
      <c r="F3889" s="16">
        <f>MAX(F3888,Inputs!$D$6)*Inputs!$D$19</f>
        <v>2166.5622301209464</v>
      </c>
      <c r="G3889" s="16">
        <f>MAX(G3888,Inputs!$D$6)*Inputs!$D$19</f>
        <v>2526.3848852994338</v>
      </c>
      <c r="H3889" s="16">
        <f>MAX(H3888,Inputs!$D$6)*Inputs!$D$19</f>
        <v>2526.3848852994338</v>
      </c>
      <c r="I3889" s="16">
        <f>MAX(I3888,Inputs!$D$6)*Inputs!$D$19</f>
        <v>2526.3848852994338</v>
      </c>
      <c r="J3889" s="16">
        <f>MAX(J3888,Inputs!$D$6)*Inputs!$D$19</f>
        <v>2526.3848852994338</v>
      </c>
      <c r="K3889" s="16">
        <f>MAX(K3888,Inputs!$D$6)*Inputs!$D$19</f>
        <v>2526.3848852994338</v>
      </c>
      <c r="L3889" s="16">
        <f>MAX(L3888,Inputs!$D$6)*Inputs!$D$19</f>
        <v>2526.3848852994338</v>
      </c>
      <c r="M3889" s="16">
        <f>MAX(M3888,Inputs!$D$6)*Inputs!$D$19</f>
        <v>2526.3848852994338</v>
      </c>
    </row>
    <row r="3890" spans="2:13" ht="15" customHeight="1" x14ac:dyDescent="0.2">
      <c r="B3890" s="10" t="s">
        <v>907</v>
      </c>
      <c r="C3890" s="10" t="s">
        <v>110</v>
      </c>
      <c r="D3890" s="16">
        <f t="shared" ref="D3890:M3890" si="848">D3883*$D$3896</f>
        <v>256.38432402328658</v>
      </c>
      <c r="E3890" s="16">
        <f t="shared" si="848"/>
        <v>341.84576536438209</v>
      </c>
      <c r="F3890" s="16">
        <f t="shared" si="848"/>
        <v>256.38432402328658</v>
      </c>
      <c r="G3890" s="16">
        <f t="shared" si="848"/>
        <v>0</v>
      </c>
      <c r="H3890" s="16">
        <f t="shared" si="848"/>
        <v>0</v>
      </c>
      <c r="I3890" s="16">
        <f t="shared" si="848"/>
        <v>0</v>
      </c>
      <c r="J3890" s="16">
        <f t="shared" si="848"/>
        <v>0</v>
      </c>
      <c r="K3890" s="16">
        <f t="shared" si="848"/>
        <v>0</v>
      </c>
      <c r="L3890" s="16">
        <f t="shared" si="848"/>
        <v>0</v>
      </c>
      <c r="M3890" s="16">
        <f t="shared" si="848"/>
        <v>0</v>
      </c>
    </row>
    <row r="3891" spans="2:13" ht="15" customHeight="1" x14ac:dyDescent="0.2">
      <c r="B3891" s="10" t="s">
        <v>908</v>
      </c>
      <c r="C3891" s="10" t="s">
        <v>110</v>
      </c>
      <c r="D3891" s="16">
        <f t="shared" ref="D3891:M3891" si="849">D3887-D3889-D3881-D3882-D3890</f>
        <v>-13187.725659259868</v>
      </c>
      <c r="E3891" s="16">
        <f t="shared" si="849"/>
        <v>-11070.662129499096</v>
      </c>
      <c r="F3891" s="16">
        <f t="shared" si="849"/>
        <v>540.96372912626862</v>
      </c>
      <c r="G3891" s="16">
        <f t="shared" si="849"/>
        <v>16437.101057829488</v>
      </c>
      <c r="H3891" s="16">
        <f t="shared" si="849"/>
        <v>4193.3176845883791</v>
      </c>
      <c r="I3891" s="16">
        <f t="shared" si="849"/>
        <v>-767.27838934771717</v>
      </c>
      <c r="J3891" s="16">
        <f t="shared" si="849"/>
        <v>4193.3176845883791</v>
      </c>
      <c r="K3891" s="16">
        <f t="shared" si="849"/>
        <v>16437.101057829488</v>
      </c>
      <c r="L3891" s="16">
        <f t="shared" si="849"/>
        <v>4193.3176845883791</v>
      </c>
      <c r="M3891" s="16">
        <f t="shared" si="849"/>
        <v>-767.27838934771717</v>
      </c>
    </row>
    <row r="3892" spans="2:13" ht="15" customHeight="1" x14ac:dyDescent="0.2">
      <c r="B3892" s="10" t="s">
        <v>909</v>
      </c>
      <c r="C3892" s="10" t="s">
        <v>110</v>
      </c>
      <c r="D3892" s="16">
        <f>D3891/(Inputs!$D$7+$D$3898)^D3872</f>
        <v>-12319.456777945034</v>
      </c>
      <c r="E3892" s="16">
        <f>E3891/(Inputs!$D$7+$D$3898)^E3872</f>
        <v>-9399.7774272522875</v>
      </c>
      <c r="F3892" s="16">
        <f>F3891/(Inputs!$D$7+$D$3898)^F3872</f>
        <v>417.58776679975017</v>
      </c>
      <c r="G3892" s="16">
        <f>G3891/(Inputs!$D$7+$D$3898)^G3872</f>
        <v>11535.60807014133</v>
      </c>
      <c r="H3892" s="16">
        <f>H3891/(Inputs!$D$7+$D$3898)^H3872</f>
        <v>2675.5229412720869</v>
      </c>
      <c r="I3892" s="16">
        <f>I3891/(Inputs!$D$7+$D$3898)^I3872</f>
        <v>-444.96535632372246</v>
      </c>
      <c r="J3892" s="16">
        <f>J3891/(Inputs!$D$7+$D$3898)^J3872</f>
        <v>2210.8875056272764</v>
      </c>
      <c r="K3892" s="16">
        <f>K3891/(Inputs!$D$7+$D$3898)^K3872</f>
        <v>7878.9755277244212</v>
      </c>
      <c r="L3892" s="16">
        <f>L3891/(Inputs!$D$7+$D$3898)^L3872</f>
        <v>1827.4181690267646</v>
      </c>
      <c r="M3892" s="16">
        <f>M3891/(Inputs!$D$7+$D$3898)^M3872</f>
        <v>-303.9173255404155</v>
      </c>
    </row>
    <row r="3893" spans="2:13" ht="15" customHeight="1" x14ac:dyDescent="0.2">
      <c r="B3893" s="3" t="s">
        <v>910</v>
      </c>
      <c r="C3893" s="10" t="s">
        <v>896</v>
      </c>
      <c r="D3893" s="28">
        <f>(D3879*$D$3897-D3883)/(Inputs!$D$7+$D$3898)^D3872</f>
        <v>64.330856237917445</v>
      </c>
      <c r="E3893" s="28">
        <f>(E3879*$D$3897-E3883)/(Inputs!$D$7+$D$3898)^E3872</f>
        <v>236.42380139523098</v>
      </c>
      <c r="F3893" s="28">
        <f>(F3879*$D$3897-F3883)/(Inputs!$D$7+$D$3898)^F3872</f>
        <v>356.83568908039001</v>
      </c>
      <c r="G3893" s="28">
        <f>(G3879*$D$3897-G3883)/(Inputs!$D$7+$D$3898)^G3872</f>
        <v>383.60556091707036</v>
      </c>
      <c r="H3893" s="28">
        <f>(H3879*$D$3897-H3883)/(Inputs!$D$7+$D$3898)^H3872</f>
        <v>348.75507884227414</v>
      </c>
      <c r="I3893" s="28">
        <f>(I3879*$D$3897-I3883)/(Inputs!$D$7+$D$3898)^I3872</f>
        <v>316.98802826091918</v>
      </c>
      <c r="J3893" s="28">
        <f>(J3879*$D$3897-J3883)/(Inputs!$D$7+$D$3898)^J3872</f>
        <v>288.18973459066564</v>
      </c>
      <c r="K3893" s="28">
        <f>(K3879*$D$3897-K3883)/(Inputs!$D$7+$D$3898)^K3872</f>
        <v>262.00775965922423</v>
      </c>
      <c r="L3893" s="28">
        <f>(L3879*$D$3897-L3883)/(Inputs!$D$7+$D$3898)^L3872</f>
        <v>238.2044114761793</v>
      </c>
      <c r="M3893" s="28">
        <f>(M3879*$D$3897-M3883)/(Inputs!$D$7+$D$3898)^M3872</f>
        <v>216.50708849185102</v>
      </c>
    </row>
    <row r="3894" spans="2:13" ht="15" customHeight="1" x14ac:dyDescent="0.2">
      <c r="B3894" s="10" t="s">
        <v>911</v>
      </c>
      <c r="C3894" s="10" t="s">
        <v>110</v>
      </c>
      <c r="D3894" s="16">
        <f>(-D3881-D3882)/(Inputs!$D$7+$D$3898)^D3872</f>
        <v>-14536.447397527105</v>
      </c>
      <c r="E3894" s="16">
        <f>(-E3881-E3882)/(Inputs!$D$7+$D$3898)^E3872</f>
        <v>-17616.488200475756</v>
      </c>
      <c r="F3894" s="16">
        <f>(-F3881-F3882)/(Inputs!$D$7+$D$3898)^F3872</f>
        <v>-12012.025548964448</v>
      </c>
      <c r="G3894" s="16">
        <f>(-G3881-G3882)/(Inputs!$D$7+$D$3898)^G3872</f>
        <v>-1851.359915178487</v>
      </c>
      <c r="H3894" s="16">
        <f>(-H3881-H3882)/(Inputs!$D$7+$D$3898)^H3872</f>
        <v>-9495.2419037884629</v>
      </c>
      <c r="I3894" s="16">
        <f>(-I3881-I3882)/(Inputs!$D$7+$D$3898)^I3872</f>
        <v>-11507.131858586603</v>
      </c>
      <c r="J3894" s="16">
        <f>(-J3881-J3882)/(Inputs!$D$7+$D$3898)^J3872</f>
        <v>-7846.2835672839774</v>
      </c>
      <c r="K3894" s="16">
        <f>(-K3881-K3882)/(Inputs!$D$7+$D$3898)^K3872</f>
        <v>-1264.5037327904422</v>
      </c>
      <c r="L3894" s="16">
        <f>(-L3881-L3882)/(Inputs!$D$7+$D$3898)^L3872</f>
        <v>-6485.3779822337692</v>
      </c>
      <c r="M3894" s="16">
        <f>(-M3881-M3882)/(Inputs!$D$7+$D$3898)^M3872</f>
        <v>-7859.5258920747219</v>
      </c>
    </row>
    <row r="3895" spans="2:13" ht="15" customHeight="1" x14ac:dyDescent="0.2">
      <c r="B3895" s="10" t="s">
        <v>912</v>
      </c>
      <c r="C3895" s="10" t="s">
        <v>110</v>
      </c>
      <c r="D3895" s="16">
        <f>Prices!I20</f>
        <v>28657.400773749821</v>
      </c>
    </row>
    <row r="3896" spans="2:13" ht="15" customHeight="1" x14ac:dyDescent="0.2">
      <c r="B3896" s="3" t="s">
        <v>913</v>
      </c>
      <c r="C3896" s="10" t="s">
        <v>914</v>
      </c>
      <c r="D3896" s="28">
        <f>IF(J3903&gt;=J3899,J3903,(D3895-J3902)/J3901)</f>
        <v>39.519741660622202</v>
      </c>
      <c r="G3896" s="99" t="s">
        <v>915</v>
      </c>
      <c r="H3896" s="91"/>
      <c r="I3896" s="91"/>
      <c r="J3896" s="28">
        <f>D3896*Inputs!$D$15</f>
        <v>27.580827704948234</v>
      </c>
      <c r="K3896" s="99" t="s">
        <v>916</v>
      </c>
      <c r="L3896" s="91"/>
      <c r="M3896" s="91"/>
    </row>
    <row r="3897" spans="2:13" ht="15" customHeight="1" x14ac:dyDescent="0.2">
      <c r="B3897" s="10" t="s">
        <v>917</v>
      </c>
      <c r="C3897" s="10" t="s">
        <v>104</v>
      </c>
      <c r="D3897" s="30">
        <f>Inputs!$D$81</f>
        <v>0.6</v>
      </c>
      <c r="G3897" s="99" t="s">
        <v>918</v>
      </c>
      <c r="H3897" s="91"/>
      <c r="I3897" s="91"/>
      <c r="J3897" s="28">
        <f>IF(-D3908/D3907&gt;=J3899,-D3908/D3907,-J3902/J3901)</f>
        <v>32.284876648616972</v>
      </c>
      <c r="K3897" s="99" t="s">
        <v>919</v>
      </c>
      <c r="L3897" s="91"/>
      <c r="M3897" s="91"/>
    </row>
    <row r="3898" spans="2:13" ht="15" customHeight="1" x14ac:dyDescent="0.2">
      <c r="B3898" s="10" t="s">
        <v>920</v>
      </c>
      <c r="C3898" s="10" t="s">
        <v>104</v>
      </c>
      <c r="D3898" s="30">
        <f>Inputs!$D$82</f>
        <v>0.1</v>
      </c>
      <c r="G3898" s="99" t="s">
        <v>918</v>
      </c>
      <c r="H3898" s="91"/>
      <c r="I3898" s="91"/>
      <c r="J3898" s="28">
        <f>J3897*Inputs!$D$15</f>
        <v>22.531615413069783</v>
      </c>
      <c r="K3898" s="99" t="s">
        <v>916</v>
      </c>
      <c r="L3898" s="91"/>
      <c r="M3898" s="91"/>
    </row>
    <row r="3899" spans="2:13" ht="15" customHeight="1" x14ac:dyDescent="0.2">
      <c r="B3899" s="3" t="s">
        <v>921</v>
      </c>
      <c r="C3899" s="10" t="s">
        <v>848</v>
      </c>
      <c r="D3899" s="28">
        <f>Capital!$D$13</f>
        <v>57.347931490590682</v>
      </c>
      <c r="G3899" s="99" t="s">
        <v>922</v>
      </c>
      <c r="H3899" s="91"/>
      <c r="I3899" s="91"/>
      <c r="J3899" s="28">
        <f>($D$3899/Inputs!$D$21+$D$3900/Inputs!$D$22)/$D$3897</f>
        <v>24.113076913095469</v>
      </c>
      <c r="K3899" s="99" t="s">
        <v>919</v>
      </c>
      <c r="L3899" s="91"/>
      <c r="M3899" s="91"/>
    </row>
    <row r="3900" spans="2:13" ht="15" customHeight="1" x14ac:dyDescent="0.2">
      <c r="B3900" s="3" t="s">
        <v>923</v>
      </c>
      <c r="C3900" s="10" t="s">
        <v>848</v>
      </c>
      <c r="D3900" s="28">
        <f>Capital!$D$14</f>
        <v>2.6172655041921802</v>
      </c>
    </row>
    <row r="3901" spans="2:13" ht="15" customHeight="1" x14ac:dyDescent="0.2">
      <c r="B3901" s="10" t="s">
        <v>924</v>
      </c>
      <c r="C3901" s="10" t="s">
        <v>896</v>
      </c>
      <c r="D3901" s="28">
        <f>(M3874*(Inputs!$D$7+Inputs!$D$20)*$D$3897*(Inputs!$D$7-Inputs!$D$19)-M3874*Inputs!$D$20*Inputs!$D$23)/($D$3898-Inputs!$D$20)/(Inputs!$D$7+$D$3898)^M3872</f>
        <v>2068.2441036763203</v>
      </c>
      <c r="G3901" s="92" t="s">
        <v>910</v>
      </c>
      <c r="H3901" s="91"/>
      <c r="I3901" s="91"/>
      <c r="J3901" s="28">
        <f>SUM(D3893:M3893)+(M3874*(Inputs!$D$7+Inputs!$D$20)*$D$3897-M3874*Inputs!$D$20*Inputs!$D$23)/($D$3898-Inputs!$D$20)/(Inputs!$D$7+$D$3898)^M3872</f>
        <v>5667.7711754446318</v>
      </c>
      <c r="K3901" s="99" t="s">
        <v>896</v>
      </c>
      <c r="L3901" s="91"/>
      <c r="M3901" s="91"/>
    </row>
    <row r="3902" spans="2:13" ht="15" customHeight="1" x14ac:dyDescent="0.2">
      <c r="B3902" s="10" t="s">
        <v>925</v>
      </c>
      <c r="C3902" s="10" t="s">
        <v>110</v>
      </c>
      <c r="D3902" s="16">
        <f>(D3905*Inputs!$D$19-D3905-D3906)/($D$3898-Inputs!$D$20)/(Inputs!$D$7+$D$3898)^M3872</f>
        <v>-57156.954988173631</v>
      </c>
      <c r="G3902" s="92" t="s">
        <v>926</v>
      </c>
      <c r="H3902" s="91"/>
      <c r="I3902" s="91"/>
      <c r="J3902" s="16">
        <f>SUM(D3894:M3894)-(D3905+D3906)/($D$3898-Inputs!$D$20)/(Inputs!$D$7+$D$3898)^M3872</f>
        <v>-169036.01450291832</v>
      </c>
      <c r="K3902" s="99" t="s">
        <v>110</v>
      </c>
      <c r="L3902" s="91"/>
      <c r="M3902" s="91"/>
    </row>
    <row r="3903" spans="2:13" ht="15" customHeight="1" x14ac:dyDescent="0.2">
      <c r="B3903" s="10" t="s">
        <v>927</v>
      </c>
      <c r="C3903" s="10" t="s">
        <v>928</v>
      </c>
      <c r="D3903" s="16">
        <f>(M3874*(Inputs!$D$7+Inputs!$D$20)*$D$3896*$D$3897-D3905)-MAX((M3874*(Inputs!$D$7+Inputs!$D$20)*$D$3896*$D$3897-D3905),Inputs!$D$6)*Inputs!$D$19-D3906-M3874*Inputs!$D$20*$D$3896*Inputs!$D$23</f>
        <v>4654.0616028769482</v>
      </c>
      <c r="G3903" s="99" t="s">
        <v>929</v>
      </c>
      <c r="H3903" s="91"/>
      <c r="I3903" s="91"/>
      <c r="J3903" s="28">
        <f>(D3895-D3908)/D3907</f>
        <v>39.519741660622202</v>
      </c>
      <c r="K3903" s="99" t="s">
        <v>919</v>
      </c>
      <c r="L3903" s="91"/>
      <c r="M3903" s="91"/>
    </row>
    <row r="3904" spans="2:13" ht="15" customHeight="1" x14ac:dyDescent="0.2">
      <c r="B3904" s="10" t="s">
        <v>930</v>
      </c>
      <c r="C3904" s="10" t="s">
        <v>110</v>
      </c>
      <c r="D3904" s="16">
        <f>D3903/($D$3898-Inputs!$D$20)</f>
        <v>62054.154705025969</v>
      </c>
      <c r="G3904" s="99" t="s">
        <v>931</v>
      </c>
      <c r="H3904" s="91"/>
      <c r="I3904" s="91"/>
      <c r="J3904" s="16">
        <f>MIN(D3888:M3888,(M3874*(Inputs!$D$7+Inputs!$D$20)*$D$3896*$D$3897-D3905))</f>
        <v>1160.9285699673294</v>
      </c>
      <c r="K3904" s="99" t="s">
        <v>110</v>
      </c>
      <c r="L3904" s="91"/>
      <c r="M3904" s="91"/>
    </row>
    <row r="3905" spans="1:13" ht="15" customHeight="1" x14ac:dyDescent="0.2">
      <c r="B3905" s="10" t="s">
        <v>932</v>
      </c>
      <c r="C3905" s="10" t="s">
        <v>928</v>
      </c>
      <c r="D3905" s="16">
        <f>M3874*(Inputs!$D$7+Inputs!$D$20)*($D$3899/Inputs!$D$21+$D$3900/Inputs!$D$22)</f>
        <v>13509.71303671543</v>
      </c>
      <c r="G3905" s="99" t="s">
        <v>933</v>
      </c>
      <c r="H3905" s="91"/>
      <c r="I3905" s="91"/>
      <c r="J3905" s="31" t="str">
        <f>IF(J3904&lt;Inputs!$D$6,"breached","satisfied")</f>
        <v>satisfied</v>
      </c>
      <c r="K3905" s="99" t="s">
        <v>934</v>
      </c>
      <c r="L3905" s="91"/>
      <c r="M3905" s="91"/>
    </row>
    <row r="3906" spans="1:13" ht="15" customHeight="1" x14ac:dyDescent="0.2">
      <c r="B3906" s="10" t="s">
        <v>935</v>
      </c>
      <c r="C3906" s="10" t="s">
        <v>928</v>
      </c>
      <c r="D3906" s="16">
        <f>M3874*Inputs!$D$20*($D$3899+$D$3900)</f>
        <v>1365.7073615561799</v>
      </c>
    </row>
    <row r="3907" spans="1:13" ht="15" customHeight="1" x14ac:dyDescent="0.2">
      <c r="B3907" s="10" t="s">
        <v>936</v>
      </c>
      <c r="C3907" s="10" t="s">
        <v>896</v>
      </c>
      <c r="D3907" s="28">
        <f>SUM(D3884:M3884)+D3901</f>
        <v>3961.0138857044249</v>
      </c>
      <c r="G3907" s="99" t="s">
        <v>937</v>
      </c>
      <c r="H3907" s="91"/>
      <c r="I3907" s="91"/>
      <c r="J3907" s="16">
        <f>D3909-D3895</f>
        <v>0</v>
      </c>
      <c r="K3907" s="99" t="s">
        <v>110</v>
      </c>
      <c r="L3907" s="91"/>
      <c r="M3907" s="91"/>
    </row>
    <row r="3908" spans="1:13" ht="15" customHeight="1" x14ac:dyDescent="0.2">
      <c r="B3908" s="10" t="s">
        <v>938</v>
      </c>
      <c r="C3908" s="10" t="s">
        <v>110</v>
      </c>
      <c r="D3908" s="16">
        <f>SUM(D3885:M3885)+D3902</f>
        <v>-127880.84470342637</v>
      </c>
    </row>
    <row r="3909" spans="1:13" ht="15" customHeight="1" x14ac:dyDescent="0.2">
      <c r="B3909" s="10" t="s">
        <v>939</v>
      </c>
      <c r="C3909" s="10" t="s">
        <v>110</v>
      </c>
      <c r="D3909" s="16">
        <f>SUM(D3892:M3892)+D3904/(Inputs!$D$7+$D$3898)^M3872</f>
        <v>28657.400773749843</v>
      </c>
    </row>
    <row r="3910" spans="1:13" ht="15" customHeight="1" x14ac:dyDescent="0.2">
      <c r="B3910" s="10" t="s">
        <v>940</v>
      </c>
      <c r="C3910" s="10" t="s">
        <v>104</v>
      </c>
      <c r="D3910" s="30">
        <f>IF(ABS(D3895)&gt;Inputs!$D$6,D3909/D3895-Inputs!$D$7,Inputs!$D$6)</f>
        <v>6.6613381477509392E-16</v>
      </c>
    </row>
    <row r="3911" spans="1:13" ht="15" customHeight="1" x14ac:dyDescent="0.2">
      <c r="B3911" s="10" t="s">
        <v>941</v>
      </c>
      <c r="C3911" s="10" t="s">
        <v>104</v>
      </c>
      <c r="D3911" s="30">
        <f>IF(ABS(D3909)&gt;Inputs!$D$119,D3904/(Inputs!$D$7+$D$3898)^M3872/D3909,Inputs!$D$6)</f>
        <v>0.85770226945126471</v>
      </c>
    </row>
    <row r="3912" spans="1:13" ht="15" customHeight="1" x14ac:dyDescent="0.2">
      <c r="B3912" s="10" t="s">
        <v>942</v>
      </c>
      <c r="C3912" s="10" t="s">
        <v>943</v>
      </c>
      <c r="D3912" s="26">
        <f>$D$3896*Inputs!$D$8/Prices!$P$6/(Inputs!$D$26/Inputs!$D$25)/Inputs!$D$11/Inputs!$D$56</f>
        <v>7.1867850630821044</v>
      </c>
    </row>
    <row r="3916" spans="1:13" ht="15" customHeight="1" x14ac:dyDescent="0.2">
      <c r="A3916" s="104" t="s">
        <v>1028</v>
      </c>
      <c r="B3916" s="10" t="s">
        <v>886</v>
      </c>
      <c r="C3916" s="10" t="s">
        <v>107</v>
      </c>
      <c r="D3916" s="28">
        <f>Inputs!$D$60</f>
        <v>1</v>
      </c>
      <c r="E3916" s="28">
        <f>Inputs!$D$62</f>
        <v>2</v>
      </c>
      <c r="F3916" s="28">
        <f>Inputs!$D$64</f>
        <v>3</v>
      </c>
      <c r="G3916" s="28">
        <f>Inputs!$D$66</f>
        <v>4</v>
      </c>
      <c r="H3916" s="28">
        <f>Inputs!$D$68</f>
        <v>5</v>
      </c>
      <c r="I3916" s="28">
        <f>Inputs!$D$70</f>
        <v>6</v>
      </c>
      <c r="J3916" s="28">
        <f>Inputs!$D$72</f>
        <v>7</v>
      </c>
      <c r="K3916" s="28">
        <f>Inputs!$D$74</f>
        <v>8</v>
      </c>
      <c r="L3916" s="28">
        <f>Inputs!$D$76</f>
        <v>9</v>
      </c>
      <c r="M3916" s="28">
        <f>Inputs!$D$78</f>
        <v>10</v>
      </c>
    </row>
    <row r="3917" spans="1:13" ht="15" customHeight="1" x14ac:dyDescent="0.2">
      <c r="A3917" s="91"/>
      <c r="B3917" s="10" t="s">
        <v>887</v>
      </c>
      <c r="C3917" s="10" t="s">
        <v>161</v>
      </c>
      <c r="D3917" s="29">
        <f>Inputs!$D$61</f>
        <v>46568</v>
      </c>
      <c r="E3917" s="29">
        <f>Inputs!$D$63</f>
        <v>46934</v>
      </c>
      <c r="F3917" s="29">
        <f>Inputs!$D$65</f>
        <v>47299</v>
      </c>
      <c r="G3917" s="29">
        <f>Inputs!$D$67</f>
        <v>47664</v>
      </c>
      <c r="H3917" s="29">
        <f>Inputs!$D$69</f>
        <v>48029</v>
      </c>
      <c r="I3917" s="29">
        <f>Inputs!$D$71</f>
        <v>48395</v>
      </c>
      <c r="J3917" s="29">
        <f>Inputs!$D$73</f>
        <v>48760</v>
      </c>
      <c r="K3917" s="29">
        <f>Inputs!$D$75</f>
        <v>49125</v>
      </c>
      <c r="L3917" s="29">
        <f>Inputs!$D$77</f>
        <v>49490</v>
      </c>
      <c r="M3917" s="29">
        <f>Inputs!$D$79</f>
        <v>49856</v>
      </c>
    </row>
    <row r="3918" spans="1:13" ht="15" customHeight="1" x14ac:dyDescent="0.2">
      <c r="A3918" s="91"/>
      <c r="B3918" s="10" t="s">
        <v>888</v>
      </c>
      <c r="C3918" s="10" t="s">
        <v>107</v>
      </c>
      <c r="D3918" s="28">
        <f>(D3917-Inputs!$D$13)/Inputs!$D$10</f>
        <v>0.71457905544147848</v>
      </c>
      <c r="E3918" s="28">
        <f>(E3917-Inputs!$D$13)/Inputs!$D$10</f>
        <v>1.7166324435318274</v>
      </c>
      <c r="F3918" s="28">
        <f>(F3917-Inputs!$D$13)/Inputs!$D$10</f>
        <v>2.7159479808350446</v>
      </c>
      <c r="G3918" s="28">
        <f>(G3917-Inputs!$D$13)/Inputs!$D$10</f>
        <v>3.7152635181382614</v>
      </c>
      <c r="H3918" s="28">
        <f>(H3917-Inputs!$D$13)/Inputs!$D$10</f>
        <v>4.7145790554414786</v>
      </c>
      <c r="I3918" s="28">
        <f>(I3917-Inputs!$D$13)/Inputs!$D$10</f>
        <v>5.7166324435318279</v>
      </c>
      <c r="J3918" s="28">
        <f>(J3917-Inputs!$D$13)/Inputs!$D$10</f>
        <v>6.7159479808350442</v>
      </c>
      <c r="K3918" s="28">
        <f>(K3917-Inputs!$D$13)/Inputs!$D$10</f>
        <v>7.7152635181382614</v>
      </c>
      <c r="L3918" s="28">
        <f>(L3917-Inputs!$D$13)/Inputs!$D$10</f>
        <v>8.7145790554414777</v>
      </c>
      <c r="M3918" s="28">
        <f>(M3917-Inputs!$D$13)/Inputs!$D$10</f>
        <v>9.716632443531827</v>
      </c>
    </row>
    <row r="3919" spans="1:13" ht="15" customHeight="1" x14ac:dyDescent="0.2">
      <c r="A3919" s="91"/>
      <c r="B3919" s="10" t="s">
        <v>889</v>
      </c>
      <c r="C3919" s="10" t="s">
        <v>107</v>
      </c>
      <c r="D3919" s="28">
        <f>D3918</f>
        <v>0.71457905544147848</v>
      </c>
      <c r="E3919" s="28">
        <f>Inputs!$D$7</f>
        <v>1</v>
      </c>
      <c r="F3919" s="28">
        <f>Inputs!$D$7</f>
        <v>1</v>
      </c>
      <c r="G3919" s="28">
        <f>Inputs!$D$7</f>
        <v>1</v>
      </c>
      <c r="H3919" s="28">
        <f>Inputs!$D$7</f>
        <v>1</v>
      </c>
      <c r="I3919" s="28">
        <f>Inputs!$D$7</f>
        <v>1</v>
      </c>
      <c r="J3919" s="28">
        <f>Inputs!$D$7</f>
        <v>1</v>
      </c>
      <c r="K3919" s="28">
        <f>Inputs!$D$7</f>
        <v>1</v>
      </c>
      <c r="L3919" s="28">
        <f>Inputs!$D$7</f>
        <v>1</v>
      </c>
      <c r="M3919" s="28">
        <f>Inputs!$D$7</f>
        <v>1</v>
      </c>
    </row>
    <row r="3920" spans="1:13" ht="15" customHeight="1" x14ac:dyDescent="0.2">
      <c r="A3920" s="91"/>
      <c r="B3920" s="3" t="s">
        <v>890</v>
      </c>
      <c r="C3920" s="10" t="s">
        <v>199</v>
      </c>
      <c r="D3920" s="28">
        <f>Inputs!$D$24+(Inputs!$D$93-Inputs!$D$24)*Inputs!$D$96</f>
        <v>279.10000000000002</v>
      </c>
      <c r="E3920" s="28">
        <f>Inputs!$D$24+(Inputs!$D$93-Inputs!$D$24)*Inputs!$D$97</f>
        <v>900.7</v>
      </c>
      <c r="F3920" s="28">
        <f>Inputs!$D$24+(Inputs!$D$93-Inputs!$D$24)*Inputs!$D$98</f>
        <v>1366.8999999999999</v>
      </c>
      <c r="G3920" s="28">
        <f>Inputs!$D$24+(Inputs!$D$93-Inputs!$D$24)*Inputs!$D$99</f>
        <v>1600</v>
      </c>
      <c r="H3920" s="28">
        <f>Inputs!$D$24+(Inputs!$D$93-Inputs!$D$24)*Inputs!$D$100</f>
        <v>1600</v>
      </c>
      <c r="I3920" s="28">
        <f>Inputs!$D$24+(Inputs!$D$93-Inputs!$D$24)*Inputs!$D$101</f>
        <v>1600</v>
      </c>
      <c r="J3920" s="28">
        <f>Inputs!$D$24+(Inputs!$D$93-Inputs!$D$24)*Inputs!$D$102</f>
        <v>1600</v>
      </c>
      <c r="K3920" s="28">
        <f>Inputs!$D$24+(Inputs!$D$93-Inputs!$D$24)*Inputs!$D$103</f>
        <v>1600</v>
      </c>
      <c r="L3920" s="28">
        <f>Inputs!$D$24+(Inputs!$D$93-Inputs!$D$24)*Inputs!$D$104</f>
        <v>1600</v>
      </c>
      <c r="M3920" s="28">
        <f>Inputs!$D$24+(Inputs!$D$93-Inputs!$D$24)*Inputs!$D$105</f>
        <v>1600</v>
      </c>
    </row>
    <row r="3921" spans="1:13" ht="15" customHeight="1" x14ac:dyDescent="0.2">
      <c r="A3921" s="91"/>
      <c r="B3921" s="10" t="s">
        <v>891</v>
      </c>
      <c r="C3921" s="10" t="s">
        <v>199</v>
      </c>
      <c r="D3921" s="28">
        <f>Inputs!$D$24</f>
        <v>46</v>
      </c>
      <c r="E3921" s="28">
        <f t="shared" ref="E3921:M3921" si="850">D3920</f>
        <v>279.10000000000002</v>
      </c>
      <c r="F3921" s="28">
        <f t="shared" si="850"/>
        <v>900.7</v>
      </c>
      <c r="G3921" s="28">
        <f t="shared" si="850"/>
        <v>1366.8999999999999</v>
      </c>
      <c r="H3921" s="28">
        <f t="shared" si="850"/>
        <v>1600</v>
      </c>
      <c r="I3921" s="28">
        <f t="shared" si="850"/>
        <v>1600</v>
      </c>
      <c r="J3921" s="28">
        <f t="shared" si="850"/>
        <v>1600</v>
      </c>
      <c r="K3921" s="28">
        <f t="shared" si="850"/>
        <v>1600</v>
      </c>
      <c r="L3921" s="28">
        <f t="shared" si="850"/>
        <v>1600</v>
      </c>
      <c r="M3921" s="28">
        <f t="shared" si="850"/>
        <v>1600</v>
      </c>
    </row>
    <row r="3922" spans="1:13" ht="15" customHeight="1" x14ac:dyDescent="0.2">
      <c r="B3922" s="10" t="s">
        <v>892</v>
      </c>
      <c r="C3922" s="10" t="s">
        <v>199</v>
      </c>
      <c r="D3922" s="28">
        <f>(D3921+D3920)*Inputs!$D$12</f>
        <v>162.55000000000001</v>
      </c>
      <c r="E3922" s="28">
        <f>(E3921+E3920)*Inputs!$D$12</f>
        <v>589.90000000000009</v>
      </c>
      <c r="F3922" s="28">
        <f>(F3921+F3920)*Inputs!$D$12</f>
        <v>1133.8</v>
      </c>
      <c r="G3922" s="28">
        <f>(G3921+G3920)*Inputs!$D$12</f>
        <v>1483.4499999999998</v>
      </c>
      <c r="H3922" s="28">
        <f>(H3921+H3920)*Inputs!$D$12</f>
        <v>1600</v>
      </c>
      <c r="I3922" s="28">
        <f>(I3921+I3920)*Inputs!$D$12</f>
        <v>1600</v>
      </c>
      <c r="J3922" s="28">
        <f>(J3921+J3920)*Inputs!$D$12</f>
        <v>1600</v>
      </c>
      <c r="K3922" s="28">
        <f>(K3921+K3920)*Inputs!$D$12</f>
        <v>1600</v>
      </c>
      <c r="L3922" s="28">
        <f>(L3921+L3920)*Inputs!$D$12</f>
        <v>1600</v>
      </c>
      <c r="M3922" s="28">
        <f>(M3921+M3920)*Inputs!$D$12</f>
        <v>1600</v>
      </c>
    </row>
    <row r="3923" spans="1:13" ht="15" customHeight="1" x14ac:dyDescent="0.2">
      <c r="B3923" s="10" t="s">
        <v>893</v>
      </c>
      <c r="C3923" s="10" t="s">
        <v>199</v>
      </c>
      <c r="D3923" s="28">
        <f t="shared" ref="D3923:M3923" si="851">D3920-D3921</f>
        <v>233.10000000000002</v>
      </c>
      <c r="E3923" s="28">
        <f t="shared" si="851"/>
        <v>621.6</v>
      </c>
      <c r="F3923" s="28">
        <f t="shared" si="851"/>
        <v>466.19999999999982</v>
      </c>
      <c r="G3923" s="28">
        <f t="shared" si="851"/>
        <v>233.10000000000014</v>
      </c>
      <c r="H3923" s="28">
        <f t="shared" si="851"/>
        <v>0</v>
      </c>
      <c r="I3923" s="28">
        <f t="shared" si="851"/>
        <v>0</v>
      </c>
      <c r="J3923" s="28">
        <f t="shared" si="851"/>
        <v>0</v>
      </c>
      <c r="K3923" s="28">
        <f t="shared" si="851"/>
        <v>0</v>
      </c>
      <c r="L3923" s="28">
        <f t="shared" si="851"/>
        <v>0</v>
      </c>
      <c r="M3923" s="28">
        <f t="shared" si="851"/>
        <v>0</v>
      </c>
    </row>
    <row r="3924" spans="1:13" ht="15" customHeight="1" x14ac:dyDescent="0.2">
      <c r="B3924" s="10" t="s">
        <v>894</v>
      </c>
      <c r="C3924" s="10" t="s">
        <v>199</v>
      </c>
      <c r="D3924" s="28">
        <f>IF(MOD(D3916,Inputs!$D$21)=Inputs!$D$6,Inputs!$D$24,Inputs!$D$6)+SUMPRODUCT(--(D3916&gt;$D$3916:$M$3916),--(MOD(D3916-$D$3916:$M$3916,Inputs!$D$21)=Inputs!$D$6),$D$3923:$M$3923)</f>
        <v>0</v>
      </c>
      <c r="E3924" s="28">
        <f>IF(MOD(E3916,Inputs!$D$21)=Inputs!$D$6,Inputs!$D$24,Inputs!$D$6)+SUMPRODUCT(--(E3916&gt;$D$3916:$M$3916),--(MOD(E3916-$D$3916:$M$3916,Inputs!$D$21)=Inputs!$D$6),$D$3923:$M$3923)</f>
        <v>0</v>
      </c>
      <c r="F3924" s="28">
        <f>IF(MOD(F3916,Inputs!$D$21)=Inputs!$D$6,Inputs!$D$24,Inputs!$D$6)+SUMPRODUCT(--(F3916&gt;$D$3916:$M$3916),--(MOD(F3916-$D$3916:$M$3916,Inputs!$D$21)=Inputs!$D$6),$D$3923:$M$3923)</f>
        <v>0</v>
      </c>
      <c r="G3924" s="28">
        <f>IF(MOD(G3916,Inputs!$D$21)=Inputs!$D$6,Inputs!$D$24,Inputs!$D$6)+SUMPRODUCT(--(G3916&gt;$D$3916:$M$3916),--(MOD(G3916-$D$3916:$M$3916,Inputs!$D$21)=Inputs!$D$6),$D$3923:$M$3923)</f>
        <v>46</v>
      </c>
      <c r="H3924" s="28">
        <f>IF(MOD(H3916,Inputs!$D$21)=Inputs!$D$6,Inputs!$D$24,Inputs!$D$6)+SUMPRODUCT(--(H3916&gt;$D$3916:$M$3916),--(MOD(H3916-$D$3916:$M$3916,Inputs!$D$21)=Inputs!$D$6),$D$3923:$M$3923)</f>
        <v>233.10000000000002</v>
      </c>
      <c r="I3924" s="28">
        <f>IF(MOD(I3916,Inputs!$D$21)=Inputs!$D$6,Inputs!$D$24,Inputs!$D$6)+SUMPRODUCT(--(I3916&gt;$D$3916:$M$3916),--(MOD(I3916-$D$3916:$M$3916,Inputs!$D$21)=Inputs!$D$6),$D$3923:$M$3923)</f>
        <v>621.6</v>
      </c>
      <c r="J3924" s="28">
        <f>IF(MOD(J3916,Inputs!$D$21)=Inputs!$D$6,Inputs!$D$24,Inputs!$D$6)+SUMPRODUCT(--(J3916&gt;$D$3916:$M$3916),--(MOD(J3916-$D$3916:$M$3916,Inputs!$D$21)=Inputs!$D$6),$D$3923:$M$3923)</f>
        <v>466.19999999999982</v>
      </c>
      <c r="K3924" s="28">
        <f>IF(MOD(K3916,Inputs!$D$21)=Inputs!$D$6,Inputs!$D$24,Inputs!$D$6)+SUMPRODUCT(--(K3916&gt;$D$3916:$M$3916),--(MOD(K3916-$D$3916:$M$3916,Inputs!$D$21)=Inputs!$D$6),$D$3923:$M$3923)</f>
        <v>279.10000000000014</v>
      </c>
      <c r="L3924" s="28">
        <f>IF(MOD(L3916,Inputs!$D$21)=Inputs!$D$6,Inputs!$D$24,Inputs!$D$6)+SUMPRODUCT(--(L3916&gt;$D$3916:$M$3916),--(MOD(L3916-$D$3916:$M$3916,Inputs!$D$21)=Inputs!$D$6),$D$3923:$M$3923)</f>
        <v>233.10000000000002</v>
      </c>
      <c r="M3924" s="28">
        <f>IF(MOD(M3916,Inputs!$D$21)=Inputs!$D$6,Inputs!$D$24,Inputs!$D$6)+SUMPRODUCT(--(M3916&gt;$D$3916:$M$3916),--(MOD(M3916-$D$3916:$M$3916,Inputs!$D$21)=Inputs!$D$6),$D$3923:$M$3923)</f>
        <v>621.6</v>
      </c>
    </row>
    <row r="3925" spans="1:13" ht="15" customHeight="1" x14ac:dyDescent="0.2">
      <c r="B3925" s="10" t="s">
        <v>895</v>
      </c>
      <c r="C3925" s="10" t="s">
        <v>896</v>
      </c>
      <c r="D3925" s="28">
        <f t="shared" ref="D3925:M3925" si="852">D3922*D3919</f>
        <v>116.15482546201234</v>
      </c>
      <c r="E3925" s="28">
        <f t="shared" si="852"/>
        <v>589.90000000000009</v>
      </c>
      <c r="F3925" s="28">
        <f t="shared" si="852"/>
        <v>1133.8</v>
      </c>
      <c r="G3925" s="28">
        <f t="shared" si="852"/>
        <v>1483.4499999999998</v>
      </c>
      <c r="H3925" s="28">
        <f t="shared" si="852"/>
        <v>1600</v>
      </c>
      <c r="I3925" s="28">
        <f t="shared" si="852"/>
        <v>1600</v>
      </c>
      <c r="J3925" s="28">
        <f t="shared" si="852"/>
        <v>1600</v>
      </c>
      <c r="K3925" s="28">
        <f t="shared" si="852"/>
        <v>1600</v>
      </c>
      <c r="L3925" s="28">
        <f t="shared" si="852"/>
        <v>1600</v>
      </c>
      <c r="M3925" s="28">
        <f t="shared" si="852"/>
        <v>1600</v>
      </c>
    </row>
    <row r="3926" spans="1:13" ht="15" customHeight="1" x14ac:dyDescent="0.2">
      <c r="B3926" s="10" t="s">
        <v>897</v>
      </c>
      <c r="C3926" s="10" t="s">
        <v>110</v>
      </c>
      <c r="D3926" s="16">
        <f>D3925*($D$3945/Inputs!$D$21+$D$3946/Inputs!$D$22)</f>
        <v>1680.51014411561</v>
      </c>
      <c r="E3926" s="16">
        <f>E3925*($D$3945/Inputs!$D$21+$D$3946/Inputs!$D$22)</f>
        <v>8534.5824426210111</v>
      </c>
      <c r="F3926" s="16">
        <f>F3925*($D$3945/Inputs!$D$21+$D$3946/Inputs!$D$22)</f>
        <v>16403.643962440583</v>
      </c>
      <c r="G3926" s="16">
        <f>G3925*($D$3945/Inputs!$D$21+$D$3946/Inputs!$D$22)</f>
        <v>21462.326368038881</v>
      </c>
      <c r="H3926" s="16">
        <f>H3925*($D$3945/Inputs!$D$21+$D$3946/Inputs!$D$22)</f>
        <v>23148.553836571649</v>
      </c>
      <c r="I3926" s="16">
        <f>I3925*($D$3945/Inputs!$D$21+$D$3946/Inputs!$D$22)</f>
        <v>23148.553836571649</v>
      </c>
      <c r="J3926" s="16">
        <f>J3925*($D$3945/Inputs!$D$21+$D$3946/Inputs!$D$22)</f>
        <v>23148.553836571649</v>
      </c>
      <c r="K3926" s="16">
        <f>K3925*($D$3945/Inputs!$D$21+$D$3946/Inputs!$D$22)</f>
        <v>23148.553836571649</v>
      </c>
      <c r="L3926" s="16">
        <f>L3925*($D$3945/Inputs!$D$21+$D$3946/Inputs!$D$22)</f>
        <v>23148.553836571649</v>
      </c>
      <c r="M3926" s="16">
        <f>M3925*($D$3945/Inputs!$D$21+$D$3946/Inputs!$D$22)</f>
        <v>23148.553836571649</v>
      </c>
    </row>
    <row r="3927" spans="1:13" ht="15" customHeight="1" x14ac:dyDescent="0.2">
      <c r="B3927" s="10" t="s">
        <v>898</v>
      </c>
      <c r="C3927" s="10" t="s">
        <v>110</v>
      </c>
      <c r="D3927" s="16">
        <f t="shared" ref="D3927:M3927" si="853">D3923*($D$3945+$D$3946)</f>
        <v>13977.887419483886</v>
      </c>
      <c r="E3927" s="16">
        <f t="shared" si="853"/>
        <v>37274.36645195703</v>
      </c>
      <c r="F3927" s="16">
        <f t="shared" si="853"/>
        <v>27955.774838967762</v>
      </c>
      <c r="G3927" s="16">
        <f t="shared" si="853"/>
        <v>13977.887419483894</v>
      </c>
      <c r="H3927" s="16">
        <f t="shared" si="853"/>
        <v>0</v>
      </c>
      <c r="I3927" s="16">
        <f t="shared" si="853"/>
        <v>0</v>
      </c>
      <c r="J3927" s="16">
        <f t="shared" si="853"/>
        <v>0</v>
      </c>
      <c r="K3927" s="16">
        <f t="shared" si="853"/>
        <v>0</v>
      </c>
      <c r="L3927" s="16">
        <f t="shared" si="853"/>
        <v>0</v>
      </c>
      <c r="M3927" s="16">
        <f t="shared" si="853"/>
        <v>0</v>
      </c>
    </row>
    <row r="3928" spans="1:13" ht="15" customHeight="1" x14ac:dyDescent="0.2">
      <c r="B3928" s="10" t="s">
        <v>899</v>
      </c>
      <c r="C3928" s="10" t="s">
        <v>110</v>
      </c>
      <c r="D3928" s="16">
        <f t="shared" ref="D3928:M3928" si="854">D3924*$D$3945</f>
        <v>0</v>
      </c>
      <c r="E3928" s="16">
        <f t="shared" si="854"/>
        <v>0</v>
      </c>
      <c r="F3928" s="16">
        <f t="shared" si="854"/>
        <v>0</v>
      </c>
      <c r="G3928" s="16">
        <f t="shared" si="854"/>
        <v>2638.0048485671714</v>
      </c>
      <c r="H3928" s="16">
        <f t="shared" si="854"/>
        <v>13367.802830456689</v>
      </c>
      <c r="I3928" s="16">
        <f t="shared" si="854"/>
        <v>35647.47421455117</v>
      </c>
      <c r="J3928" s="16">
        <f t="shared" si="854"/>
        <v>26735.605660913367</v>
      </c>
      <c r="K3928" s="16">
        <f t="shared" si="854"/>
        <v>16005.807679023867</v>
      </c>
      <c r="L3928" s="16">
        <f t="shared" si="854"/>
        <v>13367.802830456689</v>
      </c>
      <c r="M3928" s="16">
        <f t="shared" si="854"/>
        <v>35647.47421455117</v>
      </c>
    </row>
    <row r="3929" spans="1:13" ht="15" customHeight="1" x14ac:dyDescent="0.2">
      <c r="B3929" s="10" t="s">
        <v>900</v>
      </c>
      <c r="C3929" s="10" t="s">
        <v>199</v>
      </c>
      <c r="D3929" s="28">
        <f>D3923*Inputs!$D$23</f>
        <v>5.8275000000000006</v>
      </c>
      <c r="E3929" s="28">
        <f>E3923*Inputs!$D$23</f>
        <v>15.540000000000001</v>
      </c>
      <c r="F3929" s="28">
        <f>F3923*Inputs!$D$23</f>
        <v>11.654999999999996</v>
      </c>
      <c r="G3929" s="28">
        <f>G3923*Inputs!$D$23</f>
        <v>5.8275000000000041</v>
      </c>
      <c r="H3929" s="28">
        <f>H3923*Inputs!$D$23</f>
        <v>0</v>
      </c>
      <c r="I3929" s="28">
        <f>I3923*Inputs!$D$23</f>
        <v>0</v>
      </c>
      <c r="J3929" s="28">
        <f>J3923*Inputs!$D$23</f>
        <v>0</v>
      </c>
      <c r="K3929" s="28">
        <f>K3923*Inputs!$D$23</f>
        <v>0</v>
      </c>
      <c r="L3929" s="28">
        <f>L3923*Inputs!$D$23</f>
        <v>0</v>
      </c>
      <c r="M3929" s="28">
        <f>M3923*Inputs!$D$23</f>
        <v>0</v>
      </c>
    </row>
    <row r="3930" spans="1:13" ht="15" customHeight="1" x14ac:dyDescent="0.2">
      <c r="B3930" s="3" t="s">
        <v>901</v>
      </c>
      <c r="C3930" s="10" t="s">
        <v>896</v>
      </c>
      <c r="D3930" s="28">
        <f>(D3925*$D$3943*(Inputs!$D$7-Inputs!$D$19)-D3929)/(Inputs!$D$7+$D$3944)^D3918</f>
        <v>50.541318213721269</v>
      </c>
      <c r="E3930" s="28">
        <f>(E3925*$D$3943*(Inputs!$D$7-Inputs!$D$19)-E3929)/(Inputs!$D$7+$D$3944)^E3918</f>
        <v>238.4864713152904</v>
      </c>
      <c r="F3930" s="28">
        <f>(F3925*$D$3943*(Inputs!$D$7-Inputs!$D$19)-F3929)/(Inputs!$D$7+$D$3944)^F3918</f>
        <v>418.74491871678316</v>
      </c>
      <c r="G3930" s="28">
        <f>(G3925*$D$3943*(Inputs!$D$7-Inputs!$D$19)-G3929)/(Inputs!$D$7+$D$3944)^G3918</f>
        <v>490.87392073514752</v>
      </c>
      <c r="H3930" s="28">
        <f>(H3925*$D$3943*(Inputs!$D$7-Inputs!$D$19)-H3929)/(Inputs!$D$7+$D$3944)^H3918</f>
        <v>472.10300862628105</v>
      </c>
      <c r="I3930" s="28">
        <f>(I3925*$D$3943*(Inputs!$D$7-Inputs!$D$19)-I3929)/(Inputs!$D$7+$D$3944)^I3918</f>
        <v>417.68543753228789</v>
      </c>
      <c r="J3930" s="28">
        <f>(J3925*$D$3943*(Inputs!$D$7-Inputs!$D$19)-J3929)/(Inputs!$D$7+$D$3944)^J3918</f>
        <v>369.66405292491049</v>
      </c>
      <c r="K3930" s="28">
        <f>(K3925*$D$3943*(Inputs!$D$7-Inputs!$D$19)-K3929)/(Inputs!$D$7+$D$3944)^K3918</f>
        <v>327.16369723641031</v>
      </c>
      <c r="L3930" s="28">
        <f>(L3925*$D$3943*(Inputs!$D$7-Inputs!$D$19)-L3929)/(Inputs!$D$7+$D$3944)^L3918</f>
        <v>289.54961658427663</v>
      </c>
      <c r="M3930" s="28">
        <f>(M3925*$D$3943*(Inputs!$D$7-Inputs!$D$19)-M3929)/(Inputs!$D$7+$D$3944)^M3918</f>
        <v>256.17430111750662</v>
      </c>
    </row>
    <row r="3931" spans="1:13" ht="15" customHeight="1" x14ac:dyDescent="0.2">
      <c r="B3931" s="10" t="s">
        <v>902</v>
      </c>
      <c r="C3931" s="10" t="s">
        <v>110</v>
      </c>
      <c r="D3931" s="16">
        <f>(D3926*Inputs!$D$19-D3927-D3928)/(Inputs!$D$7+$D$3944)^D3918</f>
        <v>-12346.937146613671</v>
      </c>
      <c r="E3931" s="16">
        <f>(E3926*Inputs!$D$19-E3927-E3928)/(Inputs!$D$7+$D$3944)^E3918</f>
        <v>-28144.165592831177</v>
      </c>
      <c r="F3931" s="16">
        <f>(F3926*Inputs!$D$19-F3927-F3928)/(Inputs!$D$7+$D$3944)^F3918</f>
        <v>-16528.13772562052</v>
      </c>
      <c r="G3931" s="16">
        <f>(G3926*Inputs!$D$19-G3927-G3928)/(Inputs!$D$7+$D$3944)^G3918</f>
        <v>-6462.9033875784253</v>
      </c>
      <c r="H3931" s="16">
        <f>(H3926*Inputs!$D$19-H3927-H3928)/(Inputs!$D$7+$D$3944)^H3918</f>
        <v>-3610.0349541710043</v>
      </c>
      <c r="I3931" s="16">
        <f>(I3926*Inputs!$D$19-I3927-I3928)/(Inputs!$D$7+$D$3944)^I3918</f>
        <v>-14272.365134506323</v>
      </c>
      <c r="J3931" s="16">
        <f>(J3926*Inputs!$D$19-J3927-J3928)/(Inputs!$D$7+$D$3944)^J3918</f>
        <v>-8709.5665200501735</v>
      </c>
      <c r="K3931" s="16">
        <f>(K3926*Inputs!$D$19-K3927-K3928)/(Inputs!$D$7+$D$3944)^K3918</f>
        <v>-3529.1777141306115</v>
      </c>
      <c r="L3931" s="16">
        <f>(L3926*Inputs!$D$19-L3927-L3928)/(Inputs!$D$7+$D$3944)^L3918</f>
        <v>-2214.1020449702382</v>
      </c>
      <c r="M3931" s="16">
        <f>(M3926*Inputs!$D$19-M3927-M3928)/(Inputs!$D$7+$D$3944)^M3918</f>
        <v>-8753.5088252709138</v>
      </c>
    </row>
    <row r="3932" spans="1:13" ht="15" customHeight="1" x14ac:dyDescent="0.2">
      <c r="B3932" s="10" t="s">
        <v>903</v>
      </c>
      <c r="C3932" s="10" t="s">
        <v>110</v>
      </c>
      <c r="D3932" s="16">
        <f t="shared" ref="D3932:M3932" si="855">D3925*$D$3942</f>
        <v>3755.075696646662</v>
      </c>
      <c r="E3932" s="16">
        <f t="shared" si="855"/>
        <v>19070.401463228973</v>
      </c>
      <c r="F3932" s="16">
        <f t="shared" si="855"/>
        <v>36653.706016289208</v>
      </c>
      <c r="G3932" s="16">
        <f t="shared" si="855"/>
        <v>47957.258943256507</v>
      </c>
      <c r="H3932" s="16">
        <f t="shared" si="855"/>
        <v>51725.109918912276</v>
      </c>
      <c r="I3932" s="16">
        <f t="shared" si="855"/>
        <v>51725.109918912276</v>
      </c>
      <c r="J3932" s="16">
        <f t="shared" si="855"/>
        <v>51725.109918912276</v>
      </c>
      <c r="K3932" s="16">
        <f t="shared" si="855"/>
        <v>51725.109918912276</v>
      </c>
      <c r="L3932" s="16">
        <f t="shared" si="855"/>
        <v>51725.109918912276</v>
      </c>
      <c r="M3932" s="16">
        <f t="shared" si="855"/>
        <v>51725.109918912276</v>
      </c>
    </row>
    <row r="3933" spans="1:13" ht="15" customHeight="1" x14ac:dyDescent="0.2">
      <c r="B3933" s="10" t="s">
        <v>904</v>
      </c>
      <c r="C3933" s="10" t="s">
        <v>110</v>
      </c>
      <c r="D3933" s="16">
        <f t="shared" ref="D3933:M3933" si="856">D3932*$D$3943</f>
        <v>2816.3067724849966</v>
      </c>
      <c r="E3933" s="16">
        <f t="shared" si="856"/>
        <v>14302.801097421729</v>
      </c>
      <c r="F3933" s="16">
        <f t="shared" si="856"/>
        <v>27490.279512216905</v>
      </c>
      <c r="G3933" s="16">
        <f t="shared" si="856"/>
        <v>35967.944207442379</v>
      </c>
      <c r="H3933" s="16">
        <f t="shared" si="856"/>
        <v>38793.832439184203</v>
      </c>
      <c r="I3933" s="16">
        <f t="shared" si="856"/>
        <v>38793.832439184203</v>
      </c>
      <c r="J3933" s="16">
        <f t="shared" si="856"/>
        <v>38793.832439184203</v>
      </c>
      <c r="K3933" s="16">
        <f t="shared" si="856"/>
        <v>38793.832439184203</v>
      </c>
      <c r="L3933" s="16">
        <f t="shared" si="856"/>
        <v>38793.832439184203</v>
      </c>
      <c r="M3933" s="16">
        <f t="shared" si="856"/>
        <v>38793.832439184203</v>
      </c>
    </row>
    <row r="3934" spans="1:13" ht="15" customHeight="1" x14ac:dyDescent="0.2">
      <c r="B3934" s="10" t="s">
        <v>905</v>
      </c>
      <c r="C3934" s="10" t="s">
        <v>110</v>
      </c>
      <c r="D3934" s="16">
        <f t="shared" ref="D3934:M3934" si="857">D3933-D3926</f>
        <v>1135.7966283693866</v>
      </c>
      <c r="E3934" s="16">
        <f t="shared" si="857"/>
        <v>5768.2186548007176</v>
      </c>
      <c r="F3934" s="16">
        <f t="shared" si="857"/>
        <v>11086.635549776322</v>
      </c>
      <c r="G3934" s="16">
        <f t="shared" si="857"/>
        <v>14505.617839403498</v>
      </c>
      <c r="H3934" s="16">
        <f t="shared" si="857"/>
        <v>15645.278602612554</v>
      </c>
      <c r="I3934" s="16">
        <f t="shared" si="857"/>
        <v>15645.278602612554</v>
      </c>
      <c r="J3934" s="16">
        <f t="shared" si="857"/>
        <v>15645.278602612554</v>
      </c>
      <c r="K3934" s="16">
        <f t="shared" si="857"/>
        <v>15645.278602612554</v>
      </c>
      <c r="L3934" s="16">
        <f t="shared" si="857"/>
        <v>15645.278602612554</v>
      </c>
      <c r="M3934" s="16">
        <f t="shared" si="857"/>
        <v>15645.278602612554</v>
      </c>
    </row>
    <row r="3935" spans="1:13" ht="15" customHeight="1" x14ac:dyDescent="0.2">
      <c r="B3935" s="10" t="s">
        <v>906</v>
      </c>
      <c r="C3935" s="10" t="s">
        <v>110</v>
      </c>
      <c r="D3935" s="16">
        <f>MAX(D3934,Inputs!$D$6)*Inputs!$D$19</f>
        <v>340.73898851081594</v>
      </c>
      <c r="E3935" s="16">
        <f>MAX(E3934,Inputs!$D$6)*Inputs!$D$19</f>
        <v>1730.4655964402152</v>
      </c>
      <c r="F3935" s="16">
        <f>MAX(F3934,Inputs!$D$6)*Inputs!$D$19</f>
        <v>3325.9906649328964</v>
      </c>
      <c r="G3935" s="16">
        <f>MAX(G3934,Inputs!$D$6)*Inputs!$D$19</f>
        <v>4351.6853518210492</v>
      </c>
      <c r="H3935" s="16">
        <f>MAX(H3934,Inputs!$D$6)*Inputs!$D$19</f>
        <v>4693.5835807837657</v>
      </c>
      <c r="I3935" s="16">
        <f>MAX(I3934,Inputs!$D$6)*Inputs!$D$19</f>
        <v>4693.5835807837657</v>
      </c>
      <c r="J3935" s="16">
        <f>MAX(J3934,Inputs!$D$6)*Inputs!$D$19</f>
        <v>4693.5835807837657</v>
      </c>
      <c r="K3935" s="16">
        <f>MAX(K3934,Inputs!$D$6)*Inputs!$D$19</f>
        <v>4693.5835807837657</v>
      </c>
      <c r="L3935" s="16">
        <f>MAX(L3934,Inputs!$D$6)*Inputs!$D$19</f>
        <v>4693.5835807837657</v>
      </c>
      <c r="M3935" s="16">
        <f>MAX(M3934,Inputs!$D$6)*Inputs!$D$19</f>
        <v>4693.5835807837657</v>
      </c>
    </row>
    <row r="3936" spans="1:13" ht="15" customHeight="1" x14ac:dyDescent="0.2">
      <c r="B3936" s="10" t="s">
        <v>907</v>
      </c>
      <c r="C3936" s="10" t="s">
        <v>110</v>
      </c>
      <c r="D3936" s="16">
        <f t="shared" ref="D3936:M3936" si="858">D3929*$D$3942</f>
        <v>188.39254878278834</v>
      </c>
      <c r="E3936" s="16">
        <f t="shared" si="858"/>
        <v>502.38013008743553</v>
      </c>
      <c r="F3936" s="16">
        <f t="shared" si="858"/>
        <v>376.78509756557651</v>
      </c>
      <c r="G3936" s="16">
        <f t="shared" si="858"/>
        <v>188.39254878278845</v>
      </c>
      <c r="H3936" s="16">
        <f t="shared" si="858"/>
        <v>0</v>
      </c>
      <c r="I3936" s="16">
        <f t="shared" si="858"/>
        <v>0</v>
      </c>
      <c r="J3936" s="16">
        <f t="shared" si="858"/>
        <v>0</v>
      </c>
      <c r="K3936" s="16">
        <f t="shared" si="858"/>
        <v>0</v>
      </c>
      <c r="L3936" s="16">
        <f t="shared" si="858"/>
        <v>0</v>
      </c>
      <c r="M3936" s="16">
        <f t="shared" si="858"/>
        <v>0</v>
      </c>
    </row>
    <row r="3937" spans="2:13" ht="15" customHeight="1" x14ac:dyDescent="0.2">
      <c r="B3937" s="10" t="s">
        <v>908</v>
      </c>
      <c r="C3937" s="10" t="s">
        <v>110</v>
      </c>
      <c r="D3937" s="16">
        <f t="shared" ref="D3937:M3937" si="859">D3933-D3935-D3927-D3928-D3936</f>
        <v>-11690.712184292495</v>
      </c>
      <c r="E3937" s="16">
        <f t="shared" si="859"/>
        <v>-25204.411081062954</v>
      </c>
      <c r="F3937" s="16">
        <f t="shared" si="859"/>
        <v>-4168.2710892493287</v>
      </c>
      <c r="G3937" s="16">
        <f t="shared" si="859"/>
        <v>14811.974038787475</v>
      </c>
      <c r="H3937" s="16">
        <f t="shared" si="859"/>
        <v>20732.446027943748</v>
      </c>
      <c r="I3937" s="16">
        <f t="shared" si="859"/>
        <v>-1547.2253561507314</v>
      </c>
      <c r="J3937" s="16">
        <f t="shared" si="859"/>
        <v>7364.643197487072</v>
      </c>
      <c r="K3937" s="16">
        <f t="shared" si="859"/>
        <v>18094.441179376572</v>
      </c>
      <c r="L3937" s="16">
        <f t="shared" si="859"/>
        <v>20732.446027943748</v>
      </c>
      <c r="M3937" s="16">
        <f t="shared" si="859"/>
        <v>-1547.2253561507314</v>
      </c>
    </row>
    <row r="3938" spans="2:13" ht="15" customHeight="1" x14ac:dyDescent="0.2">
      <c r="B3938" s="10" t="s">
        <v>909</v>
      </c>
      <c r="C3938" s="10" t="s">
        <v>110</v>
      </c>
      <c r="D3938" s="16">
        <f>D3937/(Inputs!$D$7+$D$3944)^D3918</f>
        <v>-10713.027621581512</v>
      </c>
      <c r="E3938" s="16">
        <f>E3937/(Inputs!$D$7+$D$3944)^E3918</f>
        <v>-20434.328753483107</v>
      </c>
      <c r="F3938" s="16">
        <f>F3937/(Inputs!$D$7+$D$3944)^F3918</f>
        <v>-2990.8708827382711</v>
      </c>
      <c r="G3938" s="16">
        <f>G3937/(Inputs!$D$7+$D$3944)^G3918</f>
        <v>9406.163803892161</v>
      </c>
      <c r="H3938" s="16">
        <f>H3937/(Inputs!$D$7+$D$3944)^H3918</f>
        <v>11652.202554731231</v>
      </c>
      <c r="I3938" s="16">
        <f>I3937/(Inputs!$D$7+$D$3944)^I3918</f>
        <v>-769.34940457722405</v>
      </c>
      <c r="J3938" s="16">
        <f>J3937/(Inputs!$D$7+$D$3944)^J3918</f>
        <v>3241.0045865820748</v>
      </c>
      <c r="K3938" s="16">
        <f>K3937/(Inputs!$D$7+$D$3944)^K3918</f>
        <v>7047.4336615138</v>
      </c>
      <c r="L3938" s="16">
        <f>L3937/(Inputs!$D$7+$D$3944)^L3918</f>
        <v>7146.5140455301444</v>
      </c>
      <c r="M3938" s="16">
        <f>M3937/(Inputs!$D$7+$D$3944)^M3918</f>
        <v>-471.85639795618914</v>
      </c>
    </row>
    <row r="3939" spans="2:13" ht="15" customHeight="1" x14ac:dyDescent="0.2">
      <c r="B3939" s="3" t="s">
        <v>910</v>
      </c>
      <c r="C3939" s="10" t="s">
        <v>896</v>
      </c>
      <c r="D3939" s="28">
        <f>(D3925*$D$3943-D3929)/(Inputs!$D$7+$D$3944)^D3918</f>
        <v>74.490519309095831</v>
      </c>
      <c r="E3939" s="28">
        <f>(E3925*$D$3943-E3929)/(Inputs!$D$7+$D$3944)^E3918</f>
        <v>346.09451503846662</v>
      </c>
      <c r="F3939" s="28">
        <f>(F3925*$D$3943-F3929)/(Inputs!$D$7+$D$3944)^F3918</f>
        <v>601.79110266312398</v>
      </c>
      <c r="G3939" s="28">
        <f>(G3925*$D$3943-G3929)/(Inputs!$D$7+$D$3944)^G3918</f>
        <v>702.83446516544734</v>
      </c>
      <c r="H3939" s="28">
        <f>(H3925*$D$3943-H3929)/(Inputs!$D$7+$D$3944)^H3918</f>
        <v>674.43286946611579</v>
      </c>
      <c r="I3939" s="28">
        <f>(I3925*$D$3943-I3929)/(Inputs!$D$7+$D$3944)^I3918</f>
        <v>596.69348218898278</v>
      </c>
      <c r="J3939" s="28">
        <f>(J3925*$D$3943-J3929)/(Inputs!$D$7+$D$3944)^J3918</f>
        <v>528.09150417844353</v>
      </c>
      <c r="K3939" s="28">
        <f>(K3925*$D$3943-K3929)/(Inputs!$D$7+$D$3944)^K3918</f>
        <v>467.37671033772904</v>
      </c>
      <c r="L3939" s="28">
        <f>(L3925*$D$3943-L3929)/(Inputs!$D$7+$D$3944)^L3918</f>
        <v>413.64230940610946</v>
      </c>
      <c r="M3939" s="28">
        <f>(M3925*$D$3943-M3929)/(Inputs!$D$7+$D$3944)^M3918</f>
        <v>365.96328731072373</v>
      </c>
    </row>
    <row r="3940" spans="2:13" ht="15" customHeight="1" x14ac:dyDescent="0.2">
      <c r="B3940" s="10" t="s">
        <v>911</v>
      </c>
      <c r="C3940" s="10" t="s">
        <v>110</v>
      </c>
      <c r="D3940" s="16">
        <f>(-D3927-D3928)/(Inputs!$D$7+$D$3944)^D3918</f>
        <v>-12808.928289029636</v>
      </c>
      <c r="E3940" s="16">
        <f>(-E3927-E3928)/(Inputs!$D$7+$D$3944)^E3918</f>
        <v>-30219.974420642928</v>
      </c>
      <c r="F3940" s="16">
        <f>(-F3927-F3928)/(Inputs!$D$7+$D$3944)^F3918</f>
        <v>-20059.183095337907</v>
      </c>
      <c r="G3940" s="16">
        <f>(-G3927-G3928)/(Inputs!$D$7+$D$3944)^G3918</f>
        <v>-10551.720115889953</v>
      </c>
      <c r="H3940" s="16">
        <f>(-H3927-H3928)/(Inputs!$D$7+$D$3944)^H3918</f>
        <v>-7513.0713511684744</v>
      </c>
      <c r="I3940" s="16">
        <f>(-I3927-I3928)/(Inputs!$D$7+$D$3944)^I3918</f>
        <v>-17725.512933602091</v>
      </c>
      <c r="J3940" s="16">
        <f>(-J3927-J3928)/(Inputs!$D$7+$D$3944)^J3918</f>
        <v>-11765.705173827875</v>
      </c>
      <c r="K3940" s="16">
        <f>(-K3927-K3928)/(Inputs!$D$7+$D$3944)^K3918</f>
        <v>-6233.95144943378</v>
      </c>
      <c r="L3940" s="16">
        <f>(-L3927-L3928)/(Inputs!$D$7+$D$3944)^L3918</f>
        <v>-4607.9073620630261</v>
      </c>
      <c r="M3940" s="16">
        <f>(-M3927-M3928)/(Inputs!$D$7+$D$3944)^M3918</f>
        <v>-10871.389039901173</v>
      </c>
    </row>
    <row r="3941" spans="2:13" ht="15" customHeight="1" x14ac:dyDescent="0.2">
      <c r="B3941" s="10" t="s">
        <v>912</v>
      </c>
      <c r="C3941" s="10" t="s">
        <v>110</v>
      </c>
      <c r="D3941" s="16">
        <f>Prices!I20</f>
        <v>28657.400773749821</v>
      </c>
    </row>
    <row r="3942" spans="2:13" ht="15" customHeight="1" x14ac:dyDescent="0.2">
      <c r="B3942" s="3" t="s">
        <v>913</v>
      </c>
      <c r="C3942" s="10" t="s">
        <v>914</v>
      </c>
      <c r="D3942" s="28">
        <f>IF(J3949&gt;=J3945,J3949,(D3941-J3948)/J3947)</f>
        <v>32.328193699320174</v>
      </c>
      <c r="G3942" s="99" t="s">
        <v>915</v>
      </c>
      <c r="H3942" s="91"/>
      <c r="I3942" s="91"/>
      <c r="J3942" s="28">
        <f>D3942*Inputs!$D$15</f>
        <v>22.561846382755547</v>
      </c>
      <c r="K3942" s="99" t="s">
        <v>916</v>
      </c>
      <c r="L3942" s="91"/>
      <c r="M3942" s="91"/>
    </row>
    <row r="3943" spans="2:13" ht="15" customHeight="1" x14ac:dyDescent="0.2">
      <c r="B3943" s="10" t="s">
        <v>917</v>
      </c>
      <c r="C3943" s="10" t="s">
        <v>104</v>
      </c>
      <c r="D3943" s="30">
        <f>Inputs!$D$94</f>
        <v>0.75</v>
      </c>
      <c r="G3943" s="99" t="s">
        <v>918</v>
      </c>
      <c r="H3943" s="91"/>
      <c r="I3943" s="91"/>
      <c r="J3943" s="28">
        <f>IF(-D3954/D3953&gt;=J3945,-D3954/D3953,-J3948/J3947)</f>
        <v>27.411702074287536</v>
      </c>
      <c r="K3943" s="99" t="s">
        <v>919</v>
      </c>
      <c r="L3943" s="91"/>
      <c r="M3943" s="91"/>
    </row>
    <row r="3944" spans="2:13" ht="15" customHeight="1" x14ac:dyDescent="0.2">
      <c r="B3944" s="10" t="s">
        <v>920</v>
      </c>
      <c r="C3944" s="10" t="s">
        <v>104</v>
      </c>
      <c r="D3944" s="30">
        <f>Inputs!$D$95</f>
        <v>0.13</v>
      </c>
      <c r="G3944" s="99" t="s">
        <v>918</v>
      </c>
      <c r="H3944" s="91"/>
      <c r="I3944" s="91"/>
      <c r="J3944" s="28">
        <f>J3943*Inputs!$D$15</f>
        <v>19.13062687764527</v>
      </c>
      <c r="K3944" s="99" t="s">
        <v>916</v>
      </c>
      <c r="L3944" s="91"/>
      <c r="M3944" s="91"/>
    </row>
    <row r="3945" spans="2:13" ht="15" customHeight="1" x14ac:dyDescent="0.2">
      <c r="B3945" s="3" t="s">
        <v>921</v>
      </c>
      <c r="C3945" s="10" t="s">
        <v>848</v>
      </c>
      <c r="D3945" s="28">
        <f>Capital!$D$13</f>
        <v>57.347931490590682</v>
      </c>
      <c r="G3945" s="99" t="s">
        <v>922</v>
      </c>
      <c r="H3945" s="91"/>
      <c r="I3945" s="91"/>
      <c r="J3945" s="28">
        <f>($D$3945/Inputs!$D$21+$D$3946/Inputs!$D$22)/$D$3943</f>
        <v>19.290461530476374</v>
      </c>
      <c r="K3945" s="99" t="s">
        <v>919</v>
      </c>
      <c r="L3945" s="91"/>
      <c r="M3945" s="91"/>
    </row>
    <row r="3946" spans="2:13" ht="15" customHeight="1" x14ac:dyDescent="0.2">
      <c r="B3946" s="3" t="s">
        <v>923</v>
      </c>
      <c r="C3946" s="10" t="s">
        <v>848</v>
      </c>
      <c r="D3946" s="28">
        <f>Capital!$D$14</f>
        <v>2.6172655041921802</v>
      </c>
    </row>
    <row r="3947" spans="2:13" ht="15" customHeight="1" x14ac:dyDescent="0.2">
      <c r="B3947" s="10" t="s">
        <v>924</v>
      </c>
      <c r="C3947" s="10" t="s">
        <v>896</v>
      </c>
      <c r="D3947" s="28">
        <f>(M3920*(Inputs!$D$7+Inputs!$D$20)*$D$3943*(Inputs!$D$7-Inputs!$D$19)-M3920*Inputs!$D$20*Inputs!$D$23)/($D$3944-Inputs!$D$20)/(Inputs!$D$7+$D$3944)^M3918</f>
        <v>2497.8446594223992</v>
      </c>
      <c r="G3947" s="92" t="s">
        <v>910</v>
      </c>
      <c r="H3947" s="91"/>
      <c r="I3947" s="91"/>
      <c r="J3947" s="28">
        <f>SUM(D3939:M3939)+(M3920*(Inputs!$D$7+Inputs!$D$20)*$D$3943-M3920*Inputs!$D$20*Inputs!$D$23)/($D$3944-Inputs!$D$20)/(Inputs!$D$7+$D$3944)^M3918</f>
        <v>8341.0050516109004</v>
      </c>
      <c r="K3947" s="99" t="s">
        <v>896</v>
      </c>
      <c r="L3947" s="91"/>
      <c r="M3947" s="91"/>
    </row>
    <row r="3948" spans="2:13" ht="15" customHeight="1" x14ac:dyDescent="0.2">
      <c r="B3948" s="10" t="s">
        <v>925</v>
      </c>
      <c r="C3948" s="10" t="s">
        <v>110</v>
      </c>
      <c r="D3948" s="16">
        <f>(D3951*Inputs!$D$19-D3951-D3952)/($D$3944-Inputs!$D$20)/(Inputs!$D$7+$D$3944)^M3918</f>
        <v>-55207.290798783099</v>
      </c>
      <c r="G3948" s="92" t="s">
        <v>926</v>
      </c>
      <c r="H3948" s="91"/>
      <c r="I3948" s="91"/>
      <c r="J3948" s="16">
        <f>SUM(D3940:M3940)-(D3951+D3952)/($D$3944-Inputs!$D$20)/(Inputs!$D$7+$D$3944)^M3918</f>
        <v>-208239.17898202292</v>
      </c>
      <c r="K3948" s="99" t="s">
        <v>110</v>
      </c>
      <c r="L3948" s="91"/>
      <c r="M3948" s="91"/>
    </row>
    <row r="3949" spans="2:13" ht="15" customHeight="1" x14ac:dyDescent="0.2">
      <c r="B3949" s="10" t="s">
        <v>927</v>
      </c>
      <c r="C3949" s="10" t="s">
        <v>928</v>
      </c>
      <c r="D3949" s="16">
        <f>(M3920*(Inputs!$D$7+Inputs!$D$20)*$D$3942*$D$3943-D3951)-MAX((M3920*(Inputs!$D$7+Inputs!$D$20)*$D$3942*$D$3943-D3951),Inputs!$D$6)*Inputs!$D$19-D3952-M3920*Inputs!$D$20*$D$3942*Inputs!$D$23</f>
        <v>8794.5513238838739</v>
      </c>
      <c r="G3949" s="99" t="s">
        <v>929</v>
      </c>
      <c r="H3949" s="91"/>
      <c r="I3949" s="91"/>
      <c r="J3949" s="28">
        <f>(D3941-D3954)/D3953</f>
        <v>32.328193699320174</v>
      </c>
      <c r="K3949" s="99" t="s">
        <v>919</v>
      </c>
      <c r="L3949" s="91"/>
      <c r="M3949" s="91"/>
    </row>
    <row r="3950" spans="2:13" ht="15" customHeight="1" x14ac:dyDescent="0.2">
      <c r="B3950" s="10" t="s">
        <v>930</v>
      </c>
      <c r="C3950" s="10" t="s">
        <v>110</v>
      </c>
      <c r="D3950" s="16">
        <f>D3949/($D$3944-Inputs!$D$20)</f>
        <v>83757.631656036887</v>
      </c>
      <c r="G3950" s="99" t="s">
        <v>931</v>
      </c>
      <c r="H3950" s="91"/>
      <c r="I3950" s="91"/>
      <c r="J3950" s="16">
        <f>MIN(D3934:M3934,(M3920*(Inputs!$D$7+Inputs!$D$20)*$D$3942*$D$3943-D3951))</f>
        <v>1135.7966283693866</v>
      </c>
      <c r="K3950" s="99" t="s">
        <v>110</v>
      </c>
      <c r="L3950" s="91"/>
      <c r="M3950" s="91"/>
    </row>
    <row r="3951" spans="2:13" ht="15" customHeight="1" x14ac:dyDescent="0.2">
      <c r="B3951" s="10" t="s">
        <v>932</v>
      </c>
      <c r="C3951" s="10" t="s">
        <v>928</v>
      </c>
      <c r="D3951" s="16">
        <f>M3920*(Inputs!$D$7+Inputs!$D$20)*($D$3945/Inputs!$D$21+$D$3946/Inputs!$D$22)</f>
        <v>23727.267682485937</v>
      </c>
      <c r="G3951" s="99" t="s">
        <v>933</v>
      </c>
      <c r="H3951" s="91"/>
      <c r="I3951" s="91"/>
      <c r="J3951" s="31" t="str">
        <f>IF(J3950&lt;Inputs!$D$6,"breached","satisfied")</f>
        <v>satisfied</v>
      </c>
      <c r="K3951" s="99" t="s">
        <v>934</v>
      </c>
      <c r="L3951" s="91"/>
      <c r="M3951" s="91"/>
    </row>
    <row r="3952" spans="2:13" ht="15" customHeight="1" x14ac:dyDescent="0.2">
      <c r="B3952" s="10" t="s">
        <v>935</v>
      </c>
      <c r="C3952" s="10" t="s">
        <v>928</v>
      </c>
      <c r="D3952" s="16">
        <f>M3920*Inputs!$D$20*($D$3945+$D$3946)</f>
        <v>2398.6078797913146</v>
      </c>
    </row>
    <row r="3953" spans="1:13" ht="15" customHeight="1" x14ac:dyDescent="0.2">
      <c r="B3953" s="10" t="s">
        <v>936</v>
      </c>
      <c r="C3953" s="10" t="s">
        <v>896</v>
      </c>
      <c r="D3953" s="28">
        <f>SUM(D3930:M3930)+D3947</f>
        <v>5828.8314024250149</v>
      </c>
      <c r="G3953" s="99" t="s">
        <v>937</v>
      </c>
      <c r="H3953" s="91"/>
      <c r="I3953" s="91"/>
      <c r="J3953" s="16">
        <f>D3955-D3941</f>
        <v>-5.4569682106375694E-11</v>
      </c>
      <c r="K3953" s="99" t="s">
        <v>110</v>
      </c>
      <c r="L3953" s="91"/>
      <c r="M3953" s="91"/>
    </row>
    <row r="3954" spans="1:13" ht="15" customHeight="1" x14ac:dyDescent="0.2">
      <c r="B3954" s="10" t="s">
        <v>938</v>
      </c>
      <c r="C3954" s="10" t="s">
        <v>110</v>
      </c>
      <c r="D3954" s="16">
        <f>SUM(D3931:M3931)+D3948</f>
        <v>-159778.18984452612</v>
      </c>
    </row>
    <row r="3955" spans="1:13" ht="15" customHeight="1" x14ac:dyDescent="0.2">
      <c r="B3955" s="10" t="s">
        <v>939</v>
      </c>
      <c r="C3955" s="10" t="s">
        <v>110</v>
      </c>
      <c r="D3955" s="16">
        <f>SUM(D3938:M3938)+D3950/(Inputs!$D$7+$D$3944)^M3918</f>
        <v>28657.400773749767</v>
      </c>
    </row>
    <row r="3956" spans="1:13" ht="15" customHeight="1" x14ac:dyDescent="0.2">
      <c r="B3956" s="10" t="s">
        <v>940</v>
      </c>
      <c r="C3956" s="10" t="s">
        <v>104</v>
      </c>
      <c r="D3956" s="30">
        <f>IF(ABS(D3941)&gt;Inputs!$D$6,D3955/D3941-Inputs!$D$7,Inputs!$D$6)</f>
        <v>-1.8873791418627661E-15</v>
      </c>
    </row>
    <row r="3957" spans="1:13" ht="15" customHeight="1" x14ac:dyDescent="0.2">
      <c r="B3957" s="10" t="s">
        <v>941</v>
      </c>
      <c r="C3957" s="10" t="s">
        <v>104</v>
      </c>
      <c r="D3957" s="30">
        <f>IF(ABS(D3955)&gt;Inputs!$D$119,D3950/(Inputs!$D$7+$D$3944)^M3918/D3955,Inputs!$D$6)</f>
        <v>0.89134096227019211</v>
      </c>
    </row>
    <row r="3958" spans="1:13" ht="15" customHeight="1" x14ac:dyDescent="0.2">
      <c r="B3958" s="10" t="s">
        <v>942</v>
      </c>
      <c r="C3958" s="10" t="s">
        <v>943</v>
      </c>
      <c r="D3958" s="26">
        <f>$D$3942*Inputs!$D$8/Prices!$P$6/(Inputs!$D$26/Inputs!$D$25)/Inputs!$D$11/Inputs!$D$56</f>
        <v>5.8789802218317764</v>
      </c>
    </row>
    <row r="3962" spans="1:13" ht="15" customHeight="1" x14ac:dyDescent="0.2">
      <c r="A3962" s="104" t="s">
        <v>1029</v>
      </c>
      <c r="B3962" s="10" t="s">
        <v>886</v>
      </c>
      <c r="C3962" s="10" t="s">
        <v>107</v>
      </c>
      <c r="D3962" s="28">
        <f>Inputs!$D$60</f>
        <v>1</v>
      </c>
      <c r="E3962" s="28">
        <f>Inputs!$D$62</f>
        <v>2</v>
      </c>
      <c r="F3962" s="28">
        <f>Inputs!$D$64</f>
        <v>3</v>
      </c>
      <c r="G3962" s="28">
        <f>Inputs!$D$66</f>
        <v>4</v>
      </c>
      <c r="H3962" s="28">
        <f>Inputs!$D$68</f>
        <v>5</v>
      </c>
      <c r="I3962" s="28">
        <f>Inputs!$D$70</f>
        <v>6</v>
      </c>
      <c r="J3962" s="28">
        <f>Inputs!$D$72</f>
        <v>7</v>
      </c>
      <c r="K3962" s="28">
        <f>Inputs!$D$74</f>
        <v>8</v>
      </c>
      <c r="L3962" s="28">
        <f>Inputs!$D$76</f>
        <v>9</v>
      </c>
      <c r="M3962" s="28">
        <f>Inputs!$D$78</f>
        <v>10</v>
      </c>
    </row>
    <row r="3963" spans="1:13" ht="15" customHeight="1" x14ac:dyDescent="0.2">
      <c r="A3963" s="91"/>
      <c r="B3963" s="10" t="s">
        <v>887</v>
      </c>
      <c r="C3963" s="10" t="s">
        <v>161</v>
      </c>
      <c r="D3963" s="29">
        <f>Inputs!$D$61</f>
        <v>46568</v>
      </c>
      <c r="E3963" s="29">
        <f>Inputs!$D$63</f>
        <v>46934</v>
      </c>
      <c r="F3963" s="29">
        <f>Inputs!$D$65</f>
        <v>47299</v>
      </c>
      <c r="G3963" s="29">
        <f>Inputs!$D$67</f>
        <v>47664</v>
      </c>
      <c r="H3963" s="29">
        <f>Inputs!$D$69</f>
        <v>48029</v>
      </c>
      <c r="I3963" s="29">
        <f>Inputs!$D$71</f>
        <v>48395</v>
      </c>
      <c r="J3963" s="29">
        <f>Inputs!$D$73</f>
        <v>48760</v>
      </c>
      <c r="K3963" s="29">
        <f>Inputs!$D$75</f>
        <v>49125</v>
      </c>
      <c r="L3963" s="29">
        <f>Inputs!$D$77</f>
        <v>49490</v>
      </c>
      <c r="M3963" s="29">
        <f>Inputs!$D$79</f>
        <v>49856</v>
      </c>
    </row>
    <row r="3964" spans="1:13" ht="15" customHeight="1" x14ac:dyDescent="0.2">
      <c r="A3964" s="91"/>
      <c r="B3964" s="10" t="s">
        <v>888</v>
      </c>
      <c r="C3964" s="10" t="s">
        <v>107</v>
      </c>
      <c r="D3964" s="28">
        <f>(D3963-Inputs!$D$13)/Inputs!$D$10</f>
        <v>0.71457905544147848</v>
      </c>
      <c r="E3964" s="28">
        <f>(E3963-Inputs!$D$13)/Inputs!$D$10</f>
        <v>1.7166324435318274</v>
      </c>
      <c r="F3964" s="28">
        <f>(F3963-Inputs!$D$13)/Inputs!$D$10</f>
        <v>2.7159479808350446</v>
      </c>
      <c r="G3964" s="28">
        <f>(G3963-Inputs!$D$13)/Inputs!$D$10</f>
        <v>3.7152635181382614</v>
      </c>
      <c r="H3964" s="28">
        <f>(H3963-Inputs!$D$13)/Inputs!$D$10</f>
        <v>4.7145790554414786</v>
      </c>
      <c r="I3964" s="28">
        <f>(I3963-Inputs!$D$13)/Inputs!$D$10</f>
        <v>5.7166324435318279</v>
      </c>
      <c r="J3964" s="28">
        <f>(J3963-Inputs!$D$13)/Inputs!$D$10</f>
        <v>6.7159479808350442</v>
      </c>
      <c r="K3964" s="28">
        <f>(K3963-Inputs!$D$13)/Inputs!$D$10</f>
        <v>7.7152635181382614</v>
      </c>
      <c r="L3964" s="28">
        <f>(L3963-Inputs!$D$13)/Inputs!$D$10</f>
        <v>8.7145790554414777</v>
      </c>
      <c r="M3964" s="28">
        <f>(M3963-Inputs!$D$13)/Inputs!$D$10</f>
        <v>9.716632443531827</v>
      </c>
    </row>
    <row r="3965" spans="1:13" ht="15" customHeight="1" x14ac:dyDescent="0.2">
      <c r="A3965" s="91"/>
      <c r="B3965" s="10" t="s">
        <v>889</v>
      </c>
      <c r="C3965" s="10" t="s">
        <v>107</v>
      </c>
      <c r="D3965" s="28">
        <f>D3964</f>
        <v>0.71457905544147848</v>
      </c>
      <c r="E3965" s="28">
        <f>Inputs!$D$7</f>
        <v>1</v>
      </c>
      <c r="F3965" s="28">
        <f>Inputs!$D$7</f>
        <v>1</v>
      </c>
      <c r="G3965" s="28">
        <f>Inputs!$D$7</f>
        <v>1</v>
      </c>
      <c r="H3965" s="28">
        <f>Inputs!$D$7</f>
        <v>1</v>
      </c>
      <c r="I3965" s="28">
        <f>Inputs!$D$7</f>
        <v>1</v>
      </c>
      <c r="J3965" s="28">
        <f>Inputs!$D$7</f>
        <v>1</v>
      </c>
      <c r="K3965" s="28">
        <f>Inputs!$D$7</f>
        <v>1</v>
      </c>
      <c r="L3965" s="28">
        <f>Inputs!$D$7</f>
        <v>1</v>
      </c>
      <c r="M3965" s="28">
        <f>Inputs!$D$7</f>
        <v>1</v>
      </c>
    </row>
    <row r="3966" spans="1:13" ht="15" customHeight="1" x14ac:dyDescent="0.2">
      <c r="A3966" s="91"/>
      <c r="B3966" s="3" t="s">
        <v>890</v>
      </c>
      <c r="C3966" s="10" t="s">
        <v>199</v>
      </c>
      <c r="D3966" s="28">
        <f>Inputs!$D$24+(Inputs!$D$106-Inputs!$D$24)*Inputs!$D$109</f>
        <v>170.32</v>
      </c>
      <c r="E3966" s="28">
        <f>Inputs!$D$24+(Inputs!$D$106-Inputs!$D$24)*Inputs!$D$110</f>
        <v>481.12000000000006</v>
      </c>
      <c r="F3966" s="28">
        <f>Inputs!$D$24+(Inputs!$D$106-Inputs!$D$24)*Inputs!$D$111</f>
        <v>823</v>
      </c>
      <c r="G3966" s="28">
        <f>Inputs!$D$24+(Inputs!$D$106-Inputs!$D$24)*Inputs!$D$112</f>
        <v>1211.5</v>
      </c>
      <c r="H3966" s="28">
        <f>Inputs!$D$24+(Inputs!$D$106-Inputs!$D$24)*Inputs!$D$113</f>
        <v>1600</v>
      </c>
      <c r="I3966" s="28">
        <f>Inputs!$D$24+(Inputs!$D$106-Inputs!$D$24)*Inputs!$D$114</f>
        <v>1600</v>
      </c>
      <c r="J3966" s="28">
        <f>Inputs!$D$24+(Inputs!$D$106-Inputs!$D$24)*Inputs!$D$115</f>
        <v>1600</v>
      </c>
      <c r="K3966" s="28">
        <f>Inputs!$D$24+(Inputs!$D$106-Inputs!$D$24)*Inputs!$D$116</f>
        <v>1600</v>
      </c>
      <c r="L3966" s="28">
        <f>Inputs!$D$24+(Inputs!$D$106-Inputs!$D$24)*Inputs!$D$117</f>
        <v>1600</v>
      </c>
      <c r="M3966" s="28">
        <f>Inputs!$D$24+(Inputs!$D$106-Inputs!$D$24)*Inputs!$D$118</f>
        <v>1600</v>
      </c>
    </row>
    <row r="3967" spans="1:13" ht="15" customHeight="1" x14ac:dyDescent="0.2">
      <c r="A3967" s="91"/>
      <c r="B3967" s="10" t="s">
        <v>891</v>
      </c>
      <c r="C3967" s="10" t="s">
        <v>199</v>
      </c>
      <c r="D3967" s="28">
        <f>Inputs!$D$24</f>
        <v>46</v>
      </c>
      <c r="E3967" s="28">
        <f t="shared" ref="E3967:M3967" si="860">D3966</f>
        <v>170.32</v>
      </c>
      <c r="F3967" s="28">
        <f t="shared" si="860"/>
        <v>481.12000000000006</v>
      </c>
      <c r="G3967" s="28">
        <f t="shared" si="860"/>
        <v>823</v>
      </c>
      <c r="H3967" s="28">
        <f t="shared" si="860"/>
        <v>1211.5</v>
      </c>
      <c r="I3967" s="28">
        <f t="shared" si="860"/>
        <v>1600</v>
      </c>
      <c r="J3967" s="28">
        <f t="shared" si="860"/>
        <v>1600</v>
      </c>
      <c r="K3967" s="28">
        <f t="shared" si="860"/>
        <v>1600</v>
      </c>
      <c r="L3967" s="28">
        <f t="shared" si="860"/>
        <v>1600</v>
      </c>
      <c r="M3967" s="28">
        <f t="shared" si="860"/>
        <v>1600</v>
      </c>
    </row>
    <row r="3968" spans="1:13" ht="15" customHeight="1" x14ac:dyDescent="0.2">
      <c r="B3968" s="10" t="s">
        <v>892</v>
      </c>
      <c r="C3968" s="10" t="s">
        <v>199</v>
      </c>
      <c r="D3968" s="28">
        <f>(D3967+D3966)*Inputs!$D$12</f>
        <v>108.16</v>
      </c>
      <c r="E3968" s="28">
        <f>(E3967+E3966)*Inputs!$D$12</f>
        <v>325.72000000000003</v>
      </c>
      <c r="F3968" s="28">
        <f>(F3967+F3966)*Inputs!$D$12</f>
        <v>652.06000000000006</v>
      </c>
      <c r="G3968" s="28">
        <f>(G3967+G3966)*Inputs!$D$12</f>
        <v>1017.25</v>
      </c>
      <c r="H3968" s="28">
        <f>(H3967+H3966)*Inputs!$D$12</f>
        <v>1405.75</v>
      </c>
      <c r="I3968" s="28">
        <f>(I3967+I3966)*Inputs!$D$12</f>
        <v>1600</v>
      </c>
      <c r="J3968" s="28">
        <f>(J3967+J3966)*Inputs!$D$12</f>
        <v>1600</v>
      </c>
      <c r="K3968" s="28">
        <f>(K3967+K3966)*Inputs!$D$12</f>
        <v>1600</v>
      </c>
      <c r="L3968" s="28">
        <f>(L3967+L3966)*Inputs!$D$12</f>
        <v>1600</v>
      </c>
      <c r="M3968" s="28">
        <f>(M3967+M3966)*Inputs!$D$12</f>
        <v>1600</v>
      </c>
    </row>
    <row r="3969" spans="2:13" ht="15" customHeight="1" x14ac:dyDescent="0.2">
      <c r="B3969" s="10" t="s">
        <v>893</v>
      </c>
      <c r="C3969" s="10" t="s">
        <v>199</v>
      </c>
      <c r="D3969" s="28">
        <f t="shared" ref="D3969:M3969" si="861">D3966-D3967</f>
        <v>124.32</v>
      </c>
      <c r="E3969" s="28">
        <f t="shared" si="861"/>
        <v>310.80000000000007</v>
      </c>
      <c r="F3969" s="28">
        <f t="shared" si="861"/>
        <v>341.87999999999994</v>
      </c>
      <c r="G3969" s="28">
        <f t="shared" si="861"/>
        <v>388.5</v>
      </c>
      <c r="H3969" s="28">
        <f t="shared" si="861"/>
        <v>388.5</v>
      </c>
      <c r="I3969" s="28">
        <f t="shared" si="861"/>
        <v>0</v>
      </c>
      <c r="J3969" s="28">
        <f t="shared" si="861"/>
        <v>0</v>
      </c>
      <c r="K3969" s="28">
        <f t="shared" si="861"/>
        <v>0</v>
      </c>
      <c r="L3969" s="28">
        <f t="shared" si="861"/>
        <v>0</v>
      </c>
      <c r="M3969" s="28">
        <f t="shared" si="861"/>
        <v>0</v>
      </c>
    </row>
    <row r="3970" spans="2:13" ht="15" customHeight="1" x14ac:dyDescent="0.2">
      <c r="B3970" s="10" t="s">
        <v>894</v>
      </c>
      <c r="C3970" s="10" t="s">
        <v>199</v>
      </c>
      <c r="D3970" s="28">
        <f>IF(MOD(D3962,Inputs!$D$21)=Inputs!$D$6,Inputs!$D$24,Inputs!$D$6)+SUMPRODUCT(--(D3962&gt;$D$3962:$M$3962),--(MOD(D3962-$D$3962:$M$3962,Inputs!$D$21)=Inputs!$D$6),$D$3969:$M$3969)</f>
        <v>0</v>
      </c>
      <c r="E3970" s="28">
        <f>IF(MOD(E3962,Inputs!$D$21)=Inputs!$D$6,Inputs!$D$24,Inputs!$D$6)+SUMPRODUCT(--(E3962&gt;$D$3962:$M$3962),--(MOD(E3962-$D$3962:$M$3962,Inputs!$D$21)=Inputs!$D$6),$D$3969:$M$3969)</f>
        <v>0</v>
      </c>
      <c r="F3970" s="28">
        <f>IF(MOD(F3962,Inputs!$D$21)=Inputs!$D$6,Inputs!$D$24,Inputs!$D$6)+SUMPRODUCT(--(F3962&gt;$D$3962:$M$3962),--(MOD(F3962-$D$3962:$M$3962,Inputs!$D$21)=Inputs!$D$6),$D$3969:$M$3969)</f>
        <v>0</v>
      </c>
      <c r="G3970" s="28">
        <f>IF(MOD(G3962,Inputs!$D$21)=Inputs!$D$6,Inputs!$D$24,Inputs!$D$6)+SUMPRODUCT(--(G3962&gt;$D$3962:$M$3962),--(MOD(G3962-$D$3962:$M$3962,Inputs!$D$21)=Inputs!$D$6),$D$3969:$M$3969)</f>
        <v>46</v>
      </c>
      <c r="H3970" s="28">
        <f>IF(MOD(H3962,Inputs!$D$21)=Inputs!$D$6,Inputs!$D$24,Inputs!$D$6)+SUMPRODUCT(--(H3962&gt;$D$3962:$M$3962),--(MOD(H3962-$D$3962:$M$3962,Inputs!$D$21)=Inputs!$D$6),$D$3969:$M$3969)</f>
        <v>124.32</v>
      </c>
      <c r="I3970" s="28">
        <f>IF(MOD(I3962,Inputs!$D$21)=Inputs!$D$6,Inputs!$D$24,Inputs!$D$6)+SUMPRODUCT(--(I3962&gt;$D$3962:$M$3962),--(MOD(I3962-$D$3962:$M$3962,Inputs!$D$21)=Inputs!$D$6),$D$3969:$M$3969)</f>
        <v>310.80000000000007</v>
      </c>
      <c r="J3970" s="28">
        <f>IF(MOD(J3962,Inputs!$D$21)=Inputs!$D$6,Inputs!$D$24,Inputs!$D$6)+SUMPRODUCT(--(J3962&gt;$D$3962:$M$3962),--(MOD(J3962-$D$3962:$M$3962,Inputs!$D$21)=Inputs!$D$6),$D$3969:$M$3969)</f>
        <v>341.87999999999994</v>
      </c>
      <c r="K3970" s="28">
        <f>IF(MOD(K3962,Inputs!$D$21)=Inputs!$D$6,Inputs!$D$24,Inputs!$D$6)+SUMPRODUCT(--(K3962&gt;$D$3962:$M$3962),--(MOD(K3962-$D$3962:$M$3962,Inputs!$D$21)=Inputs!$D$6),$D$3969:$M$3969)</f>
        <v>434.5</v>
      </c>
      <c r="L3970" s="28">
        <f>IF(MOD(L3962,Inputs!$D$21)=Inputs!$D$6,Inputs!$D$24,Inputs!$D$6)+SUMPRODUCT(--(L3962&gt;$D$3962:$M$3962),--(MOD(L3962-$D$3962:$M$3962,Inputs!$D$21)=Inputs!$D$6),$D$3969:$M$3969)</f>
        <v>512.81999999999994</v>
      </c>
      <c r="M3970" s="28">
        <f>IF(MOD(M3962,Inputs!$D$21)=Inputs!$D$6,Inputs!$D$24,Inputs!$D$6)+SUMPRODUCT(--(M3962&gt;$D$3962:$M$3962),--(MOD(M3962-$D$3962:$M$3962,Inputs!$D$21)=Inputs!$D$6),$D$3969:$M$3969)</f>
        <v>310.80000000000007</v>
      </c>
    </row>
    <row r="3971" spans="2:13" ht="15" customHeight="1" x14ac:dyDescent="0.2">
      <c r="B3971" s="10" t="s">
        <v>895</v>
      </c>
      <c r="C3971" s="10" t="s">
        <v>896</v>
      </c>
      <c r="D3971" s="28">
        <f t="shared" ref="D3971:M3971" si="862">D3968*D3965</f>
        <v>77.288870636550314</v>
      </c>
      <c r="E3971" s="28">
        <f t="shared" si="862"/>
        <v>325.72000000000003</v>
      </c>
      <c r="F3971" s="28">
        <f t="shared" si="862"/>
        <v>652.06000000000006</v>
      </c>
      <c r="G3971" s="28">
        <f t="shared" si="862"/>
        <v>1017.25</v>
      </c>
      <c r="H3971" s="28">
        <f t="shared" si="862"/>
        <v>1405.75</v>
      </c>
      <c r="I3971" s="28">
        <f t="shared" si="862"/>
        <v>1600</v>
      </c>
      <c r="J3971" s="28">
        <f t="shared" si="862"/>
        <v>1600</v>
      </c>
      <c r="K3971" s="28">
        <f t="shared" si="862"/>
        <v>1600</v>
      </c>
      <c r="L3971" s="28">
        <f t="shared" si="862"/>
        <v>1600</v>
      </c>
      <c r="M3971" s="28">
        <f t="shared" si="862"/>
        <v>1600</v>
      </c>
    </row>
    <row r="3972" spans="2:13" ht="15" customHeight="1" x14ac:dyDescent="0.2">
      <c r="B3972" s="10" t="s">
        <v>897</v>
      </c>
      <c r="C3972" s="10" t="s">
        <v>110</v>
      </c>
      <c r="D3972" s="16">
        <f>D3971*($D$3991/Inputs!$D$21+$D$3992/Inputs!$D$22)</f>
        <v>1118.2034893112541</v>
      </c>
      <c r="E3972" s="16">
        <f>E3971*($D$3991/Inputs!$D$21+$D$3992/Inputs!$D$22)</f>
        <v>4712.466847280074</v>
      </c>
      <c r="F3972" s="16">
        <f>F3971*($D$3991/Inputs!$D$21+$D$3992/Inputs!$D$22)</f>
        <v>9433.9037591718188</v>
      </c>
      <c r="G3972" s="16">
        <f>G3971*($D$3991/Inputs!$D$21+$D$3992/Inputs!$D$22)</f>
        <v>14717.416493907818</v>
      </c>
      <c r="H3972" s="16">
        <f>H3971*($D$3991/Inputs!$D$21+$D$3992/Inputs!$D$22)</f>
        <v>20338.17472235037</v>
      </c>
      <c r="I3972" s="16">
        <f>I3971*($D$3991/Inputs!$D$21+$D$3992/Inputs!$D$22)</f>
        <v>23148.553836571649</v>
      </c>
      <c r="J3972" s="16">
        <f>J3971*($D$3991/Inputs!$D$21+$D$3992/Inputs!$D$22)</f>
        <v>23148.553836571649</v>
      </c>
      <c r="K3972" s="16">
        <f>K3971*($D$3991/Inputs!$D$21+$D$3992/Inputs!$D$22)</f>
        <v>23148.553836571649</v>
      </c>
      <c r="L3972" s="16">
        <f>L3971*($D$3991/Inputs!$D$21+$D$3992/Inputs!$D$22)</f>
        <v>23148.553836571649</v>
      </c>
      <c r="M3972" s="16">
        <f>M3971*($D$3991/Inputs!$D$21+$D$3992/Inputs!$D$22)</f>
        <v>23148.553836571649</v>
      </c>
    </row>
    <row r="3973" spans="2:13" ht="15" customHeight="1" x14ac:dyDescent="0.2">
      <c r="B3973" s="10" t="s">
        <v>898</v>
      </c>
      <c r="C3973" s="10" t="s">
        <v>110</v>
      </c>
      <c r="D3973" s="16">
        <f t="shared" ref="D3973:M3973" si="863">D3969*($D$3991+$D$3992)</f>
        <v>7454.8732903914051</v>
      </c>
      <c r="E3973" s="16">
        <f t="shared" si="863"/>
        <v>18637.183225978519</v>
      </c>
      <c r="F3973" s="16">
        <f t="shared" si="863"/>
        <v>20500.901548576363</v>
      </c>
      <c r="G3973" s="16">
        <f t="shared" si="863"/>
        <v>23296.479032473144</v>
      </c>
      <c r="H3973" s="16">
        <f t="shared" si="863"/>
        <v>23296.479032473144</v>
      </c>
      <c r="I3973" s="16">
        <f t="shared" si="863"/>
        <v>0</v>
      </c>
      <c r="J3973" s="16">
        <f t="shared" si="863"/>
        <v>0</v>
      </c>
      <c r="K3973" s="16">
        <f t="shared" si="863"/>
        <v>0</v>
      </c>
      <c r="L3973" s="16">
        <f t="shared" si="863"/>
        <v>0</v>
      </c>
      <c r="M3973" s="16">
        <f t="shared" si="863"/>
        <v>0</v>
      </c>
    </row>
    <row r="3974" spans="2:13" ht="15" customHeight="1" x14ac:dyDescent="0.2">
      <c r="B3974" s="10" t="s">
        <v>899</v>
      </c>
      <c r="C3974" s="10" t="s">
        <v>110</v>
      </c>
      <c r="D3974" s="16">
        <f t="shared" ref="D3974:M3974" si="864">D3970*$D$3991</f>
        <v>0</v>
      </c>
      <c r="E3974" s="16">
        <f t="shared" si="864"/>
        <v>0</v>
      </c>
      <c r="F3974" s="16">
        <f t="shared" si="864"/>
        <v>0</v>
      </c>
      <c r="G3974" s="16">
        <f t="shared" si="864"/>
        <v>2638.0048485671714</v>
      </c>
      <c r="H3974" s="16">
        <f t="shared" si="864"/>
        <v>7129.4948429102333</v>
      </c>
      <c r="I3974" s="16">
        <f t="shared" si="864"/>
        <v>17823.737107275589</v>
      </c>
      <c r="J3974" s="16">
        <f t="shared" si="864"/>
        <v>19606.110818003141</v>
      </c>
      <c r="K3974" s="16">
        <f t="shared" si="864"/>
        <v>24917.676232661652</v>
      </c>
      <c r="L3974" s="16">
        <f t="shared" si="864"/>
        <v>29409.166227004709</v>
      </c>
      <c r="M3974" s="16">
        <f t="shared" si="864"/>
        <v>17823.737107275589</v>
      </c>
    </row>
    <row r="3975" spans="2:13" ht="15" customHeight="1" x14ac:dyDescent="0.2">
      <c r="B3975" s="10" t="s">
        <v>900</v>
      </c>
      <c r="C3975" s="10" t="s">
        <v>199</v>
      </c>
      <c r="D3975" s="28">
        <f>D3969*Inputs!$D$23</f>
        <v>3.1080000000000001</v>
      </c>
      <c r="E3975" s="28">
        <f>E3969*Inputs!$D$23</f>
        <v>7.7700000000000022</v>
      </c>
      <c r="F3975" s="28">
        <f>F3969*Inputs!$D$23</f>
        <v>8.5469999999999988</v>
      </c>
      <c r="G3975" s="28">
        <f>G3969*Inputs!$D$23</f>
        <v>9.7125000000000004</v>
      </c>
      <c r="H3975" s="28">
        <f>H3969*Inputs!$D$23</f>
        <v>9.7125000000000004</v>
      </c>
      <c r="I3975" s="28">
        <f>I3969*Inputs!$D$23</f>
        <v>0</v>
      </c>
      <c r="J3975" s="28">
        <f>J3969*Inputs!$D$23</f>
        <v>0</v>
      </c>
      <c r="K3975" s="28">
        <f>K3969*Inputs!$D$23</f>
        <v>0</v>
      </c>
      <c r="L3975" s="28">
        <f>L3969*Inputs!$D$23</f>
        <v>0</v>
      </c>
      <c r="M3975" s="28">
        <f>M3969*Inputs!$D$23</f>
        <v>0</v>
      </c>
    </row>
    <row r="3976" spans="2:13" ht="15" customHeight="1" x14ac:dyDescent="0.2">
      <c r="B3976" s="3" t="s">
        <v>901</v>
      </c>
      <c r="C3976" s="10" t="s">
        <v>896</v>
      </c>
      <c r="D3976" s="28">
        <f>(D3971*$D$3989*(Inputs!$D$7-Inputs!$D$19)-D3975)/(Inputs!$D$7+$D$3990)^D3964</f>
        <v>40.99699201112098</v>
      </c>
      <c r="E3976" s="28">
        <f>(E3971*$D$3989*(Inputs!$D$7-Inputs!$D$19)-E3975)/(Inputs!$D$7+$D$3990)^E3964</f>
        <v>153.02781912726542</v>
      </c>
      <c r="F3976" s="28">
        <f>(F3971*$D$3989*(Inputs!$D$7-Inputs!$D$19)-F3975)/(Inputs!$D$7+$D$3990)^F3964</f>
        <v>268.8019226843403</v>
      </c>
      <c r="G3976" s="28">
        <f>(G3971*$D$3989*(Inputs!$D$7-Inputs!$D$19)-G3975)/(Inputs!$D$7+$D$3990)^G3964</f>
        <v>363.62824610263397</v>
      </c>
      <c r="H3976" s="28">
        <f>(H3971*$D$3989*(Inputs!$D$7-Inputs!$D$19)-H3975)/(Inputs!$D$7+$D$3990)^H3964</f>
        <v>435.07807528321291</v>
      </c>
      <c r="I3976" s="28">
        <f>(I3971*$D$3989*(Inputs!$D$7-Inputs!$D$19)-I3975)/(Inputs!$D$7+$D$3990)^I3964</f>
        <v>431.49711827119876</v>
      </c>
      <c r="J3976" s="28">
        <f>(J3971*$D$3989*(Inputs!$D$7-Inputs!$D$19)-J3975)/(Inputs!$D$7+$D$3990)^J3964</f>
        <v>372.01806500733016</v>
      </c>
      <c r="K3976" s="28">
        <f>(K3971*$D$3989*(Inputs!$D$7-Inputs!$D$19)-K3975)/(Inputs!$D$7+$D$3990)^K3964</f>
        <v>320.73780989845312</v>
      </c>
      <c r="L3976" s="28">
        <f>(L3971*$D$3989*(Inputs!$D$7-Inputs!$D$19)-L3975)/(Inputs!$D$7+$D$3990)^L3964</f>
        <v>276.52620228651875</v>
      </c>
      <c r="M3976" s="28">
        <f>(M3971*$D$3989*(Inputs!$D$7-Inputs!$D$19)-M3975)/(Inputs!$D$7+$D$3990)^M3964</f>
        <v>238.31201718226143</v>
      </c>
    </row>
    <row r="3977" spans="2:13" ht="15" customHeight="1" x14ac:dyDescent="0.2">
      <c r="B3977" s="10" t="s">
        <v>902</v>
      </c>
      <c r="C3977" s="10" t="s">
        <v>110</v>
      </c>
      <c r="D3977" s="16">
        <f>(D3972*Inputs!$D$19-D3973-D3974)/(Inputs!$D$7+$D$3990)^D3964</f>
        <v>-6403.0045740313244</v>
      </c>
      <c r="E3977" s="16">
        <f>(E3972*Inputs!$D$19-E3973-E3974)/(Inputs!$D$7+$D$3990)^E3964</f>
        <v>-13349.632212764713</v>
      </c>
      <c r="F3977" s="16">
        <f>(F3972*Inputs!$D$19-F3973-F3974)/(Inputs!$D$7+$D$3990)^F3964</f>
        <v>-11808.370082432088</v>
      </c>
      <c r="G3977" s="16">
        <f>(G3972*Inputs!$D$19-G3973-G3974)/(Inputs!$D$7+$D$3990)^G3964</f>
        <v>-12397.921878440668</v>
      </c>
      <c r="H3977" s="16">
        <f>(H3972*Inputs!$D$19-H3973-H3974)/(Inputs!$D$7+$D$3990)^H3964</f>
        <v>-12082.366885213038</v>
      </c>
      <c r="I3977" s="16">
        <f>(I3972*Inputs!$D$19-I3973-I3974)/(Inputs!$D$7+$D$3990)^I3964</f>
        <v>-4657.0743222469628</v>
      </c>
      <c r="J3977" s="16">
        <f>(J3972*Inputs!$D$19-J3973-J3974)/(Inputs!$D$7+$D$3990)^J3964</f>
        <v>-4672.9398284057479</v>
      </c>
      <c r="K3977" s="16">
        <f>(K3972*Inputs!$D$19-K3973-K3974)/(Inputs!$D$7+$D$3990)^K3964</f>
        <v>-5718.9047268503064</v>
      </c>
      <c r="L3977" s="16">
        <f>(L3972*Inputs!$D$19-L3973-L3974)/(Inputs!$D$7+$D$3990)^L3964</f>
        <v>-6162.7485564592316</v>
      </c>
      <c r="M3977" s="16">
        <f>(M3972*Inputs!$D$19-M3973-M3974)/(Inputs!$D$7+$D$3990)^M3964</f>
        <v>-2572.0606903447429</v>
      </c>
    </row>
    <row r="3978" spans="2:13" ht="15" customHeight="1" x14ac:dyDescent="0.2">
      <c r="B3978" s="10" t="s">
        <v>903</v>
      </c>
      <c r="C3978" s="10" t="s">
        <v>110</v>
      </c>
      <c r="D3978" s="16">
        <f t="shared" ref="D3978:M3978" si="865">D3971*$D$3988</f>
        <v>2327.2275840478937</v>
      </c>
      <c r="E3978" s="16">
        <f t="shared" si="865"/>
        <v>9807.6807492850894</v>
      </c>
      <c r="F3978" s="16">
        <f t="shared" si="865"/>
        <v>19634.030177388049</v>
      </c>
      <c r="G3978" s="16">
        <f t="shared" si="865"/>
        <v>30630.183108836594</v>
      </c>
      <c r="H3978" s="16">
        <f t="shared" si="865"/>
        <v>42328.218142292499</v>
      </c>
      <c r="I3978" s="16">
        <f t="shared" si="865"/>
        <v>48177.235659020451</v>
      </c>
      <c r="J3978" s="16">
        <f t="shared" si="865"/>
        <v>48177.235659020451</v>
      </c>
      <c r="K3978" s="16">
        <f t="shared" si="865"/>
        <v>48177.235659020451</v>
      </c>
      <c r="L3978" s="16">
        <f t="shared" si="865"/>
        <v>48177.235659020451</v>
      </c>
      <c r="M3978" s="16">
        <f t="shared" si="865"/>
        <v>48177.235659020451</v>
      </c>
    </row>
    <row r="3979" spans="2:13" ht="15" customHeight="1" x14ac:dyDescent="0.2">
      <c r="B3979" s="10" t="s">
        <v>904</v>
      </c>
      <c r="C3979" s="10" t="s">
        <v>110</v>
      </c>
      <c r="D3979" s="16">
        <f t="shared" ref="D3979:M3979" si="866">D3978*$D$3989</f>
        <v>2094.5048256431046</v>
      </c>
      <c r="E3979" s="16">
        <f t="shared" si="866"/>
        <v>8826.9126743565812</v>
      </c>
      <c r="F3979" s="16">
        <f t="shared" si="866"/>
        <v>17670.627159649244</v>
      </c>
      <c r="G3979" s="16">
        <f t="shared" si="866"/>
        <v>27567.164797952937</v>
      </c>
      <c r="H3979" s="16">
        <f t="shared" si="866"/>
        <v>38095.396328063252</v>
      </c>
      <c r="I3979" s="16">
        <f t="shared" si="866"/>
        <v>43359.512093118406</v>
      </c>
      <c r="J3979" s="16">
        <f t="shared" si="866"/>
        <v>43359.512093118406</v>
      </c>
      <c r="K3979" s="16">
        <f t="shared" si="866"/>
        <v>43359.512093118406</v>
      </c>
      <c r="L3979" s="16">
        <f t="shared" si="866"/>
        <v>43359.512093118406</v>
      </c>
      <c r="M3979" s="16">
        <f t="shared" si="866"/>
        <v>43359.512093118406</v>
      </c>
    </row>
    <row r="3980" spans="2:13" ht="15" customHeight="1" x14ac:dyDescent="0.2">
      <c r="B3980" s="10" t="s">
        <v>905</v>
      </c>
      <c r="C3980" s="10" t="s">
        <v>110</v>
      </c>
      <c r="D3980" s="16">
        <f t="shared" ref="D3980:M3980" si="867">D3979-D3972</f>
        <v>976.30133633185051</v>
      </c>
      <c r="E3980" s="16">
        <f t="shared" si="867"/>
        <v>4114.4458270765072</v>
      </c>
      <c r="F3980" s="16">
        <f t="shared" si="867"/>
        <v>8236.7234004774255</v>
      </c>
      <c r="G3980" s="16">
        <f t="shared" si="867"/>
        <v>12849.748304045119</v>
      </c>
      <c r="H3980" s="16">
        <f t="shared" si="867"/>
        <v>17757.221605712883</v>
      </c>
      <c r="I3980" s="16">
        <f t="shared" si="867"/>
        <v>20210.958256546757</v>
      </c>
      <c r="J3980" s="16">
        <f t="shared" si="867"/>
        <v>20210.958256546757</v>
      </c>
      <c r="K3980" s="16">
        <f t="shared" si="867"/>
        <v>20210.958256546757</v>
      </c>
      <c r="L3980" s="16">
        <f t="shared" si="867"/>
        <v>20210.958256546757</v>
      </c>
      <c r="M3980" s="16">
        <f t="shared" si="867"/>
        <v>20210.958256546757</v>
      </c>
    </row>
    <row r="3981" spans="2:13" ht="15" customHeight="1" x14ac:dyDescent="0.2">
      <c r="B3981" s="10" t="s">
        <v>906</v>
      </c>
      <c r="C3981" s="10" t="s">
        <v>110</v>
      </c>
      <c r="D3981" s="16">
        <f>MAX(D3980,Inputs!$D$6)*Inputs!$D$19</f>
        <v>292.89040089955512</v>
      </c>
      <c r="E3981" s="16">
        <f>MAX(E3980,Inputs!$D$6)*Inputs!$D$19</f>
        <v>1234.3337481229521</v>
      </c>
      <c r="F3981" s="16">
        <f>MAX(F3980,Inputs!$D$6)*Inputs!$D$19</f>
        <v>2471.0170201432275</v>
      </c>
      <c r="G3981" s="16">
        <f>MAX(G3980,Inputs!$D$6)*Inputs!$D$19</f>
        <v>3854.9244912135355</v>
      </c>
      <c r="H3981" s="16">
        <f>MAX(H3980,Inputs!$D$6)*Inputs!$D$19</f>
        <v>5327.1664817138644</v>
      </c>
      <c r="I3981" s="16">
        <f>MAX(I3980,Inputs!$D$6)*Inputs!$D$19</f>
        <v>6063.2874769640266</v>
      </c>
      <c r="J3981" s="16">
        <f>MAX(J3980,Inputs!$D$6)*Inputs!$D$19</f>
        <v>6063.2874769640266</v>
      </c>
      <c r="K3981" s="16">
        <f>MAX(K3980,Inputs!$D$6)*Inputs!$D$19</f>
        <v>6063.2874769640266</v>
      </c>
      <c r="L3981" s="16">
        <f>MAX(L3980,Inputs!$D$6)*Inputs!$D$19</f>
        <v>6063.2874769640266</v>
      </c>
      <c r="M3981" s="16">
        <f>MAX(M3980,Inputs!$D$6)*Inputs!$D$19</f>
        <v>6063.2874769640266</v>
      </c>
    </row>
    <row r="3982" spans="2:13" ht="15" customHeight="1" x14ac:dyDescent="0.2">
      <c r="B3982" s="10" t="s">
        <v>907</v>
      </c>
      <c r="C3982" s="10" t="s">
        <v>110</v>
      </c>
      <c r="D3982" s="16">
        <f t="shared" ref="D3982:M3982" si="868">D3975*$D$3988</f>
        <v>93.58428026764723</v>
      </c>
      <c r="E3982" s="16">
        <f t="shared" si="868"/>
        <v>233.96070066911813</v>
      </c>
      <c r="F3982" s="16">
        <f t="shared" si="868"/>
        <v>257.35677073602983</v>
      </c>
      <c r="G3982" s="16">
        <f t="shared" si="868"/>
        <v>292.45087583639759</v>
      </c>
      <c r="H3982" s="16">
        <f t="shared" si="868"/>
        <v>292.45087583639759</v>
      </c>
      <c r="I3982" s="16">
        <f t="shared" si="868"/>
        <v>0</v>
      </c>
      <c r="J3982" s="16">
        <f t="shared" si="868"/>
        <v>0</v>
      </c>
      <c r="K3982" s="16">
        <f t="shared" si="868"/>
        <v>0</v>
      </c>
      <c r="L3982" s="16">
        <f t="shared" si="868"/>
        <v>0</v>
      </c>
      <c r="M3982" s="16">
        <f t="shared" si="868"/>
        <v>0</v>
      </c>
    </row>
    <row r="3983" spans="2:13" ht="15" customHeight="1" x14ac:dyDescent="0.2">
      <c r="B3983" s="10" t="s">
        <v>908</v>
      </c>
      <c r="C3983" s="10" t="s">
        <v>110</v>
      </c>
      <c r="D3983" s="16">
        <f t="shared" ref="D3983:M3983" si="869">D3979-D3981-D3973-D3974-D3982</f>
        <v>-5746.8431459155026</v>
      </c>
      <c r="E3983" s="16">
        <f t="shared" si="869"/>
        <v>-11278.565000414008</v>
      </c>
      <c r="F3983" s="16">
        <f t="shared" si="869"/>
        <v>-5558.6481798063751</v>
      </c>
      <c r="G3983" s="16">
        <f t="shared" si="869"/>
        <v>-2514.6944501373123</v>
      </c>
      <c r="H3983" s="16">
        <f t="shared" si="869"/>
        <v>2049.8050951296113</v>
      </c>
      <c r="I3983" s="16">
        <f t="shared" si="869"/>
        <v>19472.487508878792</v>
      </c>
      <c r="J3983" s="16">
        <f t="shared" si="869"/>
        <v>17690.11379815124</v>
      </c>
      <c r="K3983" s="16">
        <f t="shared" si="869"/>
        <v>12378.548383492729</v>
      </c>
      <c r="L3983" s="16">
        <f t="shared" si="869"/>
        <v>7887.0583891496717</v>
      </c>
      <c r="M3983" s="16">
        <f t="shared" si="869"/>
        <v>19472.487508878792</v>
      </c>
    </row>
    <row r="3984" spans="2:13" ht="15" customHeight="1" x14ac:dyDescent="0.2">
      <c r="B3984" s="10" t="s">
        <v>909</v>
      </c>
      <c r="C3984" s="10" t="s">
        <v>110</v>
      </c>
      <c r="D3984" s="16">
        <f>D3983/(Inputs!$D$7+$D$3990)^D3964</f>
        <v>-5168.5534831371033</v>
      </c>
      <c r="E3984" s="16">
        <f>E3983/(Inputs!$D$7+$D$3990)^E3964</f>
        <v>-8741.8463974645711</v>
      </c>
      <c r="F3984" s="16">
        <f>F3983/(Inputs!$D$7+$D$3990)^F3964</f>
        <v>-3714.536598206299</v>
      </c>
      <c r="G3984" s="16">
        <f>G3983/(Inputs!$D$7+$D$3990)^G3964</f>
        <v>-1448.7945629638652</v>
      </c>
      <c r="H3984" s="16">
        <f>H3983/(Inputs!$D$7+$D$3990)^H3964</f>
        <v>1018.1699666572074</v>
      </c>
      <c r="I3984" s="16">
        <f>I3983/(Inputs!$D$7+$D$3990)^I3964</f>
        <v>8335.6371484653901</v>
      </c>
      <c r="J3984" s="16">
        <f>J3983/(Inputs!$D$7+$D$3990)^J3964</f>
        <v>6528.8114136385884</v>
      </c>
      <c r="K3984" s="16">
        <f>K3983/(Inputs!$D$7+$D$3990)^K3964</f>
        <v>3938.7584307971188</v>
      </c>
      <c r="L3984" s="16">
        <f>L3983/(Inputs!$D$7+$D$3990)^L3964</f>
        <v>2163.6689519480033</v>
      </c>
      <c r="M3984" s="16">
        <f>M3983/(Inputs!$D$7+$D$3990)^M3964</f>
        <v>4603.6981922592204</v>
      </c>
    </row>
    <row r="3985" spans="2:13" ht="15" customHeight="1" x14ac:dyDescent="0.2">
      <c r="B3985" s="3" t="s">
        <v>910</v>
      </c>
      <c r="C3985" s="10" t="s">
        <v>896</v>
      </c>
      <c r="D3985" s="28">
        <f>(D3971*$D$3989-D3975)/(Inputs!$D$7+$D$3990)^D3964</f>
        <v>59.765095798928819</v>
      </c>
      <c r="E3985" s="28">
        <f>(E3971*$D$3989-E3975)/(Inputs!$D$7+$D$3990)^E3964</f>
        <v>221.1922031857838</v>
      </c>
      <c r="F3985" s="28">
        <f>(F3971*$D$3989-F3975)/(Inputs!$D$7+$D$3990)^F3964</f>
        <v>386.45052664112239</v>
      </c>
      <c r="G3985" s="28">
        <f>(G3971*$D$3989-G3975)/(Inputs!$D$7+$D$3990)^G3964</f>
        <v>521.867070169518</v>
      </c>
      <c r="H3985" s="28">
        <f>(H3971*$D$3989-H3975)/(Inputs!$D$7+$D$3990)^H3964</f>
        <v>623.60768582417222</v>
      </c>
      <c r="I3985" s="28">
        <f>(I3971*$D$3989-I3975)/(Inputs!$D$7+$D$3990)^I3964</f>
        <v>616.42445467314121</v>
      </c>
      <c r="J3985" s="28">
        <f>(J3971*$D$3989-J3975)/(Inputs!$D$7+$D$3990)^J3964</f>
        <v>531.4543785819003</v>
      </c>
      <c r="K3985" s="28">
        <f>(K3971*$D$3989-K3975)/(Inputs!$D$7+$D$3990)^K3964</f>
        <v>458.19687128350449</v>
      </c>
      <c r="L3985" s="28">
        <f>(L3971*$D$3989-L3975)/(Inputs!$D$7+$D$3990)^L3964</f>
        <v>395.03743183788401</v>
      </c>
      <c r="M3985" s="28">
        <f>(M3971*$D$3989-M3975)/(Inputs!$D$7+$D$3990)^M3964</f>
        <v>340.44573883180209</v>
      </c>
    </row>
    <row r="3986" spans="2:13" ht="15" customHeight="1" x14ac:dyDescent="0.2">
      <c r="B3986" s="10" t="s">
        <v>911</v>
      </c>
      <c r="C3986" s="10" t="s">
        <v>110</v>
      </c>
      <c r="D3986" s="16">
        <f>(-D3973-D3974)/(Inputs!$D$7+$D$3990)^D3964</f>
        <v>-6704.7090607969039</v>
      </c>
      <c r="E3986" s="16">
        <f>(-E3973-E3974)/(Inputs!$D$7+$D$3990)^E3964</f>
        <v>-14445.4009031226</v>
      </c>
      <c r="F3986" s="16">
        <f>(-F3973-F3974)/(Inputs!$D$7+$D$3990)^F3964</f>
        <v>-13699.616639717549</v>
      </c>
      <c r="G3986" s="16">
        <f>(-G3973-G3974)/(Inputs!$D$7+$D$3990)^G3964</f>
        <v>-14941.671835349038</v>
      </c>
      <c r="H3986" s="16">
        <f>(-H3973-H3974)/(Inputs!$D$7+$D$3990)^H3964</f>
        <v>-15113.052884793095</v>
      </c>
      <c r="I3986" s="16">
        <f>(-I3973-I3974)/(Inputs!$D$7+$D$3990)^I3964</f>
        <v>-7629.8523795762403</v>
      </c>
      <c r="J3986" s="16">
        <f>(-J3973-J3974)/(Inputs!$D$7+$D$3990)^J3964</f>
        <v>-7235.9398897150922</v>
      </c>
      <c r="K3986" s="16">
        <f>(-K3973-K3974)/(Inputs!$D$7+$D$3990)^K3964</f>
        <v>-7928.612006570077</v>
      </c>
      <c r="L3986" s="16">
        <f>(-L3973-L3974)/(Inputs!$D$7+$D$3990)^L3964</f>
        <v>-8067.8621519509534</v>
      </c>
      <c r="M3986" s="16">
        <f>(-M3973-M3974)/(Inputs!$D$7+$D$3990)^M3964</f>
        <v>-4213.8995473821142</v>
      </c>
    </row>
    <row r="3987" spans="2:13" ht="15" customHeight="1" x14ac:dyDescent="0.2">
      <c r="B3987" s="10" t="s">
        <v>912</v>
      </c>
      <c r="C3987" s="10" t="s">
        <v>110</v>
      </c>
      <c r="D3987" s="16">
        <f>Prices!I20</f>
        <v>28657.400773749821</v>
      </c>
    </row>
    <row r="3988" spans="2:13" ht="15" customHeight="1" x14ac:dyDescent="0.2">
      <c r="B3988" s="3" t="s">
        <v>913</v>
      </c>
      <c r="C3988" s="10" t="s">
        <v>914</v>
      </c>
      <c r="D3988" s="28">
        <f>IF(J3995&gt;=J3991,J3995,(D3987-J3994)/J3993)</f>
        <v>30.11077228688778</v>
      </c>
      <c r="G3988" s="99" t="s">
        <v>915</v>
      </c>
      <c r="H3988" s="91"/>
      <c r="I3988" s="91"/>
      <c r="J3988" s="28">
        <f>D3988*Inputs!$D$15</f>
        <v>21.01430797901898</v>
      </c>
      <c r="K3988" s="99" t="s">
        <v>916</v>
      </c>
      <c r="L3988" s="91"/>
      <c r="M3988" s="91"/>
    </row>
    <row r="3989" spans="2:13" ht="15" customHeight="1" x14ac:dyDescent="0.2">
      <c r="B3989" s="10" t="s">
        <v>917</v>
      </c>
      <c r="C3989" s="10" t="s">
        <v>104</v>
      </c>
      <c r="D3989" s="30">
        <f>Inputs!$D$107</f>
        <v>0.9</v>
      </c>
      <c r="G3989" s="99" t="s">
        <v>918</v>
      </c>
      <c r="H3989" s="91"/>
      <c r="I3989" s="91"/>
      <c r="J3989" s="28">
        <f>IF(-D4000/D3999&gt;=J3991,-D4000/D3999,-J3994/J3993)</f>
        <v>24.024174528419383</v>
      </c>
      <c r="K3989" s="99" t="s">
        <v>919</v>
      </c>
      <c r="L3989" s="91"/>
      <c r="M3989" s="91"/>
    </row>
    <row r="3990" spans="2:13" ht="15" customHeight="1" x14ac:dyDescent="0.2">
      <c r="B3990" s="10" t="s">
        <v>920</v>
      </c>
      <c r="C3990" s="10" t="s">
        <v>104</v>
      </c>
      <c r="D3990" s="30">
        <f>Inputs!$D$108</f>
        <v>0.16</v>
      </c>
      <c r="G3990" s="99" t="s">
        <v>918</v>
      </c>
      <c r="H3990" s="91"/>
      <c r="I3990" s="91"/>
      <c r="J3990" s="28">
        <f>J3989*Inputs!$D$15</f>
        <v>16.766471403383886</v>
      </c>
      <c r="K3990" s="99" t="s">
        <v>916</v>
      </c>
      <c r="L3990" s="91"/>
      <c r="M3990" s="91"/>
    </row>
    <row r="3991" spans="2:13" ht="15" customHeight="1" x14ac:dyDescent="0.2">
      <c r="B3991" s="3" t="s">
        <v>921</v>
      </c>
      <c r="C3991" s="10" t="s">
        <v>848</v>
      </c>
      <c r="D3991" s="28">
        <f>Capital!$D$13</f>
        <v>57.347931490590682</v>
      </c>
      <c r="G3991" s="99" t="s">
        <v>922</v>
      </c>
      <c r="H3991" s="91"/>
      <c r="I3991" s="91"/>
      <c r="J3991" s="28">
        <f>($D$3991/Inputs!$D$21+$D$3992/Inputs!$D$22)/$D$3989</f>
        <v>16.07538460873031</v>
      </c>
      <c r="K3991" s="99" t="s">
        <v>919</v>
      </c>
      <c r="L3991" s="91"/>
      <c r="M3991" s="91"/>
    </row>
    <row r="3992" spans="2:13" ht="15" customHeight="1" x14ac:dyDescent="0.2">
      <c r="B3992" s="3" t="s">
        <v>923</v>
      </c>
      <c r="C3992" s="10" t="s">
        <v>848</v>
      </c>
      <c r="D3992" s="28">
        <f>Capital!$D$14</f>
        <v>2.6172655041921802</v>
      </c>
    </row>
    <row r="3993" spans="2:13" ht="15" customHeight="1" x14ac:dyDescent="0.2">
      <c r="B3993" s="10" t="s">
        <v>924</v>
      </c>
      <c r="C3993" s="10" t="s">
        <v>896</v>
      </c>
      <c r="D3993" s="28">
        <f>(M3966*(Inputs!$D$7+Inputs!$D$20)*$D$3989*(Inputs!$D$7-Inputs!$D$19)-M3966*Inputs!$D$20*Inputs!$D$23)/($D$3990-Inputs!$D$20)/(Inputs!$D$7+$D$3990)^M3964</f>
        <v>1807.6547922951956</v>
      </c>
      <c r="G3993" s="92" t="s">
        <v>910</v>
      </c>
      <c r="H3993" s="91"/>
      <c r="I3993" s="91"/>
      <c r="J3993" s="28">
        <f>SUM(D3985:M3985)+(M3966*(Inputs!$D$7+Inputs!$D$20)*$D$3989-M3966*Inputs!$D$20*Inputs!$D$23)/($D$3990-Inputs!$D$20)/(Inputs!$D$7+$D$3990)^M3964</f>
        <v>6737.5559875731687</v>
      </c>
      <c r="K3993" s="99" t="s">
        <v>896</v>
      </c>
      <c r="L3993" s="91"/>
      <c r="M3993" s="91"/>
    </row>
    <row r="3994" spans="2:13" ht="15" customHeight="1" x14ac:dyDescent="0.2">
      <c r="B3994" s="10" t="s">
        <v>925</v>
      </c>
      <c r="C3994" s="10" t="s">
        <v>110</v>
      </c>
      <c r="D3994" s="16">
        <f>(D3997*Inputs!$D$19-D3997-D3998)/($D$3990-Inputs!$D$20)/(Inputs!$D$7+$D$3990)^M3964</f>
        <v>-33287.494112345899</v>
      </c>
      <c r="G3994" s="92" t="s">
        <v>926</v>
      </c>
      <c r="H3994" s="91"/>
      <c r="I3994" s="91"/>
      <c r="J3994" s="16">
        <f>SUM(D3986:M3986)-(D3997+D3998)/($D$3990-Inputs!$D$20)/(Inputs!$D$7+$D$3990)^M3964</f>
        <v>-145733.9249554922</v>
      </c>
      <c r="K3994" s="99" t="s">
        <v>110</v>
      </c>
      <c r="L3994" s="91"/>
      <c r="M3994" s="91"/>
    </row>
    <row r="3995" spans="2:13" ht="15" customHeight="1" x14ac:dyDescent="0.2">
      <c r="B3995" s="10" t="s">
        <v>927</v>
      </c>
      <c r="C3995" s="10" t="s">
        <v>928</v>
      </c>
      <c r="D3995" s="16">
        <f>(M3966*(Inputs!$D$7+Inputs!$D$20)*$D$3988*$D$3989-D3997)-MAX((M3966*(Inputs!$D$7+Inputs!$D$20)*$D$3988*$D$3989-D3997),Inputs!$D$6)*Inputs!$D$19-D3998-M3966*Inputs!$D$20*$D$3988*Inputs!$D$23</f>
        <v>12072.643896994094</v>
      </c>
      <c r="G3995" s="99" t="s">
        <v>929</v>
      </c>
      <c r="H3995" s="91"/>
      <c r="I3995" s="91"/>
      <c r="J3995" s="28">
        <f>(D3987-D4000)/D3999</f>
        <v>30.11077228688778</v>
      </c>
      <c r="K3995" s="99" t="s">
        <v>919</v>
      </c>
      <c r="L3995" s="91"/>
      <c r="M3995" s="91"/>
    </row>
    <row r="3996" spans="2:13" ht="15" customHeight="1" x14ac:dyDescent="0.2">
      <c r="B3996" s="10" t="s">
        <v>930</v>
      </c>
      <c r="C3996" s="10" t="s">
        <v>110</v>
      </c>
      <c r="D3996" s="16">
        <f>D3995/($D$3990-Inputs!$D$20)</f>
        <v>89426.991829585866</v>
      </c>
      <c r="G3996" s="99" t="s">
        <v>931</v>
      </c>
      <c r="H3996" s="91"/>
      <c r="I3996" s="91"/>
      <c r="J3996" s="16">
        <f>MIN(D3980:M3980,(M3966*(Inputs!$D$7+Inputs!$D$20)*$D$3988*$D$3989-D3997))</f>
        <v>976.30133633185051</v>
      </c>
      <c r="K3996" s="99" t="s">
        <v>110</v>
      </c>
      <c r="L3996" s="91"/>
      <c r="M3996" s="91"/>
    </row>
    <row r="3997" spans="2:13" ht="15" customHeight="1" x14ac:dyDescent="0.2">
      <c r="B3997" s="10" t="s">
        <v>932</v>
      </c>
      <c r="C3997" s="10" t="s">
        <v>928</v>
      </c>
      <c r="D3997" s="16">
        <f>M3966*(Inputs!$D$7+Inputs!$D$20)*($D$3991/Inputs!$D$21+$D$3992/Inputs!$D$22)</f>
        <v>23727.267682485937</v>
      </c>
      <c r="G3997" s="99" t="s">
        <v>933</v>
      </c>
      <c r="H3997" s="91"/>
      <c r="I3997" s="91"/>
      <c r="J3997" s="31" t="str">
        <f>IF(J3996&lt;Inputs!$D$6,"breached","satisfied")</f>
        <v>satisfied</v>
      </c>
      <c r="K3997" s="99" t="s">
        <v>934</v>
      </c>
      <c r="L3997" s="91"/>
      <c r="M3997" s="91"/>
    </row>
    <row r="3998" spans="2:13" ht="15" customHeight="1" x14ac:dyDescent="0.2">
      <c r="B3998" s="10" t="s">
        <v>935</v>
      </c>
      <c r="C3998" s="10" t="s">
        <v>928</v>
      </c>
      <c r="D3998" s="16">
        <f>M3966*Inputs!$D$20*($D$3991+$D$3992)</f>
        <v>2398.6078797913146</v>
      </c>
    </row>
    <row r="3999" spans="2:13" ht="15" customHeight="1" x14ac:dyDescent="0.2">
      <c r="B3999" s="10" t="s">
        <v>936</v>
      </c>
      <c r="C3999" s="10" t="s">
        <v>896</v>
      </c>
      <c r="D3999" s="28">
        <f>SUM(D3976:M3976)+D3993</f>
        <v>4708.2790601495317</v>
      </c>
      <c r="G3999" s="99" t="s">
        <v>937</v>
      </c>
      <c r="H3999" s="91"/>
      <c r="I3999" s="91"/>
      <c r="J3999" s="16">
        <f>D4001-D3987</f>
        <v>4.0017766878008842E-11</v>
      </c>
      <c r="K3999" s="99" t="s">
        <v>110</v>
      </c>
      <c r="L3999" s="91"/>
      <c r="M3999" s="91"/>
    </row>
    <row r="4000" spans="2:13" ht="15" customHeight="1" x14ac:dyDescent="0.2">
      <c r="B4000" s="10" t="s">
        <v>938</v>
      </c>
      <c r="C4000" s="10" t="s">
        <v>110</v>
      </c>
      <c r="D4000" s="16">
        <f>SUM(D3977:M3977)+D3994</f>
        <v>-113112.51786953473</v>
      </c>
    </row>
    <row r="4001" spans="1:13" ht="15" customHeight="1" x14ac:dyDescent="0.2">
      <c r="B4001" s="10" t="s">
        <v>939</v>
      </c>
      <c r="C4001" s="10" t="s">
        <v>110</v>
      </c>
      <c r="D4001" s="16">
        <f>SUM(D3984:M3984)+D3996/(Inputs!$D$7+$D$3990)^M3964</f>
        <v>28657.400773749861</v>
      </c>
    </row>
    <row r="4002" spans="1:13" ht="15" customHeight="1" x14ac:dyDescent="0.2">
      <c r="B4002" s="10" t="s">
        <v>940</v>
      </c>
      <c r="C4002" s="10" t="s">
        <v>104</v>
      </c>
      <c r="D4002" s="30">
        <f>IF(ABS(D3987)&gt;Inputs!$D$6,D4001/D3987-Inputs!$D$7,Inputs!$D$6)</f>
        <v>1.3322676295501878E-15</v>
      </c>
    </row>
    <row r="4003" spans="1:13" ht="15" customHeight="1" x14ac:dyDescent="0.2">
      <c r="B4003" s="10" t="s">
        <v>941</v>
      </c>
      <c r="C4003" s="10" t="s">
        <v>104</v>
      </c>
      <c r="D4003" s="30">
        <f>IF(ABS(D4001)&gt;Inputs!$D$119,D3996/(Inputs!$D$7+$D$3990)^M3964/D4001,Inputs!$D$6)</f>
        <v>0.73776361920173072</v>
      </c>
    </row>
    <row r="4004" spans="1:13" ht="15" customHeight="1" x14ac:dyDescent="0.2">
      <c r="B4004" s="10" t="s">
        <v>942</v>
      </c>
      <c r="C4004" s="10" t="s">
        <v>943</v>
      </c>
      <c r="D4004" s="26">
        <f>$D$3988*Inputs!$D$8/Prices!$P$6/(Inputs!$D$26/Inputs!$D$25)/Inputs!$D$11/Inputs!$D$56</f>
        <v>5.4757354025138802</v>
      </c>
    </row>
    <row r="4008" spans="1:13" ht="15" customHeight="1" x14ac:dyDescent="0.2">
      <c r="A4008" s="104" t="s">
        <v>1030</v>
      </c>
      <c r="B4008" s="10" t="s">
        <v>886</v>
      </c>
      <c r="C4008" s="10" t="s">
        <v>107</v>
      </c>
      <c r="D4008" s="28">
        <f>Inputs!$D$60</f>
        <v>1</v>
      </c>
      <c r="E4008" s="28">
        <f>Inputs!$D$62</f>
        <v>2</v>
      </c>
      <c r="F4008" s="28">
        <f>Inputs!$D$64</f>
        <v>3</v>
      </c>
      <c r="G4008" s="28">
        <f>Inputs!$D$66</f>
        <v>4</v>
      </c>
      <c r="H4008" s="28">
        <f>Inputs!$D$68</f>
        <v>5</v>
      </c>
      <c r="I4008" s="28">
        <f>Inputs!$D$70</f>
        <v>6</v>
      </c>
      <c r="J4008" s="28">
        <f>Inputs!$D$72</f>
        <v>7</v>
      </c>
      <c r="K4008" s="28">
        <f>Inputs!$D$74</f>
        <v>8</v>
      </c>
      <c r="L4008" s="28">
        <f>Inputs!$D$76</f>
        <v>9</v>
      </c>
      <c r="M4008" s="28">
        <f>Inputs!$D$78</f>
        <v>10</v>
      </c>
    </row>
    <row r="4009" spans="1:13" ht="15" customHeight="1" x14ac:dyDescent="0.2">
      <c r="A4009" s="91"/>
      <c r="B4009" s="10" t="s">
        <v>887</v>
      </c>
      <c r="C4009" s="10" t="s">
        <v>161</v>
      </c>
      <c r="D4009" s="29">
        <f>Inputs!$D$61</f>
        <v>46568</v>
      </c>
      <c r="E4009" s="29">
        <f>Inputs!$D$63</f>
        <v>46934</v>
      </c>
      <c r="F4009" s="29">
        <f>Inputs!$D$65</f>
        <v>47299</v>
      </c>
      <c r="G4009" s="29">
        <f>Inputs!$D$67</f>
        <v>47664</v>
      </c>
      <c r="H4009" s="29">
        <f>Inputs!$D$69</f>
        <v>48029</v>
      </c>
      <c r="I4009" s="29">
        <f>Inputs!$D$71</f>
        <v>48395</v>
      </c>
      <c r="J4009" s="29">
        <f>Inputs!$D$73</f>
        <v>48760</v>
      </c>
      <c r="K4009" s="29">
        <f>Inputs!$D$75</f>
        <v>49125</v>
      </c>
      <c r="L4009" s="29">
        <f>Inputs!$D$77</f>
        <v>49490</v>
      </c>
      <c r="M4009" s="29">
        <f>Inputs!$D$79</f>
        <v>49856</v>
      </c>
    </row>
    <row r="4010" spans="1:13" ht="15" customHeight="1" x14ac:dyDescent="0.2">
      <c r="A4010" s="91"/>
      <c r="B4010" s="10" t="s">
        <v>888</v>
      </c>
      <c r="C4010" s="10" t="s">
        <v>107</v>
      </c>
      <c r="D4010" s="28">
        <f>(D4009-Inputs!$D$13)/Inputs!$D$10</f>
        <v>0.71457905544147848</v>
      </c>
      <c r="E4010" s="28">
        <f>(E4009-Inputs!$D$13)/Inputs!$D$10</f>
        <v>1.7166324435318274</v>
      </c>
      <c r="F4010" s="28">
        <f>(F4009-Inputs!$D$13)/Inputs!$D$10</f>
        <v>2.7159479808350446</v>
      </c>
      <c r="G4010" s="28">
        <f>(G4009-Inputs!$D$13)/Inputs!$D$10</f>
        <v>3.7152635181382614</v>
      </c>
      <c r="H4010" s="28">
        <f>(H4009-Inputs!$D$13)/Inputs!$D$10</f>
        <v>4.7145790554414786</v>
      </c>
      <c r="I4010" s="28">
        <f>(I4009-Inputs!$D$13)/Inputs!$D$10</f>
        <v>5.7166324435318279</v>
      </c>
      <c r="J4010" s="28">
        <f>(J4009-Inputs!$D$13)/Inputs!$D$10</f>
        <v>6.7159479808350442</v>
      </c>
      <c r="K4010" s="28">
        <f>(K4009-Inputs!$D$13)/Inputs!$D$10</f>
        <v>7.7152635181382614</v>
      </c>
      <c r="L4010" s="28">
        <f>(L4009-Inputs!$D$13)/Inputs!$D$10</f>
        <v>8.7145790554414777</v>
      </c>
      <c r="M4010" s="28">
        <f>(M4009-Inputs!$D$13)/Inputs!$D$10</f>
        <v>9.716632443531827</v>
      </c>
    </row>
    <row r="4011" spans="1:13" ht="15" customHeight="1" x14ac:dyDescent="0.2">
      <c r="A4011" s="91"/>
      <c r="B4011" s="10" t="s">
        <v>889</v>
      </c>
      <c r="C4011" s="10" t="s">
        <v>107</v>
      </c>
      <c r="D4011" s="28">
        <f>D4010</f>
        <v>0.71457905544147848</v>
      </c>
      <c r="E4011" s="28">
        <f>Inputs!$D$7</f>
        <v>1</v>
      </c>
      <c r="F4011" s="28">
        <f>Inputs!$D$7</f>
        <v>1</v>
      </c>
      <c r="G4011" s="28">
        <f>Inputs!$D$7</f>
        <v>1</v>
      </c>
      <c r="H4011" s="28">
        <f>Inputs!$D$7</f>
        <v>1</v>
      </c>
      <c r="I4011" s="28">
        <f>Inputs!$D$7</f>
        <v>1</v>
      </c>
      <c r="J4011" s="28">
        <f>Inputs!$D$7</f>
        <v>1</v>
      </c>
      <c r="K4011" s="28">
        <f>Inputs!$D$7</f>
        <v>1</v>
      </c>
      <c r="L4011" s="28">
        <f>Inputs!$D$7</f>
        <v>1</v>
      </c>
      <c r="M4011" s="28">
        <f>Inputs!$D$7</f>
        <v>1</v>
      </c>
    </row>
    <row r="4012" spans="1:13" ht="15" customHeight="1" x14ac:dyDescent="0.2">
      <c r="A4012" s="91"/>
      <c r="B4012" s="3" t="s">
        <v>890</v>
      </c>
      <c r="C4012" s="10" t="s">
        <v>199</v>
      </c>
      <c r="D4012" s="28">
        <f>Inputs!$D$24+(Inputs!$D$80-Inputs!$D$24)*Inputs!$D$83</f>
        <v>305.5</v>
      </c>
      <c r="E4012" s="28">
        <f>Inputs!$D$24+(Inputs!$D$80-Inputs!$D$24)*Inputs!$D$84</f>
        <v>651.5</v>
      </c>
      <c r="F4012" s="28">
        <f>Inputs!$D$24+(Inputs!$D$80-Inputs!$D$24)*Inputs!$D$85</f>
        <v>911</v>
      </c>
      <c r="G4012" s="28">
        <f>Inputs!$D$24+(Inputs!$D$80-Inputs!$D$24)*Inputs!$D$86</f>
        <v>911</v>
      </c>
      <c r="H4012" s="28">
        <f>Inputs!$D$24+(Inputs!$D$80-Inputs!$D$24)*Inputs!$D$87</f>
        <v>911</v>
      </c>
      <c r="I4012" s="28">
        <f>Inputs!$D$24+(Inputs!$D$80-Inputs!$D$24)*Inputs!$D$88</f>
        <v>911</v>
      </c>
      <c r="J4012" s="28">
        <f>Inputs!$D$24+(Inputs!$D$80-Inputs!$D$24)*Inputs!$D$89</f>
        <v>911</v>
      </c>
      <c r="K4012" s="28">
        <f>Inputs!$D$24+(Inputs!$D$80-Inputs!$D$24)*Inputs!$D$90</f>
        <v>911</v>
      </c>
      <c r="L4012" s="28">
        <f>Inputs!$D$24+(Inputs!$D$80-Inputs!$D$24)*Inputs!$D$91</f>
        <v>911</v>
      </c>
      <c r="M4012" s="28">
        <f>Inputs!$D$24+(Inputs!$D$80-Inputs!$D$24)*Inputs!$D$92</f>
        <v>911</v>
      </c>
    </row>
    <row r="4013" spans="1:13" ht="15" customHeight="1" x14ac:dyDescent="0.2">
      <c r="A4013" s="91"/>
      <c r="B4013" s="10" t="s">
        <v>891</v>
      </c>
      <c r="C4013" s="10" t="s">
        <v>199</v>
      </c>
      <c r="D4013" s="28">
        <f>Inputs!$D$24</f>
        <v>46</v>
      </c>
      <c r="E4013" s="28">
        <f t="shared" ref="E4013:M4013" si="870">D4012</f>
        <v>305.5</v>
      </c>
      <c r="F4013" s="28">
        <f t="shared" si="870"/>
        <v>651.5</v>
      </c>
      <c r="G4013" s="28">
        <f t="shared" si="870"/>
        <v>911</v>
      </c>
      <c r="H4013" s="28">
        <f t="shared" si="870"/>
        <v>911</v>
      </c>
      <c r="I4013" s="28">
        <f t="shared" si="870"/>
        <v>911</v>
      </c>
      <c r="J4013" s="28">
        <f t="shared" si="870"/>
        <v>911</v>
      </c>
      <c r="K4013" s="28">
        <f t="shared" si="870"/>
        <v>911</v>
      </c>
      <c r="L4013" s="28">
        <f t="shared" si="870"/>
        <v>911</v>
      </c>
      <c r="M4013" s="28">
        <f t="shared" si="870"/>
        <v>911</v>
      </c>
    </row>
    <row r="4014" spans="1:13" ht="15" customHeight="1" x14ac:dyDescent="0.2">
      <c r="B4014" s="10" t="s">
        <v>892</v>
      </c>
      <c r="C4014" s="10" t="s">
        <v>199</v>
      </c>
      <c r="D4014" s="28">
        <f>(D4013+D4012)*Inputs!$D$12</f>
        <v>175.75</v>
      </c>
      <c r="E4014" s="28">
        <f>(E4013+E4012)*Inputs!$D$12</f>
        <v>478.5</v>
      </c>
      <c r="F4014" s="28">
        <f>(F4013+F4012)*Inputs!$D$12</f>
        <v>781.25</v>
      </c>
      <c r="G4014" s="28">
        <f>(G4013+G4012)*Inputs!$D$12</f>
        <v>911</v>
      </c>
      <c r="H4014" s="28">
        <f>(H4013+H4012)*Inputs!$D$12</f>
        <v>911</v>
      </c>
      <c r="I4014" s="28">
        <f>(I4013+I4012)*Inputs!$D$12</f>
        <v>911</v>
      </c>
      <c r="J4014" s="28">
        <f>(J4013+J4012)*Inputs!$D$12</f>
        <v>911</v>
      </c>
      <c r="K4014" s="28">
        <f>(K4013+K4012)*Inputs!$D$12</f>
        <v>911</v>
      </c>
      <c r="L4014" s="28">
        <f>(L4013+L4012)*Inputs!$D$12</f>
        <v>911</v>
      </c>
      <c r="M4014" s="28">
        <f>(M4013+M4012)*Inputs!$D$12</f>
        <v>911</v>
      </c>
    </row>
    <row r="4015" spans="1:13" ht="15" customHeight="1" x14ac:dyDescent="0.2">
      <c r="B4015" s="10" t="s">
        <v>893</v>
      </c>
      <c r="C4015" s="10" t="s">
        <v>199</v>
      </c>
      <c r="D4015" s="28">
        <f t="shared" ref="D4015:M4015" si="871">D4012-D4013</f>
        <v>259.5</v>
      </c>
      <c r="E4015" s="28">
        <f t="shared" si="871"/>
        <v>346</v>
      </c>
      <c r="F4015" s="28">
        <f t="shared" si="871"/>
        <v>259.5</v>
      </c>
      <c r="G4015" s="28">
        <f t="shared" si="871"/>
        <v>0</v>
      </c>
      <c r="H4015" s="28">
        <f t="shared" si="871"/>
        <v>0</v>
      </c>
      <c r="I4015" s="28">
        <f t="shared" si="871"/>
        <v>0</v>
      </c>
      <c r="J4015" s="28">
        <f t="shared" si="871"/>
        <v>0</v>
      </c>
      <c r="K4015" s="28">
        <f t="shared" si="871"/>
        <v>0</v>
      </c>
      <c r="L4015" s="28">
        <f t="shared" si="871"/>
        <v>0</v>
      </c>
      <c r="M4015" s="28">
        <f t="shared" si="871"/>
        <v>0</v>
      </c>
    </row>
    <row r="4016" spans="1:13" ht="15" customHeight="1" x14ac:dyDescent="0.2">
      <c r="B4016" s="10" t="s">
        <v>894</v>
      </c>
      <c r="C4016" s="10" t="s">
        <v>199</v>
      </c>
      <c r="D4016" s="28">
        <f>IF(MOD(D4008,Inputs!$D$21)=Inputs!$D$6,Inputs!$D$24,Inputs!$D$6)+SUMPRODUCT(--(D4008&gt;$D$4008:$M$4008),--(MOD(D4008-$D$4008:$M$4008,Inputs!$D$21)=Inputs!$D$6),$D$4015:$M$4015)</f>
        <v>0</v>
      </c>
      <c r="E4016" s="28">
        <f>IF(MOD(E4008,Inputs!$D$21)=Inputs!$D$6,Inputs!$D$24,Inputs!$D$6)+SUMPRODUCT(--(E4008&gt;$D$4008:$M$4008),--(MOD(E4008-$D$4008:$M$4008,Inputs!$D$21)=Inputs!$D$6),$D$4015:$M$4015)</f>
        <v>0</v>
      </c>
      <c r="F4016" s="28">
        <f>IF(MOD(F4008,Inputs!$D$21)=Inputs!$D$6,Inputs!$D$24,Inputs!$D$6)+SUMPRODUCT(--(F4008&gt;$D$4008:$M$4008),--(MOD(F4008-$D$4008:$M$4008,Inputs!$D$21)=Inputs!$D$6),$D$4015:$M$4015)</f>
        <v>0</v>
      </c>
      <c r="G4016" s="28">
        <f>IF(MOD(G4008,Inputs!$D$21)=Inputs!$D$6,Inputs!$D$24,Inputs!$D$6)+SUMPRODUCT(--(G4008&gt;$D$4008:$M$4008),--(MOD(G4008-$D$4008:$M$4008,Inputs!$D$21)=Inputs!$D$6),$D$4015:$M$4015)</f>
        <v>46</v>
      </c>
      <c r="H4016" s="28">
        <f>IF(MOD(H4008,Inputs!$D$21)=Inputs!$D$6,Inputs!$D$24,Inputs!$D$6)+SUMPRODUCT(--(H4008&gt;$D$4008:$M$4008),--(MOD(H4008-$D$4008:$M$4008,Inputs!$D$21)=Inputs!$D$6),$D$4015:$M$4015)</f>
        <v>259.5</v>
      </c>
      <c r="I4016" s="28">
        <f>IF(MOD(I4008,Inputs!$D$21)=Inputs!$D$6,Inputs!$D$24,Inputs!$D$6)+SUMPRODUCT(--(I4008&gt;$D$4008:$M$4008),--(MOD(I4008-$D$4008:$M$4008,Inputs!$D$21)=Inputs!$D$6),$D$4015:$M$4015)</f>
        <v>346</v>
      </c>
      <c r="J4016" s="28">
        <f>IF(MOD(J4008,Inputs!$D$21)=Inputs!$D$6,Inputs!$D$24,Inputs!$D$6)+SUMPRODUCT(--(J4008&gt;$D$4008:$M$4008),--(MOD(J4008-$D$4008:$M$4008,Inputs!$D$21)=Inputs!$D$6),$D$4015:$M$4015)</f>
        <v>259.5</v>
      </c>
      <c r="K4016" s="28">
        <f>IF(MOD(K4008,Inputs!$D$21)=Inputs!$D$6,Inputs!$D$24,Inputs!$D$6)+SUMPRODUCT(--(K4008&gt;$D$4008:$M$4008),--(MOD(K4008-$D$4008:$M$4008,Inputs!$D$21)=Inputs!$D$6),$D$4015:$M$4015)</f>
        <v>46</v>
      </c>
      <c r="L4016" s="28">
        <f>IF(MOD(L4008,Inputs!$D$21)=Inputs!$D$6,Inputs!$D$24,Inputs!$D$6)+SUMPRODUCT(--(L4008&gt;$D$4008:$M$4008),--(MOD(L4008-$D$4008:$M$4008,Inputs!$D$21)=Inputs!$D$6),$D$4015:$M$4015)</f>
        <v>259.5</v>
      </c>
      <c r="M4016" s="28">
        <f>IF(MOD(M4008,Inputs!$D$21)=Inputs!$D$6,Inputs!$D$24,Inputs!$D$6)+SUMPRODUCT(--(M4008&gt;$D$4008:$M$4008),--(MOD(M4008-$D$4008:$M$4008,Inputs!$D$21)=Inputs!$D$6),$D$4015:$M$4015)</f>
        <v>346</v>
      </c>
    </row>
    <row r="4017" spans="2:13" ht="15" customHeight="1" x14ac:dyDescent="0.2">
      <c r="B4017" s="10" t="s">
        <v>895</v>
      </c>
      <c r="C4017" s="10" t="s">
        <v>896</v>
      </c>
      <c r="D4017" s="28">
        <f t="shared" ref="D4017:M4017" si="872">D4014*D4011</f>
        <v>125.58726899383984</v>
      </c>
      <c r="E4017" s="28">
        <f t="shared" si="872"/>
        <v>478.5</v>
      </c>
      <c r="F4017" s="28">
        <f t="shared" si="872"/>
        <v>781.25</v>
      </c>
      <c r="G4017" s="28">
        <f t="shared" si="872"/>
        <v>911</v>
      </c>
      <c r="H4017" s="28">
        <f t="shared" si="872"/>
        <v>911</v>
      </c>
      <c r="I4017" s="28">
        <f t="shared" si="872"/>
        <v>911</v>
      </c>
      <c r="J4017" s="28">
        <f t="shared" si="872"/>
        <v>911</v>
      </c>
      <c r="K4017" s="28">
        <f t="shared" si="872"/>
        <v>911</v>
      </c>
      <c r="L4017" s="28">
        <f t="shared" si="872"/>
        <v>911</v>
      </c>
      <c r="M4017" s="28">
        <f t="shared" si="872"/>
        <v>911</v>
      </c>
    </row>
    <row r="4018" spans="2:13" ht="15" customHeight="1" x14ac:dyDescent="0.2">
      <c r="B4018" s="10" t="s">
        <v>897</v>
      </c>
      <c r="C4018" s="10" t="s">
        <v>110</v>
      </c>
      <c r="D4018" s="16">
        <f>D4017*($D$4037/Inputs!$D$21+$D$4038/Inputs!$D$22)</f>
        <v>1816.9772859324419</v>
      </c>
      <c r="E4018" s="16">
        <f>E4017*($D$4037/Inputs!$D$21+$D$4038/Inputs!$D$22)</f>
        <v>6922.8643817497086</v>
      </c>
      <c r="F4018" s="16">
        <f>F4017*($D$4037/Inputs!$D$21+$D$4038/Inputs!$D$22)</f>
        <v>11303.0048030135</v>
      </c>
      <c r="G4018" s="16">
        <f>G4017*($D$4037/Inputs!$D$21+$D$4038/Inputs!$D$22)</f>
        <v>13180.207840697982</v>
      </c>
      <c r="H4018" s="16">
        <f>H4017*($D$4037/Inputs!$D$21+$D$4038/Inputs!$D$22)</f>
        <v>13180.207840697982</v>
      </c>
      <c r="I4018" s="16">
        <f>I4017*($D$4037/Inputs!$D$21+$D$4038/Inputs!$D$22)</f>
        <v>13180.207840697982</v>
      </c>
      <c r="J4018" s="16">
        <f>J4017*($D$4037/Inputs!$D$21+$D$4038/Inputs!$D$22)</f>
        <v>13180.207840697982</v>
      </c>
      <c r="K4018" s="16">
        <f>K4017*($D$4037/Inputs!$D$21+$D$4038/Inputs!$D$22)</f>
        <v>13180.207840697982</v>
      </c>
      <c r="L4018" s="16">
        <f>L4017*($D$4037/Inputs!$D$21+$D$4038/Inputs!$D$22)</f>
        <v>13180.207840697982</v>
      </c>
      <c r="M4018" s="16">
        <f>M4017*($D$4037/Inputs!$D$21+$D$4038/Inputs!$D$22)</f>
        <v>13180.207840697982</v>
      </c>
    </row>
    <row r="4019" spans="2:13" ht="15" customHeight="1" x14ac:dyDescent="0.2">
      <c r="B4019" s="10" t="s">
        <v>898</v>
      </c>
      <c r="C4019" s="10" t="s">
        <v>110</v>
      </c>
      <c r="D4019" s="16">
        <f t="shared" ref="D4019:M4019" si="873">D4015*($D$4037+$D$4038)</f>
        <v>15560.968620146154</v>
      </c>
      <c r="E4019" s="16">
        <f t="shared" si="873"/>
        <v>20747.95816019487</v>
      </c>
      <c r="F4019" s="16">
        <f t="shared" si="873"/>
        <v>15560.968620146154</v>
      </c>
      <c r="G4019" s="16">
        <f t="shared" si="873"/>
        <v>0</v>
      </c>
      <c r="H4019" s="16">
        <f t="shared" si="873"/>
        <v>0</v>
      </c>
      <c r="I4019" s="16">
        <f t="shared" si="873"/>
        <v>0</v>
      </c>
      <c r="J4019" s="16">
        <f t="shared" si="873"/>
        <v>0</v>
      </c>
      <c r="K4019" s="16">
        <f t="shared" si="873"/>
        <v>0</v>
      </c>
      <c r="L4019" s="16">
        <f t="shared" si="873"/>
        <v>0</v>
      </c>
      <c r="M4019" s="16">
        <f t="shared" si="873"/>
        <v>0</v>
      </c>
    </row>
    <row r="4020" spans="2:13" ht="15" customHeight="1" x14ac:dyDescent="0.2">
      <c r="B4020" s="10" t="s">
        <v>899</v>
      </c>
      <c r="C4020" s="10" t="s">
        <v>110</v>
      </c>
      <c r="D4020" s="16">
        <f t="shared" ref="D4020:M4020" si="874">D4016*$D$4037</f>
        <v>0</v>
      </c>
      <c r="E4020" s="16">
        <f t="shared" si="874"/>
        <v>0</v>
      </c>
      <c r="F4020" s="16">
        <f t="shared" si="874"/>
        <v>0</v>
      </c>
      <c r="G4020" s="16">
        <f t="shared" si="874"/>
        <v>2638.0048485671714</v>
      </c>
      <c r="H4020" s="16">
        <f t="shared" si="874"/>
        <v>14881.788221808281</v>
      </c>
      <c r="I4020" s="16">
        <f t="shared" si="874"/>
        <v>19842.384295744378</v>
      </c>
      <c r="J4020" s="16">
        <f t="shared" si="874"/>
        <v>14881.788221808281</v>
      </c>
      <c r="K4020" s="16">
        <f t="shared" si="874"/>
        <v>2638.0048485671714</v>
      </c>
      <c r="L4020" s="16">
        <f t="shared" si="874"/>
        <v>14881.788221808281</v>
      </c>
      <c r="M4020" s="16">
        <f t="shared" si="874"/>
        <v>19842.384295744378</v>
      </c>
    </row>
    <row r="4021" spans="2:13" ht="15" customHeight="1" x14ac:dyDescent="0.2">
      <c r="B4021" s="10" t="s">
        <v>900</v>
      </c>
      <c r="C4021" s="10" t="s">
        <v>199</v>
      </c>
      <c r="D4021" s="28">
        <f>D4015*Inputs!$D$23</f>
        <v>6.4875000000000007</v>
      </c>
      <c r="E4021" s="28">
        <f>E4015*Inputs!$D$23</f>
        <v>8.65</v>
      </c>
      <c r="F4021" s="28">
        <f>F4015*Inputs!$D$23</f>
        <v>6.4875000000000007</v>
      </c>
      <c r="G4021" s="28">
        <f>G4015*Inputs!$D$23</f>
        <v>0</v>
      </c>
      <c r="H4021" s="28">
        <f>H4015*Inputs!$D$23</f>
        <v>0</v>
      </c>
      <c r="I4021" s="28">
        <f>I4015*Inputs!$D$23</f>
        <v>0</v>
      </c>
      <c r="J4021" s="28">
        <f>J4015*Inputs!$D$23</f>
        <v>0</v>
      </c>
      <c r="K4021" s="28">
        <f>K4015*Inputs!$D$23</f>
        <v>0</v>
      </c>
      <c r="L4021" s="28">
        <f>L4015*Inputs!$D$23</f>
        <v>0</v>
      </c>
      <c r="M4021" s="28">
        <f>M4015*Inputs!$D$23</f>
        <v>0</v>
      </c>
    </row>
    <row r="4022" spans="2:13" ht="15" customHeight="1" x14ac:dyDescent="0.2">
      <c r="B4022" s="3" t="s">
        <v>901</v>
      </c>
      <c r="C4022" s="10" t="s">
        <v>896</v>
      </c>
      <c r="D4022" s="28">
        <f>(D4017*$D$4035*(Inputs!$D$7-Inputs!$D$19)-D4021)/(Inputs!$D$7+$D$4036)^D4010</f>
        <v>43.213488846686175</v>
      </c>
      <c r="E4022" s="28">
        <f>(E4017*$D$4035*(Inputs!$D$7-Inputs!$D$19)-E4021)/(Inputs!$D$7+$D$4036)^E4010</f>
        <v>163.29332190458183</v>
      </c>
      <c r="F4022" s="28">
        <f>(F4017*$D$4035*(Inputs!$D$7-Inputs!$D$19)-F4021)/(Inputs!$D$7+$D$4036)^F4010</f>
        <v>248.28260771010829</v>
      </c>
      <c r="G4022" s="28">
        <f>(G4017*$D$4035*(Inputs!$D$7-Inputs!$D$19)-G4021)/(Inputs!$D$7+$D$4036)^G4010</f>
        <v>268.5238926419492</v>
      </c>
      <c r="H4022" s="28">
        <f>(H4017*$D$4035*(Inputs!$D$7-Inputs!$D$19)-H4021)/(Inputs!$D$7+$D$4036)^H4010</f>
        <v>244.12855518959191</v>
      </c>
      <c r="I4022" s="28">
        <f>(I4017*$D$4035*(Inputs!$D$7-Inputs!$D$19)-I4021)/(Inputs!$D$7+$D$4036)^I4010</f>
        <v>221.8916197826434</v>
      </c>
      <c r="J4022" s="28">
        <f>(J4017*$D$4035*(Inputs!$D$7-Inputs!$D$19)-J4021)/(Inputs!$D$7+$D$4036)^J4010</f>
        <v>201.73281421346593</v>
      </c>
      <c r="K4022" s="28">
        <f>(K4017*$D$4035*(Inputs!$D$7-Inputs!$D$19)-K4021)/(Inputs!$D$7+$D$4036)^K4010</f>
        <v>183.40543176145695</v>
      </c>
      <c r="L4022" s="28">
        <f>(L4017*$D$4035*(Inputs!$D$7-Inputs!$D$19)-L4021)/(Inputs!$D$7+$D$4036)^L4010</f>
        <v>166.74308803332551</v>
      </c>
      <c r="M4022" s="28">
        <f>(M4017*$D$4035*(Inputs!$D$7-Inputs!$D$19)-M4021)/(Inputs!$D$7+$D$4036)^M4010</f>
        <v>151.55496194429571</v>
      </c>
    </row>
    <row r="4023" spans="2:13" ht="15" customHeight="1" x14ac:dyDescent="0.2">
      <c r="B4023" s="10" t="s">
        <v>902</v>
      </c>
      <c r="C4023" s="10" t="s">
        <v>110</v>
      </c>
      <c r="D4023" s="16">
        <f>(D4018*Inputs!$D$19-D4019-D4020)/(Inputs!$D$7+$D$4036)^D4010</f>
        <v>-14027.24269342025</v>
      </c>
      <c r="E4023" s="16">
        <f>(E4018*Inputs!$D$19-E4019-E4020)/(Inputs!$D$7+$D$4036)^E4010</f>
        <v>-15853.087323826181</v>
      </c>
      <c r="F4023" s="16">
        <f>(F4018*Inputs!$D$19-F4019-F4020)/(Inputs!$D$7+$D$4036)^F4010</f>
        <v>-9394.4767487293357</v>
      </c>
      <c r="G4023" s="16">
        <f>(G4018*Inputs!$D$19-G4019-G4020)/(Inputs!$D$7+$D$4036)^G4010</f>
        <v>923.61320322684639</v>
      </c>
      <c r="H4023" s="16">
        <f>(H4018*Inputs!$D$19-H4019-H4020)/(Inputs!$D$7+$D$4036)^H4010</f>
        <v>-6972.3744918015345</v>
      </c>
      <c r="I4023" s="16">
        <f>(I4018*Inputs!$D$19-I4019-I4020)/(Inputs!$D$7+$D$4036)^I4010</f>
        <v>-9214.0648467907959</v>
      </c>
      <c r="J4023" s="16">
        <f>(J4018*Inputs!$D$19-J4019-J4020)/(Inputs!$D$7+$D$4036)^J4010</f>
        <v>-5761.5411965591911</v>
      </c>
      <c r="K4023" s="16">
        <f>(K4018*Inputs!$D$19-K4019-K4020)/(Inputs!$D$7+$D$4036)^K4010</f>
        <v>630.8402453567694</v>
      </c>
      <c r="L4023" s="16">
        <f>(L4018*Inputs!$D$19-L4019-L4020)/(Inputs!$D$7+$D$4036)^L4010</f>
        <v>-4762.2255937446444</v>
      </c>
      <c r="M4023" s="16">
        <f>(M4018*Inputs!$D$19-M4019-M4020)/(Inputs!$D$7+$D$4036)^M4010</f>
        <v>-6293.3302689644106</v>
      </c>
    </row>
    <row r="4024" spans="2:13" ht="15" customHeight="1" x14ac:dyDescent="0.2">
      <c r="B4024" s="10" t="s">
        <v>903</v>
      </c>
      <c r="C4024" s="10" t="s">
        <v>110</v>
      </c>
      <c r="D4024" s="16">
        <f t="shared" ref="D4024:M4024" si="875">D4017*$D$4034</f>
        <v>5417.4798956980303</v>
      </c>
      <c r="E4024" s="16">
        <f t="shared" si="875"/>
        <v>20641.137838729974</v>
      </c>
      <c r="F4024" s="16">
        <f t="shared" si="875"/>
        <v>33700.917317675638</v>
      </c>
      <c r="G4024" s="16">
        <f t="shared" si="875"/>
        <v>39297.965665795207</v>
      </c>
      <c r="H4024" s="16">
        <f t="shared" si="875"/>
        <v>39297.965665795207</v>
      </c>
      <c r="I4024" s="16">
        <f t="shared" si="875"/>
        <v>39297.965665795207</v>
      </c>
      <c r="J4024" s="16">
        <f t="shared" si="875"/>
        <v>39297.965665795207</v>
      </c>
      <c r="K4024" s="16">
        <f t="shared" si="875"/>
        <v>39297.965665795207</v>
      </c>
      <c r="L4024" s="16">
        <f t="shared" si="875"/>
        <v>39297.965665795207</v>
      </c>
      <c r="M4024" s="16">
        <f t="shared" si="875"/>
        <v>39297.965665795207</v>
      </c>
    </row>
    <row r="4025" spans="2:13" ht="15" customHeight="1" x14ac:dyDescent="0.2">
      <c r="B4025" s="10" t="s">
        <v>904</v>
      </c>
      <c r="C4025" s="10" t="s">
        <v>110</v>
      </c>
      <c r="D4025" s="16">
        <f t="shared" ref="D4025:M4025" si="876">D4024*$D$4035</f>
        <v>3250.4879374188181</v>
      </c>
      <c r="E4025" s="16">
        <f t="shared" si="876"/>
        <v>12384.682703237984</v>
      </c>
      <c r="F4025" s="16">
        <f t="shared" si="876"/>
        <v>20220.550390605382</v>
      </c>
      <c r="G4025" s="16">
        <f t="shared" si="876"/>
        <v>23578.779399477124</v>
      </c>
      <c r="H4025" s="16">
        <f t="shared" si="876"/>
        <v>23578.779399477124</v>
      </c>
      <c r="I4025" s="16">
        <f t="shared" si="876"/>
        <v>23578.779399477124</v>
      </c>
      <c r="J4025" s="16">
        <f t="shared" si="876"/>
        <v>23578.779399477124</v>
      </c>
      <c r="K4025" s="16">
        <f t="shared" si="876"/>
        <v>23578.779399477124</v>
      </c>
      <c r="L4025" s="16">
        <f t="shared" si="876"/>
        <v>23578.779399477124</v>
      </c>
      <c r="M4025" s="16">
        <f t="shared" si="876"/>
        <v>23578.779399477124</v>
      </c>
    </row>
    <row r="4026" spans="2:13" ht="15" customHeight="1" x14ac:dyDescent="0.2">
      <c r="B4026" s="10" t="s">
        <v>905</v>
      </c>
      <c r="C4026" s="10" t="s">
        <v>110</v>
      </c>
      <c r="D4026" s="16">
        <f t="shared" ref="D4026:M4026" si="877">D4025-D4018</f>
        <v>1433.5106514863762</v>
      </c>
      <c r="E4026" s="16">
        <f t="shared" si="877"/>
        <v>5461.8183214882756</v>
      </c>
      <c r="F4026" s="16">
        <f t="shared" si="877"/>
        <v>8917.5455875918815</v>
      </c>
      <c r="G4026" s="16">
        <f t="shared" si="877"/>
        <v>10398.571558779142</v>
      </c>
      <c r="H4026" s="16">
        <f t="shared" si="877"/>
        <v>10398.571558779142</v>
      </c>
      <c r="I4026" s="16">
        <f t="shared" si="877"/>
        <v>10398.571558779142</v>
      </c>
      <c r="J4026" s="16">
        <f t="shared" si="877"/>
        <v>10398.571558779142</v>
      </c>
      <c r="K4026" s="16">
        <f t="shared" si="877"/>
        <v>10398.571558779142</v>
      </c>
      <c r="L4026" s="16">
        <f t="shared" si="877"/>
        <v>10398.571558779142</v>
      </c>
      <c r="M4026" s="16">
        <f t="shared" si="877"/>
        <v>10398.571558779142</v>
      </c>
    </row>
    <row r="4027" spans="2:13" ht="15" customHeight="1" x14ac:dyDescent="0.2">
      <c r="B4027" s="10" t="s">
        <v>906</v>
      </c>
      <c r="C4027" s="10" t="s">
        <v>110</v>
      </c>
      <c r="D4027" s="16">
        <f>MAX(D4026,Inputs!$D$6)*Inputs!$D$19</f>
        <v>430.05319544591288</v>
      </c>
      <c r="E4027" s="16">
        <f>MAX(E4026,Inputs!$D$6)*Inputs!$D$19</f>
        <v>1638.5454964464827</v>
      </c>
      <c r="F4027" s="16">
        <f>MAX(F4026,Inputs!$D$6)*Inputs!$D$19</f>
        <v>2675.2636762775642</v>
      </c>
      <c r="G4027" s="16">
        <f>MAX(G4026,Inputs!$D$6)*Inputs!$D$19</f>
        <v>3119.5714676337425</v>
      </c>
      <c r="H4027" s="16">
        <f>MAX(H4026,Inputs!$D$6)*Inputs!$D$19</f>
        <v>3119.5714676337425</v>
      </c>
      <c r="I4027" s="16">
        <f>MAX(I4026,Inputs!$D$6)*Inputs!$D$19</f>
        <v>3119.5714676337425</v>
      </c>
      <c r="J4027" s="16">
        <f>MAX(J4026,Inputs!$D$6)*Inputs!$D$19</f>
        <v>3119.5714676337425</v>
      </c>
      <c r="K4027" s="16">
        <f>MAX(K4026,Inputs!$D$6)*Inputs!$D$19</f>
        <v>3119.5714676337425</v>
      </c>
      <c r="L4027" s="16">
        <f>MAX(L4026,Inputs!$D$6)*Inputs!$D$19</f>
        <v>3119.5714676337425</v>
      </c>
      <c r="M4027" s="16">
        <f>MAX(M4026,Inputs!$D$6)*Inputs!$D$19</f>
        <v>3119.5714676337425</v>
      </c>
    </row>
    <row r="4028" spans="2:13" ht="15" customHeight="1" x14ac:dyDescent="0.2">
      <c r="B4028" s="10" t="s">
        <v>907</v>
      </c>
      <c r="C4028" s="10" t="s">
        <v>110</v>
      </c>
      <c r="D4028" s="16">
        <f t="shared" ref="D4028:M4028" si="878">D4021*$D$4034</f>
        <v>279.85241740597854</v>
      </c>
      <c r="E4028" s="16">
        <f t="shared" si="878"/>
        <v>373.13655654130469</v>
      </c>
      <c r="F4028" s="16">
        <f t="shared" si="878"/>
        <v>279.85241740597854</v>
      </c>
      <c r="G4028" s="16">
        <f t="shared" si="878"/>
        <v>0</v>
      </c>
      <c r="H4028" s="16">
        <f t="shared" si="878"/>
        <v>0</v>
      </c>
      <c r="I4028" s="16">
        <f t="shared" si="878"/>
        <v>0</v>
      </c>
      <c r="J4028" s="16">
        <f t="shared" si="878"/>
        <v>0</v>
      </c>
      <c r="K4028" s="16">
        <f t="shared" si="878"/>
        <v>0</v>
      </c>
      <c r="L4028" s="16">
        <f t="shared" si="878"/>
        <v>0</v>
      </c>
      <c r="M4028" s="16">
        <f t="shared" si="878"/>
        <v>0</v>
      </c>
    </row>
    <row r="4029" spans="2:13" ht="15" customHeight="1" x14ac:dyDescent="0.2">
      <c r="B4029" s="10" t="s">
        <v>908</v>
      </c>
      <c r="C4029" s="10" t="s">
        <v>110</v>
      </c>
      <c r="D4029" s="16">
        <f t="shared" ref="D4029:M4029" si="879">D4025-D4027-D4019-D4020-D4028</f>
        <v>-13020.386295579226</v>
      </c>
      <c r="E4029" s="16">
        <f t="shared" si="879"/>
        <v>-10374.957509944674</v>
      </c>
      <c r="F4029" s="16">
        <f t="shared" si="879"/>
        <v>1704.4656767756842</v>
      </c>
      <c r="G4029" s="16">
        <f t="shared" si="879"/>
        <v>17821.20308327621</v>
      </c>
      <c r="H4029" s="16">
        <f t="shared" si="879"/>
        <v>5577.4197100351012</v>
      </c>
      <c r="I4029" s="16">
        <f t="shared" si="879"/>
        <v>616.82363609900494</v>
      </c>
      <c r="J4029" s="16">
        <f t="shared" si="879"/>
        <v>5577.4197100351012</v>
      </c>
      <c r="K4029" s="16">
        <f t="shared" si="879"/>
        <v>17821.20308327621</v>
      </c>
      <c r="L4029" s="16">
        <f t="shared" si="879"/>
        <v>5577.4197100351012</v>
      </c>
      <c r="M4029" s="16">
        <f t="shared" si="879"/>
        <v>616.82363609900494</v>
      </c>
    </row>
    <row r="4030" spans="2:13" ht="15" customHeight="1" x14ac:dyDescent="0.2">
      <c r="B4030" s="10" t="s">
        <v>909</v>
      </c>
      <c r="C4030" s="10" t="s">
        <v>110</v>
      </c>
      <c r="D4030" s="16">
        <f>D4029/(Inputs!$D$7+$D$4036)^D4010</f>
        <v>-12163.13489869325</v>
      </c>
      <c r="E4030" s="16">
        <f>E4029/(Inputs!$D$7+$D$4036)^E4010</f>
        <v>-8809.0748565815029</v>
      </c>
      <c r="F4030" s="16">
        <f>F4029/(Inputs!$D$7+$D$4036)^F4010</f>
        <v>1315.733342605391</v>
      </c>
      <c r="G4030" s="16">
        <f>G4029/(Inputs!$D$7+$D$4036)^G4010</f>
        <v>12506.975128022674</v>
      </c>
      <c r="H4030" s="16">
        <f>H4029/(Inputs!$D$7+$D$4036)^H4010</f>
        <v>3558.6415124583709</v>
      </c>
      <c r="I4030" s="16">
        <f>I4029/(Inputs!$D$7+$D$4036)^I4010</f>
        <v>357.71260188758561</v>
      </c>
      <c r="J4030" s="16">
        <f>J4029/(Inputs!$D$7+$D$4036)^J4010</f>
        <v>2940.6423452904555</v>
      </c>
      <c r="K4030" s="16">
        <f>K4029/(Inputs!$D$7+$D$4036)^K4010</f>
        <v>8542.4322983557613</v>
      </c>
      <c r="L4030" s="16">
        <f>L4029/(Inputs!$D$7+$D$4036)^L4010</f>
        <v>2430.6000358297729</v>
      </c>
      <c r="M4030" s="16">
        <f>M4029/(Inputs!$D$7+$D$4036)^M4010</f>
        <v>244.3225202428697</v>
      </c>
    </row>
    <row r="4031" spans="2:13" ht="15" customHeight="1" x14ac:dyDescent="0.2">
      <c r="B4031" s="3" t="s">
        <v>910</v>
      </c>
      <c r="C4031" s="10" t="s">
        <v>896</v>
      </c>
      <c r="D4031" s="28">
        <f>(D4017*$D$4035-D4021)/(Inputs!$D$7+$D$4036)^D4010</f>
        <v>64.330856237917445</v>
      </c>
      <c r="E4031" s="28">
        <f>(E4017*$D$4035-E4021)/(Inputs!$D$7+$D$4036)^E4010</f>
        <v>236.42380139523098</v>
      </c>
      <c r="F4031" s="28">
        <f>(F4017*$D$4035-F4021)/(Inputs!$D$7+$D$4036)^F4010</f>
        <v>356.83568908039001</v>
      </c>
      <c r="G4031" s="28">
        <f>(G4017*$D$4035-G4021)/(Inputs!$D$7+$D$4036)^G4010</f>
        <v>383.60556091707036</v>
      </c>
      <c r="H4031" s="28">
        <f>(H4017*$D$4035-H4021)/(Inputs!$D$7+$D$4036)^H4010</f>
        <v>348.75507884227414</v>
      </c>
      <c r="I4031" s="28">
        <f>(I4017*$D$4035-I4021)/(Inputs!$D$7+$D$4036)^I4010</f>
        <v>316.98802826091918</v>
      </c>
      <c r="J4031" s="28">
        <f>(J4017*$D$4035-J4021)/(Inputs!$D$7+$D$4036)^J4010</f>
        <v>288.18973459066564</v>
      </c>
      <c r="K4031" s="28">
        <f>(K4017*$D$4035-K4021)/(Inputs!$D$7+$D$4036)^K4010</f>
        <v>262.00775965922423</v>
      </c>
      <c r="L4031" s="28">
        <f>(L4017*$D$4035-L4021)/(Inputs!$D$7+$D$4036)^L4010</f>
        <v>238.2044114761793</v>
      </c>
      <c r="M4031" s="28">
        <f>(M4017*$D$4035-M4021)/(Inputs!$D$7+$D$4036)^M4010</f>
        <v>216.50708849185102</v>
      </c>
    </row>
    <row r="4032" spans="2:13" ht="15" customHeight="1" x14ac:dyDescent="0.2">
      <c r="B4032" s="10" t="s">
        <v>911</v>
      </c>
      <c r="C4032" s="10" t="s">
        <v>110</v>
      </c>
      <c r="D4032" s="16">
        <f>(-D4019-D4020)/(Inputs!$D$7+$D$4036)^D4010</f>
        <v>-14536.447397527105</v>
      </c>
      <c r="E4032" s="16">
        <f>(-E4019-E4020)/(Inputs!$D$7+$D$4036)^E4010</f>
        <v>-17616.488200475756</v>
      </c>
      <c r="F4032" s="16">
        <f>(-F4019-F4020)/(Inputs!$D$7+$D$4036)^F4010</f>
        <v>-12012.025548964448</v>
      </c>
      <c r="G4032" s="16">
        <f>(-G4019-G4020)/(Inputs!$D$7+$D$4036)^G4010</f>
        <v>-1851.359915178487</v>
      </c>
      <c r="H4032" s="16">
        <f>(-H4019-H4020)/(Inputs!$D$7+$D$4036)^H4010</f>
        <v>-9495.2419037884629</v>
      </c>
      <c r="I4032" s="16">
        <f>(-I4019-I4020)/(Inputs!$D$7+$D$4036)^I4010</f>
        <v>-11507.131858586603</v>
      </c>
      <c r="J4032" s="16">
        <f>(-J4019-J4020)/(Inputs!$D$7+$D$4036)^J4010</f>
        <v>-7846.2835672839774</v>
      </c>
      <c r="K4032" s="16">
        <f>(-K4019-K4020)/(Inputs!$D$7+$D$4036)^K4010</f>
        <v>-1264.5037327904422</v>
      </c>
      <c r="L4032" s="16">
        <f>(-L4019-L4020)/(Inputs!$D$7+$D$4036)^L4010</f>
        <v>-6485.3779822337692</v>
      </c>
      <c r="M4032" s="16">
        <f>(-M4019-M4020)/(Inputs!$D$7+$D$4036)^M4010</f>
        <v>-7859.5258920747219</v>
      </c>
    </row>
    <row r="4033" spans="2:13" ht="15" customHeight="1" x14ac:dyDescent="0.2">
      <c r="B4033" s="10" t="s">
        <v>912</v>
      </c>
      <c r="C4033" s="10" t="s">
        <v>110</v>
      </c>
      <c r="D4033" s="16">
        <f>Prices!K20</f>
        <v>42986.101160624734</v>
      </c>
    </row>
    <row r="4034" spans="2:13" ht="15" customHeight="1" x14ac:dyDescent="0.2">
      <c r="B4034" s="3" t="s">
        <v>913</v>
      </c>
      <c r="C4034" s="10" t="s">
        <v>914</v>
      </c>
      <c r="D4034" s="28">
        <f>IF(J4041&gt;=J4037,J4041,(D4033-J4040)/J4039)</f>
        <v>43.137174166624817</v>
      </c>
      <c r="G4034" s="99" t="s">
        <v>915</v>
      </c>
      <c r="H4034" s="91"/>
      <c r="I4034" s="91"/>
      <c r="J4034" s="28">
        <f>D4034*Inputs!$D$15</f>
        <v>30.105433850887458</v>
      </c>
      <c r="K4034" s="99" t="s">
        <v>916</v>
      </c>
      <c r="L4034" s="91"/>
      <c r="M4034" s="91"/>
    </row>
    <row r="4035" spans="2:13" ht="15" customHeight="1" x14ac:dyDescent="0.2">
      <c r="B4035" s="10" t="s">
        <v>917</v>
      </c>
      <c r="C4035" s="10" t="s">
        <v>104</v>
      </c>
      <c r="D4035" s="30">
        <f>Inputs!$D$81</f>
        <v>0.6</v>
      </c>
      <c r="G4035" s="99" t="s">
        <v>918</v>
      </c>
      <c r="H4035" s="91"/>
      <c r="I4035" s="91"/>
      <c r="J4035" s="28">
        <f>IF(-D4046/D4045&gt;=J4037,-D4046/D4045,-J4040/J4039)</f>
        <v>32.284876648616972</v>
      </c>
      <c r="K4035" s="99" t="s">
        <v>919</v>
      </c>
      <c r="L4035" s="91"/>
      <c r="M4035" s="91"/>
    </row>
    <row r="4036" spans="2:13" ht="15" customHeight="1" x14ac:dyDescent="0.2">
      <c r="B4036" s="10" t="s">
        <v>920</v>
      </c>
      <c r="C4036" s="10" t="s">
        <v>104</v>
      </c>
      <c r="D4036" s="30">
        <f>Inputs!$D$82</f>
        <v>0.1</v>
      </c>
      <c r="G4036" s="99" t="s">
        <v>918</v>
      </c>
      <c r="H4036" s="91"/>
      <c r="I4036" s="91"/>
      <c r="J4036" s="28">
        <f>J4035*Inputs!$D$15</f>
        <v>22.531615413069783</v>
      </c>
      <c r="K4036" s="99" t="s">
        <v>916</v>
      </c>
      <c r="L4036" s="91"/>
      <c r="M4036" s="91"/>
    </row>
    <row r="4037" spans="2:13" ht="15" customHeight="1" x14ac:dyDescent="0.2">
      <c r="B4037" s="3" t="s">
        <v>921</v>
      </c>
      <c r="C4037" s="10" t="s">
        <v>848</v>
      </c>
      <c r="D4037" s="28">
        <f>Capital!$D$13</f>
        <v>57.347931490590682</v>
      </c>
      <c r="G4037" s="99" t="s">
        <v>922</v>
      </c>
      <c r="H4037" s="91"/>
      <c r="I4037" s="91"/>
      <c r="J4037" s="28">
        <f>($D$4037/Inputs!$D$21+$D$4038/Inputs!$D$22)/$D$4035</f>
        <v>24.113076913095469</v>
      </c>
      <c r="K4037" s="99" t="s">
        <v>919</v>
      </c>
      <c r="L4037" s="91"/>
      <c r="M4037" s="91"/>
    </row>
    <row r="4038" spans="2:13" ht="15" customHeight="1" x14ac:dyDescent="0.2">
      <c r="B4038" s="3" t="s">
        <v>923</v>
      </c>
      <c r="C4038" s="10" t="s">
        <v>848</v>
      </c>
      <c r="D4038" s="28">
        <f>Capital!$D$14</f>
        <v>2.6172655041921802</v>
      </c>
    </row>
    <row r="4039" spans="2:13" ht="15" customHeight="1" x14ac:dyDescent="0.2">
      <c r="B4039" s="10" t="s">
        <v>924</v>
      </c>
      <c r="C4039" s="10" t="s">
        <v>896</v>
      </c>
      <c r="D4039" s="28">
        <f>(M4012*(Inputs!$D$7+Inputs!$D$20)*$D$4035*(Inputs!$D$7-Inputs!$D$19)-M4012*Inputs!$D$20*Inputs!$D$23)/($D$4036-Inputs!$D$20)/(Inputs!$D$7+$D$4036)^M4010</f>
        <v>2068.2441036763203</v>
      </c>
      <c r="G4039" s="92" t="s">
        <v>910</v>
      </c>
      <c r="H4039" s="91"/>
      <c r="I4039" s="91"/>
      <c r="J4039" s="28">
        <f>SUM(D4031:M4031)+(M4012*(Inputs!$D$7+Inputs!$D$20)*$D$4035-M4012*Inputs!$D$20*Inputs!$D$23)/($D$4036-Inputs!$D$20)/(Inputs!$D$7+$D$4036)^M4010</f>
        <v>5667.7711754446318</v>
      </c>
      <c r="K4039" s="99" t="s">
        <v>896</v>
      </c>
      <c r="L4039" s="91"/>
      <c r="M4039" s="91"/>
    </row>
    <row r="4040" spans="2:13" ht="15" customHeight="1" x14ac:dyDescent="0.2">
      <c r="B4040" s="10" t="s">
        <v>925</v>
      </c>
      <c r="C4040" s="10" t="s">
        <v>110</v>
      </c>
      <c r="D4040" s="16">
        <f>(D4043*Inputs!$D$19-D4043-D4044)/($D$4036-Inputs!$D$20)/(Inputs!$D$7+$D$4036)^M4010</f>
        <v>-57156.954988173631</v>
      </c>
      <c r="G4040" s="92" t="s">
        <v>926</v>
      </c>
      <c r="H4040" s="91"/>
      <c r="I4040" s="91"/>
      <c r="J4040" s="16">
        <f>SUM(D4032:M4032)-(D4043+D4044)/($D$4036-Inputs!$D$20)/(Inputs!$D$7+$D$4036)^M4010</f>
        <v>-169036.01450291832</v>
      </c>
      <c r="K4040" s="99" t="s">
        <v>110</v>
      </c>
      <c r="L4040" s="91"/>
      <c r="M4040" s="91"/>
    </row>
    <row r="4041" spans="2:13" ht="15" customHeight="1" x14ac:dyDescent="0.2">
      <c r="B4041" s="10" t="s">
        <v>927</v>
      </c>
      <c r="C4041" s="10" t="s">
        <v>928</v>
      </c>
      <c r="D4041" s="16">
        <f>(M4012*(Inputs!$D$7+Inputs!$D$20)*$D$4034*$D$4035-D4043)-MAX((M4012*(Inputs!$D$7+Inputs!$D$20)*$D$4034*$D$4035-D4043),Inputs!$D$6)*Inputs!$D$19-D4044-M4012*Inputs!$D$20*$D$4034*Inputs!$D$23</f>
        <v>6070.7065033267309</v>
      </c>
      <c r="G4041" s="99" t="s">
        <v>929</v>
      </c>
      <c r="H4041" s="91"/>
      <c r="I4041" s="91"/>
      <c r="J4041" s="28">
        <f>(D4033-D4046)/D4045</f>
        <v>43.137174166624817</v>
      </c>
      <c r="K4041" s="99" t="s">
        <v>919</v>
      </c>
      <c r="L4041" s="91"/>
      <c r="M4041" s="91"/>
    </row>
    <row r="4042" spans="2:13" ht="15" customHeight="1" x14ac:dyDescent="0.2">
      <c r="B4042" s="10" t="s">
        <v>930</v>
      </c>
      <c r="C4042" s="10" t="s">
        <v>110</v>
      </c>
      <c r="D4042" s="16">
        <f>D4041/($D$4036-Inputs!$D$20)</f>
        <v>80942.753377689733</v>
      </c>
      <c r="G4042" s="99" t="s">
        <v>931</v>
      </c>
      <c r="H4042" s="91"/>
      <c r="I4042" s="91"/>
      <c r="J4042" s="16">
        <f>MIN(D4026:M4026,(M4012*(Inputs!$D$7+Inputs!$D$20)*$D$4034*$D$4035-D4043))</f>
        <v>1433.5106514863762</v>
      </c>
      <c r="K4042" s="99" t="s">
        <v>110</v>
      </c>
      <c r="L4042" s="91"/>
      <c r="M4042" s="91"/>
    </row>
    <row r="4043" spans="2:13" ht="15" customHeight="1" x14ac:dyDescent="0.2">
      <c r="B4043" s="10" t="s">
        <v>932</v>
      </c>
      <c r="C4043" s="10" t="s">
        <v>928</v>
      </c>
      <c r="D4043" s="16">
        <f>M4012*(Inputs!$D$7+Inputs!$D$20)*($D$4037/Inputs!$D$21+$D$4038/Inputs!$D$22)</f>
        <v>13509.71303671543</v>
      </c>
      <c r="G4043" s="99" t="s">
        <v>933</v>
      </c>
      <c r="H4043" s="91"/>
      <c r="I4043" s="91"/>
      <c r="J4043" s="31" t="str">
        <f>IF(J4042&lt;Inputs!$D$6,"breached","satisfied")</f>
        <v>satisfied</v>
      </c>
      <c r="K4043" s="99" t="s">
        <v>934</v>
      </c>
      <c r="L4043" s="91"/>
      <c r="M4043" s="91"/>
    </row>
    <row r="4044" spans="2:13" ht="15" customHeight="1" x14ac:dyDescent="0.2">
      <c r="B4044" s="10" t="s">
        <v>935</v>
      </c>
      <c r="C4044" s="10" t="s">
        <v>928</v>
      </c>
      <c r="D4044" s="16">
        <f>M4012*Inputs!$D$20*($D$4037+$D$4038)</f>
        <v>1365.7073615561799</v>
      </c>
    </row>
    <row r="4045" spans="2:13" ht="15" customHeight="1" x14ac:dyDescent="0.2">
      <c r="B4045" s="10" t="s">
        <v>936</v>
      </c>
      <c r="C4045" s="10" t="s">
        <v>896</v>
      </c>
      <c r="D4045" s="28">
        <f>SUM(D4022:M4022)+D4039</f>
        <v>3961.0138857044249</v>
      </c>
      <c r="G4045" s="99" t="s">
        <v>937</v>
      </c>
      <c r="H4045" s="91"/>
      <c r="I4045" s="91"/>
      <c r="J4045" s="16">
        <f>D4047-D4033</f>
        <v>0</v>
      </c>
      <c r="K4045" s="99" t="s">
        <v>110</v>
      </c>
      <c r="L4045" s="91"/>
      <c r="M4045" s="91"/>
    </row>
    <row r="4046" spans="2:13" ht="15" customHeight="1" x14ac:dyDescent="0.2">
      <c r="B4046" s="10" t="s">
        <v>938</v>
      </c>
      <c r="C4046" s="10" t="s">
        <v>110</v>
      </c>
      <c r="D4046" s="16">
        <f>SUM(D4023:M4023)+D4040</f>
        <v>-127880.84470342637</v>
      </c>
    </row>
    <row r="4047" spans="2:13" ht="15" customHeight="1" x14ac:dyDescent="0.2">
      <c r="B4047" s="10" t="s">
        <v>939</v>
      </c>
      <c r="C4047" s="10" t="s">
        <v>110</v>
      </c>
      <c r="D4047" s="16">
        <f>SUM(D4030:M4030)+D4042/(Inputs!$D$7+$D$4036)^M4010</f>
        <v>42986.101160624763</v>
      </c>
    </row>
    <row r="4048" spans="2:13" ht="15" customHeight="1" x14ac:dyDescent="0.2">
      <c r="B4048" s="10" t="s">
        <v>940</v>
      </c>
      <c r="C4048" s="10" t="s">
        <v>104</v>
      </c>
      <c r="D4048" s="30">
        <f>IF(ABS(D4033)&gt;Inputs!$D$6,D4047/D4033-Inputs!$D$7,Inputs!$D$6)</f>
        <v>6.6613381477509392E-16</v>
      </c>
    </row>
    <row r="4049" spans="1:13" ht="15" customHeight="1" x14ac:dyDescent="0.2">
      <c r="B4049" s="10" t="s">
        <v>941</v>
      </c>
      <c r="C4049" s="10" t="s">
        <v>104</v>
      </c>
      <c r="D4049" s="30">
        <f>IF(ABS(D4047)&gt;Inputs!$D$119,D4042/(Inputs!$D$7+$D$4036)^M4010/D4047,Inputs!$D$6)</f>
        <v>0.74585157214896969</v>
      </c>
    </row>
    <row r="4050" spans="1:13" ht="15" customHeight="1" x14ac:dyDescent="0.2">
      <c r="B4050" s="10" t="s">
        <v>942</v>
      </c>
      <c r="C4050" s="10" t="s">
        <v>943</v>
      </c>
      <c r="D4050" s="26">
        <f>$D$4034*Inputs!$D$8/Prices!$P$6/(Inputs!$D$26/Inputs!$D$25)/Inputs!$D$11/Inputs!$D$56</f>
        <v>7.8446261523307115</v>
      </c>
    </row>
    <row r="4054" spans="1:13" ht="15" customHeight="1" x14ac:dyDescent="0.2">
      <c r="A4054" s="104" t="s">
        <v>1031</v>
      </c>
      <c r="B4054" s="10" t="s">
        <v>886</v>
      </c>
      <c r="C4054" s="10" t="s">
        <v>107</v>
      </c>
      <c r="D4054" s="28">
        <f>Inputs!$D$60</f>
        <v>1</v>
      </c>
      <c r="E4054" s="28">
        <f>Inputs!$D$62</f>
        <v>2</v>
      </c>
      <c r="F4054" s="28">
        <f>Inputs!$D$64</f>
        <v>3</v>
      </c>
      <c r="G4054" s="28">
        <f>Inputs!$D$66</f>
        <v>4</v>
      </c>
      <c r="H4054" s="28">
        <f>Inputs!$D$68</f>
        <v>5</v>
      </c>
      <c r="I4054" s="28">
        <f>Inputs!$D$70</f>
        <v>6</v>
      </c>
      <c r="J4054" s="28">
        <f>Inputs!$D$72</f>
        <v>7</v>
      </c>
      <c r="K4054" s="28">
        <f>Inputs!$D$74</f>
        <v>8</v>
      </c>
      <c r="L4054" s="28">
        <f>Inputs!$D$76</f>
        <v>9</v>
      </c>
      <c r="M4054" s="28">
        <f>Inputs!$D$78</f>
        <v>10</v>
      </c>
    </row>
    <row r="4055" spans="1:13" ht="15" customHeight="1" x14ac:dyDescent="0.2">
      <c r="A4055" s="91"/>
      <c r="B4055" s="10" t="s">
        <v>887</v>
      </c>
      <c r="C4055" s="10" t="s">
        <v>161</v>
      </c>
      <c r="D4055" s="29">
        <f>Inputs!$D$61</f>
        <v>46568</v>
      </c>
      <c r="E4055" s="29">
        <f>Inputs!$D$63</f>
        <v>46934</v>
      </c>
      <c r="F4055" s="29">
        <f>Inputs!$D$65</f>
        <v>47299</v>
      </c>
      <c r="G4055" s="29">
        <f>Inputs!$D$67</f>
        <v>47664</v>
      </c>
      <c r="H4055" s="29">
        <f>Inputs!$D$69</f>
        <v>48029</v>
      </c>
      <c r="I4055" s="29">
        <f>Inputs!$D$71</f>
        <v>48395</v>
      </c>
      <c r="J4055" s="29">
        <f>Inputs!$D$73</f>
        <v>48760</v>
      </c>
      <c r="K4055" s="29">
        <f>Inputs!$D$75</f>
        <v>49125</v>
      </c>
      <c r="L4055" s="29">
        <f>Inputs!$D$77</f>
        <v>49490</v>
      </c>
      <c r="M4055" s="29">
        <f>Inputs!$D$79</f>
        <v>49856</v>
      </c>
    </row>
    <row r="4056" spans="1:13" ht="15" customHeight="1" x14ac:dyDescent="0.2">
      <c r="A4056" s="91"/>
      <c r="B4056" s="10" t="s">
        <v>888</v>
      </c>
      <c r="C4056" s="10" t="s">
        <v>107</v>
      </c>
      <c r="D4056" s="28">
        <f>(D4055-Inputs!$D$13)/Inputs!$D$10</f>
        <v>0.71457905544147848</v>
      </c>
      <c r="E4056" s="28">
        <f>(E4055-Inputs!$D$13)/Inputs!$D$10</f>
        <v>1.7166324435318274</v>
      </c>
      <c r="F4056" s="28">
        <f>(F4055-Inputs!$D$13)/Inputs!$D$10</f>
        <v>2.7159479808350446</v>
      </c>
      <c r="G4056" s="28">
        <f>(G4055-Inputs!$D$13)/Inputs!$D$10</f>
        <v>3.7152635181382614</v>
      </c>
      <c r="H4056" s="28">
        <f>(H4055-Inputs!$D$13)/Inputs!$D$10</f>
        <v>4.7145790554414786</v>
      </c>
      <c r="I4056" s="28">
        <f>(I4055-Inputs!$D$13)/Inputs!$D$10</f>
        <v>5.7166324435318279</v>
      </c>
      <c r="J4056" s="28">
        <f>(J4055-Inputs!$D$13)/Inputs!$D$10</f>
        <v>6.7159479808350442</v>
      </c>
      <c r="K4056" s="28">
        <f>(K4055-Inputs!$D$13)/Inputs!$D$10</f>
        <v>7.7152635181382614</v>
      </c>
      <c r="L4056" s="28">
        <f>(L4055-Inputs!$D$13)/Inputs!$D$10</f>
        <v>8.7145790554414777</v>
      </c>
      <c r="M4056" s="28">
        <f>(M4055-Inputs!$D$13)/Inputs!$D$10</f>
        <v>9.716632443531827</v>
      </c>
    </row>
    <row r="4057" spans="1:13" ht="15" customHeight="1" x14ac:dyDescent="0.2">
      <c r="A4057" s="91"/>
      <c r="B4057" s="10" t="s">
        <v>889</v>
      </c>
      <c r="C4057" s="10" t="s">
        <v>107</v>
      </c>
      <c r="D4057" s="28">
        <f>D4056</f>
        <v>0.71457905544147848</v>
      </c>
      <c r="E4057" s="28">
        <f>Inputs!$D$7</f>
        <v>1</v>
      </c>
      <c r="F4057" s="28">
        <f>Inputs!$D$7</f>
        <v>1</v>
      </c>
      <c r="G4057" s="28">
        <f>Inputs!$D$7</f>
        <v>1</v>
      </c>
      <c r="H4057" s="28">
        <f>Inputs!$D$7</f>
        <v>1</v>
      </c>
      <c r="I4057" s="28">
        <f>Inputs!$D$7</f>
        <v>1</v>
      </c>
      <c r="J4057" s="28">
        <f>Inputs!$D$7</f>
        <v>1</v>
      </c>
      <c r="K4057" s="28">
        <f>Inputs!$D$7</f>
        <v>1</v>
      </c>
      <c r="L4057" s="28">
        <f>Inputs!$D$7</f>
        <v>1</v>
      </c>
      <c r="M4057" s="28">
        <f>Inputs!$D$7</f>
        <v>1</v>
      </c>
    </row>
    <row r="4058" spans="1:13" ht="15" customHeight="1" x14ac:dyDescent="0.2">
      <c r="A4058" s="91"/>
      <c r="B4058" s="3" t="s">
        <v>890</v>
      </c>
      <c r="C4058" s="10" t="s">
        <v>199</v>
      </c>
      <c r="D4058" s="28">
        <f>Inputs!$D$24+(Inputs!$D$93-Inputs!$D$24)*Inputs!$D$96</f>
        <v>279.10000000000002</v>
      </c>
      <c r="E4058" s="28">
        <f>Inputs!$D$24+(Inputs!$D$93-Inputs!$D$24)*Inputs!$D$97</f>
        <v>900.7</v>
      </c>
      <c r="F4058" s="28">
        <f>Inputs!$D$24+(Inputs!$D$93-Inputs!$D$24)*Inputs!$D$98</f>
        <v>1366.8999999999999</v>
      </c>
      <c r="G4058" s="28">
        <f>Inputs!$D$24+(Inputs!$D$93-Inputs!$D$24)*Inputs!$D$99</f>
        <v>1600</v>
      </c>
      <c r="H4058" s="28">
        <f>Inputs!$D$24+(Inputs!$D$93-Inputs!$D$24)*Inputs!$D$100</f>
        <v>1600</v>
      </c>
      <c r="I4058" s="28">
        <f>Inputs!$D$24+(Inputs!$D$93-Inputs!$D$24)*Inputs!$D$101</f>
        <v>1600</v>
      </c>
      <c r="J4058" s="28">
        <f>Inputs!$D$24+(Inputs!$D$93-Inputs!$D$24)*Inputs!$D$102</f>
        <v>1600</v>
      </c>
      <c r="K4058" s="28">
        <f>Inputs!$D$24+(Inputs!$D$93-Inputs!$D$24)*Inputs!$D$103</f>
        <v>1600</v>
      </c>
      <c r="L4058" s="28">
        <f>Inputs!$D$24+(Inputs!$D$93-Inputs!$D$24)*Inputs!$D$104</f>
        <v>1600</v>
      </c>
      <c r="M4058" s="28">
        <f>Inputs!$D$24+(Inputs!$D$93-Inputs!$D$24)*Inputs!$D$105</f>
        <v>1600</v>
      </c>
    </row>
    <row r="4059" spans="1:13" ht="15" customHeight="1" x14ac:dyDescent="0.2">
      <c r="A4059" s="91"/>
      <c r="B4059" s="10" t="s">
        <v>891</v>
      </c>
      <c r="C4059" s="10" t="s">
        <v>199</v>
      </c>
      <c r="D4059" s="28">
        <f>Inputs!$D$24</f>
        <v>46</v>
      </c>
      <c r="E4059" s="28">
        <f t="shared" ref="E4059:M4059" si="880">D4058</f>
        <v>279.10000000000002</v>
      </c>
      <c r="F4059" s="28">
        <f t="shared" si="880"/>
        <v>900.7</v>
      </c>
      <c r="G4059" s="28">
        <f t="shared" si="880"/>
        <v>1366.8999999999999</v>
      </c>
      <c r="H4059" s="28">
        <f t="shared" si="880"/>
        <v>1600</v>
      </c>
      <c r="I4059" s="28">
        <f t="shared" si="880"/>
        <v>1600</v>
      </c>
      <c r="J4059" s="28">
        <f t="shared" si="880"/>
        <v>1600</v>
      </c>
      <c r="K4059" s="28">
        <f t="shared" si="880"/>
        <v>1600</v>
      </c>
      <c r="L4059" s="28">
        <f t="shared" si="880"/>
        <v>1600</v>
      </c>
      <c r="M4059" s="28">
        <f t="shared" si="880"/>
        <v>1600</v>
      </c>
    </row>
    <row r="4060" spans="1:13" ht="15" customHeight="1" x14ac:dyDescent="0.2">
      <c r="B4060" s="10" t="s">
        <v>892</v>
      </c>
      <c r="C4060" s="10" t="s">
        <v>199</v>
      </c>
      <c r="D4060" s="28">
        <f>(D4059+D4058)*Inputs!$D$12</f>
        <v>162.55000000000001</v>
      </c>
      <c r="E4060" s="28">
        <f>(E4059+E4058)*Inputs!$D$12</f>
        <v>589.90000000000009</v>
      </c>
      <c r="F4060" s="28">
        <f>(F4059+F4058)*Inputs!$D$12</f>
        <v>1133.8</v>
      </c>
      <c r="G4060" s="28">
        <f>(G4059+G4058)*Inputs!$D$12</f>
        <v>1483.4499999999998</v>
      </c>
      <c r="H4060" s="28">
        <f>(H4059+H4058)*Inputs!$D$12</f>
        <v>1600</v>
      </c>
      <c r="I4060" s="28">
        <f>(I4059+I4058)*Inputs!$D$12</f>
        <v>1600</v>
      </c>
      <c r="J4060" s="28">
        <f>(J4059+J4058)*Inputs!$D$12</f>
        <v>1600</v>
      </c>
      <c r="K4060" s="28">
        <f>(K4059+K4058)*Inputs!$D$12</f>
        <v>1600</v>
      </c>
      <c r="L4060" s="28">
        <f>(L4059+L4058)*Inputs!$D$12</f>
        <v>1600</v>
      </c>
      <c r="M4060" s="28">
        <f>(M4059+M4058)*Inputs!$D$12</f>
        <v>1600</v>
      </c>
    </row>
    <row r="4061" spans="1:13" ht="15" customHeight="1" x14ac:dyDescent="0.2">
      <c r="B4061" s="10" t="s">
        <v>893</v>
      </c>
      <c r="C4061" s="10" t="s">
        <v>199</v>
      </c>
      <c r="D4061" s="28">
        <f t="shared" ref="D4061:M4061" si="881">D4058-D4059</f>
        <v>233.10000000000002</v>
      </c>
      <c r="E4061" s="28">
        <f t="shared" si="881"/>
        <v>621.6</v>
      </c>
      <c r="F4061" s="28">
        <f t="shared" si="881"/>
        <v>466.19999999999982</v>
      </c>
      <c r="G4061" s="28">
        <f t="shared" si="881"/>
        <v>233.10000000000014</v>
      </c>
      <c r="H4061" s="28">
        <f t="shared" si="881"/>
        <v>0</v>
      </c>
      <c r="I4061" s="28">
        <f t="shared" si="881"/>
        <v>0</v>
      </c>
      <c r="J4061" s="28">
        <f t="shared" si="881"/>
        <v>0</v>
      </c>
      <c r="K4061" s="28">
        <f t="shared" si="881"/>
        <v>0</v>
      </c>
      <c r="L4061" s="28">
        <f t="shared" si="881"/>
        <v>0</v>
      </c>
      <c r="M4061" s="28">
        <f t="shared" si="881"/>
        <v>0</v>
      </c>
    </row>
    <row r="4062" spans="1:13" ht="15" customHeight="1" x14ac:dyDescent="0.2">
      <c r="B4062" s="10" t="s">
        <v>894</v>
      </c>
      <c r="C4062" s="10" t="s">
        <v>199</v>
      </c>
      <c r="D4062" s="28">
        <f>IF(MOD(D4054,Inputs!$D$21)=Inputs!$D$6,Inputs!$D$24,Inputs!$D$6)+SUMPRODUCT(--(D4054&gt;$D$4054:$M$4054),--(MOD(D4054-$D$4054:$M$4054,Inputs!$D$21)=Inputs!$D$6),$D$4061:$M$4061)</f>
        <v>0</v>
      </c>
      <c r="E4062" s="28">
        <f>IF(MOD(E4054,Inputs!$D$21)=Inputs!$D$6,Inputs!$D$24,Inputs!$D$6)+SUMPRODUCT(--(E4054&gt;$D$4054:$M$4054),--(MOD(E4054-$D$4054:$M$4054,Inputs!$D$21)=Inputs!$D$6),$D$4061:$M$4061)</f>
        <v>0</v>
      </c>
      <c r="F4062" s="28">
        <f>IF(MOD(F4054,Inputs!$D$21)=Inputs!$D$6,Inputs!$D$24,Inputs!$D$6)+SUMPRODUCT(--(F4054&gt;$D$4054:$M$4054),--(MOD(F4054-$D$4054:$M$4054,Inputs!$D$21)=Inputs!$D$6),$D$4061:$M$4061)</f>
        <v>0</v>
      </c>
      <c r="G4062" s="28">
        <f>IF(MOD(G4054,Inputs!$D$21)=Inputs!$D$6,Inputs!$D$24,Inputs!$D$6)+SUMPRODUCT(--(G4054&gt;$D$4054:$M$4054),--(MOD(G4054-$D$4054:$M$4054,Inputs!$D$21)=Inputs!$D$6),$D$4061:$M$4061)</f>
        <v>46</v>
      </c>
      <c r="H4062" s="28">
        <f>IF(MOD(H4054,Inputs!$D$21)=Inputs!$D$6,Inputs!$D$24,Inputs!$D$6)+SUMPRODUCT(--(H4054&gt;$D$4054:$M$4054),--(MOD(H4054-$D$4054:$M$4054,Inputs!$D$21)=Inputs!$D$6),$D$4061:$M$4061)</f>
        <v>233.10000000000002</v>
      </c>
      <c r="I4062" s="28">
        <f>IF(MOD(I4054,Inputs!$D$21)=Inputs!$D$6,Inputs!$D$24,Inputs!$D$6)+SUMPRODUCT(--(I4054&gt;$D$4054:$M$4054),--(MOD(I4054-$D$4054:$M$4054,Inputs!$D$21)=Inputs!$D$6),$D$4061:$M$4061)</f>
        <v>621.6</v>
      </c>
      <c r="J4062" s="28">
        <f>IF(MOD(J4054,Inputs!$D$21)=Inputs!$D$6,Inputs!$D$24,Inputs!$D$6)+SUMPRODUCT(--(J4054&gt;$D$4054:$M$4054),--(MOD(J4054-$D$4054:$M$4054,Inputs!$D$21)=Inputs!$D$6),$D$4061:$M$4061)</f>
        <v>466.19999999999982</v>
      </c>
      <c r="K4062" s="28">
        <f>IF(MOD(K4054,Inputs!$D$21)=Inputs!$D$6,Inputs!$D$24,Inputs!$D$6)+SUMPRODUCT(--(K4054&gt;$D$4054:$M$4054),--(MOD(K4054-$D$4054:$M$4054,Inputs!$D$21)=Inputs!$D$6),$D$4061:$M$4061)</f>
        <v>279.10000000000014</v>
      </c>
      <c r="L4062" s="28">
        <f>IF(MOD(L4054,Inputs!$D$21)=Inputs!$D$6,Inputs!$D$24,Inputs!$D$6)+SUMPRODUCT(--(L4054&gt;$D$4054:$M$4054),--(MOD(L4054-$D$4054:$M$4054,Inputs!$D$21)=Inputs!$D$6),$D$4061:$M$4061)</f>
        <v>233.10000000000002</v>
      </c>
      <c r="M4062" s="28">
        <f>IF(MOD(M4054,Inputs!$D$21)=Inputs!$D$6,Inputs!$D$24,Inputs!$D$6)+SUMPRODUCT(--(M4054&gt;$D$4054:$M$4054),--(MOD(M4054-$D$4054:$M$4054,Inputs!$D$21)=Inputs!$D$6),$D$4061:$M$4061)</f>
        <v>621.6</v>
      </c>
    </row>
    <row r="4063" spans="1:13" ht="15" customHeight="1" x14ac:dyDescent="0.2">
      <c r="B4063" s="10" t="s">
        <v>895</v>
      </c>
      <c r="C4063" s="10" t="s">
        <v>896</v>
      </c>
      <c r="D4063" s="28">
        <f t="shared" ref="D4063:M4063" si="882">D4060*D4057</f>
        <v>116.15482546201234</v>
      </c>
      <c r="E4063" s="28">
        <f t="shared" si="882"/>
        <v>589.90000000000009</v>
      </c>
      <c r="F4063" s="28">
        <f t="shared" si="882"/>
        <v>1133.8</v>
      </c>
      <c r="G4063" s="28">
        <f t="shared" si="882"/>
        <v>1483.4499999999998</v>
      </c>
      <c r="H4063" s="28">
        <f t="shared" si="882"/>
        <v>1600</v>
      </c>
      <c r="I4063" s="28">
        <f t="shared" si="882"/>
        <v>1600</v>
      </c>
      <c r="J4063" s="28">
        <f t="shared" si="882"/>
        <v>1600</v>
      </c>
      <c r="K4063" s="28">
        <f t="shared" si="882"/>
        <v>1600</v>
      </c>
      <c r="L4063" s="28">
        <f t="shared" si="882"/>
        <v>1600</v>
      </c>
      <c r="M4063" s="28">
        <f t="shared" si="882"/>
        <v>1600</v>
      </c>
    </row>
    <row r="4064" spans="1:13" ht="15" customHeight="1" x14ac:dyDescent="0.2">
      <c r="B4064" s="10" t="s">
        <v>897</v>
      </c>
      <c r="C4064" s="10" t="s">
        <v>110</v>
      </c>
      <c r="D4064" s="16">
        <f>D4063*($D$4083/Inputs!$D$21+$D$4084/Inputs!$D$22)</f>
        <v>1680.51014411561</v>
      </c>
      <c r="E4064" s="16">
        <f>E4063*($D$4083/Inputs!$D$21+$D$4084/Inputs!$D$22)</f>
        <v>8534.5824426210111</v>
      </c>
      <c r="F4064" s="16">
        <f>F4063*($D$4083/Inputs!$D$21+$D$4084/Inputs!$D$22)</f>
        <v>16403.643962440583</v>
      </c>
      <c r="G4064" s="16">
        <f>G4063*($D$4083/Inputs!$D$21+$D$4084/Inputs!$D$22)</f>
        <v>21462.326368038881</v>
      </c>
      <c r="H4064" s="16">
        <f>H4063*($D$4083/Inputs!$D$21+$D$4084/Inputs!$D$22)</f>
        <v>23148.553836571649</v>
      </c>
      <c r="I4064" s="16">
        <f>I4063*($D$4083/Inputs!$D$21+$D$4084/Inputs!$D$22)</f>
        <v>23148.553836571649</v>
      </c>
      <c r="J4064" s="16">
        <f>J4063*($D$4083/Inputs!$D$21+$D$4084/Inputs!$D$22)</f>
        <v>23148.553836571649</v>
      </c>
      <c r="K4064" s="16">
        <f>K4063*($D$4083/Inputs!$D$21+$D$4084/Inputs!$D$22)</f>
        <v>23148.553836571649</v>
      </c>
      <c r="L4064" s="16">
        <f>L4063*($D$4083/Inputs!$D$21+$D$4084/Inputs!$D$22)</f>
        <v>23148.553836571649</v>
      </c>
      <c r="M4064" s="16">
        <f>M4063*($D$4083/Inputs!$D$21+$D$4084/Inputs!$D$22)</f>
        <v>23148.553836571649</v>
      </c>
    </row>
    <row r="4065" spans="2:13" ht="15" customHeight="1" x14ac:dyDescent="0.2">
      <c r="B4065" s="10" t="s">
        <v>898</v>
      </c>
      <c r="C4065" s="10" t="s">
        <v>110</v>
      </c>
      <c r="D4065" s="16">
        <f t="shared" ref="D4065:M4065" si="883">D4061*($D$4083+$D$4084)</f>
        <v>13977.887419483886</v>
      </c>
      <c r="E4065" s="16">
        <f t="shared" si="883"/>
        <v>37274.36645195703</v>
      </c>
      <c r="F4065" s="16">
        <f t="shared" si="883"/>
        <v>27955.774838967762</v>
      </c>
      <c r="G4065" s="16">
        <f t="shared" si="883"/>
        <v>13977.887419483894</v>
      </c>
      <c r="H4065" s="16">
        <f t="shared" si="883"/>
        <v>0</v>
      </c>
      <c r="I4065" s="16">
        <f t="shared" si="883"/>
        <v>0</v>
      </c>
      <c r="J4065" s="16">
        <f t="shared" si="883"/>
        <v>0</v>
      </c>
      <c r="K4065" s="16">
        <f t="shared" si="883"/>
        <v>0</v>
      </c>
      <c r="L4065" s="16">
        <f t="shared" si="883"/>
        <v>0</v>
      </c>
      <c r="M4065" s="16">
        <f t="shared" si="883"/>
        <v>0</v>
      </c>
    </row>
    <row r="4066" spans="2:13" ht="15" customHeight="1" x14ac:dyDescent="0.2">
      <c r="B4066" s="10" t="s">
        <v>899</v>
      </c>
      <c r="C4066" s="10" t="s">
        <v>110</v>
      </c>
      <c r="D4066" s="16">
        <f t="shared" ref="D4066:M4066" si="884">D4062*$D$4083</f>
        <v>0</v>
      </c>
      <c r="E4066" s="16">
        <f t="shared" si="884"/>
        <v>0</v>
      </c>
      <c r="F4066" s="16">
        <f t="shared" si="884"/>
        <v>0</v>
      </c>
      <c r="G4066" s="16">
        <f t="shared" si="884"/>
        <v>2638.0048485671714</v>
      </c>
      <c r="H4066" s="16">
        <f t="shared" si="884"/>
        <v>13367.802830456689</v>
      </c>
      <c r="I4066" s="16">
        <f t="shared" si="884"/>
        <v>35647.47421455117</v>
      </c>
      <c r="J4066" s="16">
        <f t="shared" si="884"/>
        <v>26735.605660913367</v>
      </c>
      <c r="K4066" s="16">
        <f t="shared" si="884"/>
        <v>16005.807679023867</v>
      </c>
      <c r="L4066" s="16">
        <f t="shared" si="884"/>
        <v>13367.802830456689</v>
      </c>
      <c r="M4066" s="16">
        <f t="shared" si="884"/>
        <v>35647.47421455117</v>
      </c>
    </row>
    <row r="4067" spans="2:13" ht="15" customHeight="1" x14ac:dyDescent="0.2">
      <c r="B4067" s="10" t="s">
        <v>900</v>
      </c>
      <c r="C4067" s="10" t="s">
        <v>199</v>
      </c>
      <c r="D4067" s="28">
        <f>D4061*Inputs!$D$23</f>
        <v>5.8275000000000006</v>
      </c>
      <c r="E4067" s="28">
        <f>E4061*Inputs!$D$23</f>
        <v>15.540000000000001</v>
      </c>
      <c r="F4067" s="28">
        <f>F4061*Inputs!$D$23</f>
        <v>11.654999999999996</v>
      </c>
      <c r="G4067" s="28">
        <f>G4061*Inputs!$D$23</f>
        <v>5.8275000000000041</v>
      </c>
      <c r="H4067" s="28">
        <f>H4061*Inputs!$D$23</f>
        <v>0</v>
      </c>
      <c r="I4067" s="28">
        <f>I4061*Inputs!$D$23</f>
        <v>0</v>
      </c>
      <c r="J4067" s="28">
        <f>J4061*Inputs!$D$23</f>
        <v>0</v>
      </c>
      <c r="K4067" s="28">
        <f>K4061*Inputs!$D$23</f>
        <v>0</v>
      </c>
      <c r="L4067" s="28">
        <f>L4061*Inputs!$D$23</f>
        <v>0</v>
      </c>
      <c r="M4067" s="28">
        <f>M4061*Inputs!$D$23</f>
        <v>0</v>
      </c>
    </row>
    <row r="4068" spans="2:13" ht="15" customHeight="1" x14ac:dyDescent="0.2">
      <c r="B4068" s="3" t="s">
        <v>901</v>
      </c>
      <c r="C4068" s="10" t="s">
        <v>896</v>
      </c>
      <c r="D4068" s="28">
        <f>(D4063*$D$4081*(Inputs!$D$7-Inputs!$D$19)-D4067)/(Inputs!$D$7+$D$4082)^D4056</f>
        <v>50.541318213721269</v>
      </c>
      <c r="E4068" s="28">
        <f>(E4063*$D$4081*(Inputs!$D$7-Inputs!$D$19)-E4067)/(Inputs!$D$7+$D$4082)^E4056</f>
        <v>238.4864713152904</v>
      </c>
      <c r="F4068" s="28">
        <f>(F4063*$D$4081*(Inputs!$D$7-Inputs!$D$19)-F4067)/(Inputs!$D$7+$D$4082)^F4056</f>
        <v>418.74491871678316</v>
      </c>
      <c r="G4068" s="28">
        <f>(G4063*$D$4081*(Inputs!$D$7-Inputs!$D$19)-G4067)/(Inputs!$D$7+$D$4082)^G4056</f>
        <v>490.87392073514752</v>
      </c>
      <c r="H4068" s="28">
        <f>(H4063*$D$4081*(Inputs!$D$7-Inputs!$D$19)-H4067)/(Inputs!$D$7+$D$4082)^H4056</f>
        <v>472.10300862628105</v>
      </c>
      <c r="I4068" s="28">
        <f>(I4063*$D$4081*(Inputs!$D$7-Inputs!$D$19)-I4067)/(Inputs!$D$7+$D$4082)^I4056</f>
        <v>417.68543753228789</v>
      </c>
      <c r="J4068" s="28">
        <f>(J4063*$D$4081*(Inputs!$D$7-Inputs!$D$19)-J4067)/(Inputs!$D$7+$D$4082)^J4056</f>
        <v>369.66405292491049</v>
      </c>
      <c r="K4068" s="28">
        <f>(K4063*$D$4081*(Inputs!$D$7-Inputs!$D$19)-K4067)/(Inputs!$D$7+$D$4082)^K4056</f>
        <v>327.16369723641031</v>
      </c>
      <c r="L4068" s="28">
        <f>(L4063*$D$4081*(Inputs!$D$7-Inputs!$D$19)-L4067)/(Inputs!$D$7+$D$4082)^L4056</f>
        <v>289.54961658427663</v>
      </c>
      <c r="M4068" s="28">
        <f>(M4063*$D$4081*(Inputs!$D$7-Inputs!$D$19)-M4067)/(Inputs!$D$7+$D$4082)^M4056</f>
        <v>256.17430111750662</v>
      </c>
    </row>
    <row r="4069" spans="2:13" ht="15" customHeight="1" x14ac:dyDescent="0.2">
      <c r="B4069" s="10" t="s">
        <v>902</v>
      </c>
      <c r="C4069" s="10" t="s">
        <v>110</v>
      </c>
      <c r="D4069" s="16">
        <f>(D4064*Inputs!$D$19-D4065-D4066)/(Inputs!$D$7+$D$4082)^D4056</f>
        <v>-12346.937146613671</v>
      </c>
      <c r="E4069" s="16">
        <f>(E4064*Inputs!$D$19-E4065-E4066)/(Inputs!$D$7+$D$4082)^E4056</f>
        <v>-28144.165592831177</v>
      </c>
      <c r="F4069" s="16">
        <f>(F4064*Inputs!$D$19-F4065-F4066)/(Inputs!$D$7+$D$4082)^F4056</f>
        <v>-16528.13772562052</v>
      </c>
      <c r="G4069" s="16">
        <f>(G4064*Inputs!$D$19-G4065-G4066)/(Inputs!$D$7+$D$4082)^G4056</f>
        <v>-6462.9033875784253</v>
      </c>
      <c r="H4069" s="16">
        <f>(H4064*Inputs!$D$19-H4065-H4066)/(Inputs!$D$7+$D$4082)^H4056</f>
        <v>-3610.0349541710043</v>
      </c>
      <c r="I4069" s="16">
        <f>(I4064*Inputs!$D$19-I4065-I4066)/(Inputs!$D$7+$D$4082)^I4056</f>
        <v>-14272.365134506323</v>
      </c>
      <c r="J4069" s="16">
        <f>(J4064*Inputs!$D$19-J4065-J4066)/(Inputs!$D$7+$D$4082)^J4056</f>
        <v>-8709.5665200501735</v>
      </c>
      <c r="K4069" s="16">
        <f>(K4064*Inputs!$D$19-K4065-K4066)/(Inputs!$D$7+$D$4082)^K4056</f>
        <v>-3529.1777141306115</v>
      </c>
      <c r="L4069" s="16">
        <f>(L4064*Inputs!$D$19-L4065-L4066)/(Inputs!$D$7+$D$4082)^L4056</f>
        <v>-2214.1020449702382</v>
      </c>
      <c r="M4069" s="16">
        <f>(M4064*Inputs!$D$19-M4065-M4066)/(Inputs!$D$7+$D$4082)^M4056</f>
        <v>-8753.5088252709138</v>
      </c>
    </row>
    <row r="4070" spans="2:13" ht="15" customHeight="1" x14ac:dyDescent="0.2">
      <c r="B4070" s="10" t="s">
        <v>903</v>
      </c>
      <c r="C4070" s="10" t="s">
        <v>110</v>
      </c>
      <c r="D4070" s="16">
        <f t="shared" ref="D4070:M4070" si="885">D4063*$D$4080</f>
        <v>4040.6128099422172</v>
      </c>
      <c r="E4070" s="16">
        <f t="shared" si="885"/>
        <v>20520.52066803235</v>
      </c>
      <c r="F4070" s="16">
        <f t="shared" si="885"/>
        <v>39440.865118520211</v>
      </c>
      <c r="G4070" s="16">
        <f t="shared" si="885"/>
        <v>51603.943693833833</v>
      </c>
      <c r="H4070" s="16">
        <f t="shared" si="885"/>
        <v>55658.303218938388</v>
      </c>
      <c r="I4070" s="16">
        <f t="shared" si="885"/>
        <v>55658.303218938388</v>
      </c>
      <c r="J4070" s="16">
        <f t="shared" si="885"/>
        <v>55658.303218938388</v>
      </c>
      <c r="K4070" s="16">
        <f t="shared" si="885"/>
        <v>55658.303218938388</v>
      </c>
      <c r="L4070" s="16">
        <f t="shared" si="885"/>
        <v>55658.303218938388</v>
      </c>
      <c r="M4070" s="16">
        <f t="shared" si="885"/>
        <v>55658.303218938388</v>
      </c>
    </row>
    <row r="4071" spans="2:13" ht="15" customHeight="1" x14ac:dyDescent="0.2">
      <c r="B4071" s="10" t="s">
        <v>904</v>
      </c>
      <c r="C4071" s="10" t="s">
        <v>110</v>
      </c>
      <c r="D4071" s="16">
        <f t="shared" ref="D4071:M4071" si="886">D4070*$D$4081</f>
        <v>3030.459607456663</v>
      </c>
      <c r="E4071" s="16">
        <f t="shared" si="886"/>
        <v>15390.390501024263</v>
      </c>
      <c r="F4071" s="16">
        <f t="shared" si="886"/>
        <v>29580.648838890156</v>
      </c>
      <c r="G4071" s="16">
        <f t="shared" si="886"/>
        <v>38702.957770375375</v>
      </c>
      <c r="H4071" s="16">
        <f t="shared" si="886"/>
        <v>41743.727414203793</v>
      </c>
      <c r="I4071" s="16">
        <f t="shared" si="886"/>
        <v>41743.727414203793</v>
      </c>
      <c r="J4071" s="16">
        <f t="shared" si="886"/>
        <v>41743.727414203793</v>
      </c>
      <c r="K4071" s="16">
        <f t="shared" si="886"/>
        <v>41743.727414203793</v>
      </c>
      <c r="L4071" s="16">
        <f t="shared" si="886"/>
        <v>41743.727414203793</v>
      </c>
      <c r="M4071" s="16">
        <f t="shared" si="886"/>
        <v>41743.727414203793</v>
      </c>
    </row>
    <row r="4072" spans="2:13" ht="15" customHeight="1" x14ac:dyDescent="0.2">
      <c r="B4072" s="10" t="s">
        <v>905</v>
      </c>
      <c r="C4072" s="10" t="s">
        <v>110</v>
      </c>
      <c r="D4072" s="16">
        <f t="shared" ref="D4072:M4072" si="887">D4071-D4064</f>
        <v>1349.9494633410529</v>
      </c>
      <c r="E4072" s="16">
        <f t="shared" si="887"/>
        <v>6855.8080584032523</v>
      </c>
      <c r="F4072" s="16">
        <f t="shared" si="887"/>
        <v>13177.004876449573</v>
      </c>
      <c r="G4072" s="16">
        <f t="shared" si="887"/>
        <v>17240.631402336494</v>
      </c>
      <c r="H4072" s="16">
        <f t="shared" si="887"/>
        <v>18595.173577632144</v>
      </c>
      <c r="I4072" s="16">
        <f t="shared" si="887"/>
        <v>18595.173577632144</v>
      </c>
      <c r="J4072" s="16">
        <f t="shared" si="887"/>
        <v>18595.173577632144</v>
      </c>
      <c r="K4072" s="16">
        <f t="shared" si="887"/>
        <v>18595.173577632144</v>
      </c>
      <c r="L4072" s="16">
        <f t="shared" si="887"/>
        <v>18595.173577632144</v>
      </c>
      <c r="M4072" s="16">
        <f t="shared" si="887"/>
        <v>18595.173577632144</v>
      </c>
    </row>
    <row r="4073" spans="2:13" ht="15" customHeight="1" x14ac:dyDescent="0.2">
      <c r="B4073" s="10" t="s">
        <v>906</v>
      </c>
      <c r="C4073" s="10" t="s">
        <v>110</v>
      </c>
      <c r="D4073" s="16">
        <f>MAX(D4072,Inputs!$D$6)*Inputs!$D$19</f>
        <v>404.98483900231588</v>
      </c>
      <c r="E4073" s="16">
        <f>MAX(E4072,Inputs!$D$6)*Inputs!$D$19</f>
        <v>2056.7424175209758</v>
      </c>
      <c r="F4073" s="16">
        <f>MAX(F4072,Inputs!$D$6)*Inputs!$D$19</f>
        <v>3953.101462934872</v>
      </c>
      <c r="G4073" s="16">
        <f>MAX(G4072,Inputs!$D$6)*Inputs!$D$19</f>
        <v>5172.1894207009482</v>
      </c>
      <c r="H4073" s="16">
        <f>MAX(H4072,Inputs!$D$6)*Inputs!$D$19</f>
        <v>5578.552073289643</v>
      </c>
      <c r="I4073" s="16">
        <f>MAX(I4072,Inputs!$D$6)*Inputs!$D$19</f>
        <v>5578.552073289643</v>
      </c>
      <c r="J4073" s="16">
        <f>MAX(J4072,Inputs!$D$6)*Inputs!$D$19</f>
        <v>5578.552073289643</v>
      </c>
      <c r="K4073" s="16">
        <f>MAX(K4072,Inputs!$D$6)*Inputs!$D$19</f>
        <v>5578.552073289643</v>
      </c>
      <c r="L4073" s="16">
        <f>MAX(L4072,Inputs!$D$6)*Inputs!$D$19</f>
        <v>5578.552073289643</v>
      </c>
      <c r="M4073" s="16">
        <f>MAX(M4072,Inputs!$D$6)*Inputs!$D$19</f>
        <v>5578.552073289643</v>
      </c>
    </row>
    <row r="4074" spans="2:13" ht="15" customHeight="1" x14ac:dyDescent="0.2">
      <c r="B4074" s="10" t="s">
        <v>907</v>
      </c>
      <c r="C4074" s="10" t="s">
        <v>110</v>
      </c>
      <c r="D4074" s="16">
        <f t="shared" ref="D4074:M4074" si="888">D4067*$D$4080</f>
        <v>202.71797625522717</v>
      </c>
      <c r="E4074" s="16">
        <f t="shared" si="888"/>
        <v>540.58127001393905</v>
      </c>
      <c r="F4074" s="16">
        <f t="shared" si="888"/>
        <v>405.43595251045417</v>
      </c>
      <c r="G4074" s="16">
        <f t="shared" si="888"/>
        <v>202.71797625522728</v>
      </c>
      <c r="H4074" s="16">
        <f t="shared" si="888"/>
        <v>0</v>
      </c>
      <c r="I4074" s="16">
        <f t="shared" si="888"/>
        <v>0</v>
      </c>
      <c r="J4074" s="16">
        <f t="shared" si="888"/>
        <v>0</v>
      </c>
      <c r="K4074" s="16">
        <f t="shared" si="888"/>
        <v>0</v>
      </c>
      <c r="L4074" s="16">
        <f t="shared" si="888"/>
        <v>0</v>
      </c>
      <c r="M4074" s="16">
        <f t="shared" si="888"/>
        <v>0</v>
      </c>
    </row>
    <row r="4075" spans="2:13" ht="15" customHeight="1" x14ac:dyDescent="0.2">
      <c r="B4075" s="10" t="s">
        <v>908</v>
      </c>
      <c r="C4075" s="10" t="s">
        <v>110</v>
      </c>
      <c r="D4075" s="16">
        <f t="shared" ref="D4075:M4075" si="889">D4071-D4073-D4065-D4066-D4074</f>
        <v>-11555.130627284767</v>
      </c>
      <c r="E4075" s="16">
        <f t="shared" si="889"/>
        <v>-24481.299638467684</v>
      </c>
      <c r="F4075" s="16">
        <f t="shared" si="889"/>
        <v>-2733.6634155229317</v>
      </c>
      <c r="G4075" s="16">
        <f t="shared" si="889"/>
        <v>16712.158105368137</v>
      </c>
      <c r="H4075" s="16">
        <f t="shared" si="889"/>
        <v>22797.372510457462</v>
      </c>
      <c r="I4075" s="16">
        <f t="shared" si="889"/>
        <v>517.7011263629829</v>
      </c>
      <c r="J4075" s="16">
        <f t="shared" si="889"/>
        <v>9429.5696800007863</v>
      </c>
      <c r="K4075" s="16">
        <f t="shared" si="889"/>
        <v>20159.367661890286</v>
      </c>
      <c r="L4075" s="16">
        <f t="shared" si="889"/>
        <v>22797.372510457462</v>
      </c>
      <c r="M4075" s="16">
        <f t="shared" si="889"/>
        <v>517.7011263629829</v>
      </c>
    </row>
    <row r="4076" spans="2:13" ht="15" customHeight="1" x14ac:dyDescent="0.2">
      <c r="B4076" s="10" t="s">
        <v>909</v>
      </c>
      <c r="C4076" s="10" t="s">
        <v>110</v>
      </c>
      <c r="D4076" s="16">
        <f>D4075/(Inputs!$D$7+$D$4082)^D4056</f>
        <v>-10588.784637723576</v>
      </c>
      <c r="E4076" s="16">
        <f>E4075/(Inputs!$D$7+$D$4082)^E4056</f>
        <v>-19848.0703840305</v>
      </c>
      <c r="F4076" s="16">
        <f>F4075/(Inputs!$D$7+$D$4082)^F4056</f>
        <v>-1961.4929397902536</v>
      </c>
      <c r="G4076" s="16">
        <f>G4075/(Inputs!$D$7+$D$4082)^G4056</f>
        <v>10612.852564012805</v>
      </c>
      <c r="H4076" s="16">
        <f>H4075/(Inputs!$D$7+$D$4082)^H4056</f>
        <v>12812.747798763145</v>
      </c>
      <c r="I4076" s="16">
        <f>I4075/(Inputs!$D$7+$D$4082)^I4056</f>
        <v>257.42407318557235</v>
      </c>
      <c r="J4076" s="16">
        <f>J4075/(Inputs!$D$7+$D$4082)^J4056</f>
        <v>4149.7296967225502</v>
      </c>
      <c r="K4076" s="16">
        <f>K4075/(Inputs!$D$7+$D$4082)^K4056</f>
        <v>7851.6824502525651</v>
      </c>
      <c r="L4076" s="16">
        <f>L4075/(Inputs!$D$7+$D$4082)^L4056</f>
        <v>7858.2981780141499</v>
      </c>
      <c r="M4076" s="16">
        <f>M4075/(Inputs!$D$7+$D$4082)^M4056</f>
        <v>157.88300504021799</v>
      </c>
    </row>
    <row r="4077" spans="2:13" ht="15" customHeight="1" x14ac:dyDescent="0.2">
      <c r="B4077" s="3" t="s">
        <v>910</v>
      </c>
      <c r="C4077" s="10" t="s">
        <v>896</v>
      </c>
      <c r="D4077" s="28">
        <f>(D4063*$D$4081-D4067)/(Inputs!$D$7+$D$4082)^D4056</f>
        <v>74.490519309095831</v>
      </c>
      <c r="E4077" s="28">
        <f>(E4063*$D$4081-E4067)/(Inputs!$D$7+$D$4082)^E4056</f>
        <v>346.09451503846662</v>
      </c>
      <c r="F4077" s="28">
        <f>(F4063*$D$4081-F4067)/(Inputs!$D$7+$D$4082)^F4056</f>
        <v>601.79110266312398</v>
      </c>
      <c r="G4077" s="28">
        <f>(G4063*$D$4081-G4067)/(Inputs!$D$7+$D$4082)^G4056</f>
        <v>702.83446516544734</v>
      </c>
      <c r="H4077" s="28">
        <f>(H4063*$D$4081-H4067)/(Inputs!$D$7+$D$4082)^H4056</f>
        <v>674.43286946611579</v>
      </c>
      <c r="I4077" s="28">
        <f>(I4063*$D$4081-I4067)/(Inputs!$D$7+$D$4082)^I4056</f>
        <v>596.69348218898278</v>
      </c>
      <c r="J4077" s="28">
        <f>(J4063*$D$4081-J4067)/(Inputs!$D$7+$D$4082)^J4056</f>
        <v>528.09150417844353</v>
      </c>
      <c r="K4077" s="28">
        <f>(K4063*$D$4081-K4067)/(Inputs!$D$7+$D$4082)^K4056</f>
        <v>467.37671033772904</v>
      </c>
      <c r="L4077" s="28">
        <f>(L4063*$D$4081-L4067)/(Inputs!$D$7+$D$4082)^L4056</f>
        <v>413.64230940610946</v>
      </c>
      <c r="M4077" s="28">
        <f>(M4063*$D$4081-M4067)/(Inputs!$D$7+$D$4082)^M4056</f>
        <v>365.96328731072373</v>
      </c>
    </row>
    <row r="4078" spans="2:13" ht="15" customHeight="1" x14ac:dyDescent="0.2">
      <c r="B4078" s="10" t="s">
        <v>911</v>
      </c>
      <c r="C4078" s="10" t="s">
        <v>110</v>
      </c>
      <c r="D4078" s="16">
        <f>(-D4065-D4066)/(Inputs!$D$7+$D$4082)^D4056</f>
        <v>-12808.928289029636</v>
      </c>
      <c r="E4078" s="16">
        <f>(-E4065-E4066)/(Inputs!$D$7+$D$4082)^E4056</f>
        <v>-30219.974420642928</v>
      </c>
      <c r="F4078" s="16">
        <f>(-F4065-F4066)/(Inputs!$D$7+$D$4082)^F4056</f>
        <v>-20059.183095337907</v>
      </c>
      <c r="G4078" s="16">
        <f>(-G4065-G4066)/(Inputs!$D$7+$D$4082)^G4056</f>
        <v>-10551.720115889953</v>
      </c>
      <c r="H4078" s="16">
        <f>(-H4065-H4066)/(Inputs!$D$7+$D$4082)^H4056</f>
        <v>-7513.0713511684744</v>
      </c>
      <c r="I4078" s="16">
        <f>(-I4065-I4066)/(Inputs!$D$7+$D$4082)^I4056</f>
        <v>-17725.512933602091</v>
      </c>
      <c r="J4078" s="16">
        <f>(-J4065-J4066)/(Inputs!$D$7+$D$4082)^J4056</f>
        <v>-11765.705173827875</v>
      </c>
      <c r="K4078" s="16">
        <f>(-K4065-K4066)/(Inputs!$D$7+$D$4082)^K4056</f>
        <v>-6233.95144943378</v>
      </c>
      <c r="L4078" s="16">
        <f>(-L4065-L4066)/(Inputs!$D$7+$D$4082)^L4056</f>
        <v>-4607.9073620630261</v>
      </c>
      <c r="M4078" s="16">
        <f>(-M4065-M4066)/(Inputs!$D$7+$D$4082)^M4056</f>
        <v>-10871.389039901173</v>
      </c>
    </row>
    <row r="4079" spans="2:13" ht="15" customHeight="1" x14ac:dyDescent="0.2">
      <c r="B4079" s="10" t="s">
        <v>912</v>
      </c>
      <c r="C4079" s="10" t="s">
        <v>110</v>
      </c>
      <c r="D4079" s="16">
        <f>Prices!K20</f>
        <v>42986.101160624734</v>
      </c>
    </row>
    <row r="4080" spans="2:13" ht="15" customHeight="1" x14ac:dyDescent="0.2">
      <c r="B4080" s="3" t="s">
        <v>913</v>
      </c>
      <c r="C4080" s="10" t="s">
        <v>914</v>
      </c>
      <c r="D4080" s="28">
        <f>IF(J4087&gt;=J4083,J4087,(D4079-J4086)/J4085)</f>
        <v>34.786439511836491</v>
      </c>
      <c r="G4080" s="99" t="s">
        <v>915</v>
      </c>
      <c r="H4080" s="91"/>
      <c r="I4080" s="91"/>
      <c r="J4080" s="28">
        <f>D4080*Inputs!$D$15</f>
        <v>24.277456135310686</v>
      </c>
      <c r="K4080" s="99" t="s">
        <v>916</v>
      </c>
      <c r="L4080" s="91"/>
      <c r="M4080" s="91"/>
    </row>
    <row r="4081" spans="2:13" ht="15" customHeight="1" x14ac:dyDescent="0.2">
      <c r="B4081" s="10" t="s">
        <v>917</v>
      </c>
      <c r="C4081" s="10" t="s">
        <v>104</v>
      </c>
      <c r="D4081" s="30">
        <f>Inputs!$D$94</f>
        <v>0.75</v>
      </c>
      <c r="G4081" s="99" t="s">
        <v>918</v>
      </c>
      <c r="H4081" s="91"/>
      <c r="I4081" s="91"/>
      <c r="J4081" s="28">
        <f>IF(-D4092/D4091&gt;=J4083,-D4092/D4091,-J4086/J4085)</f>
        <v>27.411702074287536</v>
      </c>
      <c r="K4081" s="99" t="s">
        <v>919</v>
      </c>
      <c r="L4081" s="91"/>
      <c r="M4081" s="91"/>
    </row>
    <row r="4082" spans="2:13" ht="15" customHeight="1" x14ac:dyDescent="0.2">
      <c r="B4082" s="10" t="s">
        <v>920</v>
      </c>
      <c r="C4082" s="10" t="s">
        <v>104</v>
      </c>
      <c r="D4082" s="30">
        <f>Inputs!$D$95</f>
        <v>0.13</v>
      </c>
      <c r="G4082" s="99" t="s">
        <v>918</v>
      </c>
      <c r="H4082" s="91"/>
      <c r="I4082" s="91"/>
      <c r="J4082" s="28">
        <f>J4081*Inputs!$D$15</f>
        <v>19.13062687764527</v>
      </c>
      <c r="K4082" s="99" t="s">
        <v>916</v>
      </c>
      <c r="L4082" s="91"/>
      <c r="M4082" s="91"/>
    </row>
    <row r="4083" spans="2:13" ht="15" customHeight="1" x14ac:dyDescent="0.2">
      <c r="B4083" s="3" t="s">
        <v>921</v>
      </c>
      <c r="C4083" s="10" t="s">
        <v>848</v>
      </c>
      <c r="D4083" s="28">
        <f>Capital!$D$13</f>
        <v>57.347931490590682</v>
      </c>
      <c r="G4083" s="99" t="s">
        <v>922</v>
      </c>
      <c r="H4083" s="91"/>
      <c r="I4083" s="91"/>
      <c r="J4083" s="28">
        <f>($D$4083/Inputs!$D$21+$D$4084/Inputs!$D$22)/$D$4081</f>
        <v>19.290461530476374</v>
      </c>
      <c r="K4083" s="99" t="s">
        <v>919</v>
      </c>
      <c r="L4083" s="91"/>
      <c r="M4083" s="91"/>
    </row>
    <row r="4084" spans="2:13" ht="15" customHeight="1" x14ac:dyDescent="0.2">
      <c r="B4084" s="3" t="s">
        <v>923</v>
      </c>
      <c r="C4084" s="10" t="s">
        <v>848</v>
      </c>
      <c r="D4084" s="28">
        <f>Capital!$D$14</f>
        <v>2.6172655041921802</v>
      </c>
    </row>
    <row r="4085" spans="2:13" ht="15" customHeight="1" x14ac:dyDescent="0.2">
      <c r="B4085" s="10" t="s">
        <v>924</v>
      </c>
      <c r="C4085" s="10" t="s">
        <v>896</v>
      </c>
      <c r="D4085" s="28">
        <f>(M4058*(Inputs!$D$7+Inputs!$D$20)*$D$4081*(Inputs!$D$7-Inputs!$D$19)-M4058*Inputs!$D$20*Inputs!$D$23)/($D$4082-Inputs!$D$20)/(Inputs!$D$7+$D$4082)^M4056</f>
        <v>2497.8446594223992</v>
      </c>
      <c r="G4085" s="92" t="s">
        <v>910</v>
      </c>
      <c r="H4085" s="91"/>
      <c r="I4085" s="91"/>
      <c r="J4085" s="28">
        <f>SUM(D4077:M4077)+(M4058*(Inputs!$D$7+Inputs!$D$20)*$D$4081-M4058*Inputs!$D$20*Inputs!$D$23)/($D$4082-Inputs!$D$20)/(Inputs!$D$7+$D$4082)^M4056</f>
        <v>8341.0050516109004</v>
      </c>
      <c r="K4085" s="99" t="s">
        <v>896</v>
      </c>
      <c r="L4085" s="91"/>
      <c r="M4085" s="91"/>
    </row>
    <row r="4086" spans="2:13" ht="15" customHeight="1" x14ac:dyDescent="0.2">
      <c r="B4086" s="10" t="s">
        <v>925</v>
      </c>
      <c r="C4086" s="10" t="s">
        <v>110</v>
      </c>
      <c r="D4086" s="16">
        <f>(D4089*Inputs!$D$19-D4089-D4090)/($D$4082-Inputs!$D$20)/(Inputs!$D$7+$D$4082)^M4056</f>
        <v>-55207.290798783099</v>
      </c>
      <c r="G4086" s="92" t="s">
        <v>926</v>
      </c>
      <c r="H4086" s="91"/>
      <c r="I4086" s="91"/>
      <c r="J4086" s="16">
        <f>SUM(D4078:M4078)-(D4089+D4090)/($D$4082-Inputs!$D$20)/(Inputs!$D$7+$D$4082)^M4056</f>
        <v>-208239.17898202292</v>
      </c>
      <c r="K4086" s="99" t="s">
        <v>110</v>
      </c>
      <c r="L4086" s="91"/>
      <c r="M4086" s="91"/>
    </row>
    <row r="4087" spans="2:13" ht="15" customHeight="1" x14ac:dyDescent="0.2">
      <c r="B4087" s="10" t="s">
        <v>927</v>
      </c>
      <c r="C4087" s="10" t="s">
        <v>928</v>
      </c>
      <c r="D4087" s="16">
        <f>(M4058*(Inputs!$D$7+Inputs!$D$20)*$D$4080*$D$4081-D4089)-MAX((M4058*(Inputs!$D$7+Inputs!$D$20)*$D$4080*$D$4081-D4089),Inputs!$D$6)*Inputs!$D$19-D4090-M4058*Inputs!$D$20*$D$4080*Inputs!$D$23</f>
        <v>10908.64272264791</v>
      </c>
      <c r="G4087" s="99" t="s">
        <v>929</v>
      </c>
      <c r="H4087" s="91"/>
      <c r="I4087" s="91"/>
      <c r="J4087" s="28">
        <f>(D4079-D4092)/D4091</f>
        <v>34.786439511836491</v>
      </c>
      <c r="K4087" s="99" t="s">
        <v>919</v>
      </c>
      <c r="L4087" s="91"/>
      <c r="M4087" s="91"/>
    </row>
    <row r="4088" spans="2:13" ht="15" customHeight="1" x14ac:dyDescent="0.2">
      <c r="B4088" s="10" t="s">
        <v>930</v>
      </c>
      <c r="C4088" s="10" t="s">
        <v>110</v>
      </c>
      <c r="D4088" s="16">
        <f>D4087/($D$4082-Inputs!$D$20)</f>
        <v>103891.83545378961</v>
      </c>
      <c r="G4088" s="99" t="s">
        <v>931</v>
      </c>
      <c r="H4088" s="91"/>
      <c r="I4088" s="91"/>
      <c r="J4088" s="16">
        <f>MIN(D4072:M4072,(M4058*(Inputs!$D$7+Inputs!$D$20)*$D$4080*$D$4081-D4089))</f>
        <v>1349.9494633410529</v>
      </c>
      <c r="K4088" s="99" t="s">
        <v>110</v>
      </c>
      <c r="L4088" s="91"/>
      <c r="M4088" s="91"/>
    </row>
    <row r="4089" spans="2:13" ht="15" customHeight="1" x14ac:dyDescent="0.2">
      <c r="B4089" s="10" t="s">
        <v>932</v>
      </c>
      <c r="C4089" s="10" t="s">
        <v>928</v>
      </c>
      <c r="D4089" s="16">
        <f>M4058*(Inputs!$D$7+Inputs!$D$20)*($D$4083/Inputs!$D$21+$D$4084/Inputs!$D$22)</f>
        <v>23727.267682485937</v>
      </c>
      <c r="G4089" s="99" t="s">
        <v>933</v>
      </c>
      <c r="H4089" s="91"/>
      <c r="I4089" s="91"/>
      <c r="J4089" s="31" t="str">
        <f>IF(J4088&lt;Inputs!$D$6,"breached","satisfied")</f>
        <v>satisfied</v>
      </c>
      <c r="K4089" s="99" t="s">
        <v>934</v>
      </c>
      <c r="L4089" s="91"/>
      <c r="M4089" s="91"/>
    </row>
    <row r="4090" spans="2:13" ht="15" customHeight="1" x14ac:dyDescent="0.2">
      <c r="B4090" s="10" t="s">
        <v>935</v>
      </c>
      <c r="C4090" s="10" t="s">
        <v>928</v>
      </c>
      <c r="D4090" s="16">
        <f>M4058*Inputs!$D$20*($D$4083+$D$4084)</f>
        <v>2398.6078797913146</v>
      </c>
    </row>
    <row r="4091" spans="2:13" ht="15" customHeight="1" x14ac:dyDescent="0.2">
      <c r="B4091" s="10" t="s">
        <v>936</v>
      </c>
      <c r="C4091" s="10" t="s">
        <v>896</v>
      </c>
      <c r="D4091" s="28">
        <f>SUM(D4068:M4068)+D4085</f>
        <v>5828.8314024250149</v>
      </c>
      <c r="G4091" s="99" t="s">
        <v>937</v>
      </c>
      <c r="H4091" s="91"/>
      <c r="I4091" s="91"/>
      <c r="J4091" s="16">
        <f>D4093-D4079</f>
        <v>0</v>
      </c>
      <c r="K4091" s="99" t="s">
        <v>110</v>
      </c>
      <c r="L4091" s="91"/>
      <c r="M4091" s="91"/>
    </row>
    <row r="4092" spans="2:13" ht="15" customHeight="1" x14ac:dyDescent="0.2">
      <c r="B4092" s="10" t="s">
        <v>938</v>
      </c>
      <c r="C4092" s="10" t="s">
        <v>110</v>
      </c>
      <c r="D4092" s="16">
        <f>SUM(D4069:M4069)+D4086</f>
        <v>-159778.18984452612</v>
      </c>
    </row>
    <row r="4093" spans="2:13" ht="15" customHeight="1" x14ac:dyDescent="0.2">
      <c r="B4093" s="10" t="s">
        <v>939</v>
      </c>
      <c r="C4093" s="10" t="s">
        <v>110</v>
      </c>
      <c r="D4093" s="16">
        <f>SUM(D4076:M4076)+D4088/(Inputs!$D$7+$D$4082)^M4056</f>
        <v>42986.101160624712</v>
      </c>
    </row>
    <row r="4094" spans="2:13" ht="15" customHeight="1" x14ac:dyDescent="0.2">
      <c r="B4094" s="10" t="s">
        <v>940</v>
      </c>
      <c r="C4094" s="10" t="s">
        <v>104</v>
      </c>
      <c r="D4094" s="30">
        <f>IF(ABS(D4079)&gt;Inputs!$D$6,D4093/D4079-Inputs!$D$7,Inputs!$D$6)</f>
        <v>-5.5511151231257827E-16</v>
      </c>
    </row>
    <row r="4095" spans="2:13" ht="15" customHeight="1" x14ac:dyDescent="0.2">
      <c r="B4095" s="10" t="s">
        <v>941</v>
      </c>
      <c r="C4095" s="10" t="s">
        <v>104</v>
      </c>
      <c r="D4095" s="30">
        <f>IF(ABS(D4093)&gt;Inputs!$D$119,D4088/(Inputs!$D$7+$D$4082)^M4056/D4093,Inputs!$D$6)</f>
        <v>0.73707153011588866</v>
      </c>
    </row>
    <row r="4096" spans="2:13" ht="15" customHeight="1" x14ac:dyDescent="0.2">
      <c r="B4096" s="10" t="s">
        <v>942</v>
      </c>
      <c r="C4096" s="10" t="s">
        <v>943</v>
      </c>
      <c r="D4096" s="26">
        <f>$D$4080*Inputs!$D$8/Prices!$P$6/(Inputs!$D$26/Inputs!$D$25)/Inputs!$D$11/Inputs!$D$56</f>
        <v>6.3260196898144292</v>
      </c>
    </row>
    <row r="4100" spans="1:13" ht="15" customHeight="1" x14ac:dyDescent="0.2">
      <c r="A4100" s="104" t="s">
        <v>1032</v>
      </c>
      <c r="B4100" s="10" t="s">
        <v>886</v>
      </c>
      <c r="C4100" s="10" t="s">
        <v>107</v>
      </c>
      <c r="D4100" s="28">
        <f>Inputs!$D$60</f>
        <v>1</v>
      </c>
      <c r="E4100" s="28">
        <f>Inputs!$D$62</f>
        <v>2</v>
      </c>
      <c r="F4100" s="28">
        <f>Inputs!$D$64</f>
        <v>3</v>
      </c>
      <c r="G4100" s="28">
        <f>Inputs!$D$66</f>
        <v>4</v>
      </c>
      <c r="H4100" s="28">
        <f>Inputs!$D$68</f>
        <v>5</v>
      </c>
      <c r="I4100" s="28">
        <f>Inputs!$D$70</f>
        <v>6</v>
      </c>
      <c r="J4100" s="28">
        <f>Inputs!$D$72</f>
        <v>7</v>
      </c>
      <c r="K4100" s="28">
        <f>Inputs!$D$74</f>
        <v>8</v>
      </c>
      <c r="L4100" s="28">
        <f>Inputs!$D$76</f>
        <v>9</v>
      </c>
      <c r="M4100" s="28">
        <f>Inputs!$D$78</f>
        <v>10</v>
      </c>
    </row>
    <row r="4101" spans="1:13" ht="15" customHeight="1" x14ac:dyDescent="0.2">
      <c r="A4101" s="91"/>
      <c r="B4101" s="10" t="s">
        <v>887</v>
      </c>
      <c r="C4101" s="10" t="s">
        <v>161</v>
      </c>
      <c r="D4101" s="29">
        <f>Inputs!$D$61</f>
        <v>46568</v>
      </c>
      <c r="E4101" s="29">
        <f>Inputs!$D$63</f>
        <v>46934</v>
      </c>
      <c r="F4101" s="29">
        <f>Inputs!$D$65</f>
        <v>47299</v>
      </c>
      <c r="G4101" s="29">
        <f>Inputs!$D$67</f>
        <v>47664</v>
      </c>
      <c r="H4101" s="29">
        <f>Inputs!$D$69</f>
        <v>48029</v>
      </c>
      <c r="I4101" s="29">
        <f>Inputs!$D$71</f>
        <v>48395</v>
      </c>
      <c r="J4101" s="29">
        <f>Inputs!$D$73</f>
        <v>48760</v>
      </c>
      <c r="K4101" s="29">
        <f>Inputs!$D$75</f>
        <v>49125</v>
      </c>
      <c r="L4101" s="29">
        <f>Inputs!$D$77</f>
        <v>49490</v>
      </c>
      <c r="M4101" s="29">
        <f>Inputs!$D$79</f>
        <v>49856</v>
      </c>
    </row>
    <row r="4102" spans="1:13" ht="15" customHeight="1" x14ac:dyDescent="0.2">
      <c r="A4102" s="91"/>
      <c r="B4102" s="10" t="s">
        <v>888</v>
      </c>
      <c r="C4102" s="10" t="s">
        <v>107</v>
      </c>
      <c r="D4102" s="28">
        <f>(D4101-Inputs!$D$13)/Inputs!$D$10</f>
        <v>0.71457905544147848</v>
      </c>
      <c r="E4102" s="28">
        <f>(E4101-Inputs!$D$13)/Inputs!$D$10</f>
        <v>1.7166324435318274</v>
      </c>
      <c r="F4102" s="28">
        <f>(F4101-Inputs!$D$13)/Inputs!$D$10</f>
        <v>2.7159479808350446</v>
      </c>
      <c r="G4102" s="28">
        <f>(G4101-Inputs!$D$13)/Inputs!$D$10</f>
        <v>3.7152635181382614</v>
      </c>
      <c r="H4102" s="28">
        <f>(H4101-Inputs!$D$13)/Inputs!$D$10</f>
        <v>4.7145790554414786</v>
      </c>
      <c r="I4102" s="28">
        <f>(I4101-Inputs!$D$13)/Inputs!$D$10</f>
        <v>5.7166324435318279</v>
      </c>
      <c r="J4102" s="28">
        <f>(J4101-Inputs!$D$13)/Inputs!$D$10</f>
        <v>6.7159479808350442</v>
      </c>
      <c r="K4102" s="28">
        <f>(K4101-Inputs!$D$13)/Inputs!$D$10</f>
        <v>7.7152635181382614</v>
      </c>
      <c r="L4102" s="28">
        <f>(L4101-Inputs!$D$13)/Inputs!$D$10</f>
        <v>8.7145790554414777</v>
      </c>
      <c r="M4102" s="28">
        <f>(M4101-Inputs!$D$13)/Inputs!$D$10</f>
        <v>9.716632443531827</v>
      </c>
    </row>
    <row r="4103" spans="1:13" ht="15" customHeight="1" x14ac:dyDescent="0.2">
      <c r="A4103" s="91"/>
      <c r="B4103" s="10" t="s">
        <v>889</v>
      </c>
      <c r="C4103" s="10" t="s">
        <v>107</v>
      </c>
      <c r="D4103" s="28">
        <f>D4102</f>
        <v>0.71457905544147848</v>
      </c>
      <c r="E4103" s="28">
        <f>Inputs!$D$7</f>
        <v>1</v>
      </c>
      <c r="F4103" s="28">
        <f>Inputs!$D$7</f>
        <v>1</v>
      </c>
      <c r="G4103" s="28">
        <f>Inputs!$D$7</f>
        <v>1</v>
      </c>
      <c r="H4103" s="28">
        <f>Inputs!$D$7</f>
        <v>1</v>
      </c>
      <c r="I4103" s="28">
        <f>Inputs!$D$7</f>
        <v>1</v>
      </c>
      <c r="J4103" s="28">
        <f>Inputs!$D$7</f>
        <v>1</v>
      </c>
      <c r="K4103" s="28">
        <f>Inputs!$D$7</f>
        <v>1</v>
      </c>
      <c r="L4103" s="28">
        <f>Inputs!$D$7</f>
        <v>1</v>
      </c>
      <c r="M4103" s="28">
        <f>Inputs!$D$7</f>
        <v>1</v>
      </c>
    </row>
    <row r="4104" spans="1:13" ht="15" customHeight="1" x14ac:dyDescent="0.2">
      <c r="A4104" s="91"/>
      <c r="B4104" s="3" t="s">
        <v>890</v>
      </c>
      <c r="C4104" s="10" t="s">
        <v>199</v>
      </c>
      <c r="D4104" s="28">
        <f>Inputs!$D$24+(Inputs!$D$106-Inputs!$D$24)*Inputs!$D$109</f>
        <v>170.32</v>
      </c>
      <c r="E4104" s="28">
        <f>Inputs!$D$24+(Inputs!$D$106-Inputs!$D$24)*Inputs!$D$110</f>
        <v>481.12000000000006</v>
      </c>
      <c r="F4104" s="28">
        <f>Inputs!$D$24+(Inputs!$D$106-Inputs!$D$24)*Inputs!$D$111</f>
        <v>823</v>
      </c>
      <c r="G4104" s="28">
        <f>Inputs!$D$24+(Inputs!$D$106-Inputs!$D$24)*Inputs!$D$112</f>
        <v>1211.5</v>
      </c>
      <c r="H4104" s="28">
        <f>Inputs!$D$24+(Inputs!$D$106-Inputs!$D$24)*Inputs!$D$113</f>
        <v>1600</v>
      </c>
      <c r="I4104" s="28">
        <f>Inputs!$D$24+(Inputs!$D$106-Inputs!$D$24)*Inputs!$D$114</f>
        <v>1600</v>
      </c>
      <c r="J4104" s="28">
        <f>Inputs!$D$24+(Inputs!$D$106-Inputs!$D$24)*Inputs!$D$115</f>
        <v>1600</v>
      </c>
      <c r="K4104" s="28">
        <f>Inputs!$D$24+(Inputs!$D$106-Inputs!$D$24)*Inputs!$D$116</f>
        <v>1600</v>
      </c>
      <c r="L4104" s="28">
        <f>Inputs!$D$24+(Inputs!$D$106-Inputs!$D$24)*Inputs!$D$117</f>
        <v>1600</v>
      </c>
      <c r="M4104" s="28">
        <f>Inputs!$D$24+(Inputs!$D$106-Inputs!$D$24)*Inputs!$D$118</f>
        <v>1600</v>
      </c>
    </row>
    <row r="4105" spans="1:13" ht="15" customHeight="1" x14ac:dyDescent="0.2">
      <c r="A4105" s="91"/>
      <c r="B4105" s="10" t="s">
        <v>891</v>
      </c>
      <c r="C4105" s="10" t="s">
        <v>199</v>
      </c>
      <c r="D4105" s="28">
        <f>Inputs!$D$24</f>
        <v>46</v>
      </c>
      <c r="E4105" s="28">
        <f t="shared" ref="E4105:M4105" si="890">D4104</f>
        <v>170.32</v>
      </c>
      <c r="F4105" s="28">
        <f t="shared" si="890"/>
        <v>481.12000000000006</v>
      </c>
      <c r="G4105" s="28">
        <f t="shared" si="890"/>
        <v>823</v>
      </c>
      <c r="H4105" s="28">
        <f t="shared" si="890"/>
        <v>1211.5</v>
      </c>
      <c r="I4105" s="28">
        <f t="shared" si="890"/>
        <v>1600</v>
      </c>
      <c r="J4105" s="28">
        <f t="shared" si="890"/>
        <v>1600</v>
      </c>
      <c r="K4105" s="28">
        <f t="shared" si="890"/>
        <v>1600</v>
      </c>
      <c r="L4105" s="28">
        <f t="shared" si="890"/>
        <v>1600</v>
      </c>
      <c r="M4105" s="28">
        <f t="shared" si="890"/>
        <v>1600</v>
      </c>
    </row>
    <row r="4106" spans="1:13" ht="15" customHeight="1" x14ac:dyDescent="0.2">
      <c r="B4106" s="10" t="s">
        <v>892</v>
      </c>
      <c r="C4106" s="10" t="s">
        <v>199</v>
      </c>
      <c r="D4106" s="28">
        <f>(D4105+D4104)*Inputs!$D$12</f>
        <v>108.16</v>
      </c>
      <c r="E4106" s="28">
        <f>(E4105+E4104)*Inputs!$D$12</f>
        <v>325.72000000000003</v>
      </c>
      <c r="F4106" s="28">
        <f>(F4105+F4104)*Inputs!$D$12</f>
        <v>652.06000000000006</v>
      </c>
      <c r="G4106" s="28">
        <f>(G4105+G4104)*Inputs!$D$12</f>
        <v>1017.25</v>
      </c>
      <c r="H4106" s="28">
        <f>(H4105+H4104)*Inputs!$D$12</f>
        <v>1405.75</v>
      </c>
      <c r="I4106" s="28">
        <f>(I4105+I4104)*Inputs!$D$12</f>
        <v>1600</v>
      </c>
      <c r="J4106" s="28">
        <f>(J4105+J4104)*Inputs!$D$12</f>
        <v>1600</v>
      </c>
      <c r="K4106" s="28">
        <f>(K4105+K4104)*Inputs!$D$12</f>
        <v>1600</v>
      </c>
      <c r="L4106" s="28">
        <f>(L4105+L4104)*Inputs!$D$12</f>
        <v>1600</v>
      </c>
      <c r="M4106" s="28">
        <f>(M4105+M4104)*Inputs!$D$12</f>
        <v>1600</v>
      </c>
    </row>
    <row r="4107" spans="1:13" ht="15" customHeight="1" x14ac:dyDescent="0.2">
      <c r="B4107" s="10" t="s">
        <v>893</v>
      </c>
      <c r="C4107" s="10" t="s">
        <v>199</v>
      </c>
      <c r="D4107" s="28">
        <f t="shared" ref="D4107:M4107" si="891">D4104-D4105</f>
        <v>124.32</v>
      </c>
      <c r="E4107" s="28">
        <f t="shared" si="891"/>
        <v>310.80000000000007</v>
      </c>
      <c r="F4107" s="28">
        <f t="shared" si="891"/>
        <v>341.87999999999994</v>
      </c>
      <c r="G4107" s="28">
        <f t="shared" si="891"/>
        <v>388.5</v>
      </c>
      <c r="H4107" s="28">
        <f t="shared" si="891"/>
        <v>388.5</v>
      </c>
      <c r="I4107" s="28">
        <f t="shared" si="891"/>
        <v>0</v>
      </c>
      <c r="J4107" s="28">
        <f t="shared" si="891"/>
        <v>0</v>
      </c>
      <c r="K4107" s="28">
        <f t="shared" si="891"/>
        <v>0</v>
      </c>
      <c r="L4107" s="28">
        <f t="shared" si="891"/>
        <v>0</v>
      </c>
      <c r="M4107" s="28">
        <f t="shared" si="891"/>
        <v>0</v>
      </c>
    </row>
    <row r="4108" spans="1:13" ht="15" customHeight="1" x14ac:dyDescent="0.2">
      <c r="B4108" s="10" t="s">
        <v>894</v>
      </c>
      <c r="C4108" s="10" t="s">
        <v>199</v>
      </c>
      <c r="D4108" s="28">
        <f>IF(MOD(D4100,Inputs!$D$21)=Inputs!$D$6,Inputs!$D$24,Inputs!$D$6)+SUMPRODUCT(--(D4100&gt;$D$4100:$M$4100),--(MOD(D4100-$D$4100:$M$4100,Inputs!$D$21)=Inputs!$D$6),$D$4107:$M$4107)</f>
        <v>0</v>
      </c>
      <c r="E4108" s="28">
        <f>IF(MOD(E4100,Inputs!$D$21)=Inputs!$D$6,Inputs!$D$24,Inputs!$D$6)+SUMPRODUCT(--(E4100&gt;$D$4100:$M$4100),--(MOD(E4100-$D$4100:$M$4100,Inputs!$D$21)=Inputs!$D$6),$D$4107:$M$4107)</f>
        <v>0</v>
      </c>
      <c r="F4108" s="28">
        <f>IF(MOD(F4100,Inputs!$D$21)=Inputs!$D$6,Inputs!$D$24,Inputs!$D$6)+SUMPRODUCT(--(F4100&gt;$D$4100:$M$4100),--(MOD(F4100-$D$4100:$M$4100,Inputs!$D$21)=Inputs!$D$6),$D$4107:$M$4107)</f>
        <v>0</v>
      </c>
      <c r="G4108" s="28">
        <f>IF(MOD(G4100,Inputs!$D$21)=Inputs!$D$6,Inputs!$D$24,Inputs!$D$6)+SUMPRODUCT(--(G4100&gt;$D$4100:$M$4100),--(MOD(G4100-$D$4100:$M$4100,Inputs!$D$21)=Inputs!$D$6),$D$4107:$M$4107)</f>
        <v>46</v>
      </c>
      <c r="H4108" s="28">
        <f>IF(MOD(H4100,Inputs!$D$21)=Inputs!$D$6,Inputs!$D$24,Inputs!$D$6)+SUMPRODUCT(--(H4100&gt;$D$4100:$M$4100),--(MOD(H4100-$D$4100:$M$4100,Inputs!$D$21)=Inputs!$D$6),$D$4107:$M$4107)</f>
        <v>124.32</v>
      </c>
      <c r="I4108" s="28">
        <f>IF(MOD(I4100,Inputs!$D$21)=Inputs!$D$6,Inputs!$D$24,Inputs!$D$6)+SUMPRODUCT(--(I4100&gt;$D$4100:$M$4100),--(MOD(I4100-$D$4100:$M$4100,Inputs!$D$21)=Inputs!$D$6),$D$4107:$M$4107)</f>
        <v>310.80000000000007</v>
      </c>
      <c r="J4108" s="28">
        <f>IF(MOD(J4100,Inputs!$D$21)=Inputs!$D$6,Inputs!$D$24,Inputs!$D$6)+SUMPRODUCT(--(J4100&gt;$D$4100:$M$4100),--(MOD(J4100-$D$4100:$M$4100,Inputs!$D$21)=Inputs!$D$6),$D$4107:$M$4107)</f>
        <v>341.87999999999994</v>
      </c>
      <c r="K4108" s="28">
        <f>IF(MOD(K4100,Inputs!$D$21)=Inputs!$D$6,Inputs!$D$24,Inputs!$D$6)+SUMPRODUCT(--(K4100&gt;$D$4100:$M$4100),--(MOD(K4100-$D$4100:$M$4100,Inputs!$D$21)=Inputs!$D$6),$D$4107:$M$4107)</f>
        <v>434.5</v>
      </c>
      <c r="L4108" s="28">
        <f>IF(MOD(L4100,Inputs!$D$21)=Inputs!$D$6,Inputs!$D$24,Inputs!$D$6)+SUMPRODUCT(--(L4100&gt;$D$4100:$M$4100),--(MOD(L4100-$D$4100:$M$4100,Inputs!$D$21)=Inputs!$D$6),$D$4107:$M$4107)</f>
        <v>512.81999999999994</v>
      </c>
      <c r="M4108" s="28">
        <f>IF(MOD(M4100,Inputs!$D$21)=Inputs!$D$6,Inputs!$D$24,Inputs!$D$6)+SUMPRODUCT(--(M4100&gt;$D$4100:$M$4100),--(MOD(M4100-$D$4100:$M$4100,Inputs!$D$21)=Inputs!$D$6),$D$4107:$M$4107)</f>
        <v>310.80000000000007</v>
      </c>
    </row>
    <row r="4109" spans="1:13" ht="15" customHeight="1" x14ac:dyDescent="0.2">
      <c r="B4109" s="10" t="s">
        <v>895</v>
      </c>
      <c r="C4109" s="10" t="s">
        <v>896</v>
      </c>
      <c r="D4109" s="28">
        <f t="shared" ref="D4109:M4109" si="892">D4106*D4103</f>
        <v>77.288870636550314</v>
      </c>
      <c r="E4109" s="28">
        <f t="shared" si="892"/>
        <v>325.72000000000003</v>
      </c>
      <c r="F4109" s="28">
        <f t="shared" si="892"/>
        <v>652.06000000000006</v>
      </c>
      <c r="G4109" s="28">
        <f t="shared" si="892"/>
        <v>1017.25</v>
      </c>
      <c r="H4109" s="28">
        <f t="shared" si="892"/>
        <v>1405.75</v>
      </c>
      <c r="I4109" s="28">
        <f t="shared" si="892"/>
        <v>1600</v>
      </c>
      <c r="J4109" s="28">
        <f t="shared" si="892"/>
        <v>1600</v>
      </c>
      <c r="K4109" s="28">
        <f t="shared" si="892"/>
        <v>1600</v>
      </c>
      <c r="L4109" s="28">
        <f t="shared" si="892"/>
        <v>1600</v>
      </c>
      <c r="M4109" s="28">
        <f t="shared" si="892"/>
        <v>1600</v>
      </c>
    </row>
    <row r="4110" spans="1:13" ht="15" customHeight="1" x14ac:dyDescent="0.2">
      <c r="B4110" s="10" t="s">
        <v>897</v>
      </c>
      <c r="C4110" s="10" t="s">
        <v>110</v>
      </c>
      <c r="D4110" s="16">
        <f>D4109*($D$4129/Inputs!$D$21+$D$4130/Inputs!$D$22)</f>
        <v>1118.2034893112541</v>
      </c>
      <c r="E4110" s="16">
        <f>E4109*($D$4129/Inputs!$D$21+$D$4130/Inputs!$D$22)</f>
        <v>4712.466847280074</v>
      </c>
      <c r="F4110" s="16">
        <f>F4109*($D$4129/Inputs!$D$21+$D$4130/Inputs!$D$22)</f>
        <v>9433.9037591718188</v>
      </c>
      <c r="G4110" s="16">
        <f>G4109*($D$4129/Inputs!$D$21+$D$4130/Inputs!$D$22)</f>
        <v>14717.416493907818</v>
      </c>
      <c r="H4110" s="16">
        <f>H4109*($D$4129/Inputs!$D$21+$D$4130/Inputs!$D$22)</f>
        <v>20338.17472235037</v>
      </c>
      <c r="I4110" s="16">
        <f>I4109*($D$4129/Inputs!$D$21+$D$4130/Inputs!$D$22)</f>
        <v>23148.553836571649</v>
      </c>
      <c r="J4110" s="16">
        <f>J4109*($D$4129/Inputs!$D$21+$D$4130/Inputs!$D$22)</f>
        <v>23148.553836571649</v>
      </c>
      <c r="K4110" s="16">
        <f>K4109*($D$4129/Inputs!$D$21+$D$4130/Inputs!$D$22)</f>
        <v>23148.553836571649</v>
      </c>
      <c r="L4110" s="16">
        <f>L4109*($D$4129/Inputs!$D$21+$D$4130/Inputs!$D$22)</f>
        <v>23148.553836571649</v>
      </c>
      <c r="M4110" s="16">
        <f>M4109*($D$4129/Inputs!$D$21+$D$4130/Inputs!$D$22)</f>
        <v>23148.553836571649</v>
      </c>
    </row>
    <row r="4111" spans="1:13" ht="15" customHeight="1" x14ac:dyDescent="0.2">
      <c r="B4111" s="10" t="s">
        <v>898</v>
      </c>
      <c r="C4111" s="10" t="s">
        <v>110</v>
      </c>
      <c r="D4111" s="16">
        <f t="shared" ref="D4111:M4111" si="893">D4107*($D$4129+$D$4130)</f>
        <v>7454.8732903914051</v>
      </c>
      <c r="E4111" s="16">
        <f t="shared" si="893"/>
        <v>18637.183225978519</v>
      </c>
      <c r="F4111" s="16">
        <f t="shared" si="893"/>
        <v>20500.901548576363</v>
      </c>
      <c r="G4111" s="16">
        <f t="shared" si="893"/>
        <v>23296.479032473144</v>
      </c>
      <c r="H4111" s="16">
        <f t="shared" si="893"/>
        <v>23296.479032473144</v>
      </c>
      <c r="I4111" s="16">
        <f t="shared" si="893"/>
        <v>0</v>
      </c>
      <c r="J4111" s="16">
        <f t="shared" si="893"/>
        <v>0</v>
      </c>
      <c r="K4111" s="16">
        <f t="shared" si="893"/>
        <v>0</v>
      </c>
      <c r="L4111" s="16">
        <f t="shared" si="893"/>
        <v>0</v>
      </c>
      <c r="M4111" s="16">
        <f t="shared" si="893"/>
        <v>0</v>
      </c>
    </row>
    <row r="4112" spans="1:13" ht="15" customHeight="1" x14ac:dyDescent="0.2">
      <c r="B4112" s="10" t="s">
        <v>899</v>
      </c>
      <c r="C4112" s="10" t="s">
        <v>110</v>
      </c>
      <c r="D4112" s="16">
        <f t="shared" ref="D4112:M4112" si="894">D4108*$D$4129</f>
        <v>0</v>
      </c>
      <c r="E4112" s="16">
        <f t="shared" si="894"/>
        <v>0</v>
      </c>
      <c r="F4112" s="16">
        <f t="shared" si="894"/>
        <v>0</v>
      </c>
      <c r="G4112" s="16">
        <f t="shared" si="894"/>
        <v>2638.0048485671714</v>
      </c>
      <c r="H4112" s="16">
        <f t="shared" si="894"/>
        <v>7129.4948429102333</v>
      </c>
      <c r="I4112" s="16">
        <f t="shared" si="894"/>
        <v>17823.737107275589</v>
      </c>
      <c r="J4112" s="16">
        <f t="shared" si="894"/>
        <v>19606.110818003141</v>
      </c>
      <c r="K4112" s="16">
        <f t="shared" si="894"/>
        <v>24917.676232661652</v>
      </c>
      <c r="L4112" s="16">
        <f t="shared" si="894"/>
        <v>29409.166227004709</v>
      </c>
      <c r="M4112" s="16">
        <f t="shared" si="894"/>
        <v>17823.737107275589</v>
      </c>
    </row>
    <row r="4113" spans="2:13" ht="15" customHeight="1" x14ac:dyDescent="0.2">
      <c r="B4113" s="10" t="s">
        <v>900</v>
      </c>
      <c r="C4113" s="10" t="s">
        <v>199</v>
      </c>
      <c r="D4113" s="28">
        <f>D4107*Inputs!$D$23</f>
        <v>3.1080000000000001</v>
      </c>
      <c r="E4113" s="28">
        <f>E4107*Inputs!$D$23</f>
        <v>7.7700000000000022</v>
      </c>
      <c r="F4113" s="28">
        <f>F4107*Inputs!$D$23</f>
        <v>8.5469999999999988</v>
      </c>
      <c r="G4113" s="28">
        <f>G4107*Inputs!$D$23</f>
        <v>9.7125000000000004</v>
      </c>
      <c r="H4113" s="28">
        <f>H4107*Inputs!$D$23</f>
        <v>9.7125000000000004</v>
      </c>
      <c r="I4113" s="28">
        <f>I4107*Inputs!$D$23</f>
        <v>0</v>
      </c>
      <c r="J4113" s="28">
        <f>J4107*Inputs!$D$23</f>
        <v>0</v>
      </c>
      <c r="K4113" s="28">
        <f>K4107*Inputs!$D$23</f>
        <v>0</v>
      </c>
      <c r="L4113" s="28">
        <f>L4107*Inputs!$D$23</f>
        <v>0</v>
      </c>
      <c r="M4113" s="28">
        <f>M4107*Inputs!$D$23</f>
        <v>0</v>
      </c>
    </row>
    <row r="4114" spans="2:13" ht="15" customHeight="1" x14ac:dyDescent="0.2">
      <c r="B4114" s="3" t="s">
        <v>901</v>
      </c>
      <c r="C4114" s="10" t="s">
        <v>896</v>
      </c>
      <c r="D4114" s="28">
        <f>(D4109*$D$4127*(Inputs!$D$7-Inputs!$D$19)-D4113)/(Inputs!$D$7+$D$4128)^D4102</f>
        <v>40.99699201112098</v>
      </c>
      <c r="E4114" s="28">
        <f>(E4109*$D$4127*(Inputs!$D$7-Inputs!$D$19)-E4113)/(Inputs!$D$7+$D$4128)^E4102</f>
        <v>153.02781912726542</v>
      </c>
      <c r="F4114" s="28">
        <f>(F4109*$D$4127*(Inputs!$D$7-Inputs!$D$19)-F4113)/(Inputs!$D$7+$D$4128)^F4102</f>
        <v>268.8019226843403</v>
      </c>
      <c r="G4114" s="28">
        <f>(G4109*$D$4127*(Inputs!$D$7-Inputs!$D$19)-G4113)/(Inputs!$D$7+$D$4128)^G4102</f>
        <v>363.62824610263397</v>
      </c>
      <c r="H4114" s="28">
        <f>(H4109*$D$4127*(Inputs!$D$7-Inputs!$D$19)-H4113)/(Inputs!$D$7+$D$4128)^H4102</f>
        <v>435.07807528321291</v>
      </c>
      <c r="I4114" s="28">
        <f>(I4109*$D$4127*(Inputs!$D$7-Inputs!$D$19)-I4113)/(Inputs!$D$7+$D$4128)^I4102</f>
        <v>431.49711827119876</v>
      </c>
      <c r="J4114" s="28">
        <f>(J4109*$D$4127*(Inputs!$D$7-Inputs!$D$19)-J4113)/(Inputs!$D$7+$D$4128)^J4102</f>
        <v>372.01806500733016</v>
      </c>
      <c r="K4114" s="28">
        <f>(K4109*$D$4127*(Inputs!$D$7-Inputs!$D$19)-K4113)/(Inputs!$D$7+$D$4128)^K4102</f>
        <v>320.73780989845312</v>
      </c>
      <c r="L4114" s="28">
        <f>(L4109*$D$4127*(Inputs!$D$7-Inputs!$D$19)-L4113)/(Inputs!$D$7+$D$4128)^L4102</f>
        <v>276.52620228651875</v>
      </c>
      <c r="M4114" s="28">
        <f>(M4109*$D$4127*(Inputs!$D$7-Inputs!$D$19)-M4113)/(Inputs!$D$7+$D$4128)^M4102</f>
        <v>238.31201718226143</v>
      </c>
    </row>
    <row r="4115" spans="2:13" ht="15" customHeight="1" x14ac:dyDescent="0.2">
      <c r="B4115" s="10" t="s">
        <v>902</v>
      </c>
      <c r="C4115" s="10" t="s">
        <v>110</v>
      </c>
      <c r="D4115" s="16">
        <f>(D4110*Inputs!$D$19-D4111-D4112)/(Inputs!$D$7+$D$4128)^D4102</f>
        <v>-6403.0045740313244</v>
      </c>
      <c r="E4115" s="16">
        <f>(E4110*Inputs!$D$19-E4111-E4112)/(Inputs!$D$7+$D$4128)^E4102</f>
        <v>-13349.632212764713</v>
      </c>
      <c r="F4115" s="16">
        <f>(F4110*Inputs!$D$19-F4111-F4112)/(Inputs!$D$7+$D$4128)^F4102</f>
        <v>-11808.370082432088</v>
      </c>
      <c r="G4115" s="16">
        <f>(G4110*Inputs!$D$19-G4111-G4112)/(Inputs!$D$7+$D$4128)^G4102</f>
        <v>-12397.921878440668</v>
      </c>
      <c r="H4115" s="16">
        <f>(H4110*Inputs!$D$19-H4111-H4112)/(Inputs!$D$7+$D$4128)^H4102</f>
        <v>-12082.366885213038</v>
      </c>
      <c r="I4115" s="16">
        <f>(I4110*Inputs!$D$19-I4111-I4112)/(Inputs!$D$7+$D$4128)^I4102</f>
        <v>-4657.0743222469628</v>
      </c>
      <c r="J4115" s="16">
        <f>(J4110*Inputs!$D$19-J4111-J4112)/(Inputs!$D$7+$D$4128)^J4102</f>
        <v>-4672.9398284057479</v>
      </c>
      <c r="K4115" s="16">
        <f>(K4110*Inputs!$D$19-K4111-K4112)/(Inputs!$D$7+$D$4128)^K4102</f>
        <v>-5718.9047268503064</v>
      </c>
      <c r="L4115" s="16">
        <f>(L4110*Inputs!$D$19-L4111-L4112)/(Inputs!$D$7+$D$4128)^L4102</f>
        <v>-6162.7485564592316</v>
      </c>
      <c r="M4115" s="16">
        <f>(M4110*Inputs!$D$19-M4111-M4112)/(Inputs!$D$7+$D$4128)^M4102</f>
        <v>-2572.0606903447429</v>
      </c>
    </row>
    <row r="4116" spans="2:13" ht="15" customHeight="1" x14ac:dyDescent="0.2">
      <c r="B4116" s="10" t="s">
        <v>903</v>
      </c>
      <c r="C4116" s="10" t="s">
        <v>110</v>
      </c>
      <c r="D4116" s="16">
        <f t="shared" ref="D4116:M4116" si="895">D4109*$D$4126</f>
        <v>2562.4407174333842</v>
      </c>
      <c r="E4116" s="16">
        <f t="shared" si="895"/>
        <v>10798.944060229251</v>
      </c>
      <c r="F4116" s="16">
        <f t="shared" si="895"/>
        <v>21618.443644581497</v>
      </c>
      <c r="G4116" s="16">
        <f t="shared" si="895"/>
        <v>33725.978893737578</v>
      </c>
      <c r="H4116" s="16">
        <f t="shared" si="895"/>
        <v>46606.335541775967</v>
      </c>
      <c r="I4116" s="16">
        <f t="shared" si="895"/>
        <v>53046.513865795154</v>
      </c>
      <c r="J4116" s="16">
        <f t="shared" si="895"/>
        <v>53046.513865795154</v>
      </c>
      <c r="K4116" s="16">
        <f t="shared" si="895"/>
        <v>53046.513865795154</v>
      </c>
      <c r="L4116" s="16">
        <f t="shared" si="895"/>
        <v>53046.513865795154</v>
      </c>
      <c r="M4116" s="16">
        <f t="shared" si="895"/>
        <v>53046.513865795154</v>
      </c>
    </row>
    <row r="4117" spans="2:13" ht="15" customHeight="1" x14ac:dyDescent="0.2">
      <c r="B4117" s="10" t="s">
        <v>904</v>
      </c>
      <c r="C4117" s="10" t="s">
        <v>110</v>
      </c>
      <c r="D4117" s="16">
        <f t="shared" ref="D4117:M4117" si="896">D4116*$D$4127</f>
        <v>2306.1966456900459</v>
      </c>
      <c r="E4117" s="16">
        <f t="shared" si="896"/>
        <v>9719.0496542063265</v>
      </c>
      <c r="F4117" s="16">
        <f t="shared" si="896"/>
        <v>19456.599280123348</v>
      </c>
      <c r="G4117" s="16">
        <f t="shared" si="896"/>
        <v>30353.381004363822</v>
      </c>
      <c r="H4117" s="16">
        <f t="shared" si="896"/>
        <v>41945.701987598368</v>
      </c>
      <c r="I4117" s="16">
        <f t="shared" si="896"/>
        <v>47741.862479215641</v>
      </c>
      <c r="J4117" s="16">
        <f t="shared" si="896"/>
        <v>47741.862479215641</v>
      </c>
      <c r="K4117" s="16">
        <f t="shared" si="896"/>
        <v>47741.862479215641</v>
      </c>
      <c r="L4117" s="16">
        <f t="shared" si="896"/>
        <v>47741.862479215641</v>
      </c>
      <c r="M4117" s="16">
        <f t="shared" si="896"/>
        <v>47741.862479215641</v>
      </c>
    </row>
    <row r="4118" spans="2:13" ht="15" customHeight="1" x14ac:dyDescent="0.2">
      <c r="B4118" s="10" t="s">
        <v>905</v>
      </c>
      <c r="C4118" s="10" t="s">
        <v>110</v>
      </c>
      <c r="D4118" s="16">
        <f t="shared" ref="D4118:M4118" si="897">D4117-D4110</f>
        <v>1187.9931563787918</v>
      </c>
      <c r="E4118" s="16">
        <f t="shared" si="897"/>
        <v>5006.5828069262525</v>
      </c>
      <c r="F4118" s="16">
        <f t="shared" si="897"/>
        <v>10022.695520951529</v>
      </c>
      <c r="G4118" s="16">
        <f t="shared" si="897"/>
        <v>15635.964510456004</v>
      </c>
      <c r="H4118" s="16">
        <f t="shared" si="897"/>
        <v>21607.527265247998</v>
      </c>
      <c r="I4118" s="16">
        <f t="shared" si="897"/>
        <v>24593.308642643991</v>
      </c>
      <c r="J4118" s="16">
        <f t="shared" si="897"/>
        <v>24593.308642643991</v>
      </c>
      <c r="K4118" s="16">
        <f t="shared" si="897"/>
        <v>24593.308642643991</v>
      </c>
      <c r="L4118" s="16">
        <f t="shared" si="897"/>
        <v>24593.308642643991</v>
      </c>
      <c r="M4118" s="16">
        <f t="shared" si="897"/>
        <v>24593.308642643991</v>
      </c>
    </row>
    <row r="4119" spans="2:13" ht="15" customHeight="1" x14ac:dyDescent="0.2">
      <c r="B4119" s="10" t="s">
        <v>906</v>
      </c>
      <c r="C4119" s="10" t="s">
        <v>110</v>
      </c>
      <c r="D4119" s="16">
        <f>MAX(D4118,Inputs!$D$6)*Inputs!$D$19</f>
        <v>356.39794691363755</v>
      </c>
      <c r="E4119" s="16">
        <f>MAX(E4118,Inputs!$D$6)*Inputs!$D$19</f>
        <v>1501.9748420778758</v>
      </c>
      <c r="F4119" s="16">
        <f>MAX(F4118,Inputs!$D$6)*Inputs!$D$19</f>
        <v>3006.8086562854587</v>
      </c>
      <c r="G4119" s="16">
        <f>MAX(G4118,Inputs!$D$6)*Inputs!$D$19</f>
        <v>4690.7893531368009</v>
      </c>
      <c r="H4119" s="16">
        <f>MAX(H4118,Inputs!$D$6)*Inputs!$D$19</f>
        <v>6482.258179574399</v>
      </c>
      <c r="I4119" s="16">
        <f>MAX(I4118,Inputs!$D$6)*Inputs!$D$19</f>
        <v>7377.9925927931972</v>
      </c>
      <c r="J4119" s="16">
        <f>MAX(J4118,Inputs!$D$6)*Inputs!$D$19</f>
        <v>7377.9925927931972</v>
      </c>
      <c r="K4119" s="16">
        <f>MAX(K4118,Inputs!$D$6)*Inputs!$D$19</f>
        <v>7377.9925927931972</v>
      </c>
      <c r="L4119" s="16">
        <f>MAX(L4118,Inputs!$D$6)*Inputs!$D$19</f>
        <v>7377.9925927931972</v>
      </c>
      <c r="M4119" s="16">
        <f>MAX(M4118,Inputs!$D$6)*Inputs!$D$19</f>
        <v>7377.9925927931972</v>
      </c>
    </row>
    <row r="4120" spans="2:13" ht="15" customHeight="1" x14ac:dyDescent="0.2">
      <c r="B4120" s="10" t="s">
        <v>907</v>
      </c>
      <c r="C4120" s="10" t="s">
        <v>110</v>
      </c>
      <c r="D4120" s="16">
        <f t="shared" ref="D4120:M4120" si="898">D4113*$D$4126</f>
        <v>103.04285318430709</v>
      </c>
      <c r="E4120" s="16">
        <f t="shared" si="898"/>
        <v>257.60713296076779</v>
      </c>
      <c r="F4120" s="16">
        <f t="shared" si="898"/>
        <v>283.36784625684447</v>
      </c>
      <c r="G4120" s="16">
        <f t="shared" si="898"/>
        <v>322.00891620095967</v>
      </c>
      <c r="H4120" s="16">
        <f t="shared" si="898"/>
        <v>322.00891620095967</v>
      </c>
      <c r="I4120" s="16">
        <f t="shared" si="898"/>
        <v>0</v>
      </c>
      <c r="J4120" s="16">
        <f t="shared" si="898"/>
        <v>0</v>
      </c>
      <c r="K4120" s="16">
        <f t="shared" si="898"/>
        <v>0</v>
      </c>
      <c r="L4120" s="16">
        <f t="shared" si="898"/>
        <v>0</v>
      </c>
      <c r="M4120" s="16">
        <f t="shared" si="898"/>
        <v>0</v>
      </c>
    </row>
    <row r="4121" spans="2:13" ht="15" customHeight="1" x14ac:dyDescent="0.2">
      <c r="B4121" s="10" t="s">
        <v>908</v>
      </c>
      <c r="C4121" s="10" t="s">
        <v>110</v>
      </c>
      <c r="D4121" s="16">
        <f t="shared" ref="D4121:M4121" si="899">D4117-D4119-D4111-D4112-D4120</f>
        <v>-5608.1174447993044</v>
      </c>
      <c r="E4121" s="16">
        <f t="shared" si="899"/>
        <v>-10677.715546810836</v>
      </c>
      <c r="F4121" s="16">
        <f t="shared" si="899"/>
        <v>-4334.478770995318</v>
      </c>
      <c r="G4121" s="16">
        <f t="shared" si="899"/>
        <v>-593.90114601425535</v>
      </c>
      <c r="H4121" s="16">
        <f t="shared" si="899"/>
        <v>4715.4610164396336</v>
      </c>
      <c r="I4121" s="16">
        <f t="shared" si="899"/>
        <v>22540.132779146854</v>
      </c>
      <c r="J4121" s="16">
        <f t="shared" si="899"/>
        <v>20757.759068419302</v>
      </c>
      <c r="K4121" s="16">
        <f t="shared" si="899"/>
        <v>15446.193653760791</v>
      </c>
      <c r="L4121" s="16">
        <f t="shared" si="899"/>
        <v>10954.703659417733</v>
      </c>
      <c r="M4121" s="16">
        <f t="shared" si="899"/>
        <v>22540.132779146854</v>
      </c>
    </row>
    <row r="4122" spans="2:13" ht="15" customHeight="1" x14ac:dyDescent="0.2">
      <c r="B4122" s="10" t="s">
        <v>909</v>
      </c>
      <c r="C4122" s="10" t="s">
        <v>110</v>
      </c>
      <c r="D4122" s="16">
        <f>D4121/(Inputs!$D$7+$D$4128)^D4102</f>
        <v>-5043.7873832976857</v>
      </c>
      <c r="E4122" s="16">
        <f>E4121/(Inputs!$D$7+$D$4128)^E4102</f>
        <v>-8276.1370070229113</v>
      </c>
      <c r="F4122" s="16">
        <f>F4121/(Inputs!$D$7+$D$4128)^F4102</f>
        <v>-2896.4920081650498</v>
      </c>
      <c r="G4122" s="16">
        <f>G4121/(Inputs!$D$7+$D$4128)^G4102</f>
        <v>-342.16512914182408</v>
      </c>
      <c r="H4122" s="16">
        <f>H4121/(Inputs!$D$7+$D$4128)^H4102</f>
        <v>2342.2425855459792</v>
      </c>
      <c r="I4122" s="16">
        <f>I4121/(Inputs!$D$7+$D$4128)^I4102</f>
        <v>9648.8118448929126</v>
      </c>
      <c r="J4122" s="16">
        <f>J4121/(Inputs!$D$7+$D$4128)^J4102</f>
        <v>7660.9735739302678</v>
      </c>
      <c r="K4122" s="16">
        <f>K4121/(Inputs!$D$7+$D$4128)^K4102</f>
        <v>4914.8594481891096</v>
      </c>
      <c r="L4122" s="16">
        <f>L4121/(Inputs!$D$7+$D$4128)^L4102</f>
        <v>3005.2208334454522</v>
      </c>
      <c r="M4122" s="16">
        <f>M4121/(Inputs!$D$7+$D$4128)^M4102</f>
        <v>5328.9528870580361</v>
      </c>
    </row>
    <row r="4123" spans="2:13" ht="15" customHeight="1" x14ac:dyDescent="0.2">
      <c r="B4123" s="3" t="s">
        <v>910</v>
      </c>
      <c r="C4123" s="10" t="s">
        <v>896</v>
      </c>
      <c r="D4123" s="28">
        <f>(D4109*$D$4127-D4113)/(Inputs!$D$7+$D$4128)^D4102</f>
        <v>59.765095798928819</v>
      </c>
      <c r="E4123" s="28">
        <f>(E4109*$D$4127-E4113)/(Inputs!$D$7+$D$4128)^E4102</f>
        <v>221.1922031857838</v>
      </c>
      <c r="F4123" s="28">
        <f>(F4109*$D$4127-F4113)/(Inputs!$D$7+$D$4128)^F4102</f>
        <v>386.45052664112239</v>
      </c>
      <c r="G4123" s="28">
        <f>(G4109*$D$4127-G4113)/(Inputs!$D$7+$D$4128)^G4102</f>
        <v>521.867070169518</v>
      </c>
      <c r="H4123" s="28">
        <f>(H4109*$D$4127-H4113)/(Inputs!$D$7+$D$4128)^H4102</f>
        <v>623.60768582417222</v>
      </c>
      <c r="I4123" s="28">
        <f>(I4109*$D$4127-I4113)/(Inputs!$D$7+$D$4128)^I4102</f>
        <v>616.42445467314121</v>
      </c>
      <c r="J4123" s="28">
        <f>(J4109*$D$4127-J4113)/(Inputs!$D$7+$D$4128)^J4102</f>
        <v>531.4543785819003</v>
      </c>
      <c r="K4123" s="28">
        <f>(K4109*$D$4127-K4113)/(Inputs!$D$7+$D$4128)^K4102</f>
        <v>458.19687128350449</v>
      </c>
      <c r="L4123" s="28">
        <f>(L4109*$D$4127-L4113)/(Inputs!$D$7+$D$4128)^L4102</f>
        <v>395.03743183788401</v>
      </c>
      <c r="M4123" s="28">
        <f>(M4109*$D$4127-M4113)/(Inputs!$D$7+$D$4128)^M4102</f>
        <v>340.44573883180209</v>
      </c>
    </row>
    <row r="4124" spans="2:13" ht="15" customHeight="1" x14ac:dyDescent="0.2">
      <c r="B4124" s="10" t="s">
        <v>911</v>
      </c>
      <c r="C4124" s="10" t="s">
        <v>110</v>
      </c>
      <c r="D4124" s="16">
        <f>(-D4111-D4112)/(Inputs!$D$7+$D$4128)^D4102</f>
        <v>-6704.7090607969039</v>
      </c>
      <c r="E4124" s="16">
        <f>(-E4111-E4112)/(Inputs!$D$7+$D$4128)^E4102</f>
        <v>-14445.4009031226</v>
      </c>
      <c r="F4124" s="16">
        <f>(-F4111-F4112)/(Inputs!$D$7+$D$4128)^F4102</f>
        <v>-13699.616639717549</v>
      </c>
      <c r="G4124" s="16">
        <f>(-G4111-G4112)/(Inputs!$D$7+$D$4128)^G4102</f>
        <v>-14941.671835349038</v>
      </c>
      <c r="H4124" s="16">
        <f>(-H4111-H4112)/(Inputs!$D$7+$D$4128)^H4102</f>
        <v>-15113.052884793095</v>
      </c>
      <c r="I4124" s="16">
        <f>(-I4111-I4112)/(Inputs!$D$7+$D$4128)^I4102</f>
        <v>-7629.8523795762403</v>
      </c>
      <c r="J4124" s="16">
        <f>(-J4111-J4112)/(Inputs!$D$7+$D$4128)^J4102</f>
        <v>-7235.9398897150922</v>
      </c>
      <c r="K4124" s="16">
        <f>(-K4111-K4112)/(Inputs!$D$7+$D$4128)^K4102</f>
        <v>-7928.612006570077</v>
      </c>
      <c r="L4124" s="16">
        <f>(-L4111-L4112)/(Inputs!$D$7+$D$4128)^L4102</f>
        <v>-8067.8621519509534</v>
      </c>
      <c r="M4124" s="16">
        <f>(-M4111-M4112)/(Inputs!$D$7+$D$4128)^M4102</f>
        <v>-4213.8995473821142</v>
      </c>
    </row>
    <row r="4125" spans="2:13" ht="15" customHeight="1" x14ac:dyDescent="0.2">
      <c r="B4125" s="10" t="s">
        <v>912</v>
      </c>
      <c r="C4125" s="10" t="s">
        <v>110</v>
      </c>
      <c r="D4125" s="16">
        <f>Prices!K20</f>
        <v>42986.101160624734</v>
      </c>
    </row>
    <row r="4126" spans="2:13" ht="15" customHeight="1" x14ac:dyDescent="0.2">
      <c r="B4126" s="3" t="s">
        <v>913</v>
      </c>
      <c r="C4126" s="10" t="s">
        <v>914</v>
      </c>
      <c r="D4126" s="28">
        <f>IF(J4133&gt;=J4129,J4133,(D4125-J4132)/J4131)</f>
        <v>33.154071166121973</v>
      </c>
      <c r="G4126" s="99" t="s">
        <v>915</v>
      </c>
      <c r="H4126" s="91"/>
      <c r="I4126" s="91"/>
      <c r="J4126" s="28">
        <f>D4126*Inputs!$D$15</f>
        <v>23.138226266836522</v>
      </c>
      <c r="K4126" s="99" t="s">
        <v>916</v>
      </c>
      <c r="L4126" s="91"/>
      <c r="M4126" s="91"/>
    </row>
    <row r="4127" spans="2:13" ht="15" customHeight="1" x14ac:dyDescent="0.2">
      <c r="B4127" s="10" t="s">
        <v>917</v>
      </c>
      <c r="C4127" s="10" t="s">
        <v>104</v>
      </c>
      <c r="D4127" s="30">
        <f>Inputs!$D$107</f>
        <v>0.9</v>
      </c>
      <c r="G4127" s="99" t="s">
        <v>918</v>
      </c>
      <c r="H4127" s="91"/>
      <c r="I4127" s="91"/>
      <c r="J4127" s="28">
        <f>IF(-D4138/D4137&gt;=J4129,-D4138/D4137,-J4132/J4131)</f>
        <v>24.024174528419383</v>
      </c>
      <c r="K4127" s="99" t="s">
        <v>919</v>
      </c>
      <c r="L4127" s="91"/>
      <c r="M4127" s="91"/>
    </row>
    <row r="4128" spans="2:13" ht="15" customHeight="1" x14ac:dyDescent="0.2">
      <c r="B4128" s="10" t="s">
        <v>920</v>
      </c>
      <c r="C4128" s="10" t="s">
        <v>104</v>
      </c>
      <c r="D4128" s="30">
        <f>Inputs!$D$108</f>
        <v>0.16</v>
      </c>
      <c r="G4128" s="99" t="s">
        <v>918</v>
      </c>
      <c r="H4128" s="91"/>
      <c r="I4128" s="91"/>
      <c r="J4128" s="28">
        <f>J4127*Inputs!$D$15</f>
        <v>16.766471403383886</v>
      </c>
      <c r="K4128" s="99" t="s">
        <v>916</v>
      </c>
      <c r="L4128" s="91"/>
      <c r="M4128" s="91"/>
    </row>
    <row r="4129" spans="2:13" ht="15" customHeight="1" x14ac:dyDescent="0.2">
      <c r="B4129" s="3" t="s">
        <v>921</v>
      </c>
      <c r="C4129" s="10" t="s">
        <v>848</v>
      </c>
      <c r="D4129" s="28">
        <f>Capital!$D$13</f>
        <v>57.347931490590682</v>
      </c>
      <c r="G4129" s="99" t="s">
        <v>922</v>
      </c>
      <c r="H4129" s="91"/>
      <c r="I4129" s="91"/>
      <c r="J4129" s="28">
        <f>($D$4129/Inputs!$D$21+$D$4130/Inputs!$D$22)/$D$4127</f>
        <v>16.07538460873031</v>
      </c>
      <c r="K4129" s="99" t="s">
        <v>919</v>
      </c>
      <c r="L4129" s="91"/>
      <c r="M4129" s="91"/>
    </row>
    <row r="4130" spans="2:13" ht="15" customHeight="1" x14ac:dyDescent="0.2">
      <c r="B4130" s="3" t="s">
        <v>923</v>
      </c>
      <c r="C4130" s="10" t="s">
        <v>848</v>
      </c>
      <c r="D4130" s="28">
        <f>Capital!$D$14</f>
        <v>2.6172655041921802</v>
      </c>
    </row>
    <row r="4131" spans="2:13" ht="15" customHeight="1" x14ac:dyDescent="0.2">
      <c r="B4131" s="10" t="s">
        <v>924</v>
      </c>
      <c r="C4131" s="10" t="s">
        <v>896</v>
      </c>
      <c r="D4131" s="28">
        <f>(M4104*(Inputs!$D$7+Inputs!$D$20)*$D$4127*(Inputs!$D$7-Inputs!$D$19)-M4104*Inputs!$D$20*Inputs!$D$23)/($D$4128-Inputs!$D$20)/(Inputs!$D$7+$D$4128)^M4102</f>
        <v>1807.6547922951956</v>
      </c>
      <c r="G4131" s="92" t="s">
        <v>910</v>
      </c>
      <c r="H4131" s="91"/>
      <c r="I4131" s="91"/>
      <c r="J4131" s="28">
        <f>SUM(D4123:M4123)+(M4104*(Inputs!$D$7+Inputs!$D$20)*$D$4127-M4104*Inputs!$D$20*Inputs!$D$23)/($D$4128-Inputs!$D$20)/(Inputs!$D$7+$D$4128)^M4102</f>
        <v>6737.5559875731687</v>
      </c>
      <c r="K4131" s="99" t="s">
        <v>896</v>
      </c>
      <c r="L4131" s="91"/>
      <c r="M4131" s="91"/>
    </row>
    <row r="4132" spans="2:13" ht="15" customHeight="1" x14ac:dyDescent="0.2">
      <c r="B4132" s="10" t="s">
        <v>925</v>
      </c>
      <c r="C4132" s="10" t="s">
        <v>110</v>
      </c>
      <c r="D4132" s="16">
        <f>(D4135*Inputs!$D$19-D4135-D4136)/($D$4128-Inputs!$D$20)/(Inputs!$D$7+$D$4128)^M4102</f>
        <v>-33287.494112345899</v>
      </c>
      <c r="G4132" s="92" t="s">
        <v>926</v>
      </c>
      <c r="H4132" s="91"/>
      <c r="I4132" s="91"/>
      <c r="J4132" s="16">
        <f>SUM(D4124:M4124)-(D4135+D4136)/($D$4128-Inputs!$D$20)/(Inputs!$D$7+$D$4128)^M4102</f>
        <v>-145733.9249554922</v>
      </c>
      <c r="K4132" s="99" t="s">
        <v>110</v>
      </c>
      <c r="L4132" s="91"/>
      <c r="M4132" s="91"/>
    </row>
    <row r="4133" spans="2:13" ht="15" customHeight="1" x14ac:dyDescent="0.2">
      <c r="B4133" s="10" t="s">
        <v>927</v>
      </c>
      <c r="C4133" s="10" t="s">
        <v>928</v>
      </c>
      <c r="D4133" s="16">
        <f>(M4104*(Inputs!$D$7+Inputs!$D$20)*$D$4126*$D$4127-D4135)-MAX((M4104*(Inputs!$D$7+Inputs!$D$20)*$D$4126*$D$4127-D4135),Inputs!$D$6)*Inputs!$D$19-D4136-M4104*Inputs!$D$20*$D$4126*Inputs!$D$23</f>
        <v>15213.937000139627</v>
      </c>
      <c r="G4133" s="99" t="s">
        <v>929</v>
      </c>
      <c r="H4133" s="91"/>
      <c r="I4133" s="91"/>
      <c r="J4133" s="28">
        <f>(D4125-D4138)/D4137</f>
        <v>33.154071166121973</v>
      </c>
      <c r="K4133" s="99" t="s">
        <v>919</v>
      </c>
      <c r="L4133" s="91"/>
      <c r="M4133" s="91"/>
    </row>
    <row r="4134" spans="2:13" ht="15" customHeight="1" x14ac:dyDescent="0.2">
      <c r="B4134" s="10" t="s">
        <v>930</v>
      </c>
      <c r="C4134" s="10" t="s">
        <v>110</v>
      </c>
      <c r="D4134" s="16">
        <f>D4133/($D$4128-Inputs!$D$20)</f>
        <v>112695.82963066389</v>
      </c>
      <c r="G4134" s="99" t="s">
        <v>931</v>
      </c>
      <c r="H4134" s="91"/>
      <c r="I4134" s="91"/>
      <c r="J4134" s="16">
        <f>MIN(D4118:M4118,(M4104*(Inputs!$D$7+Inputs!$D$20)*$D$4126*$D$4127-D4135))</f>
        <v>1187.9931563787918</v>
      </c>
      <c r="K4134" s="99" t="s">
        <v>110</v>
      </c>
      <c r="L4134" s="91"/>
      <c r="M4134" s="91"/>
    </row>
    <row r="4135" spans="2:13" ht="15" customHeight="1" x14ac:dyDescent="0.2">
      <c r="B4135" s="10" t="s">
        <v>932</v>
      </c>
      <c r="C4135" s="10" t="s">
        <v>928</v>
      </c>
      <c r="D4135" s="16">
        <f>M4104*(Inputs!$D$7+Inputs!$D$20)*($D$4129/Inputs!$D$21+$D$4130/Inputs!$D$22)</f>
        <v>23727.267682485937</v>
      </c>
      <c r="G4135" s="99" t="s">
        <v>933</v>
      </c>
      <c r="H4135" s="91"/>
      <c r="I4135" s="91"/>
      <c r="J4135" s="31" t="str">
        <f>IF(J4134&lt;Inputs!$D$6,"breached","satisfied")</f>
        <v>satisfied</v>
      </c>
      <c r="K4135" s="99" t="s">
        <v>934</v>
      </c>
      <c r="L4135" s="91"/>
      <c r="M4135" s="91"/>
    </row>
    <row r="4136" spans="2:13" ht="15" customHeight="1" x14ac:dyDescent="0.2">
      <c r="B4136" s="10" t="s">
        <v>935</v>
      </c>
      <c r="C4136" s="10" t="s">
        <v>928</v>
      </c>
      <c r="D4136" s="16">
        <f>M4104*Inputs!$D$20*($D$4129+$D$4130)</f>
        <v>2398.6078797913146</v>
      </c>
    </row>
    <row r="4137" spans="2:13" ht="15" customHeight="1" x14ac:dyDescent="0.2">
      <c r="B4137" s="10" t="s">
        <v>936</v>
      </c>
      <c r="C4137" s="10" t="s">
        <v>896</v>
      </c>
      <c r="D4137" s="28">
        <f>SUM(D4114:M4114)+D4131</f>
        <v>4708.2790601495317</v>
      </c>
      <c r="G4137" s="99" t="s">
        <v>937</v>
      </c>
      <c r="H4137" s="91"/>
      <c r="I4137" s="91"/>
      <c r="J4137" s="16">
        <f>D4139-D4125</f>
        <v>0</v>
      </c>
      <c r="K4137" s="99" t="s">
        <v>110</v>
      </c>
      <c r="L4137" s="91"/>
      <c r="M4137" s="91"/>
    </row>
    <row r="4138" spans="2:13" ht="15" customHeight="1" x14ac:dyDescent="0.2">
      <c r="B4138" s="10" t="s">
        <v>938</v>
      </c>
      <c r="C4138" s="10" t="s">
        <v>110</v>
      </c>
      <c r="D4138" s="16">
        <f>SUM(D4115:M4115)+D4132</f>
        <v>-113112.51786953473</v>
      </c>
    </row>
    <row r="4139" spans="2:13" ht="15" customHeight="1" x14ac:dyDescent="0.2">
      <c r="B4139" s="10" t="s">
        <v>939</v>
      </c>
      <c r="C4139" s="10" t="s">
        <v>110</v>
      </c>
      <c r="D4139" s="16">
        <f>SUM(D4122:M4122)+D4134/(Inputs!$D$7+$D$4128)^M4102</f>
        <v>42986.101160624748</v>
      </c>
    </row>
    <row r="4140" spans="2:13" ht="15" customHeight="1" x14ac:dyDescent="0.2">
      <c r="B4140" s="10" t="s">
        <v>940</v>
      </c>
      <c r="C4140" s="10" t="s">
        <v>104</v>
      </c>
      <c r="D4140" s="30">
        <f>IF(ABS(D4125)&gt;Inputs!$D$6,D4139/D4125-Inputs!$D$7,Inputs!$D$6)</f>
        <v>4.4408920985006262E-16</v>
      </c>
    </row>
    <row r="4141" spans="2:13" ht="15" customHeight="1" x14ac:dyDescent="0.2">
      <c r="B4141" s="10" t="s">
        <v>941</v>
      </c>
      <c r="C4141" s="10" t="s">
        <v>104</v>
      </c>
      <c r="D4141" s="30">
        <f>IF(ABS(D4139)&gt;Inputs!$D$119,D4134/(Inputs!$D$7+$D$4128)^M4102/D4139,Inputs!$D$6)</f>
        <v>0.61981944851504722</v>
      </c>
    </row>
    <row r="4142" spans="2:13" ht="15" customHeight="1" x14ac:dyDescent="0.2">
      <c r="B4142" s="10" t="s">
        <v>942</v>
      </c>
      <c r="C4142" s="10" t="s">
        <v>943</v>
      </c>
      <c r="D4142" s="26">
        <f>$D$4126*Inputs!$D$8/Prices!$P$6/(Inputs!$D$26/Inputs!$D$25)/Inputs!$D$11/Inputs!$D$56</f>
        <v>6.0291685477909347</v>
      </c>
    </row>
    <row r="4146" spans="1:13" ht="15" customHeight="1" x14ac:dyDescent="0.2">
      <c r="A4146" s="104" t="s">
        <v>1033</v>
      </c>
      <c r="B4146" s="10" t="s">
        <v>886</v>
      </c>
      <c r="C4146" s="10" t="s">
        <v>107</v>
      </c>
      <c r="D4146" s="28">
        <f>Inputs!$D$60</f>
        <v>1</v>
      </c>
      <c r="E4146" s="28">
        <f>Inputs!$D$62</f>
        <v>2</v>
      </c>
      <c r="F4146" s="28">
        <f>Inputs!$D$64</f>
        <v>3</v>
      </c>
      <c r="G4146" s="28">
        <f>Inputs!$D$66</f>
        <v>4</v>
      </c>
      <c r="H4146" s="28">
        <f>Inputs!$D$68</f>
        <v>5</v>
      </c>
      <c r="I4146" s="28">
        <f>Inputs!$D$70</f>
        <v>6</v>
      </c>
      <c r="J4146" s="28">
        <f>Inputs!$D$72</f>
        <v>7</v>
      </c>
      <c r="K4146" s="28">
        <f>Inputs!$D$74</f>
        <v>8</v>
      </c>
      <c r="L4146" s="28">
        <f>Inputs!$D$76</f>
        <v>9</v>
      </c>
      <c r="M4146" s="28">
        <f>Inputs!$D$78</f>
        <v>10</v>
      </c>
    </row>
    <row r="4147" spans="1:13" ht="15" customHeight="1" x14ac:dyDescent="0.2">
      <c r="A4147" s="91"/>
      <c r="B4147" s="10" t="s">
        <v>887</v>
      </c>
      <c r="C4147" s="10" t="s">
        <v>161</v>
      </c>
      <c r="D4147" s="29">
        <f>Inputs!$D$61</f>
        <v>46568</v>
      </c>
      <c r="E4147" s="29">
        <f>Inputs!$D$63</f>
        <v>46934</v>
      </c>
      <c r="F4147" s="29">
        <f>Inputs!$D$65</f>
        <v>47299</v>
      </c>
      <c r="G4147" s="29">
        <f>Inputs!$D$67</f>
        <v>47664</v>
      </c>
      <c r="H4147" s="29">
        <f>Inputs!$D$69</f>
        <v>48029</v>
      </c>
      <c r="I4147" s="29">
        <f>Inputs!$D$71</f>
        <v>48395</v>
      </c>
      <c r="J4147" s="29">
        <f>Inputs!$D$73</f>
        <v>48760</v>
      </c>
      <c r="K4147" s="29">
        <f>Inputs!$D$75</f>
        <v>49125</v>
      </c>
      <c r="L4147" s="29">
        <f>Inputs!$D$77</f>
        <v>49490</v>
      </c>
      <c r="M4147" s="29">
        <f>Inputs!$D$79</f>
        <v>49856</v>
      </c>
    </row>
    <row r="4148" spans="1:13" ht="15" customHeight="1" x14ac:dyDescent="0.2">
      <c r="A4148" s="91"/>
      <c r="B4148" s="10" t="s">
        <v>888</v>
      </c>
      <c r="C4148" s="10" t="s">
        <v>107</v>
      </c>
      <c r="D4148" s="28">
        <f>(D4147-Inputs!$D$13)/Inputs!$D$10</f>
        <v>0.71457905544147848</v>
      </c>
      <c r="E4148" s="28">
        <f>(E4147-Inputs!$D$13)/Inputs!$D$10</f>
        <v>1.7166324435318274</v>
      </c>
      <c r="F4148" s="28">
        <f>(F4147-Inputs!$D$13)/Inputs!$D$10</f>
        <v>2.7159479808350446</v>
      </c>
      <c r="G4148" s="28">
        <f>(G4147-Inputs!$D$13)/Inputs!$D$10</f>
        <v>3.7152635181382614</v>
      </c>
      <c r="H4148" s="28">
        <f>(H4147-Inputs!$D$13)/Inputs!$D$10</f>
        <v>4.7145790554414786</v>
      </c>
      <c r="I4148" s="28">
        <f>(I4147-Inputs!$D$13)/Inputs!$D$10</f>
        <v>5.7166324435318279</v>
      </c>
      <c r="J4148" s="28">
        <f>(J4147-Inputs!$D$13)/Inputs!$D$10</f>
        <v>6.7159479808350442</v>
      </c>
      <c r="K4148" s="28">
        <f>(K4147-Inputs!$D$13)/Inputs!$D$10</f>
        <v>7.7152635181382614</v>
      </c>
      <c r="L4148" s="28">
        <f>(L4147-Inputs!$D$13)/Inputs!$D$10</f>
        <v>8.7145790554414777</v>
      </c>
      <c r="M4148" s="28">
        <f>(M4147-Inputs!$D$13)/Inputs!$D$10</f>
        <v>9.716632443531827</v>
      </c>
    </row>
    <row r="4149" spans="1:13" ht="15" customHeight="1" x14ac:dyDescent="0.2">
      <c r="A4149" s="91"/>
      <c r="B4149" s="10" t="s">
        <v>889</v>
      </c>
      <c r="C4149" s="10" t="s">
        <v>107</v>
      </c>
      <c r="D4149" s="28">
        <f>D4148</f>
        <v>0.71457905544147848</v>
      </c>
      <c r="E4149" s="28">
        <f>Inputs!$D$7</f>
        <v>1</v>
      </c>
      <c r="F4149" s="28">
        <f>Inputs!$D$7</f>
        <v>1</v>
      </c>
      <c r="G4149" s="28">
        <f>Inputs!$D$7</f>
        <v>1</v>
      </c>
      <c r="H4149" s="28">
        <f>Inputs!$D$7</f>
        <v>1</v>
      </c>
      <c r="I4149" s="28">
        <f>Inputs!$D$7</f>
        <v>1</v>
      </c>
      <c r="J4149" s="28">
        <f>Inputs!$D$7</f>
        <v>1</v>
      </c>
      <c r="K4149" s="28">
        <f>Inputs!$D$7</f>
        <v>1</v>
      </c>
      <c r="L4149" s="28">
        <f>Inputs!$D$7</f>
        <v>1</v>
      </c>
      <c r="M4149" s="28">
        <f>Inputs!$D$7</f>
        <v>1</v>
      </c>
    </row>
    <row r="4150" spans="1:13" ht="15" customHeight="1" x14ac:dyDescent="0.2">
      <c r="A4150" s="91"/>
      <c r="B4150" s="3" t="s">
        <v>890</v>
      </c>
      <c r="C4150" s="10" t="s">
        <v>199</v>
      </c>
      <c r="D4150" s="28">
        <f>Inputs!$D$24+(Inputs!$D$80-Inputs!$D$24)*Inputs!$D$83</f>
        <v>305.5</v>
      </c>
      <c r="E4150" s="28">
        <f>Inputs!$D$24+(Inputs!$D$80-Inputs!$D$24)*Inputs!$D$84</f>
        <v>651.5</v>
      </c>
      <c r="F4150" s="28">
        <f>Inputs!$D$24+(Inputs!$D$80-Inputs!$D$24)*Inputs!$D$85</f>
        <v>911</v>
      </c>
      <c r="G4150" s="28">
        <f>Inputs!$D$24+(Inputs!$D$80-Inputs!$D$24)*Inputs!$D$86</f>
        <v>911</v>
      </c>
      <c r="H4150" s="28">
        <f>Inputs!$D$24+(Inputs!$D$80-Inputs!$D$24)*Inputs!$D$87</f>
        <v>911</v>
      </c>
      <c r="I4150" s="28">
        <f>Inputs!$D$24+(Inputs!$D$80-Inputs!$D$24)*Inputs!$D$88</f>
        <v>911</v>
      </c>
      <c r="J4150" s="28">
        <f>Inputs!$D$24+(Inputs!$D$80-Inputs!$D$24)*Inputs!$D$89</f>
        <v>911</v>
      </c>
      <c r="K4150" s="28">
        <f>Inputs!$D$24+(Inputs!$D$80-Inputs!$D$24)*Inputs!$D$90</f>
        <v>911</v>
      </c>
      <c r="L4150" s="28">
        <f>Inputs!$D$24+(Inputs!$D$80-Inputs!$D$24)*Inputs!$D$91</f>
        <v>911</v>
      </c>
      <c r="M4150" s="28">
        <f>Inputs!$D$24+(Inputs!$D$80-Inputs!$D$24)*Inputs!$D$92</f>
        <v>911</v>
      </c>
    </row>
    <row r="4151" spans="1:13" ht="15" customHeight="1" x14ac:dyDescent="0.2">
      <c r="A4151" s="91"/>
      <c r="B4151" s="10" t="s">
        <v>891</v>
      </c>
      <c r="C4151" s="10" t="s">
        <v>199</v>
      </c>
      <c r="D4151" s="28">
        <f>Inputs!$D$24</f>
        <v>46</v>
      </c>
      <c r="E4151" s="28">
        <f t="shared" ref="E4151:M4151" si="900">D4150</f>
        <v>305.5</v>
      </c>
      <c r="F4151" s="28">
        <f t="shared" si="900"/>
        <v>651.5</v>
      </c>
      <c r="G4151" s="28">
        <f t="shared" si="900"/>
        <v>911</v>
      </c>
      <c r="H4151" s="28">
        <f t="shared" si="900"/>
        <v>911</v>
      </c>
      <c r="I4151" s="28">
        <f t="shared" si="900"/>
        <v>911</v>
      </c>
      <c r="J4151" s="28">
        <f t="shared" si="900"/>
        <v>911</v>
      </c>
      <c r="K4151" s="28">
        <f t="shared" si="900"/>
        <v>911</v>
      </c>
      <c r="L4151" s="28">
        <f t="shared" si="900"/>
        <v>911</v>
      </c>
      <c r="M4151" s="28">
        <f t="shared" si="900"/>
        <v>911</v>
      </c>
    </row>
    <row r="4152" spans="1:13" ht="15" customHeight="1" x14ac:dyDescent="0.2">
      <c r="B4152" s="10" t="s">
        <v>892</v>
      </c>
      <c r="C4152" s="10" t="s">
        <v>199</v>
      </c>
      <c r="D4152" s="28">
        <f>(D4151+D4150)*Inputs!$D$12</f>
        <v>175.75</v>
      </c>
      <c r="E4152" s="28">
        <f>(E4151+E4150)*Inputs!$D$12</f>
        <v>478.5</v>
      </c>
      <c r="F4152" s="28">
        <f>(F4151+F4150)*Inputs!$D$12</f>
        <v>781.25</v>
      </c>
      <c r="G4152" s="28">
        <f>(G4151+G4150)*Inputs!$D$12</f>
        <v>911</v>
      </c>
      <c r="H4152" s="28">
        <f>(H4151+H4150)*Inputs!$D$12</f>
        <v>911</v>
      </c>
      <c r="I4152" s="28">
        <f>(I4151+I4150)*Inputs!$D$12</f>
        <v>911</v>
      </c>
      <c r="J4152" s="28">
        <f>(J4151+J4150)*Inputs!$D$12</f>
        <v>911</v>
      </c>
      <c r="K4152" s="28">
        <f>(K4151+K4150)*Inputs!$D$12</f>
        <v>911</v>
      </c>
      <c r="L4152" s="28">
        <f>(L4151+L4150)*Inputs!$D$12</f>
        <v>911</v>
      </c>
      <c r="M4152" s="28">
        <f>(M4151+M4150)*Inputs!$D$12</f>
        <v>911</v>
      </c>
    </row>
    <row r="4153" spans="1:13" ht="15" customHeight="1" x14ac:dyDescent="0.2">
      <c r="B4153" s="10" t="s">
        <v>893</v>
      </c>
      <c r="C4153" s="10" t="s">
        <v>199</v>
      </c>
      <c r="D4153" s="28">
        <f t="shared" ref="D4153:M4153" si="901">D4150-D4151</f>
        <v>259.5</v>
      </c>
      <c r="E4153" s="28">
        <f t="shared" si="901"/>
        <v>346</v>
      </c>
      <c r="F4153" s="28">
        <f t="shared" si="901"/>
        <v>259.5</v>
      </c>
      <c r="G4153" s="28">
        <f t="shared" si="901"/>
        <v>0</v>
      </c>
      <c r="H4153" s="28">
        <f t="shared" si="901"/>
        <v>0</v>
      </c>
      <c r="I4153" s="28">
        <f t="shared" si="901"/>
        <v>0</v>
      </c>
      <c r="J4153" s="28">
        <f t="shared" si="901"/>
        <v>0</v>
      </c>
      <c r="K4153" s="28">
        <f t="shared" si="901"/>
        <v>0</v>
      </c>
      <c r="L4153" s="28">
        <f t="shared" si="901"/>
        <v>0</v>
      </c>
      <c r="M4153" s="28">
        <f t="shared" si="901"/>
        <v>0</v>
      </c>
    </row>
    <row r="4154" spans="1:13" ht="15" customHeight="1" x14ac:dyDescent="0.2">
      <c r="B4154" s="10" t="s">
        <v>894</v>
      </c>
      <c r="C4154" s="10" t="s">
        <v>199</v>
      </c>
      <c r="D4154" s="28">
        <f>IF(MOD(D4146,Inputs!$D$21)=Inputs!$D$6,Inputs!$D$24,Inputs!$D$6)+SUMPRODUCT(--(D4146&gt;$D$4146:$M$4146),--(MOD(D4146-$D$4146:$M$4146,Inputs!$D$21)=Inputs!$D$6),$D$4153:$M$4153)</f>
        <v>0</v>
      </c>
      <c r="E4154" s="28">
        <f>IF(MOD(E4146,Inputs!$D$21)=Inputs!$D$6,Inputs!$D$24,Inputs!$D$6)+SUMPRODUCT(--(E4146&gt;$D$4146:$M$4146),--(MOD(E4146-$D$4146:$M$4146,Inputs!$D$21)=Inputs!$D$6),$D$4153:$M$4153)</f>
        <v>0</v>
      </c>
      <c r="F4154" s="28">
        <f>IF(MOD(F4146,Inputs!$D$21)=Inputs!$D$6,Inputs!$D$24,Inputs!$D$6)+SUMPRODUCT(--(F4146&gt;$D$4146:$M$4146),--(MOD(F4146-$D$4146:$M$4146,Inputs!$D$21)=Inputs!$D$6),$D$4153:$M$4153)</f>
        <v>0</v>
      </c>
      <c r="G4154" s="28">
        <f>IF(MOD(G4146,Inputs!$D$21)=Inputs!$D$6,Inputs!$D$24,Inputs!$D$6)+SUMPRODUCT(--(G4146&gt;$D$4146:$M$4146),--(MOD(G4146-$D$4146:$M$4146,Inputs!$D$21)=Inputs!$D$6),$D$4153:$M$4153)</f>
        <v>46</v>
      </c>
      <c r="H4154" s="28">
        <f>IF(MOD(H4146,Inputs!$D$21)=Inputs!$D$6,Inputs!$D$24,Inputs!$D$6)+SUMPRODUCT(--(H4146&gt;$D$4146:$M$4146),--(MOD(H4146-$D$4146:$M$4146,Inputs!$D$21)=Inputs!$D$6),$D$4153:$M$4153)</f>
        <v>259.5</v>
      </c>
      <c r="I4154" s="28">
        <f>IF(MOD(I4146,Inputs!$D$21)=Inputs!$D$6,Inputs!$D$24,Inputs!$D$6)+SUMPRODUCT(--(I4146&gt;$D$4146:$M$4146),--(MOD(I4146-$D$4146:$M$4146,Inputs!$D$21)=Inputs!$D$6),$D$4153:$M$4153)</f>
        <v>346</v>
      </c>
      <c r="J4154" s="28">
        <f>IF(MOD(J4146,Inputs!$D$21)=Inputs!$D$6,Inputs!$D$24,Inputs!$D$6)+SUMPRODUCT(--(J4146&gt;$D$4146:$M$4146),--(MOD(J4146-$D$4146:$M$4146,Inputs!$D$21)=Inputs!$D$6),$D$4153:$M$4153)</f>
        <v>259.5</v>
      </c>
      <c r="K4154" s="28">
        <f>IF(MOD(K4146,Inputs!$D$21)=Inputs!$D$6,Inputs!$D$24,Inputs!$D$6)+SUMPRODUCT(--(K4146&gt;$D$4146:$M$4146),--(MOD(K4146-$D$4146:$M$4146,Inputs!$D$21)=Inputs!$D$6),$D$4153:$M$4153)</f>
        <v>46</v>
      </c>
      <c r="L4154" s="28">
        <f>IF(MOD(L4146,Inputs!$D$21)=Inputs!$D$6,Inputs!$D$24,Inputs!$D$6)+SUMPRODUCT(--(L4146&gt;$D$4146:$M$4146),--(MOD(L4146-$D$4146:$M$4146,Inputs!$D$21)=Inputs!$D$6),$D$4153:$M$4153)</f>
        <v>259.5</v>
      </c>
      <c r="M4154" s="28">
        <f>IF(MOD(M4146,Inputs!$D$21)=Inputs!$D$6,Inputs!$D$24,Inputs!$D$6)+SUMPRODUCT(--(M4146&gt;$D$4146:$M$4146),--(MOD(M4146-$D$4146:$M$4146,Inputs!$D$21)=Inputs!$D$6),$D$4153:$M$4153)</f>
        <v>346</v>
      </c>
    </row>
    <row r="4155" spans="1:13" ht="15" customHeight="1" x14ac:dyDescent="0.2">
      <c r="B4155" s="10" t="s">
        <v>895</v>
      </c>
      <c r="C4155" s="10" t="s">
        <v>896</v>
      </c>
      <c r="D4155" s="28">
        <f t="shared" ref="D4155:M4155" si="902">D4152*D4149</f>
        <v>125.58726899383984</v>
      </c>
      <c r="E4155" s="28">
        <f t="shared" si="902"/>
        <v>478.5</v>
      </c>
      <c r="F4155" s="28">
        <f t="shared" si="902"/>
        <v>781.25</v>
      </c>
      <c r="G4155" s="28">
        <f t="shared" si="902"/>
        <v>911</v>
      </c>
      <c r="H4155" s="28">
        <f t="shared" si="902"/>
        <v>911</v>
      </c>
      <c r="I4155" s="28">
        <f t="shared" si="902"/>
        <v>911</v>
      </c>
      <c r="J4155" s="28">
        <f t="shared" si="902"/>
        <v>911</v>
      </c>
      <c r="K4155" s="28">
        <f t="shared" si="902"/>
        <v>911</v>
      </c>
      <c r="L4155" s="28">
        <f t="shared" si="902"/>
        <v>911</v>
      </c>
      <c r="M4155" s="28">
        <f t="shared" si="902"/>
        <v>911</v>
      </c>
    </row>
    <row r="4156" spans="1:13" ht="15" customHeight="1" x14ac:dyDescent="0.2">
      <c r="B4156" s="10" t="s">
        <v>897</v>
      </c>
      <c r="C4156" s="10" t="s">
        <v>110</v>
      </c>
      <c r="D4156" s="16">
        <f>D4155*($D$4175/Inputs!$D$21+$D$4176/Inputs!$D$22)</f>
        <v>1816.9772859324419</v>
      </c>
      <c r="E4156" s="16">
        <f>E4155*($D$4175/Inputs!$D$21+$D$4176/Inputs!$D$22)</f>
        <v>6922.8643817497086</v>
      </c>
      <c r="F4156" s="16">
        <f>F4155*($D$4175/Inputs!$D$21+$D$4176/Inputs!$D$22)</f>
        <v>11303.0048030135</v>
      </c>
      <c r="G4156" s="16">
        <f>G4155*($D$4175/Inputs!$D$21+$D$4176/Inputs!$D$22)</f>
        <v>13180.207840697982</v>
      </c>
      <c r="H4156" s="16">
        <f>H4155*($D$4175/Inputs!$D$21+$D$4176/Inputs!$D$22)</f>
        <v>13180.207840697982</v>
      </c>
      <c r="I4156" s="16">
        <f>I4155*($D$4175/Inputs!$D$21+$D$4176/Inputs!$D$22)</f>
        <v>13180.207840697982</v>
      </c>
      <c r="J4156" s="16">
        <f>J4155*($D$4175/Inputs!$D$21+$D$4176/Inputs!$D$22)</f>
        <v>13180.207840697982</v>
      </c>
      <c r="K4156" s="16">
        <f>K4155*($D$4175/Inputs!$D$21+$D$4176/Inputs!$D$22)</f>
        <v>13180.207840697982</v>
      </c>
      <c r="L4156" s="16">
        <f>L4155*($D$4175/Inputs!$D$21+$D$4176/Inputs!$D$22)</f>
        <v>13180.207840697982</v>
      </c>
      <c r="M4156" s="16">
        <f>M4155*($D$4175/Inputs!$D$21+$D$4176/Inputs!$D$22)</f>
        <v>13180.207840697982</v>
      </c>
    </row>
    <row r="4157" spans="1:13" ht="15" customHeight="1" x14ac:dyDescent="0.2">
      <c r="B4157" s="10" t="s">
        <v>898</v>
      </c>
      <c r="C4157" s="10" t="s">
        <v>110</v>
      </c>
      <c r="D4157" s="16">
        <f t="shared" ref="D4157:M4157" si="903">D4153*($D$4175+$D$4176)</f>
        <v>15560.968620146154</v>
      </c>
      <c r="E4157" s="16">
        <f t="shared" si="903"/>
        <v>20747.95816019487</v>
      </c>
      <c r="F4157" s="16">
        <f t="shared" si="903"/>
        <v>15560.968620146154</v>
      </c>
      <c r="G4157" s="16">
        <f t="shared" si="903"/>
        <v>0</v>
      </c>
      <c r="H4157" s="16">
        <f t="shared" si="903"/>
        <v>0</v>
      </c>
      <c r="I4157" s="16">
        <f t="shared" si="903"/>
        <v>0</v>
      </c>
      <c r="J4157" s="16">
        <f t="shared" si="903"/>
        <v>0</v>
      </c>
      <c r="K4157" s="16">
        <f t="shared" si="903"/>
        <v>0</v>
      </c>
      <c r="L4157" s="16">
        <f t="shared" si="903"/>
        <v>0</v>
      </c>
      <c r="M4157" s="16">
        <f t="shared" si="903"/>
        <v>0</v>
      </c>
    </row>
    <row r="4158" spans="1:13" ht="15" customHeight="1" x14ac:dyDescent="0.2">
      <c r="B4158" s="10" t="s">
        <v>899</v>
      </c>
      <c r="C4158" s="10" t="s">
        <v>110</v>
      </c>
      <c r="D4158" s="16">
        <f t="shared" ref="D4158:M4158" si="904">D4154*$D$4175</f>
        <v>0</v>
      </c>
      <c r="E4158" s="16">
        <f t="shared" si="904"/>
        <v>0</v>
      </c>
      <c r="F4158" s="16">
        <f t="shared" si="904"/>
        <v>0</v>
      </c>
      <c r="G4158" s="16">
        <f t="shared" si="904"/>
        <v>2638.0048485671714</v>
      </c>
      <c r="H4158" s="16">
        <f t="shared" si="904"/>
        <v>14881.788221808281</v>
      </c>
      <c r="I4158" s="16">
        <f t="shared" si="904"/>
        <v>19842.384295744378</v>
      </c>
      <c r="J4158" s="16">
        <f t="shared" si="904"/>
        <v>14881.788221808281</v>
      </c>
      <c r="K4158" s="16">
        <f t="shared" si="904"/>
        <v>2638.0048485671714</v>
      </c>
      <c r="L4158" s="16">
        <f t="shared" si="904"/>
        <v>14881.788221808281</v>
      </c>
      <c r="M4158" s="16">
        <f t="shared" si="904"/>
        <v>19842.384295744378</v>
      </c>
    </row>
    <row r="4159" spans="1:13" ht="15" customHeight="1" x14ac:dyDescent="0.2">
      <c r="B4159" s="10" t="s">
        <v>900</v>
      </c>
      <c r="C4159" s="10" t="s">
        <v>199</v>
      </c>
      <c r="D4159" s="28">
        <f>D4153*Inputs!$D$23</f>
        <v>6.4875000000000007</v>
      </c>
      <c r="E4159" s="28">
        <f>E4153*Inputs!$D$23</f>
        <v>8.65</v>
      </c>
      <c r="F4159" s="28">
        <f>F4153*Inputs!$D$23</f>
        <v>6.4875000000000007</v>
      </c>
      <c r="G4159" s="28">
        <f>G4153*Inputs!$D$23</f>
        <v>0</v>
      </c>
      <c r="H4159" s="28">
        <f>H4153*Inputs!$D$23</f>
        <v>0</v>
      </c>
      <c r="I4159" s="28">
        <f>I4153*Inputs!$D$23</f>
        <v>0</v>
      </c>
      <c r="J4159" s="28">
        <f>J4153*Inputs!$D$23</f>
        <v>0</v>
      </c>
      <c r="K4159" s="28">
        <f>K4153*Inputs!$D$23</f>
        <v>0</v>
      </c>
      <c r="L4159" s="28">
        <f>L4153*Inputs!$D$23</f>
        <v>0</v>
      </c>
      <c r="M4159" s="28">
        <f>M4153*Inputs!$D$23</f>
        <v>0</v>
      </c>
    </row>
    <row r="4160" spans="1:13" ht="15" customHeight="1" x14ac:dyDescent="0.2">
      <c r="B4160" s="3" t="s">
        <v>901</v>
      </c>
      <c r="C4160" s="10" t="s">
        <v>896</v>
      </c>
      <c r="D4160" s="28">
        <f>(D4155*$D$4173*(Inputs!$D$7-Inputs!$D$19)-D4159)/(Inputs!$D$7+$D$4174)^D4148</f>
        <v>43.213488846686175</v>
      </c>
      <c r="E4160" s="28">
        <f>(E4155*$D$4173*(Inputs!$D$7-Inputs!$D$19)-E4159)/(Inputs!$D$7+$D$4174)^E4148</f>
        <v>163.29332190458183</v>
      </c>
      <c r="F4160" s="28">
        <f>(F4155*$D$4173*(Inputs!$D$7-Inputs!$D$19)-F4159)/(Inputs!$D$7+$D$4174)^F4148</f>
        <v>248.28260771010829</v>
      </c>
      <c r="G4160" s="28">
        <f>(G4155*$D$4173*(Inputs!$D$7-Inputs!$D$19)-G4159)/(Inputs!$D$7+$D$4174)^G4148</f>
        <v>268.5238926419492</v>
      </c>
      <c r="H4160" s="28">
        <f>(H4155*$D$4173*(Inputs!$D$7-Inputs!$D$19)-H4159)/(Inputs!$D$7+$D$4174)^H4148</f>
        <v>244.12855518959191</v>
      </c>
      <c r="I4160" s="28">
        <f>(I4155*$D$4173*(Inputs!$D$7-Inputs!$D$19)-I4159)/(Inputs!$D$7+$D$4174)^I4148</f>
        <v>221.8916197826434</v>
      </c>
      <c r="J4160" s="28">
        <f>(J4155*$D$4173*(Inputs!$D$7-Inputs!$D$19)-J4159)/(Inputs!$D$7+$D$4174)^J4148</f>
        <v>201.73281421346593</v>
      </c>
      <c r="K4160" s="28">
        <f>(K4155*$D$4173*(Inputs!$D$7-Inputs!$D$19)-K4159)/(Inputs!$D$7+$D$4174)^K4148</f>
        <v>183.40543176145695</v>
      </c>
      <c r="L4160" s="28">
        <f>(L4155*$D$4173*(Inputs!$D$7-Inputs!$D$19)-L4159)/(Inputs!$D$7+$D$4174)^L4148</f>
        <v>166.74308803332551</v>
      </c>
      <c r="M4160" s="28">
        <f>(M4155*$D$4173*(Inputs!$D$7-Inputs!$D$19)-M4159)/(Inputs!$D$7+$D$4174)^M4148</f>
        <v>151.55496194429571</v>
      </c>
    </row>
    <row r="4161" spans="2:13" ht="15" customHeight="1" x14ac:dyDescent="0.2">
      <c r="B4161" s="10" t="s">
        <v>902</v>
      </c>
      <c r="C4161" s="10" t="s">
        <v>110</v>
      </c>
      <c r="D4161" s="16">
        <f>(D4156*Inputs!$D$19-D4157-D4158)/(Inputs!$D$7+$D$4174)^D4148</f>
        <v>-14027.24269342025</v>
      </c>
      <c r="E4161" s="16">
        <f>(E4156*Inputs!$D$19-E4157-E4158)/(Inputs!$D$7+$D$4174)^E4148</f>
        <v>-15853.087323826181</v>
      </c>
      <c r="F4161" s="16">
        <f>(F4156*Inputs!$D$19-F4157-F4158)/(Inputs!$D$7+$D$4174)^F4148</f>
        <v>-9394.4767487293357</v>
      </c>
      <c r="G4161" s="16">
        <f>(G4156*Inputs!$D$19-G4157-G4158)/(Inputs!$D$7+$D$4174)^G4148</f>
        <v>923.61320322684639</v>
      </c>
      <c r="H4161" s="16">
        <f>(H4156*Inputs!$D$19-H4157-H4158)/(Inputs!$D$7+$D$4174)^H4148</f>
        <v>-6972.3744918015345</v>
      </c>
      <c r="I4161" s="16">
        <f>(I4156*Inputs!$D$19-I4157-I4158)/(Inputs!$D$7+$D$4174)^I4148</f>
        <v>-9214.0648467907959</v>
      </c>
      <c r="J4161" s="16">
        <f>(J4156*Inputs!$D$19-J4157-J4158)/(Inputs!$D$7+$D$4174)^J4148</f>
        <v>-5761.5411965591911</v>
      </c>
      <c r="K4161" s="16">
        <f>(K4156*Inputs!$D$19-K4157-K4158)/(Inputs!$D$7+$D$4174)^K4148</f>
        <v>630.8402453567694</v>
      </c>
      <c r="L4161" s="16">
        <f>(L4156*Inputs!$D$19-L4157-L4158)/(Inputs!$D$7+$D$4174)^L4148</f>
        <v>-4762.2255937446444</v>
      </c>
      <c r="M4161" s="16">
        <f>(M4156*Inputs!$D$19-M4157-M4158)/(Inputs!$D$7+$D$4174)^M4148</f>
        <v>-6293.3302689644106</v>
      </c>
    </row>
    <row r="4162" spans="2:13" ht="15" customHeight="1" x14ac:dyDescent="0.2">
      <c r="B4162" s="10" t="s">
        <v>903</v>
      </c>
      <c r="C4162" s="10" t="s">
        <v>110</v>
      </c>
      <c r="D4162" s="16">
        <f t="shared" ref="D4162:M4162" si="905">D4155*$D$4172</f>
        <v>5190.3281610988242</v>
      </c>
      <c r="E4162" s="16">
        <f t="shared" si="905"/>
        <v>19775.667111668849</v>
      </c>
      <c r="F4162" s="16">
        <f t="shared" si="905"/>
        <v>32287.857745018366</v>
      </c>
      <c r="G4162" s="16">
        <f t="shared" si="905"/>
        <v>37650.22515931102</v>
      </c>
      <c r="H4162" s="16">
        <f t="shared" si="905"/>
        <v>37650.22515931102</v>
      </c>
      <c r="I4162" s="16">
        <f t="shared" si="905"/>
        <v>37650.22515931102</v>
      </c>
      <c r="J4162" s="16">
        <f t="shared" si="905"/>
        <v>37650.22515931102</v>
      </c>
      <c r="K4162" s="16">
        <f t="shared" si="905"/>
        <v>37650.22515931102</v>
      </c>
      <c r="L4162" s="16">
        <f t="shared" si="905"/>
        <v>37650.22515931102</v>
      </c>
      <c r="M4162" s="16">
        <f t="shared" si="905"/>
        <v>37650.22515931102</v>
      </c>
    </row>
    <row r="4163" spans="2:13" ht="15" customHeight="1" x14ac:dyDescent="0.2">
      <c r="B4163" s="10" t="s">
        <v>904</v>
      </c>
      <c r="C4163" s="10" t="s">
        <v>110</v>
      </c>
      <c r="D4163" s="16">
        <f t="shared" ref="D4163:M4163" si="906">D4162*$D$4173</f>
        <v>3114.1968966592945</v>
      </c>
      <c r="E4163" s="16">
        <f t="shared" si="906"/>
        <v>11865.400267001309</v>
      </c>
      <c r="F4163" s="16">
        <f t="shared" si="906"/>
        <v>19372.71464701102</v>
      </c>
      <c r="G4163" s="16">
        <f t="shared" si="906"/>
        <v>22590.135095586611</v>
      </c>
      <c r="H4163" s="16">
        <f t="shared" si="906"/>
        <v>22590.135095586611</v>
      </c>
      <c r="I4163" s="16">
        <f t="shared" si="906"/>
        <v>22590.135095586611</v>
      </c>
      <c r="J4163" s="16">
        <f t="shared" si="906"/>
        <v>22590.135095586611</v>
      </c>
      <c r="K4163" s="16">
        <f t="shared" si="906"/>
        <v>22590.135095586611</v>
      </c>
      <c r="L4163" s="16">
        <f t="shared" si="906"/>
        <v>22590.135095586611</v>
      </c>
      <c r="M4163" s="16">
        <f t="shared" si="906"/>
        <v>22590.135095586611</v>
      </c>
    </row>
    <row r="4164" spans="2:13" ht="15" customHeight="1" x14ac:dyDescent="0.2">
      <c r="B4164" s="10" t="s">
        <v>905</v>
      </c>
      <c r="C4164" s="10" t="s">
        <v>110</v>
      </c>
      <c r="D4164" s="16">
        <f t="shared" ref="D4164:M4164" si="907">D4163-D4156</f>
        <v>1297.2196107268526</v>
      </c>
      <c r="E4164" s="16">
        <f t="shared" si="907"/>
        <v>4942.5358852516001</v>
      </c>
      <c r="F4164" s="16">
        <f t="shared" si="907"/>
        <v>8069.7098439975198</v>
      </c>
      <c r="G4164" s="16">
        <f t="shared" si="907"/>
        <v>9409.9272548886292</v>
      </c>
      <c r="H4164" s="16">
        <f t="shared" si="907"/>
        <v>9409.9272548886292</v>
      </c>
      <c r="I4164" s="16">
        <f t="shared" si="907"/>
        <v>9409.9272548886292</v>
      </c>
      <c r="J4164" s="16">
        <f t="shared" si="907"/>
        <v>9409.9272548886292</v>
      </c>
      <c r="K4164" s="16">
        <f t="shared" si="907"/>
        <v>9409.9272548886292</v>
      </c>
      <c r="L4164" s="16">
        <f t="shared" si="907"/>
        <v>9409.9272548886292</v>
      </c>
      <c r="M4164" s="16">
        <f t="shared" si="907"/>
        <v>9409.9272548886292</v>
      </c>
    </row>
    <row r="4165" spans="2:13" ht="15" customHeight="1" x14ac:dyDescent="0.2">
      <c r="B4165" s="10" t="s">
        <v>906</v>
      </c>
      <c r="C4165" s="10" t="s">
        <v>110</v>
      </c>
      <c r="D4165" s="16">
        <f>MAX(D4164,Inputs!$D$6)*Inputs!$D$19</f>
        <v>389.16588321805574</v>
      </c>
      <c r="E4165" s="16">
        <f>MAX(E4164,Inputs!$D$6)*Inputs!$D$19</f>
        <v>1482.76076557548</v>
      </c>
      <c r="F4165" s="16">
        <f>MAX(F4164,Inputs!$D$6)*Inputs!$D$19</f>
        <v>2420.9129531992558</v>
      </c>
      <c r="G4165" s="16">
        <f>MAX(G4164,Inputs!$D$6)*Inputs!$D$19</f>
        <v>2822.9781764665886</v>
      </c>
      <c r="H4165" s="16">
        <f>MAX(H4164,Inputs!$D$6)*Inputs!$D$19</f>
        <v>2822.9781764665886</v>
      </c>
      <c r="I4165" s="16">
        <f>MAX(I4164,Inputs!$D$6)*Inputs!$D$19</f>
        <v>2822.9781764665886</v>
      </c>
      <c r="J4165" s="16">
        <f>MAX(J4164,Inputs!$D$6)*Inputs!$D$19</f>
        <v>2822.9781764665886</v>
      </c>
      <c r="K4165" s="16">
        <f>MAX(K4164,Inputs!$D$6)*Inputs!$D$19</f>
        <v>2822.9781764665886</v>
      </c>
      <c r="L4165" s="16">
        <f>MAX(L4164,Inputs!$D$6)*Inputs!$D$19</f>
        <v>2822.9781764665886</v>
      </c>
      <c r="M4165" s="16">
        <f>MAX(M4164,Inputs!$D$6)*Inputs!$D$19</f>
        <v>2822.9781764665886</v>
      </c>
    </row>
    <row r="4166" spans="2:13" ht="15" customHeight="1" x14ac:dyDescent="0.2">
      <c r="B4166" s="10" t="s">
        <v>907</v>
      </c>
      <c r="C4166" s="10" t="s">
        <v>110</v>
      </c>
      <c r="D4166" s="16">
        <f t="shared" ref="D4166:M4166" si="908">D4159*$D$4172</f>
        <v>268.11837071463253</v>
      </c>
      <c r="E4166" s="16">
        <f t="shared" si="908"/>
        <v>357.49116095284336</v>
      </c>
      <c r="F4166" s="16">
        <f t="shared" si="908"/>
        <v>268.11837071463253</v>
      </c>
      <c r="G4166" s="16">
        <f t="shared" si="908"/>
        <v>0</v>
      </c>
      <c r="H4166" s="16">
        <f t="shared" si="908"/>
        <v>0</v>
      </c>
      <c r="I4166" s="16">
        <f t="shared" si="908"/>
        <v>0</v>
      </c>
      <c r="J4166" s="16">
        <f t="shared" si="908"/>
        <v>0</v>
      </c>
      <c r="K4166" s="16">
        <f t="shared" si="908"/>
        <v>0</v>
      </c>
      <c r="L4166" s="16">
        <f t="shared" si="908"/>
        <v>0</v>
      </c>
      <c r="M4166" s="16">
        <f t="shared" si="908"/>
        <v>0</v>
      </c>
    </row>
    <row r="4167" spans="2:13" ht="15" customHeight="1" x14ac:dyDescent="0.2">
      <c r="B4167" s="10" t="s">
        <v>908</v>
      </c>
      <c r="C4167" s="10" t="s">
        <v>110</v>
      </c>
      <c r="D4167" s="16">
        <f t="shared" ref="D4167:M4167" si="909">D4163-D4165-D4157-D4158-D4166</f>
        <v>-13104.055977419546</v>
      </c>
      <c r="E4167" s="16">
        <f t="shared" si="909"/>
        <v>-10722.809819721884</v>
      </c>
      <c r="F4167" s="16">
        <f t="shared" si="909"/>
        <v>1122.7147029509792</v>
      </c>
      <c r="G4167" s="16">
        <f t="shared" si="909"/>
        <v>17129.152070552849</v>
      </c>
      <c r="H4167" s="16">
        <f t="shared" si="909"/>
        <v>4885.3686973117401</v>
      </c>
      <c r="I4167" s="16">
        <f t="shared" si="909"/>
        <v>-75.227376624356111</v>
      </c>
      <c r="J4167" s="16">
        <f t="shared" si="909"/>
        <v>4885.3686973117401</v>
      </c>
      <c r="K4167" s="16">
        <f t="shared" si="909"/>
        <v>17129.152070552849</v>
      </c>
      <c r="L4167" s="16">
        <f t="shared" si="909"/>
        <v>4885.3686973117401</v>
      </c>
      <c r="M4167" s="16">
        <f t="shared" si="909"/>
        <v>-75.227376624356111</v>
      </c>
    </row>
    <row r="4168" spans="2:13" ht="15" customHeight="1" x14ac:dyDescent="0.2">
      <c r="B4168" s="10" t="s">
        <v>909</v>
      </c>
      <c r="C4168" s="10" t="s">
        <v>110</v>
      </c>
      <c r="D4168" s="16">
        <f>D4167/(Inputs!$D$7+$D$4174)^D4148</f>
        <v>-12241.295838319142</v>
      </c>
      <c r="E4168" s="16">
        <f>E4167/(Inputs!$D$7+$D$4174)^E4148</f>
        <v>-9104.4261419168943</v>
      </c>
      <c r="F4168" s="16">
        <f>F4167/(Inputs!$D$7+$D$4174)^F4148</f>
        <v>866.66055470257277</v>
      </c>
      <c r="G4168" s="16">
        <f>G4167/(Inputs!$D$7+$D$4174)^G4148</f>
        <v>12021.291599082002</v>
      </c>
      <c r="H4168" s="16">
        <f>H4167/(Inputs!$D$7+$D$4174)^H4148</f>
        <v>3117.0822268652287</v>
      </c>
      <c r="I4168" s="16">
        <f>I4167/(Inputs!$D$7+$D$4174)^I4148</f>
        <v>-43.626377218068427</v>
      </c>
      <c r="J4168" s="16">
        <f>J4167/(Inputs!$D$7+$D$4174)^J4148</f>
        <v>2575.7649254588659</v>
      </c>
      <c r="K4168" s="16">
        <f>K4167/(Inputs!$D$7+$D$4174)^K4148</f>
        <v>8210.7039130400917</v>
      </c>
      <c r="L4168" s="16">
        <f>L4167/(Inputs!$D$7+$D$4174)^L4148</f>
        <v>2129.0091024282688</v>
      </c>
      <c r="M4168" s="16">
        <f>M4167/(Inputs!$D$7+$D$4174)^M4148</f>
        <v>-29.797402648772913</v>
      </c>
    </row>
    <row r="4169" spans="2:13" ht="15" customHeight="1" x14ac:dyDescent="0.2">
      <c r="B4169" s="3" t="s">
        <v>910</v>
      </c>
      <c r="C4169" s="10" t="s">
        <v>896</v>
      </c>
      <c r="D4169" s="28">
        <f>(D4155*$D$4173-D4159)/(Inputs!$D$7+$D$4174)^D4148</f>
        <v>64.330856237917445</v>
      </c>
      <c r="E4169" s="28">
        <f>(E4155*$D$4173-E4159)/(Inputs!$D$7+$D$4174)^E4148</f>
        <v>236.42380139523098</v>
      </c>
      <c r="F4169" s="28">
        <f>(F4155*$D$4173-F4159)/(Inputs!$D$7+$D$4174)^F4148</f>
        <v>356.83568908039001</v>
      </c>
      <c r="G4169" s="28">
        <f>(G4155*$D$4173-G4159)/(Inputs!$D$7+$D$4174)^G4148</f>
        <v>383.60556091707036</v>
      </c>
      <c r="H4169" s="28">
        <f>(H4155*$D$4173-H4159)/(Inputs!$D$7+$D$4174)^H4148</f>
        <v>348.75507884227414</v>
      </c>
      <c r="I4169" s="28">
        <f>(I4155*$D$4173-I4159)/(Inputs!$D$7+$D$4174)^I4148</f>
        <v>316.98802826091918</v>
      </c>
      <c r="J4169" s="28">
        <f>(J4155*$D$4173-J4159)/(Inputs!$D$7+$D$4174)^J4148</f>
        <v>288.18973459066564</v>
      </c>
      <c r="K4169" s="28">
        <f>(K4155*$D$4173-K4159)/(Inputs!$D$7+$D$4174)^K4148</f>
        <v>262.00775965922423</v>
      </c>
      <c r="L4169" s="28">
        <f>(L4155*$D$4173-L4159)/(Inputs!$D$7+$D$4174)^L4148</f>
        <v>238.2044114761793</v>
      </c>
      <c r="M4169" s="28">
        <f>(M4155*$D$4173-M4159)/(Inputs!$D$7+$D$4174)^M4148</f>
        <v>216.50708849185102</v>
      </c>
    </row>
    <row r="4170" spans="2:13" ht="15" customHeight="1" x14ac:dyDescent="0.2">
      <c r="B4170" s="10" t="s">
        <v>911</v>
      </c>
      <c r="C4170" s="10" t="s">
        <v>110</v>
      </c>
      <c r="D4170" s="16">
        <f>(-D4157-D4158)/(Inputs!$D$7+$D$4174)^D4148</f>
        <v>-14536.447397527105</v>
      </c>
      <c r="E4170" s="16">
        <f>(-E4157-E4158)/(Inputs!$D$7+$D$4174)^E4148</f>
        <v>-17616.488200475756</v>
      </c>
      <c r="F4170" s="16">
        <f>(-F4157-F4158)/(Inputs!$D$7+$D$4174)^F4148</f>
        <v>-12012.025548964448</v>
      </c>
      <c r="G4170" s="16">
        <f>(-G4157-G4158)/(Inputs!$D$7+$D$4174)^G4148</f>
        <v>-1851.359915178487</v>
      </c>
      <c r="H4170" s="16">
        <f>(-H4157-H4158)/(Inputs!$D$7+$D$4174)^H4148</f>
        <v>-9495.2419037884629</v>
      </c>
      <c r="I4170" s="16">
        <f>(-I4157-I4158)/(Inputs!$D$7+$D$4174)^I4148</f>
        <v>-11507.131858586603</v>
      </c>
      <c r="J4170" s="16">
        <f>(-J4157-J4158)/(Inputs!$D$7+$D$4174)^J4148</f>
        <v>-7846.2835672839774</v>
      </c>
      <c r="K4170" s="16">
        <f>(-K4157-K4158)/(Inputs!$D$7+$D$4174)^K4148</f>
        <v>-1264.5037327904422</v>
      </c>
      <c r="L4170" s="16">
        <f>(-L4157-L4158)/(Inputs!$D$7+$D$4174)^L4148</f>
        <v>-6485.3779822337692</v>
      </c>
      <c r="M4170" s="16">
        <f>(-M4157-M4158)/(Inputs!$D$7+$D$4174)^M4148</f>
        <v>-7859.5258920747219</v>
      </c>
    </row>
    <row r="4171" spans="2:13" ht="15" customHeight="1" x14ac:dyDescent="0.2">
      <c r="B4171" s="10" t="s">
        <v>912</v>
      </c>
      <c r="C4171" s="10" t="s">
        <v>110</v>
      </c>
      <c r="D4171" s="16">
        <f>Prices!I21</f>
        <v>35821.750967187276</v>
      </c>
    </row>
    <row r="4172" spans="2:13" ht="15" customHeight="1" x14ac:dyDescent="0.2">
      <c r="B4172" s="3" t="s">
        <v>913</v>
      </c>
      <c r="C4172" s="10" t="s">
        <v>914</v>
      </c>
      <c r="D4172" s="28">
        <f>IF(J4179&gt;=J4175,J4179,(D4171-J4178)/J4177)</f>
        <v>41.32845791362351</v>
      </c>
      <c r="G4172" s="99" t="s">
        <v>915</v>
      </c>
      <c r="H4172" s="91"/>
      <c r="I4172" s="91"/>
      <c r="J4172" s="28">
        <f>D4172*Inputs!$D$15</f>
        <v>28.843130777917846</v>
      </c>
      <c r="K4172" s="99" t="s">
        <v>916</v>
      </c>
      <c r="L4172" s="91"/>
      <c r="M4172" s="91"/>
    </row>
    <row r="4173" spans="2:13" ht="15" customHeight="1" x14ac:dyDescent="0.2">
      <c r="B4173" s="10" t="s">
        <v>917</v>
      </c>
      <c r="C4173" s="10" t="s">
        <v>104</v>
      </c>
      <c r="D4173" s="30">
        <f>Inputs!$D$81</f>
        <v>0.6</v>
      </c>
      <c r="G4173" s="99" t="s">
        <v>918</v>
      </c>
      <c r="H4173" s="91"/>
      <c r="I4173" s="91"/>
      <c r="J4173" s="28">
        <f>IF(-D4184/D4183&gt;=J4175,-D4184/D4183,-J4178/J4177)</f>
        <v>32.284876648616972</v>
      </c>
      <c r="K4173" s="99" t="s">
        <v>919</v>
      </c>
      <c r="L4173" s="91"/>
      <c r="M4173" s="91"/>
    </row>
    <row r="4174" spans="2:13" ht="15" customHeight="1" x14ac:dyDescent="0.2">
      <c r="B4174" s="10" t="s">
        <v>920</v>
      </c>
      <c r="C4174" s="10" t="s">
        <v>104</v>
      </c>
      <c r="D4174" s="30">
        <f>Inputs!$D$82</f>
        <v>0.1</v>
      </c>
      <c r="G4174" s="99" t="s">
        <v>918</v>
      </c>
      <c r="H4174" s="91"/>
      <c r="I4174" s="91"/>
      <c r="J4174" s="28">
        <f>J4173*Inputs!$D$15</f>
        <v>22.531615413069783</v>
      </c>
      <c r="K4174" s="99" t="s">
        <v>916</v>
      </c>
      <c r="L4174" s="91"/>
      <c r="M4174" s="91"/>
    </row>
    <row r="4175" spans="2:13" ht="15" customHeight="1" x14ac:dyDescent="0.2">
      <c r="B4175" s="3" t="s">
        <v>921</v>
      </c>
      <c r="C4175" s="10" t="s">
        <v>848</v>
      </c>
      <c r="D4175" s="28">
        <f>Capital!$D$13</f>
        <v>57.347931490590682</v>
      </c>
      <c r="G4175" s="99" t="s">
        <v>922</v>
      </c>
      <c r="H4175" s="91"/>
      <c r="I4175" s="91"/>
      <c r="J4175" s="28">
        <f>($D$4175/Inputs!$D$21+$D$4176/Inputs!$D$22)/$D$4173</f>
        <v>24.113076913095469</v>
      </c>
      <c r="K4175" s="99" t="s">
        <v>919</v>
      </c>
      <c r="L4175" s="91"/>
      <c r="M4175" s="91"/>
    </row>
    <row r="4176" spans="2:13" ht="15" customHeight="1" x14ac:dyDescent="0.2">
      <c r="B4176" s="3" t="s">
        <v>923</v>
      </c>
      <c r="C4176" s="10" t="s">
        <v>848</v>
      </c>
      <c r="D4176" s="28">
        <f>Capital!$D$14</f>
        <v>2.6172655041921802</v>
      </c>
    </row>
    <row r="4177" spans="1:13" ht="15" customHeight="1" x14ac:dyDescent="0.2">
      <c r="B4177" s="10" t="s">
        <v>924</v>
      </c>
      <c r="C4177" s="10" t="s">
        <v>896</v>
      </c>
      <c r="D4177" s="28">
        <f>(M4150*(Inputs!$D$7+Inputs!$D$20)*$D$4173*(Inputs!$D$7-Inputs!$D$19)-M4150*Inputs!$D$20*Inputs!$D$23)/($D$4174-Inputs!$D$20)/(Inputs!$D$7+$D$4174)^M4148</f>
        <v>2068.2441036763203</v>
      </c>
      <c r="G4177" s="92" t="s">
        <v>910</v>
      </c>
      <c r="H4177" s="91"/>
      <c r="I4177" s="91"/>
      <c r="J4177" s="28">
        <f>SUM(D4169:M4169)+(M4150*(Inputs!$D$7+Inputs!$D$20)*$D$4173-M4150*Inputs!$D$20*Inputs!$D$23)/($D$4174-Inputs!$D$20)/(Inputs!$D$7+$D$4174)^M4148</f>
        <v>5667.7711754446318</v>
      </c>
      <c r="K4177" s="99" t="s">
        <v>896</v>
      </c>
      <c r="L4177" s="91"/>
      <c r="M4177" s="91"/>
    </row>
    <row r="4178" spans="1:13" ht="15" customHeight="1" x14ac:dyDescent="0.2">
      <c r="B4178" s="10" t="s">
        <v>925</v>
      </c>
      <c r="C4178" s="10" t="s">
        <v>110</v>
      </c>
      <c r="D4178" s="16">
        <f>(D4181*Inputs!$D$19-D4181-D4182)/($D$4174-Inputs!$D$20)/(Inputs!$D$7+$D$4174)^M4148</f>
        <v>-57156.954988173631</v>
      </c>
      <c r="G4178" s="92" t="s">
        <v>926</v>
      </c>
      <c r="H4178" s="91"/>
      <c r="I4178" s="91"/>
      <c r="J4178" s="16">
        <f>SUM(D4170:M4170)-(D4181+D4182)/($D$4174-Inputs!$D$20)/(Inputs!$D$7+$D$4174)^M4148</f>
        <v>-169036.01450291832</v>
      </c>
      <c r="K4178" s="99" t="s">
        <v>110</v>
      </c>
      <c r="L4178" s="91"/>
      <c r="M4178" s="91"/>
    </row>
    <row r="4179" spans="1:13" ht="15" customHeight="1" x14ac:dyDescent="0.2">
      <c r="B4179" s="10" t="s">
        <v>927</v>
      </c>
      <c r="C4179" s="10" t="s">
        <v>928</v>
      </c>
      <c r="D4179" s="16">
        <f>(M4150*(Inputs!$D$7+Inputs!$D$20)*$D$4172*$D$4173-D4181)-MAX((M4150*(Inputs!$D$7+Inputs!$D$20)*$D$4172*$D$4173-D4181),Inputs!$D$6)*Inputs!$D$19-D4182-M4150*Inputs!$D$20*$D$4172*Inputs!$D$23</f>
        <v>5362.3840531018413</v>
      </c>
      <c r="G4179" s="99" t="s">
        <v>929</v>
      </c>
      <c r="H4179" s="91"/>
      <c r="I4179" s="91"/>
      <c r="J4179" s="28">
        <f>(D4171-D4184)/D4183</f>
        <v>41.32845791362351</v>
      </c>
      <c r="K4179" s="99" t="s">
        <v>919</v>
      </c>
      <c r="L4179" s="91"/>
      <c r="M4179" s="91"/>
    </row>
    <row r="4180" spans="1:13" ht="15" customHeight="1" x14ac:dyDescent="0.2">
      <c r="B4180" s="10" t="s">
        <v>930</v>
      </c>
      <c r="C4180" s="10" t="s">
        <v>110</v>
      </c>
      <c r="D4180" s="16">
        <f>D4179/($D$4174-Inputs!$D$20)</f>
        <v>71498.45404135788</v>
      </c>
      <c r="G4180" s="99" t="s">
        <v>931</v>
      </c>
      <c r="H4180" s="91"/>
      <c r="I4180" s="91"/>
      <c r="J4180" s="16">
        <f>MIN(D4164:M4164,(M4150*(Inputs!$D$7+Inputs!$D$20)*$D$4172*$D$4173-D4181))</f>
        <v>1297.2196107268526</v>
      </c>
      <c r="K4180" s="99" t="s">
        <v>110</v>
      </c>
      <c r="L4180" s="91"/>
      <c r="M4180" s="91"/>
    </row>
    <row r="4181" spans="1:13" ht="15" customHeight="1" x14ac:dyDescent="0.2">
      <c r="B4181" s="10" t="s">
        <v>932</v>
      </c>
      <c r="C4181" s="10" t="s">
        <v>928</v>
      </c>
      <c r="D4181" s="16">
        <f>M4150*(Inputs!$D$7+Inputs!$D$20)*($D$4175/Inputs!$D$21+$D$4176/Inputs!$D$22)</f>
        <v>13509.71303671543</v>
      </c>
      <c r="G4181" s="99" t="s">
        <v>933</v>
      </c>
      <c r="H4181" s="91"/>
      <c r="I4181" s="91"/>
      <c r="J4181" s="31" t="str">
        <f>IF(J4180&lt;Inputs!$D$6,"breached","satisfied")</f>
        <v>satisfied</v>
      </c>
      <c r="K4181" s="99" t="s">
        <v>934</v>
      </c>
      <c r="L4181" s="91"/>
      <c r="M4181" s="91"/>
    </row>
    <row r="4182" spans="1:13" ht="15" customHeight="1" x14ac:dyDescent="0.2">
      <c r="B4182" s="10" t="s">
        <v>935</v>
      </c>
      <c r="C4182" s="10" t="s">
        <v>928</v>
      </c>
      <c r="D4182" s="16">
        <f>M4150*Inputs!$D$20*($D$4175+$D$4176)</f>
        <v>1365.7073615561799</v>
      </c>
    </row>
    <row r="4183" spans="1:13" ht="15" customHeight="1" x14ac:dyDescent="0.2">
      <c r="B4183" s="10" t="s">
        <v>936</v>
      </c>
      <c r="C4183" s="10" t="s">
        <v>896</v>
      </c>
      <c r="D4183" s="28">
        <f>SUM(D4160:M4160)+D4177</f>
        <v>3961.0138857044249</v>
      </c>
      <c r="G4183" s="99" t="s">
        <v>937</v>
      </c>
      <c r="H4183" s="91"/>
      <c r="I4183" s="91"/>
      <c r="J4183" s="16">
        <f>D4185-D4171</f>
        <v>0</v>
      </c>
      <c r="K4183" s="99" t="s">
        <v>110</v>
      </c>
      <c r="L4183" s="91"/>
      <c r="M4183" s="91"/>
    </row>
    <row r="4184" spans="1:13" ht="15" customHeight="1" x14ac:dyDescent="0.2">
      <c r="B4184" s="10" t="s">
        <v>938</v>
      </c>
      <c r="C4184" s="10" t="s">
        <v>110</v>
      </c>
      <c r="D4184" s="16">
        <f>SUM(D4161:M4161)+D4178</f>
        <v>-127880.84470342637</v>
      </c>
    </row>
    <row r="4185" spans="1:13" ht="15" customHeight="1" x14ac:dyDescent="0.2">
      <c r="B4185" s="10" t="s">
        <v>939</v>
      </c>
      <c r="C4185" s="10" t="s">
        <v>110</v>
      </c>
      <c r="D4185" s="16">
        <f>SUM(D4168:M4168)+D4180/(Inputs!$D$7+$D$4174)^M4148</f>
        <v>35821.750967187312</v>
      </c>
    </row>
    <row r="4186" spans="1:13" ht="15" customHeight="1" x14ac:dyDescent="0.2">
      <c r="B4186" s="10" t="s">
        <v>940</v>
      </c>
      <c r="C4186" s="10" t="s">
        <v>104</v>
      </c>
      <c r="D4186" s="30">
        <f>IF(ABS(D4171)&gt;Inputs!$D$6,D4185/D4171-Inputs!$D$7,Inputs!$D$6)</f>
        <v>1.1102230246251565E-15</v>
      </c>
    </row>
    <row r="4187" spans="1:13" ht="15" customHeight="1" x14ac:dyDescent="0.2">
      <c r="B4187" s="10" t="s">
        <v>941</v>
      </c>
      <c r="C4187" s="10" t="s">
        <v>104</v>
      </c>
      <c r="D4187" s="30">
        <f>IF(ABS(D4185)&gt;Inputs!$D$119,D4180/(Inputs!$D$7+$D$4174)^M4148/D4185,Inputs!$D$6)</f>
        <v>0.79059185106988783</v>
      </c>
    </row>
    <row r="4188" spans="1:13" ht="15" customHeight="1" x14ac:dyDescent="0.2">
      <c r="B4188" s="10" t="s">
        <v>942</v>
      </c>
      <c r="C4188" s="10" t="s">
        <v>943</v>
      </c>
      <c r="D4188" s="26">
        <f>$D$4172*Inputs!$D$8/Prices!$P$6/(Inputs!$D$26/Inputs!$D$25)/Inputs!$D$11/Inputs!$D$56</f>
        <v>7.5157056077064084</v>
      </c>
    </row>
    <row r="4192" spans="1:13" ht="15" customHeight="1" x14ac:dyDescent="0.2">
      <c r="A4192" s="104" t="s">
        <v>1034</v>
      </c>
      <c r="B4192" s="10" t="s">
        <v>886</v>
      </c>
      <c r="C4192" s="10" t="s">
        <v>107</v>
      </c>
      <c r="D4192" s="28">
        <f>Inputs!$D$60</f>
        <v>1</v>
      </c>
      <c r="E4192" s="28">
        <f>Inputs!$D$62</f>
        <v>2</v>
      </c>
      <c r="F4192" s="28">
        <f>Inputs!$D$64</f>
        <v>3</v>
      </c>
      <c r="G4192" s="28">
        <f>Inputs!$D$66</f>
        <v>4</v>
      </c>
      <c r="H4192" s="28">
        <f>Inputs!$D$68</f>
        <v>5</v>
      </c>
      <c r="I4192" s="28">
        <f>Inputs!$D$70</f>
        <v>6</v>
      </c>
      <c r="J4192" s="28">
        <f>Inputs!$D$72</f>
        <v>7</v>
      </c>
      <c r="K4192" s="28">
        <f>Inputs!$D$74</f>
        <v>8</v>
      </c>
      <c r="L4192" s="28">
        <f>Inputs!$D$76</f>
        <v>9</v>
      </c>
      <c r="M4192" s="28">
        <f>Inputs!$D$78</f>
        <v>10</v>
      </c>
    </row>
    <row r="4193" spans="1:13" ht="15" customHeight="1" x14ac:dyDescent="0.2">
      <c r="A4193" s="91"/>
      <c r="B4193" s="10" t="s">
        <v>887</v>
      </c>
      <c r="C4193" s="10" t="s">
        <v>161</v>
      </c>
      <c r="D4193" s="29">
        <f>Inputs!$D$61</f>
        <v>46568</v>
      </c>
      <c r="E4193" s="29">
        <f>Inputs!$D$63</f>
        <v>46934</v>
      </c>
      <c r="F4193" s="29">
        <f>Inputs!$D$65</f>
        <v>47299</v>
      </c>
      <c r="G4193" s="29">
        <f>Inputs!$D$67</f>
        <v>47664</v>
      </c>
      <c r="H4193" s="29">
        <f>Inputs!$D$69</f>
        <v>48029</v>
      </c>
      <c r="I4193" s="29">
        <f>Inputs!$D$71</f>
        <v>48395</v>
      </c>
      <c r="J4193" s="29">
        <f>Inputs!$D$73</f>
        <v>48760</v>
      </c>
      <c r="K4193" s="29">
        <f>Inputs!$D$75</f>
        <v>49125</v>
      </c>
      <c r="L4193" s="29">
        <f>Inputs!$D$77</f>
        <v>49490</v>
      </c>
      <c r="M4193" s="29">
        <f>Inputs!$D$79</f>
        <v>49856</v>
      </c>
    </row>
    <row r="4194" spans="1:13" ht="15" customHeight="1" x14ac:dyDescent="0.2">
      <c r="A4194" s="91"/>
      <c r="B4194" s="10" t="s">
        <v>888</v>
      </c>
      <c r="C4194" s="10" t="s">
        <v>107</v>
      </c>
      <c r="D4194" s="28">
        <f>(D4193-Inputs!$D$13)/Inputs!$D$10</f>
        <v>0.71457905544147848</v>
      </c>
      <c r="E4194" s="28">
        <f>(E4193-Inputs!$D$13)/Inputs!$D$10</f>
        <v>1.7166324435318274</v>
      </c>
      <c r="F4194" s="28">
        <f>(F4193-Inputs!$D$13)/Inputs!$D$10</f>
        <v>2.7159479808350446</v>
      </c>
      <c r="G4194" s="28">
        <f>(G4193-Inputs!$D$13)/Inputs!$D$10</f>
        <v>3.7152635181382614</v>
      </c>
      <c r="H4194" s="28">
        <f>(H4193-Inputs!$D$13)/Inputs!$D$10</f>
        <v>4.7145790554414786</v>
      </c>
      <c r="I4194" s="28">
        <f>(I4193-Inputs!$D$13)/Inputs!$D$10</f>
        <v>5.7166324435318279</v>
      </c>
      <c r="J4194" s="28">
        <f>(J4193-Inputs!$D$13)/Inputs!$D$10</f>
        <v>6.7159479808350442</v>
      </c>
      <c r="K4194" s="28">
        <f>(K4193-Inputs!$D$13)/Inputs!$D$10</f>
        <v>7.7152635181382614</v>
      </c>
      <c r="L4194" s="28">
        <f>(L4193-Inputs!$D$13)/Inputs!$D$10</f>
        <v>8.7145790554414777</v>
      </c>
      <c r="M4194" s="28">
        <f>(M4193-Inputs!$D$13)/Inputs!$D$10</f>
        <v>9.716632443531827</v>
      </c>
    </row>
    <row r="4195" spans="1:13" ht="15" customHeight="1" x14ac:dyDescent="0.2">
      <c r="A4195" s="91"/>
      <c r="B4195" s="10" t="s">
        <v>889</v>
      </c>
      <c r="C4195" s="10" t="s">
        <v>107</v>
      </c>
      <c r="D4195" s="28">
        <f>D4194</f>
        <v>0.71457905544147848</v>
      </c>
      <c r="E4195" s="28">
        <f>Inputs!$D$7</f>
        <v>1</v>
      </c>
      <c r="F4195" s="28">
        <f>Inputs!$D$7</f>
        <v>1</v>
      </c>
      <c r="G4195" s="28">
        <f>Inputs!$D$7</f>
        <v>1</v>
      </c>
      <c r="H4195" s="28">
        <f>Inputs!$D$7</f>
        <v>1</v>
      </c>
      <c r="I4195" s="28">
        <f>Inputs!$D$7</f>
        <v>1</v>
      </c>
      <c r="J4195" s="28">
        <f>Inputs!$D$7</f>
        <v>1</v>
      </c>
      <c r="K4195" s="28">
        <f>Inputs!$D$7</f>
        <v>1</v>
      </c>
      <c r="L4195" s="28">
        <f>Inputs!$D$7</f>
        <v>1</v>
      </c>
      <c r="M4195" s="28">
        <f>Inputs!$D$7</f>
        <v>1</v>
      </c>
    </row>
    <row r="4196" spans="1:13" ht="15" customHeight="1" x14ac:dyDescent="0.2">
      <c r="A4196" s="91"/>
      <c r="B4196" s="3" t="s">
        <v>890</v>
      </c>
      <c r="C4196" s="10" t="s">
        <v>199</v>
      </c>
      <c r="D4196" s="28">
        <f>Inputs!$D$24+(Inputs!$D$93-Inputs!$D$24)*Inputs!$D$96</f>
        <v>279.10000000000002</v>
      </c>
      <c r="E4196" s="28">
        <f>Inputs!$D$24+(Inputs!$D$93-Inputs!$D$24)*Inputs!$D$97</f>
        <v>900.7</v>
      </c>
      <c r="F4196" s="28">
        <f>Inputs!$D$24+(Inputs!$D$93-Inputs!$D$24)*Inputs!$D$98</f>
        <v>1366.8999999999999</v>
      </c>
      <c r="G4196" s="28">
        <f>Inputs!$D$24+(Inputs!$D$93-Inputs!$D$24)*Inputs!$D$99</f>
        <v>1600</v>
      </c>
      <c r="H4196" s="28">
        <f>Inputs!$D$24+(Inputs!$D$93-Inputs!$D$24)*Inputs!$D$100</f>
        <v>1600</v>
      </c>
      <c r="I4196" s="28">
        <f>Inputs!$D$24+(Inputs!$D$93-Inputs!$D$24)*Inputs!$D$101</f>
        <v>1600</v>
      </c>
      <c r="J4196" s="28">
        <f>Inputs!$D$24+(Inputs!$D$93-Inputs!$D$24)*Inputs!$D$102</f>
        <v>1600</v>
      </c>
      <c r="K4196" s="28">
        <f>Inputs!$D$24+(Inputs!$D$93-Inputs!$D$24)*Inputs!$D$103</f>
        <v>1600</v>
      </c>
      <c r="L4196" s="28">
        <f>Inputs!$D$24+(Inputs!$D$93-Inputs!$D$24)*Inputs!$D$104</f>
        <v>1600</v>
      </c>
      <c r="M4196" s="28">
        <f>Inputs!$D$24+(Inputs!$D$93-Inputs!$D$24)*Inputs!$D$105</f>
        <v>1600</v>
      </c>
    </row>
    <row r="4197" spans="1:13" ht="15" customHeight="1" x14ac:dyDescent="0.2">
      <c r="A4197" s="91"/>
      <c r="B4197" s="10" t="s">
        <v>891</v>
      </c>
      <c r="C4197" s="10" t="s">
        <v>199</v>
      </c>
      <c r="D4197" s="28">
        <f>Inputs!$D$24</f>
        <v>46</v>
      </c>
      <c r="E4197" s="28">
        <f t="shared" ref="E4197:M4197" si="910">D4196</f>
        <v>279.10000000000002</v>
      </c>
      <c r="F4197" s="28">
        <f t="shared" si="910"/>
        <v>900.7</v>
      </c>
      <c r="G4197" s="28">
        <f t="shared" si="910"/>
        <v>1366.8999999999999</v>
      </c>
      <c r="H4197" s="28">
        <f t="shared" si="910"/>
        <v>1600</v>
      </c>
      <c r="I4197" s="28">
        <f t="shared" si="910"/>
        <v>1600</v>
      </c>
      <c r="J4197" s="28">
        <f t="shared" si="910"/>
        <v>1600</v>
      </c>
      <c r="K4197" s="28">
        <f t="shared" si="910"/>
        <v>1600</v>
      </c>
      <c r="L4197" s="28">
        <f t="shared" si="910"/>
        <v>1600</v>
      </c>
      <c r="M4197" s="28">
        <f t="shared" si="910"/>
        <v>1600</v>
      </c>
    </row>
    <row r="4198" spans="1:13" ht="15" customHeight="1" x14ac:dyDescent="0.2">
      <c r="B4198" s="10" t="s">
        <v>892</v>
      </c>
      <c r="C4198" s="10" t="s">
        <v>199</v>
      </c>
      <c r="D4198" s="28">
        <f>(D4197+D4196)*Inputs!$D$12</f>
        <v>162.55000000000001</v>
      </c>
      <c r="E4198" s="28">
        <f>(E4197+E4196)*Inputs!$D$12</f>
        <v>589.90000000000009</v>
      </c>
      <c r="F4198" s="28">
        <f>(F4197+F4196)*Inputs!$D$12</f>
        <v>1133.8</v>
      </c>
      <c r="G4198" s="28">
        <f>(G4197+G4196)*Inputs!$D$12</f>
        <v>1483.4499999999998</v>
      </c>
      <c r="H4198" s="28">
        <f>(H4197+H4196)*Inputs!$D$12</f>
        <v>1600</v>
      </c>
      <c r="I4198" s="28">
        <f>(I4197+I4196)*Inputs!$D$12</f>
        <v>1600</v>
      </c>
      <c r="J4198" s="28">
        <f>(J4197+J4196)*Inputs!$D$12</f>
        <v>1600</v>
      </c>
      <c r="K4198" s="28">
        <f>(K4197+K4196)*Inputs!$D$12</f>
        <v>1600</v>
      </c>
      <c r="L4198" s="28">
        <f>(L4197+L4196)*Inputs!$D$12</f>
        <v>1600</v>
      </c>
      <c r="M4198" s="28">
        <f>(M4197+M4196)*Inputs!$D$12</f>
        <v>1600</v>
      </c>
    </row>
    <row r="4199" spans="1:13" ht="15" customHeight="1" x14ac:dyDescent="0.2">
      <c r="B4199" s="10" t="s">
        <v>893</v>
      </c>
      <c r="C4199" s="10" t="s">
        <v>199</v>
      </c>
      <c r="D4199" s="28">
        <f t="shared" ref="D4199:M4199" si="911">D4196-D4197</f>
        <v>233.10000000000002</v>
      </c>
      <c r="E4199" s="28">
        <f t="shared" si="911"/>
        <v>621.6</v>
      </c>
      <c r="F4199" s="28">
        <f t="shared" si="911"/>
        <v>466.19999999999982</v>
      </c>
      <c r="G4199" s="28">
        <f t="shared" si="911"/>
        <v>233.10000000000014</v>
      </c>
      <c r="H4199" s="28">
        <f t="shared" si="911"/>
        <v>0</v>
      </c>
      <c r="I4199" s="28">
        <f t="shared" si="911"/>
        <v>0</v>
      </c>
      <c r="J4199" s="28">
        <f t="shared" si="911"/>
        <v>0</v>
      </c>
      <c r="K4199" s="28">
        <f t="shared" si="911"/>
        <v>0</v>
      </c>
      <c r="L4199" s="28">
        <f t="shared" si="911"/>
        <v>0</v>
      </c>
      <c r="M4199" s="28">
        <f t="shared" si="911"/>
        <v>0</v>
      </c>
    </row>
    <row r="4200" spans="1:13" ht="15" customHeight="1" x14ac:dyDescent="0.2">
      <c r="B4200" s="10" t="s">
        <v>894</v>
      </c>
      <c r="C4200" s="10" t="s">
        <v>199</v>
      </c>
      <c r="D4200" s="28">
        <f>IF(MOD(D4192,Inputs!$D$21)=Inputs!$D$6,Inputs!$D$24,Inputs!$D$6)+SUMPRODUCT(--(D4192&gt;$D$4192:$M$4192),--(MOD(D4192-$D$4192:$M$4192,Inputs!$D$21)=Inputs!$D$6),$D$4199:$M$4199)</f>
        <v>0</v>
      </c>
      <c r="E4200" s="28">
        <f>IF(MOD(E4192,Inputs!$D$21)=Inputs!$D$6,Inputs!$D$24,Inputs!$D$6)+SUMPRODUCT(--(E4192&gt;$D$4192:$M$4192),--(MOD(E4192-$D$4192:$M$4192,Inputs!$D$21)=Inputs!$D$6),$D$4199:$M$4199)</f>
        <v>0</v>
      </c>
      <c r="F4200" s="28">
        <f>IF(MOD(F4192,Inputs!$D$21)=Inputs!$D$6,Inputs!$D$24,Inputs!$D$6)+SUMPRODUCT(--(F4192&gt;$D$4192:$M$4192),--(MOD(F4192-$D$4192:$M$4192,Inputs!$D$21)=Inputs!$D$6),$D$4199:$M$4199)</f>
        <v>0</v>
      </c>
      <c r="G4200" s="28">
        <f>IF(MOD(G4192,Inputs!$D$21)=Inputs!$D$6,Inputs!$D$24,Inputs!$D$6)+SUMPRODUCT(--(G4192&gt;$D$4192:$M$4192),--(MOD(G4192-$D$4192:$M$4192,Inputs!$D$21)=Inputs!$D$6),$D$4199:$M$4199)</f>
        <v>46</v>
      </c>
      <c r="H4200" s="28">
        <f>IF(MOD(H4192,Inputs!$D$21)=Inputs!$D$6,Inputs!$D$24,Inputs!$D$6)+SUMPRODUCT(--(H4192&gt;$D$4192:$M$4192),--(MOD(H4192-$D$4192:$M$4192,Inputs!$D$21)=Inputs!$D$6),$D$4199:$M$4199)</f>
        <v>233.10000000000002</v>
      </c>
      <c r="I4200" s="28">
        <f>IF(MOD(I4192,Inputs!$D$21)=Inputs!$D$6,Inputs!$D$24,Inputs!$D$6)+SUMPRODUCT(--(I4192&gt;$D$4192:$M$4192),--(MOD(I4192-$D$4192:$M$4192,Inputs!$D$21)=Inputs!$D$6),$D$4199:$M$4199)</f>
        <v>621.6</v>
      </c>
      <c r="J4200" s="28">
        <f>IF(MOD(J4192,Inputs!$D$21)=Inputs!$D$6,Inputs!$D$24,Inputs!$D$6)+SUMPRODUCT(--(J4192&gt;$D$4192:$M$4192),--(MOD(J4192-$D$4192:$M$4192,Inputs!$D$21)=Inputs!$D$6),$D$4199:$M$4199)</f>
        <v>466.19999999999982</v>
      </c>
      <c r="K4200" s="28">
        <f>IF(MOD(K4192,Inputs!$D$21)=Inputs!$D$6,Inputs!$D$24,Inputs!$D$6)+SUMPRODUCT(--(K4192&gt;$D$4192:$M$4192),--(MOD(K4192-$D$4192:$M$4192,Inputs!$D$21)=Inputs!$D$6),$D$4199:$M$4199)</f>
        <v>279.10000000000014</v>
      </c>
      <c r="L4200" s="28">
        <f>IF(MOD(L4192,Inputs!$D$21)=Inputs!$D$6,Inputs!$D$24,Inputs!$D$6)+SUMPRODUCT(--(L4192&gt;$D$4192:$M$4192),--(MOD(L4192-$D$4192:$M$4192,Inputs!$D$21)=Inputs!$D$6),$D$4199:$M$4199)</f>
        <v>233.10000000000002</v>
      </c>
      <c r="M4200" s="28">
        <f>IF(MOD(M4192,Inputs!$D$21)=Inputs!$D$6,Inputs!$D$24,Inputs!$D$6)+SUMPRODUCT(--(M4192&gt;$D$4192:$M$4192),--(MOD(M4192-$D$4192:$M$4192,Inputs!$D$21)=Inputs!$D$6),$D$4199:$M$4199)</f>
        <v>621.6</v>
      </c>
    </row>
    <row r="4201" spans="1:13" ht="15" customHeight="1" x14ac:dyDescent="0.2">
      <c r="B4201" s="10" t="s">
        <v>895</v>
      </c>
      <c r="C4201" s="10" t="s">
        <v>896</v>
      </c>
      <c r="D4201" s="28">
        <f t="shared" ref="D4201:M4201" si="912">D4198*D4195</f>
        <v>116.15482546201234</v>
      </c>
      <c r="E4201" s="28">
        <f t="shared" si="912"/>
        <v>589.90000000000009</v>
      </c>
      <c r="F4201" s="28">
        <f t="shared" si="912"/>
        <v>1133.8</v>
      </c>
      <c r="G4201" s="28">
        <f t="shared" si="912"/>
        <v>1483.4499999999998</v>
      </c>
      <c r="H4201" s="28">
        <f t="shared" si="912"/>
        <v>1600</v>
      </c>
      <c r="I4201" s="28">
        <f t="shared" si="912"/>
        <v>1600</v>
      </c>
      <c r="J4201" s="28">
        <f t="shared" si="912"/>
        <v>1600</v>
      </c>
      <c r="K4201" s="28">
        <f t="shared" si="912"/>
        <v>1600</v>
      </c>
      <c r="L4201" s="28">
        <f t="shared" si="912"/>
        <v>1600</v>
      </c>
      <c r="M4201" s="28">
        <f t="shared" si="912"/>
        <v>1600</v>
      </c>
    </row>
    <row r="4202" spans="1:13" ht="15" customHeight="1" x14ac:dyDescent="0.2">
      <c r="B4202" s="10" t="s">
        <v>897</v>
      </c>
      <c r="C4202" s="10" t="s">
        <v>110</v>
      </c>
      <c r="D4202" s="16">
        <f>D4201*($D$4221/Inputs!$D$21+$D$4222/Inputs!$D$22)</f>
        <v>1680.51014411561</v>
      </c>
      <c r="E4202" s="16">
        <f>E4201*($D$4221/Inputs!$D$21+$D$4222/Inputs!$D$22)</f>
        <v>8534.5824426210111</v>
      </c>
      <c r="F4202" s="16">
        <f>F4201*($D$4221/Inputs!$D$21+$D$4222/Inputs!$D$22)</f>
        <v>16403.643962440583</v>
      </c>
      <c r="G4202" s="16">
        <f>G4201*($D$4221/Inputs!$D$21+$D$4222/Inputs!$D$22)</f>
        <v>21462.326368038881</v>
      </c>
      <c r="H4202" s="16">
        <f>H4201*($D$4221/Inputs!$D$21+$D$4222/Inputs!$D$22)</f>
        <v>23148.553836571649</v>
      </c>
      <c r="I4202" s="16">
        <f>I4201*($D$4221/Inputs!$D$21+$D$4222/Inputs!$D$22)</f>
        <v>23148.553836571649</v>
      </c>
      <c r="J4202" s="16">
        <f>J4201*($D$4221/Inputs!$D$21+$D$4222/Inputs!$D$22)</f>
        <v>23148.553836571649</v>
      </c>
      <c r="K4202" s="16">
        <f>K4201*($D$4221/Inputs!$D$21+$D$4222/Inputs!$D$22)</f>
        <v>23148.553836571649</v>
      </c>
      <c r="L4202" s="16">
        <f>L4201*($D$4221/Inputs!$D$21+$D$4222/Inputs!$D$22)</f>
        <v>23148.553836571649</v>
      </c>
      <c r="M4202" s="16">
        <f>M4201*($D$4221/Inputs!$D$21+$D$4222/Inputs!$D$22)</f>
        <v>23148.553836571649</v>
      </c>
    </row>
    <row r="4203" spans="1:13" ht="15" customHeight="1" x14ac:dyDescent="0.2">
      <c r="B4203" s="10" t="s">
        <v>898</v>
      </c>
      <c r="C4203" s="10" t="s">
        <v>110</v>
      </c>
      <c r="D4203" s="16">
        <f t="shared" ref="D4203:M4203" si="913">D4199*($D$4221+$D$4222)</f>
        <v>13977.887419483886</v>
      </c>
      <c r="E4203" s="16">
        <f t="shared" si="913"/>
        <v>37274.36645195703</v>
      </c>
      <c r="F4203" s="16">
        <f t="shared" si="913"/>
        <v>27955.774838967762</v>
      </c>
      <c r="G4203" s="16">
        <f t="shared" si="913"/>
        <v>13977.887419483894</v>
      </c>
      <c r="H4203" s="16">
        <f t="shared" si="913"/>
        <v>0</v>
      </c>
      <c r="I4203" s="16">
        <f t="shared" si="913"/>
        <v>0</v>
      </c>
      <c r="J4203" s="16">
        <f t="shared" si="913"/>
        <v>0</v>
      </c>
      <c r="K4203" s="16">
        <f t="shared" si="913"/>
        <v>0</v>
      </c>
      <c r="L4203" s="16">
        <f t="shared" si="913"/>
        <v>0</v>
      </c>
      <c r="M4203" s="16">
        <f t="shared" si="913"/>
        <v>0</v>
      </c>
    </row>
    <row r="4204" spans="1:13" ht="15" customHeight="1" x14ac:dyDescent="0.2">
      <c r="B4204" s="10" t="s">
        <v>899</v>
      </c>
      <c r="C4204" s="10" t="s">
        <v>110</v>
      </c>
      <c r="D4204" s="16">
        <f t="shared" ref="D4204:M4204" si="914">D4200*$D$4221</f>
        <v>0</v>
      </c>
      <c r="E4204" s="16">
        <f t="shared" si="914"/>
        <v>0</v>
      </c>
      <c r="F4204" s="16">
        <f t="shared" si="914"/>
        <v>0</v>
      </c>
      <c r="G4204" s="16">
        <f t="shared" si="914"/>
        <v>2638.0048485671714</v>
      </c>
      <c r="H4204" s="16">
        <f t="shared" si="914"/>
        <v>13367.802830456689</v>
      </c>
      <c r="I4204" s="16">
        <f t="shared" si="914"/>
        <v>35647.47421455117</v>
      </c>
      <c r="J4204" s="16">
        <f t="shared" si="914"/>
        <v>26735.605660913367</v>
      </c>
      <c r="K4204" s="16">
        <f t="shared" si="914"/>
        <v>16005.807679023867</v>
      </c>
      <c r="L4204" s="16">
        <f t="shared" si="914"/>
        <v>13367.802830456689</v>
      </c>
      <c r="M4204" s="16">
        <f t="shared" si="914"/>
        <v>35647.47421455117</v>
      </c>
    </row>
    <row r="4205" spans="1:13" ht="15" customHeight="1" x14ac:dyDescent="0.2">
      <c r="B4205" s="10" t="s">
        <v>900</v>
      </c>
      <c r="C4205" s="10" t="s">
        <v>199</v>
      </c>
      <c r="D4205" s="28">
        <f>D4199*Inputs!$D$23</f>
        <v>5.8275000000000006</v>
      </c>
      <c r="E4205" s="28">
        <f>E4199*Inputs!$D$23</f>
        <v>15.540000000000001</v>
      </c>
      <c r="F4205" s="28">
        <f>F4199*Inputs!$D$23</f>
        <v>11.654999999999996</v>
      </c>
      <c r="G4205" s="28">
        <f>G4199*Inputs!$D$23</f>
        <v>5.8275000000000041</v>
      </c>
      <c r="H4205" s="28">
        <f>H4199*Inputs!$D$23</f>
        <v>0</v>
      </c>
      <c r="I4205" s="28">
        <f>I4199*Inputs!$D$23</f>
        <v>0</v>
      </c>
      <c r="J4205" s="28">
        <f>J4199*Inputs!$D$23</f>
        <v>0</v>
      </c>
      <c r="K4205" s="28">
        <f>K4199*Inputs!$D$23</f>
        <v>0</v>
      </c>
      <c r="L4205" s="28">
        <f>L4199*Inputs!$D$23</f>
        <v>0</v>
      </c>
      <c r="M4205" s="28">
        <f>M4199*Inputs!$D$23</f>
        <v>0</v>
      </c>
    </row>
    <row r="4206" spans="1:13" ht="15" customHeight="1" x14ac:dyDescent="0.2">
      <c r="B4206" s="3" t="s">
        <v>901</v>
      </c>
      <c r="C4206" s="10" t="s">
        <v>896</v>
      </c>
      <c r="D4206" s="28">
        <f>(D4201*$D$4219*(Inputs!$D$7-Inputs!$D$19)-D4205)/(Inputs!$D$7+$D$4220)^D4194</f>
        <v>50.541318213721269</v>
      </c>
      <c r="E4206" s="28">
        <f>(E4201*$D$4219*(Inputs!$D$7-Inputs!$D$19)-E4205)/(Inputs!$D$7+$D$4220)^E4194</f>
        <v>238.4864713152904</v>
      </c>
      <c r="F4206" s="28">
        <f>(F4201*$D$4219*(Inputs!$D$7-Inputs!$D$19)-F4205)/(Inputs!$D$7+$D$4220)^F4194</f>
        <v>418.74491871678316</v>
      </c>
      <c r="G4206" s="28">
        <f>(G4201*$D$4219*(Inputs!$D$7-Inputs!$D$19)-G4205)/(Inputs!$D$7+$D$4220)^G4194</f>
        <v>490.87392073514752</v>
      </c>
      <c r="H4206" s="28">
        <f>(H4201*$D$4219*(Inputs!$D$7-Inputs!$D$19)-H4205)/(Inputs!$D$7+$D$4220)^H4194</f>
        <v>472.10300862628105</v>
      </c>
      <c r="I4206" s="28">
        <f>(I4201*$D$4219*(Inputs!$D$7-Inputs!$D$19)-I4205)/(Inputs!$D$7+$D$4220)^I4194</f>
        <v>417.68543753228789</v>
      </c>
      <c r="J4206" s="28">
        <f>(J4201*$D$4219*(Inputs!$D$7-Inputs!$D$19)-J4205)/(Inputs!$D$7+$D$4220)^J4194</f>
        <v>369.66405292491049</v>
      </c>
      <c r="K4206" s="28">
        <f>(K4201*$D$4219*(Inputs!$D$7-Inputs!$D$19)-K4205)/(Inputs!$D$7+$D$4220)^K4194</f>
        <v>327.16369723641031</v>
      </c>
      <c r="L4206" s="28">
        <f>(L4201*$D$4219*(Inputs!$D$7-Inputs!$D$19)-L4205)/(Inputs!$D$7+$D$4220)^L4194</f>
        <v>289.54961658427663</v>
      </c>
      <c r="M4206" s="28">
        <f>(M4201*$D$4219*(Inputs!$D$7-Inputs!$D$19)-M4205)/(Inputs!$D$7+$D$4220)^M4194</f>
        <v>256.17430111750662</v>
      </c>
    </row>
    <row r="4207" spans="1:13" ht="15" customHeight="1" x14ac:dyDescent="0.2">
      <c r="B4207" s="10" t="s">
        <v>902</v>
      </c>
      <c r="C4207" s="10" t="s">
        <v>110</v>
      </c>
      <c r="D4207" s="16">
        <f>(D4202*Inputs!$D$19-D4203-D4204)/(Inputs!$D$7+$D$4220)^D4194</f>
        <v>-12346.937146613671</v>
      </c>
      <c r="E4207" s="16">
        <f>(E4202*Inputs!$D$19-E4203-E4204)/(Inputs!$D$7+$D$4220)^E4194</f>
        <v>-28144.165592831177</v>
      </c>
      <c r="F4207" s="16">
        <f>(F4202*Inputs!$D$19-F4203-F4204)/(Inputs!$D$7+$D$4220)^F4194</f>
        <v>-16528.13772562052</v>
      </c>
      <c r="G4207" s="16">
        <f>(G4202*Inputs!$D$19-G4203-G4204)/(Inputs!$D$7+$D$4220)^G4194</f>
        <v>-6462.9033875784253</v>
      </c>
      <c r="H4207" s="16">
        <f>(H4202*Inputs!$D$19-H4203-H4204)/(Inputs!$D$7+$D$4220)^H4194</f>
        <v>-3610.0349541710043</v>
      </c>
      <c r="I4207" s="16">
        <f>(I4202*Inputs!$D$19-I4203-I4204)/(Inputs!$D$7+$D$4220)^I4194</f>
        <v>-14272.365134506323</v>
      </c>
      <c r="J4207" s="16">
        <f>(J4202*Inputs!$D$19-J4203-J4204)/(Inputs!$D$7+$D$4220)^J4194</f>
        <v>-8709.5665200501735</v>
      </c>
      <c r="K4207" s="16">
        <f>(K4202*Inputs!$D$19-K4203-K4204)/(Inputs!$D$7+$D$4220)^K4194</f>
        <v>-3529.1777141306115</v>
      </c>
      <c r="L4207" s="16">
        <f>(L4202*Inputs!$D$19-L4203-L4204)/(Inputs!$D$7+$D$4220)^L4194</f>
        <v>-2214.1020449702382</v>
      </c>
      <c r="M4207" s="16">
        <f>(M4202*Inputs!$D$19-M4203-M4204)/(Inputs!$D$7+$D$4220)^M4194</f>
        <v>-8753.5088252709138</v>
      </c>
    </row>
    <row r="4208" spans="1:13" ht="15" customHeight="1" x14ac:dyDescent="0.2">
      <c r="B4208" s="10" t="s">
        <v>903</v>
      </c>
      <c r="C4208" s="10" t="s">
        <v>110</v>
      </c>
      <c r="D4208" s="16">
        <f t="shared" ref="D4208:M4208" si="915">D4201*$D$4218</f>
        <v>3897.84425329444</v>
      </c>
      <c r="E4208" s="16">
        <f t="shared" si="915"/>
        <v>19795.461065630665</v>
      </c>
      <c r="F4208" s="16">
        <f t="shared" si="915"/>
        <v>38047.285567404717</v>
      </c>
      <c r="G4208" s="16">
        <f t="shared" si="915"/>
        <v>49780.601318545174</v>
      </c>
      <c r="H4208" s="16">
        <f t="shared" si="915"/>
        <v>53691.706568925336</v>
      </c>
      <c r="I4208" s="16">
        <f t="shared" si="915"/>
        <v>53691.706568925336</v>
      </c>
      <c r="J4208" s="16">
        <f t="shared" si="915"/>
        <v>53691.706568925336</v>
      </c>
      <c r="K4208" s="16">
        <f t="shared" si="915"/>
        <v>53691.706568925336</v>
      </c>
      <c r="L4208" s="16">
        <f t="shared" si="915"/>
        <v>53691.706568925336</v>
      </c>
      <c r="M4208" s="16">
        <f t="shared" si="915"/>
        <v>53691.706568925336</v>
      </c>
    </row>
    <row r="4209" spans="2:13" ht="15" customHeight="1" x14ac:dyDescent="0.2">
      <c r="B4209" s="10" t="s">
        <v>904</v>
      </c>
      <c r="C4209" s="10" t="s">
        <v>110</v>
      </c>
      <c r="D4209" s="16">
        <f t="shared" ref="D4209:M4209" si="916">D4208*$D$4219</f>
        <v>2923.3831899708302</v>
      </c>
      <c r="E4209" s="16">
        <f t="shared" si="916"/>
        <v>14846.595799223</v>
      </c>
      <c r="F4209" s="16">
        <f t="shared" si="916"/>
        <v>28535.464175553538</v>
      </c>
      <c r="G4209" s="16">
        <f t="shared" si="916"/>
        <v>37335.45098890888</v>
      </c>
      <c r="H4209" s="16">
        <f t="shared" si="916"/>
        <v>40268.779926693998</v>
      </c>
      <c r="I4209" s="16">
        <f t="shared" si="916"/>
        <v>40268.779926693998</v>
      </c>
      <c r="J4209" s="16">
        <f t="shared" si="916"/>
        <v>40268.779926693998</v>
      </c>
      <c r="K4209" s="16">
        <f t="shared" si="916"/>
        <v>40268.779926693998</v>
      </c>
      <c r="L4209" s="16">
        <f t="shared" si="916"/>
        <v>40268.779926693998</v>
      </c>
      <c r="M4209" s="16">
        <f t="shared" si="916"/>
        <v>40268.779926693998</v>
      </c>
    </row>
    <row r="4210" spans="2:13" ht="15" customHeight="1" x14ac:dyDescent="0.2">
      <c r="B4210" s="10" t="s">
        <v>905</v>
      </c>
      <c r="C4210" s="10" t="s">
        <v>110</v>
      </c>
      <c r="D4210" s="16">
        <f t="shared" ref="D4210:M4210" si="917">D4209-D4202</f>
        <v>1242.8730458552202</v>
      </c>
      <c r="E4210" s="16">
        <f t="shared" si="917"/>
        <v>6312.0133566019886</v>
      </c>
      <c r="F4210" s="16">
        <f t="shared" si="917"/>
        <v>12131.820213112955</v>
      </c>
      <c r="G4210" s="16">
        <f t="shared" si="917"/>
        <v>15873.124620869999</v>
      </c>
      <c r="H4210" s="16">
        <f t="shared" si="917"/>
        <v>17120.226090122349</v>
      </c>
      <c r="I4210" s="16">
        <f t="shared" si="917"/>
        <v>17120.226090122349</v>
      </c>
      <c r="J4210" s="16">
        <f t="shared" si="917"/>
        <v>17120.226090122349</v>
      </c>
      <c r="K4210" s="16">
        <f t="shared" si="917"/>
        <v>17120.226090122349</v>
      </c>
      <c r="L4210" s="16">
        <f t="shared" si="917"/>
        <v>17120.226090122349</v>
      </c>
      <c r="M4210" s="16">
        <f t="shared" si="917"/>
        <v>17120.226090122349</v>
      </c>
    </row>
    <row r="4211" spans="2:13" ht="15" customHeight="1" x14ac:dyDescent="0.2">
      <c r="B4211" s="10" t="s">
        <v>906</v>
      </c>
      <c r="C4211" s="10" t="s">
        <v>110</v>
      </c>
      <c r="D4211" s="16">
        <f>MAX(D4210,Inputs!$D$6)*Inputs!$D$19</f>
        <v>372.86191375656603</v>
      </c>
      <c r="E4211" s="16">
        <f>MAX(E4210,Inputs!$D$6)*Inputs!$D$19</f>
        <v>1893.6040069805965</v>
      </c>
      <c r="F4211" s="16">
        <f>MAX(F4210,Inputs!$D$6)*Inputs!$D$19</f>
        <v>3639.5460639338862</v>
      </c>
      <c r="G4211" s="16">
        <f>MAX(G4210,Inputs!$D$6)*Inputs!$D$19</f>
        <v>4761.937386261</v>
      </c>
      <c r="H4211" s="16">
        <f>MAX(H4210,Inputs!$D$6)*Inputs!$D$19</f>
        <v>5136.0678270367043</v>
      </c>
      <c r="I4211" s="16">
        <f>MAX(I4210,Inputs!$D$6)*Inputs!$D$19</f>
        <v>5136.0678270367043</v>
      </c>
      <c r="J4211" s="16">
        <f>MAX(J4210,Inputs!$D$6)*Inputs!$D$19</f>
        <v>5136.0678270367043</v>
      </c>
      <c r="K4211" s="16">
        <f>MAX(K4210,Inputs!$D$6)*Inputs!$D$19</f>
        <v>5136.0678270367043</v>
      </c>
      <c r="L4211" s="16">
        <f>MAX(L4210,Inputs!$D$6)*Inputs!$D$19</f>
        <v>5136.0678270367043</v>
      </c>
      <c r="M4211" s="16">
        <f>MAX(M4210,Inputs!$D$6)*Inputs!$D$19</f>
        <v>5136.0678270367043</v>
      </c>
    </row>
    <row r="4212" spans="2:13" ht="15" customHeight="1" x14ac:dyDescent="0.2">
      <c r="B4212" s="10" t="s">
        <v>907</v>
      </c>
      <c r="C4212" s="10" t="s">
        <v>110</v>
      </c>
      <c r="D4212" s="16">
        <f t="shared" ref="D4212:M4212" si="918">D4205*$D$4218</f>
        <v>195.55526251900778</v>
      </c>
      <c r="E4212" s="16">
        <f t="shared" si="918"/>
        <v>521.48070005068735</v>
      </c>
      <c r="F4212" s="16">
        <f t="shared" si="918"/>
        <v>391.11052503801534</v>
      </c>
      <c r="G4212" s="16">
        <f t="shared" si="918"/>
        <v>195.5552625190079</v>
      </c>
      <c r="H4212" s="16">
        <f t="shared" si="918"/>
        <v>0</v>
      </c>
      <c r="I4212" s="16">
        <f t="shared" si="918"/>
        <v>0</v>
      </c>
      <c r="J4212" s="16">
        <f t="shared" si="918"/>
        <v>0</v>
      </c>
      <c r="K4212" s="16">
        <f t="shared" si="918"/>
        <v>0</v>
      </c>
      <c r="L4212" s="16">
        <f t="shared" si="918"/>
        <v>0</v>
      </c>
      <c r="M4212" s="16">
        <f t="shared" si="918"/>
        <v>0</v>
      </c>
    </row>
    <row r="4213" spans="2:13" ht="15" customHeight="1" x14ac:dyDescent="0.2">
      <c r="B4213" s="10" t="s">
        <v>908</v>
      </c>
      <c r="C4213" s="10" t="s">
        <v>110</v>
      </c>
      <c r="D4213" s="16">
        <f t="shared" ref="D4213:M4213" si="919">D4209-D4211-D4203-D4204-D4212</f>
        <v>-11622.921405788631</v>
      </c>
      <c r="E4213" s="16">
        <f t="shared" si="919"/>
        <v>-24842.855359765315</v>
      </c>
      <c r="F4213" s="16">
        <f t="shared" si="919"/>
        <v>-3450.9672523861245</v>
      </c>
      <c r="G4213" s="16">
        <f t="shared" si="919"/>
        <v>15762.066072077805</v>
      </c>
      <c r="H4213" s="16">
        <f t="shared" si="919"/>
        <v>21764.909269200602</v>
      </c>
      <c r="I4213" s="16">
        <f t="shared" si="919"/>
        <v>-514.76211489387788</v>
      </c>
      <c r="J4213" s="16">
        <f t="shared" si="919"/>
        <v>8397.1064387439255</v>
      </c>
      <c r="K4213" s="16">
        <f t="shared" si="919"/>
        <v>19126.904420633426</v>
      </c>
      <c r="L4213" s="16">
        <f t="shared" si="919"/>
        <v>21764.909269200602</v>
      </c>
      <c r="M4213" s="16">
        <f t="shared" si="919"/>
        <v>-514.76211489387788</v>
      </c>
    </row>
    <row r="4214" spans="2:13" ht="15" customHeight="1" x14ac:dyDescent="0.2">
      <c r="B4214" s="10" t="s">
        <v>909</v>
      </c>
      <c r="C4214" s="10" t="s">
        <v>110</v>
      </c>
      <c r="D4214" s="16">
        <f>D4213/(Inputs!$D$7+$D$4220)^D4194</f>
        <v>-10650.906129652545</v>
      </c>
      <c r="E4214" s="16">
        <f>E4213/(Inputs!$D$7+$D$4220)^E4194</f>
        <v>-20141.199568756801</v>
      </c>
      <c r="F4214" s="16">
        <f>F4213/(Inputs!$D$7+$D$4220)^F4194</f>
        <v>-2476.1819112642584</v>
      </c>
      <c r="G4214" s="16">
        <f>G4213/(Inputs!$D$7+$D$4220)^G4194</f>
        <v>10009.508183952483</v>
      </c>
      <c r="H4214" s="16">
        <f>H4213/(Inputs!$D$7+$D$4220)^H4194</f>
        <v>12232.475176747186</v>
      </c>
      <c r="I4214" s="16">
        <f>I4213/(Inputs!$D$7+$D$4220)^I4194</f>
        <v>-255.96266569582767</v>
      </c>
      <c r="J4214" s="16">
        <f>J4213/(Inputs!$D$7+$D$4220)^J4194</f>
        <v>3695.3671416523107</v>
      </c>
      <c r="K4214" s="16">
        <f>K4213/(Inputs!$D$7+$D$4220)^K4194</f>
        <v>7449.5580558831807</v>
      </c>
      <c r="L4214" s="16">
        <f>L4213/(Inputs!$D$7+$D$4220)^L4194</f>
        <v>7502.4061117721458</v>
      </c>
      <c r="M4214" s="16">
        <f>M4213/(Inputs!$D$7+$D$4220)^M4194</f>
        <v>-156.98669645798668</v>
      </c>
    </row>
    <row r="4215" spans="2:13" ht="15" customHeight="1" x14ac:dyDescent="0.2">
      <c r="B4215" s="3" t="s">
        <v>910</v>
      </c>
      <c r="C4215" s="10" t="s">
        <v>896</v>
      </c>
      <c r="D4215" s="28">
        <f>(D4201*$D$4219-D4205)/(Inputs!$D$7+$D$4220)^D4194</f>
        <v>74.490519309095831</v>
      </c>
      <c r="E4215" s="28">
        <f>(E4201*$D$4219-E4205)/(Inputs!$D$7+$D$4220)^E4194</f>
        <v>346.09451503846662</v>
      </c>
      <c r="F4215" s="28">
        <f>(F4201*$D$4219-F4205)/(Inputs!$D$7+$D$4220)^F4194</f>
        <v>601.79110266312398</v>
      </c>
      <c r="G4215" s="28">
        <f>(G4201*$D$4219-G4205)/(Inputs!$D$7+$D$4220)^G4194</f>
        <v>702.83446516544734</v>
      </c>
      <c r="H4215" s="28">
        <f>(H4201*$D$4219-H4205)/(Inputs!$D$7+$D$4220)^H4194</f>
        <v>674.43286946611579</v>
      </c>
      <c r="I4215" s="28">
        <f>(I4201*$D$4219-I4205)/(Inputs!$D$7+$D$4220)^I4194</f>
        <v>596.69348218898278</v>
      </c>
      <c r="J4215" s="28">
        <f>(J4201*$D$4219-J4205)/(Inputs!$D$7+$D$4220)^J4194</f>
        <v>528.09150417844353</v>
      </c>
      <c r="K4215" s="28">
        <f>(K4201*$D$4219-K4205)/(Inputs!$D$7+$D$4220)^K4194</f>
        <v>467.37671033772904</v>
      </c>
      <c r="L4215" s="28">
        <f>(L4201*$D$4219-L4205)/(Inputs!$D$7+$D$4220)^L4194</f>
        <v>413.64230940610946</v>
      </c>
      <c r="M4215" s="28">
        <f>(M4201*$D$4219-M4205)/(Inputs!$D$7+$D$4220)^M4194</f>
        <v>365.96328731072373</v>
      </c>
    </row>
    <row r="4216" spans="2:13" ht="15" customHeight="1" x14ac:dyDescent="0.2">
      <c r="B4216" s="10" t="s">
        <v>911</v>
      </c>
      <c r="C4216" s="10" t="s">
        <v>110</v>
      </c>
      <c r="D4216" s="16">
        <f>(-D4203-D4204)/(Inputs!$D$7+$D$4220)^D4194</f>
        <v>-12808.928289029636</v>
      </c>
      <c r="E4216" s="16">
        <f>(-E4203-E4204)/(Inputs!$D$7+$D$4220)^E4194</f>
        <v>-30219.974420642928</v>
      </c>
      <c r="F4216" s="16">
        <f>(-F4203-F4204)/(Inputs!$D$7+$D$4220)^F4194</f>
        <v>-20059.183095337907</v>
      </c>
      <c r="G4216" s="16">
        <f>(-G4203-G4204)/(Inputs!$D$7+$D$4220)^G4194</f>
        <v>-10551.720115889953</v>
      </c>
      <c r="H4216" s="16">
        <f>(-H4203-H4204)/(Inputs!$D$7+$D$4220)^H4194</f>
        <v>-7513.0713511684744</v>
      </c>
      <c r="I4216" s="16">
        <f>(-I4203-I4204)/(Inputs!$D$7+$D$4220)^I4194</f>
        <v>-17725.512933602091</v>
      </c>
      <c r="J4216" s="16">
        <f>(-J4203-J4204)/(Inputs!$D$7+$D$4220)^J4194</f>
        <v>-11765.705173827875</v>
      </c>
      <c r="K4216" s="16">
        <f>(-K4203-K4204)/(Inputs!$D$7+$D$4220)^K4194</f>
        <v>-6233.95144943378</v>
      </c>
      <c r="L4216" s="16">
        <f>(-L4203-L4204)/(Inputs!$D$7+$D$4220)^L4194</f>
        <v>-4607.9073620630261</v>
      </c>
      <c r="M4216" s="16">
        <f>(-M4203-M4204)/(Inputs!$D$7+$D$4220)^M4194</f>
        <v>-10871.389039901173</v>
      </c>
    </row>
    <row r="4217" spans="2:13" ht="15" customHeight="1" x14ac:dyDescent="0.2">
      <c r="B4217" s="10" t="s">
        <v>912</v>
      </c>
      <c r="C4217" s="10" t="s">
        <v>110</v>
      </c>
      <c r="D4217" s="16">
        <f>Prices!I21</f>
        <v>35821.750967187276</v>
      </c>
    </row>
    <row r="4218" spans="2:13" ht="15" customHeight="1" x14ac:dyDescent="0.2">
      <c r="B4218" s="3" t="s">
        <v>913</v>
      </c>
      <c r="C4218" s="10" t="s">
        <v>914</v>
      </c>
      <c r="D4218" s="28">
        <f>IF(J4225&gt;=J4221,J4225,(D4217-J4224)/J4223)</f>
        <v>33.557316605578336</v>
      </c>
      <c r="G4218" s="99" t="s">
        <v>915</v>
      </c>
      <c r="H4218" s="91"/>
      <c r="I4218" s="91"/>
      <c r="J4218" s="28">
        <f>D4218*Inputs!$D$15</f>
        <v>23.41965125903312</v>
      </c>
      <c r="K4218" s="99" t="s">
        <v>916</v>
      </c>
      <c r="L4218" s="91"/>
      <c r="M4218" s="91"/>
    </row>
    <row r="4219" spans="2:13" ht="15" customHeight="1" x14ac:dyDescent="0.2">
      <c r="B4219" s="10" t="s">
        <v>917</v>
      </c>
      <c r="C4219" s="10" t="s">
        <v>104</v>
      </c>
      <c r="D4219" s="30">
        <f>Inputs!$D$94</f>
        <v>0.75</v>
      </c>
      <c r="G4219" s="99" t="s">
        <v>918</v>
      </c>
      <c r="H4219" s="91"/>
      <c r="I4219" s="91"/>
      <c r="J4219" s="28">
        <f>IF(-D4230/D4229&gt;=J4221,-D4230/D4229,-J4224/J4223)</f>
        <v>27.411702074287536</v>
      </c>
      <c r="K4219" s="99" t="s">
        <v>919</v>
      </c>
      <c r="L4219" s="91"/>
      <c r="M4219" s="91"/>
    </row>
    <row r="4220" spans="2:13" ht="15" customHeight="1" x14ac:dyDescent="0.2">
      <c r="B4220" s="10" t="s">
        <v>920</v>
      </c>
      <c r="C4220" s="10" t="s">
        <v>104</v>
      </c>
      <c r="D4220" s="30">
        <f>Inputs!$D$95</f>
        <v>0.13</v>
      </c>
      <c r="G4220" s="99" t="s">
        <v>918</v>
      </c>
      <c r="H4220" s="91"/>
      <c r="I4220" s="91"/>
      <c r="J4220" s="28">
        <f>J4219*Inputs!$D$15</f>
        <v>19.13062687764527</v>
      </c>
      <c r="K4220" s="99" t="s">
        <v>916</v>
      </c>
      <c r="L4220" s="91"/>
      <c r="M4220" s="91"/>
    </row>
    <row r="4221" spans="2:13" ht="15" customHeight="1" x14ac:dyDescent="0.2">
      <c r="B4221" s="3" t="s">
        <v>921</v>
      </c>
      <c r="C4221" s="10" t="s">
        <v>848</v>
      </c>
      <c r="D4221" s="28">
        <f>Capital!$D$13</f>
        <v>57.347931490590682</v>
      </c>
      <c r="G4221" s="99" t="s">
        <v>922</v>
      </c>
      <c r="H4221" s="91"/>
      <c r="I4221" s="91"/>
      <c r="J4221" s="28">
        <f>($D$4221/Inputs!$D$21+$D$4222/Inputs!$D$22)/$D$4219</f>
        <v>19.290461530476374</v>
      </c>
      <c r="K4221" s="99" t="s">
        <v>919</v>
      </c>
      <c r="L4221" s="91"/>
      <c r="M4221" s="91"/>
    </row>
    <row r="4222" spans="2:13" ht="15" customHeight="1" x14ac:dyDescent="0.2">
      <c r="B4222" s="3" t="s">
        <v>923</v>
      </c>
      <c r="C4222" s="10" t="s">
        <v>848</v>
      </c>
      <c r="D4222" s="28">
        <f>Capital!$D$14</f>
        <v>2.6172655041921802</v>
      </c>
    </row>
    <row r="4223" spans="2:13" ht="15" customHeight="1" x14ac:dyDescent="0.2">
      <c r="B4223" s="10" t="s">
        <v>924</v>
      </c>
      <c r="C4223" s="10" t="s">
        <v>896</v>
      </c>
      <c r="D4223" s="28">
        <f>(M4196*(Inputs!$D$7+Inputs!$D$20)*$D$4219*(Inputs!$D$7-Inputs!$D$19)-M4196*Inputs!$D$20*Inputs!$D$23)/($D$4220-Inputs!$D$20)/(Inputs!$D$7+$D$4220)^M4194</f>
        <v>2497.8446594223992</v>
      </c>
      <c r="G4223" s="92" t="s">
        <v>910</v>
      </c>
      <c r="H4223" s="91"/>
      <c r="I4223" s="91"/>
      <c r="J4223" s="28">
        <f>SUM(D4215:M4215)+(M4196*(Inputs!$D$7+Inputs!$D$20)*$D$4219-M4196*Inputs!$D$20*Inputs!$D$23)/($D$4220-Inputs!$D$20)/(Inputs!$D$7+$D$4220)^M4194</f>
        <v>8341.0050516109004</v>
      </c>
      <c r="K4223" s="99" t="s">
        <v>896</v>
      </c>
      <c r="L4223" s="91"/>
      <c r="M4223" s="91"/>
    </row>
    <row r="4224" spans="2:13" ht="15" customHeight="1" x14ac:dyDescent="0.2">
      <c r="B4224" s="10" t="s">
        <v>925</v>
      </c>
      <c r="C4224" s="10" t="s">
        <v>110</v>
      </c>
      <c r="D4224" s="16">
        <f>(D4227*Inputs!$D$19-D4227-D4228)/($D$4220-Inputs!$D$20)/(Inputs!$D$7+$D$4220)^M4194</f>
        <v>-55207.290798783099</v>
      </c>
      <c r="G4224" s="92" t="s">
        <v>926</v>
      </c>
      <c r="H4224" s="91"/>
      <c r="I4224" s="91"/>
      <c r="J4224" s="16">
        <f>SUM(D4216:M4216)-(D4227+D4228)/($D$4220-Inputs!$D$20)/(Inputs!$D$7+$D$4220)^M4194</f>
        <v>-208239.17898202292</v>
      </c>
      <c r="K4224" s="99" t="s">
        <v>110</v>
      </c>
      <c r="L4224" s="91"/>
      <c r="M4224" s="91"/>
    </row>
    <row r="4225" spans="1:13" ht="15" customHeight="1" x14ac:dyDescent="0.2">
      <c r="B4225" s="10" t="s">
        <v>927</v>
      </c>
      <c r="C4225" s="10" t="s">
        <v>928</v>
      </c>
      <c r="D4225" s="16">
        <f>(M4196*(Inputs!$D$7+Inputs!$D$20)*$D$4218*$D$4219-D4227)-MAX((M4196*(Inputs!$D$7+Inputs!$D$20)*$D$4218*$D$4219-D4227),Inputs!$D$6)*Inputs!$D$19-D4228-M4196*Inputs!$D$20*$D$4218*Inputs!$D$23</f>
        <v>9851.5970232658929</v>
      </c>
      <c r="G4225" s="99" t="s">
        <v>929</v>
      </c>
      <c r="H4225" s="91"/>
      <c r="I4225" s="91"/>
      <c r="J4225" s="28">
        <f>(D4217-D4230)/D4229</f>
        <v>33.557316605578336</v>
      </c>
      <c r="K4225" s="99" t="s">
        <v>919</v>
      </c>
      <c r="L4225" s="91"/>
      <c r="M4225" s="91"/>
    </row>
    <row r="4226" spans="1:13" ht="15" customHeight="1" x14ac:dyDescent="0.2">
      <c r="B4226" s="10" t="s">
        <v>930</v>
      </c>
      <c r="C4226" s="10" t="s">
        <v>110</v>
      </c>
      <c r="D4226" s="16">
        <f>D4225/($D$4220-Inputs!$D$20)</f>
        <v>93824.733554913255</v>
      </c>
      <c r="G4226" s="99" t="s">
        <v>931</v>
      </c>
      <c r="H4226" s="91"/>
      <c r="I4226" s="91"/>
      <c r="J4226" s="16">
        <f>MIN(D4210:M4210,(M4196*(Inputs!$D$7+Inputs!$D$20)*$D$4218*$D$4219-D4227))</f>
        <v>1242.8730458552202</v>
      </c>
      <c r="K4226" s="99" t="s">
        <v>110</v>
      </c>
      <c r="L4226" s="91"/>
      <c r="M4226" s="91"/>
    </row>
    <row r="4227" spans="1:13" ht="15" customHeight="1" x14ac:dyDescent="0.2">
      <c r="B4227" s="10" t="s">
        <v>932</v>
      </c>
      <c r="C4227" s="10" t="s">
        <v>928</v>
      </c>
      <c r="D4227" s="16">
        <f>M4196*(Inputs!$D$7+Inputs!$D$20)*($D$4221/Inputs!$D$21+$D$4222/Inputs!$D$22)</f>
        <v>23727.267682485937</v>
      </c>
      <c r="G4227" s="99" t="s">
        <v>933</v>
      </c>
      <c r="H4227" s="91"/>
      <c r="I4227" s="91"/>
      <c r="J4227" s="31" t="str">
        <f>IF(J4226&lt;Inputs!$D$6,"breached","satisfied")</f>
        <v>satisfied</v>
      </c>
      <c r="K4227" s="99" t="s">
        <v>934</v>
      </c>
      <c r="L4227" s="91"/>
      <c r="M4227" s="91"/>
    </row>
    <row r="4228" spans="1:13" ht="15" customHeight="1" x14ac:dyDescent="0.2">
      <c r="B4228" s="10" t="s">
        <v>935</v>
      </c>
      <c r="C4228" s="10" t="s">
        <v>928</v>
      </c>
      <c r="D4228" s="16">
        <f>M4196*Inputs!$D$20*($D$4221+$D$4222)</f>
        <v>2398.6078797913146</v>
      </c>
    </row>
    <row r="4229" spans="1:13" ht="15" customHeight="1" x14ac:dyDescent="0.2">
      <c r="B4229" s="10" t="s">
        <v>936</v>
      </c>
      <c r="C4229" s="10" t="s">
        <v>896</v>
      </c>
      <c r="D4229" s="28">
        <f>SUM(D4206:M4206)+D4223</f>
        <v>5828.8314024250149</v>
      </c>
      <c r="G4229" s="99" t="s">
        <v>937</v>
      </c>
      <c r="H4229" s="91"/>
      <c r="I4229" s="91"/>
      <c r="J4229" s="16">
        <f>D4231-D4217</f>
        <v>0</v>
      </c>
      <c r="K4229" s="99" t="s">
        <v>110</v>
      </c>
      <c r="L4229" s="91"/>
      <c r="M4229" s="91"/>
    </row>
    <row r="4230" spans="1:13" ht="15" customHeight="1" x14ac:dyDescent="0.2">
      <c r="B4230" s="10" t="s">
        <v>938</v>
      </c>
      <c r="C4230" s="10" t="s">
        <v>110</v>
      </c>
      <c r="D4230" s="16">
        <f>SUM(D4207:M4207)+D4224</f>
        <v>-159778.18984452612</v>
      </c>
    </row>
    <row r="4231" spans="1:13" ht="15" customHeight="1" x14ac:dyDescent="0.2">
      <c r="B4231" s="10" t="s">
        <v>939</v>
      </c>
      <c r="C4231" s="10" t="s">
        <v>110</v>
      </c>
      <c r="D4231" s="16">
        <f>SUM(D4214:M4214)+D4226/(Inputs!$D$7+$D$4220)^M4194</f>
        <v>35821.750967187239</v>
      </c>
    </row>
    <row r="4232" spans="1:13" ht="15" customHeight="1" x14ac:dyDescent="0.2">
      <c r="B4232" s="10" t="s">
        <v>940</v>
      </c>
      <c r="C4232" s="10" t="s">
        <v>104</v>
      </c>
      <c r="D4232" s="30">
        <f>IF(ABS(D4217)&gt;Inputs!$D$6,D4231/D4217-Inputs!$D$7,Inputs!$D$6)</f>
        <v>-9.9920072216264089E-16</v>
      </c>
    </row>
    <row r="4233" spans="1:13" ht="15" customHeight="1" x14ac:dyDescent="0.2">
      <c r="B4233" s="10" t="s">
        <v>941</v>
      </c>
      <c r="C4233" s="10" t="s">
        <v>104</v>
      </c>
      <c r="D4233" s="30">
        <f>IF(ABS(D4231)&gt;Inputs!$D$119,D4226/(Inputs!$D$7+$D$4220)^M4194/D4231,Inputs!$D$6)</f>
        <v>0.79877930297761002</v>
      </c>
    </row>
    <row r="4234" spans="1:13" ht="15" customHeight="1" x14ac:dyDescent="0.2">
      <c r="B4234" s="10" t="s">
        <v>942</v>
      </c>
      <c r="C4234" s="10" t="s">
        <v>943</v>
      </c>
      <c r="D4234" s="26">
        <f>$D$4218*Inputs!$D$8/Prices!$P$6/(Inputs!$D$26/Inputs!$D$25)/Inputs!$D$11/Inputs!$D$56</f>
        <v>6.1024999558231023</v>
      </c>
    </row>
    <row r="4238" spans="1:13" ht="15" customHeight="1" x14ac:dyDescent="0.2">
      <c r="A4238" s="104" t="s">
        <v>1035</v>
      </c>
      <c r="B4238" s="10" t="s">
        <v>886</v>
      </c>
      <c r="C4238" s="10" t="s">
        <v>107</v>
      </c>
      <c r="D4238" s="28">
        <f>Inputs!$D$60</f>
        <v>1</v>
      </c>
      <c r="E4238" s="28">
        <f>Inputs!$D$62</f>
        <v>2</v>
      </c>
      <c r="F4238" s="28">
        <f>Inputs!$D$64</f>
        <v>3</v>
      </c>
      <c r="G4238" s="28">
        <f>Inputs!$D$66</f>
        <v>4</v>
      </c>
      <c r="H4238" s="28">
        <f>Inputs!$D$68</f>
        <v>5</v>
      </c>
      <c r="I4238" s="28">
        <f>Inputs!$D$70</f>
        <v>6</v>
      </c>
      <c r="J4238" s="28">
        <f>Inputs!$D$72</f>
        <v>7</v>
      </c>
      <c r="K4238" s="28">
        <f>Inputs!$D$74</f>
        <v>8</v>
      </c>
      <c r="L4238" s="28">
        <f>Inputs!$D$76</f>
        <v>9</v>
      </c>
      <c r="M4238" s="28">
        <f>Inputs!$D$78</f>
        <v>10</v>
      </c>
    </row>
    <row r="4239" spans="1:13" ht="15" customHeight="1" x14ac:dyDescent="0.2">
      <c r="A4239" s="91"/>
      <c r="B4239" s="10" t="s">
        <v>887</v>
      </c>
      <c r="C4239" s="10" t="s">
        <v>161</v>
      </c>
      <c r="D4239" s="29">
        <f>Inputs!$D$61</f>
        <v>46568</v>
      </c>
      <c r="E4239" s="29">
        <f>Inputs!$D$63</f>
        <v>46934</v>
      </c>
      <c r="F4239" s="29">
        <f>Inputs!$D$65</f>
        <v>47299</v>
      </c>
      <c r="G4239" s="29">
        <f>Inputs!$D$67</f>
        <v>47664</v>
      </c>
      <c r="H4239" s="29">
        <f>Inputs!$D$69</f>
        <v>48029</v>
      </c>
      <c r="I4239" s="29">
        <f>Inputs!$D$71</f>
        <v>48395</v>
      </c>
      <c r="J4239" s="29">
        <f>Inputs!$D$73</f>
        <v>48760</v>
      </c>
      <c r="K4239" s="29">
        <f>Inputs!$D$75</f>
        <v>49125</v>
      </c>
      <c r="L4239" s="29">
        <f>Inputs!$D$77</f>
        <v>49490</v>
      </c>
      <c r="M4239" s="29">
        <f>Inputs!$D$79</f>
        <v>49856</v>
      </c>
    </row>
    <row r="4240" spans="1:13" ht="15" customHeight="1" x14ac:dyDescent="0.2">
      <c r="A4240" s="91"/>
      <c r="B4240" s="10" t="s">
        <v>888</v>
      </c>
      <c r="C4240" s="10" t="s">
        <v>107</v>
      </c>
      <c r="D4240" s="28">
        <f>(D4239-Inputs!$D$13)/Inputs!$D$10</f>
        <v>0.71457905544147848</v>
      </c>
      <c r="E4240" s="28">
        <f>(E4239-Inputs!$D$13)/Inputs!$D$10</f>
        <v>1.7166324435318274</v>
      </c>
      <c r="F4240" s="28">
        <f>(F4239-Inputs!$D$13)/Inputs!$D$10</f>
        <v>2.7159479808350446</v>
      </c>
      <c r="G4240" s="28">
        <f>(G4239-Inputs!$D$13)/Inputs!$D$10</f>
        <v>3.7152635181382614</v>
      </c>
      <c r="H4240" s="28">
        <f>(H4239-Inputs!$D$13)/Inputs!$D$10</f>
        <v>4.7145790554414786</v>
      </c>
      <c r="I4240" s="28">
        <f>(I4239-Inputs!$D$13)/Inputs!$D$10</f>
        <v>5.7166324435318279</v>
      </c>
      <c r="J4240" s="28">
        <f>(J4239-Inputs!$D$13)/Inputs!$D$10</f>
        <v>6.7159479808350442</v>
      </c>
      <c r="K4240" s="28">
        <f>(K4239-Inputs!$D$13)/Inputs!$D$10</f>
        <v>7.7152635181382614</v>
      </c>
      <c r="L4240" s="28">
        <f>(L4239-Inputs!$D$13)/Inputs!$D$10</f>
        <v>8.7145790554414777</v>
      </c>
      <c r="M4240" s="28">
        <f>(M4239-Inputs!$D$13)/Inputs!$D$10</f>
        <v>9.716632443531827</v>
      </c>
    </row>
    <row r="4241" spans="1:13" ht="15" customHeight="1" x14ac:dyDescent="0.2">
      <c r="A4241" s="91"/>
      <c r="B4241" s="10" t="s">
        <v>889</v>
      </c>
      <c r="C4241" s="10" t="s">
        <v>107</v>
      </c>
      <c r="D4241" s="28">
        <f>D4240</f>
        <v>0.71457905544147848</v>
      </c>
      <c r="E4241" s="28">
        <f>Inputs!$D$7</f>
        <v>1</v>
      </c>
      <c r="F4241" s="28">
        <f>Inputs!$D$7</f>
        <v>1</v>
      </c>
      <c r="G4241" s="28">
        <f>Inputs!$D$7</f>
        <v>1</v>
      </c>
      <c r="H4241" s="28">
        <f>Inputs!$D$7</f>
        <v>1</v>
      </c>
      <c r="I4241" s="28">
        <f>Inputs!$D$7</f>
        <v>1</v>
      </c>
      <c r="J4241" s="28">
        <f>Inputs!$D$7</f>
        <v>1</v>
      </c>
      <c r="K4241" s="28">
        <f>Inputs!$D$7</f>
        <v>1</v>
      </c>
      <c r="L4241" s="28">
        <f>Inputs!$D$7</f>
        <v>1</v>
      </c>
      <c r="M4241" s="28">
        <f>Inputs!$D$7</f>
        <v>1</v>
      </c>
    </row>
    <row r="4242" spans="1:13" ht="15" customHeight="1" x14ac:dyDescent="0.2">
      <c r="A4242" s="91"/>
      <c r="B4242" s="3" t="s">
        <v>890</v>
      </c>
      <c r="C4242" s="10" t="s">
        <v>199</v>
      </c>
      <c r="D4242" s="28">
        <f>Inputs!$D$24+(Inputs!$D$106-Inputs!$D$24)*Inputs!$D$109</f>
        <v>170.32</v>
      </c>
      <c r="E4242" s="28">
        <f>Inputs!$D$24+(Inputs!$D$106-Inputs!$D$24)*Inputs!$D$110</f>
        <v>481.12000000000006</v>
      </c>
      <c r="F4242" s="28">
        <f>Inputs!$D$24+(Inputs!$D$106-Inputs!$D$24)*Inputs!$D$111</f>
        <v>823</v>
      </c>
      <c r="G4242" s="28">
        <f>Inputs!$D$24+(Inputs!$D$106-Inputs!$D$24)*Inputs!$D$112</f>
        <v>1211.5</v>
      </c>
      <c r="H4242" s="28">
        <f>Inputs!$D$24+(Inputs!$D$106-Inputs!$D$24)*Inputs!$D$113</f>
        <v>1600</v>
      </c>
      <c r="I4242" s="28">
        <f>Inputs!$D$24+(Inputs!$D$106-Inputs!$D$24)*Inputs!$D$114</f>
        <v>1600</v>
      </c>
      <c r="J4242" s="28">
        <f>Inputs!$D$24+(Inputs!$D$106-Inputs!$D$24)*Inputs!$D$115</f>
        <v>1600</v>
      </c>
      <c r="K4242" s="28">
        <f>Inputs!$D$24+(Inputs!$D$106-Inputs!$D$24)*Inputs!$D$116</f>
        <v>1600</v>
      </c>
      <c r="L4242" s="28">
        <f>Inputs!$D$24+(Inputs!$D$106-Inputs!$D$24)*Inputs!$D$117</f>
        <v>1600</v>
      </c>
      <c r="M4242" s="28">
        <f>Inputs!$D$24+(Inputs!$D$106-Inputs!$D$24)*Inputs!$D$118</f>
        <v>1600</v>
      </c>
    </row>
    <row r="4243" spans="1:13" ht="15" customHeight="1" x14ac:dyDescent="0.2">
      <c r="A4243" s="91"/>
      <c r="B4243" s="10" t="s">
        <v>891</v>
      </c>
      <c r="C4243" s="10" t="s">
        <v>199</v>
      </c>
      <c r="D4243" s="28">
        <f>Inputs!$D$24</f>
        <v>46</v>
      </c>
      <c r="E4243" s="28">
        <f t="shared" ref="E4243:M4243" si="920">D4242</f>
        <v>170.32</v>
      </c>
      <c r="F4243" s="28">
        <f t="shared" si="920"/>
        <v>481.12000000000006</v>
      </c>
      <c r="G4243" s="28">
        <f t="shared" si="920"/>
        <v>823</v>
      </c>
      <c r="H4243" s="28">
        <f t="shared" si="920"/>
        <v>1211.5</v>
      </c>
      <c r="I4243" s="28">
        <f t="shared" si="920"/>
        <v>1600</v>
      </c>
      <c r="J4243" s="28">
        <f t="shared" si="920"/>
        <v>1600</v>
      </c>
      <c r="K4243" s="28">
        <f t="shared" si="920"/>
        <v>1600</v>
      </c>
      <c r="L4243" s="28">
        <f t="shared" si="920"/>
        <v>1600</v>
      </c>
      <c r="M4243" s="28">
        <f t="shared" si="920"/>
        <v>1600</v>
      </c>
    </row>
    <row r="4244" spans="1:13" ht="15" customHeight="1" x14ac:dyDescent="0.2">
      <c r="B4244" s="10" t="s">
        <v>892</v>
      </c>
      <c r="C4244" s="10" t="s">
        <v>199</v>
      </c>
      <c r="D4244" s="28">
        <f>(D4243+D4242)*Inputs!$D$12</f>
        <v>108.16</v>
      </c>
      <c r="E4244" s="28">
        <f>(E4243+E4242)*Inputs!$D$12</f>
        <v>325.72000000000003</v>
      </c>
      <c r="F4244" s="28">
        <f>(F4243+F4242)*Inputs!$D$12</f>
        <v>652.06000000000006</v>
      </c>
      <c r="G4244" s="28">
        <f>(G4243+G4242)*Inputs!$D$12</f>
        <v>1017.25</v>
      </c>
      <c r="H4244" s="28">
        <f>(H4243+H4242)*Inputs!$D$12</f>
        <v>1405.75</v>
      </c>
      <c r="I4244" s="28">
        <f>(I4243+I4242)*Inputs!$D$12</f>
        <v>1600</v>
      </c>
      <c r="J4244" s="28">
        <f>(J4243+J4242)*Inputs!$D$12</f>
        <v>1600</v>
      </c>
      <c r="K4244" s="28">
        <f>(K4243+K4242)*Inputs!$D$12</f>
        <v>1600</v>
      </c>
      <c r="L4244" s="28">
        <f>(L4243+L4242)*Inputs!$D$12</f>
        <v>1600</v>
      </c>
      <c r="M4244" s="28">
        <f>(M4243+M4242)*Inputs!$D$12</f>
        <v>1600</v>
      </c>
    </row>
    <row r="4245" spans="1:13" ht="15" customHeight="1" x14ac:dyDescent="0.2">
      <c r="B4245" s="10" t="s">
        <v>893</v>
      </c>
      <c r="C4245" s="10" t="s">
        <v>199</v>
      </c>
      <c r="D4245" s="28">
        <f t="shared" ref="D4245:M4245" si="921">D4242-D4243</f>
        <v>124.32</v>
      </c>
      <c r="E4245" s="28">
        <f t="shared" si="921"/>
        <v>310.80000000000007</v>
      </c>
      <c r="F4245" s="28">
        <f t="shared" si="921"/>
        <v>341.87999999999994</v>
      </c>
      <c r="G4245" s="28">
        <f t="shared" si="921"/>
        <v>388.5</v>
      </c>
      <c r="H4245" s="28">
        <f t="shared" si="921"/>
        <v>388.5</v>
      </c>
      <c r="I4245" s="28">
        <f t="shared" si="921"/>
        <v>0</v>
      </c>
      <c r="J4245" s="28">
        <f t="shared" si="921"/>
        <v>0</v>
      </c>
      <c r="K4245" s="28">
        <f t="shared" si="921"/>
        <v>0</v>
      </c>
      <c r="L4245" s="28">
        <f t="shared" si="921"/>
        <v>0</v>
      </c>
      <c r="M4245" s="28">
        <f t="shared" si="921"/>
        <v>0</v>
      </c>
    </row>
    <row r="4246" spans="1:13" ht="15" customHeight="1" x14ac:dyDescent="0.2">
      <c r="B4246" s="10" t="s">
        <v>894</v>
      </c>
      <c r="C4246" s="10" t="s">
        <v>199</v>
      </c>
      <c r="D4246" s="28">
        <f>IF(MOD(D4238,Inputs!$D$21)=Inputs!$D$6,Inputs!$D$24,Inputs!$D$6)+SUMPRODUCT(--(D4238&gt;$D$4238:$M$4238),--(MOD(D4238-$D$4238:$M$4238,Inputs!$D$21)=Inputs!$D$6),$D$4245:$M$4245)</f>
        <v>0</v>
      </c>
      <c r="E4246" s="28">
        <f>IF(MOD(E4238,Inputs!$D$21)=Inputs!$D$6,Inputs!$D$24,Inputs!$D$6)+SUMPRODUCT(--(E4238&gt;$D$4238:$M$4238),--(MOD(E4238-$D$4238:$M$4238,Inputs!$D$21)=Inputs!$D$6),$D$4245:$M$4245)</f>
        <v>0</v>
      </c>
      <c r="F4246" s="28">
        <f>IF(MOD(F4238,Inputs!$D$21)=Inputs!$D$6,Inputs!$D$24,Inputs!$D$6)+SUMPRODUCT(--(F4238&gt;$D$4238:$M$4238),--(MOD(F4238-$D$4238:$M$4238,Inputs!$D$21)=Inputs!$D$6),$D$4245:$M$4245)</f>
        <v>0</v>
      </c>
      <c r="G4246" s="28">
        <f>IF(MOD(G4238,Inputs!$D$21)=Inputs!$D$6,Inputs!$D$24,Inputs!$D$6)+SUMPRODUCT(--(G4238&gt;$D$4238:$M$4238),--(MOD(G4238-$D$4238:$M$4238,Inputs!$D$21)=Inputs!$D$6),$D$4245:$M$4245)</f>
        <v>46</v>
      </c>
      <c r="H4246" s="28">
        <f>IF(MOD(H4238,Inputs!$D$21)=Inputs!$D$6,Inputs!$D$24,Inputs!$D$6)+SUMPRODUCT(--(H4238&gt;$D$4238:$M$4238),--(MOD(H4238-$D$4238:$M$4238,Inputs!$D$21)=Inputs!$D$6),$D$4245:$M$4245)</f>
        <v>124.32</v>
      </c>
      <c r="I4246" s="28">
        <f>IF(MOD(I4238,Inputs!$D$21)=Inputs!$D$6,Inputs!$D$24,Inputs!$D$6)+SUMPRODUCT(--(I4238&gt;$D$4238:$M$4238),--(MOD(I4238-$D$4238:$M$4238,Inputs!$D$21)=Inputs!$D$6),$D$4245:$M$4245)</f>
        <v>310.80000000000007</v>
      </c>
      <c r="J4246" s="28">
        <f>IF(MOD(J4238,Inputs!$D$21)=Inputs!$D$6,Inputs!$D$24,Inputs!$D$6)+SUMPRODUCT(--(J4238&gt;$D$4238:$M$4238),--(MOD(J4238-$D$4238:$M$4238,Inputs!$D$21)=Inputs!$D$6),$D$4245:$M$4245)</f>
        <v>341.87999999999994</v>
      </c>
      <c r="K4246" s="28">
        <f>IF(MOD(K4238,Inputs!$D$21)=Inputs!$D$6,Inputs!$D$24,Inputs!$D$6)+SUMPRODUCT(--(K4238&gt;$D$4238:$M$4238),--(MOD(K4238-$D$4238:$M$4238,Inputs!$D$21)=Inputs!$D$6),$D$4245:$M$4245)</f>
        <v>434.5</v>
      </c>
      <c r="L4246" s="28">
        <f>IF(MOD(L4238,Inputs!$D$21)=Inputs!$D$6,Inputs!$D$24,Inputs!$D$6)+SUMPRODUCT(--(L4238&gt;$D$4238:$M$4238),--(MOD(L4238-$D$4238:$M$4238,Inputs!$D$21)=Inputs!$D$6),$D$4245:$M$4245)</f>
        <v>512.81999999999994</v>
      </c>
      <c r="M4246" s="28">
        <f>IF(MOD(M4238,Inputs!$D$21)=Inputs!$D$6,Inputs!$D$24,Inputs!$D$6)+SUMPRODUCT(--(M4238&gt;$D$4238:$M$4238),--(MOD(M4238-$D$4238:$M$4238,Inputs!$D$21)=Inputs!$D$6),$D$4245:$M$4245)</f>
        <v>310.80000000000007</v>
      </c>
    </row>
    <row r="4247" spans="1:13" ht="15" customHeight="1" x14ac:dyDescent="0.2">
      <c r="B4247" s="10" t="s">
        <v>895</v>
      </c>
      <c r="C4247" s="10" t="s">
        <v>896</v>
      </c>
      <c r="D4247" s="28">
        <f t="shared" ref="D4247:M4247" si="922">D4244*D4241</f>
        <v>77.288870636550314</v>
      </c>
      <c r="E4247" s="28">
        <f t="shared" si="922"/>
        <v>325.72000000000003</v>
      </c>
      <c r="F4247" s="28">
        <f t="shared" si="922"/>
        <v>652.06000000000006</v>
      </c>
      <c r="G4247" s="28">
        <f t="shared" si="922"/>
        <v>1017.25</v>
      </c>
      <c r="H4247" s="28">
        <f t="shared" si="922"/>
        <v>1405.75</v>
      </c>
      <c r="I4247" s="28">
        <f t="shared" si="922"/>
        <v>1600</v>
      </c>
      <c r="J4247" s="28">
        <f t="shared" si="922"/>
        <v>1600</v>
      </c>
      <c r="K4247" s="28">
        <f t="shared" si="922"/>
        <v>1600</v>
      </c>
      <c r="L4247" s="28">
        <f t="shared" si="922"/>
        <v>1600</v>
      </c>
      <c r="M4247" s="28">
        <f t="shared" si="922"/>
        <v>1600</v>
      </c>
    </row>
    <row r="4248" spans="1:13" ht="15" customHeight="1" x14ac:dyDescent="0.2">
      <c r="B4248" s="10" t="s">
        <v>897</v>
      </c>
      <c r="C4248" s="10" t="s">
        <v>110</v>
      </c>
      <c r="D4248" s="16">
        <f>D4247*($D$4267/Inputs!$D$21+$D$4268/Inputs!$D$22)</f>
        <v>1118.2034893112541</v>
      </c>
      <c r="E4248" s="16">
        <f>E4247*($D$4267/Inputs!$D$21+$D$4268/Inputs!$D$22)</f>
        <v>4712.466847280074</v>
      </c>
      <c r="F4248" s="16">
        <f>F4247*($D$4267/Inputs!$D$21+$D$4268/Inputs!$D$22)</f>
        <v>9433.9037591718188</v>
      </c>
      <c r="G4248" s="16">
        <f>G4247*($D$4267/Inputs!$D$21+$D$4268/Inputs!$D$22)</f>
        <v>14717.416493907818</v>
      </c>
      <c r="H4248" s="16">
        <f>H4247*($D$4267/Inputs!$D$21+$D$4268/Inputs!$D$22)</f>
        <v>20338.17472235037</v>
      </c>
      <c r="I4248" s="16">
        <f>I4247*($D$4267/Inputs!$D$21+$D$4268/Inputs!$D$22)</f>
        <v>23148.553836571649</v>
      </c>
      <c r="J4248" s="16">
        <f>J4247*($D$4267/Inputs!$D$21+$D$4268/Inputs!$D$22)</f>
        <v>23148.553836571649</v>
      </c>
      <c r="K4248" s="16">
        <f>K4247*($D$4267/Inputs!$D$21+$D$4268/Inputs!$D$22)</f>
        <v>23148.553836571649</v>
      </c>
      <c r="L4248" s="16">
        <f>L4247*($D$4267/Inputs!$D$21+$D$4268/Inputs!$D$22)</f>
        <v>23148.553836571649</v>
      </c>
      <c r="M4248" s="16">
        <f>M4247*($D$4267/Inputs!$D$21+$D$4268/Inputs!$D$22)</f>
        <v>23148.553836571649</v>
      </c>
    </row>
    <row r="4249" spans="1:13" ht="15" customHeight="1" x14ac:dyDescent="0.2">
      <c r="B4249" s="10" t="s">
        <v>898</v>
      </c>
      <c r="C4249" s="10" t="s">
        <v>110</v>
      </c>
      <c r="D4249" s="16">
        <f t="shared" ref="D4249:M4249" si="923">D4245*($D$4267+$D$4268)</f>
        <v>7454.8732903914051</v>
      </c>
      <c r="E4249" s="16">
        <f t="shared" si="923"/>
        <v>18637.183225978519</v>
      </c>
      <c r="F4249" s="16">
        <f t="shared" si="923"/>
        <v>20500.901548576363</v>
      </c>
      <c r="G4249" s="16">
        <f t="shared" si="923"/>
        <v>23296.479032473144</v>
      </c>
      <c r="H4249" s="16">
        <f t="shared" si="923"/>
        <v>23296.479032473144</v>
      </c>
      <c r="I4249" s="16">
        <f t="shared" si="923"/>
        <v>0</v>
      </c>
      <c r="J4249" s="16">
        <f t="shared" si="923"/>
        <v>0</v>
      </c>
      <c r="K4249" s="16">
        <f t="shared" si="923"/>
        <v>0</v>
      </c>
      <c r="L4249" s="16">
        <f t="shared" si="923"/>
        <v>0</v>
      </c>
      <c r="M4249" s="16">
        <f t="shared" si="923"/>
        <v>0</v>
      </c>
    </row>
    <row r="4250" spans="1:13" ht="15" customHeight="1" x14ac:dyDescent="0.2">
      <c r="B4250" s="10" t="s">
        <v>899</v>
      </c>
      <c r="C4250" s="10" t="s">
        <v>110</v>
      </c>
      <c r="D4250" s="16">
        <f t="shared" ref="D4250:M4250" si="924">D4246*$D$4267</f>
        <v>0</v>
      </c>
      <c r="E4250" s="16">
        <f t="shared" si="924"/>
        <v>0</v>
      </c>
      <c r="F4250" s="16">
        <f t="shared" si="924"/>
        <v>0</v>
      </c>
      <c r="G4250" s="16">
        <f t="shared" si="924"/>
        <v>2638.0048485671714</v>
      </c>
      <c r="H4250" s="16">
        <f t="shared" si="924"/>
        <v>7129.4948429102333</v>
      </c>
      <c r="I4250" s="16">
        <f t="shared" si="924"/>
        <v>17823.737107275589</v>
      </c>
      <c r="J4250" s="16">
        <f t="shared" si="924"/>
        <v>19606.110818003141</v>
      </c>
      <c r="K4250" s="16">
        <f t="shared" si="924"/>
        <v>24917.676232661652</v>
      </c>
      <c r="L4250" s="16">
        <f t="shared" si="924"/>
        <v>29409.166227004709</v>
      </c>
      <c r="M4250" s="16">
        <f t="shared" si="924"/>
        <v>17823.737107275589</v>
      </c>
    </row>
    <row r="4251" spans="1:13" ht="15" customHeight="1" x14ac:dyDescent="0.2">
      <c r="B4251" s="10" t="s">
        <v>900</v>
      </c>
      <c r="C4251" s="10" t="s">
        <v>199</v>
      </c>
      <c r="D4251" s="28">
        <f>D4245*Inputs!$D$23</f>
        <v>3.1080000000000001</v>
      </c>
      <c r="E4251" s="28">
        <f>E4245*Inputs!$D$23</f>
        <v>7.7700000000000022</v>
      </c>
      <c r="F4251" s="28">
        <f>F4245*Inputs!$D$23</f>
        <v>8.5469999999999988</v>
      </c>
      <c r="G4251" s="28">
        <f>G4245*Inputs!$D$23</f>
        <v>9.7125000000000004</v>
      </c>
      <c r="H4251" s="28">
        <f>H4245*Inputs!$D$23</f>
        <v>9.7125000000000004</v>
      </c>
      <c r="I4251" s="28">
        <f>I4245*Inputs!$D$23</f>
        <v>0</v>
      </c>
      <c r="J4251" s="28">
        <f>J4245*Inputs!$D$23</f>
        <v>0</v>
      </c>
      <c r="K4251" s="28">
        <f>K4245*Inputs!$D$23</f>
        <v>0</v>
      </c>
      <c r="L4251" s="28">
        <f>L4245*Inputs!$D$23</f>
        <v>0</v>
      </c>
      <c r="M4251" s="28">
        <f>M4245*Inputs!$D$23</f>
        <v>0</v>
      </c>
    </row>
    <row r="4252" spans="1:13" ht="15" customHeight="1" x14ac:dyDescent="0.2">
      <c r="B4252" s="3" t="s">
        <v>901</v>
      </c>
      <c r="C4252" s="10" t="s">
        <v>896</v>
      </c>
      <c r="D4252" s="28">
        <f>(D4247*$D$4265*(Inputs!$D$7-Inputs!$D$19)-D4251)/(Inputs!$D$7+$D$4266)^D4240</f>
        <v>40.99699201112098</v>
      </c>
      <c r="E4252" s="28">
        <f>(E4247*$D$4265*(Inputs!$D$7-Inputs!$D$19)-E4251)/(Inputs!$D$7+$D$4266)^E4240</f>
        <v>153.02781912726542</v>
      </c>
      <c r="F4252" s="28">
        <f>(F4247*$D$4265*(Inputs!$D$7-Inputs!$D$19)-F4251)/(Inputs!$D$7+$D$4266)^F4240</f>
        <v>268.8019226843403</v>
      </c>
      <c r="G4252" s="28">
        <f>(G4247*$D$4265*(Inputs!$D$7-Inputs!$D$19)-G4251)/(Inputs!$D$7+$D$4266)^G4240</f>
        <v>363.62824610263397</v>
      </c>
      <c r="H4252" s="28">
        <f>(H4247*$D$4265*(Inputs!$D$7-Inputs!$D$19)-H4251)/(Inputs!$D$7+$D$4266)^H4240</f>
        <v>435.07807528321291</v>
      </c>
      <c r="I4252" s="28">
        <f>(I4247*$D$4265*(Inputs!$D$7-Inputs!$D$19)-I4251)/(Inputs!$D$7+$D$4266)^I4240</f>
        <v>431.49711827119876</v>
      </c>
      <c r="J4252" s="28">
        <f>(J4247*$D$4265*(Inputs!$D$7-Inputs!$D$19)-J4251)/(Inputs!$D$7+$D$4266)^J4240</f>
        <v>372.01806500733016</v>
      </c>
      <c r="K4252" s="28">
        <f>(K4247*$D$4265*(Inputs!$D$7-Inputs!$D$19)-K4251)/(Inputs!$D$7+$D$4266)^K4240</f>
        <v>320.73780989845312</v>
      </c>
      <c r="L4252" s="28">
        <f>(L4247*$D$4265*(Inputs!$D$7-Inputs!$D$19)-L4251)/(Inputs!$D$7+$D$4266)^L4240</f>
        <v>276.52620228651875</v>
      </c>
      <c r="M4252" s="28">
        <f>(M4247*$D$4265*(Inputs!$D$7-Inputs!$D$19)-M4251)/(Inputs!$D$7+$D$4266)^M4240</f>
        <v>238.31201718226143</v>
      </c>
    </row>
    <row r="4253" spans="1:13" ht="15" customHeight="1" x14ac:dyDescent="0.2">
      <c r="B4253" s="10" t="s">
        <v>902</v>
      </c>
      <c r="C4253" s="10" t="s">
        <v>110</v>
      </c>
      <c r="D4253" s="16">
        <f>(D4248*Inputs!$D$19-D4249-D4250)/(Inputs!$D$7+$D$4266)^D4240</f>
        <v>-6403.0045740313244</v>
      </c>
      <c r="E4253" s="16">
        <f>(E4248*Inputs!$D$19-E4249-E4250)/(Inputs!$D$7+$D$4266)^E4240</f>
        <v>-13349.632212764713</v>
      </c>
      <c r="F4253" s="16">
        <f>(F4248*Inputs!$D$19-F4249-F4250)/(Inputs!$D$7+$D$4266)^F4240</f>
        <v>-11808.370082432088</v>
      </c>
      <c r="G4253" s="16">
        <f>(G4248*Inputs!$D$19-G4249-G4250)/(Inputs!$D$7+$D$4266)^G4240</f>
        <v>-12397.921878440668</v>
      </c>
      <c r="H4253" s="16">
        <f>(H4248*Inputs!$D$19-H4249-H4250)/(Inputs!$D$7+$D$4266)^H4240</f>
        <v>-12082.366885213038</v>
      </c>
      <c r="I4253" s="16">
        <f>(I4248*Inputs!$D$19-I4249-I4250)/(Inputs!$D$7+$D$4266)^I4240</f>
        <v>-4657.0743222469628</v>
      </c>
      <c r="J4253" s="16">
        <f>(J4248*Inputs!$D$19-J4249-J4250)/(Inputs!$D$7+$D$4266)^J4240</f>
        <v>-4672.9398284057479</v>
      </c>
      <c r="K4253" s="16">
        <f>(K4248*Inputs!$D$19-K4249-K4250)/(Inputs!$D$7+$D$4266)^K4240</f>
        <v>-5718.9047268503064</v>
      </c>
      <c r="L4253" s="16">
        <f>(L4248*Inputs!$D$19-L4249-L4250)/(Inputs!$D$7+$D$4266)^L4240</f>
        <v>-6162.7485564592316</v>
      </c>
      <c r="M4253" s="16">
        <f>(M4248*Inputs!$D$19-M4249-M4250)/(Inputs!$D$7+$D$4266)^M4240</f>
        <v>-2572.0606903447429</v>
      </c>
    </row>
    <row r="4254" spans="1:13" ht="15" customHeight="1" x14ac:dyDescent="0.2">
      <c r="B4254" s="10" t="s">
        <v>903</v>
      </c>
      <c r="C4254" s="10" t="s">
        <v>110</v>
      </c>
      <c r="D4254" s="16">
        <f t="shared" ref="D4254:M4254" si="925">D4247*$D$4264</f>
        <v>2444.834150740639</v>
      </c>
      <c r="E4254" s="16">
        <f t="shared" si="925"/>
        <v>10303.312404757169</v>
      </c>
      <c r="F4254" s="16">
        <f t="shared" si="925"/>
        <v>20626.236910984771</v>
      </c>
      <c r="G4254" s="16">
        <f t="shared" si="925"/>
        <v>32178.081001287086</v>
      </c>
      <c r="H4254" s="16">
        <f t="shared" si="925"/>
        <v>44467.276842034233</v>
      </c>
      <c r="I4254" s="16">
        <f t="shared" si="925"/>
        <v>50611.874762407802</v>
      </c>
      <c r="J4254" s="16">
        <f t="shared" si="925"/>
        <v>50611.874762407802</v>
      </c>
      <c r="K4254" s="16">
        <f t="shared" si="925"/>
        <v>50611.874762407802</v>
      </c>
      <c r="L4254" s="16">
        <f t="shared" si="925"/>
        <v>50611.874762407802</v>
      </c>
      <c r="M4254" s="16">
        <f t="shared" si="925"/>
        <v>50611.874762407802</v>
      </c>
    </row>
    <row r="4255" spans="1:13" ht="15" customHeight="1" x14ac:dyDescent="0.2">
      <c r="B4255" s="10" t="s">
        <v>904</v>
      </c>
      <c r="C4255" s="10" t="s">
        <v>110</v>
      </c>
      <c r="D4255" s="16">
        <f t="shared" ref="D4255:M4255" si="926">D4254*$D$4265</f>
        <v>2200.350735666575</v>
      </c>
      <c r="E4255" s="16">
        <f t="shared" si="926"/>
        <v>9272.9811642814529</v>
      </c>
      <c r="F4255" s="16">
        <f t="shared" si="926"/>
        <v>18563.613219886294</v>
      </c>
      <c r="G4255" s="16">
        <f t="shared" si="926"/>
        <v>28960.27290115838</v>
      </c>
      <c r="H4255" s="16">
        <f t="shared" si="926"/>
        <v>40020.549157830814</v>
      </c>
      <c r="I4255" s="16">
        <f t="shared" si="926"/>
        <v>45550.68728616702</v>
      </c>
      <c r="J4255" s="16">
        <f t="shared" si="926"/>
        <v>45550.68728616702</v>
      </c>
      <c r="K4255" s="16">
        <f t="shared" si="926"/>
        <v>45550.68728616702</v>
      </c>
      <c r="L4255" s="16">
        <f t="shared" si="926"/>
        <v>45550.68728616702</v>
      </c>
      <c r="M4255" s="16">
        <f t="shared" si="926"/>
        <v>45550.68728616702</v>
      </c>
    </row>
    <row r="4256" spans="1:13" ht="15" customHeight="1" x14ac:dyDescent="0.2">
      <c r="B4256" s="10" t="s">
        <v>905</v>
      </c>
      <c r="C4256" s="10" t="s">
        <v>110</v>
      </c>
      <c r="D4256" s="16">
        <f t="shared" ref="D4256:M4256" si="927">D4255-D4248</f>
        <v>1082.1472463553209</v>
      </c>
      <c r="E4256" s="16">
        <f t="shared" si="927"/>
        <v>4560.5143170013789</v>
      </c>
      <c r="F4256" s="16">
        <f t="shared" si="927"/>
        <v>9129.7094607144754</v>
      </c>
      <c r="G4256" s="16">
        <f t="shared" si="927"/>
        <v>14242.856407250561</v>
      </c>
      <c r="H4256" s="16">
        <f t="shared" si="927"/>
        <v>19682.374435480444</v>
      </c>
      <c r="I4256" s="16">
        <f t="shared" si="927"/>
        <v>22402.133449595371</v>
      </c>
      <c r="J4256" s="16">
        <f t="shared" si="927"/>
        <v>22402.133449595371</v>
      </c>
      <c r="K4256" s="16">
        <f t="shared" si="927"/>
        <v>22402.133449595371</v>
      </c>
      <c r="L4256" s="16">
        <f t="shared" si="927"/>
        <v>22402.133449595371</v>
      </c>
      <c r="M4256" s="16">
        <f t="shared" si="927"/>
        <v>22402.133449595371</v>
      </c>
    </row>
    <row r="4257" spans="2:13" ht="15" customHeight="1" x14ac:dyDescent="0.2">
      <c r="B4257" s="10" t="s">
        <v>906</v>
      </c>
      <c r="C4257" s="10" t="s">
        <v>110</v>
      </c>
      <c r="D4257" s="16">
        <f>MAX(D4256,Inputs!$D$6)*Inputs!$D$19</f>
        <v>324.64417390659628</v>
      </c>
      <c r="E4257" s="16">
        <f>MAX(E4256,Inputs!$D$6)*Inputs!$D$19</f>
        <v>1368.1542951004137</v>
      </c>
      <c r="F4257" s="16">
        <f>MAX(F4256,Inputs!$D$6)*Inputs!$D$19</f>
        <v>2738.9128382143426</v>
      </c>
      <c r="G4257" s="16">
        <f>MAX(G4256,Inputs!$D$6)*Inputs!$D$19</f>
        <v>4272.8569221751686</v>
      </c>
      <c r="H4257" s="16">
        <f>MAX(H4256,Inputs!$D$6)*Inputs!$D$19</f>
        <v>5904.7123306441326</v>
      </c>
      <c r="I4257" s="16">
        <f>MAX(I4256,Inputs!$D$6)*Inputs!$D$19</f>
        <v>6720.640034878611</v>
      </c>
      <c r="J4257" s="16">
        <f>MAX(J4256,Inputs!$D$6)*Inputs!$D$19</f>
        <v>6720.640034878611</v>
      </c>
      <c r="K4257" s="16">
        <f>MAX(K4256,Inputs!$D$6)*Inputs!$D$19</f>
        <v>6720.640034878611</v>
      </c>
      <c r="L4257" s="16">
        <f>MAX(L4256,Inputs!$D$6)*Inputs!$D$19</f>
        <v>6720.640034878611</v>
      </c>
      <c r="M4257" s="16">
        <f>MAX(M4256,Inputs!$D$6)*Inputs!$D$19</f>
        <v>6720.640034878611</v>
      </c>
    </row>
    <row r="4258" spans="2:13" ht="15" customHeight="1" x14ac:dyDescent="0.2">
      <c r="B4258" s="10" t="s">
        <v>907</v>
      </c>
      <c r="C4258" s="10" t="s">
        <v>110</v>
      </c>
      <c r="D4258" s="16">
        <f t="shared" ref="D4258:M4258" si="928">D4251*$D$4264</f>
        <v>98.313566725977154</v>
      </c>
      <c r="E4258" s="16">
        <f t="shared" si="928"/>
        <v>245.78391681494296</v>
      </c>
      <c r="F4258" s="16">
        <f t="shared" si="928"/>
        <v>270.36230849643715</v>
      </c>
      <c r="G4258" s="16">
        <f t="shared" si="928"/>
        <v>307.22989601867863</v>
      </c>
      <c r="H4258" s="16">
        <f t="shared" si="928"/>
        <v>307.22989601867863</v>
      </c>
      <c r="I4258" s="16">
        <f t="shared" si="928"/>
        <v>0</v>
      </c>
      <c r="J4258" s="16">
        <f t="shared" si="928"/>
        <v>0</v>
      </c>
      <c r="K4258" s="16">
        <f t="shared" si="928"/>
        <v>0</v>
      </c>
      <c r="L4258" s="16">
        <f t="shared" si="928"/>
        <v>0</v>
      </c>
      <c r="M4258" s="16">
        <f t="shared" si="928"/>
        <v>0</v>
      </c>
    </row>
    <row r="4259" spans="2:13" ht="15" customHeight="1" x14ac:dyDescent="0.2">
      <c r="B4259" s="10" t="s">
        <v>908</v>
      </c>
      <c r="C4259" s="10" t="s">
        <v>110</v>
      </c>
      <c r="D4259" s="16">
        <f t="shared" ref="D4259:M4259" si="929">D4255-D4257-D4249-D4250-D4258</f>
        <v>-5677.4802953574035</v>
      </c>
      <c r="E4259" s="16">
        <f t="shared" si="929"/>
        <v>-10978.140273612422</v>
      </c>
      <c r="F4259" s="16">
        <f t="shared" si="929"/>
        <v>-4946.5634754008488</v>
      </c>
      <c r="G4259" s="16">
        <f t="shared" si="929"/>
        <v>-1554.2977980757819</v>
      </c>
      <c r="H4259" s="16">
        <f t="shared" si="929"/>
        <v>3382.6330557846227</v>
      </c>
      <c r="I4259" s="16">
        <f t="shared" si="929"/>
        <v>21006.310144012819</v>
      </c>
      <c r="J4259" s="16">
        <f t="shared" si="929"/>
        <v>19223.936433285267</v>
      </c>
      <c r="K4259" s="16">
        <f t="shared" si="929"/>
        <v>13912.371018626756</v>
      </c>
      <c r="L4259" s="16">
        <f t="shared" si="929"/>
        <v>9420.8810242836989</v>
      </c>
      <c r="M4259" s="16">
        <f t="shared" si="929"/>
        <v>21006.310144012819</v>
      </c>
    </row>
    <row r="4260" spans="2:13" ht="15" customHeight="1" x14ac:dyDescent="0.2">
      <c r="B4260" s="10" t="s">
        <v>909</v>
      </c>
      <c r="C4260" s="10" t="s">
        <v>110</v>
      </c>
      <c r="D4260" s="16">
        <f>D4259/(Inputs!$D$7+$D$4266)^D4240</f>
        <v>-5106.170433217394</v>
      </c>
      <c r="E4260" s="16">
        <f>E4259/(Inputs!$D$7+$D$4266)^E4240</f>
        <v>-8508.9917022437421</v>
      </c>
      <c r="F4260" s="16">
        <f>F4259/(Inputs!$D$7+$D$4266)^F4240</f>
        <v>-3305.514303185676</v>
      </c>
      <c r="G4260" s="16">
        <f>G4259/(Inputs!$D$7+$D$4266)^G4240</f>
        <v>-895.47984605284364</v>
      </c>
      <c r="H4260" s="16">
        <f>H4259/(Inputs!$D$7+$D$4266)^H4240</f>
        <v>1680.2062761015934</v>
      </c>
      <c r="I4260" s="16">
        <f>I4259/(Inputs!$D$7+$D$4266)^I4240</f>
        <v>8992.2244966791495</v>
      </c>
      <c r="J4260" s="16">
        <f>J4259/(Inputs!$D$7+$D$4266)^J4240</f>
        <v>7094.8924937844267</v>
      </c>
      <c r="K4260" s="16">
        <f>K4259/(Inputs!$D$7+$D$4266)^K4240</f>
        <v>4426.808939493113</v>
      </c>
      <c r="L4260" s="16">
        <f>L4259/(Inputs!$D$7+$D$4266)^L4240</f>
        <v>2584.4448926967266</v>
      </c>
      <c r="M4260" s="16">
        <f>M4259/(Inputs!$D$7+$D$4266)^M4240</f>
        <v>4966.3255396586273</v>
      </c>
    </row>
    <row r="4261" spans="2:13" ht="15" customHeight="1" x14ac:dyDescent="0.2">
      <c r="B4261" s="3" t="s">
        <v>910</v>
      </c>
      <c r="C4261" s="10" t="s">
        <v>896</v>
      </c>
      <c r="D4261" s="28">
        <f>(D4247*$D$4265-D4251)/(Inputs!$D$7+$D$4266)^D4240</f>
        <v>59.765095798928819</v>
      </c>
      <c r="E4261" s="28">
        <f>(E4247*$D$4265-E4251)/(Inputs!$D$7+$D$4266)^E4240</f>
        <v>221.1922031857838</v>
      </c>
      <c r="F4261" s="28">
        <f>(F4247*$D$4265-F4251)/(Inputs!$D$7+$D$4266)^F4240</f>
        <v>386.45052664112239</v>
      </c>
      <c r="G4261" s="28">
        <f>(G4247*$D$4265-G4251)/(Inputs!$D$7+$D$4266)^G4240</f>
        <v>521.867070169518</v>
      </c>
      <c r="H4261" s="28">
        <f>(H4247*$D$4265-H4251)/(Inputs!$D$7+$D$4266)^H4240</f>
        <v>623.60768582417222</v>
      </c>
      <c r="I4261" s="28">
        <f>(I4247*$D$4265-I4251)/(Inputs!$D$7+$D$4266)^I4240</f>
        <v>616.42445467314121</v>
      </c>
      <c r="J4261" s="28">
        <f>(J4247*$D$4265-J4251)/(Inputs!$D$7+$D$4266)^J4240</f>
        <v>531.4543785819003</v>
      </c>
      <c r="K4261" s="28">
        <f>(K4247*$D$4265-K4251)/(Inputs!$D$7+$D$4266)^K4240</f>
        <v>458.19687128350449</v>
      </c>
      <c r="L4261" s="28">
        <f>(L4247*$D$4265-L4251)/(Inputs!$D$7+$D$4266)^L4240</f>
        <v>395.03743183788401</v>
      </c>
      <c r="M4261" s="28">
        <f>(M4247*$D$4265-M4251)/(Inputs!$D$7+$D$4266)^M4240</f>
        <v>340.44573883180209</v>
      </c>
    </row>
    <row r="4262" spans="2:13" ht="15" customHeight="1" x14ac:dyDescent="0.2">
      <c r="B4262" s="10" t="s">
        <v>911</v>
      </c>
      <c r="C4262" s="10" t="s">
        <v>110</v>
      </c>
      <c r="D4262" s="16">
        <f>(-D4249-D4250)/(Inputs!$D$7+$D$4266)^D4240</f>
        <v>-6704.7090607969039</v>
      </c>
      <c r="E4262" s="16">
        <f>(-E4249-E4250)/(Inputs!$D$7+$D$4266)^E4240</f>
        <v>-14445.4009031226</v>
      </c>
      <c r="F4262" s="16">
        <f>(-F4249-F4250)/(Inputs!$D$7+$D$4266)^F4240</f>
        <v>-13699.616639717549</v>
      </c>
      <c r="G4262" s="16">
        <f>(-G4249-G4250)/(Inputs!$D$7+$D$4266)^G4240</f>
        <v>-14941.671835349038</v>
      </c>
      <c r="H4262" s="16">
        <f>(-H4249-H4250)/(Inputs!$D$7+$D$4266)^H4240</f>
        <v>-15113.052884793095</v>
      </c>
      <c r="I4262" s="16">
        <f>(-I4249-I4250)/(Inputs!$D$7+$D$4266)^I4240</f>
        <v>-7629.8523795762403</v>
      </c>
      <c r="J4262" s="16">
        <f>(-J4249-J4250)/(Inputs!$D$7+$D$4266)^J4240</f>
        <v>-7235.9398897150922</v>
      </c>
      <c r="K4262" s="16">
        <f>(-K4249-K4250)/(Inputs!$D$7+$D$4266)^K4240</f>
        <v>-7928.612006570077</v>
      </c>
      <c r="L4262" s="16">
        <f>(-L4249-L4250)/(Inputs!$D$7+$D$4266)^L4240</f>
        <v>-8067.8621519509534</v>
      </c>
      <c r="M4262" s="16">
        <f>(-M4249-M4250)/(Inputs!$D$7+$D$4266)^M4240</f>
        <v>-4213.8995473821142</v>
      </c>
    </row>
    <row r="4263" spans="2:13" ht="15" customHeight="1" x14ac:dyDescent="0.2">
      <c r="B4263" s="10" t="s">
        <v>912</v>
      </c>
      <c r="C4263" s="10" t="s">
        <v>110</v>
      </c>
      <c r="D4263" s="16">
        <f>Prices!I21</f>
        <v>35821.750967187276</v>
      </c>
    </row>
    <row r="4264" spans="2:13" ht="15" customHeight="1" x14ac:dyDescent="0.2">
      <c r="B4264" s="3" t="s">
        <v>913</v>
      </c>
      <c r="C4264" s="10" t="s">
        <v>914</v>
      </c>
      <c r="D4264" s="28">
        <f>IF(J4271&gt;=J4267,J4271,(D4263-J4270)/J4269)</f>
        <v>31.632421726504877</v>
      </c>
      <c r="G4264" s="99" t="s">
        <v>915</v>
      </c>
      <c r="H4264" s="91"/>
      <c r="I4264" s="91"/>
      <c r="J4264" s="28">
        <f>D4264*Inputs!$D$15</f>
        <v>22.076267122927753</v>
      </c>
      <c r="K4264" s="99" t="s">
        <v>916</v>
      </c>
      <c r="L4264" s="91"/>
      <c r="M4264" s="91"/>
    </row>
    <row r="4265" spans="2:13" ht="15" customHeight="1" x14ac:dyDescent="0.2">
      <c r="B4265" s="10" t="s">
        <v>917</v>
      </c>
      <c r="C4265" s="10" t="s">
        <v>104</v>
      </c>
      <c r="D4265" s="30">
        <f>Inputs!$D$107</f>
        <v>0.9</v>
      </c>
      <c r="G4265" s="99" t="s">
        <v>918</v>
      </c>
      <c r="H4265" s="91"/>
      <c r="I4265" s="91"/>
      <c r="J4265" s="28">
        <f>IF(-D4276/D4275&gt;=J4267,-D4276/D4275,-J4270/J4269)</f>
        <v>24.024174528419383</v>
      </c>
      <c r="K4265" s="99" t="s">
        <v>919</v>
      </c>
      <c r="L4265" s="91"/>
      <c r="M4265" s="91"/>
    </row>
    <row r="4266" spans="2:13" ht="15" customHeight="1" x14ac:dyDescent="0.2">
      <c r="B4266" s="10" t="s">
        <v>920</v>
      </c>
      <c r="C4266" s="10" t="s">
        <v>104</v>
      </c>
      <c r="D4266" s="30">
        <f>Inputs!$D$108</f>
        <v>0.16</v>
      </c>
      <c r="G4266" s="99" t="s">
        <v>918</v>
      </c>
      <c r="H4266" s="91"/>
      <c r="I4266" s="91"/>
      <c r="J4266" s="28">
        <f>J4265*Inputs!$D$15</f>
        <v>16.766471403383886</v>
      </c>
      <c r="K4266" s="99" t="s">
        <v>916</v>
      </c>
      <c r="L4266" s="91"/>
      <c r="M4266" s="91"/>
    </row>
    <row r="4267" spans="2:13" ht="15" customHeight="1" x14ac:dyDescent="0.2">
      <c r="B4267" s="3" t="s">
        <v>921</v>
      </c>
      <c r="C4267" s="10" t="s">
        <v>848</v>
      </c>
      <c r="D4267" s="28">
        <f>Capital!$D$13</f>
        <v>57.347931490590682</v>
      </c>
      <c r="G4267" s="99" t="s">
        <v>922</v>
      </c>
      <c r="H4267" s="91"/>
      <c r="I4267" s="91"/>
      <c r="J4267" s="28">
        <f>($D$4267/Inputs!$D$21+$D$4268/Inputs!$D$22)/$D$4265</f>
        <v>16.07538460873031</v>
      </c>
      <c r="K4267" s="99" t="s">
        <v>919</v>
      </c>
      <c r="L4267" s="91"/>
      <c r="M4267" s="91"/>
    </row>
    <row r="4268" spans="2:13" ht="15" customHeight="1" x14ac:dyDescent="0.2">
      <c r="B4268" s="3" t="s">
        <v>923</v>
      </c>
      <c r="C4268" s="10" t="s">
        <v>848</v>
      </c>
      <c r="D4268" s="28">
        <f>Capital!$D$14</f>
        <v>2.6172655041921802</v>
      </c>
    </row>
    <row r="4269" spans="2:13" ht="15" customHeight="1" x14ac:dyDescent="0.2">
      <c r="B4269" s="10" t="s">
        <v>924</v>
      </c>
      <c r="C4269" s="10" t="s">
        <v>896</v>
      </c>
      <c r="D4269" s="28">
        <f>(M4242*(Inputs!$D$7+Inputs!$D$20)*$D$4265*(Inputs!$D$7-Inputs!$D$19)-M4242*Inputs!$D$20*Inputs!$D$23)/($D$4266-Inputs!$D$20)/(Inputs!$D$7+$D$4266)^M4240</f>
        <v>1807.6547922951956</v>
      </c>
      <c r="G4269" s="92" t="s">
        <v>910</v>
      </c>
      <c r="H4269" s="91"/>
      <c r="I4269" s="91"/>
      <c r="J4269" s="28">
        <f>SUM(D4261:M4261)+(M4242*(Inputs!$D$7+Inputs!$D$20)*$D$4265-M4242*Inputs!$D$20*Inputs!$D$23)/($D$4266-Inputs!$D$20)/(Inputs!$D$7+$D$4266)^M4240</f>
        <v>6737.5559875731687</v>
      </c>
      <c r="K4269" s="99" t="s">
        <v>896</v>
      </c>
      <c r="L4269" s="91"/>
      <c r="M4269" s="91"/>
    </row>
    <row r="4270" spans="2:13" ht="15" customHeight="1" x14ac:dyDescent="0.2">
      <c r="B4270" s="10" t="s">
        <v>925</v>
      </c>
      <c r="C4270" s="10" t="s">
        <v>110</v>
      </c>
      <c r="D4270" s="16">
        <f>(D4273*Inputs!$D$19-D4273-D4274)/($D$4266-Inputs!$D$20)/(Inputs!$D$7+$D$4266)^M4240</f>
        <v>-33287.494112345899</v>
      </c>
      <c r="G4270" s="92" t="s">
        <v>926</v>
      </c>
      <c r="H4270" s="91"/>
      <c r="I4270" s="91"/>
      <c r="J4270" s="16">
        <f>SUM(D4262:M4262)-(D4273+D4274)/($D$4266-Inputs!$D$20)/(Inputs!$D$7+$D$4266)^M4240</f>
        <v>-145733.9249554922</v>
      </c>
      <c r="K4270" s="99" t="s">
        <v>110</v>
      </c>
      <c r="L4270" s="91"/>
      <c r="M4270" s="91"/>
    </row>
    <row r="4271" spans="2:13" ht="15" customHeight="1" x14ac:dyDescent="0.2">
      <c r="B4271" s="10" t="s">
        <v>927</v>
      </c>
      <c r="C4271" s="10" t="s">
        <v>928</v>
      </c>
      <c r="D4271" s="16">
        <f>(M4242*(Inputs!$D$7+Inputs!$D$20)*$D$4264*$D$4265-D4273)-MAX((M4242*(Inputs!$D$7+Inputs!$D$20)*$D$4264*$D$4265-D4273),Inputs!$D$6)*Inputs!$D$19-D4274-M4242*Inputs!$D$20*$D$4264*Inputs!$D$23</f>
        <v>13643.290448566857</v>
      </c>
      <c r="G4271" s="99" t="s">
        <v>929</v>
      </c>
      <c r="H4271" s="91"/>
      <c r="I4271" s="91"/>
      <c r="J4271" s="28">
        <f>(D4263-D4276)/D4275</f>
        <v>31.632421726504877</v>
      </c>
      <c r="K4271" s="99" t="s">
        <v>919</v>
      </c>
      <c r="L4271" s="91"/>
      <c r="M4271" s="91"/>
    </row>
    <row r="4272" spans="2:13" ht="15" customHeight="1" x14ac:dyDescent="0.2">
      <c r="B4272" s="10" t="s">
        <v>930</v>
      </c>
      <c r="C4272" s="10" t="s">
        <v>110</v>
      </c>
      <c r="D4272" s="16">
        <f>D4271/($D$4266-Inputs!$D$20)</f>
        <v>101061.41073012486</v>
      </c>
      <c r="G4272" s="99" t="s">
        <v>931</v>
      </c>
      <c r="H4272" s="91"/>
      <c r="I4272" s="91"/>
      <c r="J4272" s="16">
        <f>MIN(D4256:M4256,(M4242*(Inputs!$D$7+Inputs!$D$20)*$D$4264*$D$4265-D4273))</f>
        <v>1082.1472463553209</v>
      </c>
      <c r="K4272" s="99" t="s">
        <v>110</v>
      </c>
      <c r="L4272" s="91"/>
      <c r="M4272" s="91"/>
    </row>
    <row r="4273" spans="1:13" ht="15" customHeight="1" x14ac:dyDescent="0.2">
      <c r="B4273" s="10" t="s">
        <v>932</v>
      </c>
      <c r="C4273" s="10" t="s">
        <v>928</v>
      </c>
      <c r="D4273" s="16">
        <f>M4242*(Inputs!$D$7+Inputs!$D$20)*($D$4267/Inputs!$D$21+$D$4268/Inputs!$D$22)</f>
        <v>23727.267682485937</v>
      </c>
      <c r="G4273" s="99" t="s">
        <v>933</v>
      </c>
      <c r="H4273" s="91"/>
      <c r="I4273" s="91"/>
      <c r="J4273" s="31" t="str">
        <f>IF(J4272&lt;Inputs!$D$6,"breached","satisfied")</f>
        <v>satisfied</v>
      </c>
      <c r="K4273" s="99" t="s">
        <v>934</v>
      </c>
      <c r="L4273" s="91"/>
      <c r="M4273" s="91"/>
    </row>
    <row r="4274" spans="1:13" ht="15" customHeight="1" x14ac:dyDescent="0.2">
      <c r="B4274" s="10" t="s">
        <v>935</v>
      </c>
      <c r="C4274" s="10" t="s">
        <v>928</v>
      </c>
      <c r="D4274" s="16">
        <f>M4242*Inputs!$D$20*($D$4267+$D$4268)</f>
        <v>2398.6078797913146</v>
      </c>
    </row>
    <row r="4275" spans="1:13" ht="15" customHeight="1" x14ac:dyDescent="0.2">
      <c r="B4275" s="10" t="s">
        <v>936</v>
      </c>
      <c r="C4275" s="10" t="s">
        <v>896</v>
      </c>
      <c r="D4275" s="28">
        <f>SUM(D4252:M4252)+D4269</f>
        <v>4708.2790601495317</v>
      </c>
      <c r="G4275" s="99" t="s">
        <v>937</v>
      </c>
      <c r="H4275" s="91"/>
      <c r="I4275" s="91"/>
      <c r="J4275" s="16">
        <f>D4277-D4263</f>
        <v>0</v>
      </c>
      <c r="K4275" s="99" t="s">
        <v>110</v>
      </c>
      <c r="L4275" s="91"/>
      <c r="M4275" s="91"/>
    </row>
    <row r="4276" spans="1:13" ht="15" customHeight="1" x14ac:dyDescent="0.2">
      <c r="B4276" s="10" t="s">
        <v>938</v>
      </c>
      <c r="C4276" s="10" t="s">
        <v>110</v>
      </c>
      <c r="D4276" s="16">
        <f>SUM(D4253:M4253)+D4270</f>
        <v>-113112.51786953473</v>
      </c>
    </row>
    <row r="4277" spans="1:13" ht="15" customHeight="1" x14ac:dyDescent="0.2">
      <c r="B4277" s="10" t="s">
        <v>939</v>
      </c>
      <c r="C4277" s="10" t="s">
        <v>110</v>
      </c>
      <c r="D4277" s="16">
        <f>SUM(D4260:M4260)+D4272/(Inputs!$D$7+$D$4266)^M4240</f>
        <v>35821.750967187298</v>
      </c>
    </row>
    <row r="4278" spans="1:13" ht="15" customHeight="1" x14ac:dyDescent="0.2">
      <c r="B4278" s="10" t="s">
        <v>940</v>
      </c>
      <c r="C4278" s="10" t="s">
        <v>104</v>
      </c>
      <c r="D4278" s="30">
        <f>IF(ABS(D4263)&gt;Inputs!$D$6,D4277/D4263-Inputs!$D$7,Inputs!$D$6)</f>
        <v>6.6613381477509392E-16</v>
      </c>
    </row>
    <row r="4279" spans="1:13" ht="15" customHeight="1" x14ac:dyDescent="0.2">
      <c r="B4279" s="10" t="s">
        <v>941</v>
      </c>
      <c r="C4279" s="10" t="s">
        <v>104</v>
      </c>
      <c r="D4279" s="30">
        <f>IF(ABS(D4277)&gt;Inputs!$D$119,D4272/(Inputs!$D$7+$D$4266)^M4240/D4277,Inputs!$D$6)</f>
        <v>0.66699711678972062</v>
      </c>
    </row>
    <row r="4280" spans="1:13" ht="15" customHeight="1" x14ac:dyDescent="0.2">
      <c r="B4280" s="10" t="s">
        <v>942</v>
      </c>
      <c r="C4280" s="10" t="s">
        <v>943</v>
      </c>
      <c r="D4280" s="26">
        <f>$D$4264*Inputs!$D$8/Prices!$P$6/(Inputs!$D$26/Inputs!$D$25)/Inputs!$D$11/Inputs!$D$56</f>
        <v>5.7524519751524084</v>
      </c>
    </row>
    <row r="4284" spans="1:13" ht="15" customHeight="1" x14ac:dyDescent="0.2">
      <c r="A4284" s="104" t="s">
        <v>1036</v>
      </c>
      <c r="B4284" s="10" t="s">
        <v>886</v>
      </c>
      <c r="C4284" s="10" t="s">
        <v>107</v>
      </c>
      <c r="D4284" s="28">
        <f>Inputs!$D$60</f>
        <v>1</v>
      </c>
      <c r="E4284" s="28">
        <f>Inputs!$D$62</f>
        <v>2</v>
      </c>
      <c r="F4284" s="28">
        <f>Inputs!$D$64</f>
        <v>3</v>
      </c>
      <c r="G4284" s="28">
        <f>Inputs!$D$66</f>
        <v>4</v>
      </c>
      <c r="H4284" s="28">
        <f>Inputs!$D$68</f>
        <v>5</v>
      </c>
      <c r="I4284" s="28">
        <f>Inputs!$D$70</f>
        <v>6</v>
      </c>
      <c r="J4284" s="28">
        <f>Inputs!$D$72</f>
        <v>7</v>
      </c>
      <c r="K4284" s="28">
        <f>Inputs!$D$74</f>
        <v>8</v>
      </c>
      <c r="L4284" s="28">
        <f>Inputs!$D$76</f>
        <v>9</v>
      </c>
      <c r="M4284" s="28">
        <f>Inputs!$D$78</f>
        <v>10</v>
      </c>
    </row>
    <row r="4285" spans="1:13" ht="15" customHeight="1" x14ac:dyDescent="0.2">
      <c r="A4285" s="91"/>
      <c r="B4285" s="10" t="s">
        <v>887</v>
      </c>
      <c r="C4285" s="10" t="s">
        <v>161</v>
      </c>
      <c r="D4285" s="29">
        <f>Inputs!$D$61</f>
        <v>46568</v>
      </c>
      <c r="E4285" s="29">
        <f>Inputs!$D$63</f>
        <v>46934</v>
      </c>
      <c r="F4285" s="29">
        <f>Inputs!$D$65</f>
        <v>47299</v>
      </c>
      <c r="G4285" s="29">
        <f>Inputs!$D$67</f>
        <v>47664</v>
      </c>
      <c r="H4285" s="29">
        <f>Inputs!$D$69</f>
        <v>48029</v>
      </c>
      <c r="I4285" s="29">
        <f>Inputs!$D$71</f>
        <v>48395</v>
      </c>
      <c r="J4285" s="29">
        <f>Inputs!$D$73</f>
        <v>48760</v>
      </c>
      <c r="K4285" s="29">
        <f>Inputs!$D$75</f>
        <v>49125</v>
      </c>
      <c r="L4285" s="29">
        <f>Inputs!$D$77</f>
        <v>49490</v>
      </c>
      <c r="M4285" s="29">
        <f>Inputs!$D$79</f>
        <v>49856</v>
      </c>
    </row>
    <row r="4286" spans="1:13" ht="15" customHeight="1" x14ac:dyDescent="0.2">
      <c r="A4286" s="91"/>
      <c r="B4286" s="10" t="s">
        <v>888</v>
      </c>
      <c r="C4286" s="10" t="s">
        <v>107</v>
      </c>
      <c r="D4286" s="28">
        <f>(D4285-Inputs!$D$13)/Inputs!$D$10</f>
        <v>0.71457905544147848</v>
      </c>
      <c r="E4286" s="28">
        <f>(E4285-Inputs!$D$13)/Inputs!$D$10</f>
        <v>1.7166324435318274</v>
      </c>
      <c r="F4286" s="28">
        <f>(F4285-Inputs!$D$13)/Inputs!$D$10</f>
        <v>2.7159479808350446</v>
      </c>
      <c r="G4286" s="28">
        <f>(G4285-Inputs!$D$13)/Inputs!$D$10</f>
        <v>3.7152635181382614</v>
      </c>
      <c r="H4286" s="28">
        <f>(H4285-Inputs!$D$13)/Inputs!$D$10</f>
        <v>4.7145790554414786</v>
      </c>
      <c r="I4286" s="28">
        <f>(I4285-Inputs!$D$13)/Inputs!$D$10</f>
        <v>5.7166324435318279</v>
      </c>
      <c r="J4286" s="28">
        <f>(J4285-Inputs!$D$13)/Inputs!$D$10</f>
        <v>6.7159479808350442</v>
      </c>
      <c r="K4286" s="28">
        <f>(K4285-Inputs!$D$13)/Inputs!$D$10</f>
        <v>7.7152635181382614</v>
      </c>
      <c r="L4286" s="28">
        <f>(L4285-Inputs!$D$13)/Inputs!$D$10</f>
        <v>8.7145790554414777</v>
      </c>
      <c r="M4286" s="28">
        <f>(M4285-Inputs!$D$13)/Inputs!$D$10</f>
        <v>9.716632443531827</v>
      </c>
    </row>
    <row r="4287" spans="1:13" ht="15" customHeight="1" x14ac:dyDescent="0.2">
      <c r="A4287" s="91"/>
      <c r="B4287" s="10" t="s">
        <v>889</v>
      </c>
      <c r="C4287" s="10" t="s">
        <v>107</v>
      </c>
      <c r="D4287" s="28">
        <f>D4286</f>
        <v>0.71457905544147848</v>
      </c>
      <c r="E4287" s="28">
        <f>Inputs!$D$7</f>
        <v>1</v>
      </c>
      <c r="F4287" s="28">
        <f>Inputs!$D$7</f>
        <v>1</v>
      </c>
      <c r="G4287" s="28">
        <f>Inputs!$D$7</f>
        <v>1</v>
      </c>
      <c r="H4287" s="28">
        <f>Inputs!$D$7</f>
        <v>1</v>
      </c>
      <c r="I4287" s="28">
        <f>Inputs!$D$7</f>
        <v>1</v>
      </c>
      <c r="J4287" s="28">
        <f>Inputs!$D$7</f>
        <v>1</v>
      </c>
      <c r="K4287" s="28">
        <f>Inputs!$D$7</f>
        <v>1</v>
      </c>
      <c r="L4287" s="28">
        <f>Inputs!$D$7</f>
        <v>1</v>
      </c>
      <c r="M4287" s="28">
        <f>Inputs!$D$7</f>
        <v>1</v>
      </c>
    </row>
    <row r="4288" spans="1:13" ht="15" customHeight="1" x14ac:dyDescent="0.2">
      <c r="A4288" s="91"/>
      <c r="B4288" s="3" t="s">
        <v>890</v>
      </c>
      <c r="C4288" s="10" t="s">
        <v>199</v>
      </c>
      <c r="D4288" s="28">
        <f>Inputs!$D$24+(Inputs!$D$80-Inputs!$D$24)*Inputs!$D$83</f>
        <v>305.5</v>
      </c>
      <c r="E4288" s="28">
        <f>Inputs!$D$24+(Inputs!$D$80-Inputs!$D$24)*Inputs!$D$84</f>
        <v>651.5</v>
      </c>
      <c r="F4288" s="28">
        <f>Inputs!$D$24+(Inputs!$D$80-Inputs!$D$24)*Inputs!$D$85</f>
        <v>911</v>
      </c>
      <c r="G4288" s="28">
        <f>Inputs!$D$24+(Inputs!$D$80-Inputs!$D$24)*Inputs!$D$86</f>
        <v>911</v>
      </c>
      <c r="H4288" s="28">
        <f>Inputs!$D$24+(Inputs!$D$80-Inputs!$D$24)*Inputs!$D$87</f>
        <v>911</v>
      </c>
      <c r="I4288" s="28">
        <f>Inputs!$D$24+(Inputs!$D$80-Inputs!$D$24)*Inputs!$D$88</f>
        <v>911</v>
      </c>
      <c r="J4288" s="28">
        <f>Inputs!$D$24+(Inputs!$D$80-Inputs!$D$24)*Inputs!$D$89</f>
        <v>911</v>
      </c>
      <c r="K4288" s="28">
        <f>Inputs!$D$24+(Inputs!$D$80-Inputs!$D$24)*Inputs!$D$90</f>
        <v>911</v>
      </c>
      <c r="L4288" s="28">
        <f>Inputs!$D$24+(Inputs!$D$80-Inputs!$D$24)*Inputs!$D$91</f>
        <v>911</v>
      </c>
      <c r="M4288" s="28">
        <f>Inputs!$D$24+(Inputs!$D$80-Inputs!$D$24)*Inputs!$D$92</f>
        <v>911</v>
      </c>
    </row>
    <row r="4289" spans="1:13" ht="15" customHeight="1" x14ac:dyDescent="0.2">
      <c r="A4289" s="91"/>
      <c r="B4289" s="10" t="s">
        <v>891</v>
      </c>
      <c r="C4289" s="10" t="s">
        <v>199</v>
      </c>
      <c r="D4289" s="28">
        <f>Inputs!$D$24</f>
        <v>46</v>
      </c>
      <c r="E4289" s="28">
        <f t="shared" ref="E4289:M4289" si="930">D4288</f>
        <v>305.5</v>
      </c>
      <c r="F4289" s="28">
        <f t="shared" si="930"/>
        <v>651.5</v>
      </c>
      <c r="G4289" s="28">
        <f t="shared" si="930"/>
        <v>911</v>
      </c>
      <c r="H4289" s="28">
        <f t="shared" si="930"/>
        <v>911</v>
      </c>
      <c r="I4289" s="28">
        <f t="shared" si="930"/>
        <v>911</v>
      </c>
      <c r="J4289" s="28">
        <f t="shared" si="930"/>
        <v>911</v>
      </c>
      <c r="K4289" s="28">
        <f t="shared" si="930"/>
        <v>911</v>
      </c>
      <c r="L4289" s="28">
        <f t="shared" si="930"/>
        <v>911</v>
      </c>
      <c r="M4289" s="28">
        <f t="shared" si="930"/>
        <v>911</v>
      </c>
    </row>
    <row r="4290" spans="1:13" ht="15" customHeight="1" x14ac:dyDescent="0.2">
      <c r="B4290" s="10" t="s">
        <v>892</v>
      </c>
      <c r="C4290" s="10" t="s">
        <v>199</v>
      </c>
      <c r="D4290" s="28">
        <f>(D4289+D4288)*Inputs!$D$12</f>
        <v>175.75</v>
      </c>
      <c r="E4290" s="28">
        <f>(E4289+E4288)*Inputs!$D$12</f>
        <v>478.5</v>
      </c>
      <c r="F4290" s="28">
        <f>(F4289+F4288)*Inputs!$D$12</f>
        <v>781.25</v>
      </c>
      <c r="G4290" s="28">
        <f>(G4289+G4288)*Inputs!$D$12</f>
        <v>911</v>
      </c>
      <c r="H4290" s="28">
        <f>(H4289+H4288)*Inputs!$D$12</f>
        <v>911</v>
      </c>
      <c r="I4290" s="28">
        <f>(I4289+I4288)*Inputs!$D$12</f>
        <v>911</v>
      </c>
      <c r="J4290" s="28">
        <f>(J4289+J4288)*Inputs!$D$12</f>
        <v>911</v>
      </c>
      <c r="K4290" s="28">
        <f>(K4289+K4288)*Inputs!$D$12</f>
        <v>911</v>
      </c>
      <c r="L4290" s="28">
        <f>(L4289+L4288)*Inputs!$D$12</f>
        <v>911</v>
      </c>
      <c r="M4290" s="28">
        <f>(M4289+M4288)*Inputs!$D$12</f>
        <v>911</v>
      </c>
    </row>
    <row r="4291" spans="1:13" ht="15" customHeight="1" x14ac:dyDescent="0.2">
      <c r="B4291" s="10" t="s">
        <v>893</v>
      </c>
      <c r="C4291" s="10" t="s">
        <v>199</v>
      </c>
      <c r="D4291" s="28">
        <f t="shared" ref="D4291:M4291" si="931">D4288-D4289</f>
        <v>259.5</v>
      </c>
      <c r="E4291" s="28">
        <f t="shared" si="931"/>
        <v>346</v>
      </c>
      <c r="F4291" s="28">
        <f t="shared" si="931"/>
        <v>259.5</v>
      </c>
      <c r="G4291" s="28">
        <f t="shared" si="931"/>
        <v>0</v>
      </c>
      <c r="H4291" s="28">
        <f t="shared" si="931"/>
        <v>0</v>
      </c>
      <c r="I4291" s="28">
        <f t="shared" si="931"/>
        <v>0</v>
      </c>
      <c r="J4291" s="28">
        <f t="shared" si="931"/>
        <v>0</v>
      </c>
      <c r="K4291" s="28">
        <f t="shared" si="931"/>
        <v>0</v>
      </c>
      <c r="L4291" s="28">
        <f t="shared" si="931"/>
        <v>0</v>
      </c>
      <c r="M4291" s="28">
        <f t="shared" si="931"/>
        <v>0</v>
      </c>
    </row>
    <row r="4292" spans="1:13" ht="15" customHeight="1" x14ac:dyDescent="0.2">
      <c r="B4292" s="10" t="s">
        <v>894</v>
      </c>
      <c r="C4292" s="10" t="s">
        <v>199</v>
      </c>
      <c r="D4292" s="28">
        <f>IF(MOD(D4284,Inputs!$D$21)=Inputs!$D$6,Inputs!$D$24,Inputs!$D$6)+SUMPRODUCT(--(D4284&gt;$D$4284:$M$4284),--(MOD(D4284-$D$4284:$M$4284,Inputs!$D$21)=Inputs!$D$6),$D$4291:$M$4291)</f>
        <v>0</v>
      </c>
      <c r="E4292" s="28">
        <f>IF(MOD(E4284,Inputs!$D$21)=Inputs!$D$6,Inputs!$D$24,Inputs!$D$6)+SUMPRODUCT(--(E4284&gt;$D$4284:$M$4284),--(MOD(E4284-$D$4284:$M$4284,Inputs!$D$21)=Inputs!$D$6),$D$4291:$M$4291)</f>
        <v>0</v>
      </c>
      <c r="F4292" s="28">
        <f>IF(MOD(F4284,Inputs!$D$21)=Inputs!$D$6,Inputs!$D$24,Inputs!$D$6)+SUMPRODUCT(--(F4284&gt;$D$4284:$M$4284),--(MOD(F4284-$D$4284:$M$4284,Inputs!$D$21)=Inputs!$D$6),$D$4291:$M$4291)</f>
        <v>0</v>
      </c>
      <c r="G4292" s="28">
        <f>IF(MOD(G4284,Inputs!$D$21)=Inputs!$D$6,Inputs!$D$24,Inputs!$D$6)+SUMPRODUCT(--(G4284&gt;$D$4284:$M$4284),--(MOD(G4284-$D$4284:$M$4284,Inputs!$D$21)=Inputs!$D$6),$D$4291:$M$4291)</f>
        <v>46</v>
      </c>
      <c r="H4292" s="28">
        <f>IF(MOD(H4284,Inputs!$D$21)=Inputs!$D$6,Inputs!$D$24,Inputs!$D$6)+SUMPRODUCT(--(H4284&gt;$D$4284:$M$4284),--(MOD(H4284-$D$4284:$M$4284,Inputs!$D$21)=Inputs!$D$6),$D$4291:$M$4291)</f>
        <v>259.5</v>
      </c>
      <c r="I4292" s="28">
        <f>IF(MOD(I4284,Inputs!$D$21)=Inputs!$D$6,Inputs!$D$24,Inputs!$D$6)+SUMPRODUCT(--(I4284&gt;$D$4284:$M$4284),--(MOD(I4284-$D$4284:$M$4284,Inputs!$D$21)=Inputs!$D$6),$D$4291:$M$4291)</f>
        <v>346</v>
      </c>
      <c r="J4292" s="28">
        <f>IF(MOD(J4284,Inputs!$D$21)=Inputs!$D$6,Inputs!$D$24,Inputs!$D$6)+SUMPRODUCT(--(J4284&gt;$D$4284:$M$4284),--(MOD(J4284-$D$4284:$M$4284,Inputs!$D$21)=Inputs!$D$6),$D$4291:$M$4291)</f>
        <v>259.5</v>
      </c>
      <c r="K4292" s="28">
        <f>IF(MOD(K4284,Inputs!$D$21)=Inputs!$D$6,Inputs!$D$24,Inputs!$D$6)+SUMPRODUCT(--(K4284&gt;$D$4284:$M$4284),--(MOD(K4284-$D$4284:$M$4284,Inputs!$D$21)=Inputs!$D$6),$D$4291:$M$4291)</f>
        <v>46</v>
      </c>
      <c r="L4292" s="28">
        <f>IF(MOD(L4284,Inputs!$D$21)=Inputs!$D$6,Inputs!$D$24,Inputs!$D$6)+SUMPRODUCT(--(L4284&gt;$D$4284:$M$4284),--(MOD(L4284-$D$4284:$M$4284,Inputs!$D$21)=Inputs!$D$6),$D$4291:$M$4291)</f>
        <v>259.5</v>
      </c>
      <c r="M4292" s="28">
        <f>IF(MOD(M4284,Inputs!$D$21)=Inputs!$D$6,Inputs!$D$24,Inputs!$D$6)+SUMPRODUCT(--(M4284&gt;$D$4284:$M$4284),--(MOD(M4284-$D$4284:$M$4284,Inputs!$D$21)=Inputs!$D$6),$D$4291:$M$4291)</f>
        <v>346</v>
      </c>
    </row>
    <row r="4293" spans="1:13" ht="15" customHeight="1" x14ac:dyDescent="0.2">
      <c r="B4293" s="10" t="s">
        <v>895</v>
      </c>
      <c r="C4293" s="10" t="s">
        <v>896</v>
      </c>
      <c r="D4293" s="28">
        <f t="shared" ref="D4293:M4293" si="932">D4290*D4287</f>
        <v>125.58726899383984</v>
      </c>
      <c r="E4293" s="28">
        <f t="shared" si="932"/>
        <v>478.5</v>
      </c>
      <c r="F4293" s="28">
        <f t="shared" si="932"/>
        <v>781.25</v>
      </c>
      <c r="G4293" s="28">
        <f t="shared" si="932"/>
        <v>911</v>
      </c>
      <c r="H4293" s="28">
        <f t="shared" si="932"/>
        <v>911</v>
      </c>
      <c r="I4293" s="28">
        <f t="shared" si="932"/>
        <v>911</v>
      </c>
      <c r="J4293" s="28">
        <f t="shared" si="932"/>
        <v>911</v>
      </c>
      <c r="K4293" s="28">
        <f t="shared" si="932"/>
        <v>911</v>
      </c>
      <c r="L4293" s="28">
        <f t="shared" si="932"/>
        <v>911</v>
      </c>
      <c r="M4293" s="28">
        <f t="shared" si="932"/>
        <v>911</v>
      </c>
    </row>
    <row r="4294" spans="1:13" ht="15" customHeight="1" x14ac:dyDescent="0.2">
      <c r="B4294" s="10" t="s">
        <v>897</v>
      </c>
      <c r="C4294" s="10" t="s">
        <v>110</v>
      </c>
      <c r="D4294" s="16">
        <f>D4293*($D$4313/Inputs!$D$21+$D$4314/Inputs!$D$22)</f>
        <v>1816.9772859324419</v>
      </c>
      <c r="E4294" s="16">
        <f>E4293*($D$4313/Inputs!$D$21+$D$4314/Inputs!$D$22)</f>
        <v>6922.8643817497086</v>
      </c>
      <c r="F4294" s="16">
        <f>F4293*($D$4313/Inputs!$D$21+$D$4314/Inputs!$D$22)</f>
        <v>11303.0048030135</v>
      </c>
      <c r="G4294" s="16">
        <f>G4293*($D$4313/Inputs!$D$21+$D$4314/Inputs!$D$22)</f>
        <v>13180.207840697982</v>
      </c>
      <c r="H4294" s="16">
        <f>H4293*($D$4313/Inputs!$D$21+$D$4314/Inputs!$D$22)</f>
        <v>13180.207840697982</v>
      </c>
      <c r="I4294" s="16">
        <f>I4293*($D$4313/Inputs!$D$21+$D$4314/Inputs!$D$22)</f>
        <v>13180.207840697982</v>
      </c>
      <c r="J4294" s="16">
        <f>J4293*($D$4313/Inputs!$D$21+$D$4314/Inputs!$D$22)</f>
        <v>13180.207840697982</v>
      </c>
      <c r="K4294" s="16">
        <f>K4293*($D$4313/Inputs!$D$21+$D$4314/Inputs!$D$22)</f>
        <v>13180.207840697982</v>
      </c>
      <c r="L4294" s="16">
        <f>L4293*($D$4313/Inputs!$D$21+$D$4314/Inputs!$D$22)</f>
        <v>13180.207840697982</v>
      </c>
      <c r="M4294" s="16">
        <f>M4293*($D$4313/Inputs!$D$21+$D$4314/Inputs!$D$22)</f>
        <v>13180.207840697982</v>
      </c>
    </row>
    <row r="4295" spans="1:13" ht="15" customHeight="1" x14ac:dyDescent="0.2">
      <c r="B4295" s="10" t="s">
        <v>898</v>
      </c>
      <c r="C4295" s="10" t="s">
        <v>110</v>
      </c>
      <c r="D4295" s="16">
        <f t="shared" ref="D4295:M4295" si="933">D4291*($D$4313+$D$4314)</f>
        <v>15560.968620146154</v>
      </c>
      <c r="E4295" s="16">
        <f t="shared" si="933"/>
        <v>20747.95816019487</v>
      </c>
      <c r="F4295" s="16">
        <f t="shared" si="933"/>
        <v>15560.968620146154</v>
      </c>
      <c r="G4295" s="16">
        <f t="shared" si="933"/>
        <v>0</v>
      </c>
      <c r="H4295" s="16">
        <f t="shared" si="933"/>
        <v>0</v>
      </c>
      <c r="I4295" s="16">
        <f t="shared" si="933"/>
        <v>0</v>
      </c>
      <c r="J4295" s="16">
        <f t="shared" si="933"/>
        <v>0</v>
      </c>
      <c r="K4295" s="16">
        <f t="shared" si="933"/>
        <v>0</v>
      </c>
      <c r="L4295" s="16">
        <f t="shared" si="933"/>
        <v>0</v>
      </c>
      <c r="M4295" s="16">
        <f t="shared" si="933"/>
        <v>0</v>
      </c>
    </row>
    <row r="4296" spans="1:13" ht="15" customHeight="1" x14ac:dyDescent="0.2">
      <c r="B4296" s="10" t="s">
        <v>899</v>
      </c>
      <c r="C4296" s="10" t="s">
        <v>110</v>
      </c>
      <c r="D4296" s="16">
        <f t="shared" ref="D4296:M4296" si="934">D4292*$D$4313</f>
        <v>0</v>
      </c>
      <c r="E4296" s="16">
        <f t="shared" si="934"/>
        <v>0</v>
      </c>
      <c r="F4296" s="16">
        <f t="shared" si="934"/>
        <v>0</v>
      </c>
      <c r="G4296" s="16">
        <f t="shared" si="934"/>
        <v>2638.0048485671714</v>
      </c>
      <c r="H4296" s="16">
        <f t="shared" si="934"/>
        <v>14881.788221808281</v>
      </c>
      <c r="I4296" s="16">
        <f t="shared" si="934"/>
        <v>19842.384295744378</v>
      </c>
      <c r="J4296" s="16">
        <f t="shared" si="934"/>
        <v>14881.788221808281</v>
      </c>
      <c r="K4296" s="16">
        <f t="shared" si="934"/>
        <v>2638.0048485671714</v>
      </c>
      <c r="L4296" s="16">
        <f t="shared" si="934"/>
        <v>14881.788221808281</v>
      </c>
      <c r="M4296" s="16">
        <f t="shared" si="934"/>
        <v>19842.384295744378</v>
      </c>
    </row>
    <row r="4297" spans="1:13" ht="15" customHeight="1" x14ac:dyDescent="0.2">
      <c r="B4297" s="10" t="s">
        <v>900</v>
      </c>
      <c r="C4297" s="10" t="s">
        <v>199</v>
      </c>
      <c r="D4297" s="28">
        <f>D4291*Inputs!$D$23</f>
        <v>6.4875000000000007</v>
      </c>
      <c r="E4297" s="28">
        <f>E4291*Inputs!$D$23</f>
        <v>8.65</v>
      </c>
      <c r="F4297" s="28">
        <f>F4291*Inputs!$D$23</f>
        <v>6.4875000000000007</v>
      </c>
      <c r="G4297" s="28">
        <f>G4291*Inputs!$D$23</f>
        <v>0</v>
      </c>
      <c r="H4297" s="28">
        <f>H4291*Inputs!$D$23</f>
        <v>0</v>
      </c>
      <c r="I4297" s="28">
        <f>I4291*Inputs!$D$23</f>
        <v>0</v>
      </c>
      <c r="J4297" s="28">
        <f>J4291*Inputs!$D$23</f>
        <v>0</v>
      </c>
      <c r="K4297" s="28">
        <f>K4291*Inputs!$D$23</f>
        <v>0</v>
      </c>
      <c r="L4297" s="28">
        <f>L4291*Inputs!$D$23</f>
        <v>0</v>
      </c>
      <c r="M4297" s="28">
        <f>M4291*Inputs!$D$23</f>
        <v>0</v>
      </c>
    </row>
    <row r="4298" spans="1:13" ht="15" customHeight="1" x14ac:dyDescent="0.2">
      <c r="B4298" s="3" t="s">
        <v>901</v>
      </c>
      <c r="C4298" s="10" t="s">
        <v>896</v>
      </c>
      <c r="D4298" s="28">
        <f>(D4293*$D$4311*(Inputs!$D$7-Inputs!$D$19)-D4297)/(Inputs!$D$7+$D$4312)^D4286</f>
        <v>43.213488846686175</v>
      </c>
      <c r="E4298" s="28">
        <f>(E4293*$D$4311*(Inputs!$D$7-Inputs!$D$19)-E4297)/(Inputs!$D$7+$D$4312)^E4286</f>
        <v>163.29332190458183</v>
      </c>
      <c r="F4298" s="28">
        <f>(F4293*$D$4311*(Inputs!$D$7-Inputs!$D$19)-F4297)/(Inputs!$D$7+$D$4312)^F4286</f>
        <v>248.28260771010829</v>
      </c>
      <c r="G4298" s="28">
        <f>(G4293*$D$4311*(Inputs!$D$7-Inputs!$D$19)-G4297)/(Inputs!$D$7+$D$4312)^G4286</f>
        <v>268.5238926419492</v>
      </c>
      <c r="H4298" s="28">
        <f>(H4293*$D$4311*(Inputs!$D$7-Inputs!$D$19)-H4297)/(Inputs!$D$7+$D$4312)^H4286</f>
        <v>244.12855518959191</v>
      </c>
      <c r="I4298" s="28">
        <f>(I4293*$D$4311*(Inputs!$D$7-Inputs!$D$19)-I4297)/(Inputs!$D$7+$D$4312)^I4286</f>
        <v>221.8916197826434</v>
      </c>
      <c r="J4298" s="28">
        <f>(J4293*$D$4311*(Inputs!$D$7-Inputs!$D$19)-J4297)/(Inputs!$D$7+$D$4312)^J4286</f>
        <v>201.73281421346593</v>
      </c>
      <c r="K4298" s="28">
        <f>(K4293*$D$4311*(Inputs!$D$7-Inputs!$D$19)-K4297)/(Inputs!$D$7+$D$4312)^K4286</f>
        <v>183.40543176145695</v>
      </c>
      <c r="L4298" s="28">
        <f>(L4293*$D$4311*(Inputs!$D$7-Inputs!$D$19)-L4297)/(Inputs!$D$7+$D$4312)^L4286</f>
        <v>166.74308803332551</v>
      </c>
      <c r="M4298" s="28">
        <f>(M4293*$D$4311*(Inputs!$D$7-Inputs!$D$19)-M4297)/(Inputs!$D$7+$D$4312)^M4286</f>
        <v>151.55496194429571</v>
      </c>
    </row>
    <row r="4299" spans="1:13" ht="15" customHeight="1" x14ac:dyDescent="0.2">
      <c r="B4299" s="10" t="s">
        <v>902</v>
      </c>
      <c r="C4299" s="10" t="s">
        <v>110</v>
      </c>
      <c r="D4299" s="16">
        <f>(D4294*Inputs!$D$19-D4295-D4296)/(Inputs!$D$7+$D$4312)^D4286</f>
        <v>-14027.24269342025</v>
      </c>
      <c r="E4299" s="16">
        <f>(E4294*Inputs!$D$19-E4295-E4296)/(Inputs!$D$7+$D$4312)^E4286</f>
        <v>-15853.087323826181</v>
      </c>
      <c r="F4299" s="16">
        <f>(F4294*Inputs!$D$19-F4295-F4296)/(Inputs!$D$7+$D$4312)^F4286</f>
        <v>-9394.4767487293357</v>
      </c>
      <c r="G4299" s="16">
        <f>(G4294*Inputs!$D$19-G4295-G4296)/(Inputs!$D$7+$D$4312)^G4286</f>
        <v>923.61320322684639</v>
      </c>
      <c r="H4299" s="16">
        <f>(H4294*Inputs!$D$19-H4295-H4296)/(Inputs!$D$7+$D$4312)^H4286</f>
        <v>-6972.3744918015345</v>
      </c>
      <c r="I4299" s="16">
        <f>(I4294*Inputs!$D$19-I4295-I4296)/(Inputs!$D$7+$D$4312)^I4286</f>
        <v>-9214.0648467907959</v>
      </c>
      <c r="J4299" s="16">
        <f>(J4294*Inputs!$D$19-J4295-J4296)/(Inputs!$D$7+$D$4312)^J4286</f>
        <v>-5761.5411965591911</v>
      </c>
      <c r="K4299" s="16">
        <f>(K4294*Inputs!$D$19-K4295-K4296)/(Inputs!$D$7+$D$4312)^K4286</f>
        <v>630.8402453567694</v>
      </c>
      <c r="L4299" s="16">
        <f>(L4294*Inputs!$D$19-L4295-L4296)/(Inputs!$D$7+$D$4312)^L4286</f>
        <v>-4762.2255937446444</v>
      </c>
      <c r="M4299" s="16">
        <f>(M4294*Inputs!$D$19-M4295-M4296)/(Inputs!$D$7+$D$4312)^M4286</f>
        <v>-6293.3302689644106</v>
      </c>
    </row>
    <row r="4300" spans="1:13" ht="15" customHeight="1" x14ac:dyDescent="0.2">
      <c r="B4300" s="10" t="s">
        <v>903</v>
      </c>
      <c r="C4300" s="10" t="s">
        <v>110</v>
      </c>
      <c r="D4300" s="16">
        <f t="shared" ref="D4300:M4300" si="935">D4293*$D$4310</f>
        <v>5644.6316302972346</v>
      </c>
      <c r="E4300" s="16">
        <f t="shared" si="935"/>
        <v>21506.608565791095</v>
      </c>
      <c r="F4300" s="16">
        <f t="shared" si="935"/>
        <v>35113.976890332902</v>
      </c>
      <c r="G4300" s="16">
        <f t="shared" si="935"/>
        <v>40945.706172279395</v>
      </c>
      <c r="H4300" s="16">
        <f t="shared" si="935"/>
        <v>40945.706172279395</v>
      </c>
      <c r="I4300" s="16">
        <f t="shared" si="935"/>
        <v>40945.706172279395</v>
      </c>
      <c r="J4300" s="16">
        <f t="shared" si="935"/>
        <v>40945.706172279395</v>
      </c>
      <c r="K4300" s="16">
        <f t="shared" si="935"/>
        <v>40945.706172279395</v>
      </c>
      <c r="L4300" s="16">
        <f t="shared" si="935"/>
        <v>40945.706172279395</v>
      </c>
      <c r="M4300" s="16">
        <f t="shared" si="935"/>
        <v>40945.706172279395</v>
      </c>
    </row>
    <row r="4301" spans="1:13" ht="15" customHeight="1" x14ac:dyDescent="0.2">
      <c r="B4301" s="10" t="s">
        <v>904</v>
      </c>
      <c r="C4301" s="10" t="s">
        <v>110</v>
      </c>
      <c r="D4301" s="16">
        <f t="shared" ref="D4301:M4301" si="936">D4300*$D$4311</f>
        <v>3386.7789781783408</v>
      </c>
      <c r="E4301" s="16">
        <f t="shared" si="936"/>
        <v>12903.965139474656</v>
      </c>
      <c r="F4301" s="16">
        <f t="shared" si="936"/>
        <v>21068.38613419974</v>
      </c>
      <c r="G4301" s="16">
        <f t="shared" si="936"/>
        <v>24567.423703367636</v>
      </c>
      <c r="H4301" s="16">
        <f t="shared" si="936"/>
        <v>24567.423703367636</v>
      </c>
      <c r="I4301" s="16">
        <f t="shared" si="936"/>
        <v>24567.423703367636</v>
      </c>
      <c r="J4301" s="16">
        <f t="shared" si="936"/>
        <v>24567.423703367636</v>
      </c>
      <c r="K4301" s="16">
        <f t="shared" si="936"/>
        <v>24567.423703367636</v>
      </c>
      <c r="L4301" s="16">
        <f t="shared" si="936"/>
        <v>24567.423703367636</v>
      </c>
      <c r="M4301" s="16">
        <f t="shared" si="936"/>
        <v>24567.423703367636</v>
      </c>
    </row>
    <row r="4302" spans="1:13" ht="15" customHeight="1" x14ac:dyDescent="0.2">
      <c r="B4302" s="10" t="s">
        <v>905</v>
      </c>
      <c r="C4302" s="10" t="s">
        <v>110</v>
      </c>
      <c r="D4302" s="16">
        <f t="shared" ref="D4302:M4302" si="937">D4301-D4294</f>
        <v>1569.8016922458989</v>
      </c>
      <c r="E4302" s="16">
        <f t="shared" si="937"/>
        <v>5981.1007577249475</v>
      </c>
      <c r="F4302" s="16">
        <f t="shared" si="937"/>
        <v>9765.3813311862395</v>
      </c>
      <c r="G4302" s="16">
        <f t="shared" si="937"/>
        <v>11387.215862669655</v>
      </c>
      <c r="H4302" s="16">
        <f t="shared" si="937"/>
        <v>11387.215862669655</v>
      </c>
      <c r="I4302" s="16">
        <f t="shared" si="937"/>
        <v>11387.215862669655</v>
      </c>
      <c r="J4302" s="16">
        <f t="shared" si="937"/>
        <v>11387.215862669655</v>
      </c>
      <c r="K4302" s="16">
        <f t="shared" si="937"/>
        <v>11387.215862669655</v>
      </c>
      <c r="L4302" s="16">
        <f t="shared" si="937"/>
        <v>11387.215862669655</v>
      </c>
      <c r="M4302" s="16">
        <f t="shared" si="937"/>
        <v>11387.215862669655</v>
      </c>
    </row>
    <row r="4303" spans="1:13" ht="15" customHeight="1" x14ac:dyDescent="0.2">
      <c r="B4303" s="10" t="s">
        <v>906</v>
      </c>
      <c r="C4303" s="10" t="s">
        <v>110</v>
      </c>
      <c r="D4303" s="16">
        <f>MAX(D4302,Inputs!$D$6)*Inputs!$D$19</f>
        <v>470.94050767376967</v>
      </c>
      <c r="E4303" s="16">
        <f>MAX(E4302,Inputs!$D$6)*Inputs!$D$19</f>
        <v>1794.3302273174843</v>
      </c>
      <c r="F4303" s="16">
        <f>MAX(F4302,Inputs!$D$6)*Inputs!$D$19</f>
        <v>2929.6143993558717</v>
      </c>
      <c r="G4303" s="16">
        <f>MAX(G4302,Inputs!$D$6)*Inputs!$D$19</f>
        <v>3416.1647588008964</v>
      </c>
      <c r="H4303" s="16">
        <f>MAX(H4302,Inputs!$D$6)*Inputs!$D$19</f>
        <v>3416.1647588008964</v>
      </c>
      <c r="I4303" s="16">
        <f>MAX(I4302,Inputs!$D$6)*Inputs!$D$19</f>
        <v>3416.1647588008964</v>
      </c>
      <c r="J4303" s="16">
        <f>MAX(J4302,Inputs!$D$6)*Inputs!$D$19</f>
        <v>3416.1647588008964</v>
      </c>
      <c r="K4303" s="16">
        <f>MAX(K4302,Inputs!$D$6)*Inputs!$D$19</f>
        <v>3416.1647588008964</v>
      </c>
      <c r="L4303" s="16">
        <f>MAX(L4302,Inputs!$D$6)*Inputs!$D$19</f>
        <v>3416.1647588008964</v>
      </c>
      <c r="M4303" s="16">
        <f>MAX(M4302,Inputs!$D$6)*Inputs!$D$19</f>
        <v>3416.1647588008964</v>
      </c>
    </row>
    <row r="4304" spans="1:13" ht="15" customHeight="1" x14ac:dyDescent="0.2">
      <c r="B4304" s="10" t="s">
        <v>907</v>
      </c>
      <c r="C4304" s="10" t="s">
        <v>110</v>
      </c>
      <c r="D4304" s="16">
        <f t="shared" ref="D4304:M4304" si="938">D4297*$D$4310</f>
        <v>291.58646409732449</v>
      </c>
      <c r="E4304" s="16">
        <f t="shared" si="938"/>
        <v>388.78195212976595</v>
      </c>
      <c r="F4304" s="16">
        <f t="shared" si="938"/>
        <v>291.58646409732449</v>
      </c>
      <c r="G4304" s="16">
        <f t="shared" si="938"/>
        <v>0</v>
      </c>
      <c r="H4304" s="16">
        <f t="shared" si="938"/>
        <v>0</v>
      </c>
      <c r="I4304" s="16">
        <f t="shared" si="938"/>
        <v>0</v>
      </c>
      <c r="J4304" s="16">
        <f t="shared" si="938"/>
        <v>0</v>
      </c>
      <c r="K4304" s="16">
        <f t="shared" si="938"/>
        <v>0</v>
      </c>
      <c r="L4304" s="16">
        <f t="shared" si="938"/>
        <v>0</v>
      </c>
      <c r="M4304" s="16">
        <f t="shared" si="938"/>
        <v>0</v>
      </c>
    </row>
    <row r="4305" spans="2:13" ht="15" customHeight="1" x14ac:dyDescent="0.2">
      <c r="B4305" s="10" t="s">
        <v>908</v>
      </c>
      <c r="C4305" s="10" t="s">
        <v>110</v>
      </c>
      <c r="D4305" s="16">
        <f t="shared" ref="D4305:M4305" si="939">D4301-D4303-D4295-D4296-D4304</f>
        <v>-12936.716613738909</v>
      </c>
      <c r="E4305" s="16">
        <f t="shared" si="939"/>
        <v>-10027.105200167465</v>
      </c>
      <c r="F4305" s="16">
        <f t="shared" si="939"/>
        <v>2286.2166506003891</v>
      </c>
      <c r="G4305" s="16">
        <f t="shared" si="939"/>
        <v>18513.254095999568</v>
      </c>
      <c r="H4305" s="16">
        <f t="shared" si="939"/>
        <v>6269.4707227584586</v>
      </c>
      <c r="I4305" s="16">
        <f t="shared" si="939"/>
        <v>1308.8746488223624</v>
      </c>
      <c r="J4305" s="16">
        <f t="shared" si="939"/>
        <v>6269.4707227584586</v>
      </c>
      <c r="K4305" s="16">
        <f t="shared" si="939"/>
        <v>18513.254095999568</v>
      </c>
      <c r="L4305" s="16">
        <f t="shared" si="939"/>
        <v>6269.4707227584586</v>
      </c>
      <c r="M4305" s="16">
        <f t="shared" si="939"/>
        <v>1308.8746488223624</v>
      </c>
    </row>
    <row r="4306" spans="2:13" ht="15" customHeight="1" x14ac:dyDescent="0.2">
      <c r="B4306" s="10" t="s">
        <v>909</v>
      </c>
      <c r="C4306" s="10" t="s">
        <v>110</v>
      </c>
      <c r="D4306" s="16">
        <f>D4305/(Inputs!$D$7+$D$4312)^D4286</f>
        <v>-12084.97395906736</v>
      </c>
      <c r="E4306" s="16">
        <f>E4305/(Inputs!$D$7+$D$4312)^E4286</f>
        <v>-8513.7235712461152</v>
      </c>
      <c r="F4306" s="16">
        <f>F4305/(Inputs!$D$7+$D$4312)^F4286</f>
        <v>1764.8061305082092</v>
      </c>
      <c r="G4306" s="16">
        <f>G4305/(Inputs!$D$7+$D$4312)^G4286</f>
        <v>12992.658656963344</v>
      </c>
      <c r="H4306" s="16">
        <f>H4305/(Inputs!$D$7+$D$4312)^H4286</f>
        <v>4000.2007980515109</v>
      </c>
      <c r="I4306" s="16">
        <f>I4305/(Inputs!$D$7+$D$4312)^I4286</f>
        <v>759.05158099323751</v>
      </c>
      <c r="J4306" s="16">
        <f>J4305/(Inputs!$D$7+$D$4312)^J4286</f>
        <v>3305.5197651220428</v>
      </c>
      <c r="K4306" s="16">
        <f>K4305/(Inputs!$D$7+$D$4312)^K4286</f>
        <v>8874.1606836714291</v>
      </c>
      <c r="L4306" s="16">
        <f>L4305/(Inputs!$D$7+$D$4312)^L4286</f>
        <v>2732.1909692312752</v>
      </c>
      <c r="M4306" s="16">
        <f>M4305/(Inputs!$D$7+$D$4312)^M4286</f>
        <v>518.44244313451088</v>
      </c>
    </row>
    <row r="4307" spans="2:13" ht="15" customHeight="1" x14ac:dyDescent="0.2">
      <c r="B4307" s="3" t="s">
        <v>910</v>
      </c>
      <c r="C4307" s="10" t="s">
        <v>896</v>
      </c>
      <c r="D4307" s="28">
        <f>(D4293*$D$4311-D4297)/(Inputs!$D$7+$D$4312)^D4286</f>
        <v>64.330856237917445</v>
      </c>
      <c r="E4307" s="28">
        <f>(E4293*$D$4311-E4297)/(Inputs!$D$7+$D$4312)^E4286</f>
        <v>236.42380139523098</v>
      </c>
      <c r="F4307" s="28">
        <f>(F4293*$D$4311-F4297)/(Inputs!$D$7+$D$4312)^F4286</f>
        <v>356.83568908039001</v>
      </c>
      <c r="G4307" s="28">
        <f>(G4293*$D$4311-G4297)/(Inputs!$D$7+$D$4312)^G4286</f>
        <v>383.60556091707036</v>
      </c>
      <c r="H4307" s="28">
        <f>(H4293*$D$4311-H4297)/(Inputs!$D$7+$D$4312)^H4286</f>
        <v>348.75507884227414</v>
      </c>
      <c r="I4307" s="28">
        <f>(I4293*$D$4311-I4297)/(Inputs!$D$7+$D$4312)^I4286</f>
        <v>316.98802826091918</v>
      </c>
      <c r="J4307" s="28">
        <f>(J4293*$D$4311-J4297)/(Inputs!$D$7+$D$4312)^J4286</f>
        <v>288.18973459066564</v>
      </c>
      <c r="K4307" s="28">
        <f>(K4293*$D$4311-K4297)/(Inputs!$D$7+$D$4312)^K4286</f>
        <v>262.00775965922423</v>
      </c>
      <c r="L4307" s="28">
        <f>(L4293*$D$4311-L4297)/(Inputs!$D$7+$D$4312)^L4286</f>
        <v>238.2044114761793</v>
      </c>
      <c r="M4307" s="28">
        <f>(M4293*$D$4311-M4297)/(Inputs!$D$7+$D$4312)^M4286</f>
        <v>216.50708849185102</v>
      </c>
    </row>
    <row r="4308" spans="2:13" ht="15" customHeight="1" x14ac:dyDescent="0.2">
      <c r="B4308" s="10" t="s">
        <v>911</v>
      </c>
      <c r="C4308" s="10" t="s">
        <v>110</v>
      </c>
      <c r="D4308" s="16">
        <f>(-D4295-D4296)/(Inputs!$D$7+$D$4312)^D4286</f>
        <v>-14536.447397527105</v>
      </c>
      <c r="E4308" s="16">
        <f>(-E4295-E4296)/(Inputs!$D$7+$D$4312)^E4286</f>
        <v>-17616.488200475756</v>
      </c>
      <c r="F4308" s="16">
        <f>(-F4295-F4296)/(Inputs!$D$7+$D$4312)^F4286</f>
        <v>-12012.025548964448</v>
      </c>
      <c r="G4308" s="16">
        <f>(-G4295-G4296)/(Inputs!$D$7+$D$4312)^G4286</f>
        <v>-1851.359915178487</v>
      </c>
      <c r="H4308" s="16">
        <f>(-H4295-H4296)/(Inputs!$D$7+$D$4312)^H4286</f>
        <v>-9495.2419037884629</v>
      </c>
      <c r="I4308" s="16">
        <f>(-I4295-I4296)/(Inputs!$D$7+$D$4312)^I4286</f>
        <v>-11507.131858586603</v>
      </c>
      <c r="J4308" s="16">
        <f>(-J4295-J4296)/(Inputs!$D$7+$D$4312)^J4286</f>
        <v>-7846.2835672839774</v>
      </c>
      <c r="K4308" s="16">
        <f>(-K4295-K4296)/(Inputs!$D$7+$D$4312)^K4286</f>
        <v>-1264.5037327904422</v>
      </c>
      <c r="L4308" s="16">
        <f>(-L4295-L4296)/(Inputs!$D$7+$D$4312)^L4286</f>
        <v>-6485.3779822337692</v>
      </c>
      <c r="M4308" s="16">
        <f>(-M4295-M4296)/(Inputs!$D$7+$D$4312)^M4286</f>
        <v>-7859.5258920747219</v>
      </c>
    </row>
    <row r="4309" spans="2:13" ht="15" customHeight="1" x14ac:dyDescent="0.2">
      <c r="B4309" s="10" t="s">
        <v>912</v>
      </c>
      <c r="C4309" s="10" t="s">
        <v>110</v>
      </c>
      <c r="D4309" s="16">
        <f>Prices!K21</f>
        <v>50150.451354062185</v>
      </c>
    </row>
    <row r="4310" spans="2:13" ht="15" customHeight="1" x14ac:dyDescent="0.2">
      <c r="B4310" s="3" t="s">
        <v>913</v>
      </c>
      <c r="C4310" s="10" t="s">
        <v>914</v>
      </c>
      <c r="D4310" s="28">
        <f>IF(J4317&gt;=J4313,J4317,(D4309-J4316)/J4315)</f>
        <v>44.945890419626117</v>
      </c>
      <c r="G4310" s="99" t="s">
        <v>915</v>
      </c>
      <c r="H4310" s="91"/>
      <c r="I4310" s="91"/>
      <c r="J4310" s="28">
        <f>D4310*Inputs!$D$15</f>
        <v>31.367736923857066</v>
      </c>
      <c r="K4310" s="99" t="s">
        <v>916</v>
      </c>
      <c r="L4310" s="91"/>
      <c r="M4310" s="91"/>
    </row>
    <row r="4311" spans="2:13" ht="15" customHeight="1" x14ac:dyDescent="0.2">
      <c r="B4311" s="10" t="s">
        <v>917</v>
      </c>
      <c r="C4311" s="10" t="s">
        <v>104</v>
      </c>
      <c r="D4311" s="30">
        <f>Inputs!$D$81</f>
        <v>0.6</v>
      </c>
      <c r="G4311" s="99" t="s">
        <v>918</v>
      </c>
      <c r="H4311" s="91"/>
      <c r="I4311" s="91"/>
      <c r="J4311" s="28">
        <f>IF(-D4322/D4321&gt;=J4313,-D4322/D4321,-J4316/J4315)</f>
        <v>32.284876648616972</v>
      </c>
      <c r="K4311" s="99" t="s">
        <v>919</v>
      </c>
      <c r="L4311" s="91"/>
      <c r="M4311" s="91"/>
    </row>
    <row r="4312" spans="2:13" ht="15" customHeight="1" x14ac:dyDescent="0.2">
      <c r="B4312" s="10" t="s">
        <v>920</v>
      </c>
      <c r="C4312" s="10" t="s">
        <v>104</v>
      </c>
      <c r="D4312" s="30">
        <f>Inputs!$D$82</f>
        <v>0.1</v>
      </c>
      <c r="G4312" s="99" t="s">
        <v>918</v>
      </c>
      <c r="H4312" s="91"/>
      <c r="I4312" s="91"/>
      <c r="J4312" s="28">
        <f>J4311*Inputs!$D$15</f>
        <v>22.531615413069783</v>
      </c>
      <c r="K4312" s="99" t="s">
        <v>916</v>
      </c>
      <c r="L4312" s="91"/>
      <c r="M4312" s="91"/>
    </row>
    <row r="4313" spans="2:13" ht="15" customHeight="1" x14ac:dyDescent="0.2">
      <c r="B4313" s="3" t="s">
        <v>921</v>
      </c>
      <c r="C4313" s="10" t="s">
        <v>848</v>
      </c>
      <c r="D4313" s="28">
        <f>Capital!$D$13</f>
        <v>57.347931490590682</v>
      </c>
      <c r="G4313" s="99" t="s">
        <v>922</v>
      </c>
      <c r="H4313" s="91"/>
      <c r="I4313" s="91"/>
      <c r="J4313" s="28">
        <f>($D$4313/Inputs!$D$21+$D$4314/Inputs!$D$22)/$D$4311</f>
        <v>24.113076913095469</v>
      </c>
      <c r="K4313" s="99" t="s">
        <v>919</v>
      </c>
      <c r="L4313" s="91"/>
      <c r="M4313" s="91"/>
    </row>
    <row r="4314" spans="2:13" ht="15" customHeight="1" x14ac:dyDescent="0.2">
      <c r="B4314" s="3" t="s">
        <v>923</v>
      </c>
      <c r="C4314" s="10" t="s">
        <v>848</v>
      </c>
      <c r="D4314" s="28">
        <f>Capital!$D$14</f>
        <v>2.6172655041921802</v>
      </c>
    </row>
    <row r="4315" spans="2:13" ht="15" customHeight="1" x14ac:dyDescent="0.2">
      <c r="B4315" s="10" t="s">
        <v>924</v>
      </c>
      <c r="C4315" s="10" t="s">
        <v>896</v>
      </c>
      <c r="D4315" s="28">
        <f>(M4288*(Inputs!$D$7+Inputs!$D$20)*$D$4311*(Inputs!$D$7-Inputs!$D$19)-M4288*Inputs!$D$20*Inputs!$D$23)/($D$4312-Inputs!$D$20)/(Inputs!$D$7+$D$4312)^M4286</f>
        <v>2068.2441036763203</v>
      </c>
      <c r="G4315" s="92" t="s">
        <v>910</v>
      </c>
      <c r="H4315" s="91"/>
      <c r="I4315" s="91"/>
      <c r="J4315" s="28">
        <f>SUM(D4307:M4307)+(M4288*(Inputs!$D$7+Inputs!$D$20)*$D$4311-M4288*Inputs!$D$20*Inputs!$D$23)/($D$4312-Inputs!$D$20)/(Inputs!$D$7+$D$4312)^M4286</f>
        <v>5667.7711754446318</v>
      </c>
      <c r="K4315" s="99" t="s">
        <v>896</v>
      </c>
      <c r="L4315" s="91"/>
      <c r="M4315" s="91"/>
    </row>
    <row r="4316" spans="2:13" ht="15" customHeight="1" x14ac:dyDescent="0.2">
      <c r="B4316" s="10" t="s">
        <v>925</v>
      </c>
      <c r="C4316" s="10" t="s">
        <v>110</v>
      </c>
      <c r="D4316" s="16">
        <f>(D4319*Inputs!$D$19-D4319-D4320)/($D$4312-Inputs!$D$20)/(Inputs!$D$7+$D$4312)^M4286</f>
        <v>-57156.954988173631</v>
      </c>
      <c r="G4316" s="92" t="s">
        <v>926</v>
      </c>
      <c r="H4316" s="91"/>
      <c r="I4316" s="91"/>
      <c r="J4316" s="16">
        <f>SUM(D4308:M4308)-(D4319+D4320)/($D$4312-Inputs!$D$20)/(Inputs!$D$7+$D$4312)^M4286</f>
        <v>-169036.01450291832</v>
      </c>
      <c r="K4316" s="99" t="s">
        <v>110</v>
      </c>
      <c r="L4316" s="91"/>
      <c r="M4316" s="91"/>
    </row>
    <row r="4317" spans="2:13" ht="15" customHeight="1" x14ac:dyDescent="0.2">
      <c r="B4317" s="10" t="s">
        <v>927</v>
      </c>
      <c r="C4317" s="10" t="s">
        <v>928</v>
      </c>
      <c r="D4317" s="16">
        <f>(M4288*(Inputs!$D$7+Inputs!$D$20)*$D$4310*$D$4311-D4319)-MAX((M4288*(Inputs!$D$7+Inputs!$D$20)*$D$4310*$D$4311-D4319),Inputs!$D$6)*Inputs!$D$19-D4320-M4288*Inputs!$D$20*$D$4310*Inputs!$D$23</f>
        <v>6779.0289535516204</v>
      </c>
      <c r="G4317" s="99" t="s">
        <v>929</v>
      </c>
      <c r="H4317" s="91"/>
      <c r="I4317" s="91"/>
      <c r="J4317" s="28">
        <f>(D4309-D4322)/D4321</f>
        <v>44.945890419626117</v>
      </c>
      <c r="K4317" s="99" t="s">
        <v>919</v>
      </c>
      <c r="L4317" s="91"/>
      <c r="M4317" s="91"/>
    </row>
    <row r="4318" spans="2:13" ht="15" customHeight="1" x14ac:dyDescent="0.2">
      <c r="B4318" s="10" t="s">
        <v>930</v>
      </c>
      <c r="C4318" s="10" t="s">
        <v>110</v>
      </c>
      <c r="D4318" s="16">
        <f>D4317/($D$4312-Inputs!$D$20)</f>
        <v>90387.052714021585</v>
      </c>
      <c r="G4318" s="99" t="s">
        <v>931</v>
      </c>
      <c r="H4318" s="91"/>
      <c r="I4318" s="91"/>
      <c r="J4318" s="16">
        <f>MIN(D4302:M4302,(M4288*(Inputs!$D$7+Inputs!$D$20)*$D$4310*$D$4311-D4319))</f>
        <v>1569.8016922458989</v>
      </c>
      <c r="K4318" s="99" t="s">
        <v>110</v>
      </c>
      <c r="L4318" s="91"/>
      <c r="M4318" s="91"/>
    </row>
    <row r="4319" spans="2:13" ht="15" customHeight="1" x14ac:dyDescent="0.2">
      <c r="B4319" s="10" t="s">
        <v>932</v>
      </c>
      <c r="C4319" s="10" t="s">
        <v>928</v>
      </c>
      <c r="D4319" s="16">
        <f>M4288*(Inputs!$D$7+Inputs!$D$20)*($D$4313/Inputs!$D$21+$D$4314/Inputs!$D$22)</f>
        <v>13509.71303671543</v>
      </c>
      <c r="G4319" s="99" t="s">
        <v>933</v>
      </c>
      <c r="H4319" s="91"/>
      <c r="I4319" s="91"/>
      <c r="J4319" s="31" t="str">
        <f>IF(J4318&lt;Inputs!$D$6,"breached","satisfied")</f>
        <v>satisfied</v>
      </c>
      <c r="K4319" s="99" t="s">
        <v>934</v>
      </c>
      <c r="L4319" s="91"/>
      <c r="M4319" s="91"/>
    </row>
    <row r="4320" spans="2:13" ht="15" customHeight="1" x14ac:dyDescent="0.2">
      <c r="B4320" s="10" t="s">
        <v>935</v>
      </c>
      <c r="C4320" s="10" t="s">
        <v>928</v>
      </c>
      <c r="D4320" s="16">
        <f>M4288*Inputs!$D$20*($D$4313+$D$4314)</f>
        <v>1365.7073615561799</v>
      </c>
    </row>
    <row r="4321" spans="1:13" ht="15" customHeight="1" x14ac:dyDescent="0.2">
      <c r="B4321" s="10" t="s">
        <v>936</v>
      </c>
      <c r="C4321" s="10" t="s">
        <v>896</v>
      </c>
      <c r="D4321" s="28">
        <f>SUM(D4298:M4298)+D4315</f>
        <v>3961.0138857044249</v>
      </c>
      <c r="G4321" s="99" t="s">
        <v>937</v>
      </c>
      <c r="H4321" s="91"/>
      <c r="I4321" s="91"/>
      <c r="J4321" s="16">
        <f>D4323-D4309</f>
        <v>0</v>
      </c>
      <c r="K4321" s="99" t="s">
        <v>110</v>
      </c>
      <c r="L4321" s="91"/>
      <c r="M4321" s="91"/>
    </row>
    <row r="4322" spans="1:13" ht="15" customHeight="1" x14ac:dyDescent="0.2">
      <c r="B4322" s="10" t="s">
        <v>938</v>
      </c>
      <c r="C4322" s="10" t="s">
        <v>110</v>
      </c>
      <c r="D4322" s="16">
        <f>SUM(D4299:M4299)+D4316</f>
        <v>-127880.84470342637</v>
      </c>
    </row>
    <row r="4323" spans="1:13" ht="15" customHeight="1" x14ac:dyDescent="0.2">
      <c r="B4323" s="10" t="s">
        <v>939</v>
      </c>
      <c r="C4323" s="10" t="s">
        <v>110</v>
      </c>
      <c r="D4323" s="16">
        <f>SUM(D4306:M4306)+D4318/(Inputs!$D$7+$D$4312)^M4286</f>
        <v>50150.451354062177</v>
      </c>
    </row>
    <row r="4324" spans="1:13" ht="15" customHeight="1" x14ac:dyDescent="0.2">
      <c r="B4324" s="10" t="s">
        <v>940</v>
      </c>
      <c r="C4324" s="10" t="s">
        <v>104</v>
      </c>
      <c r="D4324" s="30">
        <f>IF(ABS(D4309)&gt;Inputs!$D$6,D4323/D4309-Inputs!$D$7,Inputs!$D$6)</f>
        <v>-1.1102230246251565E-16</v>
      </c>
    </row>
    <row r="4325" spans="1:13" ht="15" customHeight="1" x14ac:dyDescent="0.2">
      <c r="B4325" s="10" t="s">
        <v>941</v>
      </c>
      <c r="C4325" s="10" t="s">
        <v>104</v>
      </c>
      <c r="D4325" s="30">
        <f>IF(ABS(D4323)&gt;Inputs!$D$119,D4318/(Inputs!$D$7+$D$4312)^M4286/D4323,Inputs!$D$6)</f>
        <v>0.71389423006260011</v>
      </c>
    </row>
    <row r="4326" spans="1:13" ht="15" customHeight="1" x14ac:dyDescent="0.2">
      <c r="B4326" s="10" t="s">
        <v>942</v>
      </c>
      <c r="C4326" s="10" t="s">
        <v>943</v>
      </c>
      <c r="D4326" s="26">
        <f>$D$4310*Inputs!$D$8/Prices!$P$6/(Inputs!$D$26/Inputs!$D$25)/Inputs!$D$11/Inputs!$D$56</f>
        <v>8.1735466969550128</v>
      </c>
    </row>
    <row r="4330" spans="1:13" ht="15" customHeight="1" x14ac:dyDescent="0.2">
      <c r="A4330" s="104" t="s">
        <v>1037</v>
      </c>
      <c r="B4330" s="10" t="s">
        <v>886</v>
      </c>
      <c r="C4330" s="10" t="s">
        <v>107</v>
      </c>
      <c r="D4330" s="28">
        <f>Inputs!$D$60</f>
        <v>1</v>
      </c>
      <c r="E4330" s="28">
        <f>Inputs!$D$62</f>
        <v>2</v>
      </c>
      <c r="F4330" s="28">
        <f>Inputs!$D$64</f>
        <v>3</v>
      </c>
      <c r="G4330" s="28">
        <f>Inputs!$D$66</f>
        <v>4</v>
      </c>
      <c r="H4330" s="28">
        <f>Inputs!$D$68</f>
        <v>5</v>
      </c>
      <c r="I4330" s="28">
        <f>Inputs!$D$70</f>
        <v>6</v>
      </c>
      <c r="J4330" s="28">
        <f>Inputs!$D$72</f>
        <v>7</v>
      </c>
      <c r="K4330" s="28">
        <f>Inputs!$D$74</f>
        <v>8</v>
      </c>
      <c r="L4330" s="28">
        <f>Inputs!$D$76</f>
        <v>9</v>
      </c>
      <c r="M4330" s="28">
        <f>Inputs!$D$78</f>
        <v>10</v>
      </c>
    </row>
    <row r="4331" spans="1:13" ht="15" customHeight="1" x14ac:dyDescent="0.2">
      <c r="A4331" s="91"/>
      <c r="B4331" s="10" t="s">
        <v>887</v>
      </c>
      <c r="C4331" s="10" t="s">
        <v>161</v>
      </c>
      <c r="D4331" s="29">
        <f>Inputs!$D$61</f>
        <v>46568</v>
      </c>
      <c r="E4331" s="29">
        <f>Inputs!$D$63</f>
        <v>46934</v>
      </c>
      <c r="F4331" s="29">
        <f>Inputs!$D$65</f>
        <v>47299</v>
      </c>
      <c r="G4331" s="29">
        <f>Inputs!$D$67</f>
        <v>47664</v>
      </c>
      <c r="H4331" s="29">
        <f>Inputs!$D$69</f>
        <v>48029</v>
      </c>
      <c r="I4331" s="29">
        <f>Inputs!$D$71</f>
        <v>48395</v>
      </c>
      <c r="J4331" s="29">
        <f>Inputs!$D$73</f>
        <v>48760</v>
      </c>
      <c r="K4331" s="29">
        <f>Inputs!$D$75</f>
        <v>49125</v>
      </c>
      <c r="L4331" s="29">
        <f>Inputs!$D$77</f>
        <v>49490</v>
      </c>
      <c r="M4331" s="29">
        <f>Inputs!$D$79</f>
        <v>49856</v>
      </c>
    </row>
    <row r="4332" spans="1:13" ht="15" customHeight="1" x14ac:dyDescent="0.2">
      <c r="A4332" s="91"/>
      <c r="B4332" s="10" t="s">
        <v>888</v>
      </c>
      <c r="C4332" s="10" t="s">
        <v>107</v>
      </c>
      <c r="D4332" s="28">
        <f>(D4331-Inputs!$D$13)/Inputs!$D$10</f>
        <v>0.71457905544147848</v>
      </c>
      <c r="E4332" s="28">
        <f>(E4331-Inputs!$D$13)/Inputs!$D$10</f>
        <v>1.7166324435318274</v>
      </c>
      <c r="F4332" s="28">
        <f>(F4331-Inputs!$D$13)/Inputs!$D$10</f>
        <v>2.7159479808350446</v>
      </c>
      <c r="G4332" s="28">
        <f>(G4331-Inputs!$D$13)/Inputs!$D$10</f>
        <v>3.7152635181382614</v>
      </c>
      <c r="H4332" s="28">
        <f>(H4331-Inputs!$D$13)/Inputs!$D$10</f>
        <v>4.7145790554414786</v>
      </c>
      <c r="I4332" s="28">
        <f>(I4331-Inputs!$D$13)/Inputs!$D$10</f>
        <v>5.7166324435318279</v>
      </c>
      <c r="J4332" s="28">
        <f>(J4331-Inputs!$D$13)/Inputs!$D$10</f>
        <v>6.7159479808350442</v>
      </c>
      <c r="K4332" s="28">
        <f>(K4331-Inputs!$D$13)/Inputs!$D$10</f>
        <v>7.7152635181382614</v>
      </c>
      <c r="L4332" s="28">
        <f>(L4331-Inputs!$D$13)/Inputs!$D$10</f>
        <v>8.7145790554414777</v>
      </c>
      <c r="M4332" s="28">
        <f>(M4331-Inputs!$D$13)/Inputs!$D$10</f>
        <v>9.716632443531827</v>
      </c>
    </row>
    <row r="4333" spans="1:13" ht="15" customHeight="1" x14ac:dyDescent="0.2">
      <c r="A4333" s="91"/>
      <c r="B4333" s="10" t="s">
        <v>889</v>
      </c>
      <c r="C4333" s="10" t="s">
        <v>107</v>
      </c>
      <c r="D4333" s="28">
        <f>D4332</f>
        <v>0.71457905544147848</v>
      </c>
      <c r="E4333" s="28">
        <f>Inputs!$D$7</f>
        <v>1</v>
      </c>
      <c r="F4333" s="28">
        <f>Inputs!$D$7</f>
        <v>1</v>
      </c>
      <c r="G4333" s="28">
        <f>Inputs!$D$7</f>
        <v>1</v>
      </c>
      <c r="H4333" s="28">
        <f>Inputs!$D$7</f>
        <v>1</v>
      </c>
      <c r="I4333" s="28">
        <f>Inputs!$D$7</f>
        <v>1</v>
      </c>
      <c r="J4333" s="28">
        <f>Inputs!$D$7</f>
        <v>1</v>
      </c>
      <c r="K4333" s="28">
        <f>Inputs!$D$7</f>
        <v>1</v>
      </c>
      <c r="L4333" s="28">
        <f>Inputs!$D$7</f>
        <v>1</v>
      </c>
      <c r="M4333" s="28">
        <f>Inputs!$D$7</f>
        <v>1</v>
      </c>
    </row>
    <row r="4334" spans="1:13" ht="15" customHeight="1" x14ac:dyDescent="0.2">
      <c r="A4334" s="91"/>
      <c r="B4334" s="3" t="s">
        <v>890</v>
      </c>
      <c r="C4334" s="10" t="s">
        <v>199</v>
      </c>
      <c r="D4334" s="28">
        <f>Inputs!$D$24+(Inputs!$D$93-Inputs!$D$24)*Inputs!$D$96</f>
        <v>279.10000000000002</v>
      </c>
      <c r="E4334" s="28">
        <f>Inputs!$D$24+(Inputs!$D$93-Inputs!$D$24)*Inputs!$D$97</f>
        <v>900.7</v>
      </c>
      <c r="F4334" s="28">
        <f>Inputs!$D$24+(Inputs!$D$93-Inputs!$D$24)*Inputs!$D$98</f>
        <v>1366.8999999999999</v>
      </c>
      <c r="G4334" s="28">
        <f>Inputs!$D$24+(Inputs!$D$93-Inputs!$D$24)*Inputs!$D$99</f>
        <v>1600</v>
      </c>
      <c r="H4334" s="28">
        <f>Inputs!$D$24+(Inputs!$D$93-Inputs!$D$24)*Inputs!$D$100</f>
        <v>1600</v>
      </c>
      <c r="I4334" s="28">
        <f>Inputs!$D$24+(Inputs!$D$93-Inputs!$D$24)*Inputs!$D$101</f>
        <v>1600</v>
      </c>
      <c r="J4334" s="28">
        <f>Inputs!$D$24+(Inputs!$D$93-Inputs!$D$24)*Inputs!$D$102</f>
        <v>1600</v>
      </c>
      <c r="K4334" s="28">
        <f>Inputs!$D$24+(Inputs!$D$93-Inputs!$D$24)*Inputs!$D$103</f>
        <v>1600</v>
      </c>
      <c r="L4334" s="28">
        <f>Inputs!$D$24+(Inputs!$D$93-Inputs!$D$24)*Inputs!$D$104</f>
        <v>1600</v>
      </c>
      <c r="M4334" s="28">
        <f>Inputs!$D$24+(Inputs!$D$93-Inputs!$D$24)*Inputs!$D$105</f>
        <v>1600</v>
      </c>
    </row>
    <row r="4335" spans="1:13" ht="15" customHeight="1" x14ac:dyDescent="0.2">
      <c r="A4335" s="91"/>
      <c r="B4335" s="10" t="s">
        <v>891</v>
      </c>
      <c r="C4335" s="10" t="s">
        <v>199</v>
      </c>
      <c r="D4335" s="28">
        <f>Inputs!$D$24</f>
        <v>46</v>
      </c>
      <c r="E4335" s="28">
        <f t="shared" ref="E4335:M4335" si="940">D4334</f>
        <v>279.10000000000002</v>
      </c>
      <c r="F4335" s="28">
        <f t="shared" si="940"/>
        <v>900.7</v>
      </c>
      <c r="G4335" s="28">
        <f t="shared" si="940"/>
        <v>1366.8999999999999</v>
      </c>
      <c r="H4335" s="28">
        <f t="shared" si="940"/>
        <v>1600</v>
      </c>
      <c r="I4335" s="28">
        <f t="shared" si="940"/>
        <v>1600</v>
      </c>
      <c r="J4335" s="28">
        <f t="shared" si="940"/>
        <v>1600</v>
      </c>
      <c r="K4335" s="28">
        <f t="shared" si="940"/>
        <v>1600</v>
      </c>
      <c r="L4335" s="28">
        <f t="shared" si="940"/>
        <v>1600</v>
      </c>
      <c r="M4335" s="28">
        <f t="shared" si="940"/>
        <v>1600</v>
      </c>
    </row>
    <row r="4336" spans="1:13" ht="15" customHeight="1" x14ac:dyDescent="0.2">
      <c r="B4336" s="10" t="s">
        <v>892</v>
      </c>
      <c r="C4336" s="10" t="s">
        <v>199</v>
      </c>
      <c r="D4336" s="28">
        <f>(D4335+D4334)*Inputs!$D$12</f>
        <v>162.55000000000001</v>
      </c>
      <c r="E4336" s="28">
        <f>(E4335+E4334)*Inputs!$D$12</f>
        <v>589.90000000000009</v>
      </c>
      <c r="F4336" s="28">
        <f>(F4335+F4334)*Inputs!$D$12</f>
        <v>1133.8</v>
      </c>
      <c r="G4336" s="28">
        <f>(G4335+G4334)*Inputs!$D$12</f>
        <v>1483.4499999999998</v>
      </c>
      <c r="H4336" s="28">
        <f>(H4335+H4334)*Inputs!$D$12</f>
        <v>1600</v>
      </c>
      <c r="I4336" s="28">
        <f>(I4335+I4334)*Inputs!$D$12</f>
        <v>1600</v>
      </c>
      <c r="J4336" s="28">
        <f>(J4335+J4334)*Inputs!$D$12</f>
        <v>1600</v>
      </c>
      <c r="K4336" s="28">
        <f>(K4335+K4334)*Inputs!$D$12</f>
        <v>1600</v>
      </c>
      <c r="L4336" s="28">
        <f>(L4335+L4334)*Inputs!$D$12</f>
        <v>1600</v>
      </c>
      <c r="M4336" s="28">
        <f>(M4335+M4334)*Inputs!$D$12</f>
        <v>1600</v>
      </c>
    </row>
    <row r="4337" spans="2:13" ht="15" customHeight="1" x14ac:dyDescent="0.2">
      <c r="B4337" s="10" t="s">
        <v>893</v>
      </c>
      <c r="C4337" s="10" t="s">
        <v>199</v>
      </c>
      <c r="D4337" s="28">
        <f t="shared" ref="D4337:M4337" si="941">D4334-D4335</f>
        <v>233.10000000000002</v>
      </c>
      <c r="E4337" s="28">
        <f t="shared" si="941"/>
        <v>621.6</v>
      </c>
      <c r="F4337" s="28">
        <f t="shared" si="941"/>
        <v>466.19999999999982</v>
      </c>
      <c r="G4337" s="28">
        <f t="shared" si="941"/>
        <v>233.10000000000014</v>
      </c>
      <c r="H4337" s="28">
        <f t="shared" si="941"/>
        <v>0</v>
      </c>
      <c r="I4337" s="28">
        <f t="shared" si="941"/>
        <v>0</v>
      </c>
      <c r="J4337" s="28">
        <f t="shared" si="941"/>
        <v>0</v>
      </c>
      <c r="K4337" s="28">
        <f t="shared" si="941"/>
        <v>0</v>
      </c>
      <c r="L4337" s="28">
        <f t="shared" si="941"/>
        <v>0</v>
      </c>
      <c r="M4337" s="28">
        <f t="shared" si="941"/>
        <v>0</v>
      </c>
    </row>
    <row r="4338" spans="2:13" ht="15" customHeight="1" x14ac:dyDescent="0.2">
      <c r="B4338" s="10" t="s">
        <v>894</v>
      </c>
      <c r="C4338" s="10" t="s">
        <v>199</v>
      </c>
      <c r="D4338" s="28">
        <f>IF(MOD(D4330,Inputs!$D$21)=Inputs!$D$6,Inputs!$D$24,Inputs!$D$6)+SUMPRODUCT(--(D4330&gt;$D$4330:$M$4330),--(MOD(D4330-$D$4330:$M$4330,Inputs!$D$21)=Inputs!$D$6),$D$4337:$M$4337)</f>
        <v>0</v>
      </c>
      <c r="E4338" s="28">
        <f>IF(MOD(E4330,Inputs!$D$21)=Inputs!$D$6,Inputs!$D$24,Inputs!$D$6)+SUMPRODUCT(--(E4330&gt;$D$4330:$M$4330),--(MOD(E4330-$D$4330:$M$4330,Inputs!$D$21)=Inputs!$D$6),$D$4337:$M$4337)</f>
        <v>0</v>
      </c>
      <c r="F4338" s="28">
        <f>IF(MOD(F4330,Inputs!$D$21)=Inputs!$D$6,Inputs!$D$24,Inputs!$D$6)+SUMPRODUCT(--(F4330&gt;$D$4330:$M$4330),--(MOD(F4330-$D$4330:$M$4330,Inputs!$D$21)=Inputs!$D$6),$D$4337:$M$4337)</f>
        <v>0</v>
      </c>
      <c r="G4338" s="28">
        <f>IF(MOD(G4330,Inputs!$D$21)=Inputs!$D$6,Inputs!$D$24,Inputs!$D$6)+SUMPRODUCT(--(G4330&gt;$D$4330:$M$4330),--(MOD(G4330-$D$4330:$M$4330,Inputs!$D$21)=Inputs!$D$6),$D$4337:$M$4337)</f>
        <v>46</v>
      </c>
      <c r="H4338" s="28">
        <f>IF(MOD(H4330,Inputs!$D$21)=Inputs!$D$6,Inputs!$D$24,Inputs!$D$6)+SUMPRODUCT(--(H4330&gt;$D$4330:$M$4330),--(MOD(H4330-$D$4330:$M$4330,Inputs!$D$21)=Inputs!$D$6),$D$4337:$M$4337)</f>
        <v>233.10000000000002</v>
      </c>
      <c r="I4338" s="28">
        <f>IF(MOD(I4330,Inputs!$D$21)=Inputs!$D$6,Inputs!$D$24,Inputs!$D$6)+SUMPRODUCT(--(I4330&gt;$D$4330:$M$4330),--(MOD(I4330-$D$4330:$M$4330,Inputs!$D$21)=Inputs!$D$6),$D$4337:$M$4337)</f>
        <v>621.6</v>
      </c>
      <c r="J4338" s="28">
        <f>IF(MOD(J4330,Inputs!$D$21)=Inputs!$D$6,Inputs!$D$24,Inputs!$D$6)+SUMPRODUCT(--(J4330&gt;$D$4330:$M$4330),--(MOD(J4330-$D$4330:$M$4330,Inputs!$D$21)=Inputs!$D$6),$D$4337:$M$4337)</f>
        <v>466.19999999999982</v>
      </c>
      <c r="K4338" s="28">
        <f>IF(MOD(K4330,Inputs!$D$21)=Inputs!$D$6,Inputs!$D$24,Inputs!$D$6)+SUMPRODUCT(--(K4330&gt;$D$4330:$M$4330),--(MOD(K4330-$D$4330:$M$4330,Inputs!$D$21)=Inputs!$D$6),$D$4337:$M$4337)</f>
        <v>279.10000000000014</v>
      </c>
      <c r="L4338" s="28">
        <f>IF(MOD(L4330,Inputs!$D$21)=Inputs!$D$6,Inputs!$D$24,Inputs!$D$6)+SUMPRODUCT(--(L4330&gt;$D$4330:$M$4330),--(MOD(L4330-$D$4330:$M$4330,Inputs!$D$21)=Inputs!$D$6),$D$4337:$M$4337)</f>
        <v>233.10000000000002</v>
      </c>
      <c r="M4338" s="28">
        <f>IF(MOD(M4330,Inputs!$D$21)=Inputs!$D$6,Inputs!$D$24,Inputs!$D$6)+SUMPRODUCT(--(M4330&gt;$D$4330:$M$4330),--(MOD(M4330-$D$4330:$M$4330,Inputs!$D$21)=Inputs!$D$6),$D$4337:$M$4337)</f>
        <v>621.6</v>
      </c>
    </row>
    <row r="4339" spans="2:13" ht="15" customHeight="1" x14ac:dyDescent="0.2">
      <c r="B4339" s="10" t="s">
        <v>895</v>
      </c>
      <c r="C4339" s="10" t="s">
        <v>896</v>
      </c>
      <c r="D4339" s="28">
        <f t="shared" ref="D4339:M4339" si="942">D4336*D4333</f>
        <v>116.15482546201234</v>
      </c>
      <c r="E4339" s="28">
        <f t="shared" si="942"/>
        <v>589.90000000000009</v>
      </c>
      <c r="F4339" s="28">
        <f t="shared" si="942"/>
        <v>1133.8</v>
      </c>
      <c r="G4339" s="28">
        <f t="shared" si="942"/>
        <v>1483.4499999999998</v>
      </c>
      <c r="H4339" s="28">
        <f t="shared" si="942"/>
        <v>1600</v>
      </c>
      <c r="I4339" s="28">
        <f t="shared" si="942"/>
        <v>1600</v>
      </c>
      <c r="J4339" s="28">
        <f t="shared" si="942"/>
        <v>1600</v>
      </c>
      <c r="K4339" s="28">
        <f t="shared" si="942"/>
        <v>1600</v>
      </c>
      <c r="L4339" s="28">
        <f t="shared" si="942"/>
        <v>1600</v>
      </c>
      <c r="M4339" s="28">
        <f t="shared" si="942"/>
        <v>1600</v>
      </c>
    </row>
    <row r="4340" spans="2:13" ht="15" customHeight="1" x14ac:dyDescent="0.2">
      <c r="B4340" s="10" t="s">
        <v>897</v>
      </c>
      <c r="C4340" s="10" t="s">
        <v>110</v>
      </c>
      <c r="D4340" s="16">
        <f>D4339*($D$4359/Inputs!$D$21+$D$4360/Inputs!$D$22)</f>
        <v>1680.51014411561</v>
      </c>
      <c r="E4340" s="16">
        <f>E4339*($D$4359/Inputs!$D$21+$D$4360/Inputs!$D$22)</f>
        <v>8534.5824426210111</v>
      </c>
      <c r="F4340" s="16">
        <f>F4339*($D$4359/Inputs!$D$21+$D$4360/Inputs!$D$22)</f>
        <v>16403.643962440583</v>
      </c>
      <c r="G4340" s="16">
        <f>G4339*($D$4359/Inputs!$D$21+$D$4360/Inputs!$D$22)</f>
        <v>21462.326368038881</v>
      </c>
      <c r="H4340" s="16">
        <f>H4339*($D$4359/Inputs!$D$21+$D$4360/Inputs!$D$22)</f>
        <v>23148.553836571649</v>
      </c>
      <c r="I4340" s="16">
        <f>I4339*($D$4359/Inputs!$D$21+$D$4360/Inputs!$D$22)</f>
        <v>23148.553836571649</v>
      </c>
      <c r="J4340" s="16">
        <f>J4339*($D$4359/Inputs!$D$21+$D$4360/Inputs!$D$22)</f>
        <v>23148.553836571649</v>
      </c>
      <c r="K4340" s="16">
        <f>K4339*($D$4359/Inputs!$D$21+$D$4360/Inputs!$D$22)</f>
        <v>23148.553836571649</v>
      </c>
      <c r="L4340" s="16">
        <f>L4339*($D$4359/Inputs!$D$21+$D$4360/Inputs!$D$22)</f>
        <v>23148.553836571649</v>
      </c>
      <c r="M4340" s="16">
        <f>M4339*($D$4359/Inputs!$D$21+$D$4360/Inputs!$D$22)</f>
        <v>23148.553836571649</v>
      </c>
    </row>
    <row r="4341" spans="2:13" ht="15" customHeight="1" x14ac:dyDescent="0.2">
      <c r="B4341" s="10" t="s">
        <v>898</v>
      </c>
      <c r="C4341" s="10" t="s">
        <v>110</v>
      </c>
      <c r="D4341" s="16">
        <f t="shared" ref="D4341:M4341" si="943">D4337*($D$4359+$D$4360)</f>
        <v>13977.887419483886</v>
      </c>
      <c r="E4341" s="16">
        <f t="shared" si="943"/>
        <v>37274.36645195703</v>
      </c>
      <c r="F4341" s="16">
        <f t="shared" si="943"/>
        <v>27955.774838967762</v>
      </c>
      <c r="G4341" s="16">
        <f t="shared" si="943"/>
        <v>13977.887419483894</v>
      </c>
      <c r="H4341" s="16">
        <f t="shared" si="943"/>
        <v>0</v>
      </c>
      <c r="I4341" s="16">
        <f t="shared" si="943"/>
        <v>0</v>
      </c>
      <c r="J4341" s="16">
        <f t="shared" si="943"/>
        <v>0</v>
      </c>
      <c r="K4341" s="16">
        <f t="shared" si="943"/>
        <v>0</v>
      </c>
      <c r="L4341" s="16">
        <f t="shared" si="943"/>
        <v>0</v>
      </c>
      <c r="M4341" s="16">
        <f t="shared" si="943"/>
        <v>0</v>
      </c>
    </row>
    <row r="4342" spans="2:13" ht="15" customHeight="1" x14ac:dyDescent="0.2">
      <c r="B4342" s="10" t="s">
        <v>899</v>
      </c>
      <c r="C4342" s="10" t="s">
        <v>110</v>
      </c>
      <c r="D4342" s="16">
        <f t="shared" ref="D4342:M4342" si="944">D4338*$D$4359</f>
        <v>0</v>
      </c>
      <c r="E4342" s="16">
        <f t="shared" si="944"/>
        <v>0</v>
      </c>
      <c r="F4342" s="16">
        <f t="shared" si="944"/>
        <v>0</v>
      </c>
      <c r="G4342" s="16">
        <f t="shared" si="944"/>
        <v>2638.0048485671714</v>
      </c>
      <c r="H4342" s="16">
        <f t="shared" si="944"/>
        <v>13367.802830456689</v>
      </c>
      <c r="I4342" s="16">
        <f t="shared" si="944"/>
        <v>35647.47421455117</v>
      </c>
      <c r="J4342" s="16">
        <f t="shared" si="944"/>
        <v>26735.605660913367</v>
      </c>
      <c r="K4342" s="16">
        <f t="shared" si="944"/>
        <v>16005.807679023867</v>
      </c>
      <c r="L4342" s="16">
        <f t="shared" si="944"/>
        <v>13367.802830456689</v>
      </c>
      <c r="M4342" s="16">
        <f t="shared" si="944"/>
        <v>35647.47421455117</v>
      </c>
    </row>
    <row r="4343" spans="2:13" ht="15" customHeight="1" x14ac:dyDescent="0.2">
      <c r="B4343" s="10" t="s">
        <v>900</v>
      </c>
      <c r="C4343" s="10" t="s">
        <v>199</v>
      </c>
      <c r="D4343" s="28">
        <f>D4337*Inputs!$D$23</f>
        <v>5.8275000000000006</v>
      </c>
      <c r="E4343" s="28">
        <f>E4337*Inputs!$D$23</f>
        <v>15.540000000000001</v>
      </c>
      <c r="F4343" s="28">
        <f>F4337*Inputs!$D$23</f>
        <v>11.654999999999996</v>
      </c>
      <c r="G4343" s="28">
        <f>G4337*Inputs!$D$23</f>
        <v>5.8275000000000041</v>
      </c>
      <c r="H4343" s="28">
        <f>H4337*Inputs!$D$23</f>
        <v>0</v>
      </c>
      <c r="I4343" s="28">
        <f>I4337*Inputs!$D$23</f>
        <v>0</v>
      </c>
      <c r="J4343" s="28">
        <f>J4337*Inputs!$D$23</f>
        <v>0</v>
      </c>
      <c r="K4343" s="28">
        <f>K4337*Inputs!$D$23</f>
        <v>0</v>
      </c>
      <c r="L4343" s="28">
        <f>L4337*Inputs!$D$23</f>
        <v>0</v>
      </c>
      <c r="M4343" s="28">
        <f>M4337*Inputs!$D$23</f>
        <v>0</v>
      </c>
    </row>
    <row r="4344" spans="2:13" ht="15" customHeight="1" x14ac:dyDescent="0.2">
      <c r="B4344" s="3" t="s">
        <v>901</v>
      </c>
      <c r="C4344" s="10" t="s">
        <v>896</v>
      </c>
      <c r="D4344" s="28">
        <f>(D4339*$D$4357*(Inputs!$D$7-Inputs!$D$19)-D4343)/(Inputs!$D$7+$D$4358)^D4332</f>
        <v>50.541318213721269</v>
      </c>
      <c r="E4344" s="28">
        <f>(E4339*$D$4357*(Inputs!$D$7-Inputs!$D$19)-E4343)/(Inputs!$D$7+$D$4358)^E4332</f>
        <v>238.4864713152904</v>
      </c>
      <c r="F4344" s="28">
        <f>(F4339*$D$4357*(Inputs!$D$7-Inputs!$D$19)-F4343)/(Inputs!$D$7+$D$4358)^F4332</f>
        <v>418.74491871678316</v>
      </c>
      <c r="G4344" s="28">
        <f>(G4339*$D$4357*(Inputs!$D$7-Inputs!$D$19)-G4343)/(Inputs!$D$7+$D$4358)^G4332</f>
        <v>490.87392073514752</v>
      </c>
      <c r="H4344" s="28">
        <f>(H4339*$D$4357*(Inputs!$D$7-Inputs!$D$19)-H4343)/(Inputs!$D$7+$D$4358)^H4332</f>
        <v>472.10300862628105</v>
      </c>
      <c r="I4344" s="28">
        <f>(I4339*$D$4357*(Inputs!$D$7-Inputs!$D$19)-I4343)/(Inputs!$D$7+$D$4358)^I4332</f>
        <v>417.68543753228789</v>
      </c>
      <c r="J4344" s="28">
        <f>(J4339*$D$4357*(Inputs!$D$7-Inputs!$D$19)-J4343)/(Inputs!$D$7+$D$4358)^J4332</f>
        <v>369.66405292491049</v>
      </c>
      <c r="K4344" s="28">
        <f>(K4339*$D$4357*(Inputs!$D$7-Inputs!$D$19)-K4343)/(Inputs!$D$7+$D$4358)^K4332</f>
        <v>327.16369723641031</v>
      </c>
      <c r="L4344" s="28">
        <f>(L4339*$D$4357*(Inputs!$D$7-Inputs!$D$19)-L4343)/(Inputs!$D$7+$D$4358)^L4332</f>
        <v>289.54961658427663</v>
      </c>
      <c r="M4344" s="28">
        <f>(M4339*$D$4357*(Inputs!$D$7-Inputs!$D$19)-M4343)/(Inputs!$D$7+$D$4358)^M4332</f>
        <v>256.17430111750662</v>
      </c>
    </row>
    <row r="4345" spans="2:13" ht="15" customHeight="1" x14ac:dyDescent="0.2">
      <c r="B4345" s="10" t="s">
        <v>902</v>
      </c>
      <c r="C4345" s="10" t="s">
        <v>110</v>
      </c>
      <c r="D4345" s="16">
        <f>(D4340*Inputs!$D$19-D4341-D4342)/(Inputs!$D$7+$D$4358)^D4332</f>
        <v>-12346.937146613671</v>
      </c>
      <c r="E4345" s="16">
        <f>(E4340*Inputs!$D$19-E4341-E4342)/(Inputs!$D$7+$D$4358)^E4332</f>
        <v>-28144.165592831177</v>
      </c>
      <c r="F4345" s="16">
        <f>(F4340*Inputs!$D$19-F4341-F4342)/(Inputs!$D$7+$D$4358)^F4332</f>
        <v>-16528.13772562052</v>
      </c>
      <c r="G4345" s="16">
        <f>(G4340*Inputs!$D$19-G4341-G4342)/(Inputs!$D$7+$D$4358)^G4332</f>
        <v>-6462.9033875784253</v>
      </c>
      <c r="H4345" s="16">
        <f>(H4340*Inputs!$D$19-H4341-H4342)/(Inputs!$D$7+$D$4358)^H4332</f>
        <v>-3610.0349541710043</v>
      </c>
      <c r="I4345" s="16">
        <f>(I4340*Inputs!$D$19-I4341-I4342)/(Inputs!$D$7+$D$4358)^I4332</f>
        <v>-14272.365134506323</v>
      </c>
      <c r="J4345" s="16">
        <f>(J4340*Inputs!$D$19-J4341-J4342)/(Inputs!$D$7+$D$4358)^J4332</f>
        <v>-8709.5665200501735</v>
      </c>
      <c r="K4345" s="16">
        <f>(K4340*Inputs!$D$19-K4341-K4342)/(Inputs!$D$7+$D$4358)^K4332</f>
        <v>-3529.1777141306115</v>
      </c>
      <c r="L4345" s="16">
        <f>(L4340*Inputs!$D$19-L4341-L4342)/(Inputs!$D$7+$D$4358)^L4332</f>
        <v>-2214.1020449702382</v>
      </c>
      <c r="M4345" s="16">
        <f>(M4340*Inputs!$D$19-M4341-M4342)/(Inputs!$D$7+$D$4358)^M4332</f>
        <v>-8753.5088252709138</v>
      </c>
    </row>
    <row r="4346" spans="2:13" ht="15" customHeight="1" x14ac:dyDescent="0.2">
      <c r="B4346" s="10" t="s">
        <v>903</v>
      </c>
      <c r="C4346" s="10" t="s">
        <v>110</v>
      </c>
      <c r="D4346" s="16">
        <f t="shared" ref="D4346:M4346" si="945">D4339*$D$4356</f>
        <v>4183.3813665899952</v>
      </c>
      <c r="E4346" s="16">
        <f t="shared" si="945"/>
        <v>21245.580270434039</v>
      </c>
      <c r="F4346" s="16">
        <f t="shared" si="945"/>
        <v>40834.444669635719</v>
      </c>
      <c r="G4346" s="16">
        <f t="shared" si="945"/>
        <v>53427.286069122507</v>
      </c>
      <c r="H4346" s="16">
        <f t="shared" si="945"/>
        <v>57624.899868951448</v>
      </c>
      <c r="I4346" s="16">
        <f t="shared" si="945"/>
        <v>57624.899868951448</v>
      </c>
      <c r="J4346" s="16">
        <f t="shared" si="945"/>
        <v>57624.899868951448</v>
      </c>
      <c r="K4346" s="16">
        <f t="shared" si="945"/>
        <v>57624.899868951448</v>
      </c>
      <c r="L4346" s="16">
        <f t="shared" si="945"/>
        <v>57624.899868951448</v>
      </c>
      <c r="M4346" s="16">
        <f t="shared" si="945"/>
        <v>57624.899868951448</v>
      </c>
    </row>
    <row r="4347" spans="2:13" ht="15" customHeight="1" x14ac:dyDescent="0.2">
      <c r="B4347" s="10" t="s">
        <v>904</v>
      </c>
      <c r="C4347" s="10" t="s">
        <v>110</v>
      </c>
      <c r="D4347" s="16">
        <f t="shared" ref="D4347:M4347" si="946">D4346*$D$4357</f>
        <v>3137.5360249424966</v>
      </c>
      <c r="E4347" s="16">
        <f t="shared" si="946"/>
        <v>15934.185202825529</v>
      </c>
      <c r="F4347" s="16">
        <f t="shared" si="946"/>
        <v>30625.833502226789</v>
      </c>
      <c r="G4347" s="16">
        <f t="shared" si="946"/>
        <v>40070.464551841884</v>
      </c>
      <c r="H4347" s="16">
        <f t="shared" si="946"/>
        <v>43218.674901713588</v>
      </c>
      <c r="I4347" s="16">
        <f t="shared" si="946"/>
        <v>43218.674901713588</v>
      </c>
      <c r="J4347" s="16">
        <f t="shared" si="946"/>
        <v>43218.674901713588</v>
      </c>
      <c r="K4347" s="16">
        <f t="shared" si="946"/>
        <v>43218.674901713588</v>
      </c>
      <c r="L4347" s="16">
        <f t="shared" si="946"/>
        <v>43218.674901713588</v>
      </c>
      <c r="M4347" s="16">
        <f t="shared" si="946"/>
        <v>43218.674901713588</v>
      </c>
    </row>
    <row r="4348" spans="2:13" ht="15" customHeight="1" x14ac:dyDescent="0.2">
      <c r="B4348" s="10" t="s">
        <v>905</v>
      </c>
      <c r="C4348" s="10" t="s">
        <v>110</v>
      </c>
      <c r="D4348" s="16">
        <f t="shared" ref="D4348:M4348" si="947">D4347-D4340</f>
        <v>1457.0258808268866</v>
      </c>
      <c r="E4348" s="16">
        <f t="shared" si="947"/>
        <v>7399.6027602045178</v>
      </c>
      <c r="F4348" s="16">
        <f t="shared" si="947"/>
        <v>14222.189539786206</v>
      </c>
      <c r="G4348" s="16">
        <f t="shared" si="947"/>
        <v>18608.138183803003</v>
      </c>
      <c r="H4348" s="16">
        <f t="shared" si="947"/>
        <v>20070.121065141939</v>
      </c>
      <c r="I4348" s="16">
        <f t="shared" si="947"/>
        <v>20070.121065141939</v>
      </c>
      <c r="J4348" s="16">
        <f t="shared" si="947"/>
        <v>20070.121065141939</v>
      </c>
      <c r="K4348" s="16">
        <f t="shared" si="947"/>
        <v>20070.121065141939</v>
      </c>
      <c r="L4348" s="16">
        <f t="shared" si="947"/>
        <v>20070.121065141939</v>
      </c>
      <c r="M4348" s="16">
        <f t="shared" si="947"/>
        <v>20070.121065141939</v>
      </c>
    </row>
    <row r="4349" spans="2:13" ht="15" customHeight="1" x14ac:dyDescent="0.2">
      <c r="B4349" s="10" t="s">
        <v>906</v>
      </c>
      <c r="C4349" s="10" t="s">
        <v>110</v>
      </c>
      <c r="D4349" s="16">
        <f>MAX(D4348,Inputs!$D$6)*Inputs!$D$19</f>
        <v>437.10776424806596</v>
      </c>
      <c r="E4349" s="16">
        <f>MAX(E4348,Inputs!$D$6)*Inputs!$D$19</f>
        <v>2219.8808280613553</v>
      </c>
      <c r="F4349" s="16">
        <f>MAX(F4348,Inputs!$D$6)*Inputs!$D$19</f>
        <v>4266.6568619358613</v>
      </c>
      <c r="G4349" s="16">
        <f>MAX(G4348,Inputs!$D$6)*Inputs!$D$19</f>
        <v>5582.4414551409009</v>
      </c>
      <c r="H4349" s="16">
        <f>MAX(H4348,Inputs!$D$6)*Inputs!$D$19</f>
        <v>6021.0363195425816</v>
      </c>
      <c r="I4349" s="16">
        <f>MAX(I4348,Inputs!$D$6)*Inputs!$D$19</f>
        <v>6021.0363195425816</v>
      </c>
      <c r="J4349" s="16">
        <f>MAX(J4348,Inputs!$D$6)*Inputs!$D$19</f>
        <v>6021.0363195425816</v>
      </c>
      <c r="K4349" s="16">
        <f>MAX(K4348,Inputs!$D$6)*Inputs!$D$19</f>
        <v>6021.0363195425816</v>
      </c>
      <c r="L4349" s="16">
        <f>MAX(L4348,Inputs!$D$6)*Inputs!$D$19</f>
        <v>6021.0363195425816</v>
      </c>
      <c r="M4349" s="16">
        <f>MAX(M4348,Inputs!$D$6)*Inputs!$D$19</f>
        <v>6021.0363195425816</v>
      </c>
    </row>
    <row r="4350" spans="2:13" ht="15" customHeight="1" x14ac:dyDescent="0.2">
      <c r="B4350" s="10" t="s">
        <v>907</v>
      </c>
      <c r="C4350" s="10" t="s">
        <v>110</v>
      </c>
      <c r="D4350" s="16">
        <f t="shared" ref="D4350:M4350" si="948">D4343*$D$4356</f>
        <v>209.88068999144662</v>
      </c>
      <c r="E4350" s="16">
        <f t="shared" si="948"/>
        <v>559.68183997719098</v>
      </c>
      <c r="F4350" s="16">
        <f t="shared" si="948"/>
        <v>419.761379982893</v>
      </c>
      <c r="G4350" s="16">
        <f t="shared" si="948"/>
        <v>209.88068999144673</v>
      </c>
      <c r="H4350" s="16">
        <f t="shared" si="948"/>
        <v>0</v>
      </c>
      <c r="I4350" s="16">
        <f t="shared" si="948"/>
        <v>0</v>
      </c>
      <c r="J4350" s="16">
        <f t="shared" si="948"/>
        <v>0</v>
      </c>
      <c r="K4350" s="16">
        <f t="shared" si="948"/>
        <v>0</v>
      </c>
      <c r="L4350" s="16">
        <f t="shared" si="948"/>
        <v>0</v>
      </c>
      <c r="M4350" s="16">
        <f t="shared" si="948"/>
        <v>0</v>
      </c>
    </row>
    <row r="4351" spans="2:13" ht="15" customHeight="1" x14ac:dyDescent="0.2">
      <c r="B4351" s="10" t="s">
        <v>908</v>
      </c>
      <c r="C4351" s="10" t="s">
        <v>110</v>
      </c>
      <c r="D4351" s="16">
        <f t="shared" ref="D4351:M4351" si="949">D4347-D4349-D4341-D4342-D4350</f>
        <v>-11487.339848780903</v>
      </c>
      <c r="E4351" s="16">
        <f t="shared" si="949"/>
        <v>-24119.74391717005</v>
      </c>
      <c r="F4351" s="16">
        <f t="shared" si="949"/>
        <v>-2016.3595786597277</v>
      </c>
      <c r="G4351" s="16">
        <f t="shared" si="949"/>
        <v>17662.250138658474</v>
      </c>
      <c r="H4351" s="16">
        <f t="shared" si="949"/>
        <v>23829.835751714316</v>
      </c>
      <c r="I4351" s="16">
        <f t="shared" si="949"/>
        <v>1550.1643676198364</v>
      </c>
      <c r="J4351" s="16">
        <f t="shared" si="949"/>
        <v>10462.03292125764</v>
      </c>
      <c r="K4351" s="16">
        <f t="shared" si="949"/>
        <v>21191.83090314714</v>
      </c>
      <c r="L4351" s="16">
        <f t="shared" si="949"/>
        <v>23829.835751714316</v>
      </c>
      <c r="M4351" s="16">
        <f t="shared" si="949"/>
        <v>1550.1643676198364</v>
      </c>
    </row>
    <row r="4352" spans="2:13" ht="15" customHeight="1" x14ac:dyDescent="0.2">
      <c r="B4352" s="10" t="s">
        <v>909</v>
      </c>
      <c r="C4352" s="10" t="s">
        <v>110</v>
      </c>
      <c r="D4352" s="16">
        <f>D4351/(Inputs!$D$7+$D$4358)^D4332</f>
        <v>-10526.66314579461</v>
      </c>
      <c r="E4352" s="16">
        <f>E4351/(Inputs!$D$7+$D$4358)^E4332</f>
        <v>-19554.941199304198</v>
      </c>
      <c r="F4352" s="16">
        <f>F4351/(Inputs!$D$7+$D$4358)^F4332</f>
        <v>-1446.8039683162408</v>
      </c>
      <c r="G4352" s="16">
        <f>G4351/(Inputs!$D$7+$D$4358)^G4332</f>
        <v>11216.19694407313</v>
      </c>
      <c r="H4352" s="16">
        <f>H4351/(Inputs!$D$7+$D$4358)^H4332</f>
        <v>13393.020420779101</v>
      </c>
      <c r="I4352" s="16">
        <f>I4351/(Inputs!$D$7+$D$4358)^I4332</f>
        <v>770.81081206696877</v>
      </c>
      <c r="J4352" s="16">
        <f>J4351/(Inputs!$D$7+$D$4358)^J4332</f>
        <v>4604.0922517927856</v>
      </c>
      <c r="K4352" s="16">
        <f>K4351/(Inputs!$D$7+$D$4358)^K4332</f>
        <v>8253.8068446219459</v>
      </c>
      <c r="L4352" s="16">
        <f>L4351/(Inputs!$D$7+$D$4358)^L4332</f>
        <v>8214.1902442561513</v>
      </c>
      <c r="M4352" s="16">
        <f>M4351/(Inputs!$D$7+$D$4358)^M4332</f>
        <v>472.75270653842045</v>
      </c>
    </row>
    <row r="4353" spans="2:13" ht="15" customHeight="1" x14ac:dyDescent="0.2">
      <c r="B4353" s="3" t="s">
        <v>910</v>
      </c>
      <c r="C4353" s="10" t="s">
        <v>896</v>
      </c>
      <c r="D4353" s="28">
        <f>(D4339*$D$4357-D4343)/(Inputs!$D$7+$D$4358)^D4332</f>
        <v>74.490519309095831</v>
      </c>
      <c r="E4353" s="28">
        <f>(E4339*$D$4357-E4343)/(Inputs!$D$7+$D$4358)^E4332</f>
        <v>346.09451503846662</v>
      </c>
      <c r="F4353" s="28">
        <f>(F4339*$D$4357-F4343)/(Inputs!$D$7+$D$4358)^F4332</f>
        <v>601.79110266312398</v>
      </c>
      <c r="G4353" s="28">
        <f>(G4339*$D$4357-G4343)/(Inputs!$D$7+$D$4358)^G4332</f>
        <v>702.83446516544734</v>
      </c>
      <c r="H4353" s="28">
        <f>(H4339*$D$4357-H4343)/(Inputs!$D$7+$D$4358)^H4332</f>
        <v>674.43286946611579</v>
      </c>
      <c r="I4353" s="28">
        <f>(I4339*$D$4357-I4343)/(Inputs!$D$7+$D$4358)^I4332</f>
        <v>596.69348218898278</v>
      </c>
      <c r="J4353" s="28">
        <f>(J4339*$D$4357-J4343)/(Inputs!$D$7+$D$4358)^J4332</f>
        <v>528.09150417844353</v>
      </c>
      <c r="K4353" s="28">
        <f>(K4339*$D$4357-K4343)/(Inputs!$D$7+$D$4358)^K4332</f>
        <v>467.37671033772904</v>
      </c>
      <c r="L4353" s="28">
        <f>(L4339*$D$4357-L4343)/(Inputs!$D$7+$D$4358)^L4332</f>
        <v>413.64230940610946</v>
      </c>
      <c r="M4353" s="28">
        <f>(M4339*$D$4357-M4343)/(Inputs!$D$7+$D$4358)^M4332</f>
        <v>365.96328731072373</v>
      </c>
    </row>
    <row r="4354" spans="2:13" ht="15" customHeight="1" x14ac:dyDescent="0.2">
      <c r="B4354" s="10" t="s">
        <v>911</v>
      </c>
      <c r="C4354" s="10" t="s">
        <v>110</v>
      </c>
      <c r="D4354" s="16">
        <f>(-D4341-D4342)/(Inputs!$D$7+$D$4358)^D4332</f>
        <v>-12808.928289029636</v>
      </c>
      <c r="E4354" s="16">
        <f>(-E4341-E4342)/(Inputs!$D$7+$D$4358)^E4332</f>
        <v>-30219.974420642928</v>
      </c>
      <c r="F4354" s="16">
        <f>(-F4341-F4342)/(Inputs!$D$7+$D$4358)^F4332</f>
        <v>-20059.183095337907</v>
      </c>
      <c r="G4354" s="16">
        <f>(-G4341-G4342)/(Inputs!$D$7+$D$4358)^G4332</f>
        <v>-10551.720115889953</v>
      </c>
      <c r="H4354" s="16">
        <f>(-H4341-H4342)/(Inputs!$D$7+$D$4358)^H4332</f>
        <v>-7513.0713511684744</v>
      </c>
      <c r="I4354" s="16">
        <f>(-I4341-I4342)/(Inputs!$D$7+$D$4358)^I4332</f>
        <v>-17725.512933602091</v>
      </c>
      <c r="J4354" s="16">
        <f>(-J4341-J4342)/(Inputs!$D$7+$D$4358)^J4332</f>
        <v>-11765.705173827875</v>
      </c>
      <c r="K4354" s="16">
        <f>(-K4341-K4342)/(Inputs!$D$7+$D$4358)^K4332</f>
        <v>-6233.95144943378</v>
      </c>
      <c r="L4354" s="16">
        <f>(-L4341-L4342)/(Inputs!$D$7+$D$4358)^L4332</f>
        <v>-4607.9073620630261</v>
      </c>
      <c r="M4354" s="16">
        <f>(-M4341-M4342)/(Inputs!$D$7+$D$4358)^M4332</f>
        <v>-10871.389039901173</v>
      </c>
    </row>
    <row r="4355" spans="2:13" ht="15" customHeight="1" x14ac:dyDescent="0.2">
      <c r="B4355" s="10" t="s">
        <v>912</v>
      </c>
      <c r="C4355" s="10" t="s">
        <v>110</v>
      </c>
      <c r="D4355" s="16">
        <f>Prices!K21</f>
        <v>50150.451354062185</v>
      </c>
    </row>
    <row r="4356" spans="2:13" ht="15" customHeight="1" x14ac:dyDescent="0.2">
      <c r="B4356" s="3" t="s">
        <v>913</v>
      </c>
      <c r="C4356" s="10" t="s">
        <v>914</v>
      </c>
      <c r="D4356" s="28">
        <f>IF(J4363&gt;=J4359,J4363,(D4355-J4362)/J4361)</f>
        <v>36.015562418094653</v>
      </c>
      <c r="G4356" s="99" t="s">
        <v>915</v>
      </c>
      <c r="H4356" s="91"/>
      <c r="I4356" s="91"/>
      <c r="J4356" s="28">
        <f>D4356*Inputs!$D$15</f>
        <v>25.135261011588256</v>
      </c>
      <c r="K4356" s="99" t="s">
        <v>916</v>
      </c>
      <c r="L4356" s="91"/>
      <c r="M4356" s="91"/>
    </row>
    <row r="4357" spans="2:13" ht="15" customHeight="1" x14ac:dyDescent="0.2">
      <c r="B4357" s="10" t="s">
        <v>917</v>
      </c>
      <c r="C4357" s="10" t="s">
        <v>104</v>
      </c>
      <c r="D4357" s="30">
        <f>Inputs!$D$94</f>
        <v>0.75</v>
      </c>
      <c r="G4357" s="99" t="s">
        <v>918</v>
      </c>
      <c r="H4357" s="91"/>
      <c r="I4357" s="91"/>
      <c r="J4357" s="28">
        <f>IF(-D4368/D4367&gt;=J4359,-D4368/D4367,-J4362/J4361)</f>
        <v>27.411702074287536</v>
      </c>
      <c r="K4357" s="99" t="s">
        <v>919</v>
      </c>
      <c r="L4357" s="91"/>
      <c r="M4357" s="91"/>
    </row>
    <row r="4358" spans="2:13" ht="15" customHeight="1" x14ac:dyDescent="0.2">
      <c r="B4358" s="10" t="s">
        <v>920</v>
      </c>
      <c r="C4358" s="10" t="s">
        <v>104</v>
      </c>
      <c r="D4358" s="30">
        <f>Inputs!$D$95</f>
        <v>0.13</v>
      </c>
      <c r="G4358" s="99" t="s">
        <v>918</v>
      </c>
      <c r="H4358" s="91"/>
      <c r="I4358" s="91"/>
      <c r="J4358" s="28">
        <f>J4357*Inputs!$D$15</f>
        <v>19.13062687764527</v>
      </c>
      <c r="K4358" s="99" t="s">
        <v>916</v>
      </c>
      <c r="L4358" s="91"/>
      <c r="M4358" s="91"/>
    </row>
    <row r="4359" spans="2:13" ht="15" customHeight="1" x14ac:dyDescent="0.2">
      <c r="B4359" s="3" t="s">
        <v>921</v>
      </c>
      <c r="C4359" s="10" t="s">
        <v>848</v>
      </c>
      <c r="D4359" s="28">
        <f>Capital!$D$13</f>
        <v>57.347931490590682</v>
      </c>
      <c r="G4359" s="99" t="s">
        <v>922</v>
      </c>
      <c r="H4359" s="91"/>
      <c r="I4359" s="91"/>
      <c r="J4359" s="28">
        <f>($D$4359/Inputs!$D$21+$D$4360/Inputs!$D$22)/$D$4357</f>
        <v>19.290461530476374</v>
      </c>
      <c r="K4359" s="99" t="s">
        <v>919</v>
      </c>
      <c r="L4359" s="91"/>
      <c r="M4359" s="91"/>
    </row>
    <row r="4360" spans="2:13" ht="15" customHeight="1" x14ac:dyDescent="0.2">
      <c r="B4360" s="3" t="s">
        <v>923</v>
      </c>
      <c r="C4360" s="10" t="s">
        <v>848</v>
      </c>
      <c r="D4360" s="28">
        <f>Capital!$D$14</f>
        <v>2.6172655041921802</v>
      </c>
    </row>
    <row r="4361" spans="2:13" ht="15" customHeight="1" x14ac:dyDescent="0.2">
      <c r="B4361" s="10" t="s">
        <v>924</v>
      </c>
      <c r="C4361" s="10" t="s">
        <v>896</v>
      </c>
      <c r="D4361" s="28">
        <f>(M4334*(Inputs!$D$7+Inputs!$D$20)*$D$4357*(Inputs!$D$7-Inputs!$D$19)-M4334*Inputs!$D$20*Inputs!$D$23)/($D$4358-Inputs!$D$20)/(Inputs!$D$7+$D$4358)^M4332</f>
        <v>2497.8446594223992</v>
      </c>
      <c r="G4361" s="92" t="s">
        <v>910</v>
      </c>
      <c r="H4361" s="91"/>
      <c r="I4361" s="91"/>
      <c r="J4361" s="28">
        <f>SUM(D4353:M4353)+(M4334*(Inputs!$D$7+Inputs!$D$20)*$D$4357-M4334*Inputs!$D$20*Inputs!$D$23)/($D$4358-Inputs!$D$20)/(Inputs!$D$7+$D$4358)^M4332</f>
        <v>8341.0050516109004</v>
      </c>
      <c r="K4361" s="99" t="s">
        <v>896</v>
      </c>
      <c r="L4361" s="91"/>
      <c r="M4361" s="91"/>
    </row>
    <row r="4362" spans="2:13" ht="15" customHeight="1" x14ac:dyDescent="0.2">
      <c r="B4362" s="10" t="s">
        <v>925</v>
      </c>
      <c r="C4362" s="10" t="s">
        <v>110</v>
      </c>
      <c r="D4362" s="16">
        <f>(D4365*Inputs!$D$19-D4365-D4366)/($D$4358-Inputs!$D$20)/(Inputs!$D$7+$D$4358)^M4332</f>
        <v>-55207.290798783099</v>
      </c>
      <c r="G4362" s="92" t="s">
        <v>926</v>
      </c>
      <c r="H4362" s="91"/>
      <c r="I4362" s="91"/>
      <c r="J4362" s="16">
        <f>SUM(D4354:M4354)-(D4365+D4366)/($D$4358-Inputs!$D$20)/(Inputs!$D$7+$D$4358)^M4332</f>
        <v>-208239.17898202292</v>
      </c>
      <c r="K4362" s="99" t="s">
        <v>110</v>
      </c>
      <c r="L4362" s="91"/>
      <c r="M4362" s="91"/>
    </row>
    <row r="4363" spans="2:13" ht="15" customHeight="1" x14ac:dyDescent="0.2">
      <c r="B4363" s="10" t="s">
        <v>927</v>
      </c>
      <c r="C4363" s="10" t="s">
        <v>928</v>
      </c>
      <c r="D4363" s="16">
        <f>(M4334*(Inputs!$D$7+Inputs!$D$20)*$D$4356*$D$4357-D4365)-MAX((M4334*(Inputs!$D$7+Inputs!$D$20)*$D$4356*$D$4357-D4365),Inputs!$D$6)*Inputs!$D$19-D4366-M4334*Inputs!$D$20*$D$4356*Inputs!$D$23</f>
        <v>11965.688422029925</v>
      </c>
      <c r="G4363" s="99" t="s">
        <v>929</v>
      </c>
      <c r="H4363" s="91"/>
      <c r="I4363" s="91"/>
      <c r="J4363" s="28">
        <f>(D4355-D4368)/D4367</f>
        <v>36.015562418094653</v>
      </c>
      <c r="K4363" s="99" t="s">
        <v>919</v>
      </c>
      <c r="L4363" s="91"/>
      <c r="M4363" s="91"/>
    </row>
    <row r="4364" spans="2:13" ht="15" customHeight="1" x14ac:dyDescent="0.2">
      <c r="B4364" s="10" t="s">
        <v>930</v>
      </c>
      <c r="C4364" s="10" t="s">
        <v>110</v>
      </c>
      <c r="D4364" s="16">
        <f>D4363/($D$4358-Inputs!$D$20)</f>
        <v>113958.93735266595</v>
      </c>
      <c r="G4364" s="99" t="s">
        <v>931</v>
      </c>
      <c r="H4364" s="91"/>
      <c r="I4364" s="91"/>
      <c r="J4364" s="16">
        <f>MIN(D4348:M4348,(M4334*(Inputs!$D$7+Inputs!$D$20)*$D$4356*$D$4357-D4365))</f>
        <v>1457.0258808268866</v>
      </c>
      <c r="K4364" s="99" t="s">
        <v>110</v>
      </c>
      <c r="L4364" s="91"/>
      <c r="M4364" s="91"/>
    </row>
    <row r="4365" spans="2:13" ht="15" customHeight="1" x14ac:dyDescent="0.2">
      <c r="B4365" s="10" t="s">
        <v>932</v>
      </c>
      <c r="C4365" s="10" t="s">
        <v>928</v>
      </c>
      <c r="D4365" s="16">
        <f>M4334*(Inputs!$D$7+Inputs!$D$20)*($D$4359/Inputs!$D$21+$D$4360/Inputs!$D$22)</f>
        <v>23727.267682485937</v>
      </c>
      <c r="G4365" s="99" t="s">
        <v>933</v>
      </c>
      <c r="H4365" s="91"/>
      <c r="I4365" s="91"/>
      <c r="J4365" s="31" t="str">
        <f>IF(J4364&lt;Inputs!$D$6,"breached","satisfied")</f>
        <v>satisfied</v>
      </c>
      <c r="K4365" s="99" t="s">
        <v>934</v>
      </c>
      <c r="L4365" s="91"/>
      <c r="M4365" s="91"/>
    </row>
    <row r="4366" spans="2:13" ht="15" customHeight="1" x14ac:dyDescent="0.2">
      <c r="B4366" s="10" t="s">
        <v>935</v>
      </c>
      <c r="C4366" s="10" t="s">
        <v>928</v>
      </c>
      <c r="D4366" s="16">
        <f>M4334*Inputs!$D$20*($D$4359+$D$4360)</f>
        <v>2398.6078797913146</v>
      </c>
    </row>
    <row r="4367" spans="2:13" ht="15" customHeight="1" x14ac:dyDescent="0.2">
      <c r="B4367" s="10" t="s">
        <v>936</v>
      </c>
      <c r="C4367" s="10" t="s">
        <v>896</v>
      </c>
      <c r="D4367" s="28">
        <f>SUM(D4344:M4344)+D4361</f>
        <v>5828.8314024250149</v>
      </c>
      <c r="G4367" s="99" t="s">
        <v>937</v>
      </c>
      <c r="H4367" s="91"/>
      <c r="I4367" s="91"/>
      <c r="J4367" s="16">
        <f>D4369-D4355</f>
        <v>0</v>
      </c>
      <c r="K4367" s="99" t="s">
        <v>110</v>
      </c>
      <c r="L4367" s="91"/>
      <c r="M4367" s="91"/>
    </row>
    <row r="4368" spans="2:13" ht="15" customHeight="1" x14ac:dyDescent="0.2">
      <c r="B4368" s="10" t="s">
        <v>938</v>
      </c>
      <c r="C4368" s="10" t="s">
        <v>110</v>
      </c>
      <c r="D4368" s="16">
        <f>SUM(D4345:M4345)+D4362</f>
        <v>-159778.18984452612</v>
      </c>
    </row>
    <row r="4369" spans="1:13" ht="15" customHeight="1" x14ac:dyDescent="0.2">
      <c r="B4369" s="10" t="s">
        <v>939</v>
      </c>
      <c r="C4369" s="10" t="s">
        <v>110</v>
      </c>
      <c r="D4369" s="16">
        <f>SUM(D4352:M4352)+D4364/(Inputs!$D$7+$D$4358)^M4332</f>
        <v>50150.45135406217</v>
      </c>
    </row>
    <row r="4370" spans="1:13" ht="15" customHeight="1" x14ac:dyDescent="0.2">
      <c r="B4370" s="10" t="s">
        <v>940</v>
      </c>
      <c r="C4370" s="10" t="s">
        <v>104</v>
      </c>
      <c r="D4370" s="30">
        <f>IF(ABS(D4355)&gt;Inputs!$D$6,D4369/D4355-Inputs!$D$7,Inputs!$D$6)</f>
        <v>-3.3306690738754696E-16</v>
      </c>
    </row>
    <row r="4371" spans="1:13" ht="15" customHeight="1" x14ac:dyDescent="0.2">
      <c r="B4371" s="10" t="s">
        <v>941</v>
      </c>
      <c r="C4371" s="10" t="s">
        <v>104</v>
      </c>
      <c r="D4371" s="30">
        <f>IF(ABS(D4369)&gt;Inputs!$D$119,D4364/(Inputs!$D$7+$D$4358)^M4332/D4369,Inputs!$D$6)</f>
        <v>0.69299454950037354</v>
      </c>
    </row>
    <row r="4372" spans="1:13" ht="15" customHeight="1" x14ac:dyDescent="0.2">
      <c r="B4372" s="10" t="s">
        <v>942</v>
      </c>
      <c r="C4372" s="10" t="s">
        <v>943</v>
      </c>
      <c r="D4372" s="26">
        <f>$D$4356*Inputs!$D$8/Prices!$P$6/(Inputs!$D$26/Inputs!$D$25)/Inputs!$D$11/Inputs!$D$56</f>
        <v>6.5495394238057552</v>
      </c>
    </row>
    <row r="4376" spans="1:13" ht="15" customHeight="1" x14ac:dyDescent="0.2">
      <c r="A4376" s="104" t="s">
        <v>1038</v>
      </c>
      <c r="B4376" s="10" t="s">
        <v>886</v>
      </c>
      <c r="C4376" s="10" t="s">
        <v>107</v>
      </c>
      <c r="D4376" s="28">
        <f>Inputs!$D$60</f>
        <v>1</v>
      </c>
      <c r="E4376" s="28">
        <f>Inputs!$D$62</f>
        <v>2</v>
      </c>
      <c r="F4376" s="28">
        <f>Inputs!$D$64</f>
        <v>3</v>
      </c>
      <c r="G4376" s="28">
        <f>Inputs!$D$66</f>
        <v>4</v>
      </c>
      <c r="H4376" s="28">
        <f>Inputs!$D$68</f>
        <v>5</v>
      </c>
      <c r="I4376" s="28">
        <f>Inputs!$D$70</f>
        <v>6</v>
      </c>
      <c r="J4376" s="28">
        <f>Inputs!$D$72</f>
        <v>7</v>
      </c>
      <c r="K4376" s="28">
        <f>Inputs!$D$74</f>
        <v>8</v>
      </c>
      <c r="L4376" s="28">
        <f>Inputs!$D$76</f>
        <v>9</v>
      </c>
      <c r="M4376" s="28">
        <f>Inputs!$D$78</f>
        <v>10</v>
      </c>
    </row>
    <row r="4377" spans="1:13" ht="15" customHeight="1" x14ac:dyDescent="0.2">
      <c r="A4377" s="91"/>
      <c r="B4377" s="10" t="s">
        <v>887</v>
      </c>
      <c r="C4377" s="10" t="s">
        <v>161</v>
      </c>
      <c r="D4377" s="29">
        <f>Inputs!$D$61</f>
        <v>46568</v>
      </c>
      <c r="E4377" s="29">
        <f>Inputs!$D$63</f>
        <v>46934</v>
      </c>
      <c r="F4377" s="29">
        <f>Inputs!$D$65</f>
        <v>47299</v>
      </c>
      <c r="G4377" s="29">
        <f>Inputs!$D$67</f>
        <v>47664</v>
      </c>
      <c r="H4377" s="29">
        <f>Inputs!$D$69</f>
        <v>48029</v>
      </c>
      <c r="I4377" s="29">
        <f>Inputs!$D$71</f>
        <v>48395</v>
      </c>
      <c r="J4377" s="29">
        <f>Inputs!$D$73</f>
        <v>48760</v>
      </c>
      <c r="K4377" s="29">
        <f>Inputs!$D$75</f>
        <v>49125</v>
      </c>
      <c r="L4377" s="29">
        <f>Inputs!$D$77</f>
        <v>49490</v>
      </c>
      <c r="M4377" s="29">
        <f>Inputs!$D$79</f>
        <v>49856</v>
      </c>
    </row>
    <row r="4378" spans="1:13" ht="15" customHeight="1" x14ac:dyDescent="0.2">
      <c r="A4378" s="91"/>
      <c r="B4378" s="10" t="s">
        <v>888</v>
      </c>
      <c r="C4378" s="10" t="s">
        <v>107</v>
      </c>
      <c r="D4378" s="28">
        <f>(D4377-Inputs!$D$13)/Inputs!$D$10</f>
        <v>0.71457905544147848</v>
      </c>
      <c r="E4378" s="28">
        <f>(E4377-Inputs!$D$13)/Inputs!$D$10</f>
        <v>1.7166324435318274</v>
      </c>
      <c r="F4378" s="28">
        <f>(F4377-Inputs!$D$13)/Inputs!$D$10</f>
        <v>2.7159479808350446</v>
      </c>
      <c r="G4378" s="28">
        <f>(G4377-Inputs!$D$13)/Inputs!$D$10</f>
        <v>3.7152635181382614</v>
      </c>
      <c r="H4378" s="28">
        <f>(H4377-Inputs!$D$13)/Inputs!$D$10</f>
        <v>4.7145790554414786</v>
      </c>
      <c r="I4378" s="28">
        <f>(I4377-Inputs!$D$13)/Inputs!$D$10</f>
        <v>5.7166324435318279</v>
      </c>
      <c r="J4378" s="28">
        <f>(J4377-Inputs!$D$13)/Inputs!$D$10</f>
        <v>6.7159479808350442</v>
      </c>
      <c r="K4378" s="28">
        <f>(K4377-Inputs!$D$13)/Inputs!$D$10</f>
        <v>7.7152635181382614</v>
      </c>
      <c r="L4378" s="28">
        <f>(L4377-Inputs!$D$13)/Inputs!$D$10</f>
        <v>8.7145790554414777</v>
      </c>
      <c r="M4378" s="28">
        <f>(M4377-Inputs!$D$13)/Inputs!$D$10</f>
        <v>9.716632443531827</v>
      </c>
    </row>
    <row r="4379" spans="1:13" ht="15" customHeight="1" x14ac:dyDescent="0.2">
      <c r="A4379" s="91"/>
      <c r="B4379" s="10" t="s">
        <v>889</v>
      </c>
      <c r="C4379" s="10" t="s">
        <v>107</v>
      </c>
      <c r="D4379" s="28">
        <f>D4378</f>
        <v>0.71457905544147848</v>
      </c>
      <c r="E4379" s="28">
        <f>Inputs!$D$7</f>
        <v>1</v>
      </c>
      <c r="F4379" s="28">
        <f>Inputs!$D$7</f>
        <v>1</v>
      </c>
      <c r="G4379" s="28">
        <f>Inputs!$D$7</f>
        <v>1</v>
      </c>
      <c r="H4379" s="28">
        <f>Inputs!$D$7</f>
        <v>1</v>
      </c>
      <c r="I4379" s="28">
        <f>Inputs!$D$7</f>
        <v>1</v>
      </c>
      <c r="J4379" s="28">
        <f>Inputs!$D$7</f>
        <v>1</v>
      </c>
      <c r="K4379" s="28">
        <f>Inputs!$D$7</f>
        <v>1</v>
      </c>
      <c r="L4379" s="28">
        <f>Inputs!$D$7</f>
        <v>1</v>
      </c>
      <c r="M4379" s="28">
        <f>Inputs!$D$7</f>
        <v>1</v>
      </c>
    </row>
    <row r="4380" spans="1:13" ht="15" customHeight="1" x14ac:dyDescent="0.2">
      <c r="A4380" s="91"/>
      <c r="B4380" s="3" t="s">
        <v>890</v>
      </c>
      <c r="C4380" s="10" t="s">
        <v>199</v>
      </c>
      <c r="D4380" s="28">
        <f>Inputs!$D$24+(Inputs!$D$106-Inputs!$D$24)*Inputs!$D$109</f>
        <v>170.32</v>
      </c>
      <c r="E4380" s="28">
        <f>Inputs!$D$24+(Inputs!$D$106-Inputs!$D$24)*Inputs!$D$110</f>
        <v>481.12000000000006</v>
      </c>
      <c r="F4380" s="28">
        <f>Inputs!$D$24+(Inputs!$D$106-Inputs!$D$24)*Inputs!$D$111</f>
        <v>823</v>
      </c>
      <c r="G4380" s="28">
        <f>Inputs!$D$24+(Inputs!$D$106-Inputs!$D$24)*Inputs!$D$112</f>
        <v>1211.5</v>
      </c>
      <c r="H4380" s="28">
        <f>Inputs!$D$24+(Inputs!$D$106-Inputs!$D$24)*Inputs!$D$113</f>
        <v>1600</v>
      </c>
      <c r="I4380" s="28">
        <f>Inputs!$D$24+(Inputs!$D$106-Inputs!$D$24)*Inputs!$D$114</f>
        <v>1600</v>
      </c>
      <c r="J4380" s="28">
        <f>Inputs!$D$24+(Inputs!$D$106-Inputs!$D$24)*Inputs!$D$115</f>
        <v>1600</v>
      </c>
      <c r="K4380" s="28">
        <f>Inputs!$D$24+(Inputs!$D$106-Inputs!$D$24)*Inputs!$D$116</f>
        <v>1600</v>
      </c>
      <c r="L4380" s="28">
        <f>Inputs!$D$24+(Inputs!$D$106-Inputs!$D$24)*Inputs!$D$117</f>
        <v>1600</v>
      </c>
      <c r="M4380" s="28">
        <f>Inputs!$D$24+(Inputs!$D$106-Inputs!$D$24)*Inputs!$D$118</f>
        <v>1600</v>
      </c>
    </row>
    <row r="4381" spans="1:13" ht="15" customHeight="1" x14ac:dyDescent="0.2">
      <c r="A4381" s="91"/>
      <c r="B4381" s="10" t="s">
        <v>891</v>
      </c>
      <c r="C4381" s="10" t="s">
        <v>199</v>
      </c>
      <c r="D4381" s="28">
        <f>Inputs!$D$24</f>
        <v>46</v>
      </c>
      <c r="E4381" s="28">
        <f t="shared" ref="E4381:M4381" si="950">D4380</f>
        <v>170.32</v>
      </c>
      <c r="F4381" s="28">
        <f t="shared" si="950"/>
        <v>481.12000000000006</v>
      </c>
      <c r="G4381" s="28">
        <f t="shared" si="950"/>
        <v>823</v>
      </c>
      <c r="H4381" s="28">
        <f t="shared" si="950"/>
        <v>1211.5</v>
      </c>
      <c r="I4381" s="28">
        <f t="shared" si="950"/>
        <v>1600</v>
      </c>
      <c r="J4381" s="28">
        <f t="shared" si="950"/>
        <v>1600</v>
      </c>
      <c r="K4381" s="28">
        <f t="shared" si="950"/>
        <v>1600</v>
      </c>
      <c r="L4381" s="28">
        <f t="shared" si="950"/>
        <v>1600</v>
      </c>
      <c r="M4381" s="28">
        <f t="shared" si="950"/>
        <v>1600</v>
      </c>
    </row>
    <row r="4382" spans="1:13" ht="15" customHeight="1" x14ac:dyDescent="0.2">
      <c r="B4382" s="10" t="s">
        <v>892</v>
      </c>
      <c r="C4382" s="10" t="s">
        <v>199</v>
      </c>
      <c r="D4382" s="28">
        <f>(D4381+D4380)*Inputs!$D$12</f>
        <v>108.16</v>
      </c>
      <c r="E4382" s="28">
        <f>(E4381+E4380)*Inputs!$D$12</f>
        <v>325.72000000000003</v>
      </c>
      <c r="F4382" s="28">
        <f>(F4381+F4380)*Inputs!$D$12</f>
        <v>652.06000000000006</v>
      </c>
      <c r="G4382" s="28">
        <f>(G4381+G4380)*Inputs!$D$12</f>
        <v>1017.25</v>
      </c>
      <c r="H4382" s="28">
        <f>(H4381+H4380)*Inputs!$D$12</f>
        <v>1405.75</v>
      </c>
      <c r="I4382" s="28">
        <f>(I4381+I4380)*Inputs!$D$12</f>
        <v>1600</v>
      </c>
      <c r="J4382" s="28">
        <f>(J4381+J4380)*Inputs!$D$12</f>
        <v>1600</v>
      </c>
      <c r="K4382" s="28">
        <f>(K4381+K4380)*Inputs!$D$12</f>
        <v>1600</v>
      </c>
      <c r="L4382" s="28">
        <f>(L4381+L4380)*Inputs!$D$12</f>
        <v>1600</v>
      </c>
      <c r="M4382" s="28">
        <f>(M4381+M4380)*Inputs!$D$12</f>
        <v>1600</v>
      </c>
    </row>
    <row r="4383" spans="1:13" ht="15" customHeight="1" x14ac:dyDescent="0.2">
      <c r="B4383" s="10" t="s">
        <v>893</v>
      </c>
      <c r="C4383" s="10" t="s">
        <v>199</v>
      </c>
      <c r="D4383" s="28">
        <f t="shared" ref="D4383:M4383" si="951">D4380-D4381</f>
        <v>124.32</v>
      </c>
      <c r="E4383" s="28">
        <f t="shared" si="951"/>
        <v>310.80000000000007</v>
      </c>
      <c r="F4383" s="28">
        <f t="shared" si="951"/>
        <v>341.87999999999994</v>
      </c>
      <c r="G4383" s="28">
        <f t="shared" si="951"/>
        <v>388.5</v>
      </c>
      <c r="H4383" s="28">
        <f t="shared" si="951"/>
        <v>388.5</v>
      </c>
      <c r="I4383" s="28">
        <f t="shared" si="951"/>
        <v>0</v>
      </c>
      <c r="J4383" s="28">
        <f t="shared" si="951"/>
        <v>0</v>
      </c>
      <c r="K4383" s="28">
        <f t="shared" si="951"/>
        <v>0</v>
      </c>
      <c r="L4383" s="28">
        <f t="shared" si="951"/>
        <v>0</v>
      </c>
      <c r="M4383" s="28">
        <f t="shared" si="951"/>
        <v>0</v>
      </c>
    </row>
    <row r="4384" spans="1:13" ht="15" customHeight="1" x14ac:dyDescent="0.2">
      <c r="B4384" s="10" t="s">
        <v>894</v>
      </c>
      <c r="C4384" s="10" t="s">
        <v>199</v>
      </c>
      <c r="D4384" s="28">
        <f>IF(MOD(D4376,Inputs!$D$21)=Inputs!$D$6,Inputs!$D$24,Inputs!$D$6)+SUMPRODUCT(--(D4376&gt;$D$4376:$M$4376),--(MOD(D4376-$D$4376:$M$4376,Inputs!$D$21)=Inputs!$D$6),$D$4383:$M$4383)</f>
        <v>0</v>
      </c>
      <c r="E4384" s="28">
        <f>IF(MOD(E4376,Inputs!$D$21)=Inputs!$D$6,Inputs!$D$24,Inputs!$D$6)+SUMPRODUCT(--(E4376&gt;$D$4376:$M$4376),--(MOD(E4376-$D$4376:$M$4376,Inputs!$D$21)=Inputs!$D$6),$D$4383:$M$4383)</f>
        <v>0</v>
      </c>
      <c r="F4384" s="28">
        <f>IF(MOD(F4376,Inputs!$D$21)=Inputs!$D$6,Inputs!$D$24,Inputs!$D$6)+SUMPRODUCT(--(F4376&gt;$D$4376:$M$4376),--(MOD(F4376-$D$4376:$M$4376,Inputs!$D$21)=Inputs!$D$6),$D$4383:$M$4383)</f>
        <v>0</v>
      </c>
      <c r="G4384" s="28">
        <f>IF(MOD(G4376,Inputs!$D$21)=Inputs!$D$6,Inputs!$D$24,Inputs!$D$6)+SUMPRODUCT(--(G4376&gt;$D$4376:$M$4376),--(MOD(G4376-$D$4376:$M$4376,Inputs!$D$21)=Inputs!$D$6),$D$4383:$M$4383)</f>
        <v>46</v>
      </c>
      <c r="H4384" s="28">
        <f>IF(MOD(H4376,Inputs!$D$21)=Inputs!$D$6,Inputs!$D$24,Inputs!$D$6)+SUMPRODUCT(--(H4376&gt;$D$4376:$M$4376),--(MOD(H4376-$D$4376:$M$4376,Inputs!$D$21)=Inputs!$D$6),$D$4383:$M$4383)</f>
        <v>124.32</v>
      </c>
      <c r="I4384" s="28">
        <f>IF(MOD(I4376,Inputs!$D$21)=Inputs!$D$6,Inputs!$D$24,Inputs!$D$6)+SUMPRODUCT(--(I4376&gt;$D$4376:$M$4376),--(MOD(I4376-$D$4376:$M$4376,Inputs!$D$21)=Inputs!$D$6),$D$4383:$M$4383)</f>
        <v>310.80000000000007</v>
      </c>
      <c r="J4384" s="28">
        <f>IF(MOD(J4376,Inputs!$D$21)=Inputs!$D$6,Inputs!$D$24,Inputs!$D$6)+SUMPRODUCT(--(J4376&gt;$D$4376:$M$4376),--(MOD(J4376-$D$4376:$M$4376,Inputs!$D$21)=Inputs!$D$6),$D$4383:$M$4383)</f>
        <v>341.87999999999994</v>
      </c>
      <c r="K4384" s="28">
        <f>IF(MOD(K4376,Inputs!$D$21)=Inputs!$D$6,Inputs!$D$24,Inputs!$D$6)+SUMPRODUCT(--(K4376&gt;$D$4376:$M$4376),--(MOD(K4376-$D$4376:$M$4376,Inputs!$D$21)=Inputs!$D$6),$D$4383:$M$4383)</f>
        <v>434.5</v>
      </c>
      <c r="L4384" s="28">
        <f>IF(MOD(L4376,Inputs!$D$21)=Inputs!$D$6,Inputs!$D$24,Inputs!$D$6)+SUMPRODUCT(--(L4376&gt;$D$4376:$M$4376),--(MOD(L4376-$D$4376:$M$4376,Inputs!$D$21)=Inputs!$D$6),$D$4383:$M$4383)</f>
        <v>512.81999999999994</v>
      </c>
      <c r="M4384" s="28">
        <f>IF(MOD(M4376,Inputs!$D$21)=Inputs!$D$6,Inputs!$D$24,Inputs!$D$6)+SUMPRODUCT(--(M4376&gt;$D$4376:$M$4376),--(MOD(M4376-$D$4376:$M$4376,Inputs!$D$21)=Inputs!$D$6),$D$4383:$M$4383)</f>
        <v>310.80000000000007</v>
      </c>
    </row>
    <row r="4385" spans="2:13" ht="15" customHeight="1" x14ac:dyDescent="0.2">
      <c r="B4385" s="10" t="s">
        <v>895</v>
      </c>
      <c r="C4385" s="10" t="s">
        <v>896</v>
      </c>
      <c r="D4385" s="28">
        <f t="shared" ref="D4385:M4385" si="952">D4382*D4379</f>
        <v>77.288870636550314</v>
      </c>
      <c r="E4385" s="28">
        <f t="shared" si="952"/>
        <v>325.72000000000003</v>
      </c>
      <c r="F4385" s="28">
        <f t="shared" si="952"/>
        <v>652.06000000000006</v>
      </c>
      <c r="G4385" s="28">
        <f t="shared" si="952"/>
        <v>1017.25</v>
      </c>
      <c r="H4385" s="28">
        <f t="shared" si="952"/>
        <v>1405.75</v>
      </c>
      <c r="I4385" s="28">
        <f t="shared" si="952"/>
        <v>1600</v>
      </c>
      <c r="J4385" s="28">
        <f t="shared" si="952"/>
        <v>1600</v>
      </c>
      <c r="K4385" s="28">
        <f t="shared" si="952"/>
        <v>1600</v>
      </c>
      <c r="L4385" s="28">
        <f t="shared" si="952"/>
        <v>1600</v>
      </c>
      <c r="M4385" s="28">
        <f t="shared" si="952"/>
        <v>1600</v>
      </c>
    </row>
    <row r="4386" spans="2:13" ht="15" customHeight="1" x14ac:dyDescent="0.2">
      <c r="B4386" s="10" t="s">
        <v>897</v>
      </c>
      <c r="C4386" s="10" t="s">
        <v>110</v>
      </c>
      <c r="D4386" s="16">
        <f>D4385*($D$4405/Inputs!$D$21+$D$4406/Inputs!$D$22)</f>
        <v>1118.2034893112541</v>
      </c>
      <c r="E4386" s="16">
        <f>E4385*($D$4405/Inputs!$D$21+$D$4406/Inputs!$D$22)</f>
        <v>4712.466847280074</v>
      </c>
      <c r="F4386" s="16">
        <f>F4385*($D$4405/Inputs!$D$21+$D$4406/Inputs!$D$22)</f>
        <v>9433.9037591718188</v>
      </c>
      <c r="G4386" s="16">
        <f>G4385*($D$4405/Inputs!$D$21+$D$4406/Inputs!$D$22)</f>
        <v>14717.416493907818</v>
      </c>
      <c r="H4386" s="16">
        <f>H4385*($D$4405/Inputs!$D$21+$D$4406/Inputs!$D$22)</f>
        <v>20338.17472235037</v>
      </c>
      <c r="I4386" s="16">
        <f>I4385*($D$4405/Inputs!$D$21+$D$4406/Inputs!$D$22)</f>
        <v>23148.553836571649</v>
      </c>
      <c r="J4386" s="16">
        <f>J4385*($D$4405/Inputs!$D$21+$D$4406/Inputs!$D$22)</f>
        <v>23148.553836571649</v>
      </c>
      <c r="K4386" s="16">
        <f>K4385*($D$4405/Inputs!$D$21+$D$4406/Inputs!$D$22)</f>
        <v>23148.553836571649</v>
      </c>
      <c r="L4386" s="16">
        <f>L4385*($D$4405/Inputs!$D$21+$D$4406/Inputs!$D$22)</f>
        <v>23148.553836571649</v>
      </c>
      <c r="M4386" s="16">
        <f>M4385*($D$4405/Inputs!$D$21+$D$4406/Inputs!$D$22)</f>
        <v>23148.553836571649</v>
      </c>
    </row>
    <row r="4387" spans="2:13" ht="15" customHeight="1" x14ac:dyDescent="0.2">
      <c r="B4387" s="10" t="s">
        <v>898</v>
      </c>
      <c r="C4387" s="10" t="s">
        <v>110</v>
      </c>
      <c r="D4387" s="16">
        <f t="shared" ref="D4387:M4387" si="953">D4383*($D$4405+$D$4406)</f>
        <v>7454.8732903914051</v>
      </c>
      <c r="E4387" s="16">
        <f t="shared" si="953"/>
        <v>18637.183225978519</v>
      </c>
      <c r="F4387" s="16">
        <f t="shared" si="953"/>
        <v>20500.901548576363</v>
      </c>
      <c r="G4387" s="16">
        <f t="shared" si="953"/>
        <v>23296.479032473144</v>
      </c>
      <c r="H4387" s="16">
        <f t="shared" si="953"/>
        <v>23296.479032473144</v>
      </c>
      <c r="I4387" s="16">
        <f t="shared" si="953"/>
        <v>0</v>
      </c>
      <c r="J4387" s="16">
        <f t="shared" si="953"/>
        <v>0</v>
      </c>
      <c r="K4387" s="16">
        <f t="shared" si="953"/>
        <v>0</v>
      </c>
      <c r="L4387" s="16">
        <f t="shared" si="953"/>
        <v>0</v>
      </c>
      <c r="M4387" s="16">
        <f t="shared" si="953"/>
        <v>0</v>
      </c>
    </row>
    <row r="4388" spans="2:13" ht="15" customHeight="1" x14ac:dyDescent="0.2">
      <c r="B4388" s="10" t="s">
        <v>899</v>
      </c>
      <c r="C4388" s="10" t="s">
        <v>110</v>
      </c>
      <c r="D4388" s="16">
        <f t="shared" ref="D4388:M4388" si="954">D4384*$D$4405</f>
        <v>0</v>
      </c>
      <c r="E4388" s="16">
        <f t="shared" si="954"/>
        <v>0</v>
      </c>
      <c r="F4388" s="16">
        <f t="shared" si="954"/>
        <v>0</v>
      </c>
      <c r="G4388" s="16">
        <f t="shared" si="954"/>
        <v>2638.0048485671714</v>
      </c>
      <c r="H4388" s="16">
        <f t="shared" si="954"/>
        <v>7129.4948429102333</v>
      </c>
      <c r="I4388" s="16">
        <f t="shared" si="954"/>
        <v>17823.737107275589</v>
      </c>
      <c r="J4388" s="16">
        <f t="shared" si="954"/>
        <v>19606.110818003141</v>
      </c>
      <c r="K4388" s="16">
        <f t="shared" si="954"/>
        <v>24917.676232661652</v>
      </c>
      <c r="L4388" s="16">
        <f t="shared" si="954"/>
        <v>29409.166227004709</v>
      </c>
      <c r="M4388" s="16">
        <f t="shared" si="954"/>
        <v>17823.737107275589</v>
      </c>
    </row>
    <row r="4389" spans="2:13" ht="15" customHeight="1" x14ac:dyDescent="0.2">
      <c r="B4389" s="10" t="s">
        <v>900</v>
      </c>
      <c r="C4389" s="10" t="s">
        <v>199</v>
      </c>
      <c r="D4389" s="28">
        <f>D4383*Inputs!$D$23</f>
        <v>3.1080000000000001</v>
      </c>
      <c r="E4389" s="28">
        <f>E4383*Inputs!$D$23</f>
        <v>7.7700000000000022</v>
      </c>
      <c r="F4389" s="28">
        <f>F4383*Inputs!$D$23</f>
        <v>8.5469999999999988</v>
      </c>
      <c r="G4389" s="28">
        <f>G4383*Inputs!$D$23</f>
        <v>9.7125000000000004</v>
      </c>
      <c r="H4389" s="28">
        <f>H4383*Inputs!$D$23</f>
        <v>9.7125000000000004</v>
      </c>
      <c r="I4389" s="28">
        <f>I4383*Inputs!$D$23</f>
        <v>0</v>
      </c>
      <c r="J4389" s="28">
        <f>J4383*Inputs!$D$23</f>
        <v>0</v>
      </c>
      <c r="K4389" s="28">
        <f>K4383*Inputs!$D$23</f>
        <v>0</v>
      </c>
      <c r="L4389" s="28">
        <f>L4383*Inputs!$D$23</f>
        <v>0</v>
      </c>
      <c r="M4389" s="28">
        <f>M4383*Inputs!$D$23</f>
        <v>0</v>
      </c>
    </row>
    <row r="4390" spans="2:13" ht="15" customHeight="1" x14ac:dyDescent="0.2">
      <c r="B4390" s="3" t="s">
        <v>901</v>
      </c>
      <c r="C4390" s="10" t="s">
        <v>896</v>
      </c>
      <c r="D4390" s="28">
        <f>(D4385*$D$4403*(Inputs!$D$7-Inputs!$D$19)-D4389)/(Inputs!$D$7+$D$4404)^D4378</f>
        <v>40.99699201112098</v>
      </c>
      <c r="E4390" s="28">
        <f>(E4385*$D$4403*(Inputs!$D$7-Inputs!$D$19)-E4389)/(Inputs!$D$7+$D$4404)^E4378</f>
        <v>153.02781912726542</v>
      </c>
      <c r="F4390" s="28">
        <f>(F4385*$D$4403*(Inputs!$D$7-Inputs!$D$19)-F4389)/(Inputs!$D$7+$D$4404)^F4378</f>
        <v>268.8019226843403</v>
      </c>
      <c r="G4390" s="28">
        <f>(G4385*$D$4403*(Inputs!$D$7-Inputs!$D$19)-G4389)/(Inputs!$D$7+$D$4404)^G4378</f>
        <v>363.62824610263397</v>
      </c>
      <c r="H4390" s="28">
        <f>(H4385*$D$4403*(Inputs!$D$7-Inputs!$D$19)-H4389)/(Inputs!$D$7+$D$4404)^H4378</f>
        <v>435.07807528321291</v>
      </c>
      <c r="I4390" s="28">
        <f>(I4385*$D$4403*(Inputs!$D$7-Inputs!$D$19)-I4389)/(Inputs!$D$7+$D$4404)^I4378</f>
        <v>431.49711827119876</v>
      </c>
      <c r="J4390" s="28">
        <f>(J4385*$D$4403*(Inputs!$D$7-Inputs!$D$19)-J4389)/(Inputs!$D$7+$D$4404)^J4378</f>
        <v>372.01806500733016</v>
      </c>
      <c r="K4390" s="28">
        <f>(K4385*$D$4403*(Inputs!$D$7-Inputs!$D$19)-K4389)/(Inputs!$D$7+$D$4404)^K4378</f>
        <v>320.73780989845312</v>
      </c>
      <c r="L4390" s="28">
        <f>(L4385*$D$4403*(Inputs!$D$7-Inputs!$D$19)-L4389)/(Inputs!$D$7+$D$4404)^L4378</f>
        <v>276.52620228651875</v>
      </c>
      <c r="M4390" s="28">
        <f>(M4385*$D$4403*(Inputs!$D$7-Inputs!$D$19)-M4389)/(Inputs!$D$7+$D$4404)^M4378</f>
        <v>238.31201718226143</v>
      </c>
    </row>
    <row r="4391" spans="2:13" ht="15" customHeight="1" x14ac:dyDescent="0.2">
      <c r="B4391" s="10" t="s">
        <v>902</v>
      </c>
      <c r="C4391" s="10" t="s">
        <v>110</v>
      </c>
      <c r="D4391" s="16">
        <f>(D4386*Inputs!$D$19-D4387-D4388)/(Inputs!$D$7+$D$4404)^D4378</f>
        <v>-6403.0045740313244</v>
      </c>
      <c r="E4391" s="16">
        <f>(E4386*Inputs!$D$19-E4387-E4388)/(Inputs!$D$7+$D$4404)^E4378</f>
        <v>-13349.632212764713</v>
      </c>
      <c r="F4391" s="16">
        <f>(F4386*Inputs!$D$19-F4387-F4388)/(Inputs!$D$7+$D$4404)^F4378</f>
        <v>-11808.370082432088</v>
      </c>
      <c r="G4391" s="16">
        <f>(G4386*Inputs!$D$19-G4387-G4388)/(Inputs!$D$7+$D$4404)^G4378</f>
        <v>-12397.921878440668</v>
      </c>
      <c r="H4391" s="16">
        <f>(H4386*Inputs!$D$19-H4387-H4388)/(Inputs!$D$7+$D$4404)^H4378</f>
        <v>-12082.366885213038</v>
      </c>
      <c r="I4391" s="16">
        <f>(I4386*Inputs!$D$19-I4387-I4388)/(Inputs!$D$7+$D$4404)^I4378</f>
        <v>-4657.0743222469628</v>
      </c>
      <c r="J4391" s="16">
        <f>(J4386*Inputs!$D$19-J4387-J4388)/(Inputs!$D$7+$D$4404)^J4378</f>
        <v>-4672.9398284057479</v>
      </c>
      <c r="K4391" s="16">
        <f>(K4386*Inputs!$D$19-K4387-K4388)/(Inputs!$D$7+$D$4404)^K4378</f>
        <v>-5718.9047268503064</v>
      </c>
      <c r="L4391" s="16">
        <f>(L4386*Inputs!$D$19-L4387-L4388)/(Inputs!$D$7+$D$4404)^L4378</f>
        <v>-6162.7485564592316</v>
      </c>
      <c r="M4391" s="16">
        <f>(M4386*Inputs!$D$19-M4387-M4388)/(Inputs!$D$7+$D$4404)^M4378</f>
        <v>-2572.0606903447429</v>
      </c>
    </row>
    <row r="4392" spans="2:13" ht="15" customHeight="1" x14ac:dyDescent="0.2">
      <c r="B4392" s="10" t="s">
        <v>903</v>
      </c>
      <c r="C4392" s="10" t="s">
        <v>110</v>
      </c>
      <c r="D4392" s="16">
        <f t="shared" ref="D4392:M4392" si="955">D4385*$D$4402</f>
        <v>2680.0472841261294</v>
      </c>
      <c r="E4392" s="16">
        <f t="shared" si="955"/>
        <v>11294.575715701332</v>
      </c>
      <c r="F4392" s="16">
        <f t="shared" si="955"/>
        <v>22610.650378178223</v>
      </c>
      <c r="G4392" s="16">
        <f t="shared" si="955"/>
        <v>35273.87678618807</v>
      </c>
      <c r="H4392" s="16">
        <f t="shared" si="955"/>
        <v>48745.394241517701</v>
      </c>
      <c r="I4392" s="16">
        <f t="shared" si="955"/>
        <v>55481.15296918252</v>
      </c>
      <c r="J4392" s="16">
        <f t="shared" si="955"/>
        <v>55481.15296918252</v>
      </c>
      <c r="K4392" s="16">
        <f t="shared" si="955"/>
        <v>55481.15296918252</v>
      </c>
      <c r="L4392" s="16">
        <f t="shared" si="955"/>
        <v>55481.15296918252</v>
      </c>
      <c r="M4392" s="16">
        <f t="shared" si="955"/>
        <v>55481.15296918252</v>
      </c>
    </row>
    <row r="4393" spans="2:13" ht="15" customHeight="1" x14ac:dyDescent="0.2">
      <c r="B4393" s="10" t="s">
        <v>904</v>
      </c>
      <c r="C4393" s="10" t="s">
        <v>110</v>
      </c>
      <c r="D4393" s="16">
        <f t="shared" ref="D4393:M4393" si="956">D4392*$D$4403</f>
        <v>2412.0425557135163</v>
      </c>
      <c r="E4393" s="16">
        <f t="shared" si="956"/>
        <v>10165.1181441312</v>
      </c>
      <c r="F4393" s="16">
        <f t="shared" si="956"/>
        <v>20349.585340360401</v>
      </c>
      <c r="G4393" s="16">
        <f t="shared" si="956"/>
        <v>31746.489107569265</v>
      </c>
      <c r="H4393" s="16">
        <f t="shared" si="956"/>
        <v>43870.854817365929</v>
      </c>
      <c r="I4393" s="16">
        <f t="shared" si="956"/>
        <v>49933.037672264269</v>
      </c>
      <c r="J4393" s="16">
        <f t="shared" si="956"/>
        <v>49933.037672264269</v>
      </c>
      <c r="K4393" s="16">
        <f t="shared" si="956"/>
        <v>49933.037672264269</v>
      </c>
      <c r="L4393" s="16">
        <f t="shared" si="956"/>
        <v>49933.037672264269</v>
      </c>
      <c r="M4393" s="16">
        <f t="shared" si="956"/>
        <v>49933.037672264269</v>
      </c>
    </row>
    <row r="4394" spans="2:13" ht="15" customHeight="1" x14ac:dyDescent="0.2">
      <c r="B4394" s="10" t="s">
        <v>905</v>
      </c>
      <c r="C4394" s="10" t="s">
        <v>110</v>
      </c>
      <c r="D4394" s="16">
        <f t="shared" ref="D4394:M4394" si="957">D4393-D4386</f>
        <v>1293.8390664022622</v>
      </c>
      <c r="E4394" s="16">
        <f t="shared" si="957"/>
        <v>5452.6512968511261</v>
      </c>
      <c r="F4394" s="16">
        <f t="shared" si="957"/>
        <v>10915.681581188583</v>
      </c>
      <c r="G4394" s="16">
        <f t="shared" si="957"/>
        <v>17029.072613661447</v>
      </c>
      <c r="H4394" s="16">
        <f t="shared" si="957"/>
        <v>23532.680095015559</v>
      </c>
      <c r="I4394" s="16">
        <f t="shared" si="957"/>
        <v>26784.483835692619</v>
      </c>
      <c r="J4394" s="16">
        <f t="shared" si="957"/>
        <v>26784.483835692619</v>
      </c>
      <c r="K4394" s="16">
        <f t="shared" si="957"/>
        <v>26784.483835692619</v>
      </c>
      <c r="L4394" s="16">
        <f t="shared" si="957"/>
        <v>26784.483835692619</v>
      </c>
      <c r="M4394" s="16">
        <f t="shared" si="957"/>
        <v>26784.483835692619</v>
      </c>
    </row>
    <row r="4395" spans="2:13" ht="15" customHeight="1" x14ac:dyDescent="0.2">
      <c r="B4395" s="10" t="s">
        <v>906</v>
      </c>
      <c r="C4395" s="10" t="s">
        <v>110</v>
      </c>
      <c r="D4395" s="16">
        <f>MAX(D4394,Inputs!$D$6)*Inputs!$D$19</f>
        <v>388.15171992067866</v>
      </c>
      <c r="E4395" s="16">
        <f>MAX(E4394,Inputs!$D$6)*Inputs!$D$19</f>
        <v>1635.7953890553379</v>
      </c>
      <c r="F4395" s="16">
        <f>MAX(F4394,Inputs!$D$6)*Inputs!$D$19</f>
        <v>3274.7044743565748</v>
      </c>
      <c r="G4395" s="16">
        <f>MAX(G4394,Inputs!$D$6)*Inputs!$D$19</f>
        <v>5108.721784098434</v>
      </c>
      <c r="H4395" s="16">
        <f>MAX(H4394,Inputs!$D$6)*Inputs!$D$19</f>
        <v>7059.8040285046673</v>
      </c>
      <c r="I4395" s="16">
        <f>MAX(I4394,Inputs!$D$6)*Inputs!$D$19</f>
        <v>8035.3451507077853</v>
      </c>
      <c r="J4395" s="16">
        <f>MAX(J4394,Inputs!$D$6)*Inputs!$D$19</f>
        <v>8035.3451507077853</v>
      </c>
      <c r="K4395" s="16">
        <f>MAX(K4394,Inputs!$D$6)*Inputs!$D$19</f>
        <v>8035.3451507077853</v>
      </c>
      <c r="L4395" s="16">
        <f>MAX(L4394,Inputs!$D$6)*Inputs!$D$19</f>
        <v>8035.3451507077853</v>
      </c>
      <c r="M4395" s="16">
        <f>MAX(M4394,Inputs!$D$6)*Inputs!$D$19</f>
        <v>8035.3451507077853</v>
      </c>
    </row>
    <row r="4396" spans="2:13" ht="15" customHeight="1" x14ac:dyDescent="0.2">
      <c r="B4396" s="10" t="s">
        <v>907</v>
      </c>
      <c r="C4396" s="10" t="s">
        <v>110</v>
      </c>
      <c r="D4396" s="16">
        <f t="shared" ref="D4396:M4396" si="958">D4389*$D$4402</f>
        <v>107.77213964263704</v>
      </c>
      <c r="E4396" s="16">
        <f t="shared" si="958"/>
        <v>269.4303491065927</v>
      </c>
      <c r="F4396" s="16">
        <f t="shared" si="958"/>
        <v>296.37338401725179</v>
      </c>
      <c r="G4396" s="16">
        <f t="shared" si="958"/>
        <v>336.78793638324078</v>
      </c>
      <c r="H4396" s="16">
        <f t="shared" si="958"/>
        <v>336.78793638324078</v>
      </c>
      <c r="I4396" s="16">
        <f t="shared" si="958"/>
        <v>0</v>
      </c>
      <c r="J4396" s="16">
        <f t="shared" si="958"/>
        <v>0</v>
      </c>
      <c r="K4396" s="16">
        <f t="shared" si="958"/>
        <v>0</v>
      </c>
      <c r="L4396" s="16">
        <f t="shared" si="958"/>
        <v>0</v>
      </c>
      <c r="M4396" s="16">
        <f t="shared" si="958"/>
        <v>0</v>
      </c>
    </row>
    <row r="4397" spans="2:13" ht="15" customHeight="1" x14ac:dyDescent="0.2">
      <c r="B4397" s="10" t="s">
        <v>908</v>
      </c>
      <c r="C4397" s="10" t="s">
        <v>110</v>
      </c>
      <c r="D4397" s="16">
        <f t="shared" ref="D4397:M4397" si="959">D4393-D4395-D4387-D4388-D4396</f>
        <v>-5538.7545942412044</v>
      </c>
      <c r="E4397" s="16">
        <f t="shared" si="959"/>
        <v>-10377.29082000925</v>
      </c>
      <c r="F4397" s="16">
        <f t="shared" si="959"/>
        <v>-3722.3940665897881</v>
      </c>
      <c r="G4397" s="16">
        <f t="shared" si="959"/>
        <v>366.49550604727483</v>
      </c>
      <c r="H4397" s="16">
        <f t="shared" si="959"/>
        <v>6048.2889770946449</v>
      </c>
      <c r="I4397" s="16">
        <f t="shared" si="959"/>
        <v>24073.955414280896</v>
      </c>
      <c r="J4397" s="16">
        <f t="shared" si="959"/>
        <v>22291.581703553344</v>
      </c>
      <c r="K4397" s="16">
        <f t="shared" si="959"/>
        <v>16980.016288894833</v>
      </c>
      <c r="L4397" s="16">
        <f t="shared" si="959"/>
        <v>12488.526294551775</v>
      </c>
      <c r="M4397" s="16">
        <f t="shared" si="959"/>
        <v>24073.955414280896</v>
      </c>
    </row>
    <row r="4398" spans="2:13" ht="15" customHeight="1" x14ac:dyDescent="0.2">
      <c r="B4398" s="10" t="s">
        <v>909</v>
      </c>
      <c r="C4398" s="10" t="s">
        <v>110</v>
      </c>
      <c r="D4398" s="16">
        <f>D4397/(Inputs!$D$7+$D$4404)^D4378</f>
        <v>-4981.4043333779764</v>
      </c>
      <c r="E4398" s="16">
        <f>E4397/(Inputs!$D$7+$D$4404)^E4378</f>
        <v>-8043.2823118020815</v>
      </c>
      <c r="F4398" s="16">
        <f>F4397/(Inputs!$D$7+$D$4404)^F4378</f>
        <v>-2487.4697131444245</v>
      </c>
      <c r="G4398" s="16">
        <f>G4397/(Inputs!$D$7+$D$4404)^G4378</f>
        <v>211.14958776919747</v>
      </c>
      <c r="H4398" s="16">
        <f>H4397/(Inputs!$D$7+$D$4404)^H4378</f>
        <v>3004.2788949903652</v>
      </c>
      <c r="I4398" s="16">
        <f>I4397/(Inputs!$D$7+$D$4404)^I4378</f>
        <v>10305.399193106678</v>
      </c>
      <c r="J4398" s="16">
        <f>J4397/(Inputs!$D$7+$D$4404)^J4378</f>
        <v>8227.0546540761115</v>
      </c>
      <c r="K4398" s="16">
        <f>K4397/(Inputs!$D$7+$D$4404)^K4378</f>
        <v>5402.9099568851079</v>
      </c>
      <c r="L4398" s="16">
        <f>L4397/(Inputs!$D$7+$D$4404)^L4378</f>
        <v>3425.9967741941796</v>
      </c>
      <c r="M4398" s="16">
        <f>M4397/(Inputs!$D$7+$D$4404)^M4378</f>
        <v>5691.5802344574458</v>
      </c>
    </row>
    <row r="4399" spans="2:13" ht="15" customHeight="1" x14ac:dyDescent="0.2">
      <c r="B4399" s="3" t="s">
        <v>910</v>
      </c>
      <c r="C4399" s="10" t="s">
        <v>896</v>
      </c>
      <c r="D4399" s="28">
        <f>(D4385*$D$4403-D4389)/(Inputs!$D$7+$D$4404)^D4378</f>
        <v>59.765095798928819</v>
      </c>
      <c r="E4399" s="28">
        <f>(E4385*$D$4403-E4389)/(Inputs!$D$7+$D$4404)^E4378</f>
        <v>221.1922031857838</v>
      </c>
      <c r="F4399" s="28">
        <f>(F4385*$D$4403-F4389)/(Inputs!$D$7+$D$4404)^F4378</f>
        <v>386.45052664112239</v>
      </c>
      <c r="G4399" s="28">
        <f>(G4385*$D$4403-G4389)/(Inputs!$D$7+$D$4404)^G4378</f>
        <v>521.867070169518</v>
      </c>
      <c r="H4399" s="28">
        <f>(H4385*$D$4403-H4389)/(Inputs!$D$7+$D$4404)^H4378</f>
        <v>623.60768582417222</v>
      </c>
      <c r="I4399" s="28">
        <f>(I4385*$D$4403-I4389)/(Inputs!$D$7+$D$4404)^I4378</f>
        <v>616.42445467314121</v>
      </c>
      <c r="J4399" s="28">
        <f>(J4385*$D$4403-J4389)/(Inputs!$D$7+$D$4404)^J4378</f>
        <v>531.4543785819003</v>
      </c>
      <c r="K4399" s="28">
        <f>(K4385*$D$4403-K4389)/(Inputs!$D$7+$D$4404)^K4378</f>
        <v>458.19687128350449</v>
      </c>
      <c r="L4399" s="28">
        <f>(L4385*$D$4403-L4389)/(Inputs!$D$7+$D$4404)^L4378</f>
        <v>395.03743183788401</v>
      </c>
      <c r="M4399" s="28">
        <f>(M4385*$D$4403-M4389)/(Inputs!$D$7+$D$4404)^M4378</f>
        <v>340.44573883180209</v>
      </c>
    </row>
    <row r="4400" spans="2:13" ht="15" customHeight="1" x14ac:dyDescent="0.2">
      <c r="B4400" s="10" t="s">
        <v>911</v>
      </c>
      <c r="C4400" s="10" t="s">
        <v>110</v>
      </c>
      <c r="D4400" s="16">
        <f>(-D4387-D4388)/(Inputs!$D$7+$D$4404)^D4378</f>
        <v>-6704.7090607969039</v>
      </c>
      <c r="E4400" s="16">
        <f>(-E4387-E4388)/(Inputs!$D$7+$D$4404)^E4378</f>
        <v>-14445.4009031226</v>
      </c>
      <c r="F4400" s="16">
        <f>(-F4387-F4388)/(Inputs!$D$7+$D$4404)^F4378</f>
        <v>-13699.616639717549</v>
      </c>
      <c r="G4400" s="16">
        <f>(-G4387-G4388)/(Inputs!$D$7+$D$4404)^G4378</f>
        <v>-14941.671835349038</v>
      </c>
      <c r="H4400" s="16">
        <f>(-H4387-H4388)/(Inputs!$D$7+$D$4404)^H4378</f>
        <v>-15113.052884793095</v>
      </c>
      <c r="I4400" s="16">
        <f>(-I4387-I4388)/(Inputs!$D$7+$D$4404)^I4378</f>
        <v>-7629.8523795762403</v>
      </c>
      <c r="J4400" s="16">
        <f>(-J4387-J4388)/(Inputs!$D$7+$D$4404)^J4378</f>
        <v>-7235.9398897150922</v>
      </c>
      <c r="K4400" s="16">
        <f>(-K4387-K4388)/(Inputs!$D$7+$D$4404)^K4378</f>
        <v>-7928.612006570077</v>
      </c>
      <c r="L4400" s="16">
        <f>(-L4387-L4388)/(Inputs!$D$7+$D$4404)^L4378</f>
        <v>-8067.8621519509534</v>
      </c>
      <c r="M4400" s="16">
        <f>(-M4387-M4388)/(Inputs!$D$7+$D$4404)^M4378</f>
        <v>-4213.8995473821142</v>
      </c>
    </row>
    <row r="4401" spans="2:13" ht="15" customHeight="1" x14ac:dyDescent="0.2">
      <c r="B4401" s="10" t="s">
        <v>912</v>
      </c>
      <c r="C4401" s="10" t="s">
        <v>110</v>
      </c>
      <c r="D4401" s="16">
        <f>Prices!K21</f>
        <v>50150.451354062185</v>
      </c>
    </row>
    <row r="4402" spans="2:13" ht="15" customHeight="1" x14ac:dyDescent="0.2">
      <c r="B4402" s="3" t="s">
        <v>913</v>
      </c>
      <c r="C4402" s="10" t="s">
        <v>914</v>
      </c>
      <c r="D4402" s="28">
        <f>IF(J4409&gt;=J4405,J4409,(D4401-J4408)/J4407)</f>
        <v>34.675720605739073</v>
      </c>
      <c r="G4402" s="99" t="s">
        <v>915</v>
      </c>
      <c r="H4402" s="91"/>
      <c r="I4402" s="91"/>
      <c r="J4402" s="28">
        <f>D4402*Inputs!$D$15</f>
        <v>24.200185410745298</v>
      </c>
      <c r="K4402" s="99" t="s">
        <v>916</v>
      </c>
      <c r="L4402" s="91"/>
      <c r="M4402" s="91"/>
    </row>
    <row r="4403" spans="2:13" ht="15" customHeight="1" x14ac:dyDescent="0.2">
      <c r="B4403" s="10" t="s">
        <v>917</v>
      </c>
      <c r="C4403" s="10" t="s">
        <v>104</v>
      </c>
      <c r="D4403" s="30">
        <f>Inputs!$D$107</f>
        <v>0.9</v>
      </c>
      <c r="G4403" s="99" t="s">
        <v>918</v>
      </c>
      <c r="H4403" s="91"/>
      <c r="I4403" s="91"/>
      <c r="J4403" s="28">
        <f>IF(-D4414/D4413&gt;=J4405,-D4414/D4413,-J4408/J4407)</f>
        <v>24.024174528419383</v>
      </c>
      <c r="K4403" s="99" t="s">
        <v>919</v>
      </c>
      <c r="L4403" s="91"/>
      <c r="M4403" s="91"/>
    </row>
    <row r="4404" spans="2:13" ht="15" customHeight="1" x14ac:dyDescent="0.2">
      <c r="B4404" s="10" t="s">
        <v>920</v>
      </c>
      <c r="C4404" s="10" t="s">
        <v>104</v>
      </c>
      <c r="D4404" s="30">
        <f>Inputs!$D$108</f>
        <v>0.16</v>
      </c>
      <c r="G4404" s="99" t="s">
        <v>918</v>
      </c>
      <c r="H4404" s="91"/>
      <c r="I4404" s="91"/>
      <c r="J4404" s="28">
        <f>J4403*Inputs!$D$15</f>
        <v>16.766471403383886</v>
      </c>
      <c r="K4404" s="99" t="s">
        <v>916</v>
      </c>
      <c r="L4404" s="91"/>
      <c r="M4404" s="91"/>
    </row>
    <row r="4405" spans="2:13" ht="15" customHeight="1" x14ac:dyDescent="0.2">
      <c r="B4405" s="3" t="s">
        <v>921</v>
      </c>
      <c r="C4405" s="10" t="s">
        <v>848</v>
      </c>
      <c r="D4405" s="28">
        <f>Capital!$D$13</f>
        <v>57.347931490590682</v>
      </c>
      <c r="G4405" s="99" t="s">
        <v>922</v>
      </c>
      <c r="H4405" s="91"/>
      <c r="I4405" s="91"/>
      <c r="J4405" s="28">
        <f>($D$4405/Inputs!$D$21+$D$4406/Inputs!$D$22)/$D$4403</f>
        <v>16.07538460873031</v>
      </c>
      <c r="K4405" s="99" t="s">
        <v>919</v>
      </c>
      <c r="L4405" s="91"/>
      <c r="M4405" s="91"/>
    </row>
    <row r="4406" spans="2:13" ht="15" customHeight="1" x14ac:dyDescent="0.2">
      <c r="B4406" s="3" t="s">
        <v>923</v>
      </c>
      <c r="C4406" s="10" t="s">
        <v>848</v>
      </c>
      <c r="D4406" s="28">
        <f>Capital!$D$14</f>
        <v>2.6172655041921802</v>
      </c>
    </row>
    <row r="4407" spans="2:13" ht="15" customHeight="1" x14ac:dyDescent="0.2">
      <c r="B4407" s="10" t="s">
        <v>924</v>
      </c>
      <c r="C4407" s="10" t="s">
        <v>896</v>
      </c>
      <c r="D4407" s="28">
        <f>(M4380*(Inputs!$D$7+Inputs!$D$20)*$D$4403*(Inputs!$D$7-Inputs!$D$19)-M4380*Inputs!$D$20*Inputs!$D$23)/($D$4404-Inputs!$D$20)/(Inputs!$D$7+$D$4404)^M4378</f>
        <v>1807.6547922951956</v>
      </c>
      <c r="G4407" s="92" t="s">
        <v>910</v>
      </c>
      <c r="H4407" s="91"/>
      <c r="I4407" s="91"/>
      <c r="J4407" s="28">
        <f>SUM(D4399:M4399)+(M4380*(Inputs!$D$7+Inputs!$D$20)*$D$4403-M4380*Inputs!$D$20*Inputs!$D$23)/($D$4404-Inputs!$D$20)/(Inputs!$D$7+$D$4404)^M4378</f>
        <v>6737.5559875731687</v>
      </c>
      <c r="K4407" s="99" t="s">
        <v>896</v>
      </c>
      <c r="L4407" s="91"/>
      <c r="M4407" s="91"/>
    </row>
    <row r="4408" spans="2:13" ht="15" customHeight="1" x14ac:dyDescent="0.2">
      <c r="B4408" s="10" t="s">
        <v>925</v>
      </c>
      <c r="C4408" s="10" t="s">
        <v>110</v>
      </c>
      <c r="D4408" s="16">
        <f>(D4411*Inputs!$D$19-D4411-D4412)/($D$4404-Inputs!$D$20)/(Inputs!$D$7+$D$4404)^M4378</f>
        <v>-33287.494112345899</v>
      </c>
      <c r="G4408" s="92" t="s">
        <v>926</v>
      </c>
      <c r="H4408" s="91"/>
      <c r="I4408" s="91"/>
      <c r="J4408" s="16">
        <f>SUM(D4400:M4400)-(D4411+D4412)/($D$4404-Inputs!$D$20)/(Inputs!$D$7+$D$4404)^M4378</f>
        <v>-145733.9249554922</v>
      </c>
      <c r="K4408" s="99" t="s">
        <v>110</v>
      </c>
      <c r="L4408" s="91"/>
      <c r="M4408" s="91"/>
    </row>
    <row r="4409" spans="2:13" ht="15" customHeight="1" x14ac:dyDescent="0.2">
      <c r="B4409" s="10" t="s">
        <v>927</v>
      </c>
      <c r="C4409" s="10" t="s">
        <v>928</v>
      </c>
      <c r="D4409" s="16">
        <f>(M4380*(Inputs!$D$7+Inputs!$D$20)*$D$4402*$D$4403-D4411)-MAX((M4380*(Inputs!$D$7+Inputs!$D$20)*$D$4402*$D$4403-D4411),Inputs!$D$6)*Inputs!$D$19-D4412-M4380*Inputs!$D$20*$D$4402*Inputs!$D$23</f>
        <v>16784.583551712396</v>
      </c>
      <c r="G4409" s="99" t="s">
        <v>929</v>
      </c>
      <c r="H4409" s="91"/>
      <c r="I4409" s="91"/>
      <c r="J4409" s="28">
        <f>(D4401-D4414)/D4413</f>
        <v>34.675720605739073</v>
      </c>
      <c r="K4409" s="99" t="s">
        <v>919</v>
      </c>
      <c r="L4409" s="91"/>
      <c r="M4409" s="91"/>
    </row>
    <row r="4410" spans="2:13" ht="15" customHeight="1" x14ac:dyDescent="0.2">
      <c r="B4410" s="10" t="s">
        <v>930</v>
      </c>
      <c r="C4410" s="10" t="s">
        <v>110</v>
      </c>
      <c r="D4410" s="16">
        <f>D4409/($D$4404-Inputs!$D$20)</f>
        <v>124330.24853120293</v>
      </c>
      <c r="G4410" s="99" t="s">
        <v>931</v>
      </c>
      <c r="H4410" s="91"/>
      <c r="I4410" s="91"/>
      <c r="J4410" s="16">
        <f>MIN(D4394:M4394,(M4380*(Inputs!$D$7+Inputs!$D$20)*$D$4402*$D$4403-D4411))</f>
        <v>1293.8390664022622</v>
      </c>
      <c r="K4410" s="99" t="s">
        <v>110</v>
      </c>
      <c r="L4410" s="91"/>
      <c r="M4410" s="91"/>
    </row>
    <row r="4411" spans="2:13" ht="15" customHeight="1" x14ac:dyDescent="0.2">
      <c r="B4411" s="10" t="s">
        <v>932</v>
      </c>
      <c r="C4411" s="10" t="s">
        <v>928</v>
      </c>
      <c r="D4411" s="16">
        <f>M4380*(Inputs!$D$7+Inputs!$D$20)*($D$4405/Inputs!$D$21+$D$4406/Inputs!$D$22)</f>
        <v>23727.267682485937</v>
      </c>
      <c r="G4411" s="99" t="s">
        <v>933</v>
      </c>
      <c r="H4411" s="91"/>
      <c r="I4411" s="91"/>
      <c r="J4411" s="31" t="str">
        <f>IF(J4410&lt;Inputs!$D$6,"breached","satisfied")</f>
        <v>satisfied</v>
      </c>
      <c r="K4411" s="99" t="s">
        <v>934</v>
      </c>
      <c r="L4411" s="91"/>
      <c r="M4411" s="91"/>
    </row>
    <row r="4412" spans="2:13" ht="15" customHeight="1" x14ac:dyDescent="0.2">
      <c r="B4412" s="10" t="s">
        <v>935</v>
      </c>
      <c r="C4412" s="10" t="s">
        <v>928</v>
      </c>
      <c r="D4412" s="16">
        <f>M4380*Inputs!$D$20*($D$4405+$D$4406)</f>
        <v>2398.6078797913146</v>
      </c>
    </row>
    <row r="4413" spans="2:13" ht="15" customHeight="1" x14ac:dyDescent="0.2">
      <c r="B4413" s="10" t="s">
        <v>936</v>
      </c>
      <c r="C4413" s="10" t="s">
        <v>896</v>
      </c>
      <c r="D4413" s="28">
        <f>SUM(D4390:M4390)+D4407</f>
        <v>4708.2790601495317</v>
      </c>
      <c r="G4413" s="99" t="s">
        <v>937</v>
      </c>
      <c r="H4413" s="91"/>
      <c r="I4413" s="91"/>
      <c r="J4413" s="16">
        <f>D4415-D4401</f>
        <v>0</v>
      </c>
      <c r="K4413" s="99" t="s">
        <v>110</v>
      </c>
      <c r="L4413" s="91"/>
      <c r="M4413" s="91"/>
    </row>
    <row r="4414" spans="2:13" ht="15" customHeight="1" x14ac:dyDescent="0.2">
      <c r="B4414" s="10" t="s">
        <v>938</v>
      </c>
      <c r="C4414" s="10" t="s">
        <v>110</v>
      </c>
      <c r="D4414" s="16">
        <f>SUM(D4391:M4391)+D4408</f>
        <v>-113112.51786953473</v>
      </c>
    </row>
    <row r="4415" spans="2:13" ht="15" customHeight="1" x14ac:dyDescent="0.2">
      <c r="B4415" s="10" t="s">
        <v>939</v>
      </c>
      <c r="C4415" s="10" t="s">
        <v>110</v>
      </c>
      <c r="D4415" s="16">
        <f>SUM(D4398:M4398)+D4410/(Inputs!$D$7+$D$4404)^M4378</f>
        <v>50150.451354062214</v>
      </c>
    </row>
    <row r="4416" spans="2:13" ht="15" customHeight="1" x14ac:dyDescent="0.2">
      <c r="B4416" s="10" t="s">
        <v>940</v>
      </c>
      <c r="C4416" s="10" t="s">
        <v>104</v>
      </c>
      <c r="D4416" s="30">
        <f>IF(ABS(D4401)&gt;Inputs!$D$6,D4415/D4401-Inputs!$D$7,Inputs!$D$6)</f>
        <v>6.6613381477509392E-16</v>
      </c>
    </row>
    <row r="4417" spans="1:13" ht="15" customHeight="1" x14ac:dyDescent="0.2">
      <c r="B4417" s="10" t="s">
        <v>941</v>
      </c>
      <c r="C4417" s="10" t="s">
        <v>104</v>
      </c>
      <c r="D4417" s="30">
        <f>IF(ABS(D4415)&gt;Inputs!$D$119,D4410/(Inputs!$D$7+$D$4404)^M4378/D4415,Inputs!$D$6)</f>
        <v>0.58612111403313738</v>
      </c>
    </row>
    <row r="4418" spans="1:13" ht="15" customHeight="1" x14ac:dyDescent="0.2">
      <c r="B4418" s="10" t="s">
        <v>942</v>
      </c>
      <c r="C4418" s="10" t="s">
        <v>943</v>
      </c>
      <c r="D4418" s="26">
        <f>$D$4402*Inputs!$D$8/Prices!$P$6/(Inputs!$D$26/Inputs!$D$25)/Inputs!$D$11/Inputs!$D$56</f>
        <v>6.3058851204294628</v>
      </c>
    </row>
    <row r="4422" spans="1:13" ht="15" customHeight="1" x14ac:dyDescent="0.2">
      <c r="A4422" s="104" t="s">
        <v>1039</v>
      </c>
      <c r="B4422" s="10" t="s">
        <v>886</v>
      </c>
      <c r="C4422" s="10" t="s">
        <v>107</v>
      </c>
      <c r="D4422" s="28">
        <f>Inputs!$D$60</f>
        <v>1</v>
      </c>
      <c r="E4422" s="28">
        <f>Inputs!$D$62</f>
        <v>2</v>
      </c>
      <c r="F4422" s="28">
        <f>Inputs!$D$64</f>
        <v>3</v>
      </c>
      <c r="G4422" s="28">
        <f>Inputs!$D$66</f>
        <v>4</v>
      </c>
      <c r="H4422" s="28">
        <f>Inputs!$D$68</f>
        <v>5</v>
      </c>
      <c r="I4422" s="28">
        <f>Inputs!$D$70</f>
        <v>6</v>
      </c>
      <c r="J4422" s="28">
        <f>Inputs!$D$72</f>
        <v>7</v>
      </c>
      <c r="K4422" s="28">
        <f>Inputs!$D$74</f>
        <v>8</v>
      </c>
      <c r="L4422" s="28">
        <f>Inputs!$D$76</f>
        <v>9</v>
      </c>
      <c r="M4422" s="28">
        <f>Inputs!$D$78</f>
        <v>10</v>
      </c>
    </row>
    <row r="4423" spans="1:13" ht="15" customHeight="1" x14ac:dyDescent="0.2">
      <c r="A4423" s="91"/>
      <c r="B4423" s="10" t="s">
        <v>887</v>
      </c>
      <c r="C4423" s="10" t="s">
        <v>161</v>
      </c>
      <c r="D4423" s="29">
        <f>Inputs!$D$61</f>
        <v>46568</v>
      </c>
      <c r="E4423" s="29">
        <f>Inputs!$D$63</f>
        <v>46934</v>
      </c>
      <c r="F4423" s="29">
        <f>Inputs!$D$65</f>
        <v>47299</v>
      </c>
      <c r="G4423" s="29">
        <f>Inputs!$D$67</f>
        <v>47664</v>
      </c>
      <c r="H4423" s="29">
        <f>Inputs!$D$69</f>
        <v>48029</v>
      </c>
      <c r="I4423" s="29">
        <f>Inputs!$D$71</f>
        <v>48395</v>
      </c>
      <c r="J4423" s="29">
        <f>Inputs!$D$73</f>
        <v>48760</v>
      </c>
      <c r="K4423" s="29">
        <f>Inputs!$D$75</f>
        <v>49125</v>
      </c>
      <c r="L4423" s="29">
        <f>Inputs!$D$77</f>
        <v>49490</v>
      </c>
      <c r="M4423" s="29">
        <f>Inputs!$D$79</f>
        <v>49856</v>
      </c>
    </row>
    <row r="4424" spans="1:13" ht="15" customHeight="1" x14ac:dyDescent="0.2">
      <c r="A4424" s="91"/>
      <c r="B4424" s="10" t="s">
        <v>888</v>
      </c>
      <c r="C4424" s="10" t="s">
        <v>107</v>
      </c>
      <c r="D4424" s="28">
        <f>(D4423-Inputs!$D$13)/Inputs!$D$10</f>
        <v>0.71457905544147848</v>
      </c>
      <c r="E4424" s="28">
        <f>(E4423-Inputs!$D$13)/Inputs!$D$10</f>
        <v>1.7166324435318274</v>
      </c>
      <c r="F4424" s="28">
        <f>(F4423-Inputs!$D$13)/Inputs!$D$10</f>
        <v>2.7159479808350446</v>
      </c>
      <c r="G4424" s="28">
        <f>(G4423-Inputs!$D$13)/Inputs!$D$10</f>
        <v>3.7152635181382614</v>
      </c>
      <c r="H4424" s="28">
        <f>(H4423-Inputs!$D$13)/Inputs!$D$10</f>
        <v>4.7145790554414786</v>
      </c>
      <c r="I4424" s="28">
        <f>(I4423-Inputs!$D$13)/Inputs!$D$10</f>
        <v>5.7166324435318279</v>
      </c>
      <c r="J4424" s="28">
        <f>(J4423-Inputs!$D$13)/Inputs!$D$10</f>
        <v>6.7159479808350442</v>
      </c>
      <c r="K4424" s="28">
        <f>(K4423-Inputs!$D$13)/Inputs!$D$10</f>
        <v>7.7152635181382614</v>
      </c>
      <c r="L4424" s="28">
        <f>(L4423-Inputs!$D$13)/Inputs!$D$10</f>
        <v>8.7145790554414777</v>
      </c>
      <c r="M4424" s="28">
        <f>(M4423-Inputs!$D$13)/Inputs!$D$10</f>
        <v>9.716632443531827</v>
      </c>
    </row>
    <row r="4425" spans="1:13" ht="15" customHeight="1" x14ac:dyDescent="0.2">
      <c r="A4425" s="91"/>
      <c r="B4425" s="10" t="s">
        <v>889</v>
      </c>
      <c r="C4425" s="10" t="s">
        <v>107</v>
      </c>
      <c r="D4425" s="28">
        <f>D4424</f>
        <v>0.71457905544147848</v>
      </c>
      <c r="E4425" s="28">
        <f>Inputs!$D$7</f>
        <v>1</v>
      </c>
      <c r="F4425" s="28">
        <f>Inputs!$D$7</f>
        <v>1</v>
      </c>
      <c r="G4425" s="28">
        <f>Inputs!$D$7</f>
        <v>1</v>
      </c>
      <c r="H4425" s="28">
        <f>Inputs!$D$7</f>
        <v>1</v>
      </c>
      <c r="I4425" s="28">
        <f>Inputs!$D$7</f>
        <v>1</v>
      </c>
      <c r="J4425" s="28">
        <f>Inputs!$D$7</f>
        <v>1</v>
      </c>
      <c r="K4425" s="28">
        <f>Inputs!$D$7</f>
        <v>1</v>
      </c>
      <c r="L4425" s="28">
        <f>Inputs!$D$7</f>
        <v>1</v>
      </c>
      <c r="M4425" s="28">
        <f>Inputs!$D$7</f>
        <v>1</v>
      </c>
    </row>
    <row r="4426" spans="1:13" ht="15" customHeight="1" x14ac:dyDescent="0.2">
      <c r="A4426" s="91"/>
      <c r="B4426" s="3" t="s">
        <v>890</v>
      </c>
      <c r="C4426" s="10" t="s">
        <v>199</v>
      </c>
      <c r="D4426" s="28">
        <f>Inputs!$D$24+(Inputs!$D$80-Inputs!$D$24)*Inputs!$D$109</f>
        <v>115.2</v>
      </c>
      <c r="E4426" s="28">
        <f>Inputs!$D$24+(Inputs!$D$80-Inputs!$D$24)*Inputs!$D$110</f>
        <v>288.20000000000005</v>
      </c>
      <c r="F4426" s="28">
        <f>Inputs!$D$24+(Inputs!$D$80-Inputs!$D$24)*Inputs!$D$111</f>
        <v>478.5</v>
      </c>
      <c r="G4426" s="28">
        <f>Inputs!$D$24+(Inputs!$D$80-Inputs!$D$24)*Inputs!$D$112</f>
        <v>694.75</v>
      </c>
      <c r="H4426" s="28">
        <f>Inputs!$D$24+(Inputs!$D$80-Inputs!$D$24)*Inputs!$D$113</f>
        <v>911</v>
      </c>
      <c r="I4426" s="28">
        <f>Inputs!$D$24+(Inputs!$D$80-Inputs!$D$24)*Inputs!$D$114</f>
        <v>911</v>
      </c>
      <c r="J4426" s="28">
        <f>Inputs!$D$24+(Inputs!$D$80-Inputs!$D$24)*Inputs!$D$115</f>
        <v>911</v>
      </c>
      <c r="K4426" s="28">
        <f>Inputs!$D$24+(Inputs!$D$80-Inputs!$D$24)*Inputs!$D$116</f>
        <v>911</v>
      </c>
      <c r="L4426" s="28">
        <f>Inputs!$D$24+(Inputs!$D$80-Inputs!$D$24)*Inputs!$D$117</f>
        <v>911</v>
      </c>
      <c r="M4426" s="28">
        <f>Inputs!$D$24+(Inputs!$D$80-Inputs!$D$24)*Inputs!$D$118</f>
        <v>911</v>
      </c>
    </row>
    <row r="4427" spans="1:13" ht="15" customHeight="1" x14ac:dyDescent="0.2">
      <c r="A4427" s="91"/>
      <c r="B4427" s="10" t="s">
        <v>891</v>
      </c>
      <c r="C4427" s="10" t="s">
        <v>199</v>
      </c>
      <c r="D4427" s="28">
        <f>Inputs!$D$24</f>
        <v>46</v>
      </c>
      <c r="E4427" s="28">
        <f t="shared" ref="E4427:M4427" si="960">D4426</f>
        <v>115.2</v>
      </c>
      <c r="F4427" s="28">
        <f t="shared" si="960"/>
        <v>288.20000000000005</v>
      </c>
      <c r="G4427" s="28">
        <f t="shared" si="960"/>
        <v>478.5</v>
      </c>
      <c r="H4427" s="28">
        <f t="shared" si="960"/>
        <v>694.75</v>
      </c>
      <c r="I4427" s="28">
        <f t="shared" si="960"/>
        <v>911</v>
      </c>
      <c r="J4427" s="28">
        <f t="shared" si="960"/>
        <v>911</v>
      </c>
      <c r="K4427" s="28">
        <f t="shared" si="960"/>
        <v>911</v>
      </c>
      <c r="L4427" s="28">
        <f t="shared" si="960"/>
        <v>911</v>
      </c>
      <c r="M4427" s="28">
        <f t="shared" si="960"/>
        <v>911</v>
      </c>
    </row>
    <row r="4428" spans="1:13" ht="15" customHeight="1" x14ac:dyDescent="0.2">
      <c r="B4428" s="10" t="s">
        <v>892</v>
      </c>
      <c r="C4428" s="10" t="s">
        <v>199</v>
      </c>
      <c r="D4428" s="28">
        <f>(D4427+D4426)*Inputs!$D$12</f>
        <v>80.599999999999994</v>
      </c>
      <c r="E4428" s="28">
        <f>(E4427+E4426)*Inputs!$D$12</f>
        <v>201.70000000000002</v>
      </c>
      <c r="F4428" s="28">
        <f>(F4427+F4426)*Inputs!$D$12</f>
        <v>383.35</v>
      </c>
      <c r="G4428" s="28">
        <f>(G4427+G4426)*Inputs!$D$12</f>
        <v>586.625</v>
      </c>
      <c r="H4428" s="28">
        <f>(H4427+H4426)*Inputs!$D$12</f>
        <v>802.875</v>
      </c>
      <c r="I4428" s="28">
        <f>(I4427+I4426)*Inputs!$D$12</f>
        <v>911</v>
      </c>
      <c r="J4428" s="28">
        <f>(J4427+J4426)*Inputs!$D$12</f>
        <v>911</v>
      </c>
      <c r="K4428" s="28">
        <f>(K4427+K4426)*Inputs!$D$12</f>
        <v>911</v>
      </c>
      <c r="L4428" s="28">
        <f>(L4427+L4426)*Inputs!$D$12</f>
        <v>911</v>
      </c>
      <c r="M4428" s="28">
        <f>(M4427+M4426)*Inputs!$D$12</f>
        <v>911</v>
      </c>
    </row>
    <row r="4429" spans="1:13" ht="15" customHeight="1" x14ac:dyDescent="0.2">
      <c r="B4429" s="10" t="s">
        <v>893</v>
      </c>
      <c r="C4429" s="10" t="s">
        <v>199</v>
      </c>
      <c r="D4429" s="28">
        <f t="shared" ref="D4429:M4429" si="961">D4426-D4427</f>
        <v>69.2</v>
      </c>
      <c r="E4429" s="28">
        <f t="shared" si="961"/>
        <v>173.00000000000006</v>
      </c>
      <c r="F4429" s="28">
        <f t="shared" si="961"/>
        <v>190.29999999999995</v>
      </c>
      <c r="G4429" s="28">
        <f t="shared" si="961"/>
        <v>216.25</v>
      </c>
      <c r="H4429" s="28">
        <f t="shared" si="961"/>
        <v>216.25</v>
      </c>
      <c r="I4429" s="28">
        <f t="shared" si="961"/>
        <v>0</v>
      </c>
      <c r="J4429" s="28">
        <f t="shared" si="961"/>
        <v>0</v>
      </c>
      <c r="K4429" s="28">
        <f t="shared" si="961"/>
        <v>0</v>
      </c>
      <c r="L4429" s="28">
        <f t="shared" si="961"/>
        <v>0</v>
      </c>
      <c r="M4429" s="28">
        <f t="shared" si="961"/>
        <v>0</v>
      </c>
    </row>
    <row r="4430" spans="1:13" ht="15" customHeight="1" x14ac:dyDescent="0.2">
      <c r="B4430" s="10" t="s">
        <v>894</v>
      </c>
      <c r="C4430" s="10" t="s">
        <v>199</v>
      </c>
      <c r="D4430" s="28">
        <f>IF(MOD(D4422,Inputs!$D$21)=Inputs!$D$6,Inputs!$D$24,Inputs!$D$6)+SUMPRODUCT(--(D4422&gt;$D$4422:$M$4422),--(MOD(D4422-$D$4422:$M$4422,Inputs!$D$21)=Inputs!$D$6),$D$4429:$M$4429)</f>
        <v>0</v>
      </c>
      <c r="E4430" s="28">
        <f>IF(MOD(E4422,Inputs!$D$21)=Inputs!$D$6,Inputs!$D$24,Inputs!$D$6)+SUMPRODUCT(--(E4422&gt;$D$4422:$M$4422),--(MOD(E4422-$D$4422:$M$4422,Inputs!$D$21)=Inputs!$D$6),$D$4429:$M$4429)</f>
        <v>0</v>
      </c>
      <c r="F4430" s="28">
        <f>IF(MOD(F4422,Inputs!$D$21)=Inputs!$D$6,Inputs!$D$24,Inputs!$D$6)+SUMPRODUCT(--(F4422&gt;$D$4422:$M$4422),--(MOD(F4422-$D$4422:$M$4422,Inputs!$D$21)=Inputs!$D$6),$D$4429:$M$4429)</f>
        <v>0</v>
      </c>
      <c r="G4430" s="28">
        <f>IF(MOD(G4422,Inputs!$D$21)=Inputs!$D$6,Inputs!$D$24,Inputs!$D$6)+SUMPRODUCT(--(G4422&gt;$D$4422:$M$4422),--(MOD(G4422-$D$4422:$M$4422,Inputs!$D$21)=Inputs!$D$6),$D$4429:$M$4429)</f>
        <v>46</v>
      </c>
      <c r="H4430" s="28">
        <f>IF(MOD(H4422,Inputs!$D$21)=Inputs!$D$6,Inputs!$D$24,Inputs!$D$6)+SUMPRODUCT(--(H4422&gt;$D$4422:$M$4422),--(MOD(H4422-$D$4422:$M$4422,Inputs!$D$21)=Inputs!$D$6),$D$4429:$M$4429)</f>
        <v>69.2</v>
      </c>
      <c r="I4430" s="28">
        <f>IF(MOD(I4422,Inputs!$D$21)=Inputs!$D$6,Inputs!$D$24,Inputs!$D$6)+SUMPRODUCT(--(I4422&gt;$D$4422:$M$4422),--(MOD(I4422-$D$4422:$M$4422,Inputs!$D$21)=Inputs!$D$6),$D$4429:$M$4429)</f>
        <v>173.00000000000006</v>
      </c>
      <c r="J4430" s="28">
        <f>IF(MOD(J4422,Inputs!$D$21)=Inputs!$D$6,Inputs!$D$24,Inputs!$D$6)+SUMPRODUCT(--(J4422&gt;$D$4422:$M$4422),--(MOD(J4422-$D$4422:$M$4422,Inputs!$D$21)=Inputs!$D$6),$D$4429:$M$4429)</f>
        <v>190.29999999999995</v>
      </c>
      <c r="K4430" s="28">
        <f>IF(MOD(K4422,Inputs!$D$21)=Inputs!$D$6,Inputs!$D$24,Inputs!$D$6)+SUMPRODUCT(--(K4422&gt;$D$4422:$M$4422),--(MOD(K4422-$D$4422:$M$4422,Inputs!$D$21)=Inputs!$D$6),$D$4429:$M$4429)</f>
        <v>262.25</v>
      </c>
      <c r="L4430" s="28">
        <f>IF(MOD(L4422,Inputs!$D$21)=Inputs!$D$6,Inputs!$D$24,Inputs!$D$6)+SUMPRODUCT(--(L4422&gt;$D$4422:$M$4422),--(MOD(L4422-$D$4422:$M$4422,Inputs!$D$21)=Inputs!$D$6),$D$4429:$M$4429)</f>
        <v>285.45</v>
      </c>
      <c r="M4430" s="28">
        <f>IF(MOD(M4422,Inputs!$D$21)=Inputs!$D$6,Inputs!$D$24,Inputs!$D$6)+SUMPRODUCT(--(M4422&gt;$D$4422:$M$4422),--(MOD(M4422-$D$4422:$M$4422,Inputs!$D$21)=Inputs!$D$6),$D$4429:$M$4429)</f>
        <v>173.00000000000006</v>
      </c>
    </row>
    <row r="4431" spans="1:13" ht="15" customHeight="1" x14ac:dyDescent="0.2">
      <c r="B4431" s="10" t="s">
        <v>895</v>
      </c>
      <c r="C4431" s="10" t="s">
        <v>896</v>
      </c>
      <c r="D4431" s="28">
        <f t="shared" ref="D4431:M4431" si="962">D4428*D4425</f>
        <v>57.595071868583162</v>
      </c>
      <c r="E4431" s="28">
        <f t="shared" si="962"/>
        <v>201.70000000000002</v>
      </c>
      <c r="F4431" s="28">
        <f t="shared" si="962"/>
        <v>383.35</v>
      </c>
      <c r="G4431" s="28">
        <f t="shared" si="962"/>
        <v>586.625</v>
      </c>
      <c r="H4431" s="28">
        <f t="shared" si="962"/>
        <v>802.875</v>
      </c>
      <c r="I4431" s="28">
        <f t="shared" si="962"/>
        <v>911</v>
      </c>
      <c r="J4431" s="28">
        <f t="shared" si="962"/>
        <v>911</v>
      </c>
      <c r="K4431" s="28">
        <f t="shared" si="962"/>
        <v>911</v>
      </c>
      <c r="L4431" s="28">
        <f t="shared" si="962"/>
        <v>911</v>
      </c>
      <c r="M4431" s="28">
        <f t="shared" si="962"/>
        <v>911</v>
      </c>
    </row>
    <row r="4432" spans="1:13" ht="15" customHeight="1" x14ac:dyDescent="0.2">
      <c r="B4432" s="10" t="s">
        <v>897</v>
      </c>
      <c r="C4432" s="10" t="s">
        <v>110</v>
      </c>
      <c r="D4432" s="16">
        <f>D4431*($D$4451/Inputs!$D$21+$D$4452/Inputs!$D$22)</f>
        <v>833.27663866944408</v>
      </c>
      <c r="E4432" s="16">
        <f>E4431*($D$4451/Inputs!$D$21+$D$4452/Inputs!$D$22)</f>
        <v>2918.1645680228135</v>
      </c>
      <c r="F4432" s="16">
        <f>F4431*($D$4451/Inputs!$D$21+$D$4452/Inputs!$D$22)</f>
        <v>5546.2488207810884</v>
      </c>
      <c r="G4432" s="16">
        <f>G4431*($D$4451/Inputs!$D$21+$D$4452/Inputs!$D$22)</f>
        <v>8487.2002464867765</v>
      </c>
      <c r="H4432" s="16">
        <f>H4431*($D$4451/Inputs!$D$21+$D$4452/Inputs!$D$22)</f>
        <v>11615.871975960914</v>
      </c>
      <c r="I4432" s="16">
        <f>I4431*($D$4451/Inputs!$D$21+$D$4452/Inputs!$D$22)</f>
        <v>13180.207840697982</v>
      </c>
      <c r="J4432" s="16">
        <f>J4431*($D$4451/Inputs!$D$21+$D$4452/Inputs!$D$22)</f>
        <v>13180.207840697982</v>
      </c>
      <c r="K4432" s="16">
        <f>K4431*($D$4451/Inputs!$D$21+$D$4452/Inputs!$D$22)</f>
        <v>13180.207840697982</v>
      </c>
      <c r="L4432" s="16">
        <f>L4431*($D$4451/Inputs!$D$21+$D$4452/Inputs!$D$22)</f>
        <v>13180.207840697982</v>
      </c>
      <c r="M4432" s="16">
        <f>M4431*($D$4451/Inputs!$D$21+$D$4452/Inputs!$D$22)</f>
        <v>13180.207840697982</v>
      </c>
    </row>
    <row r="4433" spans="2:13" ht="15" customHeight="1" x14ac:dyDescent="0.2">
      <c r="B4433" s="10" t="s">
        <v>898</v>
      </c>
      <c r="C4433" s="10" t="s">
        <v>110</v>
      </c>
      <c r="D4433" s="16">
        <f t="shared" ref="D4433:M4433" si="963">D4429*($D$4451+$D$4452)</f>
        <v>4149.5916320389742</v>
      </c>
      <c r="E4433" s="16">
        <f t="shared" si="963"/>
        <v>10373.979080097439</v>
      </c>
      <c r="F4433" s="16">
        <f t="shared" si="963"/>
        <v>11411.376988107177</v>
      </c>
      <c r="G4433" s="16">
        <f t="shared" si="963"/>
        <v>12967.473850121794</v>
      </c>
      <c r="H4433" s="16">
        <f t="shared" si="963"/>
        <v>12967.473850121794</v>
      </c>
      <c r="I4433" s="16">
        <f t="shared" si="963"/>
        <v>0</v>
      </c>
      <c r="J4433" s="16">
        <f t="shared" si="963"/>
        <v>0</v>
      </c>
      <c r="K4433" s="16">
        <f t="shared" si="963"/>
        <v>0</v>
      </c>
      <c r="L4433" s="16">
        <f t="shared" si="963"/>
        <v>0</v>
      </c>
      <c r="M4433" s="16">
        <f t="shared" si="963"/>
        <v>0</v>
      </c>
    </row>
    <row r="4434" spans="2:13" ht="15" customHeight="1" x14ac:dyDescent="0.2">
      <c r="B4434" s="10" t="s">
        <v>899</v>
      </c>
      <c r="C4434" s="10" t="s">
        <v>110</v>
      </c>
      <c r="D4434" s="16">
        <f t="shared" ref="D4434:M4434" si="964">D4430*$D$4451</f>
        <v>0</v>
      </c>
      <c r="E4434" s="16">
        <f t="shared" si="964"/>
        <v>0</v>
      </c>
      <c r="F4434" s="16">
        <f t="shared" si="964"/>
        <v>0</v>
      </c>
      <c r="G4434" s="16">
        <f t="shared" si="964"/>
        <v>2638.0048485671714</v>
      </c>
      <c r="H4434" s="16">
        <f t="shared" si="964"/>
        <v>3968.4768591488755</v>
      </c>
      <c r="I4434" s="16">
        <f t="shared" si="964"/>
        <v>9921.1921478721906</v>
      </c>
      <c r="J4434" s="16">
        <f t="shared" si="964"/>
        <v>10913.311362659404</v>
      </c>
      <c r="K4434" s="16">
        <f t="shared" si="964"/>
        <v>15039.495033407406</v>
      </c>
      <c r="L4434" s="16">
        <f t="shared" si="964"/>
        <v>16369.967043989109</v>
      </c>
      <c r="M4434" s="16">
        <f t="shared" si="964"/>
        <v>9921.1921478721906</v>
      </c>
    </row>
    <row r="4435" spans="2:13" ht="15" customHeight="1" x14ac:dyDescent="0.2">
      <c r="B4435" s="10" t="s">
        <v>900</v>
      </c>
      <c r="C4435" s="10" t="s">
        <v>199</v>
      </c>
      <c r="D4435" s="28">
        <f>D4429*Inputs!$D$23</f>
        <v>1.7300000000000002</v>
      </c>
      <c r="E4435" s="28">
        <f>E4429*Inputs!$D$23</f>
        <v>4.325000000000002</v>
      </c>
      <c r="F4435" s="28">
        <f>F4429*Inputs!$D$23</f>
        <v>4.7574999999999994</v>
      </c>
      <c r="G4435" s="28">
        <f>G4429*Inputs!$D$23</f>
        <v>5.40625</v>
      </c>
      <c r="H4435" s="28">
        <f>H4429*Inputs!$D$23</f>
        <v>5.40625</v>
      </c>
      <c r="I4435" s="28">
        <f>I4429*Inputs!$D$23</f>
        <v>0</v>
      </c>
      <c r="J4435" s="28">
        <f>J4429*Inputs!$D$23</f>
        <v>0</v>
      </c>
      <c r="K4435" s="28">
        <f>K4429*Inputs!$D$23</f>
        <v>0</v>
      </c>
      <c r="L4435" s="28">
        <f>L4429*Inputs!$D$23</f>
        <v>0</v>
      </c>
      <c r="M4435" s="28">
        <f>M4429*Inputs!$D$23</f>
        <v>0</v>
      </c>
    </row>
    <row r="4436" spans="2:13" ht="15" customHeight="1" x14ac:dyDescent="0.2">
      <c r="B4436" s="3" t="s">
        <v>901</v>
      </c>
      <c r="C4436" s="10" t="s">
        <v>896</v>
      </c>
      <c r="D4436" s="28">
        <f>(D4431*$D$4449*(Inputs!$D$7-Inputs!$D$19)-D4435)/(Inputs!$D$7+$D$4450)^D4424</f>
        <v>20.981187074746607</v>
      </c>
      <c r="E4436" s="28">
        <f>(E4431*$D$4449*(Inputs!$D$7-Inputs!$D$19)-E4435)/(Inputs!$D$7+$D$4450)^E4424</f>
        <v>68.255963262205867</v>
      </c>
      <c r="F4436" s="28">
        <f>(F4431*$D$4449*(Inputs!$D$7-Inputs!$D$19)-F4435)/(Inputs!$D$7+$D$4450)^F4424</f>
        <v>120.61414888935703</v>
      </c>
      <c r="G4436" s="28">
        <f>(G4431*$D$4449*(Inputs!$D$7-Inputs!$D$19)-G4435)/(Inputs!$D$7+$D$4450)^G4424</f>
        <v>169.11787330578514</v>
      </c>
      <c r="H4436" s="28">
        <f>(H4431*$D$4449*(Inputs!$D$7-Inputs!$D$19)-H4435)/(Inputs!$D$7+$D$4450)^H4424</f>
        <v>211.7039354257503</v>
      </c>
      <c r="I4436" s="28">
        <f>(I4431*$D$4449*(Inputs!$D$7-Inputs!$D$19)-I4435)/(Inputs!$D$7+$D$4450)^I4424</f>
        <v>221.8916197826434</v>
      </c>
      <c r="J4436" s="28">
        <f>(J4431*$D$4449*(Inputs!$D$7-Inputs!$D$19)-J4435)/(Inputs!$D$7+$D$4450)^J4424</f>
        <v>201.73281421346593</v>
      </c>
      <c r="K4436" s="28">
        <f>(K4431*$D$4449*(Inputs!$D$7-Inputs!$D$19)-K4435)/(Inputs!$D$7+$D$4450)^K4424</f>
        <v>183.40543176145695</v>
      </c>
      <c r="L4436" s="28">
        <f>(L4431*$D$4449*(Inputs!$D$7-Inputs!$D$19)-L4435)/(Inputs!$D$7+$D$4450)^L4424</f>
        <v>166.74308803332551</v>
      </c>
      <c r="M4436" s="28">
        <f>(M4431*$D$4449*(Inputs!$D$7-Inputs!$D$19)-M4435)/(Inputs!$D$7+$D$4450)^M4424</f>
        <v>151.55496194429571</v>
      </c>
    </row>
    <row r="4437" spans="2:13" ht="15" customHeight="1" x14ac:dyDescent="0.2">
      <c r="B4437" s="10" t="s">
        <v>902</v>
      </c>
      <c r="C4437" s="10" t="s">
        <v>110</v>
      </c>
      <c r="D4437" s="16">
        <f>(D4432*Inputs!$D$19-D4433-D4434)/(Inputs!$D$7+$D$4450)^D4424</f>
        <v>-3642.8616531802254</v>
      </c>
      <c r="E4437" s="16">
        <f>(E4432*Inputs!$D$19-E4433-E4434)/(Inputs!$D$7+$D$4450)^E4424</f>
        <v>-8064.925486193536</v>
      </c>
      <c r="F4437" s="16">
        <f>(F4432*Inputs!$D$19-F4433-F4434)/(Inputs!$D$7+$D$4450)^F4424</f>
        <v>-7524.4189502174931</v>
      </c>
      <c r="G4437" s="16">
        <f>(G4432*Inputs!$D$19-G4433-G4434)/(Inputs!$D$7+$D$4450)^G4424</f>
        <v>-9165.0699711658544</v>
      </c>
      <c r="H4437" s="16">
        <f>(H4432*Inputs!$D$19-H4433-H4434)/(Inputs!$D$7+$D$4450)^H4424</f>
        <v>-8582.4561303350856</v>
      </c>
      <c r="I4437" s="16">
        <f>(I4432*Inputs!$D$19-I4433-I4434)/(Inputs!$D$7+$D$4450)^I4424</f>
        <v>-3460.4989174974958</v>
      </c>
      <c r="J4437" s="16">
        <f>(J4432*Inputs!$D$19-J4433-J4434)/(Inputs!$D$7+$D$4450)^J4424</f>
        <v>-3669.1989119501291</v>
      </c>
      <c r="K4437" s="16">
        <f>(K4432*Inputs!$D$19-K4433-K4434)/(Inputs!$D$7+$D$4450)^K4424</f>
        <v>-5313.7017593374285</v>
      </c>
      <c r="L4437" s="16">
        <f>(L4432*Inputs!$D$19-L4433-L4434)/(Inputs!$D$7+$D$4450)^L4424</f>
        <v>-5410.7633919680211</v>
      </c>
      <c r="M4437" s="16">
        <f>(M4432*Inputs!$D$19-M4433-M4434)/(Inputs!$D$7+$D$4450)^M4424</f>
        <v>-2363.567322927051</v>
      </c>
    </row>
    <row r="4438" spans="2:13" ht="15" customHeight="1" x14ac:dyDescent="0.2">
      <c r="B4438" s="10" t="s">
        <v>903</v>
      </c>
      <c r="C4438" s="10" t="s">
        <v>110</v>
      </c>
      <c r="D4438" s="16">
        <f t="shared" ref="D4438:M4438" si="965">D4431*$D$4448</f>
        <v>2539.7692430591533</v>
      </c>
      <c r="E4438" s="16">
        <f t="shared" si="965"/>
        <v>8894.3626547406748</v>
      </c>
      <c r="F4438" s="16">
        <f t="shared" si="965"/>
        <v>16904.58068267148</v>
      </c>
      <c r="G4438" s="16">
        <f t="shared" si="965"/>
        <v>25868.396094879761</v>
      </c>
      <c r="H4438" s="16">
        <f t="shared" si="965"/>
        <v>35404.369937654526</v>
      </c>
      <c r="I4438" s="16">
        <f t="shared" si="965"/>
        <v>40172.356859041909</v>
      </c>
      <c r="J4438" s="16">
        <f t="shared" si="965"/>
        <v>40172.356859041909</v>
      </c>
      <c r="K4438" s="16">
        <f t="shared" si="965"/>
        <v>40172.356859041909</v>
      </c>
      <c r="L4438" s="16">
        <f t="shared" si="965"/>
        <v>40172.356859041909</v>
      </c>
      <c r="M4438" s="16">
        <f t="shared" si="965"/>
        <v>40172.356859041909</v>
      </c>
    </row>
    <row r="4439" spans="2:13" ht="15" customHeight="1" x14ac:dyDescent="0.2">
      <c r="B4439" s="10" t="s">
        <v>904</v>
      </c>
      <c r="C4439" s="10" t="s">
        <v>110</v>
      </c>
      <c r="D4439" s="16">
        <f t="shared" ref="D4439:M4439" si="966">D4438*$D$4449</f>
        <v>1523.8615458354918</v>
      </c>
      <c r="E4439" s="16">
        <f t="shared" si="966"/>
        <v>5336.6175928444045</v>
      </c>
      <c r="F4439" s="16">
        <f t="shared" si="966"/>
        <v>10142.748409602887</v>
      </c>
      <c r="G4439" s="16">
        <f t="shared" si="966"/>
        <v>15521.037656927856</v>
      </c>
      <c r="H4439" s="16">
        <f t="shared" si="966"/>
        <v>21242.621962592715</v>
      </c>
      <c r="I4439" s="16">
        <f t="shared" si="966"/>
        <v>24103.414115425145</v>
      </c>
      <c r="J4439" s="16">
        <f t="shared" si="966"/>
        <v>24103.414115425145</v>
      </c>
      <c r="K4439" s="16">
        <f t="shared" si="966"/>
        <v>24103.414115425145</v>
      </c>
      <c r="L4439" s="16">
        <f t="shared" si="966"/>
        <v>24103.414115425145</v>
      </c>
      <c r="M4439" s="16">
        <f t="shared" si="966"/>
        <v>24103.414115425145</v>
      </c>
    </row>
    <row r="4440" spans="2:13" ht="15" customHeight="1" x14ac:dyDescent="0.2">
      <c r="B4440" s="10" t="s">
        <v>905</v>
      </c>
      <c r="C4440" s="10" t="s">
        <v>110</v>
      </c>
      <c r="D4440" s="16">
        <f t="shared" ref="D4440:M4440" si="967">D4439-D4432</f>
        <v>690.58490716604774</v>
      </c>
      <c r="E4440" s="16">
        <f t="shared" si="967"/>
        <v>2418.453024821591</v>
      </c>
      <c r="F4440" s="16">
        <f t="shared" si="967"/>
        <v>4596.4995888217991</v>
      </c>
      <c r="G4440" s="16">
        <f t="shared" si="967"/>
        <v>7033.8374104410796</v>
      </c>
      <c r="H4440" s="16">
        <f t="shared" si="967"/>
        <v>9626.7499866318012</v>
      </c>
      <c r="I4440" s="16">
        <f t="shared" si="967"/>
        <v>10923.206274727163</v>
      </c>
      <c r="J4440" s="16">
        <f t="shared" si="967"/>
        <v>10923.206274727163</v>
      </c>
      <c r="K4440" s="16">
        <f t="shared" si="967"/>
        <v>10923.206274727163</v>
      </c>
      <c r="L4440" s="16">
        <f t="shared" si="967"/>
        <v>10923.206274727163</v>
      </c>
      <c r="M4440" s="16">
        <f t="shared" si="967"/>
        <v>10923.206274727163</v>
      </c>
    </row>
    <row r="4441" spans="2:13" ht="15" customHeight="1" x14ac:dyDescent="0.2">
      <c r="B4441" s="10" t="s">
        <v>906</v>
      </c>
      <c r="C4441" s="10" t="s">
        <v>110</v>
      </c>
      <c r="D4441" s="16">
        <f>MAX(D4440,Inputs!$D$6)*Inputs!$D$19</f>
        <v>207.17547214981431</v>
      </c>
      <c r="E4441" s="16">
        <f>MAX(E4440,Inputs!$D$6)*Inputs!$D$19</f>
        <v>725.53590744647727</v>
      </c>
      <c r="F4441" s="16">
        <f>MAX(F4440,Inputs!$D$6)*Inputs!$D$19</f>
        <v>1378.9498766465397</v>
      </c>
      <c r="G4441" s="16">
        <f>MAX(G4440,Inputs!$D$6)*Inputs!$D$19</f>
        <v>2110.1512231323236</v>
      </c>
      <c r="H4441" s="16">
        <f>MAX(H4440,Inputs!$D$6)*Inputs!$D$19</f>
        <v>2888.0249959895405</v>
      </c>
      <c r="I4441" s="16">
        <f>MAX(I4440,Inputs!$D$6)*Inputs!$D$19</f>
        <v>3276.9618824181489</v>
      </c>
      <c r="J4441" s="16">
        <f>MAX(J4440,Inputs!$D$6)*Inputs!$D$19</f>
        <v>3276.9618824181489</v>
      </c>
      <c r="K4441" s="16">
        <f>MAX(K4440,Inputs!$D$6)*Inputs!$D$19</f>
        <v>3276.9618824181489</v>
      </c>
      <c r="L4441" s="16">
        <f>MAX(L4440,Inputs!$D$6)*Inputs!$D$19</f>
        <v>3276.9618824181489</v>
      </c>
      <c r="M4441" s="16">
        <f>MAX(M4440,Inputs!$D$6)*Inputs!$D$19</f>
        <v>3276.9618824181489</v>
      </c>
    </row>
    <row r="4442" spans="2:13" ht="15" customHeight="1" x14ac:dyDescent="0.2">
      <c r="B4442" s="10" t="s">
        <v>907</v>
      </c>
      <c r="C4442" s="10" t="s">
        <v>110</v>
      </c>
      <c r="D4442" s="16">
        <f t="shared" ref="D4442:M4442" si="968">D4435*$D$4448</f>
        <v>76.287790742198155</v>
      </c>
      <c r="E4442" s="16">
        <f t="shared" si="968"/>
        <v>190.71947685549543</v>
      </c>
      <c r="F4442" s="16">
        <f t="shared" si="968"/>
        <v>209.79142454104488</v>
      </c>
      <c r="G4442" s="16">
        <f t="shared" si="968"/>
        <v>238.39934606936919</v>
      </c>
      <c r="H4442" s="16">
        <f t="shared" si="968"/>
        <v>238.39934606936919</v>
      </c>
      <c r="I4442" s="16">
        <f t="shared" si="968"/>
        <v>0</v>
      </c>
      <c r="J4442" s="16">
        <f t="shared" si="968"/>
        <v>0</v>
      </c>
      <c r="K4442" s="16">
        <f t="shared" si="968"/>
        <v>0</v>
      </c>
      <c r="L4442" s="16">
        <f t="shared" si="968"/>
        <v>0</v>
      </c>
      <c r="M4442" s="16">
        <f t="shared" si="968"/>
        <v>0</v>
      </c>
    </row>
    <row r="4443" spans="2:13" ht="15" customHeight="1" x14ac:dyDescent="0.2">
      <c r="B4443" s="10" t="s">
        <v>908</v>
      </c>
      <c r="C4443" s="10" t="s">
        <v>110</v>
      </c>
      <c r="D4443" s="16">
        <f t="shared" ref="D4443:M4443" si="969">D4439-D4441-D4433-D4434-D4442</f>
        <v>-2909.1933490954948</v>
      </c>
      <c r="E4443" s="16">
        <f t="shared" si="969"/>
        <v>-5953.6168715550075</v>
      </c>
      <c r="F4443" s="16">
        <f t="shared" si="969"/>
        <v>-2857.3698796918743</v>
      </c>
      <c r="G4443" s="16">
        <f t="shared" si="969"/>
        <v>-2432.991610962802</v>
      </c>
      <c r="H4443" s="16">
        <f t="shared" si="969"/>
        <v>1180.2469112631352</v>
      </c>
      <c r="I4443" s="16">
        <f t="shared" si="969"/>
        <v>10905.260085134805</v>
      </c>
      <c r="J4443" s="16">
        <f t="shared" si="969"/>
        <v>9913.1408703475918</v>
      </c>
      <c r="K4443" s="16">
        <f t="shared" si="969"/>
        <v>5786.9571995995902</v>
      </c>
      <c r="L4443" s="16">
        <f t="shared" si="969"/>
        <v>4456.485189017887</v>
      </c>
      <c r="M4443" s="16">
        <f t="shared" si="969"/>
        <v>10905.260085134805</v>
      </c>
    </row>
    <row r="4444" spans="2:13" ht="15" customHeight="1" x14ac:dyDescent="0.2">
      <c r="B4444" s="10" t="s">
        <v>909</v>
      </c>
      <c r="C4444" s="10" t="s">
        <v>110</v>
      </c>
      <c r="D4444" s="16">
        <f>D4443/(Inputs!$D$7+$D$4450)^D4424</f>
        <v>-2717.6544803009292</v>
      </c>
      <c r="E4444" s="16">
        <f>E4443/(Inputs!$D$7+$D$4450)^E4424</f>
        <v>-5055.0430340234061</v>
      </c>
      <c r="F4444" s="16">
        <f>F4443/(Inputs!$D$7+$D$4450)^F4424</f>
        <v>-2205.6981692813088</v>
      </c>
      <c r="G4444" s="16">
        <f>G4443/(Inputs!$D$7+$D$4450)^G4424</f>
        <v>-1707.48099456625</v>
      </c>
      <c r="H4444" s="16">
        <f>H4443/(Inputs!$D$7+$D$4450)^H4424</f>
        <v>753.04995351431626</v>
      </c>
      <c r="I4444" s="16">
        <f>I4443/(Inputs!$D$7+$D$4450)^I4424</f>
        <v>6324.2533700318063</v>
      </c>
      <c r="J4444" s="16">
        <f>J4443/(Inputs!$D$7+$D$4450)^J4424</f>
        <v>5226.6107507964734</v>
      </c>
      <c r="K4444" s="16">
        <f>K4443/(Inputs!$D$7+$D$4450)^K4424</f>
        <v>2773.9255234374436</v>
      </c>
      <c r="L4444" s="16">
        <f>L4443/(Inputs!$D$7+$D$4450)^L4424</f>
        <v>1942.1047049072729</v>
      </c>
      <c r="M4444" s="16">
        <f>M4443/(Inputs!$D$7+$D$4450)^M4424</f>
        <v>4319.5501468696157</v>
      </c>
    </row>
    <row r="4445" spans="2:13" ht="15" customHeight="1" x14ac:dyDescent="0.2">
      <c r="B4445" s="3" t="s">
        <v>910</v>
      </c>
      <c r="C4445" s="10" t="s">
        <v>896</v>
      </c>
      <c r="D4445" s="28">
        <f>(D4431*$D$4449-D4435)/(Inputs!$D$7+$D$4450)^D4424</f>
        <v>30.665737923868878</v>
      </c>
      <c r="E4445" s="28">
        <f>(E4431*$D$4449-E4435)/(Inputs!$D$7+$D$4450)^E4424</f>
        <v>99.082332568922538</v>
      </c>
      <c r="F4445" s="28">
        <f>(F4431*$D$4449-F4435)/(Inputs!$D$7+$D$4450)^F4424</f>
        <v>173.87984328077783</v>
      </c>
      <c r="G4445" s="28">
        <f>(G4431*$D$4449-G4435)/(Inputs!$D$7+$D$4450)^G4424</f>
        <v>243.22301452630424</v>
      </c>
      <c r="H4445" s="28">
        <f>(H4431*$D$4449-H4435)/(Inputs!$D$7+$D$4450)^H4424</f>
        <v>303.91251959440808</v>
      </c>
      <c r="I4445" s="28">
        <f>(I4431*$D$4449-I4435)/(Inputs!$D$7+$D$4450)^I4424</f>
        <v>316.98802826091918</v>
      </c>
      <c r="J4445" s="28">
        <f>(J4431*$D$4449-J4435)/(Inputs!$D$7+$D$4450)^J4424</f>
        <v>288.18973459066564</v>
      </c>
      <c r="K4445" s="28">
        <f>(K4431*$D$4449-K4435)/(Inputs!$D$7+$D$4450)^K4424</f>
        <v>262.00775965922423</v>
      </c>
      <c r="L4445" s="28">
        <f>(L4431*$D$4449-L4435)/(Inputs!$D$7+$D$4450)^L4424</f>
        <v>238.2044114761793</v>
      </c>
      <c r="M4445" s="28">
        <f>(M4431*$D$4449-M4435)/(Inputs!$D$7+$D$4450)^M4424</f>
        <v>216.50708849185102</v>
      </c>
    </row>
    <row r="4446" spans="2:13" ht="15" customHeight="1" x14ac:dyDescent="0.2">
      <c r="B4446" s="10" t="s">
        <v>911</v>
      </c>
      <c r="C4446" s="10" t="s">
        <v>110</v>
      </c>
      <c r="D4446" s="16">
        <f>(-D4433-D4434)/(Inputs!$D$7+$D$4450)^D4424</f>
        <v>-3876.3859726738942</v>
      </c>
      <c r="E4446" s="16">
        <f>(-E4433-E4434)/(Inputs!$D$7+$D$4450)^E4424</f>
        <v>-8808.24410023788</v>
      </c>
      <c r="F4446" s="16">
        <f>(-F4433-F4434)/(Inputs!$D$7+$D$4450)^F4424</f>
        <v>-8808.8187359072599</v>
      </c>
      <c r="G4446" s="16">
        <f>(-G4433-G4434)/(Inputs!$D$7+$D$4450)^G4424</f>
        <v>-10951.972941072034</v>
      </c>
      <c r="H4446" s="16">
        <f>(-H4433-H4434)/(Inputs!$D$7+$D$4450)^H4424</f>
        <v>-10805.888812441568</v>
      </c>
      <c r="I4446" s="16">
        <f>(-I4433-I4434)/(Inputs!$D$7+$D$4450)^I4424</f>
        <v>-5753.5659292933024</v>
      </c>
      <c r="J4446" s="16">
        <f>(-J4433-J4434)/(Inputs!$D$7+$D$4450)^J4424</f>
        <v>-5753.9412826749158</v>
      </c>
      <c r="K4446" s="16">
        <f>(-K4433-K4434)/(Inputs!$D$7+$D$4450)^K4424</f>
        <v>-7209.0457374846392</v>
      </c>
      <c r="L4446" s="16">
        <f>(-L4433-L4434)/(Inputs!$D$7+$D$4450)^L4424</f>
        <v>-7133.915780457146</v>
      </c>
      <c r="M4446" s="16">
        <f>(-M4433-M4434)/(Inputs!$D$7+$D$4450)^M4424</f>
        <v>-3929.7629460373614</v>
      </c>
    </row>
    <row r="4447" spans="2:13" ht="15" customHeight="1" x14ac:dyDescent="0.2">
      <c r="B4447" s="10" t="s">
        <v>912</v>
      </c>
      <c r="C4447" s="10" t="s">
        <v>110</v>
      </c>
      <c r="D4447" s="16">
        <f>Prices!I6</f>
        <v>43700</v>
      </c>
    </row>
    <row r="4448" spans="2:13" ht="15" customHeight="1" x14ac:dyDescent="0.2">
      <c r="B4448" s="3" t="s">
        <v>913</v>
      </c>
      <c r="C4448" s="10" t="s">
        <v>914</v>
      </c>
      <c r="D4448" s="28">
        <f>IF(J4455&gt;=J4451,J4455,(D4447-J4454)/J4453)</f>
        <v>44.096988868322626</v>
      </c>
      <c r="G4448" s="99" t="s">
        <v>915</v>
      </c>
      <c r="H4448" s="91"/>
      <c r="I4448" s="91"/>
      <c r="J4448" s="28">
        <f>D4448*Inputs!$D$15</f>
        <v>30.77528853120236</v>
      </c>
      <c r="K4448" s="99" t="s">
        <v>916</v>
      </c>
      <c r="L4448" s="91"/>
      <c r="M4448" s="91"/>
    </row>
    <row r="4449" spans="2:13" ht="15" customHeight="1" x14ac:dyDescent="0.2">
      <c r="B4449" s="10" t="s">
        <v>917</v>
      </c>
      <c r="C4449" s="10" t="s">
        <v>104</v>
      </c>
      <c r="D4449" s="30">
        <f>Inputs!$D$81</f>
        <v>0.6</v>
      </c>
      <c r="G4449" s="99" t="s">
        <v>918</v>
      </c>
      <c r="H4449" s="91"/>
      <c r="I4449" s="91"/>
      <c r="J4449" s="28">
        <f>IF(-D4460/D4459&gt;=J4451,-D4460/D4459,-J4454/J4453)</f>
        <v>31.904742398820275</v>
      </c>
      <c r="K4449" s="99" t="s">
        <v>919</v>
      </c>
      <c r="L4449" s="91"/>
      <c r="M4449" s="91"/>
    </row>
    <row r="4450" spans="2:13" ht="15" customHeight="1" x14ac:dyDescent="0.2">
      <c r="B4450" s="10" t="s">
        <v>920</v>
      </c>
      <c r="C4450" s="10" t="s">
        <v>104</v>
      </c>
      <c r="D4450" s="30">
        <f>Inputs!$D$82</f>
        <v>0.1</v>
      </c>
      <c r="G4450" s="99" t="s">
        <v>918</v>
      </c>
      <c r="H4450" s="91"/>
      <c r="I4450" s="91"/>
      <c r="J4450" s="28">
        <f>J4449*Inputs!$D$15</f>
        <v>22.266319720136668</v>
      </c>
      <c r="K4450" s="99" t="s">
        <v>916</v>
      </c>
      <c r="L4450" s="91"/>
      <c r="M4450" s="91"/>
    </row>
    <row r="4451" spans="2:13" ht="15" customHeight="1" x14ac:dyDescent="0.2">
      <c r="B4451" s="3" t="s">
        <v>921</v>
      </c>
      <c r="C4451" s="10" t="s">
        <v>848</v>
      </c>
      <c r="D4451" s="28">
        <f>Capital!$D$13</f>
        <v>57.347931490590682</v>
      </c>
      <c r="G4451" s="99" t="s">
        <v>922</v>
      </c>
      <c r="H4451" s="91"/>
      <c r="I4451" s="91"/>
      <c r="J4451" s="28">
        <f>($D$4451/Inputs!$D$21+$D$4452/Inputs!$D$22)/$D$4449</f>
        <v>24.113076913095469</v>
      </c>
      <c r="K4451" s="99" t="s">
        <v>919</v>
      </c>
      <c r="L4451" s="91"/>
      <c r="M4451" s="91"/>
    </row>
    <row r="4452" spans="2:13" ht="15" customHeight="1" x14ac:dyDescent="0.2">
      <c r="B4452" s="3" t="s">
        <v>923</v>
      </c>
      <c r="C4452" s="10" t="s">
        <v>848</v>
      </c>
      <c r="D4452" s="28">
        <f>Capital!$D$14</f>
        <v>2.6172655041921802</v>
      </c>
    </row>
    <row r="4453" spans="2:13" ht="15" customHeight="1" x14ac:dyDescent="0.2">
      <c r="B4453" s="10" t="s">
        <v>924</v>
      </c>
      <c r="C4453" s="10" t="s">
        <v>896</v>
      </c>
      <c r="D4453" s="28">
        <f>(M4426*(Inputs!$D$7+Inputs!$D$20)*$D$4449*(Inputs!$D$7-Inputs!$D$19)-M4426*Inputs!$D$20*Inputs!$D$23)/($D$4450-Inputs!$D$20)/(Inputs!$D$7+$D$4450)^M4424</f>
        <v>2068.2441036763203</v>
      </c>
      <c r="G4453" s="92" t="s">
        <v>910</v>
      </c>
      <c r="H4453" s="91"/>
      <c r="I4453" s="91"/>
      <c r="J4453" s="28">
        <f>SUM(D4445:M4445)+(M4426*(Inputs!$D$7+Inputs!$D$20)*$D$4449-M4426*Inputs!$D$20*Inputs!$D$23)/($D$4450-Inputs!$D$20)/(Inputs!$D$7+$D$4450)^M4424</f>
        <v>5128.5836368660293</v>
      </c>
      <c r="K4453" s="99" t="s">
        <v>896</v>
      </c>
      <c r="L4453" s="91"/>
      <c r="M4453" s="91"/>
    </row>
    <row r="4454" spans="2:13" ht="15" customHeight="1" x14ac:dyDescent="0.2">
      <c r="B4454" s="10" t="s">
        <v>925</v>
      </c>
      <c r="C4454" s="10" t="s">
        <v>110</v>
      </c>
      <c r="D4454" s="16">
        <f>(D4457*Inputs!$D$19-D4457-D4458)/($D$4450-Inputs!$D$20)/(Inputs!$D$7+$D$4450)^M4424</f>
        <v>-57156.954988173631</v>
      </c>
      <c r="G4454" s="92" t="s">
        <v>926</v>
      </c>
      <c r="H4454" s="91"/>
      <c r="I4454" s="91"/>
      <c r="J4454" s="16">
        <f>SUM(D4446:M4446)-(D4457+D4458)/($D$4450-Inputs!$D$20)/(Inputs!$D$7+$D$4450)^M4424</f>
        <v>-151593.17074229455</v>
      </c>
      <c r="K4454" s="99" t="s">
        <v>110</v>
      </c>
      <c r="L4454" s="91"/>
      <c r="M4454" s="91"/>
    </row>
    <row r="4455" spans="2:13" ht="15" customHeight="1" x14ac:dyDescent="0.2">
      <c r="B4455" s="10" t="s">
        <v>927</v>
      </c>
      <c r="C4455" s="10" t="s">
        <v>928</v>
      </c>
      <c r="D4455" s="16">
        <f>(M4426*(Inputs!$D$7+Inputs!$D$20)*$D$4448*$D$4449-D4457)-MAX((M4426*(Inputs!$D$7+Inputs!$D$20)*$D$4448*$D$4449-D4457),Inputs!$D$6)*Inputs!$D$19-D4458-M4426*Inputs!$D$20*$D$4448*Inputs!$D$23</f>
        <v>6446.5854175236582</v>
      </c>
      <c r="G4455" s="99" t="s">
        <v>929</v>
      </c>
      <c r="H4455" s="91"/>
      <c r="I4455" s="91"/>
      <c r="J4455" s="28">
        <f>(D4447-D4460)/D4459</f>
        <v>44.096988868322626</v>
      </c>
      <c r="K4455" s="99" t="s">
        <v>919</v>
      </c>
      <c r="L4455" s="91"/>
      <c r="M4455" s="91"/>
    </row>
    <row r="4456" spans="2:13" ht="15" customHeight="1" x14ac:dyDescent="0.2">
      <c r="B4456" s="10" t="s">
        <v>930</v>
      </c>
      <c r="C4456" s="10" t="s">
        <v>110</v>
      </c>
      <c r="D4456" s="16">
        <f>D4455/($D$4450-Inputs!$D$20)</f>
        <v>85954.472233648761</v>
      </c>
      <c r="G4456" s="99" t="s">
        <v>931</v>
      </c>
      <c r="H4456" s="91"/>
      <c r="I4456" s="91"/>
      <c r="J4456" s="16">
        <f>MIN(D4440:M4440,(M4426*(Inputs!$D$7+Inputs!$D$20)*$D$4448*$D$4449-D4457))</f>
        <v>690.58490716604774</v>
      </c>
      <c r="K4456" s="99" t="s">
        <v>110</v>
      </c>
      <c r="L4456" s="91"/>
      <c r="M4456" s="91"/>
    </row>
    <row r="4457" spans="2:13" ht="15" customHeight="1" x14ac:dyDescent="0.2">
      <c r="B4457" s="10" t="s">
        <v>932</v>
      </c>
      <c r="C4457" s="10" t="s">
        <v>928</v>
      </c>
      <c r="D4457" s="16">
        <f>M4426*(Inputs!$D$7+Inputs!$D$20)*($D$4451/Inputs!$D$21+$D$4452/Inputs!$D$22)</f>
        <v>13509.71303671543</v>
      </c>
      <c r="G4457" s="99" t="s">
        <v>933</v>
      </c>
      <c r="H4457" s="91"/>
      <c r="I4457" s="91"/>
      <c r="J4457" s="31" t="str">
        <f>IF(J4456&lt;Inputs!$D$6,"breached","satisfied")</f>
        <v>satisfied</v>
      </c>
      <c r="K4457" s="99" t="s">
        <v>934</v>
      </c>
      <c r="L4457" s="91"/>
      <c r="M4457" s="91"/>
    </row>
    <row r="4458" spans="2:13" ht="15" customHeight="1" x14ac:dyDescent="0.2">
      <c r="B4458" s="10" t="s">
        <v>935</v>
      </c>
      <c r="C4458" s="10" t="s">
        <v>928</v>
      </c>
      <c r="D4458" s="16">
        <f>M4426*Inputs!$D$20*($D$4451+$D$4452)</f>
        <v>1365.7073615561799</v>
      </c>
    </row>
    <row r="4459" spans="2:13" ht="15" customHeight="1" x14ac:dyDescent="0.2">
      <c r="B4459" s="10" t="s">
        <v>936</v>
      </c>
      <c r="C4459" s="10" t="s">
        <v>896</v>
      </c>
      <c r="D4459" s="28">
        <f>SUM(D4436:M4436)+D4453</f>
        <v>3584.2451273693523</v>
      </c>
      <c r="G4459" s="99" t="s">
        <v>937</v>
      </c>
      <c r="H4459" s="91"/>
      <c r="I4459" s="91"/>
      <c r="J4459" s="16">
        <f>D4461-D4447</f>
        <v>0</v>
      </c>
      <c r="K4459" s="99" t="s">
        <v>110</v>
      </c>
      <c r="L4459" s="91"/>
      <c r="M4459" s="91"/>
    </row>
    <row r="4460" spans="2:13" ht="15" customHeight="1" x14ac:dyDescent="0.2">
      <c r="B4460" s="10" t="s">
        <v>938</v>
      </c>
      <c r="C4460" s="10" t="s">
        <v>110</v>
      </c>
      <c r="D4460" s="16">
        <f>SUM(D4437:M4437)+D4454</f>
        <v>-114354.41748294595</v>
      </c>
    </row>
    <row r="4461" spans="2:13" ht="15" customHeight="1" x14ac:dyDescent="0.2">
      <c r="B4461" s="10" t="s">
        <v>939</v>
      </c>
      <c r="C4461" s="10" t="s">
        <v>110</v>
      </c>
      <c r="D4461" s="16">
        <f>SUM(D4444:M4444)+D4456/(Inputs!$D$7+$D$4450)^M4424</f>
        <v>43700.000000000007</v>
      </c>
    </row>
    <row r="4462" spans="2:13" ht="15" customHeight="1" x14ac:dyDescent="0.2">
      <c r="B4462" s="10" t="s">
        <v>940</v>
      </c>
      <c r="C4462" s="10" t="s">
        <v>104</v>
      </c>
      <c r="D4462" s="30">
        <f>IF(ABS(D4447)&gt;Inputs!$D$6,D4461/D4447-Inputs!$D$7,Inputs!$D$6)</f>
        <v>2.2204460492503131E-16</v>
      </c>
    </row>
    <row r="4463" spans="2:13" ht="15" customHeight="1" x14ac:dyDescent="0.2">
      <c r="B4463" s="10" t="s">
        <v>941</v>
      </c>
      <c r="C4463" s="10" t="s">
        <v>104</v>
      </c>
      <c r="D4463" s="30">
        <f>IF(ABS(D4461)&gt;Inputs!$D$119,D4456/(Inputs!$D$7+$D$4450)^M4424/D4461,Inputs!$D$6)</f>
        <v>0.77909341484244776</v>
      </c>
    </row>
    <row r="4464" spans="2:13" ht="15" customHeight="1" x14ac:dyDescent="0.2">
      <c r="B4464" s="10" t="s">
        <v>942</v>
      </c>
      <c r="C4464" s="10" t="s">
        <v>943</v>
      </c>
      <c r="D4464" s="26">
        <f>$D$4448*Inputs!$D$8/Prices!$P$6/(Inputs!$D$26/Inputs!$D$25)/Inputs!$D$11/Inputs!$D$56</f>
        <v>8.0191713712930515</v>
      </c>
    </row>
    <row r="4468" spans="1:13" ht="15" customHeight="1" x14ac:dyDescent="0.2">
      <c r="A4468" s="104" t="s">
        <v>1040</v>
      </c>
      <c r="B4468" s="10" t="s">
        <v>886</v>
      </c>
      <c r="C4468" s="10" t="s">
        <v>107</v>
      </c>
      <c r="D4468" s="28">
        <f>Inputs!$D$60</f>
        <v>1</v>
      </c>
      <c r="E4468" s="28">
        <f>Inputs!$D$62</f>
        <v>2</v>
      </c>
      <c r="F4468" s="28">
        <f>Inputs!$D$64</f>
        <v>3</v>
      </c>
      <c r="G4468" s="28">
        <f>Inputs!$D$66</f>
        <v>4</v>
      </c>
      <c r="H4468" s="28">
        <f>Inputs!$D$68</f>
        <v>5</v>
      </c>
      <c r="I4468" s="28">
        <f>Inputs!$D$70</f>
        <v>6</v>
      </c>
      <c r="J4468" s="28">
        <f>Inputs!$D$72</f>
        <v>7</v>
      </c>
      <c r="K4468" s="28">
        <f>Inputs!$D$74</f>
        <v>8</v>
      </c>
      <c r="L4468" s="28">
        <f>Inputs!$D$76</f>
        <v>9</v>
      </c>
      <c r="M4468" s="28">
        <f>Inputs!$D$78</f>
        <v>10</v>
      </c>
    </row>
    <row r="4469" spans="1:13" ht="15" customHeight="1" x14ac:dyDescent="0.2">
      <c r="A4469" s="91"/>
      <c r="B4469" s="10" t="s">
        <v>887</v>
      </c>
      <c r="C4469" s="10" t="s">
        <v>161</v>
      </c>
      <c r="D4469" s="29">
        <f>Inputs!$D$61</f>
        <v>46568</v>
      </c>
      <c r="E4469" s="29">
        <f>Inputs!$D$63</f>
        <v>46934</v>
      </c>
      <c r="F4469" s="29">
        <f>Inputs!$D$65</f>
        <v>47299</v>
      </c>
      <c r="G4469" s="29">
        <f>Inputs!$D$67</f>
        <v>47664</v>
      </c>
      <c r="H4469" s="29">
        <f>Inputs!$D$69</f>
        <v>48029</v>
      </c>
      <c r="I4469" s="29">
        <f>Inputs!$D$71</f>
        <v>48395</v>
      </c>
      <c r="J4469" s="29">
        <f>Inputs!$D$73</f>
        <v>48760</v>
      </c>
      <c r="K4469" s="29">
        <f>Inputs!$D$75</f>
        <v>49125</v>
      </c>
      <c r="L4469" s="29">
        <f>Inputs!$D$77</f>
        <v>49490</v>
      </c>
      <c r="M4469" s="29">
        <f>Inputs!$D$79</f>
        <v>49856</v>
      </c>
    </row>
    <row r="4470" spans="1:13" ht="15" customHeight="1" x14ac:dyDescent="0.2">
      <c r="A4470" s="91"/>
      <c r="B4470" s="10" t="s">
        <v>888</v>
      </c>
      <c r="C4470" s="10" t="s">
        <v>107</v>
      </c>
      <c r="D4470" s="28">
        <f>(D4469-Inputs!$D$13)/Inputs!$D$10</f>
        <v>0.71457905544147848</v>
      </c>
      <c r="E4470" s="28">
        <f>(E4469-Inputs!$D$13)/Inputs!$D$10</f>
        <v>1.7166324435318274</v>
      </c>
      <c r="F4470" s="28">
        <f>(F4469-Inputs!$D$13)/Inputs!$D$10</f>
        <v>2.7159479808350446</v>
      </c>
      <c r="G4470" s="28">
        <f>(G4469-Inputs!$D$13)/Inputs!$D$10</f>
        <v>3.7152635181382614</v>
      </c>
      <c r="H4470" s="28">
        <f>(H4469-Inputs!$D$13)/Inputs!$D$10</f>
        <v>4.7145790554414786</v>
      </c>
      <c r="I4470" s="28">
        <f>(I4469-Inputs!$D$13)/Inputs!$D$10</f>
        <v>5.7166324435318279</v>
      </c>
      <c r="J4470" s="28">
        <f>(J4469-Inputs!$D$13)/Inputs!$D$10</f>
        <v>6.7159479808350442</v>
      </c>
      <c r="K4470" s="28">
        <f>(K4469-Inputs!$D$13)/Inputs!$D$10</f>
        <v>7.7152635181382614</v>
      </c>
      <c r="L4470" s="28">
        <f>(L4469-Inputs!$D$13)/Inputs!$D$10</f>
        <v>8.7145790554414777</v>
      </c>
      <c r="M4470" s="28">
        <f>(M4469-Inputs!$D$13)/Inputs!$D$10</f>
        <v>9.716632443531827</v>
      </c>
    </row>
    <row r="4471" spans="1:13" ht="15" customHeight="1" x14ac:dyDescent="0.2">
      <c r="A4471" s="91"/>
      <c r="B4471" s="10" t="s">
        <v>889</v>
      </c>
      <c r="C4471" s="10" t="s">
        <v>107</v>
      </c>
      <c r="D4471" s="28">
        <f>D4470</f>
        <v>0.71457905544147848</v>
      </c>
      <c r="E4471" s="28">
        <f>Inputs!$D$7</f>
        <v>1</v>
      </c>
      <c r="F4471" s="28">
        <f>Inputs!$D$7</f>
        <v>1</v>
      </c>
      <c r="G4471" s="28">
        <f>Inputs!$D$7</f>
        <v>1</v>
      </c>
      <c r="H4471" s="28">
        <f>Inputs!$D$7</f>
        <v>1</v>
      </c>
      <c r="I4471" s="28">
        <f>Inputs!$D$7</f>
        <v>1</v>
      </c>
      <c r="J4471" s="28">
        <f>Inputs!$D$7</f>
        <v>1</v>
      </c>
      <c r="K4471" s="28">
        <f>Inputs!$D$7</f>
        <v>1</v>
      </c>
      <c r="L4471" s="28">
        <f>Inputs!$D$7</f>
        <v>1</v>
      </c>
      <c r="M4471" s="28">
        <f>Inputs!$D$7</f>
        <v>1</v>
      </c>
    </row>
    <row r="4472" spans="1:13" ht="15" customHeight="1" x14ac:dyDescent="0.2">
      <c r="A4472" s="91"/>
      <c r="B4472" s="3" t="s">
        <v>890</v>
      </c>
      <c r="C4472" s="10" t="s">
        <v>199</v>
      </c>
      <c r="D4472" s="28">
        <f>Inputs!$D$24+(Inputs!$D$93-Inputs!$D$24)*Inputs!$D$83</f>
        <v>512.20000000000005</v>
      </c>
      <c r="E4472" s="28">
        <f>Inputs!$D$24+(Inputs!$D$93-Inputs!$D$24)*Inputs!$D$84</f>
        <v>1133.8</v>
      </c>
      <c r="F4472" s="28">
        <f>Inputs!$D$24+(Inputs!$D$93-Inputs!$D$24)*Inputs!$D$85</f>
        <v>1600</v>
      </c>
      <c r="G4472" s="28">
        <f>Inputs!$D$24+(Inputs!$D$93-Inputs!$D$24)*Inputs!$D$86</f>
        <v>1600</v>
      </c>
      <c r="H4472" s="28">
        <f>Inputs!$D$24+(Inputs!$D$93-Inputs!$D$24)*Inputs!$D$87</f>
        <v>1600</v>
      </c>
      <c r="I4472" s="28">
        <f>Inputs!$D$24+(Inputs!$D$93-Inputs!$D$24)*Inputs!$D$88</f>
        <v>1600</v>
      </c>
      <c r="J4472" s="28">
        <f>Inputs!$D$24+(Inputs!$D$93-Inputs!$D$24)*Inputs!$D$89</f>
        <v>1600</v>
      </c>
      <c r="K4472" s="28">
        <f>Inputs!$D$24+(Inputs!$D$93-Inputs!$D$24)*Inputs!$D$90</f>
        <v>1600</v>
      </c>
      <c r="L4472" s="28">
        <f>Inputs!$D$24+(Inputs!$D$93-Inputs!$D$24)*Inputs!$D$91</f>
        <v>1600</v>
      </c>
      <c r="M4472" s="28">
        <f>Inputs!$D$24+(Inputs!$D$93-Inputs!$D$24)*Inputs!$D$92</f>
        <v>1600</v>
      </c>
    </row>
    <row r="4473" spans="1:13" ht="15" customHeight="1" x14ac:dyDescent="0.2">
      <c r="A4473" s="91"/>
      <c r="B4473" s="10" t="s">
        <v>891</v>
      </c>
      <c r="C4473" s="10" t="s">
        <v>199</v>
      </c>
      <c r="D4473" s="28">
        <f>Inputs!$D$24</f>
        <v>46</v>
      </c>
      <c r="E4473" s="28">
        <f t="shared" ref="E4473:M4473" si="970">D4472</f>
        <v>512.20000000000005</v>
      </c>
      <c r="F4473" s="28">
        <f t="shared" si="970"/>
        <v>1133.8</v>
      </c>
      <c r="G4473" s="28">
        <f t="shared" si="970"/>
        <v>1600</v>
      </c>
      <c r="H4473" s="28">
        <f t="shared" si="970"/>
        <v>1600</v>
      </c>
      <c r="I4473" s="28">
        <f t="shared" si="970"/>
        <v>1600</v>
      </c>
      <c r="J4473" s="28">
        <f t="shared" si="970"/>
        <v>1600</v>
      </c>
      <c r="K4473" s="28">
        <f t="shared" si="970"/>
        <v>1600</v>
      </c>
      <c r="L4473" s="28">
        <f t="shared" si="970"/>
        <v>1600</v>
      </c>
      <c r="M4473" s="28">
        <f t="shared" si="970"/>
        <v>1600</v>
      </c>
    </row>
    <row r="4474" spans="1:13" ht="15" customHeight="1" x14ac:dyDescent="0.2">
      <c r="B4474" s="10" t="s">
        <v>892</v>
      </c>
      <c r="C4474" s="10" t="s">
        <v>199</v>
      </c>
      <c r="D4474" s="28">
        <f>(D4473+D4472)*Inputs!$D$12</f>
        <v>279.10000000000002</v>
      </c>
      <c r="E4474" s="28">
        <f>(E4473+E4472)*Inputs!$D$12</f>
        <v>823</v>
      </c>
      <c r="F4474" s="28">
        <f>(F4473+F4472)*Inputs!$D$12</f>
        <v>1366.9</v>
      </c>
      <c r="G4474" s="28">
        <f>(G4473+G4472)*Inputs!$D$12</f>
        <v>1600</v>
      </c>
      <c r="H4474" s="28">
        <f>(H4473+H4472)*Inputs!$D$12</f>
        <v>1600</v>
      </c>
      <c r="I4474" s="28">
        <f>(I4473+I4472)*Inputs!$D$12</f>
        <v>1600</v>
      </c>
      <c r="J4474" s="28">
        <f>(J4473+J4472)*Inputs!$D$12</f>
        <v>1600</v>
      </c>
      <c r="K4474" s="28">
        <f>(K4473+K4472)*Inputs!$D$12</f>
        <v>1600</v>
      </c>
      <c r="L4474" s="28">
        <f>(L4473+L4472)*Inputs!$D$12</f>
        <v>1600</v>
      </c>
      <c r="M4474" s="28">
        <f>(M4473+M4472)*Inputs!$D$12</f>
        <v>1600</v>
      </c>
    </row>
    <row r="4475" spans="1:13" ht="15" customHeight="1" x14ac:dyDescent="0.2">
      <c r="B4475" s="10" t="s">
        <v>893</v>
      </c>
      <c r="C4475" s="10" t="s">
        <v>199</v>
      </c>
      <c r="D4475" s="28">
        <f t="shared" ref="D4475:M4475" si="971">D4472-D4473</f>
        <v>466.20000000000005</v>
      </c>
      <c r="E4475" s="28">
        <f t="shared" si="971"/>
        <v>621.59999999999991</v>
      </c>
      <c r="F4475" s="28">
        <f t="shared" si="971"/>
        <v>466.20000000000005</v>
      </c>
      <c r="G4475" s="28">
        <f t="shared" si="971"/>
        <v>0</v>
      </c>
      <c r="H4475" s="28">
        <f t="shared" si="971"/>
        <v>0</v>
      </c>
      <c r="I4475" s="28">
        <f t="shared" si="971"/>
        <v>0</v>
      </c>
      <c r="J4475" s="28">
        <f t="shared" si="971"/>
        <v>0</v>
      </c>
      <c r="K4475" s="28">
        <f t="shared" si="971"/>
        <v>0</v>
      </c>
      <c r="L4475" s="28">
        <f t="shared" si="971"/>
        <v>0</v>
      </c>
      <c r="M4475" s="28">
        <f t="shared" si="971"/>
        <v>0</v>
      </c>
    </row>
    <row r="4476" spans="1:13" ht="15" customHeight="1" x14ac:dyDescent="0.2">
      <c r="B4476" s="10" t="s">
        <v>894</v>
      </c>
      <c r="C4476" s="10" t="s">
        <v>199</v>
      </c>
      <c r="D4476" s="28">
        <f>IF(MOD(D4468,Inputs!$D$21)=Inputs!$D$6,Inputs!$D$24,Inputs!$D$6)+SUMPRODUCT(--(D4468&gt;$D$4468:$M$4468),--(MOD(D4468-$D$4468:$M$4468,Inputs!$D$21)=Inputs!$D$6),$D$4475:$M$4475)</f>
        <v>0</v>
      </c>
      <c r="E4476" s="28">
        <f>IF(MOD(E4468,Inputs!$D$21)=Inputs!$D$6,Inputs!$D$24,Inputs!$D$6)+SUMPRODUCT(--(E4468&gt;$D$4468:$M$4468),--(MOD(E4468-$D$4468:$M$4468,Inputs!$D$21)=Inputs!$D$6),$D$4475:$M$4475)</f>
        <v>0</v>
      </c>
      <c r="F4476" s="28">
        <f>IF(MOD(F4468,Inputs!$D$21)=Inputs!$D$6,Inputs!$D$24,Inputs!$D$6)+SUMPRODUCT(--(F4468&gt;$D$4468:$M$4468),--(MOD(F4468-$D$4468:$M$4468,Inputs!$D$21)=Inputs!$D$6),$D$4475:$M$4475)</f>
        <v>0</v>
      </c>
      <c r="G4476" s="28">
        <f>IF(MOD(G4468,Inputs!$D$21)=Inputs!$D$6,Inputs!$D$24,Inputs!$D$6)+SUMPRODUCT(--(G4468&gt;$D$4468:$M$4468),--(MOD(G4468-$D$4468:$M$4468,Inputs!$D$21)=Inputs!$D$6),$D$4475:$M$4475)</f>
        <v>46</v>
      </c>
      <c r="H4476" s="28">
        <f>IF(MOD(H4468,Inputs!$D$21)=Inputs!$D$6,Inputs!$D$24,Inputs!$D$6)+SUMPRODUCT(--(H4468&gt;$D$4468:$M$4468),--(MOD(H4468-$D$4468:$M$4468,Inputs!$D$21)=Inputs!$D$6),$D$4475:$M$4475)</f>
        <v>466.20000000000005</v>
      </c>
      <c r="I4476" s="28">
        <f>IF(MOD(I4468,Inputs!$D$21)=Inputs!$D$6,Inputs!$D$24,Inputs!$D$6)+SUMPRODUCT(--(I4468&gt;$D$4468:$M$4468),--(MOD(I4468-$D$4468:$M$4468,Inputs!$D$21)=Inputs!$D$6),$D$4475:$M$4475)</f>
        <v>621.59999999999991</v>
      </c>
      <c r="J4476" s="28">
        <f>IF(MOD(J4468,Inputs!$D$21)=Inputs!$D$6,Inputs!$D$24,Inputs!$D$6)+SUMPRODUCT(--(J4468&gt;$D$4468:$M$4468),--(MOD(J4468-$D$4468:$M$4468,Inputs!$D$21)=Inputs!$D$6),$D$4475:$M$4475)</f>
        <v>466.20000000000005</v>
      </c>
      <c r="K4476" s="28">
        <f>IF(MOD(K4468,Inputs!$D$21)=Inputs!$D$6,Inputs!$D$24,Inputs!$D$6)+SUMPRODUCT(--(K4468&gt;$D$4468:$M$4468),--(MOD(K4468-$D$4468:$M$4468,Inputs!$D$21)=Inputs!$D$6),$D$4475:$M$4475)</f>
        <v>46</v>
      </c>
      <c r="L4476" s="28">
        <f>IF(MOD(L4468,Inputs!$D$21)=Inputs!$D$6,Inputs!$D$24,Inputs!$D$6)+SUMPRODUCT(--(L4468&gt;$D$4468:$M$4468),--(MOD(L4468-$D$4468:$M$4468,Inputs!$D$21)=Inputs!$D$6),$D$4475:$M$4475)</f>
        <v>466.20000000000005</v>
      </c>
      <c r="M4476" s="28">
        <f>IF(MOD(M4468,Inputs!$D$21)=Inputs!$D$6,Inputs!$D$24,Inputs!$D$6)+SUMPRODUCT(--(M4468&gt;$D$4468:$M$4468),--(MOD(M4468-$D$4468:$M$4468,Inputs!$D$21)=Inputs!$D$6),$D$4475:$M$4475)</f>
        <v>621.59999999999991</v>
      </c>
    </row>
    <row r="4477" spans="1:13" ht="15" customHeight="1" x14ac:dyDescent="0.2">
      <c r="B4477" s="10" t="s">
        <v>895</v>
      </c>
      <c r="C4477" s="10" t="s">
        <v>896</v>
      </c>
      <c r="D4477" s="28">
        <f t="shared" ref="D4477:M4477" si="972">D4474*D4471</f>
        <v>199.43901437371667</v>
      </c>
      <c r="E4477" s="28">
        <f t="shared" si="972"/>
        <v>823</v>
      </c>
      <c r="F4477" s="28">
        <f t="shared" si="972"/>
        <v>1366.9</v>
      </c>
      <c r="G4477" s="28">
        <f t="shared" si="972"/>
        <v>1600</v>
      </c>
      <c r="H4477" s="28">
        <f t="shared" si="972"/>
        <v>1600</v>
      </c>
      <c r="I4477" s="28">
        <f t="shared" si="972"/>
        <v>1600</v>
      </c>
      <c r="J4477" s="28">
        <f t="shared" si="972"/>
        <v>1600</v>
      </c>
      <c r="K4477" s="28">
        <f t="shared" si="972"/>
        <v>1600</v>
      </c>
      <c r="L4477" s="28">
        <f t="shared" si="972"/>
        <v>1600</v>
      </c>
      <c r="M4477" s="28">
        <f t="shared" si="972"/>
        <v>1600</v>
      </c>
    </row>
    <row r="4478" spans="1:13" ht="15" customHeight="1" x14ac:dyDescent="0.2">
      <c r="B4478" s="10" t="s">
        <v>897</v>
      </c>
      <c r="C4478" s="10" t="s">
        <v>110</v>
      </c>
      <c r="D4478" s="16">
        <f>D4477*($D$4497/Inputs!$D$21+$D$4498/Inputs!$D$22)</f>
        <v>2885.4529758392296</v>
      </c>
      <c r="E4478" s="16">
        <f>E4477*($D$4497/Inputs!$D$21+$D$4498/Inputs!$D$22)</f>
        <v>11907.037379686541</v>
      </c>
      <c r="F4478" s="16">
        <f>F4477*($D$4497/Inputs!$D$21+$D$4498/Inputs!$D$22)</f>
        <v>19776.098899506116</v>
      </c>
      <c r="G4478" s="16">
        <f>G4477*($D$4497/Inputs!$D$21+$D$4498/Inputs!$D$22)</f>
        <v>23148.553836571649</v>
      </c>
      <c r="H4478" s="16">
        <f>H4477*($D$4497/Inputs!$D$21+$D$4498/Inputs!$D$22)</f>
        <v>23148.553836571649</v>
      </c>
      <c r="I4478" s="16">
        <f>I4477*($D$4497/Inputs!$D$21+$D$4498/Inputs!$D$22)</f>
        <v>23148.553836571649</v>
      </c>
      <c r="J4478" s="16">
        <f>J4477*($D$4497/Inputs!$D$21+$D$4498/Inputs!$D$22)</f>
        <v>23148.553836571649</v>
      </c>
      <c r="K4478" s="16">
        <f>K4477*($D$4497/Inputs!$D$21+$D$4498/Inputs!$D$22)</f>
        <v>23148.553836571649</v>
      </c>
      <c r="L4478" s="16">
        <f>L4477*($D$4497/Inputs!$D$21+$D$4498/Inputs!$D$22)</f>
        <v>23148.553836571649</v>
      </c>
      <c r="M4478" s="16">
        <f>M4477*($D$4497/Inputs!$D$21+$D$4498/Inputs!$D$22)</f>
        <v>23148.553836571649</v>
      </c>
    </row>
    <row r="4479" spans="1:13" ht="15" customHeight="1" x14ac:dyDescent="0.2">
      <c r="B4479" s="10" t="s">
        <v>898</v>
      </c>
      <c r="C4479" s="10" t="s">
        <v>110</v>
      </c>
      <c r="D4479" s="16">
        <f t="shared" ref="D4479:M4479" si="973">D4475*($D$4497+$D$4498)</f>
        <v>27955.774838967773</v>
      </c>
      <c r="E4479" s="16">
        <f t="shared" si="973"/>
        <v>37274.366451957023</v>
      </c>
      <c r="F4479" s="16">
        <f t="shared" si="973"/>
        <v>27955.774838967773</v>
      </c>
      <c r="G4479" s="16">
        <f t="shared" si="973"/>
        <v>0</v>
      </c>
      <c r="H4479" s="16">
        <f t="shared" si="973"/>
        <v>0</v>
      </c>
      <c r="I4479" s="16">
        <f t="shared" si="973"/>
        <v>0</v>
      </c>
      <c r="J4479" s="16">
        <f t="shared" si="973"/>
        <v>0</v>
      </c>
      <c r="K4479" s="16">
        <f t="shared" si="973"/>
        <v>0</v>
      </c>
      <c r="L4479" s="16">
        <f t="shared" si="973"/>
        <v>0</v>
      </c>
      <c r="M4479" s="16">
        <f t="shared" si="973"/>
        <v>0</v>
      </c>
    </row>
    <row r="4480" spans="1:13" ht="15" customHeight="1" x14ac:dyDescent="0.2">
      <c r="B4480" s="10" t="s">
        <v>899</v>
      </c>
      <c r="C4480" s="10" t="s">
        <v>110</v>
      </c>
      <c r="D4480" s="16">
        <f t="shared" ref="D4480:M4480" si="974">D4476*$D$4497</f>
        <v>0</v>
      </c>
      <c r="E4480" s="16">
        <f t="shared" si="974"/>
        <v>0</v>
      </c>
      <c r="F4480" s="16">
        <f t="shared" si="974"/>
        <v>0</v>
      </c>
      <c r="G4480" s="16">
        <f t="shared" si="974"/>
        <v>2638.0048485671714</v>
      </c>
      <c r="H4480" s="16">
        <f t="shared" si="974"/>
        <v>26735.605660913378</v>
      </c>
      <c r="I4480" s="16">
        <f t="shared" si="974"/>
        <v>35647.474214551163</v>
      </c>
      <c r="J4480" s="16">
        <f t="shared" si="974"/>
        <v>26735.605660913378</v>
      </c>
      <c r="K4480" s="16">
        <f t="shared" si="974"/>
        <v>2638.0048485671714</v>
      </c>
      <c r="L4480" s="16">
        <f t="shared" si="974"/>
        <v>26735.605660913378</v>
      </c>
      <c r="M4480" s="16">
        <f t="shared" si="974"/>
        <v>35647.474214551163</v>
      </c>
    </row>
    <row r="4481" spans="2:13" ht="15" customHeight="1" x14ac:dyDescent="0.2">
      <c r="B4481" s="10" t="s">
        <v>900</v>
      </c>
      <c r="C4481" s="10" t="s">
        <v>199</v>
      </c>
      <c r="D4481" s="28">
        <f>D4475*Inputs!$D$23</f>
        <v>11.655000000000001</v>
      </c>
      <c r="E4481" s="28">
        <f>E4475*Inputs!$D$23</f>
        <v>15.54</v>
      </c>
      <c r="F4481" s="28">
        <f>F4475*Inputs!$D$23</f>
        <v>11.655000000000001</v>
      </c>
      <c r="G4481" s="28">
        <f>G4475*Inputs!$D$23</f>
        <v>0</v>
      </c>
      <c r="H4481" s="28">
        <f>H4475*Inputs!$D$23</f>
        <v>0</v>
      </c>
      <c r="I4481" s="28">
        <f>I4475*Inputs!$D$23</f>
        <v>0</v>
      </c>
      <c r="J4481" s="28">
        <f>J4475*Inputs!$D$23</f>
        <v>0</v>
      </c>
      <c r="K4481" s="28">
        <f>K4475*Inputs!$D$23</f>
        <v>0</v>
      </c>
      <c r="L4481" s="28">
        <f>L4475*Inputs!$D$23</f>
        <v>0</v>
      </c>
      <c r="M4481" s="28">
        <f>M4475*Inputs!$D$23</f>
        <v>0</v>
      </c>
    </row>
    <row r="4482" spans="2:13" ht="15" customHeight="1" x14ac:dyDescent="0.2">
      <c r="B4482" s="3" t="s">
        <v>901</v>
      </c>
      <c r="C4482" s="10" t="s">
        <v>896</v>
      </c>
      <c r="D4482" s="28">
        <f>(D4477*$D$4495*(Inputs!$D$7-Inputs!$D$19)-D4481)/(Inputs!$D$7+$D$4496)^D4470</f>
        <v>67.361764076638423</v>
      </c>
      <c r="E4482" s="28">
        <f>(E4477*$D$4495*(Inputs!$D$7-Inputs!$D$19)-E4481)/(Inputs!$D$7+$D$4496)^E4470</f>
        <v>280.29529652215348</v>
      </c>
      <c r="F4482" s="28">
        <f>(F4477*$D$4495*(Inputs!$D$7-Inputs!$D$19)-F4481)/(Inputs!$D$7+$D$4496)^F4470</f>
        <v>434.1683252988114</v>
      </c>
      <c r="G4482" s="28">
        <f>(G4477*$D$4495*(Inputs!$D$7-Inputs!$D$19)-G4481)/(Inputs!$D$7+$D$4496)^G4470</f>
        <v>471.61166655007548</v>
      </c>
      <c r="H4482" s="28">
        <f>(H4477*$D$4495*(Inputs!$D$7-Inputs!$D$19)-H4481)/(Inputs!$D$7+$D$4496)^H4470</f>
        <v>428.76584885109446</v>
      </c>
      <c r="I4482" s="28">
        <f>(I4477*$D$4495*(Inputs!$D$7-Inputs!$D$19)-I4481)/(Inputs!$D$7+$D$4496)^I4470</f>
        <v>389.71085801561958</v>
      </c>
      <c r="J4482" s="28">
        <f>(J4477*$D$4495*(Inputs!$D$7-Inputs!$D$19)-J4481)/(Inputs!$D$7+$D$4496)^J4470</f>
        <v>354.30571102255266</v>
      </c>
      <c r="K4482" s="28">
        <f>(K4477*$D$4495*(Inputs!$D$7-Inputs!$D$19)-K4481)/(Inputs!$D$7+$D$4496)^K4470</f>
        <v>322.1171139608465</v>
      </c>
      <c r="L4482" s="28">
        <f>(L4477*$D$4495*(Inputs!$D$7-Inputs!$D$19)-L4481)/(Inputs!$D$7+$D$4496)^L4470</f>
        <v>292.85284396632358</v>
      </c>
      <c r="M4482" s="28">
        <f>(M4477*$D$4495*(Inputs!$D$7-Inputs!$D$19)-M4481)/(Inputs!$D$7+$D$4496)^M4470</f>
        <v>266.1777597265347</v>
      </c>
    </row>
    <row r="4483" spans="2:13" ht="15" customHeight="1" x14ac:dyDescent="0.2">
      <c r="B4483" s="10" t="s">
        <v>902</v>
      </c>
      <c r="C4483" s="10" t="s">
        <v>110</v>
      </c>
      <c r="D4483" s="16">
        <f>(D4478*Inputs!$D$19-D4479-D4480)/(Inputs!$D$7+$D$4496)^D4470</f>
        <v>-25306.546745010444</v>
      </c>
      <c r="E4483" s="16">
        <f>(E4478*Inputs!$D$19-E4479-E4480)/(Inputs!$D$7+$D$4496)^E4470</f>
        <v>-28615.60531144682</v>
      </c>
      <c r="F4483" s="16">
        <f>(F4478*Inputs!$D$19-F4479-F4480)/(Inputs!$D$7+$D$4496)^F4470</f>
        <v>-17000.238641466985</v>
      </c>
      <c r="G4483" s="16">
        <f>(G4478*Inputs!$D$19-G4479-G4480)/(Inputs!$D$7+$D$4496)^G4470</f>
        <v>3022.3579656651286</v>
      </c>
      <c r="H4483" s="16">
        <f>(H4478*Inputs!$D$19-H4479-H4480)/(Inputs!$D$7+$D$4496)^H4470</f>
        <v>-12627.562284413363</v>
      </c>
      <c r="I4483" s="16">
        <f>(I4478*Inputs!$D$19-I4479-I4480)/(Inputs!$D$7+$D$4496)^I4470</f>
        <v>-16645.587691965891</v>
      </c>
      <c r="J4483" s="16">
        <f>(J4478*Inputs!$D$19-J4479-J4480)/(Inputs!$D$7+$D$4496)^J4470</f>
        <v>-10434.640365246118</v>
      </c>
      <c r="K4483" s="16">
        <f>(K4478*Inputs!$D$19-K4479-K4480)/(Inputs!$D$7+$D$4496)^K4470</f>
        <v>2064.3111574790846</v>
      </c>
      <c r="L4483" s="16">
        <f>(L4478*Inputs!$D$19-L4479-L4480)/(Inputs!$D$7+$D$4496)^L4470</f>
        <v>-8624.7949487148144</v>
      </c>
      <c r="M4483" s="16">
        <f>(M4478*Inputs!$D$19-M4479-M4480)/(Inputs!$D$7+$D$4496)^M4470</f>
        <v>-11369.160366071912</v>
      </c>
    </row>
    <row r="4484" spans="2:13" ht="15" customHeight="1" x14ac:dyDescent="0.2">
      <c r="B4484" s="10" t="s">
        <v>903</v>
      </c>
      <c r="C4484" s="10" t="s">
        <v>110</v>
      </c>
      <c r="D4484" s="16">
        <f t="shared" ref="D4484:M4484" si="975">D4477*$D$4494</f>
        <v>7748.4867831502488</v>
      </c>
      <c r="E4484" s="16">
        <f t="shared" si="975"/>
        <v>31974.709875888035</v>
      </c>
      <c r="F4484" s="16">
        <f t="shared" si="975"/>
        <v>53105.991408689377</v>
      </c>
      <c r="G4484" s="16">
        <f t="shared" si="975"/>
        <v>62162.254922747095</v>
      </c>
      <c r="H4484" s="16">
        <f t="shared" si="975"/>
        <v>62162.254922747095</v>
      </c>
      <c r="I4484" s="16">
        <f t="shared" si="975"/>
        <v>62162.254922747095</v>
      </c>
      <c r="J4484" s="16">
        <f t="shared" si="975"/>
        <v>62162.254922747095</v>
      </c>
      <c r="K4484" s="16">
        <f t="shared" si="975"/>
        <v>62162.254922747095</v>
      </c>
      <c r="L4484" s="16">
        <f t="shared" si="975"/>
        <v>62162.254922747095</v>
      </c>
      <c r="M4484" s="16">
        <f t="shared" si="975"/>
        <v>62162.254922747095</v>
      </c>
    </row>
    <row r="4485" spans="2:13" ht="15" customHeight="1" x14ac:dyDescent="0.2">
      <c r="B4485" s="10" t="s">
        <v>904</v>
      </c>
      <c r="C4485" s="10" t="s">
        <v>110</v>
      </c>
      <c r="D4485" s="16">
        <f t="shared" ref="D4485:M4485" si="976">D4484*$D$4495</f>
        <v>4649.0920698901491</v>
      </c>
      <c r="E4485" s="16">
        <f t="shared" si="976"/>
        <v>19184.825925532819</v>
      </c>
      <c r="F4485" s="16">
        <f t="shared" si="976"/>
        <v>31863.594845213625</v>
      </c>
      <c r="G4485" s="16">
        <f t="shared" si="976"/>
        <v>37297.352953648253</v>
      </c>
      <c r="H4485" s="16">
        <f t="shared" si="976"/>
        <v>37297.352953648253</v>
      </c>
      <c r="I4485" s="16">
        <f t="shared" si="976"/>
        <v>37297.352953648253</v>
      </c>
      <c r="J4485" s="16">
        <f t="shared" si="976"/>
        <v>37297.352953648253</v>
      </c>
      <c r="K4485" s="16">
        <f t="shared" si="976"/>
        <v>37297.352953648253</v>
      </c>
      <c r="L4485" s="16">
        <f t="shared" si="976"/>
        <v>37297.352953648253</v>
      </c>
      <c r="M4485" s="16">
        <f t="shared" si="976"/>
        <v>37297.352953648253</v>
      </c>
    </row>
    <row r="4486" spans="2:13" ht="15" customHeight="1" x14ac:dyDescent="0.2">
      <c r="B4486" s="10" t="s">
        <v>905</v>
      </c>
      <c r="C4486" s="10" t="s">
        <v>110</v>
      </c>
      <c r="D4486" s="16">
        <f t="shared" ref="D4486:M4486" si="977">D4485-D4478</f>
        <v>1763.6390940509195</v>
      </c>
      <c r="E4486" s="16">
        <f t="shared" si="977"/>
        <v>7277.7885458462788</v>
      </c>
      <c r="F4486" s="16">
        <f t="shared" si="977"/>
        <v>12087.495945707509</v>
      </c>
      <c r="G4486" s="16">
        <f t="shared" si="977"/>
        <v>14148.799117076604</v>
      </c>
      <c r="H4486" s="16">
        <f t="shared" si="977"/>
        <v>14148.799117076604</v>
      </c>
      <c r="I4486" s="16">
        <f t="shared" si="977"/>
        <v>14148.799117076604</v>
      </c>
      <c r="J4486" s="16">
        <f t="shared" si="977"/>
        <v>14148.799117076604</v>
      </c>
      <c r="K4486" s="16">
        <f t="shared" si="977"/>
        <v>14148.799117076604</v>
      </c>
      <c r="L4486" s="16">
        <f t="shared" si="977"/>
        <v>14148.799117076604</v>
      </c>
      <c r="M4486" s="16">
        <f t="shared" si="977"/>
        <v>14148.799117076604</v>
      </c>
    </row>
    <row r="4487" spans="2:13" ht="15" customHeight="1" x14ac:dyDescent="0.2">
      <c r="B4487" s="10" t="s">
        <v>906</v>
      </c>
      <c r="C4487" s="10" t="s">
        <v>110</v>
      </c>
      <c r="D4487" s="16">
        <f>MAX(D4486,Inputs!$D$6)*Inputs!$D$19</f>
        <v>529.09172821527579</v>
      </c>
      <c r="E4487" s="16">
        <f>MAX(E4486,Inputs!$D$6)*Inputs!$D$19</f>
        <v>2183.3365637538836</v>
      </c>
      <c r="F4487" s="16">
        <f>MAX(F4486,Inputs!$D$6)*Inputs!$D$19</f>
        <v>3626.2487837122526</v>
      </c>
      <c r="G4487" s="16">
        <f>MAX(G4486,Inputs!$D$6)*Inputs!$D$19</f>
        <v>4244.6397351229807</v>
      </c>
      <c r="H4487" s="16">
        <f>MAX(H4486,Inputs!$D$6)*Inputs!$D$19</f>
        <v>4244.6397351229807</v>
      </c>
      <c r="I4487" s="16">
        <f>MAX(I4486,Inputs!$D$6)*Inputs!$D$19</f>
        <v>4244.6397351229807</v>
      </c>
      <c r="J4487" s="16">
        <f>MAX(J4486,Inputs!$D$6)*Inputs!$D$19</f>
        <v>4244.6397351229807</v>
      </c>
      <c r="K4487" s="16">
        <f>MAX(K4486,Inputs!$D$6)*Inputs!$D$19</f>
        <v>4244.6397351229807</v>
      </c>
      <c r="L4487" s="16">
        <f>MAX(L4486,Inputs!$D$6)*Inputs!$D$19</f>
        <v>4244.6397351229807</v>
      </c>
      <c r="M4487" s="16">
        <f>MAX(M4486,Inputs!$D$6)*Inputs!$D$19</f>
        <v>4244.6397351229807</v>
      </c>
    </row>
    <row r="4488" spans="2:13" ht="15" customHeight="1" x14ac:dyDescent="0.2">
      <c r="B4488" s="10" t="s">
        <v>907</v>
      </c>
      <c r="C4488" s="10" t="s">
        <v>110</v>
      </c>
      <c r="D4488" s="16">
        <f t="shared" ref="D4488:M4488" si="978">D4481*$D$4494</f>
        <v>452.81317570288587</v>
      </c>
      <c r="E4488" s="16">
        <f t="shared" si="978"/>
        <v>603.75090093718109</v>
      </c>
      <c r="F4488" s="16">
        <f t="shared" si="978"/>
        <v>452.81317570288587</v>
      </c>
      <c r="G4488" s="16">
        <f t="shared" si="978"/>
        <v>0</v>
      </c>
      <c r="H4488" s="16">
        <f t="shared" si="978"/>
        <v>0</v>
      </c>
      <c r="I4488" s="16">
        <f t="shared" si="978"/>
        <v>0</v>
      </c>
      <c r="J4488" s="16">
        <f t="shared" si="978"/>
        <v>0</v>
      </c>
      <c r="K4488" s="16">
        <f t="shared" si="978"/>
        <v>0</v>
      </c>
      <c r="L4488" s="16">
        <f t="shared" si="978"/>
        <v>0</v>
      </c>
      <c r="M4488" s="16">
        <f t="shared" si="978"/>
        <v>0</v>
      </c>
    </row>
    <row r="4489" spans="2:13" ht="15" customHeight="1" x14ac:dyDescent="0.2">
      <c r="B4489" s="10" t="s">
        <v>908</v>
      </c>
      <c r="C4489" s="10" t="s">
        <v>110</v>
      </c>
      <c r="D4489" s="16">
        <f t="shared" ref="D4489:M4489" si="979">D4485-D4487-D4479-D4480-D4488</f>
        <v>-24288.587672995785</v>
      </c>
      <c r="E4489" s="16">
        <f t="shared" si="979"/>
        <v>-20876.627991115271</v>
      </c>
      <c r="F4489" s="16">
        <f t="shared" si="979"/>
        <v>-171.24195316928666</v>
      </c>
      <c r="G4489" s="16">
        <f t="shared" si="979"/>
        <v>30414.708369958098</v>
      </c>
      <c r="H4489" s="16">
        <f t="shared" si="979"/>
        <v>6317.1075576118928</v>
      </c>
      <c r="I4489" s="16">
        <f t="shared" si="979"/>
        <v>-2594.7609960258924</v>
      </c>
      <c r="J4489" s="16">
        <f t="shared" si="979"/>
        <v>6317.1075576118928</v>
      </c>
      <c r="K4489" s="16">
        <f t="shared" si="979"/>
        <v>30414.708369958098</v>
      </c>
      <c r="L4489" s="16">
        <f t="shared" si="979"/>
        <v>6317.1075576118928</v>
      </c>
      <c r="M4489" s="16">
        <f t="shared" si="979"/>
        <v>-2594.7609960258924</v>
      </c>
    </row>
    <row r="4490" spans="2:13" ht="15" customHeight="1" x14ac:dyDescent="0.2">
      <c r="B4490" s="10" t="s">
        <v>909</v>
      </c>
      <c r="C4490" s="10" t="s">
        <v>110</v>
      </c>
      <c r="D4490" s="16">
        <f>D4489/(Inputs!$D$7+$D$4496)^D4470</f>
        <v>-22689.447275899227</v>
      </c>
      <c r="E4490" s="16">
        <f>E4489/(Inputs!$D$7+$D$4496)^E4470</f>
        <v>-17725.738013911137</v>
      </c>
      <c r="F4490" s="16">
        <f>F4489/(Inputs!$D$7+$D$4496)^F4470</f>
        <v>-132.18731858767319</v>
      </c>
      <c r="G4490" s="16">
        <f>G4489/(Inputs!$D$7+$D$4496)^G4470</f>
        <v>21345.135866057244</v>
      </c>
      <c r="H4490" s="16">
        <f>H4489/(Inputs!$D$7+$D$4496)^H4470</f>
        <v>4030.5952146177492</v>
      </c>
      <c r="I4490" s="16">
        <f>I4489/(Inputs!$D$7+$D$4496)^I4470</f>
        <v>-1504.7716281349913</v>
      </c>
      <c r="J4490" s="16">
        <f>J4489/(Inputs!$D$7+$D$4496)^J4470</f>
        <v>3330.6358404845578</v>
      </c>
      <c r="K4490" s="16">
        <f>K4489/(Inputs!$D$7+$D$4496)^K4470</f>
        <v>14579.015003112654</v>
      </c>
      <c r="L4490" s="16">
        <f>L4489/(Inputs!$D$7+$D$4496)^L4470</f>
        <v>2752.9507647139867</v>
      </c>
      <c r="M4490" s="16">
        <f>M4489/(Inputs!$D$7+$D$4496)^M4470</f>
        <v>-1027.7792692678036</v>
      </c>
    </row>
    <row r="4491" spans="2:13" ht="15" customHeight="1" x14ac:dyDescent="0.2">
      <c r="B4491" s="3" t="s">
        <v>910</v>
      </c>
      <c r="C4491" s="10" t="s">
        <v>896</v>
      </c>
      <c r="D4491" s="28">
        <f>(D4477*$D$4495-D4481)/(Inputs!$D$7+$D$4496)^D4470</f>
        <v>100.89722489537324</v>
      </c>
      <c r="E4491" s="28">
        <f>(E4477*$D$4495-E4481)/(Inputs!$D$7+$D$4496)^E4470</f>
        <v>406.07666459070981</v>
      </c>
      <c r="F4491" s="28">
        <f>(F4477*$D$4495-F4481)/(Inputs!$D$7+$D$4496)^F4470</f>
        <v>624.09627016286015</v>
      </c>
      <c r="G4491" s="28">
        <f>(G4477*$D$4495-G4481)/(Inputs!$D$7+$D$4496)^G4470</f>
        <v>673.73095221439348</v>
      </c>
      <c r="H4491" s="28">
        <f>(H4477*$D$4495-H4481)/(Inputs!$D$7+$D$4496)^H4470</f>
        <v>612.52264121584926</v>
      </c>
      <c r="I4491" s="28">
        <f>(I4477*$D$4495-I4481)/(Inputs!$D$7+$D$4496)^I4470</f>
        <v>556.72979716517079</v>
      </c>
      <c r="J4491" s="28">
        <f>(J4477*$D$4495-J4481)/(Inputs!$D$7+$D$4496)^J4470</f>
        <v>506.15101574650379</v>
      </c>
      <c r="K4491" s="28">
        <f>(K4477*$D$4495-K4481)/(Inputs!$D$7+$D$4496)^K4470</f>
        <v>460.16730565835212</v>
      </c>
      <c r="L4491" s="28">
        <f>(L4477*$D$4495-L4481)/(Inputs!$D$7+$D$4496)^L4470</f>
        <v>418.36120566617655</v>
      </c>
      <c r="M4491" s="28">
        <f>(M4477*$D$4495-M4481)/(Inputs!$D$7+$D$4496)^M4470</f>
        <v>380.25394246647818</v>
      </c>
    </row>
    <row r="4492" spans="2:13" ht="15" customHeight="1" x14ac:dyDescent="0.2">
      <c r="B4492" s="10" t="s">
        <v>911</v>
      </c>
      <c r="C4492" s="10" t="s">
        <v>110</v>
      </c>
      <c r="D4492" s="16">
        <f>(-D4479-D4480)/(Inputs!$D$7+$D$4496)^D4470</f>
        <v>-26115.189891048693</v>
      </c>
      <c r="E4492" s="16">
        <f>(-E4479-E4480)/(Inputs!$D$7+$D$4496)^E4470</f>
        <v>-31648.581113918288</v>
      </c>
      <c r="F4492" s="16">
        <f>(-F4479-F4480)/(Inputs!$D$7+$D$4496)^F4470</f>
        <v>-21579.985783919947</v>
      </c>
      <c r="G4492" s="16">
        <f>(-G4479-G4480)/(Inputs!$D$7+$D$4496)^G4470</f>
        <v>-1851.359915178487</v>
      </c>
      <c r="H4492" s="16">
        <f>(-H4479-H4480)/(Inputs!$D$7+$D$4496)^H4470</f>
        <v>-17058.50395200841</v>
      </c>
      <c r="I4492" s="16">
        <f>(-I4479-I4480)/(Inputs!$D$7+$D$4496)^I4470</f>
        <v>-20672.92821762263</v>
      </c>
      <c r="J4492" s="16">
        <f>(-J4479-J4480)/(Inputs!$D$7+$D$4496)^J4470</f>
        <v>-14096.097876947169</v>
      </c>
      <c r="K4492" s="16">
        <f>(-K4479-K4480)/(Inputs!$D$7+$D$4496)^K4470</f>
        <v>-1264.5037327904422</v>
      </c>
      <c r="L4492" s="16">
        <f>(-L4479-L4480)/(Inputs!$D$7+$D$4496)^L4470</f>
        <v>-11651.187727619976</v>
      </c>
      <c r="M4492" s="16">
        <f>(-M4479-M4480)/(Inputs!$D$7+$D$4496)^M4470</f>
        <v>-14119.888134432502</v>
      </c>
    </row>
    <row r="4493" spans="2:13" ht="15" customHeight="1" x14ac:dyDescent="0.2">
      <c r="B4493" s="10" t="s">
        <v>912</v>
      </c>
      <c r="C4493" s="10" t="s">
        <v>110</v>
      </c>
      <c r="D4493" s="16">
        <f>Prices!I6</f>
        <v>43700</v>
      </c>
    </row>
    <row r="4494" spans="2:13" ht="15" customHeight="1" x14ac:dyDescent="0.2">
      <c r="B4494" s="3" t="s">
        <v>913</v>
      </c>
      <c r="C4494" s="10" t="s">
        <v>914</v>
      </c>
      <c r="D4494" s="28">
        <f>IF(J4501&gt;=J4497,J4501,(D4493-J4500)/J4499)</f>
        <v>38.851409326716933</v>
      </c>
      <c r="G4494" s="99" t="s">
        <v>915</v>
      </c>
      <c r="H4494" s="91"/>
      <c r="I4494" s="91"/>
      <c r="J4494" s="28">
        <f>D4494*Inputs!$D$15</f>
        <v>27.114398569115746</v>
      </c>
      <c r="K4494" s="99" t="s">
        <v>916</v>
      </c>
      <c r="L4494" s="91"/>
      <c r="M4494" s="91"/>
    </row>
    <row r="4495" spans="2:13" ht="15" customHeight="1" x14ac:dyDescent="0.2">
      <c r="B4495" s="10" t="s">
        <v>917</v>
      </c>
      <c r="C4495" s="10" t="s">
        <v>104</v>
      </c>
      <c r="D4495" s="30">
        <f>Inputs!$D$81</f>
        <v>0.6</v>
      </c>
      <c r="G4495" s="99" t="s">
        <v>918</v>
      </c>
      <c r="H4495" s="91"/>
      <c r="I4495" s="91"/>
      <c r="J4495" s="28">
        <f>IF(-D4506/D4505&gt;=J4497,-D4506/D4505,-J4500/J4499)</f>
        <v>32.55444198319757</v>
      </c>
      <c r="K4495" s="99" t="s">
        <v>919</v>
      </c>
      <c r="L4495" s="91"/>
      <c r="M4495" s="91"/>
    </row>
    <row r="4496" spans="2:13" ht="15" customHeight="1" x14ac:dyDescent="0.2">
      <c r="B4496" s="10" t="s">
        <v>920</v>
      </c>
      <c r="C4496" s="10" t="s">
        <v>104</v>
      </c>
      <c r="D4496" s="30">
        <f>Inputs!$D$82</f>
        <v>0.1</v>
      </c>
      <c r="G4496" s="99" t="s">
        <v>918</v>
      </c>
      <c r="H4496" s="91"/>
      <c r="I4496" s="91"/>
      <c r="J4496" s="28">
        <f>J4495*Inputs!$D$15</f>
        <v>22.719745060073585</v>
      </c>
      <c r="K4496" s="99" t="s">
        <v>916</v>
      </c>
      <c r="L4496" s="91"/>
      <c r="M4496" s="91"/>
    </row>
    <row r="4497" spans="2:13" ht="15" customHeight="1" x14ac:dyDescent="0.2">
      <c r="B4497" s="3" t="s">
        <v>921</v>
      </c>
      <c r="C4497" s="10" t="s">
        <v>848</v>
      </c>
      <c r="D4497" s="28">
        <f>Capital!$D$13</f>
        <v>57.347931490590682</v>
      </c>
      <c r="G4497" s="99" t="s">
        <v>922</v>
      </c>
      <c r="H4497" s="91"/>
      <c r="I4497" s="91"/>
      <c r="J4497" s="28">
        <f>($D$4497/Inputs!$D$21+$D$4498/Inputs!$D$22)/$D$4495</f>
        <v>24.113076913095469</v>
      </c>
      <c r="K4497" s="99" t="s">
        <v>919</v>
      </c>
      <c r="L4497" s="91"/>
      <c r="M4497" s="91"/>
    </row>
    <row r="4498" spans="2:13" ht="15" customHeight="1" x14ac:dyDescent="0.2">
      <c r="B4498" s="3" t="s">
        <v>923</v>
      </c>
      <c r="C4498" s="10" t="s">
        <v>848</v>
      </c>
      <c r="D4498" s="28">
        <f>Capital!$D$14</f>
        <v>2.6172655041921802</v>
      </c>
    </row>
    <row r="4499" spans="2:13" ht="15" customHeight="1" x14ac:dyDescent="0.2">
      <c r="B4499" s="10" t="s">
        <v>924</v>
      </c>
      <c r="C4499" s="10" t="s">
        <v>896</v>
      </c>
      <c r="D4499" s="28">
        <f>(M4472*(Inputs!$D$7+Inputs!$D$20)*$D$4495*(Inputs!$D$7-Inputs!$D$19)-M4472*Inputs!$D$20*Inputs!$D$23)/($D$4496-Inputs!$D$20)/(Inputs!$D$7+$D$4496)^M4470</f>
        <v>3632.4814115061608</v>
      </c>
      <c r="G4499" s="92" t="s">
        <v>910</v>
      </c>
      <c r="H4499" s="91"/>
      <c r="I4499" s="91"/>
      <c r="J4499" s="28">
        <f>SUM(D4491:M4491)+(M4472*(Inputs!$D$7+Inputs!$D$20)*$D$4495-M4472*Inputs!$D$20*Inputs!$D$23)/($D$4496-Inputs!$D$20)/(Inputs!$D$7+$D$4496)^M4470</f>
        <v>9930.5095954005883</v>
      </c>
      <c r="K4499" s="99" t="s">
        <v>896</v>
      </c>
      <c r="L4499" s="91"/>
      <c r="M4499" s="91"/>
    </row>
    <row r="4500" spans="2:13" ht="15" customHeight="1" x14ac:dyDescent="0.2">
      <c r="B4500" s="10" t="s">
        <v>925</v>
      </c>
      <c r="C4500" s="10" t="s">
        <v>110</v>
      </c>
      <c r="D4500" s="16">
        <f>(D4503*Inputs!$D$19-D4503-D4504)/($D$4496-Inputs!$D$20)/(Inputs!$D$7+$D$4496)^M4470</f>
        <v>-100385.43137330168</v>
      </c>
      <c r="G4500" s="92" t="s">
        <v>926</v>
      </c>
      <c r="H4500" s="91"/>
      <c r="I4500" s="91"/>
      <c r="J4500" s="16">
        <f>SUM(D4492:M4492)-(D4503+D4504)/($D$4496-Inputs!$D$20)/(Inputs!$D$7+$D$4496)^M4470</f>
        <v>-298036.93721971626</v>
      </c>
      <c r="K4500" s="99" t="s">
        <v>110</v>
      </c>
      <c r="L4500" s="91"/>
      <c r="M4500" s="91"/>
    </row>
    <row r="4501" spans="2:13" ht="15" customHeight="1" x14ac:dyDescent="0.2">
      <c r="B4501" s="10" t="s">
        <v>927</v>
      </c>
      <c r="C4501" s="10" t="s">
        <v>928</v>
      </c>
      <c r="D4501" s="16">
        <f>(M4472*(Inputs!$D$7+Inputs!$D$20)*$D$4494*$D$4495-D4503)-MAX((M4472*(Inputs!$D$7+Inputs!$D$20)*$D$4494*$D$4495-D4503),Inputs!$D$6)*Inputs!$D$19-D4504-M4472*Inputs!$D$20*$D$4494*Inputs!$D$23</f>
        <v>7714.3040773844314</v>
      </c>
      <c r="G4501" s="99" t="s">
        <v>929</v>
      </c>
      <c r="H4501" s="91"/>
      <c r="I4501" s="91"/>
      <c r="J4501" s="28">
        <f>(D4493-D4506)/D4505</f>
        <v>38.851409326716933</v>
      </c>
      <c r="K4501" s="99" t="s">
        <v>919</v>
      </c>
      <c r="L4501" s="91"/>
      <c r="M4501" s="91"/>
    </row>
    <row r="4502" spans="2:13" ht="15" customHeight="1" x14ac:dyDescent="0.2">
      <c r="B4502" s="10" t="s">
        <v>930</v>
      </c>
      <c r="C4502" s="10" t="s">
        <v>110</v>
      </c>
      <c r="D4502" s="16">
        <f>D4501/($D$4496-Inputs!$D$20)</f>
        <v>102857.38769845908</v>
      </c>
      <c r="G4502" s="99" t="s">
        <v>931</v>
      </c>
      <c r="H4502" s="91"/>
      <c r="I4502" s="91"/>
      <c r="J4502" s="16">
        <f>MIN(D4486:M4486,(M4472*(Inputs!$D$7+Inputs!$D$20)*$D$4494*$D$4495-D4503))</f>
        <v>1763.6390940509195</v>
      </c>
      <c r="K4502" s="99" t="s">
        <v>110</v>
      </c>
      <c r="L4502" s="91"/>
      <c r="M4502" s="91"/>
    </row>
    <row r="4503" spans="2:13" ht="15" customHeight="1" x14ac:dyDescent="0.2">
      <c r="B4503" s="10" t="s">
        <v>932</v>
      </c>
      <c r="C4503" s="10" t="s">
        <v>928</v>
      </c>
      <c r="D4503" s="16">
        <f>M4472*(Inputs!$D$7+Inputs!$D$20)*($D$4497/Inputs!$D$21+$D$4498/Inputs!$D$22)</f>
        <v>23727.267682485937</v>
      </c>
      <c r="G4503" s="99" t="s">
        <v>933</v>
      </c>
      <c r="H4503" s="91"/>
      <c r="I4503" s="91"/>
      <c r="J4503" s="31" t="str">
        <f>IF(J4502&lt;Inputs!$D$6,"breached","satisfied")</f>
        <v>satisfied</v>
      </c>
      <c r="K4503" s="99" t="s">
        <v>934</v>
      </c>
      <c r="L4503" s="91"/>
      <c r="M4503" s="91"/>
    </row>
    <row r="4504" spans="2:13" ht="15" customHeight="1" x14ac:dyDescent="0.2">
      <c r="B4504" s="10" t="s">
        <v>935</v>
      </c>
      <c r="C4504" s="10" t="s">
        <v>928</v>
      </c>
      <c r="D4504" s="16">
        <f>M4472*Inputs!$D$20*($D$4497+$D$4498)</f>
        <v>2398.6078797913146</v>
      </c>
    </row>
    <row r="4505" spans="2:13" ht="15" customHeight="1" x14ac:dyDescent="0.2">
      <c r="B4505" s="10" t="s">
        <v>936</v>
      </c>
      <c r="C4505" s="10" t="s">
        <v>896</v>
      </c>
      <c r="D4505" s="28">
        <f>SUM(D4482:M4482)+D4499</f>
        <v>6939.8485994968105</v>
      </c>
      <c r="G4505" s="99" t="s">
        <v>937</v>
      </c>
      <c r="H4505" s="91"/>
      <c r="I4505" s="91"/>
      <c r="J4505" s="16">
        <f>D4507-D4493</f>
        <v>0</v>
      </c>
      <c r="K4505" s="99" t="s">
        <v>110</v>
      </c>
      <c r="L4505" s="91"/>
      <c r="M4505" s="91"/>
    </row>
    <row r="4506" spans="2:13" ht="15" customHeight="1" x14ac:dyDescent="0.2">
      <c r="B4506" s="10" t="s">
        <v>938</v>
      </c>
      <c r="C4506" s="10" t="s">
        <v>110</v>
      </c>
      <c r="D4506" s="16">
        <f>SUM(D4483:M4483)+D4500</f>
        <v>-225922.89860449382</v>
      </c>
    </row>
    <row r="4507" spans="2:13" ht="15" customHeight="1" x14ac:dyDescent="0.2">
      <c r="B4507" s="10" t="s">
        <v>939</v>
      </c>
      <c r="C4507" s="10" t="s">
        <v>110</v>
      </c>
      <c r="D4507" s="16">
        <f>SUM(D4490:M4490)+D4502/(Inputs!$D$7+$D$4496)^M4470</f>
        <v>43700.000000000036</v>
      </c>
    </row>
    <row r="4508" spans="2:13" ht="15" customHeight="1" x14ac:dyDescent="0.2">
      <c r="B4508" s="10" t="s">
        <v>940</v>
      </c>
      <c r="C4508" s="10" t="s">
        <v>104</v>
      </c>
      <c r="D4508" s="30">
        <f>IF(ABS(D4493)&gt;Inputs!$D$6,D4507/D4493-Inputs!$D$7,Inputs!$D$6)</f>
        <v>8.8817841970012523E-16</v>
      </c>
    </row>
    <row r="4509" spans="2:13" ht="15" customHeight="1" x14ac:dyDescent="0.2">
      <c r="B4509" s="10" t="s">
        <v>941</v>
      </c>
      <c r="C4509" s="10" t="s">
        <v>104</v>
      </c>
      <c r="D4509" s="30">
        <f>IF(ABS(D4507)&gt;Inputs!$D$119,D4502/(Inputs!$D$7+$D$4496)^M4470/D4507,Inputs!$D$6)</f>
        <v>0.93230184935502636</v>
      </c>
    </row>
    <row r="4510" spans="2:13" ht="15" customHeight="1" x14ac:dyDescent="0.2">
      <c r="B4510" s="10" t="s">
        <v>942</v>
      </c>
      <c r="C4510" s="10" t="s">
        <v>943</v>
      </c>
      <c r="D4510" s="26">
        <f>$D$4494*Inputs!$D$8/Prices!$P$6/(Inputs!$D$26/Inputs!$D$25)/Inputs!$D$11/Inputs!$D$56</f>
        <v>7.0652467980870393</v>
      </c>
    </row>
    <row r="4514" spans="1:13" ht="15" customHeight="1" x14ac:dyDescent="0.2">
      <c r="A4514" s="104" t="s">
        <v>1041</v>
      </c>
      <c r="B4514" s="10" t="s">
        <v>886</v>
      </c>
      <c r="C4514" s="10" t="s">
        <v>107</v>
      </c>
      <c r="D4514" s="28">
        <f>Inputs!$D$60</f>
        <v>1</v>
      </c>
      <c r="E4514" s="28">
        <f>Inputs!$D$62</f>
        <v>2</v>
      </c>
      <c r="F4514" s="28">
        <f>Inputs!$D$64</f>
        <v>3</v>
      </c>
      <c r="G4514" s="28">
        <f>Inputs!$D$66</f>
        <v>4</v>
      </c>
      <c r="H4514" s="28">
        <f>Inputs!$D$68</f>
        <v>5</v>
      </c>
      <c r="I4514" s="28">
        <f>Inputs!$D$70</f>
        <v>6</v>
      </c>
      <c r="J4514" s="28">
        <f>Inputs!$D$72</f>
        <v>7</v>
      </c>
      <c r="K4514" s="28">
        <f>Inputs!$D$74</f>
        <v>8</v>
      </c>
      <c r="L4514" s="28">
        <f>Inputs!$D$76</f>
        <v>9</v>
      </c>
      <c r="M4514" s="28">
        <f>Inputs!$D$78</f>
        <v>10</v>
      </c>
    </row>
    <row r="4515" spans="1:13" ht="15" customHeight="1" x14ac:dyDescent="0.2">
      <c r="A4515" s="91"/>
      <c r="B4515" s="10" t="s">
        <v>887</v>
      </c>
      <c r="C4515" s="10" t="s">
        <v>161</v>
      </c>
      <c r="D4515" s="29">
        <f>Inputs!$D$61</f>
        <v>46568</v>
      </c>
      <c r="E4515" s="29">
        <f>Inputs!$D$63</f>
        <v>46934</v>
      </c>
      <c r="F4515" s="29">
        <f>Inputs!$D$65</f>
        <v>47299</v>
      </c>
      <c r="G4515" s="29">
        <f>Inputs!$D$67</f>
        <v>47664</v>
      </c>
      <c r="H4515" s="29">
        <f>Inputs!$D$69</f>
        <v>48029</v>
      </c>
      <c r="I4515" s="29">
        <f>Inputs!$D$71</f>
        <v>48395</v>
      </c>
      <c r="J4515" s="29">
        <f>Inputs!$D$73</f>
        <v>48760</v>
      </c>
      <c r="K4515" s="29">
        <f>Inputs!$D$75</f>
        <v>49125</v>
      </c>
      <c r="L4515" s="29">
        <f>Inputs!$D$77</f>
        <v>49490</v>
      </c>
      <c r="M4515" s="29">
        <f>Inputs!$D$79</f>
        <v>49856</v>
      </c>
    </row>
    <row r="4516" spans="1:13" ht="15" customHeight="1" x14ac:dyDescent="0.2">
      <c r="A4516" s="91"/>
      <c r="B4516" s="10" t="s">
        <v>888</v>
      </c>
      <c r="C4516" s="10" t="s">
        <v>107</v>
      </c>
      <c r="D4516" s="28">
        <f>(D4515-Inputs!$D$13)/Inputs!$D$10</f>
        <v>0.71457905544147848</v>
      </c>
      <c r="E4516" s="28">
        <f>(E4515-Inputs!$D$13)/Inputs!$D$10</f>
        <v>1.7166324435318274</v>
      </c>
      <c r="F4516" s="28">
        <f>(F4515-Inputs!$D$13)/Inputs!$D$10</f>
        <v>2.7159479808350446</v>
      </c>
      <c r="G4516" s="28">
        <f>(G4515-Inputs!$D$13)/Inputs!$D$10</f>
        <v>3.7152635181382614</v>
      </c>
      <c r="H4516" s="28">
        <f>(H4515-Inputs!$D$13)/Inputs!$D$10</f>
        <v>4.7145790554414786</v>
      </c>
      <c r="I4516" s="28">
        <f>(I4515-Inputs!$D$13)/Inputs!$D$10</f>
        <v>5.7166324435318279</v>
      </c>
      <c r="J4516" s="28">
        <f>(J4515-Inputs!$D$13)/Inputs!$D$10</f>
        <v>6.7159479808350442</v>
      </c>
      <c r="K4516" s="28">
        <f>(K4515-Inputs!$D$13)/Inputs!$D$10</f>
        <v>7.7152635181382614</v>
      </c>
      <c r="L4516" s="28">
        <f>(L4515-Inputs!$D$13)/Inputs!$D$10</f>
        <v>8.7145790554414777</v>
      </c>
      <c r="M4516" s="28">
        <f>(M4515-Inputs!$D$13)/Inputs!$D$10</f>
        <v>9.716632443531827</v>
      </c>
    </row>
    <row r="4517" spans="1:13" ht="15" customHeight="1" x14ac:dyDescent="0.2">
      <c r="A4517" s="91"/>
      <c r="B4517" s="10" t="s">
        <v>889</v>
      </c>
      <c r="C4517" s="10" t="s">
        <v>107</v>
      </c>
      <c r="D4517" s="28">
        <f>D4516</f>
        <v>0.71457905544147848</v>
      </c>
      <c r="E4517" s="28">
        <f>Inputs!$D$7</f>
        <v>1</v>
      </c>
      <c r="F4517" s="28">
        <f>Inputs!$D$7</f>
        <v>1</v>
      </c>
      <c r="G4517" s="28">
        <f>Inputs!$D$7</f>
        <v>1</v>
      </c>
      <c r="H4517" s="28">
        <f>Inputs!$D$7</f>
        <v>1</v>
      </c>
      <c r="I4517" s="28">
        <f>Inputs!$D$7</f>
        <v>1</v>
      </c>
      <c r="J4517" s="28">
        <f>Inputs!$D$7</f>
        <v>1</v>
      </c>
      <c r="K4517" s="28">
        <f>Inputs!$D$7</f>
        <v>1</v>
      </c>
      <c r="L4517" s="28">
        <f>Inputs!$D$7</f>
        <v>1</v>
      </c>
      <c r="M4517" s="28">
        <f>Inputs!$D$7</f>
        <v>1</v>
      </c>
    </row>
    <row r="4518" spans="1:13" ht="15" customHeight="1" x14ac:dyDescent="0.2">
      <c r="A4518" s="91"/>
      <c r="B4518" s="3" t="s">
        <v>890</v>
      </c>
      <c r="C4518" s="10" t="s">
        <v>199</v>
      </c>
      <c r="D4518" s="28">
        <f>Inputs!$D$24+(Inputs!$D$80-Inputs!$D$24)*Inputs!$D$109</f>
        <v>115.2</v>
      </c>
      <c r="E4518" s="28">
        <f>Inputs!$D$24+(Inputs!$D$80-Inputs!$D$24)*Inputs!$D$110</f>
        <v>288.20000000000005</v>
      </c>
      <c r="F4518" s="28">
        <f>Inputs!$D$24+(Inputs!$D$80-Inputs!$D$24)*Inputs!$D$111</f>
        <v>478.5</v>
      </c>
      <c r="G4518" s="28">
        <f>Inputs!$D$24+(Inputs!$D$80-Inputs!$D$24)*Inputs!$D$112</f>
        <v>694.75</v>
      </c>
      <c r="H4518" s="28">
        <f>Inputs!$D$24+(Inputs!$D$80-Inputs!$D$24)*Inputs!$D$113</f>
        <v>911</v>
      </c>
      <c r="I4518" s="28">
        <f>Inputs!$D$24+(Inputs!$D$80-Inputs!$D$24)*Inputs!$D$114</f>
        <v>911</v>
      </c>
      <c r="J4518" s="28">
        <f>Inputs!$D$24+(Inputs!$D$80-Inputs!$D$24)*Inputs!$D$115</f>
        <v>911</v>
      </c>
      <c r="K4518" s="28">
        <f>Inputs!$D$24+(Inputs!$D$80-Inputs!$D$24)*Inputs!$D$116</f>
        <v>911</v>
      </c>
      <c r="L4518" s="28">
        <f>Inputs!$D$24+(Inputs!$D$80-Inputs!$D$24)*Inputs!$D$117</f>
        <v>911</v>
      </c>
      <c r="M4518" s="28">
        <f>Inputs!$D$24+(Inputs!$D$80-Inputs!$D$24)*Inputs!$D$118</f>
        <v>911</v>
      </c>
    </row>
    <row r="4519" spans="1:13" ht="15" customHeight="1" x14ac:dyDescent="0.2">
      <c r="A4519" s="91"/>
      <c r="B4519" s="10" t="s">
        <v>891</v>
      </c>
      <c r="C4519" s="10" t="s">
        <v>199</v>
      </c>
      <c r="D4519" s="28">
        <f>Inputs!$D$24</f>
        <v>46</v>
      </c>
      <c r="E4519" s="28">
        <f t="shared" ref="E4519:M4519" si="980">D4518</f>
        <v>115.2</v>
      </c>
      <c r="F4519" s="28">
        <f t="shared" si="980"/>
        <v>288.20000000000005</v>
      </c>
      <c r="G4519" s="28">
        <f t="shared" si="980"/>
        <v>478.5</v>
      </c>
      <c r="H4519" s="28">
        <f t="shared" si="980"/>
        <v>694.75</v>
      </c>
      <c r="I4519" s="28">
        <f t="shared" si="980"/>
        <v>911</v>
      </c>
      <c r="J4519" s="28">
        <f t="shared" si="980"/>
        <v>911</v>
      </c>
      <c r="K4519" s="28">
        <f t="shared" si="980"/>
        <v>911</v>
      </c>
      <c r="L4519" s="28">
        <f t="shared" si="980"/>
        <v>911</v>
      </c>
      <c r="M4519" s="28">
        <f t="shared" si="980"/>
        <v>911</v>
      </c>
    </row>
    <row r="4520" spans="1:13" ht="15" customHeight="1" x14ac:dyDescent="0.2">
      <c r="B4520" s="10" t="s">
        <v>892</v>
      </c>
      <c r="C4520" s="10" t="s">
        <v>199</v>
      </c>
      <c r="D4520" s="28">
        <f>(D4519+D4518)*Inputs!$D$12</f>
        <v>80.599999999999994</v>
      </c>
      <c r="E4520" s="28">
        <f>(E4519+E4518)*Inputs!$D$12</f>
        <v>201.70000000000002</v>
      </c>
      <c r="F4520" s="28">
        <f>(F4519+F4518)*Inputs!$D$12</f>
        <v>383.35</v>
      </c>
      <c r="G4520" s="28">
        <f>(G4519+G4518)*Inputs!$D$12</f>
        <v>586.625</v>
      </c>
      <c r="H4520" s="28">
        <f>(H4519+H4518)*Inputs!$D$12</f>
        <v>802.875</v>
      </c>
      <c r="I4520" s="28">
        <f>(I4519+I4518)*Inputs!$D$12</f>
        <v>911</v>
      </c>
      <c r="J4520" s="28">
        <f>(J4519+J4518)*Inputs!$D$12</f>
        <v>911</v>
      </c>
      <c r="K4520" s="28">
        <f>(K4519+K4518)*Inputs!$D$12</f>
        <v>911</v>
      </c>
      <c r="L4520" s="28">
        <f>(L4519+L4518)*Inputs!$D$12</f>
        <v>911</v>
      </c>
      <c r="M4520" s="28">
        <f>(M4519+M4518)*Inputs!$D$12</f>
        <v>911</v>
      </c>
    </row>
    <row r="4521" spans="1:13" ht="15" customHeight="1" x14ac:dyDescent="0.2">
      <c r="B4521" s="10" t="s">
        <v>893</v>
      </c>
      <c r="C4521" s="10" t="s">
        <v>199</v>
      </c>
      <c r="D4521" s="28">
        <f t="shared" ref="D4521:M4521" si="981">D4518-D4519</f>
        <v>69.2</v>
      </c>
      <c r="E4521" s="28">
        <f t="shared" si="981"/>
        <v>173.00000000000006</v>
      </c>
      <c r="F4521" s="28">
        <f t="shared" si="981"/>
        <v>190.29999999999995</v>
      </c>
      <c r="G4521" s="28">
        <f t="shared" si="981"/>
        <v>216.25</v>
      </c>
      <c r="H4521" s="28">
        <f t="shared" si="981"/>
        <v>216.25</v>
      </c>
      <c r="I4521" s="28">
        <f t="shared" si="981"/>
        <v>0</v>
      </c>
      <c r="J4521" s="28">
        <f t="shared" si="981"/>
        <v>0</v>
      </c>
      <c r="K4521" s="28">
        <f t="shared" si="981"/>
        <v>0</v>
      </c>
      <c r="L4521" s="28">
        <f t="shared" si="981"/>
        <v>0</v>
      </c>
      <c r="M4521" s="28">
        <f t="shared" si="981"/>
        <v>0</v>
      </c>
    </row>
    <row r="4522" spans="1:13" ht="15" customHeight="1" x14ac:dyDescent="0.2">
      <c r="B4522" s="10" t="s">
        <v>894</v>
      </c>
      <c r="C4522" s="10" t="s">
        <v>199</v>
      </c>
      <c r="D4522" s="28">
        <f>IF(MOD(D4514,Inputs!$D$21)=Inputs!$D$6,Inputs!$D$24,Inputs!$D$6)+SUMPRODUCT(--(D4514&gt;$D$4514:$M$4514),--(MOD(D4514-$D$4514:$M$4514,Inputs!$D$21)=Inputs!$D$6),$D$4521:$M$4521)</f>
        <v>0</v>
      </c>
      <c r="E4522" s="28">
        <f>IF(MOD(E4514,Inputs!$D$21)=Inputs!$D$6,Inputs!$D$24,Inputs!$D$6)+SUMPRODUCT(--(E4514&gt;$D$4514:$M$4514),--(MOD(E4514-$D$4514:$M$4514,Inputs!$D$21)=Inputs!$D$6),$D$4521:$M$4521)</f>
        <v>0</v>
      </c>
      <c r="F4522" s="28">
        <f>IF(MOD(F4514,Inputs!$D$21)=Inputs!$D$6,Inputs!$D$24,Inputs!$D$6)+SUMPRODUCT(--(F4514&gt;$D$4514:$M$4514),--(MOD(F4514-$D$4514:$M$4514,Inputs!$D$21)=Inputs!$D$6),$D$4521:$M$4521)</f>
        <v>0</v>
      </c>
      <c r="G4522" s="28">
        <f>IF(MOD(G4514,Inputs!$D$21)=Inputs!$D$6,Inputs!$D$24,Inputs!$D$6)+SUMPRODUCT(--(G4514&gt;$D$4514:$M$4514),--(MOD(G4514-$D$4514:$M$4514,Inputs!$D$21)=Inputs!$D$6),$D$4521:$M$4521)</f>
        <v>46</v>
      </c>
      <c r="H4522" s="28">
        <f>IF(MOD(H4514,Inputs!$D$21)=Inputs!$D$6,Inputs!$D$24,Inputs!$D$6)+SUMPRODUCT(--(H4514&gt;$D$4514:$M$4514),--(MOD(H4514-$D$4514:$M$4514,Inputs!$D$21)=Inputs!$D$6),$D$4521:$M$4521)</f>
        <v>69.2</v>
      </c>
      <c r="I4522" s="28">
        <f>IF(MOD(I4514,Inputs!$D$21)=Inputs!$D$6,Inputs!$D$24,Inputs!$D$6)+SUMPRODUCT(--(I4514&gt;$D$4514:$M$4514),--(MOD(I4514-$D$4514:$M$4514,Inputs!$D$21)=Inputs!$D$6),$D$4521:$M$4521)</f>
        <v>173.00000000000006</v>
      </c>
      <c r="J4522" s="28">
        <f>IF(MOD(J4514,Inputs!$D$21)=Inputs!$D$6,Inputs!$D$24,Inputs!$D$6)+SUMPRODUCT(--(J4514&gt;$D$4514:$M$4514),--(MOD(J4514-$D$4514:$M$4514,Inputs!$D$21)=Inputs!$D$6),$D$4521:$M$4521)</f>
        <v>190.29999999999995</v>
      </c>
      <c r="K4522" s="28">
        <f>IF(MOD(K4514,Inputs!$D$21)=Inputs!$D$6,Inputs!$D$24,Inputs!$D$6)+SUMPRODUCT(--(K4514&gt;$D$4514:$M$4514),--(MOD(K4514-$D$4514:$M$4514,Inputs!$D$21)=Inputs!$D$6),$D$4521:$M$4521)</f>
        <v>262.25</v>
      </c>
      <c r="L4522" s="28">
        <f>IF(MOD(L4514,Inputs!$D$21)=Inputs!$D$6,Inputs!$D$24,Inputs!$D$6)+SUMPRODUCT(--(L4514&gt;$D$4514:$M$4514),--(MOD(L4514-$D$4514:$M$4514,Inputs!$D$21)=Inputs!$D$6),$D$4521:$M$4521)</f>
        <v>285.45</v>
      </c>
      <c r="M4522" s="28">
        <f>IF(MOD(M4514,Inputs!$D$21)=Inputs!$D$6,Inputs!$D$24,Inputs!$D$6)+SUMPRODUCT(--(M4514&gt;$D$4514:$M$4514),--(MOD(M4514-$D$4514:$M$4514,Inputs!$D$21)=Inputs!$D$6),$D$4521:$M$4521)</f>
        <v>173.00000000000006</v>
      </c>
    </row>
    <row r="4523" spans="1:13" ht="15" customHeight="1" x14ac:dyDescent="0.2">
      <c r="B4523" s="10" t="s">
        <v>895</v>
      </c>
      <c r="C4523" s="10" t="s">
        <v>896</v>
      </c>
      <c r="D4523" s="28">
        <f t="shared" ref="D4523:M4523" si="982">D4520*D4517</f>
        <v>57.595071868583162</v>
      </c>
      <c r="E4523" s="28">
        <f t="shared" si="982"/>
        <v>201.70000000000002</v>
      </c>
      <c r="F4523" s="28">
        <f t="shared" si="982"/>
        <v>383.35</v>
      </c>
      <c r="G4523" s="28">
        <f t="shared" si="982"/>
        <v>586.625</v>
      </c>
      <c r="H4523" s="28">
        <f t="shared" si="982"/>
        <v>802.875</v>
      </c>
      <c r="I4523" s="28">
        <f t="shared" si="982"/>
        <v>911</v>
      </c>
      <c r="J4523" s="28">
        <f t="shared" si="982"/>
        <v>911</v>
      </c>
      <c r="K4523" s="28">
        <f t="shared" si="982"/>
        <v>911</v>
      </c>
      <c r="L4523" s="28">
        <f t="shared" si="982"/>
        <v>911</v>
      </c>
      <c r="M4523" s="28">
        <f t="shared" si="982"/>
        <v>911</v>
      </c>
    </row>
    <row r="4524" spans="1:13" ht="15" customHeight="1" x14ac:dyDescent="0.2">
      <c r="B4524" s="10" t="s">
        <v>897</v>
      </c>
      <c r="C4524" s="10" t="s">
        <v>110</v>
      </c>
      <c r="D4524" s="16">
        <f>D4523*($D$4543/Inputs!$D$21+$D$4544/Inputs!$D$22)</f>
        <v>833.27663866944408</v>
      </c>
      <c r="E4524" s="16">
        <f>E4523*($D$4543/Inputs!$D$21+$D$4544/Inputs!$D$22)</f>
        <v>2918.1645680228135</v>
      </c>
      <c r="F4524" s="16">
        <f>F4523*($D$4543/Inputs!$D$21+$D$4544/Inputs!$D$22)</f>
        <v>5546.2488207810884</v>
      </c>
      <c r="G4524" s="16">
        <f>G4523*($D$4543/Inputs!$D$21+$D$4544/Inputs!$D$22)</f>
        <v>8487.2002464867765</v>
      </c>
      <c r="H4524" s="16">
        <f>H4523*($D$4543/Inputs!$D$21+$D$4544/Inputs!$D$22)</f>
        <v>11615.871975960914</v>
      </c>
      <c r="I4524" s="16">
        <f>I4523*($D$4543/Inputs!$D$21+$D$4544/Inputs!$D$22)</f>
        <v>13180.207840697982</v>
      </c>
      <c r="J4524" s="16">
        <f>J4523*($D$4543/Inputs!$D$21+$D$4544/Inputs!$D$22)</f>
        <v>13180.207840697982</v>
      </c>
      <c r="K4524" s="16">
        <f>K4523*($D$4543/Inputs!$D$21+$D$4544/Inputs!$D$22)</f>
        <v>13180.207840697982</v>
      </c>
      <c r="L4524" s="16">
        <f>L4523*($D$4543/Inputs!$D$21+$D$4544/Inputs!$D$22)</f>
        <v>13180.207840697982</v>
      </c>
      <c r="M4524" s="16">
        <f>M4523*($D$4543/Inputs!$D$21+$D$4544/Inputs!$D$22)</f>
        <v>13180.207840697982</v>
      </c>
    </row>
    <row r="4525" spans="1:13" ht="15" customHeight="1" x14ac:dyDescent="0.2">
      <c r="B4525" s="10" t="s">
        <v>898</v>
      </c>
      <c r="C4525" s="10" t="s">
        <v>110</v>
      </c>
      <c r="D4525" s="16">
        <f t="shared" ref="D4525:M4525" si="983">D4521*($D$4543+$D$4544)</f>
        <v>4149.5916320389742</v>
      </c>
      <c r="E4525" s="16">
        <f t="shared" si="983"/>
        <v>10373.979080097439</v>
      </c>
      <c r="F4525" s="16">
        <f t="shared" si="983"/>
        <v>11411.376988107177</v>
      </c>
      <c r="G4525" s="16">
        <f t="shared" si="983"/>
        <v>12967.473850121794</v>
      </c>
      <c r="H4525" s="16">
        <f t="shared" si="983"/>
        <v>12967.473850121794</v>
      </c>
      <c r="I4525" s="16">
        <f t="shared" si="983"/>
        <v>0</v>
      </c>
      <c r="J4525" s="16">
        <f t="shared" si="983"/>
        <v>0</v>
      </c>
      <c r="K4525" s="16">
        <f t="shared" si="983"/>
        <v>0</v>
      </c>
      <c r="L4525" s="16">
        <f t="shared" si="983"/>
        <v>0</v>
      </c>
      <c r="M4525" s="16">
        <f t="shared" si="983"/>
        <v>0</v>
      </c>
    </row>
    <row r="4526" spans="1:13" ht="15" customHeight="1" x14ac:dyDescent="0.2">
      <c r="B4526" s="10" t="s">
        <v>899</v>
      </c>
      <c r="C4526" s="10" t="s">
        <v>110</v>
      </c>
      <c r="D4526" s="16">
        <f t="shared" ref="D4526:M4526" si="984">D4522*$D$4543</f>
        <v>0</v>
      </c>
      <c r="E4526" s="16">
        <f t="shared" si="984"/>
        <v>0</v>
      </c>
      <c r="F4526" s="16">
        <f t="shared" si="984"/>
        <v>0</v>
      </c>
      <c r="G4526" s="16">
        <f t="shared" si="984"/>
        <v>2638.0048485671714</v>
      </c>
      <c r="H4526" s="16">
        <f t="shared" si="984"/>
        <v>3968.4768591488755</v>
      </c>
      <c r="I4526" s="16">
        <f t="shared" si="984"/>
        <v>9921.1921478721906</v>
      </c>
      <c r="J4526" s="16">
        <f t="shared" si="984"/>
        <v>10913.311362659404</v>
      </c>
      <c r="K4526" s="16">
        <f t="shared" si="984"/>
        <v>15039.495033407406</v>
      </c>
      <c r="L4526" s="16">
        <f t="shared" si="984"/>
        <v>16369.967043989109</v>
      </c>
      <c r="M4526" s="16">
        <f t="shared" si="984"/>
        <v>9921.1921478721906</v>
      </c>
    </row>
    <row r="4527" spans="1:13" ht="15" customHeight="1" x14ac:dyDescent="0.2">
      <c r="B4527" s="10" t="s">
        <v>900</v>
      </c>
      <c r="C4527" s="10" t="s">
        <v>199</v>
      </c>
      <c r="D4527" s="28">
        <f>D4521*Inputs!$D$23</f>
        <v>1.7300000000000002</v>
      </c>
      <c r="E4527" s="28">
        <f>E4521*Inputs!$D$23</f>
        <v>4.325000000000002</v>
      </c>
      <c r="F4527" s="28">
        <f>F4521*Inputs!$D$23</f>
        <v>4.7574999999999994</v>
      </c>
      <c r="G4527" s="28">
        <f>G4521*Inputs!$D$23</f>
        <v>5.40625</v>
      </c>
      <c r="H4527" s="28">
        <f>H4521*Inputs!$D$23</f>
        <v>5.40625</v>
      </c>
      <c r="I4527" s="28">
        <f>I4521*Inputs!$D$23</f>
        <v>0</v>
      </c>
      <c r="J4527" s="28">
        <f>J4521*Inputs!$D$23</f>
        <v>0</v>
      </c>
      <c r="K4527" s="28">
        <f>K4521*Inputs!$D$23</f>
        <v>0</v>
      </c>
      <c r="L4527" s="28">
        <f>L4521*Inputs!$D$23</f>
        <v>0</v>
      </c>
      <c r="M4527" s="28">
        <f>M4521*Inputs!$D$23</f>
        <v>0</v>
      </c>
    </row>
    <row r="4528" spans="1:13" ht="15" customHeight="1" x14ac:dyDescent="0.2">
      <c r="B4528" s="3" t="s">
        <v>901</v>
      </c>
      <c r="C4528" s="10" t="s">
        <v>896</v>
      </c>
      <c r="D4528" s="28">
        <f>(D4523*$D$4541*(Inputs!$D$7-Inputs!$D$19)-D4527)/(Inputs!$D$7+$D$4542)^D4516</f>
        <v>20.981187074746607</v>
      </c>
      <c r="E4528" s="28">
        <f>(E4523*$D$4541*(Inputs!$D$7-Inputs!$D$19)-E4527)/(Inputs!$D$7+$D$4542)^E4516</f>
        <v>68.255963262205867</v>
      </c>
      <c r="F4528" s="28">
        <f>(F4523*$D$4541*(Inputs!$D$7-Inputs!$D$19)-F4527)/(Inputs!$D$7+$D$4542)^F4516</f>
        <v>120.61414888935703</v>
      </c>
      <c r="G4528" s="28">
        <f>(G4523*$D$4541*(Inputs!$D$7-Inputs!$D$19)-G4527)/(Inputs!$D$7+$D$4542)^G4516</f>
        <v>169.11787330578514</v>
      </c>
      <c r="H4528" s="28">
        <f>(H4523*$D$4541*(Inputs!$D$7-Inputs!$D$19)-H4527)/(Inputs!$D$7+$D$4542)^H4516</f>
        <v>211.7039354257503</v>
      </c>
      <c r="I4528" s="28">
        <f>(I4523*$D$4541*(Inputs!$D$7-Inputs!$D$19)-I4527)/(Inputs!$D$7+$D$4542)^I4516</f>
        <v>221.8916197826434</v>
      </c>
      <c r="J4528" s="28">
        <f>(J4523*$D$4541*(Inputs!$D$7-Inputs!$D$19)-J4527)/(Inputs!$D$7+$D$4542)^J4516</f>
        <v>201.73281421346593</v>
      </c>
      <c r="K4528" s="28">
        <f>(K4523*$D$4541*(Inputs!$D$7-Inputs!$D$19)-K4527)/(Inputs!$D$7+$D$4542)^K4516</f>
        <v>183.40543176145695</v>
      </c>
      <c r="L4528" s="28">
        <f>(L4523*$D$4541*(Inputs!$D$7-Inputs!$D$19)-L4527)/(Inputs!$D$7+$D$4542)^L4516</f>
        <v>166.74308803332551</v>
      </c>
      <c r="M4528" s="28">
        <f>(M4523*$D$4541*(Inputs!$D$7-Inputs!$D$19)-M4527)/(Inputs!$D$7+$D$4542)^M4516</f>
        <v>151.55496194429571</v>
      </c>
    </row>
    <row r="4529" spans="2:13" ht="15" customHeight="1" x14ac:dyDescent="0.2">
      <c r="B4529" s="10" t="s">
        <v>902</v>
      </c>
      <c r="C4529" s="10" t="s">
        <v>110</v>
      </c>
      <c r="D4529" s="16">
        <f>(D4524*Inputs!$D$19-D4525-D4526)/(Inputs!$D$7+$D$4542)^D4516</f>
        <v>-3642.8616531802254</v>
      </c>
      <c r="E4529" s="16">
        <f>(E4524*Inputs!$D$19-E4525-E4526)/(Inputs!$D$7+$D$4542)^E4516</f>
        <v>-8064.925486193536</v>
      </c>
      <c r="F4529" s="16">
        <f>(F4524*Inputs!$D$19-F4525-F4526)/(Inputs!$D$7+$D$4542)^F4516</f>
        <v>-7524.4189502174931</v>
      </c>
      <c r="G4529" s="16">
        <f>(G4524*Inputs!$D$19-G4525-G4526)/(Inputs!$D$7+$D$4542)^G4516</f>
        <v>-9165.0699711658544</v>
      </c>
      <c r="H4529" s="16">
        <f>(H4524*Inputs!$D$19-H4525-H4526)/(Inputs!$D$7+$D$4542)^H4516</f>
        <v>-8582.4561303350856</v>
      </c>
      <c r="I4529" s="16">
        <f>(I4524*Inputs!$D$19-I4525-I4526)/(Inputs!$D$7+$D$4542)^I4516</f>
        <v>-3460.4989174974958</v>
      </c>
      <c r="J4529" s="16">
        <f>(J4524*Inputs!$D$19-J4525-J4526)/(Inputs!$D$7+$D$4542)^J4516</f>
        <v>-3669.1989119501291</v>
      </c>
      <c r="K4529" s="16">
        <f>(K4524*Inputs!$D$19-K4525-K4526)/(Inputs!$D$7+$D$4542)^K4516</f>
        <v>-5313.7017593374285</v>
      </c>
      <c r="L4529" s="16">
        <f>(L4524*Inputs!$D$19-L4525-L4526)/(Inputs!$D$7+$D$4542)^L4516</f>
        <v>-5410.7633919680211</v>
      </c>
      <c r="M4529" s="16">
        <f>(M4524*Inputs!$D$19-M4525-M4526)/(Inputs!$D$7+$D$4542)^M4516</f>
        <v>-2363.567322927051</v>
      </c>
    </row>
    <row r="4530" spans="2:13" ht="15" customHeight="1" x14ac:dyDescent="0.2">
      <c r="B4530" s="10" t="s">
        <v>903</v>
      </c>
      <c r="C4530" s="10" t="s">
        <v>110</v>
      </c>
      <c r="D4530" s="16">
        <f t="shared" ref="D4530:M4530" si="985">D4523*$D$4540</f>
        <v>2770.0164776201323</v>
      </c>
      <c r="E4530" s="16">
        <f t="shared" si="985"/>
        <v>9700.696698683103</v>
      </c>
      <c r="F4530" s="16">
        <f t="shared" si="985"/>
        <v>18437.095088944807</v>
      </c>
      <c r="G4530" s="16">
        <f t="shared" si="985"/>
        <v>28213.540906618615</v>
      </c>
      <c r="H4530" s="16">
        <f t="shared" si="985"/>
        <v>38614.015180739691</v>
      </c>
      <c r="I4530" s="16">
        <f t="shared" si="985"/>
        <v>43814.252317800223</v>
      </c>
      <c r="J4530" s="16">
        <f t="shared" si="985"/>
        <v>43814.252317800223</v>
      </c>
      <c r="K4530" s="16">
        <f t="shared" si="985"/>
        <v>43814.252317800223</v>
      </c>
      <c r="L4530" s="16">
        <f t="shared" si="985"/>
        <v>43814.252317800223</v>
      </c>
      <c r="M4530" s="16">
        <f t="shared" si="985"/>
        <v>43814.252317800223</v>
      </c>
    </row>
    <row r="4531" spans="2:13" ht="15" customHeight="1" x14ac:dyDescent="0.2">
      <c r="B4531" s="10" t="s">
        <v>904</v>
      </c>
      <c r="C4531" s="10" t="s">
        <v>110</v>
      </c>
      <c r="D4531" s="16">
        <f t="shared" ref="D4531:M4531" si="986">D4530*$D$4541</f>
        <v>1662.0098865720793</v>
      </c>
      <c r="E4531" s="16">
        <f t="shared" si="986"/>
        <v>5820.418019209862</v>
      </c>
      <c r="F4531" s="16">
        <f t="shared" si="986"/>
        <v>11062.257053366884</v>
      </c>
      <c r="G4531" s="16">
        <f t="shared" si="986"/>
        <v>16928.124543971167</v>
      </c>
      <c r="H4531" s="16">
        <f t="shared" si="986"/>
        <v>23168.409108443815</v>
      </c>
      <c r="I4531" s="16">
        <f t="shared" si="986"/>
        <v>26288.551390680132</v>
      </c>
      <c r="J4531" s="16">
        <f t="shared" si="986"/>
        <v>26288.551390680132</v>
      </c>
      <c r="K4531" s="16">
        <f t="shared" si="986"/>
        <v>26288.551390680132</v>
      </c>
      <c r="L4531" s="16">
        <f t="shared" si="986"/>
        <v>26288.551390680132</v>
      </c>
      <c r="M4531" s="16">
        <f t="shared" si="986"/>
        <v>26288.551390680132</v>
      </c>
    </row>
    <row r="4532" spans="2:13" ht="15" customHeight="1" x14ac:dyDescent="0.2">
      <c r="B4532" s="10" t="s">
        <v>905</v>
      </c>
      <c r="C4532" s="10" t="s">
        <v>110</v>
      </c>
      <c r="D4532" s="16">
        <f t="shared" ref="D4532:M4532" si="987">D4531-D4524</f>
        <v>828.73324790263518</v>
      </c>
      <c r="E4532" s="16">
        <f t="shared" si="987"/>
        <v>2902.2534511870485</v>
      </c>
      <c r="F4532" s="16">
        <f t="shared" si="987"/>
        <v>5516.0082325857957</v>
      </c>
      <c r="G4532" s="16">
        <f t="shared" si="987"/>
        <v>8440.924297484391</v>
      </c>
      <c r="H4532" s="16">
        <f t="shared" si="987"/>
        <v>11552.537132482901</v>
      </c>
      <c r="I4532" s="16">
        <f t="shared" si="987"/>
        <v>13108.34354998215</v>
      </c>
      <c r="J4532" s="16">
        <f t="shared" si="987"/>
        <v>13108.34354998215</v>
      </c>
      <c r="K4532" s="16">
        <f t="shared" si="987"/>
        <v>13108.34354998215</v>
      </c>
      <c r="L4532" s="16">
        <f t="shared" si="987"/>
        <v>13108.34354998215</v>
      </c>
      <c r="M4532" s="16">
        <f t="shared" si="987"/>
        <v>13108.34354998215</v>
      </c>
    </row>
    <row r="4533" spans="2:13" ht="15" customHeight="1" x14ac:dyDescent="0.2">
      <c r="B4533" s="10" t="s">
        <v>906</v>
      </c>
      <c r="C4533" s="10" t="s">
        <v>110</v>
      </c>
      <c r="D4533" s="16">
        <f>MAX(D4532,Inputs!$D$6)*Inputs!$D$19</f>
        <v>248.61997437079054</v>
      </c>
      <c r="E4533" s="16">
        <f>MAX(E4532,Inputs!$D$6)*Inputs!$D$19</f>
        <v>870.67603535611454</v>
      </c>
      <c r="F4533" s="16">
        <f>MAX(F4532,Inputs!$D$6)*Inputs!$D$19</f>
        <v>1654.8024697757387</v>
      </c>
      <c r="G4533" s="16">
        <f>MAX(G4532,Inputs!$D$6)*Inputs!$D$19</f>
        <v>2532.2772892453172</v>
      </c>
      <c r="H4533" s="16">
        <f>MAX(H4532,Inputs!$D$6)*Inputs!$D$19</f>
        <v>3465.7611397448704</v>
      </c>
      <c r="I4533" s="16">
        <f>MAX(I4532,Inputs!$D$6)*Inputs!$D$19</f>
        <v>3932.5030649946448</v>
      </c>
      <c r="J4533" s="16">
        <f>MAX(J4532,Inputs!$D$6)*Inputs!$D$19</f>
        <v>3932.5030649946448</v>
      </c>
      <c r="K4533" s="16">
        <f>MAX(K4532,Inputs!$D$6)*Inputs!$D$19</f>
        <v>3932.5030649946448</v>
      </c>
      <c r="L4533" s="16">
        <f>MAX(L4532,Inputs!$D$6)*Inputs!$D$19</f>
        <v>3932.5030649946448</v>
      </c>
      <c r="M4533" s="16">
        <f>MAX(M4532,Inputs!$D$6)*Inputs!$D$19</f>
        <v>3932.5030649946448</v>
      </c>
    </row>
    <row r="4534" spans="2:13" ht="15" customHeight="1" x14ac:dyDescent="0.2">
      <c r="B4534" s="10" t="s">
        <v>907</v>
      </c>
      <c r="C4534" s="10" t="s">
        <v>110</v>
      </c>
      <c r="D4534" s="16">
        <f t="shared" ref="D4534:M4534" si="988">D4527*$D$4540</f>
        <v>83.203794192968601</v>
      </c>
      <c r="E4534" s="16">
        <f t="shared" si="988"/>
        <v>208.00948548242158</v>
      </c>
      <c r="F4534" s="16">
        <f t="shared" si="988"/>
        <v>228.8104340306636</v>
      </c>
      <c r="G4534" s="16">
        <f t="shared" si="988"/>
        <v>260.01185685302687</v>
      </c>
      <c r="H4534" s="16">
        <f t="shared" si="988"/>
        <v>260.01185685302687</v>
      </c>
      <c r="I4534" s="16">
        <f t="shared" si="988"/>
        <v>0</v>
      </c>
      <c r="J4534" s="16">
        <f t="shared" si="988"/>
        <v>0</v>
      </c>
      <c r="K4534" s="16">
        <f t="shared" si="988"/>
        <v>0</v>
      </c>
      <c r="L4534" s="16">
        <f t="shared" si="988"/>
        <v>0</v>
      </c>
      <c r="M4534" s="16">
        <f t="shared" si="988"/>
        <v>0</v>
      </c>
    </row>
    <row r="4535" spans="2:13" ht="15" customHeight="1" x14ac:dyDescent="0.2">
      <c r="B4535" s="10" t="s">
        <v>908</v>
      </c>
      <c r="C4535" s="10" t="s">
        <v>110</v>
      </c>
      <c r="D4535" s="16">
        <f t="shared" ref="D4535:M4535" si="989">D4531-D4533-D4525-D4526-D4534</f>
        <v>-2819.4055140306536</v>
      </c>
      <c r="E4535" s="16">
        <f t="shared" si="989"/>
        <v>-5632.2465817261136</v>
      </c>
      <c r="F4535" s="16">
        <f t="shared" si="989"/>
        <v>-2232.7328385466953</v>
      </c>
      <c r="G4535" s="16">
        <f t="shared" si="989"/>
        <v>-1469.643300816143</v>
      </c>
      <c r="H4535" s="16">
        <f t="shared" si="989"/>
        <v>2506.6854025752473</v>
      </c>
      <c r="I4535" s="16">
        <f t="shared" si="989"/>
        <v>12434.856177813295</v>
      </c>
      <c r="J4535" s="16">
        <f t="shared" si="989"/>
        <v>11442.736963026082</v>
      </c>
      <c r="K4535" s="16">
        <f t="shared" si="989"/>
        <v>7316.5532922780803</v>
      </c>
      <c r="L4535" s="16">
        <f t="shared" si="989"/>
        <v>5986.0812816963771</v>
      </c>
      <c r="M4535" s="16">
        <f t="shared" si="989"/>
        <v>12434.856177813295</v>
      </c>
    </row>
    <row r="4536" spans="2:13" ht="15" customHeight="1" x14ac:dyDescent="0.2">
      <c r="B4536" s="10" t="s">
        <v>909</v>
      </c>
      <c r="C4536" s="10" t="s">
        <v>110</v>
      </c>
      <c r="D4536" s="16">
        <f>D4535/(Inputs!$D$7+$D$4542)^D4516</f>
        <v>-2633.7782015667049</v>
      </c>
      <c r="E4536" s="16">
        <f>E4535/(Inputs!$D$7+$D$4542)^E4516</f>
        <v>-4782.1768620828989</v>
      </c>
      <c r="F4536" s="16">
        <f>F4535/(Inputs!$D$7+$D$4542)^F4516</f>
        <v>-1723.5202097838894</v>
      </c>
      <c r="G4536" s="16">
        <f>G4535/(Inputs!$D$7+$D$4542)^G4516</f>
        <v>-1031.4001879941295</v>
      </c>
      <c r="H4536" s="16">
        <f>H4535/(Inputs!$D$7+$D$4542)^H4516</f>
        <v>1599.3766286277132</v>
      </c>
      <c r="I4536" s="16">
        <f>I4535/(Inputs!$D$7+$D$4542)^I4516</f>
        <v>7211.3072475542367</v>
      </c>
      <c r="J4536" s="16">
        <f>J4535/(Inputs!$D$7+$D$4542)^J4516</f>
        <v>6033.0759757872038</v>
      </c>
      <c r="K4536" s="16">
        <f>K4535/(Inputs!$D$7+$D$4542)^K4516</f>
        <v>3507.1235575139062</v>
      </c>
      <c r="L4536" s="16">
        <f>L4535/(Inputs!$D$7+$D$4542)^L4516</f>
        <v>2608.6918564856542</v>
      </c>
      <c r="M4536" s="16">
        <f>M4535/(Inputs!$D$7+$D$4542)^M4516</f>
        <v>4925.4198808511956</v>
      </c>
    </row>
    <row r="4537" spans="2:13" ht="15" customHeight="1" x14ac:dyDescent="0.2">
      <c r="B4537" s="3" t="s">
        <v>910</v>
      </c>
      <c r="C4537" s="10" t="s">
        <v>896</v>
      </c>
      <c r="D4537" s="28">
        <f>(D4523*$D$4541-D4527)/(Inputs!$D$7+$D$4542)^D4516</f>
        <v>30.665737923868878</v>
      </c>
      <c r="E4537" s="28">
        <f>(E4523*$D$4541-E4527)/(Inputs!$D$7+$D$4542)^E4516</f>
        <v>99.082332568922538</v>
      </c>
      <c r="F4537" s="28">
        <f>(F4523*$D$4541-F4527)/(Inputs!$D$7+$D$4542)^F4516</f>
        <v>173.87984328077783</v>
      </c>
      <c r="G4537" s="28">
        <f>(G4523*$D$4541-G4527)/(Inputs!$D$7+$D$4542)^G4516</f>
        <v>243.22301452630424</v>
      </c>
      <c r="H4537" s="28">
        <f>(H4523*$D$4541-H4527)/(Inputs!$D$7+$D$4542)^H4516</f>
        <v>303.91251959440808</v>
      </c>
      <c r="I4537" s="28">
        <f>(I4523*$D$4541-I4527)/(Inputs!$D$7+$D$4542)^I4516</f>
        <v>316.98802826091918</v>
      </c>
      <c r="J4537" s="28">
        <f>(J4523*$D$4541-J4527)/(Inputs!$D$7+$D$4542)^J4516</f>
        <v>288.18973459066564</v>
      </c>
      <c r="K4537" s="28">
        <f>(K4523*$D$4541-K4527)/(Inputs!$D$7+$D$4542)^K4516</f>
        <v>262.00775965922423</v>
      </c>
      <c r="L4537" s="28">
        <f>(L4523*$D$4541-L4527)/(Inputs!$D$7+$D$4542)^L4516</f>
        <v>238.2044114761793</v>
      </c>
      <c r="M4537" s="28">
        <f>(M4523*$D$4541-M4527)/(Inputs!$D$7+$D$4542)^M4516</f>
        <v>216.50708849185102</v>
      </c>
    </row>
    <row r="4538" spans="2:13" ht="15" customHeight="1" x14ac:dyDescent="0.2">
      <c r="B4538" s="10" t="s">
        <v>911</v>
      </c>
      <c r="C4538" s="10" t="s">
        <v>110</v>
      </c>
      <c r="D4538" s="16">
        <f>(-D4525-D4526)/(Inputs!$D$7+$D$4542)^D4516</f>
        <v>-3876.3859726738942</v>
      </c>
      <c r="E4538" s="16">
        <f>(-E4525-E4526)/(Inputs!$D$7+$D$4542)^E4516</f>
        <v>-8808.24410023788</v>
      </c>
      <c r="F4538" s="16">
        <f>(-F4525-F4526)/(Inputs!$D$7+$D$4542)^F4516</f>
        <v>-8808.8187359072599</v>
      </c>
      <c r="G4538" s="16">
        <f>(-G4525-G4526)/(Inputs!$D$7+$D$4542)^G4516</f>
        <v>-10951.972941072034</v>
      </c>
      <c r="H4538" s="16">
        <f>(-H4525-H4526)/(Inputs!$D$7+$D$4542)^H4516</f>
        <v>-10805.888812441568</v>
      </c>
      <c r="I4538" s="16">
        <f>(-I4525-I4526)/(Inputs!$D$7+$D$4542)^I4516</f>
        <v>-5753.5659292933024</v>
      </c>
      <c r="J4538" s="16">
        <f>(-J4525-J4526)/(Inputs!$D$7+$D$4542)^J4516</f>
        <v>-5753.9412826749158</v>
      </c>
      <c r="K4538" s="16">
        <f>(-K4525-K4526)/(Inputs!$D$7+$D$4542)^K4516</f>
        <v>-7209.0457374846392</v>
      </c>
      <c r="L4538" s="16">
        <f>(-L4525-L4526)/(Inputs!$D$7+$D$4542)^L4516</f>
        <v>-7133.915780457146</v>
      </c>
      <c r="M4538" s="16">
        <f>(-M4525-M4526)/(Inputs!$D$7+$D$4542)^M4516</f>
        <v>-3929.7629460373614</v>
      </c>
    </row>
    <row r="4539" spans="2:13" ht="15" customHeight="1" x14ac:dyDescent="0.2">
      <c r="B4539" s="10" t="s">
        <v>912</v>
      </c>
      <c r="C4539" s="10" t="s">
        <v>110</v>
      </c>
      <c r="D4539" s="16">
        <f>Prices!K6</f>
        <v>58028.700386874909</v>
      </c>
    </row>
    <row r="4540" spans="2:13" ht="15" customHeight="1" x14ac:dyDescent="0.2">
      <c r="B4540" s="3" t="s">
        <v>913</v>
      </c>
      <c r="C4540" s="10" t="s">
        <v>914</v>
      </c>
      <c r="D4540" s="28">
        <f>IF(J4547&gt;=J4543,J4547,(D4539-J4546)/J4545)</f>
        <v>48.094678724259303</v>
      </c>
      <c r="G4540" s="99" t="s">
        <v>915</v>
      </c>
      <c r="H4540" s="91"/>
      <c r="I4540" s="91"/>
      <c r="J4540" s="28">
        <f>D4540*Inputs!$D$15</f>
        <v>33.565276281660566</v>
      </c>
      <c r="K4540" s="99" t="s">
        <v>916</v>
      </c>
      <c r="L4540" s="91"/>
      <c r="M4540" s="91"/>
    </row>
    <row r="4541" spans="2:13" ht="15" customHeight="1" x14ac:dyDescent="0.2">
      <c r="B4541" s="10" t="s">
        <v>917</v>
      </c>
      <c r="C4541" s="10" t="s">
        <v>104</v>
      </c>
      <c r="D4541" s="30">
        <f>Inputs!$D$81</f>
        <v>0.6</v>
      </c>
      <c r="G4541" s="99" t="s">
        <v>918</v>
      </c>
      <c r="H4541" s="91"/>
      <c r="I4541" s="91"/>
      <c r="J4541" s="28">
        <f>IF(-D4552/D4551&gt;=J4543,-D4552/D4551,-J4546/J4545)</f>
        <v>31.904742398820275</v>
      </c>
      <c r="K4541" s="99" t="s">
        <v>919</v>
      </c>
      <c r="L4541" s="91"/>
      <c r="M4541" s="91"/>
    </row>
    <row r="4542" spans="2:13" ht="15" customHeight="1" x14ac:dyDescent="0.2">
      <c r="B4542" s="10" t="s">
        <v>920</v>
      </c>
      <c r="C4542" s="10" t="s">
        <v>104</v>
      </c>
      <c r="D4542" s="30">
        <f>Inputs!$D$82</f>
        <v>0.1</v>
      </c>
      <c r="G4542" s="99" t="s">
        <v>918</v>
      </c>
      <c r="H4542" s="91"/>
      <c r="I4542" s="91"/>
      <c r="J4542" s="28">
        <f>J4541*Inputs!$D$15</f>
        <v>22.266319720136668</v>
      </c>
      <c r="K4542" s="99" t="s">
        <v>916</v>
      </c>
      <c r="L4542" s="91"/>
      <c r="M4542" s="91"/>
    </row>
    <row r="4543" spans="2:13" ht="15" customHeight="1" x14ac:dyDescent="0.2">
      <c r="B4543" s="3" t="s">
        <v>921</v>
      </c>
      <c r="C4543" s="10" t="s">
        <v>848</v>
      </c>
      <c r="D4543" s="28">
        <f>Capital!$D$13</f>
        <v>57.347931490590682</v>
      </c>
      <c r="G4543" s="99" t="s">
        <v>922</v>
      </c>
      <c r="H4543" s="91"/>
      <c r="I4543" s="91"/>
      <c r="J4543" s="28">
        <f>($D$4543/Inputs!$D$21+$D$4544/Inputs!$D$22)/$D$4541</f>
        <v>24.113076913095469</v>
      </c>
      <c r="K4543" s="99" t="s">
        <v>919</v>
      </c>
      <c r="L4543" s="91"/>
      <c r="M4543" s="91"/>
    </row>
    <row r="4544" spans="2:13" ht="15" customHeight="1" x14ac:dyDescent="0.2">
      <c r="B4544" s="3" t="s">
        <v>923</v>
      </c>
      <c r="C4544" s="10" t="s">
        <v>848</v>
      </c>
      <c r="D4544" s="28">
        <f>Capital!$D$14</f>
        <v>2.6172655041921802</v>
      </c>
    </row>
    <row r="4545" spans="1:13" ht="15" customHeight="1" x14ac:dyDescent="0.2">
      <c r="B4545" s="10" t="s">
        <v>924</v>
      </c>
      <c r="C4545" s="10" t="s">
        <v>896</v>
      </c>
      <c r="D4545" s="28">
        <f>(M4518*(Inputs!$D$7+Inputs!$D$20)*$D$4541*(Inputs!$D$7-Inputs!$D$19)-M4518*Inputs!$D$20*Inputs!$D$23)/($D$4542-Inputs!$D$20)/(Inputs!$D$7+$D$4542)^M4516</f>
        <v>2068.2441036763203</v>
      </c>
      <c r="G4545" s="92" t="s">
        <v>910</v>
      </c>
      <c r="H4545" s="91"/>
      <c r="I4545" s="91"/>
      <c r="J4545" s="28">
        <f>SUM(D4537:M4537)+(M4518*(Inputs!$D$7+Inputs!$D$20)*$D$4541-M4518*Inputs!$D$20*Inputs!$D$23)/($D$4542-Inputs!$D$20)/(Inputs!$D$7+$D$4542)^M4516</f>
        <v>5128.5836368660293</v>
      </c>
      <c r="K4545" s="99" t="s">
        <v>896</v>
      </c>
      <c r="L4545" s="91"/>
      <c r="M4545" s="91"/>
    </row>
    <row r="4546" spans="1:13" ht="15" customHeight="1" x14ac:dyDescent="0.2">
      <c r="B4546" s="10" t="s">
        <v>925</v>
      </c>
      <c r="C4546" s="10" t="s">
        <v>110</v>
      </c>
      <c r="D4546" s="16">
        <f>(D4549*Inputs!$D$19-D4549-D4550)/($D$4542-Inputs!$D$20)/(Inputs!$D$7+$D$4542)^M4516</f>
        <v>-57156.954988173631</v>
      </c>
      <c r="G4546" s="92" t="s">
        <v>926</v>
      </c>
      <c r="H4546" s="91"/>
      <c r="I4546" s="91"/>
      <c r="J4546" s="16">
        <f>SUM(D4538:M4538)-(D4549+D4550)/($D$4542-Inputs!$D$20)/(Inputs!$D$7+$D$4542)^M4516</f>
        <v>-151593.17074229455</v>
      </c>
      <c r="K4546" s="99" t="s">
        <v>110</v>
      </c>
      <c r="L4546" s="91"/>
      <c r="M4546" s="91"/>
    </row>
    <row r="4547" spans="1:13" ht="15" customHeight="1" x14ac:dyDescent="0.2">
      <c r="B4547" s="10" t="s">
        <v>927</v>
      </c>
      <c r="C4547" s="10" t="s">
        <v>928</v>
      </c>
      <c r="D4547" s="16">
        <f>(M4518*(Inputs!$D$7+Inputs!$D$20)*$D$4540*$D$4541-D4549)-MAX((M4518*(Inputs!$D$7+Inputs!$D$20)*$D$4540*$D$4541-D4549),Inputs!$D$6)*Inputs!$D$19-D4550-M4518*Inputs!$D$20*$D$4540*Inputs!$D$23</f>
        <v>8012.1452278573879</v>
      </c>
      <c r="G4547" s="99" t="s">
        <v>929</v>
      </c>
      <c r="H4547" s="91"/>
      <c r="I4547" s="91"/>
      <c r="J4547" s="28">
        <f>(D4539-D4552)/D4551</f>
        <v>48.094678724259303</v>
      </c>
      <c r="K4547" s="99" t="s">
        <v>919</v>
      </c>
      <c r="L4547" s="91"/>
      <c r="M4547" s="91"/>
    </row>
    <row r="4548" spans="1:13" ht="15" customHeight="1" x14ac:dyDescent="0.2">
      <c r="B4548" s="10" t="s">
        <v>930</v>
      </c>
      <c r="C4548" s="10" t="s">
        <v>110</v>
      </c>
      <c r="D4548" s="16">
        <f>D4547/($D$4542-Inputs!$D$20)</f>
        <v>106828.60303809849</v>
      </c>
      <c r="G4548" s="99" t="s">
        <v>931</v>
      </c>
      <c r="H4548" s="91"/>
      <c r="I4548" s="91"/>
      <c r="J4548" s="16">
        <f>MIN(D4532:M4532,(M4518*(Inputs!$D$7+Inputs!$D$20)*$D$4540*$D$4541-D4549))</f>
        <v>828.73324790263518</v>
      </c>
      <c r="K4548" s="99" t="s">
        <v>110</v>
      </c>
      <c r="L4548" s="91"/>
      <c r="M4548" s="91"/>
    </row>
    <row r="4549" spans="1:13" ht="15" customHeight="1" x14ac:dyDescent="0.2">
      <c r="B4549" s="10" t="s">
        <v>932</v>
      </c>
      <c r="C4549" s="10" t="s">
        <v>928</v>
      </c>
      <c r="D4549" s="16">
        <f>M4518*(Inputs!$D$7+Inputs!$D$20)*($D$4543/Inputs!$D$21+$D$4544/Inputs!$D$22)</f>
        <v>13509.71303671543</v>
      </c>
      <c r="G4549" s="99" t="s">
        <v>933</v>
      </c>
      <c r="H4549" s="91"/>
      <c r="I4549" s="91"/>
      <c r="J4549" s="31" t="str">
        <f>IF(J4548&lt;Inputs!$D$6,"breached","satisfied")</f>
        <v>satisfied</v>
      </c>
      <c r="K4549" s="99" t="s">
        <v>934</v>
      </c>
      <c r="L4549" s="91"/>
      <c r="M4549" s="91"/>
    </row>
    <row r="4550" spans="1:13" ht="15" customHeight="1" x14ac:dyDescent="0.2">
      <c r="B4550" s="10" t="s">
        <v>935</v>
      </c>
      <c r="C4550" s="10" t="s">
        <v>928</v>
      </c>
      <c r="D4550" s="16">
        <f>M4518*Inputs!$D$20*($D$4543+$D$4544)</f>
        <v>1365.7073615561799</v>
      </c>
    </row>
    <row r="4551" spans="1:13" ht="15" customHeight="1" x14ac:dyDescent="0.2">
      <c r="B4551" s="10" t="s">
        <v>936</v>
      </c>
      <c r="C4551" s="10" t="s">
        <v>896</v>
      </c>
      <c r="D4551" s="28">
        <f>SUM(D4528:M4528)+D4545</f>
        <v>3584.2451273693523</v>
      </c>
      <c r="G4551" s="99" t="s">
        <v>937</v>
      </c>
      <c r="H4551" s="91"/>
      <c r="I4551" s="91"/>
      <c r="J4551" s="16">
        <f>D4553-D4539</f>
        <v>0</v>
      </c>
      <c r="K4551" s="99" t="s">
        <v>110</v>
      </c>
      <c r="L4551" s="91"/>
      <c r="M4551" s="91"/>
    </row>
    <row r="4552" spans="1:13" ht="15" customHeight="1" x14ac:dyDescent="0.2">
      <c r="B4552" s="10" t="s">
        <v>938</v>
      </c>
      <c r="C4552" s="10" t="s">
        <v>110</v>
      </c>
      <c r="D4552" s="16">
        <f>SUM(D4529:M4529)+D4546</f>
        <v>-114354.41748294595</v>
      </c>
    </row>
    <row r="4553" spans="1:13" ht="15" customHeight="1" x14ac:dyDescent="0.2">
      <c r="B4553" s="10" t="s">
        <v>939</v>
      </c>
      <c r="C4553" s="10" t="s">
        <v>110</v>
      </c>
      <c r="D4553" s="16">
        <f>SUM(D4536:M4536)+D4548/(Inputs!$D$7+$D$4542)^M4516</f>
        <v>58028.700386874931</v>
      </c>
    </row>
    <row r="4554" spans="1:13" ht="15" customHeight="1" x14ac:dyDescent="0.2">
      <c r="B4554" s="10" t="s">
        <v>940</v>
      </c>
      <c r="C4554" s="10" t="s">
        <v>104</v>
      </c>
      <c r="D4554" s="30">
        <f>IF(ABS(D4539)&gt;Inputs!$D$6,D4553/D4539-Inputs!$D$7,Inputs!$D$6)</f>
        <v>4.4408920985006262E-16</v>
      </c>
    </row>
    <row r="4555" spans="1:13" ht="15" customHeight="1" x14ac:dyDescent="0.2">
      <c r="B4555" s="10" t="s">
        <v>941</v>
      </c>
      <c r="C4555" s="10" t="s">
        <v>104</v>
      </c>
      <c r="D4555" s="30">
        <f>IF(ABS(D4553)&gt;Inputs!$D$119,D4548/(Inputs!$D$7+$D$4542)^M4516/D4553,Inputs!$D$6)</f>
        <v>0.72920090264598536</v>
      </c>
    </row>
    <row r="4556" spans="1:13" ht="15" customHeight="1" x14ac:dyDescent="0.2">
      <c r="B4556" s="10" t="s">
        <v>942</v>
      </c>
      <c r="C4556" s="10" t="s">
        <v>943</v>
      </c>
      <c r="D4556" s="26">
        <f>$D$4540*Inputs!$D$8/Prices!$P$6/(Inputs!$D$26/Inputs!$D$25)/Inputs!$D$11/Inputs!$D$56</f>
        <v>8.746163414667361</v>
      </c>
    </row>
    <row r="4560" spans="1:13" ht="15" customHeight="1" x14ac:dyDescent="0.2">
      <c r="A4560" s="104" t="s">
        <v>1042</v>
      </c>
      <c r="B4560" s="10" t="s">
        <v>886</v>
      </c>
      <c r="C4560" s="10" t="s">
        <v>107</v>
      </c>
      <c r="D4560" s="28">
        <f>Inputs!$D$60</f>
        <v>1</v>
      </c>
      <c r="E4560" s="28">
        <f>Inputs!$D$62</f>
        <v>2</v>
      </c>
      <c r="F4560" s="28">
        <f>Inputs!$D$64</f>
        <v>3</v>
      </c>
      <c r="G4560" s="28">
        <f>Inputs!$D$66</f>
        <v>4</v>
      </c>
      <c r="H4560" s="28">
        <f>Inputs!$D$68</f>
        <v>5</v>
      </c>
      <c r="I4560" s="28">
        <f>Inputs!$D$70</f>
        <v>6</v>
      </c>
      <c r="J4560" s="28">
        <f>Inputs!$D$72</f>
        <v>7</v>
      </c>
      <c r="K4560" s="28">
        <f>Inputs!$D$74</f>
        <v>8</v>
      </c>
      <c r="L4560" s="28">
        <f>Inputs!$D$76</f>
        <v>9</v>
      </c>
      <c r="M4560" s="28">
        <f>Inputs!$D$78</f>
        <v>10</v>
      </c>
    </row>
    <row r="4561" spans="1:13" ht="15" customHeight="1" x14ac:dyDescent="0.2">
      <c r="A4561" s="91"/>
      <c r="B4561" s="10" t="s">
        <v>887</v>
      </c>
      <c r="C4561" s="10" t="s">
        <v>161</v>
      </c>
      <c r="D4561" s="29">
        <f>Inputs!$D$61</f>
        <v>46568</v>
      </c>
      <c r="E4561" s="29">
        <f>Inputs!$D$63</f>
        <v>46934</v>
      </c>
      <c r="F4561" s="29">
        <f>Inputs!$D$65</f>
        <v>47299</v>
      </c>
      <c r="G4561" s="29">
        <f>Inputs!$D$67</f>
        <v>47664</v>
      </c>
      <c r="H4561" s="29">
        <f>Inputs!$D$69</f>
        <v>48029</v>
      </c>
      <c r="I4561" s="29">
        <f>Inputs!$D$71</f>
        <v>48395</v>
      </c>
      <c r="J4561" s="29">
        <f>Inputs!$D$73</f>
        <v>48760</v>
      </c>
      <c r="K4561" s="29">
        <f>Inputs!$D$75</f>
        <v>49125</v>
      </c>
      <c r="L4561" s="29">
        <f>Inputs!$D$77</f>
        <v>49490</v>
      </c>
      <c r="M4561" s="29">
        <f>Inputs!$D$79</f>
        <v>49856</v>
      </c>
    </row>
    <row r="4562" spans="1:13" ht="15" customHeight="1" x14ac:dyDescent="0.2">
      <c r="A4562" s="91"/>
      <c r="B4562" s="10" t="s">
        <v>888</v>
      </c>
      <c r="C4562" s="10" t="s">
        <v>107</v>
      </c>
      <c r="D4562" s="28">
        <f>(D4561-Inputs!$D$13)/Inputs!$D$10</f>
        <v>0.71457905544147848</v>
      </c>
      <c r="E4562" s="28">
        <f>(E4561-Inputs!$D$13)/Inputs!$D$10</f>
        <v>1.7166324435318274</v>
      </c>
      <c r="F4562" s="28">
        <f>(F4561-Inputs!$D$13)/Inputs!$D$10</f>
        <v>2.7159479808350446</v>
      </c>
      <c r="G4562" s="28">
        <f>(G4561-Inputs!$D$13)/Inputs!$D$10</f>
        <v>3.7152635181382614</v>
      </c>
      <c r="H4562" s="28">
        <f>(H4561-Inputs!$D$13)/Inputs!$D$10</f>
        <v>4.7145790554414786</v>
      </c>
      <c r="I4562" s="28">
        <f>(I4561-Inputs!$D$13)/Inputs!$D$10</f>
        <v>5.7166324435318279</v>
      </c>
      <c r="J4562" s="28">
        <f>(J4561-Inputs!$D$13)/Inputs!$D$10</f>
        <v>6.7159479808350442</v>
      </c>
      <c r="K4562" s="28">
        <f>(K4561-Inputs!$D$13)/Inputs!$D$10</f>
        <v>7.7152635181382614</v>
      </c>
      <c r="L4562" s="28">
        <f>(L4561-Inputs!$D$13)/Inputs!$D$10</f>
        <v>8.7145790554414777</v>
      </c>
      <c r="M4562" s="28">
        <f>(M4561-Inputs!$D$13)/Inputs!$D$10</f>
        <v>9.716632443531827</v>
      </c>
    </row>
    <row r="4563" spans="1:13" ht="15" customHeight="1" x14ac:dyDescent="0.2">
      <c r="A4563" s="91"/>
      <c r="B4563" s="10" t="s">
        <v>889</v>
      </c>
      <c r="C4563" s="10" t="s">
        <v>107</v>
      </c>
      <c r="D4563" s="28">
        <f>D4562</f>
        <v>0.71457905544147848</v>
      </c>
      <c r="E4563" s="28">
        <f>Inputs!$D$7</f>
        <v>1</v>
      </c>
      <c r="F4563" s="28">
        <f>Inputs!$D$7</f>
        <v>1</v>
      </c>
      <c r="G4563" s="28">
        <f>Inputs!$D$7</f>
        <v>1</v>
      </c>
      <c r="H4563" s="28">
        <f>Inputs!$D$7</f>
        <v>1</v>
      </c>
      <c r="I4563" s="28">
        <f>Inputs!$D$7</f>
        <v>1</v>
      </c>
      <c r="J4563" s="28">
        <f>Inputs!$D$7</f>
        <v>1</v>
      </c>
      <c r="K4563" s="28">
        <f>Inputs!$D$7</f>
        <v>1</v>
      </c>
      <c r="L4563" s="28">
        <f>Inputs!$D$7</f>
        <v>1</v>
      </c>
      <c r="M4563" s="28">
        <f>Inputs!$D$7</f>
        <v>1</v>
      </c>
    </row>
    <row r="4564" spans="1:13" ht="15" customHeight="1" x14ac:dyDescent="0.2">
      <c r="A4564" s="91"/>
      <c r="B4564" s="3" t="s">
        <v>890</v>
      </c>
      <c r="C4564" s="10" t="s">
        <v>199</v>
      </c>
      <c r="D4564" s="28">
        <f>Inputs!$D$24+(Inputs!$D$93-Inputs!$D$24)*Inputs!$D$83</f>
        <v>512.20000000000005</v>
      </c>
      <c r="E4564" s="28">
        <f>Inputs!$D$24+(Inputs!$D$93-Inputs!$D$24)*Inputs!$D$84</f>
        <v>1133.8</v>
      </c>
      <c r="F4564" s="28">
        <f>Inputs!$D$24+(Inputs!$D$93-Inputs!$D$24)*Inputs!$D$85</f>
        <v>1600</v>
      </c>
      <c r="G4564" s="28">
        <f>Inputs!$D$24+(Inputs!$D$93-Inputs!$D$24)*Inputs!$D$86</f>
        <v>1600</v>
      </c>
      <c r="H4564" s="28">
        <f>Inputs!$D$24+(Inputs!$D$93-Inputs!$D$24)*Inputs!$D$87</f>
        <v>1600</v>
      </c>
      <c r="I4564" s="28">
        <f>Inputs!$D$24+(Inputs!$D$93-Inputs!$D$24)*Inputs!$D$88</f>
        <v>1600</v>
      </c>
      <c r="J4564" s="28">
        <f>Inputs!$D$24+(Inputs!$D$93-Inputs!$D$24)*Inputs!$D$89</f>
        <v>1600</v>
      </c>
      <c r="K4564" s="28">
        <f>Inputs!$D$24+(Inputs!$D$93-Inputs!$D$24)*Inputs!$D$90</f>
        <v>1600</v>
      </c>
      <c r="L4564" s="28">
        <f>Inputs!$D$24+(Inputs!$D$93-Inputs!$D$24)*Inputs!$D$91</f>
        <v>1600</v>
      </c>
      <c r="M4564" s="28">
        <f>Inputs!$D$24+(Inputs!$D$93-Inputs!$D$24)*Inputs!$D$92</f>
        <v>1600</v>
      </c>
    </row>
    <row r="4565" spans="1:13" ht="15" customHeight="1" x14ac:dyDescent="0.2">
      <c r="A4565" s="91"/>
      <c r="B4565" s="10" t="s">
        <v>891</v>
      </c>
      <c r="C4565" s="10" t="s">
        <v>199</v>
      </c>
      <c r="D4565" s="28">
        <f>Inputs!$D$24</f>
        <v>46</v>
      </c>
      <c r="E4565" s="28">
        <f t="shared" ref="E4565:M4565" si="990">D4564</f>
        <v>512.20000000000005</v>
      </c>
      <c r="F4565" s="28">
        <f t="shared" si="990"/>
        <v>1133.8</v>
      </c>
      <c r="G4565" s="28">
        <f t="shared" si="990"/>
        <v>1600</v>
      </c>
      <c r="H4565" s="28">
        <f t="shared" si="990"/>
        <v>1600</v>
      </c>
      <c r="I4565" s="28">
        <f t="shared" si="990"/>
        <v>1600</v>
      </c>
      <c r="J4565" s="28">
        <f t="shared" si="990"/>
        <v>1600</v>
      </c>
      <c r="K4565" s="28">
        <f t="shared" si="990"/>
        <v>1600</v>
      </c>
      <c r="L4565" s="28">
        <f t="shared" si="990"/>
        <v>1600</v>
      </c>
      <c r="M4565" s="28">
        <f t="shared" si="990"/>
        <v>1600</v>
      </c>
    </row>
    <row r="4566" spans="1:13" ht="15" customHeight="1" x14ac:dyDescent="0.2">
      <c r="B4566" s="10" t="s">
        <v>892</v>
      </c>
      <c r="C4566" s="10" t="s">
        <v>199</v>
      </c>
      <c r="D4566" s="28">
        <f>(D4565+D4564)*Inputs!$D$12</f>
        <v>279.10000000000002</v>
      </c>
      <c r="E4566" s="28">
        <f>(E4565+E4564)*Inputs!$D$12</f>
        <v>823</v>
      </c>
      <c r="F4566" s="28">
        <f>(F4565+F4564)*Inputs!$D$12</f>
        <v>1366.9</v>
      </c>
      <c r="G4566" s="28">
        <f>(G4565+G4564)*Inputs!$D$12</f>
        <v>1600</v>
      </c>
      <c r="H4566" s="28">
        <f>(H4565+H4564)*Inputs!$D$12</f>
        <v>1600</v>
      </c>
      <c r="I4566" s="28">
        <f>(I4565+I4564)*Inputs!$D$12</f>
        <v>1600</v>
      </c>
      <c r="J4566" s="28">
        <f>(J4565+J4564)*Inputs!$D$12</f>
        <v>1600</v>
      </c>
      <c r="K4566" s="28">
        <f>(K4565+K4564)*Inputs!$D$12</f>
        <v>1600</v>
      </c>
      <c r="L4566" s="28">
        <f>(L4565+L4564)*Inputs!$D$12</f>
        <v>1600</v>
      </c>
      <c r="M4566" s="28">
        <f>(M4565+M4564)*Inputs!$D$12</f>
        <v>1600</v>
      </c>
    </row>
    <row r="4567" spans="1:13" ht="15" customHeight="1" x14ac:dyDescent="0.2">
      <c r="B4567" s="10" t="s">
        <v>893</v>
      </c>
      <c r="C4567" s="10" t="s">
        <v>199</v>
      </c>
      <c r="D4567" s="28">
        <f t="shared" ref="D4567:M4567" si="991">D4564-D4565</f>
        <v>466.20000000000005</v>
      </c>
      <c r="E4567" s="28">
        <f t="shared" si="991"/>
        <v>621.59999999999991</v>
      </c>
      <c r="F4567" s="28">
        <f t="shared" si="991"/>
        <v>466.20000000000005</v>
      </c>
      <c r="G4567" s="28">
        <f t="shared" si="991"/>
        <v>0</v>
      </c>
      <c r="H4567" s="28">
        <f t="shared" si="991"/>
        <v>0</v>
      </c>
      <c r="I4567" s="28">
        <f t="shared" si="991"/>
        <v>0</v>
      </c>
      <c r="J4567" s="28">
        <f t="shared" si="991"/>
        <v>0</v>
      </c>
      <c r="K4567" s="28">
        <f t="shared" si="991"/>
        <v>0</v>
      </c>
      <c r="L4567" s="28">
        <f t="shared" si="991"/>
        <v>0</v>
      </c>
      <c r="M4567" s="28">
        <f t="shared" si="991"/>
        <v>0</v>
      </c>
    </row>
    <row r="4568" spans="1:13" ht="15" customHeight="1" x14ac:dyDescent="0.2">
      <c r="B4568" s="10" t="s">
        <v>894</v>
      </c>
      <c r="C4568" s="10" t="s">
        <v>199</v>
      </c>
      <c r="D4568" s="28">
        <f>IF(MOD(D4560,Inputs!$D$21)=Inputs!$D$6,Inputs!$D$24,Inputs!$D$6)+SUMPRODUCT(--(D4560&gt;$D$4560:$M$4560),--(MOD(D4560-$D$4560:$M$4560,Inputs!$D$21)=Inputs!$D$6),$D$4567:$M$4567)</f>
        <v>0</v>
      </c>
      <c r="E4568" s="28">
        <f>IF(MOD(E4560,Inputs!$D$21)=Inputs!$D$6,Inputs!$D$24,Inputs!$D$6)+SUMPRODUCT(--(E4560&gt;$D$4560:$M$4560),--(MOD(E4560-$D$4560:$M$4560,Inputs!$D$21)=Inputs!$D$6),$D$4567:$M$4567)</f>
        <v>0</v>
      </c>
      <c r="F4568" s="28">
        <f>IF(MOD(F4560,Inputs!$D$21)=Inputs!$D$6,Inputs!$D$24,Inputs!$D$6)+SUMPRODUCT(--(F4560&gt;$D$4560:$M$4560),--(MOD(F4560-$D$4560:$M$4560,Inputs!$D$21)=Inputs!$D$6),$D$4567:$M$4567)</f>
        <v>0</v>
      </c>
      <c r="G4568" s="28">
        <f>IF(MOD(G4560,Inputs!$D$21)=Inputs!$D$6,Inputs!$D$24,Inputs!$D$6)+SUMPRODUCT(--(G4560&gt;$D$4560:$M$4560),--(MOD(G4560-$D$4560:$M$4560,Inputs!$D$21)=Inputs!$D$6),$D$4567:$M$4567)</f>
        <v>46</v>
      </c>
      <c r="H4568" s="28">
        <f>IF(MOD(H4560,Inputs!$D$21)=Inputs!$D$6,Inputs!$D$24,Inputs!$D$6)+SUMPRODUCT(--(H4560&gt;$D$4560:$M$4560),--(MOD(H4560-$D$4560:$M$4560,Inputs!$D$21)=Inputs!$D$6),$D$4567:$M$4567)</f>
        <v>466.20000000000005</v>
      </c>
      <c r="I4568" s="28">
        <f>IF(MOD(I4560,Inputs!$D$21)=Inputs!$D$6,Inputs!$D$24,Inputs!$D$6)+SUMPRODUCT(--(I4560&gt;$D$4560:$M$4560),--(MOD(I4560-$D$4560:$M$4560,Inputs!$D$21)=Inputs!$D$6),$D$4567:$M$4567)</f>
        <v>621.59999999999991</v>
      </c>
      <c r="J4568" s="28">
        <f>IF(MOD(J4560,Inputs!$D$21)=Inputs!$D$6,Inputs!$D$24,Inputs!$D$6)+SUMPRODUCT(--(J4560&gt;$D$4560:$M$4560),--(MOD(J4560-$D$4560:$M$4560,Inputs!$D$21)=Inputs!$D$6),$D$4567:$M$4567)</f>
        <v>466.20000000000005</v>
      </c>
      <c r="K4568" s="28">
        <f>IF(MOD(K4560,Inputs!$D$21)=Inputs!$D$6,Inputs!$D$24,Inputs!$D$6)+SUMPRODUCT(--(K4560&gt;$D$4560:$M$4560),--(MOD(K4560-$D$4560:$M$4560,Inputs!$D$21)=Inputs!$D$6),$D$4567:$M$4567)</f>
        <v>46</v>
      </c>
      <c r="L4568" s="28">
        <f>IF(MOD(L4560,Inputs!$D$21)=Inputs!$D$6,Inputs!$D$24,Inputs!$D$6)+SUMPRODUCT(--(L4560&gt;$D$4560:$M$4560),--(MOD(L4560-$D$4560:$M$4560,Inputs!$D$21)=Inputs!$D$6),$D$4567:$M$4567)</f>
        <v>466.20000000000005</v>
      </c>
      <c r="M4568" s="28">
        <f>IF(MOD(M4560,Inputs!$D$21)=Inputs!$D$6,Inputs!$D$24,Inputs!$D$6)+SUMPRODUCT(--(M4560&gt;$D$4560:$M$4560),--(MOD(M4560-$D$4560:$M$4560,Inputs!$D$21)=Inputs!$D$6),$D$4567:$M$4567)</f>
        <v>621.59999999999991</v>
      </c>
    </row>
    <row r="4569" spans="1:13" ht="15" customHeight="1" x14ac:dyDescent="0.2">
      <c r="B4569" s="10" t="s">
        <v>895</v>
      </c>
      <c r="C4569" s="10" t="s">
        <v>896</v>
      </c>
      <c r="D4569" s="28">
        <f t="shared" ref="D4569:M4569" si="992">D4566*D4563</f>
        <v>199.43901437371667</v>
      </c>
      <c r="E4569" s="28">
        <f t="shared" si="992"/>
        <v>823</v>
      </c>
      <c r="F4569" s="28">
        <f t="shared" si="992"/>
        <v>1366.9</v>
      </c>
      <c r="G4569" s="28">
        <f t="shared" si="992"/>
        <v>1600</v>
      </c>
      <c r="H4569" s="28">
        <f t="shared" si="992"/>
        <v>1600</v>
      </c>
      <c r="I4569" s="28">
        <f t="shared" si="992"/>
        <v>1600</v>
      </c>
      <c r="J4569" s="28">
        <f t="shared" si="992"/>
        <v>1600</v>
      </c>
      <c r="K4569" s="28">
        <f t="shared" si="992"/>
        <v>1600</v>
      </c>
      <c r="L4569" s="28">
        <f t="shared" si="992"/>
        <v>1600</v>
      </c>
      <c r="M4569" s="28">
        <f t="shared" si="992"/>
        <v>1600</v>
      </c>
    </row>
    <row r="4570" spans="1:13" ht="15" customHeight="1" x14ac:dyDescent="0.2">
      <c r="B4570" s="10" t="s">
        <v>897</v>
      </c>
      <c r="C4570" s="10" t="s">
        <v>110</v>
      </c>
      <c r="D4570" s="16">
        <f>D4569*($D$4589/Inputs!$D$21+$D$4590/Inputs!$D$22)</f>
        <v>2885.4529758392296</v>
      </c>
      <c r="E4570" s="16">
        <f>E4569*($D$4589/Inputs!$D$21+$D$4590/Inputs!$D$22)</f>
        <v>11907.037379686541</v>
      </c>
      <c r="F4570" s="16">
        <f>F4569*($D$4589/Inputs!$D$21+$D$4590/Inputs!$D$22)</f>
        <v>19776.098899506116</v>
      </c>
      <c r="G4570" s="16">
        <f>G4569*($D$4589/Inputs!$D$21+$D$4590/Inputs!$D$22)</f>
        <v>23148.553836571649</v>
      </c>
      <c r="H4570" s="16">
        <f>H4569*($D$4589/Inputs!$D$21+$D$4590/Inputs!$D$22)</f>
        <v>23148.553836571649</v>
      </c>
      <c r="I4570" s="16">
        <f>I4569*($D$4589/Inputs!$D$21+$D$4590/Inputs!$D$22)</f>
        <v>23148.553836571649</v>
      </c>
      <c r="J4570" s="16">
        <f>J4569*($D$4589/Inputs!$D$21+$D$4590/Inputs!$D$22)</f>
        <v>23148.553836571649</v>
      </c>
      <c r="K4570" s="16">
        <f>K4569*($D$4589/Inputs!$D$21+$D$4590/Inputs!$D$22)</f>
        <v>23148.553836571649</v>
      </c>
      <c r="L4570" s="16">
        <f>L4569*($D$4589/Inputs!$D$21+$D$4590/Inputs!$D$22)</f>
        <v>23148.553836571649</v>
      </c>
      <c r="M4570" s="16">
        <f>M4569*($D$4589/Inputs!$D$21+$D$4590/Inputs!$D$22)</f>
        <v>23148.553836571649</v>
      </c>
    </row>
    <row r="4571" spans="1:13" ht="15" customHeight="1" x14ac:dyDescent="0.2">
      <c r="B4571" s="10" t="s">
        <v>898</v>
      </c>
      <c r="C4571" s="10" t="s">
        <v>110</v>
      </c>
      <c r="D4571" s="16">
        <f t="shared" ref="D4571:M4571" si="993">D4567*($D$4589+$D$4590)</f>
        <v>27955.774838967773</v>
      </c>
      <c r="E4571" s="16">
        <f t="shared" si="993"/>
        <v>37274.366451957023</v>
      </c>
      <c r="F4571" s="16">
        <f t="shared" si="993"/>
        <v>27955.774838967773</v>
      </c>
      <c r="G4571" s="16">
        <f t="shared" si="993"/>
        <v>0</v>
      </c>
      <c r="H4571" s="16">
        <f t="shared" si="993"/>
        <v>0</v>
      </c>
      <c r="I4571" s="16">
        <f t="shared" si="993"/>
        <v>0</v>
      </c>
      <c r="J4571" s="16">
        <f t="shared" si="993"/>
        <v>0</v>
      </c>
      <c r="K4571" s="16">
        <f t="shared" si="993"/>
        <v>0</v>
      </c>
      <c r="L4571" s="16">
        <f t="shared" si="993"/>
        <v>0</v>
      </c>
      <c r="M4571" s="16">
        <f t="shared" si="993"/>
        <v>0</v>
      </c>
    </row>
    <row r="4572" spans="1:13" ht="15" customHeight="1" x14ac:dyDescent="0.2">
      <c r="B4572" s="10" t="s">
        <v>899</v>
      </c>
      <c r="C4572" s="10" t="s">
        <v>110</v>
      </c>
      <c r="D4572" s="16">
        <f t="shared" ref="D4572:M4572" si="994">D4568*$D$4589</f>
        <v>0</v>
      </c>
      <c r="E4572" s="16">
        <f t="shared" si="994"/>
        <v>0</v>
      </c>
      <c r="F4572" s="16">
        <f t="shared" si="994"/>
        <v>0</v>
      </c>
      <c r="G4572" s="16">
        <f t="shared" si="994"/>
        <v>2638.0048485671714</v>
      </c>
      <c r="H4572" s="16">
        <f t="shared" si="994"/>
        <v>26735.605660913378</v>
      </c>
      <c r="I4572" s="16">
        <f t="shared" si="994"/>
        <v>35647.474214551163</v>
      </c>
      <c r="J4572" s="16">
        <f t="shared" si="994"/>
        <v>26735.605660913378</v>
      </c>
      <c r="K4572" s="16">
        <f t="shared" si="994"/>
        <v>2638.0048485671714</v>
      </c>
      <c r="L4572" s="16">
        <f t="shared" si="994"/>
        <v>26735.605660913378</v>
      </c>
      <c r="M4572" s="16">
        <f t="shared" si="994"/>
        <v>35647.474214551163</v>
      </c>
    </row>
    <row r="4573" spans="1:13" ht="15" customHeight="1" x14ac:dyDescent="0.2">
      <c r="B4573" s="10" t="s">
        <v>900</v>
      </c>
      <c r="C4573" s="10" t="s">
        <v>199</v>
      </c>
      <c r="D4573" s="28">
        <f>D4567*Inputs!$D$23</f>
        <v>11.655000000000001</v>
      </c>
      <c r="E4573" s="28">
        <f>E4567*Inputs!$D$23</f>
        <v>15.54</v>
      </c>
      <c r="F4573" s="28">
        <f>F4567*Inputs!$D$23</f>
        <v>11.655000000000001</v>
      </c>
      <c r="G4573" s="28">
        <f>G4567*Inputs!$D$23</f>
        <v>0</v>
      </c>
      <c r="H4573" s="28">
        <f>H4567*Inputs!$D$23</f>
        <v>0</v>
      </c>
      <c r="I4573" s="28">
        <f>I4567*Inputs!$D$23</f>
        <v>0</v>
      </c>
      <c r="J4573" s="28">
        <f>J4567*Inputs!$D$23</f>
        <v>0</v>
      </c>
      <c r="K4573" s="28">
        <f>K4567*Inputs!$D$23</f>
        <v>0</v>
      </c>
      <c r="L4573" s="28">
        <f>L4567*Inputs!$D$23</f>
        <v>0</v>
      </c>
      <c r="M4573" s="28">
        <f>M4567*Inputs!$D$23</f>
        <v>0</v>
      </c>
    </row>
    <row r="4574" spans="1:13" ht="15" customHeight="1" x14ac:dyDescent="0.2">
      <c r="B4574" s="3" t="s">
        <v>901</v>
      </c>
      <c r="C4574" s="10" t="s">
        <v>896</v>
      </c>
      <c r="D4574" s="28">
        <f>(D4569*$D$4587*(Inputs!$D$7-Inputs!$D$19)-D4573)/(Inputs!$D$7+$D$4588)^D4562</f>
        <v>67.361764076638423</v>
      </c>
      <c r="E4574" s="28">
        <f>(E4569*$D$4587*(Inputs!$D$7-Inputs!$D$19)-E4573)/(Inputs!$D$7+$D$4588)^E4562</f>
        <v>280.29529652215348</v>
      </c>
      <c r="F4574" s="28">
        <f>(F4569*$D$4587*(Inputs!$D$7-Inputs!$D$19)-F4573)/(Inputs!$D$7+$D$4588)^F4562</f>
        <v>434.1683252988114</v>
      </c>
      <c r="G4574" s="28">
        <f>(G4569*$D$4587*(Inputs!$D$7-Inputs!$D$19)-G4573)/(Inputs!$D$7+$D$4588)^G4562</f>
        <v>471.61166655007548</v>
      </c>
      <c r="H4574" s="28">
        <f>(H4569*$D$4587*(Inputs!$D$7-Inputs!$D$19)-H4573)/(Inputs!$D$7+$D$4588)^H4562</f>
        <v>428.76584885109446</v>
      </c>
      <c r="I4574" s="28">
        <f>(I4569*$D$4587*(Inputs!$D$7-Inputs!$D$19)-I4573)/(Inputs!$D$7+$D$4588)^I4562</f>
        <v>389.71085801561958</v>
      </c>
      <c r="J4574" s="28">
        <f>(J4569*$D$4587*(Inputs!$D$7-Inputs!$D$19)-J4573)/(Inputs!$D$7+$D$4588)^J4562</f>
        <v>354.30571102255266</v>
      </c>
      <c r="K4574" s="28">
        <f>(K4569*$D$4587*(Inputs!$D$7-Inputs!$D$19)-K4573)/(Inputs!$D$7+$D$4588)^K4562</f>
        <v>322.1171139608465</v>
      </c>
      <c r="L4574" s="28">
        <f>(L4569*$D$4587*(Inputs!$D$7-Inputs!$D$19)-L4573)/(Inputs!$D$7+$D$4588)^L4562</f>
        <v>292.85284396632358</v>
      </c>
      <c r="M4574" s="28">
        <f>(M4569*$D$4587*(Inputs!$D$7-Inputs!$D$19)-M4573)/(Inputs!$D$7+$D$4588)^M4562</f>
        <v>266.1777597265347</v>
      </c>
    </row>
    <row r="4575" spans="1:13" ht="15" customHeight="1" x14ac:dyDescent="0.2">
      <c r="B4575" s="10" t="s">
        <v>902</v>
      </c>
      <c r="C4575" s="10" t="s">
        <v>110</v>
      </c>
      <c r="D4575" s="16">
        <f>(D4570*Inputs!$D$19-D4571-D4572)/(Inputs!$D$7+$D$4588)^D4562</f>
        <v>-25306.546745010444</v>
      </c>
      <c r="E4575" s="16">
        <f>(E4570*Inputs!$D$19-E4571-E4572)/(Inputs!$D$7+$D$4588)^E4562</f>
        <v>-28615.60531144682</v>
      </c>
      <c r="F4575" s="16">
        <f>(F4570*Inputs!$D$19-F4571-F4572)/(Inputs!$D$7+$D$4588)^F4562</f>
        <v>-17000.238641466985</v>
      </c>
      <c r="G4575" s="16">
        <f>(G4570*Inputs!$D$19-G4571-G4572)/(Inputs!$D$7+$D$4588)^G4562</f>
        <v>3022.3579656651286</v>
      </c>
      <c r="H4575" s="16">
        <f>(H4570*Inputs!$D$19-H4571-H4572)/(Inputs!$D$7+$D$4588)^H4562</f>
        <v>-12627.562284413363</v>
      </c>
      <c r="I4575" s="16">
        <f>(I4570*Inputs!$D$19-I4571-I4572)/(Inputs!$D$7+$D$4588)^I4562</f>
        <v>-16645.587691965891</v>
      </c>
      <c r="J4575" s="16">
        <f>(J4570*Inputs!$D$19-J4571-J4572)/(Inputs!$D$7+$D$4588)^J4562</f>
        <v>-10434.640365246118</v>
      </c>
      <c r="K4575" s="16">
        <f>(K4570*Inputs!$D$19-K4571-K4572)/(Inputs!$D$7+$D$4588)^K4562</f>
        <v>2064.3111574790846</v>
      </c>
      <c r="L4575" s="16">
        <f>(L4570*Inputs!$D$19-L4571-L4572)/(Inputs!$D$7+$D$4588)^L4562</f>
        <v>-8624.7949487148144</v>
      </c>
      <c r="M4575" s="16">
        <f>(M4570*Inputs!$D$19-M4571-M4572)/(Inputs!$D$7+$D$4588)^M4562</f>
        <v>-11369.160366071912</v>
      </c>
    </row>
    <row r="4576" spans="1:13" ht="15" customHeight="1" x14ac:dyDescent="0.2">
      <c r="B4576" s="10" t="s">
        <v>903</v>
      </c>
      <c r="C4576" s="10" t="s">
        <v>110</v>
      </c>
      <c r="D4576" s="16">
        <f t="shared" ref="D4576:M4576" si="995">D4569*$D$4586</f>
        <v>8160.2683719621182</v>
      </c>
      <c r="E4576" s="16">
        <f t="shared" si="995"/>
        <v>33673.957380978143</v>
      </c>
      <c r="F4576" s="16">
        <f t="shared" si="995"/>
        <v>55928.228850618507</v>
      </c>
      <c r="G4576" s="16">
        <f t="shared" si="995"/>
        <v>65465.773766178652</v>
      </c>
      <c r="H4576" s="16">
        <f t="shared" si="995"/>
        <v>65465.773766178652</v>
      </c>
      <c r="I4576" s="16">
        <f t="shared" si="995"/>
        <v>65465.773766178652</v>
      </c>
      <c r="J4576" s="16">
        <f t="shared" si="995"/>
        <v>65465.773766178652</v>
      </c>
      <c r="K4576" s="16">
        <f t="shared" si="995"/>
        <v>65465.773766178652</v>
      </c>
      <c r="L4576" s="16">
        <f t="shared" si="995"/>
        <v>65465.773766178652</v>
      </c>
      <c r="M4576" s="16">
        <f t="shared" si="995"/>
        <v>65465.773766178652</v>
      </c>
    </row>
    <row r="4577" spans="2:13" ht="15" customHeight="1" x14ac:dyDescent="0.2">
      <c r="B4577" s="10" t="s">
        <v>904</v>
      </c>
      <c r="C4577" s="10" t="s">
        <v>110</v>
      </c>
      <c r="D4577" s="16">
        <f t="shared" ref="D4577:M4577" si="996">D4576*$D$4587</f>
        <v>4896.1610231772711</v>
      </c>
      <c r="E4577" s="16">
        <f t="shared" si="996"/>
        <v>20204.374428586885</v>
      </c>
      <c r="F4577" s="16">
        <f t="shared" si="996"/>
        <v>33556.937310371104</v>
      </c>
      <c r="G4577" s="16">
        <f t="shared" si="996"/>
        <v>39279.464259707187</v>
      </c>
      <c r="H4577" s="16">
        <f t="shared" si="996"/>
        <v>39279.464259707187</v>
      </c>
      <c r="I4577" s="16">
        <f t="shared" si="996"/>
        <v>39279.464259707187</v>
      </c>
      <c r="J4577" s="16">
        <f t="shared" si="996"/>
        <v>39279.464259707187</v>
      </c>
      <c r="K4577" s="16">
        <f t="shared" si="996"/>
        <v>39279.464259707187</v>
      </c>
      <c r="L4577" s="16">
        <f t="shared" si="996"/>
        <v>39279.464259707187</v>
      </c>
      <c r="M4577" s="16">
        <f t="shared" si="996"/>
        <v>39279.464259707187</v>
      </c>
    </row>
    <row r="4578" spans="2:13" ht="15" customHeight="1" x14ac:dyDescent="0.2">
      <c r="B4578" s="10" t="s">
        <v>905</v>
      </c>
      <c r="C4578" s="10" t="s">
        <v>110</v>
      </c>
      <c r="D4578" s="16">
        <f t="shared" ref="D4578:M4578" si="997">D4577-D4570</f>
        <v>2010.7080473380415</v>
      </c>
      <c r="E4578" s="16">
        <f t="shared" si="997"/>
        <v>8297.3370489003446</v>
      </c>
      <c r="F4578" s="16">
        <f t="shared" si="997"/>
        <v>13780.838410864988</v>
      </c>
      <c r="G4578" s="16">
        <f t="shared" si="997"/>
        <v>16130.910423135538</v>
      </c>
      <c r="H4578" s="16">
        <f t="shared" si="997"/>
        <v>16130.910423135538</v>
      </c>
      <c r="I4578" s="16">
        <f t="shared" si="997"/>
        <v>16130.910423135538</v>
      </c>
      <c r="J4578" s="16">
        <f t="shared" si="997"/>
        <v>16130.910423135538</v>
      </c>
      <c r="K4578" s="16">
        <f t="shared" si="997"/>
        <v>16130.910423135538</v>
      </c>
      <c r="L4578" s="16">
        <f t="shared" si="997"/>
        <v>16130.910423135538</v>
      </c>
      <c r="M4578" s="16">
        <f t="shared" si="997"/>
        <v>16130.910423135538</v>
      </c>
    </row>
    <row r="4579" spans="2:13" ht="15" customHeight="1" x14ac:dyDescent="0.2">
      <c r="B4579" s="10" t="s">
        <v>906</v>
      </c>
      <c r="C4579" s="10" t="s">
        <v>110</v>
      </c>
      <c r="D4579" s="16">
        <f>MAX(D4578,Inputs!$D$6)*Inputs!$D$19</f>
        <v>603.21241420141246</v>
      </c>
      <c r="E4579" s="16">
        <f>MAX(E4578,Inputs!$D$6)*Inputs!$D$19</f>
        <v>2489.2011146701034</v>
      </c>
      <c r="F4579" s="16">
        <f>MAX(F4578,Inputs!$D$6)*Inputs!$D$19</f>
        <v>4134.251523259496</v>
      </c>
      <c r="G4579" s="16">
        <f>MAX(G4578,Inputs!$D$6)*Inputs!$D$19</f>
        <v>4839.2731269406613</v>
      </c>
      <c r="H4579" s="16">
        <f>MAX(H4578,Inputs!$D$6)*Inputs!$D$19</f>
        <v>4839.2731269406613</v>
      </c>
      <c r="I4579" s="16">
        <f>MAX(I4578,Inputs!$D$6)*Inputs!$D$19</f>
        <v>4839.2731269406613</v>
      </c>
      <c r="J4579" s="16">
        <f>MAX(J4578,Inputs!$D$6)*Inputs!$D$19</f>
        <v>4839.2731269406613</v>
      </c>
      <c r="K4579" s="16">
        <f>MAX(K4578,Inputs!$D$6)*Inputs!$D$19</f>
        <v>4839.2731269406613</v>
      </c>
      <c r="L4579" s="16">
        <f>MAX(L4578,Inputs!$D$6)*Inputs!$D$19</f>
        <v>4839.2731269406613</v>
      </c>
      <c r="M4579" s="16">
        <f>MAX(M4578,Inputs!$D$6)*Inputs!$D$19</f>
        <v>4839.2731269406613</v>
      </c>
    </row>
    <row r="4580" spans="2:13" ht="15" customHeight="1" x14ac:dyDescent="0.2">
      <c r="B4580" s="10" t="s">
        <v>907</v>
      </c>
      <c r="C4580" s="10" t="s">
        <v>110</v>
      </c>
      <c r="D4580" s="16">
        <f t="shared" ref="D4580:M4580" si="998">D4573*$D$4586</f>
        <v>476.8772457780077</v>
      </c>
      <c r="E4580" s="16">
        <f t="shared" si="998"/>
        <v>635.83632770401016</v>
      </c>
      <c r="F4580" s="16">
        <f t="shared" si="998"/>
        <v>476.8772457780077</v>
      </c>
      <c r="G4580" s="16">
        <f t="shared" si="998"/>
        <v>0</v>
      </c>
      <c r="H4580" s="16">
        <f t="shared" si="998"/>
        <v>0</v>
      </c>
      <c r="I4580" s="16">
        <f t="shared" si="998"/>
        <v>0</v>
      </c>
      <c r="J4580" s="16">
        <f t="shared" si="998"/>
        <v>0</v>
      </c>
      <c r="K4580" s="16">
        <f t="shared" si="998"/>
        <v>0</v>
      </c>
      <c r="L4580" s="16">
        <f t="shared" si="998"/>
        <v>0</v>
      </c>
      <c r="M4580" s="16">
        <f t="shared" si="998"/>
        <v>0</v>
      </c>
    </row>
    <row r="4581" spans="2:13" ht="15" customHeight="1" x14ac:dyDescent="0.2">
      <c r="B4581" s="10" t="s">
        <v>908</v>
      </c>
      <c r="C4581" s="10" t="s">
        <v>110</v>
      </c>
      <c r="D4581" s="16">
        <f t="shared" ref="D4581:M4581" si="999">D4577-D4579-D4571-D4572-D4580</f>
        <v>-24139.703475769922</v>
      </c>
      <c r="E4581" s="16">
        <f t="shared" si="999"/>
        <v>-20195.029465744254</v>
      </c>
      <c r="F4581" s="16">
        <f t="shared" si="999"/>
        <v>990.03370236582771</v>
      </c>
      <c r="G4581" s="16">
        <f t="shared" si="999"/>
        <v>31802.186284199357</v>
      </c>
      <c r="H4581" s="16">
        <f t="shared" si="999"/>
        <v>7704.5854718531518</v>
      </c>
      <c r="I4581" s="16">
        <f t="shared" si="999"/>
        <v>-1207.2830817846334</v>
      </c>
      <c r="J4581" s="16">
        <f t="shared" si="999"/>
        <v>7704.5854718531518</v>
      </c>
      <c r="K4581" s="16">
        <f t="shared" si="999"/>
        <v>31802.186284199357</v>
      </c>
      <c r="L4581" s="16">
        <f t="shared" si="999"/>
        <v>7704.5854718531518</v>
      </c>
      <c r="M4581" s="16">
        <f t="shared" si="999"/>
        <v>-1207.2830817846334</v>
      </c>
    </row>
    <row r="4582" spans="2:13" ht="15" customHeight="1" x14ac:dyDescent="0.2">
      <c r="B4582" s="10" t="s">
        <v>909</v>
      </c>
      <c r="C4582" s="10" t="s">
        <v>110</v>
      </c>
      <c r="D4582" s="16">
        <f>D4581/(Inputs!$D$7+$D$4588)^D4562</f>
        <v>-22550.365490302996</v>
      </c>
      <c r="E4582" s="16">
        <f>E4581/(Inputs!$D$7+$D$4588)^E4562</f>
        <v>-17147.012517794781</v>
      </c>
      <c r="F4582" s="16">
        <f>F4581/(Inputs!$D$7+$D$4588)^F4562</f>
        <v>764.2397088159214</v>
      </c>
      <c r="G4582" s="16">
        <f>G4581/(Inputs!$D$7+$D$4588)^G4562</f>
        <v>22318.872133076206</v>
      </c>
      <c r="H4582" s="16">
        <f>H4581/(Inputs!$D$7+$D$4588)^H4562</f>
        <v>4915.8677528049502</v>
      </c>
      <c r="I4582" s="16">
        <f>I4581/(Inputs!$D$7+$D$4588)^I4562</f>
        <v>-700.13590129468889</v>
      </c>
      <c r="J4582" s="16">
        <f>J4581/(Inputs!$D$7+$D$4588)^J4562</f>
        <v>4062.170585921072</v>
      </c>
      <c r="K4582" s="16">
        <f>K4581/(Inputs!$D$7+$D$4588)^K4562</f>
        <v>15244.089975463561</v>
      </c>
      <c r="L4582" s="16">
        <f>L4581/(Inputs!$D$7+$D$4588)^L4562</f>
        <v>3357.6038199610339</v>
      </c>
      <c r="M4582" s="16">
        <f>M4581/(Inputs!$D$7+$D$4588)^M4562</f>
        <v>-478.20224116842343</v>
      </c>
    </row>
    <row r="4583" spans="2:13" ht="15" customHeight="1" x14ac:dyDescent="0.2">
      <c r="B4583" s="3" t="s">
        <v>910</v>
      </c>
      <c r="C4583" s="10" t="s">
        <v>896</v>
      </c>
      <c r="D4583" s="28">
        <f>(D4569*$D$4587-D4573)/(Inputs!$D$7+$D$4588)^D4562</f>
        <v>100.89722489537324</v>
      </c>
      <c r="E4583" s="28">
        <f>(E4569*$D$4587-E4573)/(Inputs!$D$7+$D$4588)^E4562</f>
        <v>406.07666459070981</v>
      </c>
      <c r="F4583" s="28">
        <f>(F4569*$D$4587-F4573)/(Inputs!$D$7+$D$4588)^F4562</f>
        <v>624.09627016286015</v>
      </c>
      <c r="G4583" s="28">
        <f>(G4569*$D$4587-G4573)/(Inputs!$D$7+$D$4588)^G4562</f>
        <v>673.73095221439348</v>
      </c>
      <c r="H4583" s="28">
        <f>(H4569*$D$4587-H4573)/(Inputs!$D$7+$D$4588)^H4562</f>
        <v>612.52264121584926</v>
      </c>
      <c r="I4583" s="28">
        <f>(I4569*$D$4587-I4573)/(Inputs!$D$7+$D$4588)^I4562</f>
        <v>556.72979716517079</v>
      </c>
      <c r="J4583" s="28">
        <f>(J4569*$D$4587-J4573)/(Inputs!$D$7+$D$4588)^J4562</f>
        <v>506.15101574650379</v>
      </c>
      <c r="K4583" s="28">
        <f>(K4569*$D$4587-K4573)/(Inputs!$D$7+$D$4588)^K4562</f>
        <v>460.16730565835212</v>
      </c>
      <c r="L4583" s="28">
        <f>(L4569*$D$4587-L4573)/(Inputs!$D$7+$D$4588)^L4562</f>
        <v>418.36120566617655</v>
      </c>
      <c r="M4583" s="28">
        <f>(M4569*$D$4587-M4573)/(Inputs!$D$7+$D$4588)^M4562</f>
        <v>380.25394246647818</v>
      </c>
    </row>
    <row r="4584" spans="2:13" ht="15" customHeight="1" x14ac:dyDescent="0.2">
      <c r="B4584" s="10" t="s">
        <v>911</v>
      </c>
      <c r="C4584" s="10" t="s">
        <v>110</v>
      </c>
      <c r="D4584" s="16">
        <f>(-D4571-D4572)/(Inputs!$D$7+$D$4588)^D4562</f>
        <v>-26115.189891048693</v>
      </c>
      <c r="E4584" s="16">
        <f>(-E4571-E4572)/(Inputs!$D$7+$D$4588)^E4562</f>
        <v>-31648.581113918288</v>
      </c>
      <c r="F4584" s="16">
        <f>(-F4571-F4572)/(Inputs!$D$7+$D$4588)^F4562</f>
        <v>-21579.985783919947</v>
      </c>
      <c r="G4584" s="16">
        <f>(-G4571-G4572)/(Inputs!$D$7+$D$4588)^G4562</f>
        <v>-1851.359915178487</v>
      </c>
      <c r="H4584" s="16">
        <f>(-H4571-H4572)/(Inputs!$D$7+$D$4588)^H4562</f>
        <v>-17058.50395200841</v>
      </c>
      <c r="I4584" s="16">
        <f>(-I4571-I4572)/(Inputs!$D$7+$D$4588)^I4562</f>
        <v>-20672.92821762263</v>
      </c>
      <c r="J4584" s="16">
        <f>(-J4571-J4572)/(Inputs!$D$7+$D$4588)^J4562</f>
        <v>-14096.097876947169</v>
      </c>
      <c r="K4584" s="16">
        <f>(-K4571-K4572)/(Inputs!$D$7+$D$4588)^K4562</f>
        <v>-1264.5037327904422</v>
      </c>
      <c r="L4584" s="16">
        <f>(-L4571-L4572)/(Inputs!$D$7+$D$4588)^L4562</f>
        <v>-11651.187727619976</v>
      </c>
      <c r="M4584" s="16">
        <f>(-M4571-M4572)/(Inputs!$D$7+$D$4588)^M4562</f>
        <v>-14119.888134432502</v>
      </c>
    </row>
    <row r="4585" spans="2:13" ht="15" customHeight="1" x14ac:dyDescent="0.2">
      <c r="B4585" s="10" t="s">
        <v>912</v>
      </c>
      <c r="C4585" s="10" t="s">
        <v>110</v>
      </c>
      <c r="D4585" s="16">
        <f>Prices!K6</f>
        <v>58028.700386874909</v>
      </c>
    </row>
    <row r="4586" spans="2:13" ht="15" customHeight="1" x14ac:dyDescent="0.2">
      <c r="B4586" s="3" t="s">
        <v>913</v>
      </c>
      <c r="C4586" s="10" t="s">
        <v>914</v>
      </c>
      <c r="D4586" s="28">
        <f>IF(J4593&gt;=J4589,J4593,(D4585-J4592)/J4591)</f>
        <v>40.916108603861659</v>
      </c>
      <c r="G4586" s="99" t="s">
        <v>915</v>
      </c>
      <c r="H4586" s="91"/>
      <c r="I4586" s="91"/>
      <c r="J4586" s="28">
        <f>D4586*Inputs!$D$15</f>
        <v>28.555352194635049</v>
      </c>
      <c r="K4586" s="99" t="s">
        <v>916</v>
      </c>
      <c r="L4586" s="91"/>
      <c r="M4586" s="91"/>
    </row>
    <row r="4587" spans="2:13" ht="15" customHeight="1" x14ac:dyDescent="0.2">
      <c r="B4587" s="10" t="s">
        <v>917</v>
      </c>
      <c r="C4587" s="10" t="s">
        <v>104</v>
      </c>
      <c r="D4587" s="30">
        <f>Inputs!$D$81</f>
        <v>0.6</v>
      </c>
      <c r="G4587" s="99" t="s">
        <v>918</v>
      </c>
      <c r="H4587" s="91"/>
      <c r="I4587" s="91"/>
      <c r="J4587" s="28">
        <f>IF(-D4598/D4597&gt;=J4589,-D4598/D4597,-J4592/J4591)</f>
        <v>32.55444198319757</v>
      </c>
      <c r="K4587" s="99" t="s">
        <v>919</v>
      </c>
      <c r="L4587" s="91"/>
      <c r="M4587" s="91"/>
    </row>
    <row r="4588" spans="2:13" ht="15" customHeight="1" x14ac:dyDescent="0.2">
      <c r="B4588" s="10" t="s">
        <v>920</v>
      </c>
      <c r="C4588" s="10" t="s">
        <v>104</v>
      </c>
      <c r="D4588" s="30">
        <f>Inputs!$D$82</f>
        <v>0.1</v>
      </c>
      <c r="G4588" s="99" t="s">
        <v>918</v>
      </c>
      <c r="H4588" s="91"/>
      <c r="I4588" s="91"/>
      <c r="J4588" s="28">
        <f>J4587*Inputs!$D$15</f>
        <v>22.719745060073585</v>
      </c>
      <c r="K4588" s="99" t="s">
        <v>916</v>
      </c>
      <c r="L4588" s="91"/>
      <c r="M4588" s="91"/>
    </row>
    <row r="4589" spans="2:13" ht="15" customHeight="1" x14ac:dyDescent="0.2">
      <c r="B4589" s="3" t="s">
        <v>921</v>
      </c>
      <c r="C4589" s="10" t="s">
        <v>848</v>
      </c>
      <c r="D4589" s="28">
        <f>Capital!$D$13</f>
        <v>57.347931490590682</v>
      </c>
      <c r="G4589" s="99" t="s">
        <v>922</v>
      </c>
      <c r="H4589" s="91"/>
      <c r="I4589" s="91"/>
      <c r="J4589" s="28">
        <f>($D$4589/Inputs!$D$21+$D$4590/Inputs!$D$22)/$D$4587</f>
        <v>24.113076913095469</v>
      </c>
      <c r="K4589" s="99" t="s">
        <v>919</v>
      </c>
      <c r="L4589" s="91"/>
      <c r="M4589" s="91"/>
    </row>
    <row r="4590" spans="2:13" ht="15" customHeight="1" x14ac:dyDescent="0.2">
      <c r="B4590" s="3" t="s">
        <v>923</v>
      </c>
      <c r="C4590" s="10" t="s">
        <v>848</v>
      </c>
      <c r="D4590" s="28">
        <f>Capital!$D$14</f>
        <v>2.6172655041921802</v>
      </c>
    </row>
    <row r="4591" spans="2:13" ht="15" customHeight="1" x14ac:dyDescent="0.2">
      <c r="B4591" s="10" t="s">
        <v>924</v>
      </c>
      <c r="C4591" s="10" t="s">
        <v>896</v>
      </c>
      <c r="D4591" s="28">
        <f>(M4564*(Inputs!$D$7+Inputs!$D$20)*$D$4587*(Inputs!$D$7-Inputs!$D$19)-M4564*Inputs!$D$20*Inputs!$D$23)/($D$4588-Inputs!$D$20)/(Inputs!$D$7+$D$4588)^M4562</f>
        <v>3632.4814115061608</v>
      </c>
      <c r="G4591" s="92" t="s">
        <v>910</v>
      </c>
      <c r="H4591" s="91"/>
      <c r="I4591" s="91"/>
      <c r="J4591" s="28">
        <f>SUM(D4583:M4583)+(M4564*(Inputs!$D$7+Inputs!$D$20)*$D$4587-M4564*Inputs!$D$20*Inputs!$D$23)/($D$4588-Inputs!$D$20)/(Inputs!$D$7+$D$4588)^M4562</f>
        <v>9930.5095954005883</v>
      </c>
      <c r="K4591" s="99" t="s">
        <v>896</v>
      </c>
      <c r="L4591" s="91"/>
      <c r="M4591" s="91"/>
    </row>
    <row r="4592" spans="2:13" ht="15" customHeight="1" x14ac:dyDescent="0.2">
      <c r="B4592" s="10" t="s">
        <v>925</v>
      </c>
      <c r="C4592" s="10" t="s">
        <v>110</v>
      </c>
      <c r="D4592" s="16">
        <f>(D4595*Inputs!$D$19-D4595-D4596)/($D$4588-Inputs!$D$20)/(Inputs!$D$7+$D$4588)^M4562</f>
        <v>-100385.43137330168</v>
      </c>
      <c r="G4592" s="92" t="s">
        <v>926</v>
      </c>
      <c r="H4592" s="91"/>
      <c r="I4592" s="91"/>
      <c r="J4592" s="16">
        <f>SUM(D4584:M4584)-(D4595+D4596)/($D$4588-Inputs!$D$20)/(Inputs!$D$7+$D$4588)^M4562</f>
        <v>-298036.93721971626</v>
      </c>
      <c r="K4592" s="99" t="s">
        <v>110</v>
      </c>
      <c r="L4592" s="91"/>
      <c r="M4592" s="91"/>
    </row>
    <row r="4593" spans="1:13" ht="15" customHeight="1" x14ac:dyDescent="0.2">
      <c r="B4593" s="10" t="s">
        <v>927</v>
      </c>
      <c r="C4593" s="10" t="s">
        <v>928</v>
      </c>
      <c r="D4593" s="16">
        <f>(M4564*(Inputs!$D$7+Inputs!$D$20)*$D$4586*$D$4587-D4595)-MAX((M4564*(Inputs!$D$7+Inputs!$D$20)*$D$4586*$D$4587-D4595),Inputs!$D$6)*Inputs!$D$19-D4596-M4564*Inputs!$D$20*$D$4586*Inputs!$D$23</f>
        <v>9134.4042402045707</v>
      </c>
      <c r="G4593" s="99" t="s">
        <v>929</v>
      </c>
      <c r="H4593" s="91"/>
      <c r="I4593" s="91"/>
      <c r="J4593" s="28">
        <f>(D4585-D4598)/D4597</f>
        <v>40.916108603861659</v>
      </c>
      <c r="K4593" s="99" t="s">
        <v>919</v>
      </c>
      <c r="L4593" s="91"/>
      <c r="M4593" s="91"/>
    </row>
    <row r="4594" spans="1:13" ht="15" customHeight="1" x14ac:dyDescent="0.2">
      <c r="B4594" s="10" t="s">
        <v>930</v>
      </c>
      <c r="C4594" s="10" t="s">
        <v>110</v>
      </c>
      <c r="D4594" s="16">
        <f>D4593/($D$4588-Inputs!$D$20)</f>
        <v>121792.05653606092</v>
      </c>
      <c r="G4594" s="99" t="s">
        <v>931</v>
      </c>
      <c r="H4594" s="91"/>
      <c r="I4594" s="91"/>
      <c r="J4594" s="16">
        <f>MIN(D4578:M4578,(M4564*(Inputs!$D$7+Inputs!$D$20)*$D$4586*$D$4587-D4595))</f>
        <v>2010.7080473380415</v>
      </c>
      <c r="K4594" s="99" t="s">
        <v>110</v>
      </c>
      <c r="L4594" s="91"/>
      <c r="M4594" s="91"/>
    </row>
    <row r="4595" spans="1:13" ht="15" customHeight="1" x14ac:dyDescent="0.2">
      <c r="B4595" s="10" t="s">
        <v>932</v>
      </c>
      <c r="C4595" s="10" t="s">
        <v>928</v>
      </c>
      <c r="D4595" s="16">
        <f>M4564*(Inputs!$D$7+Inputs!$D$20)*($D$4589/Inputs!$D$21+$D$4590/Inputs!$D$22)</f>
        <v>23727.267682485937</v>
      </c>
      <c r="G4595" s="99" t="s">
        <v>933</v>
      </c>
      <c r="H4595" s="91"/>
      <c r="I4595" s="91"/>
      <c r="J4595" s="31" t="str">
        <f>IF(J4594&lt;Inputs!$D$6,"breached","satisfied")</f>
        <v>satisfied</v>
      </c>
      <c r="K4595" s="99" t="s">
        <v>934</v>
      </c>
      <c r="L4595" s="91"/>
      <c r="M4595" s="91"/>
    </row>
    <row r="4596" spans="1:13" ht="15" customHeight="1" x14ac:dyDescent="0.2">
      <c r="B4596" s="10" t="s">
        <v>935</v>
      </c>
      <c r="C4596" s="10" t="s">
        <v>928</v>
      </c>
      <c r="D4596" s="16">
        <f>M4564*Inputs!$D$20*($D$4589+$D$4590)</f>
        <v>2398.6078797913146</v>
      </c>
    </row>
    <row r="4597" spans="1:13" ht="15" customHeight="1" x14ac:dyDescent="0.2">
      <c r="B4597" s="10" t="s">
        <v>936</v>
      </c>
      <c r="C4597" s="10" t="s">
        <v>896</v>
      </c>
      <c r="D4597" s="28">
        <f>SUM(D4574:M4574)+D4591</f>
        <v>6939.8485994968105</v>
      </c>
      <c r="G4597" s="99" t="s">
        <v>937</v>
      </c>
      <c r="H4597" s="91"/>
      <c r="I4597" s="91"/>
      <c r="J4597" s="16">
        <f>D4599-D4585</f>
        <v>0</v>
      </c>
      <c r="K4597" s="99" t="s">
        <v>110</v>
      </c>
      <c r="L4597" s="91"/>
      <c r="M4597" s="91"/>
    </row>
    <row r="4598" spans="1:13" ht="15" customHeight="1" x14ac:dyDescent="0.2">
      <c r="B4598" s="10" t="s">
        <v>938</v>
      </c>
      <c r="C4598" s="10" t="s">
        <v>110</v>
      </c>
      <c r="D4598" s="16">
        <f>SUM(D4575:M4575)+D4592</f>
        <v>-225922.89860449382</v>
      </c>
    </row>
    <row r="4599" spans="1:13" ht="15" customHeight="1" x14ac:dyDescent="0.2">
      <c r="B4599" s="10" t="s">
        <v>939</v>
      </c>
      <c r="C4599" s="10" t="s">
        <v>110</v>
      </c>
      <c r="D4599" s="16">
        <f>SUM(D4582:M4582)+D4594/(Inputs!$D$7+$D$4588)^M4562</f>
        <v>58028.700386874945</v>
      </c>
    </row>
    <row r="4600" spans="1:13" ht="15" customHeight="1" x14ac:dyDescent="0.2">
      <c r="B4600" s="10" t="s">
        <v>940</v>
      </c>
      <c r="C4600" s="10" t="s">
        <v>104</v>
      </c>
      <c r="D4600" s="30">
        <f>IF(ABS(D4585)&gt;Inputs!$D$6,D4599/D4585-Inputs!$D$7,Inputs!$D$6)</f>
        <v>6.6613381477509392E-16</v>
      </c>
    </row>
    <row r="4601" spans="1:13" ht="15" customHeight="1" x14ac:dyDescent="0.2">
      <c r="B4601" s="10" t="s">
        <v>941</v>
      </c>
      <c r="C4601" s="10" t="s">
        <v>104</v>
      </c>
      <c r="D4601" s="30">
        <f>IF(ABS(D4599)&gt;Inputs!$D$119,D4594/(Inputs!$D$7+$D$4588)^M4562/D4599,Inputs!$D$6)</f>
        <v>0.83133987560928513</v>
      </c>
    </row>
    <row r="4602" spans="1:13" ht="15" customHeight="1" x14ac:dyDescent="0.2">
      <c r="B4602" s="10" t="s">
        <v>942</v>
      </c>
      <c r="C4602" s="10" t="s">
        <v>943</v>
      </c>
      <c r="D4602" s="26">
        <f>$D$4586*Inputs!$D$8/Prices!$P$6/(Inputs!$D$26/Inputs!$D$25)/Inputs!$D$11/Inputs!$D$56</f>
        <v>7.4407186332059769</v>
      </c>
    </row>
    <row r="4606" spans="1:13" ht="15" customHeight="1" x14ac:dyDescent="0.2">
      <c r="A4606" s="104" t="s">
        <v>1043</v>
      </c>
      <c r="B4606" s="10" t="s">
        <v>886</v>
      </c>
      <c r="C4606" s="10" t="s">
        <v>107</v>
      </c>
      <c r="D4606" s="28">
        <f>Inputs!$D$60</f>
        <v>1</v>
      </c>
      <c r="E4606" s="28">
        <f>Inputs!$D$62</f>
        <v>2</v>
      </c>
      <c r="F4606" s="28">
        <f>Inputs!$D$64</f>
        <v>3</v>
      </c>
      <c r="G4606" s="28">
        <f>Inputs!$D$66</f>
        <v>4</v>
      </c>
      <c r="H4606" s="28">
        <f>Inputs!$D$68</f>
        <v>5</v>
      </c>
      <c r="I4606" s="28">
        <f>Inputs!$D$70</f>
        <v>6</v>
      </c>
      <c r="J4606" s="28">
        <f>Inputs!$D$72</f>
        <v>7</v>
      </c>
      <c r="K4606" s="28">
        <f>Inputs!$D$74</f>
        <v>8</v>
      </c>
      <c r="L4606" s="28">
        <f>Inputs!$D$76</f>
        <v>9</v>
      </c>
      <c r="M4606" s="28">
        <f>Inputs!$D$78</f>
        <v>10</v>
      </c>
    </row>
    <row r="4607" spans="1:13" ht="15" customHeight="1" x14ac:dyDescent="0.2">
      <c r="A4607" s="91"/>
      <c r="B4607" s="10" t="s">
        <v>887</v>
      </c>
      <c r="C4607" s="10" t="s">
        <v>161</v>
      </c>
      <c r="D4607" s="29">
        <f>Inputs!$D$61</f>
        <v>46568</v>
      </c>
      <c r="E4607" s="29">
        <f>Inputs!$D$63</f>
        <v>46934</v>
      </c>
      <c r="F4607" s="29">
        <f>Inputs!$D$65</f>
        <v>47299</v>
      </c>
      <c r="G4607" s="29">
        <f>Inputs!$D$67</f>
        <v>47664</v>
      </c>
      <c r="H4607" s="29">
        <f>Inputs!$D$69</f>
        <v>48029</v>
      </c>
      <c r="I4607" s="29">
        <f>Inputs!$D$71</f>
        <v>48395</v>
      </c>
      <c r="J4607" s="29">
        <f>Inputs!$D$73</f>
        <v>48760</v>
      </c>
      <c r="K4607" s="29">
        <f>Inputs!$D$75</f>
        <v>49125</v>
      </c>
      <c r="L4607" s="29">
        <f>Inputs!$D$77</f>
        <v>49490</v>
      </c>
      <c r="M4607" s="29">
        <f>Inputs!$D$79</f>
        <v>49856</v>
      </c>
    </row>
    <row r="4608" spans="1:13" ht="15" customHeight="1" x14ac:dyDescent="0.2">
      <c r="A4608" s="91"/>
      <c r="B4608" s="10" t="s">
        <v>888</v>
      </c>
      <c r="C4608" s="10" t="s">
        <v>107</v>
      </c>
      <c r="D4608" s="28">
        <f>(D4607-Inputs!$D$13)/Inputs!$D$10</f>
        <v>0.71457905544147848</v>
      </c>
      <c r="E4608" s="28">
        <f>(E4607-Inputs!$D$13)/Inputs!$D$10</f>
        <v>1.7166324435318274</v>
      </c>
      <c r="F4608" s="28">
        <f>(F4607-Inputs!$D$13)/Inputs!$D$10</f>
        <v>2.7159479808350446</v>
      </c>
      <c r="G4608" s="28">
        <f>(G4607-Inputs!$D$13)/Inputs!$D$10</f>
        <v>3.7152635181382614</v>
      </c>
      <c r="H4608" s="28">
        <f>(H4607-Inputs!$D$13)/Inputs!$D$10</f>
        <v>4.7145790554414786</v>
      </c>
      <c r="I4608" s="28">
        <f>(I4607-Inputs!$D$13)/Inputs!$D$10</f>
        <v>5.7166324435318279</v>
      </c>
      <c r="J4608" s="28">
        <f>(J4607-Inputs!$D$13)/Inputs!$D$10</f>
        <v>6.7159479808350442</v>
      </c>
      <c r="K4608" s="28">
        <f>(K4607-Inputs!$D$13)/Inputs!$D$10</f>
        <v>7.7152635181382614</v>
      </c>
      <c r="L4608" s="28">
        <f>(L4607-Inputs!$D$13)/Inputs!$D$10</f>
        <v>8.7145790554414777</v>
      </c>
      <c r="M4608" s="28">
        <f>(M4607-Inputs!$D$13)/Inputs!$D$10</f>
        <v>9.716632443531827</v>
      </c>
    </row>
    <row r="4609" spans="1:13" ht="15" customHeight="1" x14ac:dyDescent="0.2">
      <c r="A4609" s="91"/>
      <c r="B4609" s="10" t="s">
        <v>889</v>
      </c>
      <c r="C4609" s="10" t="s">
        <v>107</v>
      </c>
      <c r="D4609" s="28">
        <f>D4608</f>
        <v>0.71457905544147848</v>
      </c>
      <c r="E4609" s="28">
        <f>Inputs!$D$7</f>
        <v>1</v>
      </c>
      <c r="F4609" s="28">
        <f>Inputs!$D$7</f>
        <v>1</v>
      </c>
      <c r="G4609" s="28">
        <f>Inputs!$D$7</f>
        <v>1</v>
      </c>
      <c r="H4609" s="28">
        <f>Inputs!$D$7</f>
        <v>1</v>
      </c>
      <c r="I4609" s="28">
        <f>Inputs!$D$7</f>
        <v>1</v>
      </c>
      <c r="J4609" s="28">
        <f>Inputs!$D$7</f>
        <v>1</v>
      </c>
      <c r="K4609" s="28">
        <f>Inputs!$D$7</f>
        <v>1</v>
      </c>
      <c r="L4609" s="28">
        <f>Inputs!$D$7</f>
        <v>1</v>
      </c>
      <c r="M4609" s="28">
        <f>Inputs!$D$7</f>
        <v>1</v>
      </c>
    </row>
    <row r="4610" spans="1:13" ht="15" customHeight="1" x14ac:dyDescent="0.2">
      <c r="A4610" s="91"/>
      <c r="B4610" s="3" t="s">
        <v>890</v>
      </c>
      <c r="C4610" s="10" t="s">
        <v>199</v>
      </c>
      <c r="D4610" s="28">
        <f>Inputs!$D$24+(Inputs!$D$80-Inputs!$D$24)*Inputs!$D$109</f>
        <v>115.2</v>
      </c>
      <c r="E4610" s="28">
        <f>Inputs!$D$24+(Inputs!$D$80-Inputs!$D$24)*Inputs!$D$110</f>
        <v>288.20000000000005</v>
      </c>
      <c r="F4610" s="28">
        <f>Inputs!$D$24+(Inputs!$D$80-Inputs!$D$24)*Inputs!$D$111</f>
        <v>478.5</v>
      </c>
      <c r="G4610" s="28">
        <f>Inputs!$D$24+(Inputs!$D$80-Inputs!$D$24)*Inputs!$D$112</f>
        <v>694.75</v>
      </c>
      <c r="H4610" s="28">
        <f>Inputs!$D$24+(Inputs!$D$80-Inputs!$D$24)*Inputs!$D$113</f>
        <v>911</v>
      </c>
      <c r="I4610" s="28">
        <f>Inputs!$D$24+(Inputs!$D$80-Inputs!$D$24)*Inputs!$D$114</f>
        <v>911</v>
      </c>
      <c r="J4610" s="28">
        <f>Inputs!$D$24+(Inputs!$D$80-Inputs!$D$24)*Inputs!$D$115</f>
        <v>911</v>
      </c>
      <c r="K4610" s="28">
        <f>Inputs!$D$24+(Inputs!$D$80-Inputs!$D$24)*Inputs!$D$116</f>
        <v>911</v>
      </c>
      <c r="L4610" s="28">
        <f>Inputs!$D$24+(Inputs!$D$80-Inputs!$D$24)*Inputs!$D$117</f>
        <v>911</v>
      </c>
      <c r="M4610" s="28">
        <f>Inputs!$D$24+(Inputs!$D$80-Inputs!$D$24)*Inputs!$D$118</f>
        <v>911</v>
      </c>
    </row>
    <row r="4611" spans="1:13" ht="15" customHeight="1" x14ac:dyDescent="0.2">
      <c r="A4611" s="91"/>
      <c r="B4611" s="10" t="s">
        <v>891</v>
      </c>
      <c r="C4611" s="10" t="s">
        <v>199</v>
      </c>
      <c r="D4611" s="28">
        <f>Inputs!$D$24</f>
        <v>46</v>
      </c>
      <c r="E4611" s="28">
        <f t="shared" ref="E4611:M4611" si="1000">D4610</f>
        <v>115.2</v>
      </c>
      <c r="F4611" s="28">
        <f t="shared" si="1000"/>
        <v>288.20000000000005</v>
      </c>
      <c r="G4611" s="28">
        <f t="shared" si="1000"/>
        <v>478.5</v>
      </c>
      <c r="H4611" s="28">
        <f t="shared" si="1000"/>
        <v>694.75</v>
      </c>
      <c r="I4611" s="28">
        <f t="shared" si="1000"/>
        <v>911</v>
      </c>
      <c r="J4611" s="28">
        <f t="shared" si="1000"/>
        <v>911</v>
      </c>
      <c r="K4611" s="28">
        <f t="shared" si="1000"/>
        <v>911</v>
      </c>
      <c r="L4611" s="28">
        <f t="shared" si="1000"/>
        <v>911</v>
      </c>
      <c r="M4611" s="28">
        <f t="shared" si="1000"/>
        <v>911</v>
      </c>
    </row>
    <row r="4612" spans="1:13" ht="15" customHeight="1" x14ac:dyDescent="0.2">
      <c r="B4612" s="10" t="s">
        <v>892</v>
      </c>
      <c r="C4612" s="10" t="s">
        <v>199</v>
      </c>
      <c r="D4612" s="28">
        <f>(D4611+D4610)*Inputs!$D$12</f>
        <v>80.599999999999994</v>
      </c>
      <c r="E4612" s="28">
        <f>(E4611+E4610)*Inputs!$D$12</f>
        <v>201.70000000000002</v>
      </c>
      <c r="F4612" s="28">
        <f>(F4611+F4610)*Inputs!$D$12</f>
        <v>383.35</v>
      </c>
      <c r="G4612" s="28">
        <f>(G4611+G4610)*Inputs!$D$12</f>
        <v>586.625</v>
      </c>
      <c r="H4612" s="28">
        <f>(H4611+H4610)*Inputs!$D$12</f>
        <v>802.875</v>
      </c>
      <c r="I4612" s="28">
        <f>(I4611+I4610)*Inputs!$D$12</f>
        <v>911</v>
      </c>
      <c r="J4612" s="28">
        <f>(J4611+J4610)*Inputs!$D$12</f>
        <v>911</v>
      </c>
      <c r="K4612" s="28">
        <f>(K4611+K4610)*Inputs!$D$12</f>
        <v>911</v>
      </c>
      <c r="L4612" s="28">
        <f>(L4611+L4610)*Inputs!$D$12</f>
        <v>911</v>
      </c>
      <c r="M4612" s="28">
        <f>(M4611+M4610)*Inputs!$D$12</f>
        <v>911</v>
      </c>
    </row>
    <row r="4613" spans="1:13" ht="15" customHeight="1" x14ac:dyDescent="0.2">
      <c r="B4613" s="10" t="s">
        <v>893</v>
      </c>
      <c r="C4613" s="10" t="s">
        <v>199</v>
      </c>
      <c r="D4613" s="28">
        <f t="shared" ref="D4613:M4613" si="1001">D4610-D4611</f>
        <v>69.2</v>
      </c>
      <c r="E4613" s="28">
        <f t="shared" si="1001"/>
        <v>173.00000000000006</v>
      </c>
      <c r="F4613" s="28">
        <f t="shared" si="1001"/>
        <v>190.29999999999995</v>
      </c>
      <c r="G4613" s="28">
        <f t="shared" si="1001"/>
        <v>216.25</v>
      </c>
      <c r="H4613" s="28">
        <f t="shared" si="1001"/>
        <v>216.25</v>
      </c>
      <c r="I4613" s="28">
        <f t="shared" si="1001"/>
        <v>0</v>
      </c>
      <c r="J4613" s="28">
        <f t="shared" si="1001"/>
        <v>0</v>
      </c>
      <c r="K4613" s="28">
        <f t="shared" si="1001"/>
        <v>0</v>
      </c>
      <c r="L4613" s="28">
        <f t="shared" si="1001"/>
        <v>0</v>
      </c>
      <c r="M4613" s="28">
        <f t="shared" si="1001"/>
        <v>0</v>
      </c>
    </row>
    <row r="4614" spans="1:13" ht="15" customHeight="1" x14ac:dyDescent="0.2">
      <c r="B4614" s="10" t="s">
        <v>894</v>
      </c>
      <c r="C4614" s="10" t="s">
        <v>199</v>
      </c>
      <c r="D4614" s="28">
        <f>IF(MOD(D4606,Inputs!$D$21)=Inputs!$D$6,Inputs!$D$24,Inputs!$D$6)+SUMPRODUCT(--(D4606&gt;$D$4606:$M$4606),--(MOD(D4606-$D$4606:$M$4606,Inputs!$D$21)=Inputs!$D$6),$D$4613:$M$4613)</f>
        <v>0</v>
      </c>
      <c r="E4614" s="28">
        <f>IF(MOD(E4606,Inputs!$D$21)=Inputs!$D$6,Inputs!$D$24,Inputs!$D$6)+SUMPRODUCT(--(E4606&gt;$D$4606:$M$4606),--(MOD(E4606-$D$4606:$M$4606,Inputs!$D$21)=Inputs!$D$6),$D$4613:$M$4613)</f>
        <v>0</v>
      </c>
      <c r="F4614" s="28">
        <f>IF(MOD(F4606,Inputs!$D$21)=Inputs!$D$6,Inputs!$D$24,Inputs!$D$6)+SUMPRODUCT(--(F4606&gt;$D$4606:$M$4606),--(MOD(F4606-$D$4606:$M$4606,Inputs!$D$21)=Inputs!$D$6),$D$4613:$M$4613)</f>
        <v>0</v>
      </c>
      <c r="G4614" s="28">
        <f>IF(MOD(G4606,Inputs!$D$21)=Inputs!$D$6,Inputs!$D$24,Inputs!$D$6)+SUMPRODUCT(--(G4606&gt;$D$4606:$M$4606),--(MOD(G4606-$D$4606:$M$4606,Inputs!$D$21)=Inputs!$D$6),$D$4613:$M$4613)</f>
        <v>46</v>
      </c>
      <c r="H4614" s="28">
        <f>IF(MOD(H4606,Inputs!$D$21)=Inputs!$D$6,Inputs!$D$24,Inputs!$D$6)+SUMPRODUCT(--(H4606&gt;$D$4606:$M$4606),--(MOD(H4606-$D$4606:$M$4606,Inputs!$D$21)=Inputs!$D$6),$D$4613:$M$4613)</f>
        <v>69.2</v>
      </c>
      <c r="I4614" s="28">
        <f>IF(MOD(I4606,Inputs!$D$21)=Inputs!$D$6,Inputs!$D$24,Inputs!$D$6)+SUMPRODUCT(--(I4606&gt;$D$4606:$M$4606),--(MOD(I4606-$D$4606:$M$4606,Inputs!$D$21)=Inputs!$D$6),$D$4613:$M$4613)</f>
        <v>173.00000000000006</v>
      </c>
      <c r="J4614" s="28">
        <f>IF(MOD(J4606,Inputs!$D$21)=Inputs!$D$6,Inputs!$D$24,Inputs!$D$6)+SUMPRODUCT(--(J4606&gt;$D$4606:$M$4606),--(MOD(J4606-$D$4606:$M$4606,Inputs!$D$21)=Inputs!$D$6),$D$4613:$M$4613)</f>
        <v>190.29999999999995</v>
      </c>
      <c r="K4614" s="28">
        <f>IF(MOD(K4606,Inputs!$D$21)=Inputs!$D$6,Inputs!$D$24,Inputs!$D$6)+SUMPRODUCT(--(K4606&gt;$D$4606:$M$4606),--(MOD(K4606-$D$4606:$M$4606,Inputs!$D$21)=Inputs!$D$6),$D$4613:$M$4613)</f>
        <v>262.25</v>
      </c>
      <c r="L4614" s="28">
        <f>IF(MOD(L4606,Inputs!$D$21)=Inputs!$D$6,Inputs!$D$24,Inputs!$D$6)+SUMPRODUCT(--(L4606&gt;$D$4606:$M$4606),--(MOD(L4606-$D$4606:$M$4606,Inputs!$D$21)=Inputs!$D$6),$D$4613:$M$4613)</f>
        <v>285.45</v>
      </c>
      <c r="M4614" s="28">
        <f>IF(MOD(M4606,Inputs!$D$21)=Inputs!$D$6,Inputs!$D$24,Inputs!$D$6)+SUMPRODUCT(--(M4606&gt;$D$4606:$M$4606),--(MOD(M4606-$D$4606:$M$4606,Inputs!$D$21)=Inputs!$D$6),$D$4613:$M$4613)</f>
        <v>173.00000000000006</v>
      </c>
    </row>
    <row r="4615" spans="1:13" ht="15" customHeight="1" x14ac:dyDescent="0.2">
      <c r="B4615" s="10" t="s">
        <v>895</v>
      </c>
      <c r="C4615" s="10" t="s">
        <v>896</v>
      </c>
      <c r="D4615" s="28">
        <f t="shared" ref="D4615:M4615" si="1002">D4612*D4609</f>
        <v>57.595071868583162</v>
      </c>
      <c r="E4615" s="28">
        <f t="shared" si="1002"/>
        <v>201.70000000000002</v>
      </c>
      <c r="F4615" s="28">
        <f t="shared" si="1002"/>
        <v>383.35</v>
      </c>
      <c r="G4615" s="28">
        <f t="shared" si="1002"/>
        <v>586.625</v>
      </c>
      <c r="H4615" s="28">
        <f t="shared" si="1002"/>
        <v>802.875</v>
      </c>
      <c r="I4615" s="28">
        <f t="shared" si="1002"/>
        <v>911</v>
      </c>
      <c r="J4615" s="28">
        <f t="shared" si="1002"/>
        <v>911</v>
      </c>
      <c r="K4615" s="28">
        <f t="shared" si="1002"/>
        <v>911</v>
      </c>
      <c r="L4615" s="28">
        <f t="shared" si="1002"/>
        <v>911</v>
      </c>
      <c r="M4615" s="28">
        <f t="shared" si="1002"/>
        <v>911</v>
      </c>
    </row>
    <row r="4616" spans="1:13" ht="15" customHeight="1" x14ac:dyDescent="0.2">
      <c r="B4616" s="10" t="s">
        <v>897</v>
      </c>
      <c r="C4616" s="10" t="s">
        <v>110</v>
      </c>
      <c r="D4616" s="16">
        <f>D4615*($D$4635/Inputs!$D$21+$D$4636/Inputs!$D$22)</f>
        <v>833.27663866944408</v>
      </c>
      <c r="E4616" s="16">
        <f>E4615*($D$4635/Inputs!$D$21+$D$4636/Inputs!$D$22)</f>
        <v>2918.1645680228135</v>
      </c>
      <c r="F4616" s="16">
        <f>F4615*($D$4635/Inputs!$D$21+$D$4636/Inputs!$D$22)</f>
        <v>5546.2488207810884</v>
      </c>
      <c r="G4616" s="16">
        <f>G4615*($D$4635/Inputs!$D$21+$D$4636/Inputs!$D$22)</f>
        <v>8487.2002464867765</v>
      </c>
      <c r="H4616" s="16">
        <f>H4615*($D$4635/Inputs!$D$21+$D$4636/Inputs!$D$22)</f>
        <v>11615.871975960914</v>
      </c>
      <c r="I4616" s="16">
        <f>I4615*($D$4635/Inputs!$D$21+$D$4636/Inputs!$D$22)</f>
        <v>13180.207840697982</v>
      </c>
      <c r="J4616" s="16">
        <f>J4615*($D$4635/Inputs!$D$21+$D$4636/Inputs!$D$22)</f>
        <v>13180.207840697982</v>
      </c>
      <c r="K4616" s="16">
        <f>K4615*($D$4635/Inputs!$D$21+$D$4636/Inputs!$D$22)</f>
        <v>13180.207840697982</v>
      </c>
      <c r="L4616" s="16">
        <f>L4615*($D$4635/Inputs!$D$21+$D$4636/Inputs!$D$22)</f>
        <v>13180.207840697982</v>
      </c>
      <c r="M4616" s="16">
        <f>M4615*($D$4635/Inputs!$D$21+$D$4636/Inputs!$D$22)</f>
        <v>13180.207840697982</v>
      </c>
    </row>
    <row r="4617" spans="1:13" ht="15" customHeight="1" x14ac:dyDescent="0.2">
      <c r="B4617" s="10" t="s">
        <v>898</v>
      </c>
      <c r="C4617" s="10" t="s">
        <v>110</v>
      </c>
      <c r="D4617" s="16">
        <f t="shared" ref="D4617:M4617" si="1003">D4613*($D$4635+$D$4636)</f>
        <v>4149.5916320389742</v>
      </c>
      <c r="E4617" s="16">
        <f t="shared" si="1003"/>
        <v>10373.979080097439</v>
      </c>
      <c r="F4617" s="16">
        <f t="shared" si="1003"/>
        <v>11411.376988107177</v>
      </c>
      <c r="G4617" s="16">
        <f t="shared" si="1003"/>
        <v>12967.473850121794</v>
      </c>
      <c r="H4617" s="16">
        <f t="shared" si="1003"/>
        <v>12967.473850121794</v>
      </c>
      <c r="I4617" s="16">
        <f t="shared" si="1003"/>
        <v>0</v>
      </c>
      <c r="J4617" s="16">
        <f t="shared" si="1003"/>
        <v>0</v>
      </c>
      <c r="K4617" s="16">
        <f t="shared" si="1003"/>
        <v>0</v>
      </c>
      <c r="L4617" s="16">
        <f t="shared" si="1003"/>
        <v>0</v>
      </c>
      <c r="M4617" s="16">
        <f t="shared" si="1003"/>
        <v>0</v>
      </c>
    </row>
    <row r="4618" spans="1:13" ht="15" customHeight="1" x14ac:dyDescent="0.2">
      <c r="B4618" s="10" t="s">
        <v>899</v>
      </c>
      <c r="C4618" s="10" t="s">
        <v>110</v>
      </c>
      <c r="D4618" s="16">
        <f t="shared" ref="D4618:M4618" si="1004">D4614*$D$4635</f>
        <v>0</v>
      </c>
      <c r="E4618" s="16">
        <f t="shared" si="1004"/>
        <v>0</v>
      </c>
      <c r="F4618" s="16">
        <f t="shared" si="1004"/>
        <v>0</v>
      </c>
      <c r="G4618" s="16">
        <f t="shared" si="1004"/>
        <v>2638.0048485671714</v>
      </c>
      <c r="H4618" s="16">
        <f t="shared" si="1004"/>
        <v>3968.4768591488755</v>
      </c>
      <c r="I4618" s="16">
        <f t="shared" si="1004"/>
        <v>9921.1921478721906</v>
      </c>
      <c r="J4618" s="16">
        <f t="shared" si="1004"/>
        <v>10913.311362659404</v>
      </c>
      <c r="K4618" s="16">
        <f t="shared" si="1004"/>
        <v>15039.495033407406</v>
      </c>
      <c r="L4618" s="16">
        <f t="shared" si="1004"/>
        <v>16369.967043989109</v>
      </c>
      <c r="M4618" s="16">
        <f t="shared" si="1004"/>
        <v>9921.1921478721906</v>
      </c>
    </row>
    <row r="4619" spans="1:13" ht="15" customHeight="1" x14ac:dyDescent="0.2">
      <c r="B4619" s="10" t="s">
        <v>900</v>
      </c>
      <c r="C4619" s="10" t="s">
        <v>199</v>
      </c>
      <c r="D4619" s="28">
        <f>D4613*Inputs!$D$23</f>
        <v>1.7300000000000002</v>
      </c>
      <c r="E4619" s="28">
        <f>E4613*Inputs!$D$23</f>
        <v>4.325000000000002</v>
      </c>
      <c r="F4619" s="28">
        <f>F4613*Inputs!$D$23</f>
        <v>4.7574999999999994</v>
      </c>
      <c r="G4619" s="28">
        <f>G4613*Inputs!$D$23</f>
        <v>5.40625</v>
      </c>
      <c r="H4619" s="28">
        <f>H4613*Inputs!$D$23</f>
        <v>5.40625</v>
      </c>
      <c r="I4619" s="28">
        <f>I4613*Inputs!$D$23</f>
        <v>0</v>
      </c>
      <c r="J4619" s="28">
        <f>J4613*Inputs!$D$23</f>
        <v>0</v>
      </c>
      <c r="K4619" s="28">
        <f>K4613*Inputs!$D$23</f>
        <v>0</v>
      </c>
      <c r="L4619" s="28">
        <f>L4613*Inputs!$D$23</f>
        <v>0</v>
      </c>
      <c r="M4619" s="28">
        <f>M4613*Inputs!$D$23</f>
        <v>0</v>
      </c>
    </row>
    <row r="4620" spans="1:13" ht="15" customHeight="1" x14ac:dyDescent="0.2">
      <c r="B4620" s="3" t="s">
        <v>901</v>
      </c>
      <c r="C4620" s="10" t="s">
        <v>896</v>
      </c>
      <c r="D4620" s="28">
        <f>(D4615*$D$4633*(Inputs!$D$7-Inputs!$D$19)-D4619)/(Inputs!$D$7+$D$4634)^D4608</f>
        <v>20.981187074746607</v>
      </c>
      <c r="E4620" s="28">
        <f>(E4615*$D$4633*(Inputs!$D$7-Inputs!$D$19)-E4619)/(Inputs!$D$7+$D$4634)^E4608</f>
        <v>68.255963262205867</v>
      </c>
      <c r="F4620" s="28">
        <f>(F4615*$D$4633*(Inputs!$D$7-Inputs!$D$19)-F4619)/(Inputs!$D$7+$D$4634)^F4608</f>
        <v>120.61414888935703</v>
      </c>
      <c r="G4620" s="28">
        <f>(G4615*$D$4633*(Inputs!$D$7-Inputs!$D$19)-G4619)/(Inputs!$D$7+$D$4634)^G4608</f>
        <v>169.11787330578514</v>
      </c>
      <c r="H4620" s="28">
        <f>(H4615*$D$4633*(Inputs!$D$7-Inputs!$D$19)-H4619)/(Inputs!$D$7+$D$4634)^H4608</f>
        <v>211.7039354257503</v>
      </c>
      <c r="I4620" s="28">
        <f>(I4615*$D$4633*(Inputs!$D$7-Inputs!$D$19)-I4619)/(Inputs!$D$7+$D$4634)^I4608</f>
        <v>221.8916197826434</v>
      </c>
      <c r="J4620" s="28">
        <f>(J4615*$D$4633*(Inputs!$D$7-Inputs!$D$19)-J4619)/(Inputs!$D$7+$D$4634)^J4608</f>
        <v>201.73281421346593</v>
      </c>
      <c r="K4620" s="28">
        <f>(K4615*$D$4633*(Inputs!$D$7-Inputs!$D$19)-K4619)/(Inputs!$D$7+$D$4634)^K4608</f>
        <v>183.40543176145695</v>
      </c>
      <c r="L4620" s="28">
        <f>(L4615*$D$4633*(Inputs!$D$7-Inputs!$D$19)-L4619)/(Inputs!$D$7+$D$4634)^L4608</f>
        <v>166.74308803332551</v>
      </c>
      <c r="M4620" s="28">
        <f>(M4615*$D$4633*(Inputs!$D$7-Inputs!$D$19)-M4619)/(Inputs!$D$7+$D$4634)^M4608</f>
        <v>151.55496194429571</v>
      </c>
    </row>
    <row r="4621" spans="1:13" ht="15" customHeight="1" x14ac:dyDescent="0.2">
      <c r="B4621" s="10" t="s">
        <v>902</v>
      </c>
      <c r="C4621" s="10" t="s">
        <v>110</v>
      </c>
      <c r="D4621" s="16">
        <f>(D4616*Inputs!$D$19-D4617-D4618)/(Inputs!$D$7+$D$4634)^D4608</f>
        <v>-3642.8616531802254</v>
      </c>
      <c r="E4621" s="16">
        <f>(E4616*Inputs!$D$19-E4617-E4618)/(Inputs!$D$7+$D$4634)^E4608</f>
        <v>-8064.925486193536</v>
      </c>
      <c r="F4621" s="16">
        <f>(F4616*Inputs!$D$19-F4617-F4618)/(Inputs!$D$7+$D$4634)^F4608</f>
        <v>-7524.4189502174931</v>
      </c>
      <c r="G4621" s="16">
        <f>(G4616*Inputs!$D$19-G4617-G4618)/(Inputs!$D$7+$D$4634)^G4608</f>
        <v>-9165.0699711658544</v>
      </c>
      <c r="H4621" s="16">
        <f>(H4616*Inputs!$D$19-H4617-H4618)/(Inputs!$D$7+$D$4634)^H4608</f>
        <v>-8582.4561303350856</v>
      </c>
      <c r="I4621" s="16">
        <f>(I4616*Inputs!$D$19-I4617-I4618)/(Inputs!$D$7+$D$4634)^I4608</f>
        <v>-3460.4989174974958</v>
      </c>
      <c r="J4621" s="16">
        <f>(J4616*Inputs!$D$19-J4617-J4618)/(Inputs!$D$7+$D$4634)^J4608</f>
        <v>-3669.1989119501291</v>
      </c>
      <c r="K4621" s="16">
        <f>(K4616*Inputs!$D$19-K4617-K4618)/(Inputs!$D$7+$D$4634)^K4608</f>
        <v>-5313.7017593374285</v>
      </c>
      <c r="L4621" s="16">
        <f>(L4616*Inputs!$D$19-L4617-L4618)/(Inputs!$D$7+$D$4634)^L4608</f>
        <v>-5410.7633919680211</v>
      </c>
      <c r="M4621" s="16">
        <f>(M4616*Inputs!$D$19-M4617-M4618)/(Inputs!$D$7+$D$4634)^M4608</f>
        <v>-2363.567322927051</v>
      </c>
    </row>
    <row r="4622" spans="1:13" ht="15" customHeight="1" x14ac:dyDescent="0.2">
      <c r="B4622" s="10" t="s">
        <v>903</v>
      </c>
      <c r="C4622" s="10" t="s">
        <v>110</v>
      </c>
      <c r="D4622" s="16">
        <f t="shared" ref="D4622:M4622" si="1005">D4615*$D$4632</f>
        <v>2412.0940954863413</v>
      </c>
      <c r="E4622" s="16">
        <f t="shared" si="1005"/>
        <v>8447.2397251227449</v>
      </c>
      <c r="F4622" s="16">
        <f t="shared" si="1005"/>
        <v>16054.781103747169</v>
      </c>
      <c r="G4622" s="16">
        <f t="shared" si="1005"/>
        <v>24567.982170303072</v>
      </c>
      <c r="H4622" s="16">
        <f t="shared" si="1005"/>
        <v>33624.57904961786</v>
      </c>
      <c r="I4622" s="16">
        <f t="shared" si="1005"/>
        <v>38152.877489275255</v>
      </c>
      <c r="J4622" s="16">
        <f t="shared" si="1005"/>
        <v>38152.877489275255</v>
      </c>
      <c r="K4622" s="16">
        <f t="shared" si="1005"/>
        <v>38152.877489275255</v>
      </c>
      <c r="L4622" s="16">
        <f t="shared" si="1005"/>
        <v>38152.877489275255</v>
      </c>
      <c r="M4622" s="16">
        <f t="shared" si="1005"/>
        <v>38152.877489275255</v>
      </c>
    </row>
    <row r="4623" spans="1:13" ht="15" customHeight="1" x14ac:dyDescent="0.2">
      <c r="B4623" s="10" t="s">
        <v>904</v>
      </c>
      <c r="C4623" s="10" t="s">
        <v>110</v>
      </c>
      <c r="D4623" s="16">
        <f t="shared" ref="D4623:M4623" si="1006">D4622*$D$4633</f>
        <v>1447.2564572918047</v>
      </c>
      <c r="E4623" s="16">
        <f t="shared" si="1006"/>
        <v>5068.3438350736469</v>
      </c>
      <c r="F4623" s="16">
        <f t="shared" si="1006"/>
        <v>9632.8686622483019</v>
      </c>
      <c r="G4623" s="16">
        <f t="shared" si="1006"/>
        <v>14740.789302181842</v>
      </c>
      <c r="H4623" s="16">
        <f t="shared" si="1006"/>
        <v>20174.747429770716</v>
      </c>
      <c r="I4623" s="16">
        <f t="shared" si="1006"/>
        <v>22891.726493565151</v>
      </c>
      <c r="J4623" s="16">
        <f t="shared" si="1006"/>
        <v>22891.726493565151</v>
      </c>
      <c r="K4623" s="16">
        <f t="shared" si="1006"/>
        <v>22891.726493565151</v>
      </c>
      <c r="L4623" s="16">
        <f t="shared" si="1006"/>
        <v>22891.726493565151</v>
      </c>
      <c r="M4623" s="16">
        <f t="shared" si="1006"/>
        <v>22891.726493565151</v>
      </c>
    </row>
    <row r="4624" spans="1:13" ht="15" customHeight="1" x14ac:dyDescent="0.2">
      <c r="B4624" s="10" t="s">
        <v>905</v>
      </c>
      <c r="C4624" s="10" t="s">
        <v>110</v>
      </c>
      <c r="D4624" s="16">
        <f t="shared" ref="D4624:M4624" si="1007">D4623-D4616</f>
        <v>613.97981862236065</v>
      </c>
      <c r="E4624" s="16">
        <f t="shared" si="1007"/>
        <v>2150.1792670508335</v>
      </c>
      <c r="F4624" s="16">
        <f t="shared" si="1007"/>
        <v>4086.6198414672135</v>
      </c>
      <c r="G4624" s="16">
        <f t="shared" si="1007"/>
        <v>6253.5890556950653</v>
      </c>
      <c r="H4624" s="16">
        <f t="shared" si="1007"/>
        <v>8558.8754538098019</v>
      </c>
      <c r="I4624" s="16">
        <f t="shared" si="1007"/>
        <v>9711.5186528671693</v>
      </c>
      <c r="J4624" s="16">
        <f t="shared" si="1007"/>
        <v>9711.5186528671693</v>
      </c>
      <c r="K4624" s="16">
        <f t="shared" si="1007"/>
        <v>9711.5186528671693</v>
      </c>
      <c r="L4624" s="16">
        <f t="shared" si="1007"/>
        <v>9711.5186528671693</v>
      </c>
      <c r="M4624" s="16">
        <f t="shared" si="1007"/>
        <v>9711.5186528671693</v>
      </c>
    </row>
    <row r="4625" spans="2:13" ht="15" customHeight="1" x14ac:dyDescent="0.2">
      <c r="B4625" s="10" t="s">
        <v>906</v>
      </c>
      <c r="C4625" s="10" t="s">
        <v>110</v>
      </c>
      <c r="D4625" s="16">
        <f>MAX(D4624,Inputs!$D$6)*Inputs!$D$19</f>
        <v>184.1939455867082</v>
      </c>
      <c r="E4625" s="16">
        <f>MAX(E4624,Inputs!$D$6)*Inputs!$D$19</f>
        <v>645.05378011524999</v>
      </c>
      <c r="F4625" s="16">
        <f>MAX(F4624,Inputs!$D$6)*Inputs!$D$19</f>
        <v>1225.9859524401641</v>
      </c>
      <c r="G4625" s="16">
        <f>MAX(G4624,Inputs!$D$6)*Inputs!$D$19</f>
        <v>1876.0767167085196</v>
      </c>
      <c r="H4625" s="16">
        <f>MAX(H4624,Inputs!$D$6)*Inputs!$D$19</f>
        <v>2567.6626361429403</v>
      </c>
      <c r="I4625" s="16">
        <f>MAX(I4624,Inputs!$D$6)*Inputs!$D$19</f>
        <v>2913.4555958601509</v>
      </c>
      <c r="J4625" s="16">
        <f>MAX(J4624,Inputs!$D$6)*Inputs!$D$19</f>
        <v>2913.4555958601509</v>
      </c>
      <c r="K4625" s="16">
        <f>MAX(K4624,Inputs!$D$6)*Inputs!$D$19</f>
        <v>2913.4555958601509</v>
      </c>
      <c r="L4625" s="16">
        <f>MAX(L4624,Inputs!$D$6)*Inputs!$D$19</f>
        <v>2913.4555958601509</v>
      </c>
      <c r="M4625" s="16">
        <f>MAX(M4624,Inputs!$D$6)*Inputs!$D$19</f>
        <v>2913.4555958601509</v>
      </c>
    </row>
    <row r="4626" spans="2:13" ht="15" customHeight="1" x14ac:dyDescent="0.2">
      <c r="B4626" s="10" t="s">
        <v>907</v>
      </c>
      <c r="C4626" s="10" t="s">
        <v>110</v>
      </c>
      <c r="D4626" s="16">
        <f t="shared" ref="D4626:M4626" si="1008">D4619*$D$4632</f>
        <v>72.452775034518339</v>
      </c>
      <c r="E4626" s="16">
        <f t="shared" si="1008"/>
        <v>181.13193758629589</v>
      </c>
      <c r="F4626" s="16">
        <f t="shared" si="1008"/>
        <v>199.24513134492537</v>
      </c>
      <c r="G4626" s="16">
        <f t="shared" si="1008"/>
        <v>226.41492198286977</v>
      </c>
      <c r="H4626" s="16">
        <f t="shared" si="1008"/>
        <v>226.41492198286977</v>
      </c>
      <c r="I4626" s="16">
        <f t="shared" si="1008"/>
        <v>0</v>
      </c>
      <c r="J4626" s="16">
        <f t="shared" si="1008"/>
        <v>0</v>
      </c>
      <c r="K4626" s="16">
        <f t="shared" si="1008"/>
        <v>0</v>
      </c>
      <c r="L4626" s="16">
        <f t="shared" si="1008"/>
        <v>0</v>
      </c>
      <c r="M4626" s="16">
        <f t="shared" si="1008"/>
        <v>0</v>
      </c>
    </row>
    <row r="4627" spans="2:13" ht="15" customHeight="1" x14ac:dyDescent="0.2">
      <c r="B4627" s="10" t="s">
        <v>908</v>
      </c>
      <c r="C4627" s="10" t="s">
        <v>110</v>
      </c>
      <c r="D4627" s="16">
        <f t="shared" ref="D4627:M4627" si="1009">D4623-D4625-D4617-D4618-D4626</f>
        <v>-2958.9818953683957</v>
      </c>
      <c r="E4627" s="16">
        <f t="shared" si="1009"/>
        <v>-6131.8209627253373</v>
      </c>
      <c r="F4627" s="16">
        <f t="shared" si="1009"/>
        <v>-3203.7394096439639</v>
      </c>
      <c r="G4627" s="16">
        <f t="shared" si="1009"/>
        <v>-2967.1810351985132</v>
      </c>
      <c r="H4627" s="16">
        <f t="shared" si="1009"/>
        <v>444.7191623742354</v>
      </c>
      <c r="I4627" s="16">
        <f t="shared" si="1009"/>
        <v>10057.078749832808</v>
      </c>
      <c r="J4627" s="16">
        <f t="shared" si="1009"/>
        <v>9064.9595350455947</v>
      </c>
      <c r="K4627" s="16">
        <f t="shared" si="1009"/>
        <v>4938.7758642975932</v>
      </c>
      <c r="L4627" s="16">
        <f t="shared" si="1009"/>
        <v>3608.30385371589</v>
      </c>
      <c r="M4627" s="16">
        <f t="shared" si="1009"/>
        <v>10057.078749832808</v>
      </c>
    </row>
    <row r="4628" spans="2:13" ht="15" customHeight="1" x14ac:dyDescent="0.2">
      <c r="B4628" s="10" t="s">
        <v>909</v>
      </c>
      <c r="C4628" s="10" t="s">
        <v>110</v>
      </c>
      <c r="D4628" s="16">
        <f>D4627/(Inputs!$D$7+$D$4634)^D4608</f>
        <v>-2764.1649901260284</v>
      </c>
      <c r="E4628" s="16">
        <f>E4627/(Inputs!$D$7+$D$4634)^E4608</f>
        <v>-5206.3509480426974</v>
      </c>
      <c r="F4628" s="16">
        <f>F4627/(Inputs!$D$7+$D$4634)^F4608</f>
        <v>-2473.0722476391784</v>
      </c>
      <c r="G4628" s="16">
        <f>G4627/(Inputs!$D$7+$D$4634)^G4608</f>
        <v>-2082.3767752466501</v>
      </c>
      <c r="H4628" s="16">
        <f>H4627/(Inputs!$D$7+$D$4634)^H4608</f>
        <v>283.75057910079875</v>
      </c>
      <c r="I4628" s="16">
        <f>I4627/(Inputs!$D$7+$D$4634)^I4608</f>
        <v>5832.3702213214265</v>
      </c>
      <c r="J4628" s="16">
        <f>J4627/(Inputs!$D$7+$D$4634)^J4608</f>
        <v>4779.4150795461273</v>
      </c>
      <c r="K4628" s="16">
        <f>K4627/(Inputs!$D$7+$D$4634)^K4608</f>
        <v>2367.3574820045028</v>
      </c>
      <c r="L4628" s="16">
        <f>L4627/(Inputs!$D$7+$D$4634)^L4608</f>
        <v>1572.4732819275946</v>
      </c>
      <c r="M4628" s="16">
        <f>M4627/(Inputs!$D$7+$D$4634)^M4608</f>
        <v>3983.5873378330884</v>
      </c>
    </row>
    <row r="4629" spans="2:13" ht="15" customHeight="1" x14ac:dyDescent="0.2">
      <c r="B4629" s="3" t="s">
        <v>910</v>
      </c>
      <c r="C4629" s="10" t="s">
        <v>896</v>
      </c>
      <c r="D4629" s="28">
        <f>(D4615*$D$4633-D4619)/(Inputs!$D$7+$D$4634)^D4608</f>
        <v>30.665737923868878</v>
      </c>
      <c r="E4629" s="28">
        <f>(E4615*$D$4633-E4619)/(Inputs!$D$7+$D$4634)^E4608</f>
        <v>99.082332568922538</v>
      </c>
      <c r="F4629" s="28">
        <f>(F4615*$D$4633-F4619)/(Inputs!$D$7+$D$4634)^F4608</f>
        <v>173.87984328077783</v>
      </c>
      <c r="G4629" s="28">
        <f>(G4615*$D$4633-G4619)/(Inputs!$D$7+$D$4634)^G4608</f>
        <v>243.22301452630424</v>
      </c>
      <c r="H4629" s="28">
        <f>(H4615*$D$4633-H4619)/(Inputs!$D$7+$D$4634)^H4608</f>
        <v>303.91251959440808</v>
      </c>
      <c r="I4629" s="28">
        <f>(I4615*$D$4633-I4619)/(Inputs!$D$7+$D$4634)^I4608</f>
        <v>316.98802826091918</v>
      </c>
      <c r="J4629" s="28">
        <f>(J4615*$D$4633-J4619)/(Inputs!$D$7+$D$4634)^J4608</f>
        <v>288.18973459066564</v>
      </c>
      <c r="K4629" s="28">
        <f>(K4615*$D$4633-K4619)/(Inputs!$D$7+$D$4634)^K4608</f>
        <v>262.00775965922423</v>
      </c>
      <c r="L4629" s="28">
        <f>(L4615*$D$4633-L4619)/(Inputs!$D$7+$D$4634)^L4608</f>
        <v>238.2044114761793</v>
      </c>
      <c r="M4629" s="28">
        <f>(M4615*$D$4633-M4619)/(Inputs!$D$7+$D$4634)^M4608</f>
        <v>216.50708849185102</v>
      </c>
    </row>
    <row r="4630" spans="2:13" ht="15" customHeight="1" x14ac:dyDescent="0.2">
      <c r="B4630" s="10" t="s">
        <v>911</v>
      </c>
      <c r="C4630" s="10" t="s">
        <v>110</v>
      </c>
      <c r="D4630" s="16">
        <f>(-D4617-D4618)/(Inputs!$D$7+$D$4634)^D4608</f>
        <v>-3876.3859726738942</v>
      </c>
      <c r="E4630" s="16">
        <f>(-E4617-E4618)/(Inputs!$D$7+$D$4634)^E4608</f>
        <v>-8808.24410023788</v>
      </c>
      <c r="F4630" s="16">
        <f>(-F4617-F4618)/(Inputs!$D$7+$D$4634)^F4608</f>
        <v>-8808.8187359072599</v>
      </c>
      <c r="G4630" s="16">
        <f>(-G4617-G4618)/(Inputs!$D$7+$D$4634)^G4608</f>
        <v>-10951.972941072034</v>
      </c>
      <c r="H4630" s="16">
        <f>(-H4617-H4618)/(Inputs!$D$7+$D$4634)^H4608</f>
        <v>-10805.888812441568</v>
      </c>
      <c r="I4630" s="16">
        <f>(-I4617-I4618)/(Inputs!$D$7+$D$4634)^I4608</f>
        <v>-5753.5659292933024</v>
      </c>
      <c r="J4630" s="16">
        <f>(-J4617-J4618)/(Inputs!$D$7+$D$4634)^J4608</f>
        <v>-5753.9412826749158</v>
      </c>
      <c r="K4630" s="16">
        <f>(-K4617-K4618)/(Inputs!$D$7+$D$4634)^K4608</f>
        <v>-7209.0457374846392</v>
      </c>
      <c r="L4630" s="16">
        <f>(-L4617-L4618)/(Inputs!$D$7+$D$4634)^L4608</f>
        <v>-7133.915780457146</v>
      </c>
      <c r="M4630" s="16">
        <f>(-M4617-M4618)/(Inputs!$D$7+$D$4634)^M4608</f>
        <v>-3929.7629460373614</v>
      </c>
    </row>
    <row r="4631" spans="2:13" ht="15" customHeight="1" x14ac:dyDescent="0.2">
      <c r="B4631" s="10" t="s">
        <v>912</v>
      </c>
      <c r="C4631" s="10" t="s">
        <v>110</v>
      </c>
      <c r="D4631" s="16">
        <f>Prices!I7</f>
        <v>35754.545454545456</v>
      </c>
    </row>
    <row r="4632" spans="2:13" ht="15" customHeight="1" x14ac:dyDescent="0.2">
      <c r="B4632" s="3" t="s">
        <v>913</v>
      </c>
      <c r="C4632" s="10" t="s">
        <v>914</v>
      </c>
      <c r="D4632" s="28">
        <f>IF(J4639&gt;=J4635,J4639,(D4631-J4638)/J4637)</f>
        <v>41.88021678295857</v>
      </c>
      <c r="G4632" s="99" t="s">
        <v>915</v>
      </c>
      <c r="H4632" s="91"/>
      <c r="I4632" s="91"/>
      <c r="J4632" s="28">
        <f>D4632*Inputs!$D$15</f>
        <v>29.228203292826784</v>
      </c>
      <c r="K4632" s="99" t="s">
        <v>916</v>
      </c>
      <c r="L4632" s="91"/>
      <c r="M4632" s="91"/>
    </row>
    <row r="4633" spans="2:13" ht="15" customHeight="1" x14ac:dyDescent="0.2">
      <c r="B4633" s="10" t="s">
        <v>917</v>
      </c>
      <c r="C4633" s="10" t="s">
        <v>104</v>
      </c>
      <c r="D4633" s="30">
        <f>Inputs!$D$81</f>
        <v>0.6</v>
      </c>
      <c r="G4633" s="99" t="s">
        <v>918</v>
      </c>
      <c r="H4633" s="91"/>
      <c r="I4633" s="91"/>
      <c r="J4633" s="28">
        <f>IF(-D4644/D4643&gt;=J4635,-D4644/D4643,-J4638/J4637)</f>
        <v>31.904742398820275</v>
      </c>
      <c r="K4633" s="99" t="s">
        <v>919</v>
      </c>
      <c r="L4633" s="91"/>
      <c r="M4633" s="91"/>
    </row>
    <row r="4634" spans="2:13" ht="15" customHeight="1" x14ac:dyDescent="0.2">
      <c r="B4634" s="10" t="s">
        <v>920</v>
      </c>
      <c r="C4634" s="10" t="s">
        <v>104</v>
      </c>
      <c r="D4634" s="30">
        <f>Inputs!$D$82</f>
        <v>0.1</v>
      </c>
      <c r="G4634" s="99" t="s">
        <v>918</v>
      </c>
      <c r="H4634" s="91"/>
      <c r="I4634" s="91"/>
      <c r="J4634" s="28">
        <f>J4633*Inputs!$D$15</f>
        <v>22.266319720136668</v>
      </c>
      <c r="K4634" s="99" t="s">
        <v>916</v>
      </c>
      <c r="L4634" s="91"/>
      <c r="M4634" s="91"/>
    </row>
    <row r="4635" spans="2:13" ht="15" customHeight="1" x14ac:dyDescent="0.2">
      <c r="B4635" s="3" t="s">
        <v>921</v>
      </c>
      <c r="C4635" s="10" t="s">
        <v>848</v>
      </c>
      <c r="D4635" s="28">
        <f>Capital!$D$13</f>
        <v>57.347931490590682</v>
      </c>
      <c r="G4635" s="99" t="s">
        <v>922</v>
      </c>
      <c r="H4635" s="91"/>
      <c r="I4635" s="91"/>
      <c r="J4635" s="28">
        <f>($D$4635/Inputs!$D$21+$D$4636/Inputs!$D$22)/$D$4633</f>
        <v>24.113076913095469</v>
      </c>
      <c r="K4635" s="99" t="s">
        <v>919</v>
      </c>
      <c r="L4635" s="91"/>
      <c r="M4635" s="91"/>
    </row>
    <row r="4636" spans="2:13" ht="15" customHeight="1" x14ac:dyDescent="0.2">
      <c r="B4636" s="3" t="s">
        <v>923</v>
      </c>
      <c r="C4636" s="10" t="s">
        <v>848</v>
      </c>
      <c r="D4636" s="28">
        <f>Capital!$D$14</f>
        <v>2.6172655041921802</v>
      </c>
    </row>
    <row r="4637" spans="2:13" ht="15" customHeight="1" x14ac:dyDescent="0.2">
      <c r="B4637" s="10" t="s">
        <v>924</v>
      </c>
      <c r="C4637" s="10" t="s">
        <v>896</v>
      </c>
      <c r="D4637" s="28">
        <f>(M4610*(Inputs!$D$7+Inputs!$D$20)*$D$4633*(Inputs!$D$7-Inputs!$D$19)-M4610*Inputs!$D$20*Inputs!$D$23)/($D$4634-Inputs!$D$20)/(Inputs!$D$7+$D$4634)^M4608</f>
        <v>2068.2441036763203</v>
      </c>
      <c r="G4637" s="92" t="s">
        <v>910</v>
      </c>
      <c r="H4637" s="91"/>
      <c r="I4637" s="91"/>
      <c r="J4637" s="28">
        <f>SUM(D4629:M4629)+(M4610*(Inputs!$D$7+Inputs!$D$20)*$D$4633-M4610*Inputs!$D$20*Inputs!$D$23)/($D$4634-Inputs!$D$20)/(Inputs!$D$7+$D$4634)^M4608</f>
        <v>5128.5836368660293</v>
      </c>
      <c r="K4637" s="99" t="s">
        <v>896</v>
      </c>
      <c r="L4637" s="91"/>
      <c r="M4637" s="91"/>
    </row>
    <row r="4638" spans="2:13" ht="15" customHeight="1" x14ac:dyDescent="0.2">
      <c r="B4638" s="10" t="s">
        <v>925</v>
      </c>
      <c r="C4638" s="10" t="s">
        <v>110</v>
      </c>
      <c r="D4638" s="16">
        <f>(D4641*Inputs!$D$19-D4641-D4642)/($D$4634-Inputs!$D$20)/(Inputs!$D$7+$D$4634)^M4608</f>
        <v>-57156.954988173631</v>
      </c>
      <c r="G4638" s="92" t="s">
        <v>926</v>
      </c>
      <c r="H4638" s="91"/>
      <c r="I4638" s="91"/>
      <c r="J4638" s="16">
        <f>SUM(D4630:M4630)-(D4641+D4642)/($D$4634-Inputs!$D$20)/(Inputs!$D$7+$D$4634)^M4608</f>
        <v>-151593.17074229455</v>
      </c>
      <c r="K4638" s="99" t="s">
        <v>110</v>
      </c>
      <c r="L4638" s="91"/>
      <c r="M4638" s="91"/>
    </row>
    <row r="4639" spans="2:13" ht="15" customHeight="1" x14ac:dyDescent="0.2">
      <c r="B4639" s="10" t="s">
        <v>927</v>
      </c>
      <c r="C4639" s="10" t="s">
        <v>928</v>
      </c>
      <c r="D4639" s="16">
        <f>(M4610*(Inputs!$D$7+Inputs!$D$20)*$D$4632*$D$4633-D4641)-MAX((M4610*(Inputs!$D$7+Inputs!$D$20)*$D$4632*$D$4633-D4641),Inputs!$D$6)*Inputs!$D$19-D4642-M4610*Inputs!$D$20*$D$4632*Inputs!$D$23</f>
        <v>5578.4617234452171</v>
      </c>
      <c r="G4639" s="99" t="s">
        <v>929</v>
      </c>
      <c r="H4639" s="91"/>
      <c r="I4639" s="91"/>
      <c r="J4639" s="28">
        <f>(D4631-D4644)/D4643</f>
        <v>41.88021678295857</v>
      </c>
      <c r="K4639" s="99" t="s">
        <v>919</v>
      </c>
      <c r="L4639" s="91"/>
      <c r="M4639" s="91"/>
    </row>
    <row r="4640" spans="2:13" ht="15" customHeight="1" x14ac:dyDescent="0.2">
      <c r="B4640" s="10" t="s">
        <v>930</v>
      </c>
      <c r="C4640" s="10" t="s">
        <v>110</v>
      </c>
      <c r="D4640" s="16">
        <f>D4639/($D$4634-Inputs!$D$20)</f>
        <v>74379.489645936221</v>
      </c>
      <c r="G4640" s="99" t="s">
        <v>931</v>
      </c>
      <c r="H4640" s="91"/>
      <c r="I4640" s="91"/>
      <c r="J4640" s="16">
        <f>MIN(D4624:M4624,(M4610*(Inputs!$D$7+Inputs!$D$20)*$D$4632*$D$4633-D4641))</f>
        <v>613.97981862236065</v>
      </c>
      <c r="K4640" s="99" t="s">
        <v>110</v>
      </c>
      <c r="L4640" s="91"/>
      <c r="M4640" s="91"/>
    </row>
    <row r="4641" spans="1:13" ht="15" customHeight="1" x14ac:dyDescent="0.2">
      <c r="B4641" s="10" t="s">
        <v>932</v>
      </c>
      <c r="C4641" s="10" t="s">
        <v>928</v>
      </c>
      <c r="D4641" s="16">
        <f>M4610*(Inputs!$D$7+Inputs!$D$20)*($D$4635/Inputs!$D$21+$D$4636/Inputs!$D$22)</f>
        <v>13509.71303671543</v>
      </c>
      <c r="G4641" s="99" t="s">
        <v>933</v>
      </c>
      <c r="H4641" s="91"/>
      <c r="I4641" s="91"/>
      <c r="J4641" s="31" t="str">
        <f>IF(J4640&lt;Inputs!$D$6,"breached","satisfied")</f>
        <v>satisfied</v>
      </c>
      <c r="K4641" s="99" t="s">
        <v>934</v>
      </c>
      <c r="L4641" s="91"/>
      <c r="M4641" s="91"/>
    </row>
    <row r="4642" spans="1:13" ht="15" customHeight="1" x14ac:dyDescent="0.2">
      <c r="B4642" s="10" t="s">
        <v>935</v>
      </c>
      <c r="C4642" s="10" t="s">
        <v>928</v>
      </c>
      <c r="D4642" s="16">
        <f>M4610*Inputs!$D$20*($D$4635+$D$4636)</f>
        <v>1365.7073615561799</v>
      </c>
    </row>
    <row r="4643" spans="1:13" ht="15" customHeight="1" x14ac:dyDescent="0.2">
      <c r="B4643" s="10" t="s">
        <v>936</v>
      </c>
      <c r="C4643" s="10" t="s">
        <v>896</v>
      </c>
      <c r="D4643" s="28">
        <f>SUM(D4620:M4620)+D4637</f>
        <v>3584.2451273693523</v>
      </c>
      <c r="G4643" s="99" t="s">
        <v>937</v>
      </c>
      <c r="H4643" s="91"/>
      <c r="I4643" s="91"/>
      <c r="J4643" s="16">
        <f>D4645-D4631</f>
        <v>0</v>
      </c>
      <c r="K4643" s="99" t="s">
        <v>110</v>
      </c>
      <c r="L4643" s="91"/>
      <c r="M4643" s="91"/>
    </row>
    <row r="4644" spans="1:13" ht="15" customHeight="1" x14ac:dyDescent="0.2">
      <c r="B4644" s="10" t="s">
        <v>938</v>
      </c>
      <c r="C4644" s="10" t="s">
        <v>110</v>
      </c>
      <c r="D4644" s="16">
        <f>SUM(D4621:M4621)+D4638</f>
        <v>-114354.41748294595</v>
      </c>
    </row>
    <row r="4645" spans="1:13" ht="15" customHeight="1" x14ac:dyDescent="0.2">
      <c r="B4645" s="10" t="s">
        <v>939</v>
      </c>
      <c r="C4645" s="10" t="s">
        <v>110</v>
      </c>
      <c r="D4645" s="16">
        <f>SUM(D4628:M4628)+D4640/(Inputs!$D$7+$D$4634)^M4608</f>
        <v>35754.545454545485</v>
      </c>
    </row>
    <row r="4646" spans="1:13" ht="15" customHeight="1" x14ac:dyDescent="0.2">
      <c r="B4646" s="10" t="s">
        <v>940</v>
      </c>
      <c r="C4646" s="10" t="s">
        <v>104</v>
      </c>
      <c r="D4646" s="30">
        <f>IF(ABS(D4631)&gt;Inputs!$D$6,D4645/D4631-Inputs!$D$7,Inputs!$D$6)</f>
        <v>8.8817841970012523E-16</v>
      </c>
    </row>
    <row r="4647" spans="1:13" ht="15" customHeight="1" x14ac:dyDescent="0.2">
      <c r="B4647" s="10" t="s">
        <v>941</v>
      </c>
      <c r="C4647" s="10" t="s">
        <v>104</v>
      </c>
      <c r="D4647" s="30">
        <f>IF(ABS(D4645)&gt;Inputs!$D$119,D4640/(Inputs!$D$7+$D$4634)^M4608/D4645,Inputs!$D$6)</f>
        <v>0.82399471338045072</v>
      </c>
    </row>
    <row r="4648" spans="1:13" ht="15" customHeight="1" x14ac:dyDescent="0.2">
      <c r="B4648" s="10" t="s">
        <v>942</v>
      </c>
      <c r="C4648" s="10" t="s">
        <v>943</v>
      </c>
      <c r="D4648" s="26">
        <f>$D$4632*Inputs!$D$8/Prices!$P$6/(Inputs!$D$26/Inputs!$D$25)/Inputs!$D$11/Inputs!$D$56</f>
        <v>7.6160446340748766</v>
      </c>
    </row>
    <row r="4652" spans="1:13" ht="15" customHeight="1" x14ac:dyDescent="0.2">
      <c r="A4652" s="104" t="s">
        <v>1044</v>
      </c>
      <c r="B4652" s="10" t="s">
        <v>886</v>
      </c>
      <c r="C4652" s="10" t="s">
        <v>107</v>
      </c>
      <c r="D4652" s="28">
        <f>Inputs!$D$60</f>
        <v>1</v>
      </c>
      <c r="E4652" s="28">
        <f>Inputs!$D$62</f>
        <v>2</v>
      </c>
      <c r="F4652" s="28">
        <f>Inputs!$D$64</f>
        <v>3</v>
      </c>
      <c r="G4652" s="28">
        <f>Inputs!$D$66</f>
        <v>4</v>
      </c>
      <c r="H4652" s="28">
        <f>Inputs!$D$68</f>
        <v>5</v>
      </c>
      <c r="I4652" s="28">
        <f>Inputs!$D$70</f>
        <v>6</v>
      </c>
      <c r="J4652" s="28">
        <f>Inputs!$D$72</f>
        <v>7</v>
      </c>
      <c r="K4652" s="28">
        <f>Inputs!$D$74</f>
        <v>8</v>
      </c>
      <c r="L4652" s="28">
        <f>Inputs!$D$76</f>
        <v>9</v>
      </c>
      <c r="M4652" s="28">
        <f>Inputs!$D$78</f>
        <v>10</v>
      </c>
    </row>
    <row r="4653" spans="1:13" ht="15" customHeight="1" x14ac:dyDescent="0.2">
      <c r="A4653" s="91"/>
      <c r="B4653" s="10" t="s">
        <v>887</v>
      </c>
      <c r="C4653" s="10" t="s">
        <v>161</v>
      </c>
      <c r="D4653" s="29">
        <f>Inputs!$D$61</f>
        <v>46568</v>
      </c>
      <c r="E4653" s="29">
        <f>Inputs!$D$63</f>
        <v>46934</v>
      </c>
      <c r="F4653" s="29">
        <f>Inputs!$D$65</f>
        <v>47299</v>
      </c>
      <c r="G4653" s="29">
        <f>Inputs!$D$67</f>
        <v>47664</v>
      </c>
      <c r="H4653" s="29">
        <f>Inputs!$D$69</f>
        <v>48029</v>
      </c>
      <c r="I4653" s="29">
        <f>Inputs!$D$71</f>
        <v>48395</v>
      </c>
      <c r="J4653" s="29">
        <f>Inputs!$D$73</f>
        <v>48760</v>
      </c>
      <c r="K4653" s="29">
        <f>Inputs!$D$75</f>
        <v>49125</v>
      </c>
      <c r="L4653" s="29">
        <f>Inputs!$D$77</f>
        <v>49490</v>
      </c>
      <c r="M4653" s="29">
        <f>Inputs!$D$79</f>
        <v>49856</v>
      </c>
    </row>
    <row r="4654" spans="1:13" ht="15" customHeight="1" x14ac:dyDescent="0.2">
      <c r="A4654" s="91"/>
      <c r="B4654" s="10" t="s">
        <v>888</v>
      </c>
      <c r="C4654" s="10" t="s">
        <v>107</v>
      </c>
      <c r="D4654" s="28">
        <f>(D4653-Inputs!$D$13)/Inputs!$D$10</f>
        <v>0.71457905544147848</v>
      </c>
      <c r="E4654" s="28">
        <f>(E4653-Inputs!$D$13)/Inputs!$D$10</f>
        <v>1.7166324435318274</v>
      </c>
      <c r="F4654" s="28">
        <f>(F4653-Inputs!$D$13)/Inputs!$D$10</f>
        <v>2.7159479808350446</v>
      </c>
      <c r="G4654" s="28">
        <f>(G4653-Inputs!$D$13)/Inputs!$D$10</f>
        <v>3.7152635181382614</v>
      </c>
      <c r="H4654" s="28">
        <f>(H4653-Inputs!$D$13)/Inputs!$D$10</f>
        <v>4.7145790554414786</v>
      </c>
      <c r="I4654" s="28">
        <f>(I4653-Inputs!$D$13)/Inputs!$D$10</f>
        <v>5.7166324435318279</v>
      </c>
      <c r="J4654" s="28">
        <f>(J4653-Inputs!$D$13)/Inputs!$D$10</f>
        <v>6.7159479808350442</v>
      </c>
      <c r="K4654" s="28">
        <f>(K4653-Inputs!$D$13)/Inputs!$D$10</f>
        <v>7.7152635181382614</v>
      </c>
      <c r="L4654" s="28">
        <f>(L4653-Inputs!$D$13)/Inputs!$D$10</f>
        <v>8.7145790554414777</v>
      </c>
      <c r="M4654" s="28">
        <f>(M4653-Inputs!$D$13)/Inputs!$D$10</f>
        <v>9.716632443531827</v>
      </c>
    </row>
    <row r="4655" spans="1:13" ht="15" customHeight="1" x14ac:dyDescent="0.2">
      <c r="A4655" s="91"/>
      <c r="B4655" s="10" t="s">
        <v>889</v>
      </c>
      <c r="C4655" s="10" t="s">
        <v>107</v>
      </c>
      <c r="D4655" s="28">
        <f>D4654</f>
        <v>0.71457905544147848</v>
      </c>
      <c r="E4655" s="28">
        <f>Inputs!$D$7</f>
        <v>1</v>
      </c>
      <c r="F4655" s="28">
        <f>Inputs!$D$7</f>
        <v>1</v>
      </c>
      <c r="G4655" s="28">
        <f>Inputs!$D$7</f>
        <v>1</v>
      </c>
      <c r="H4655" s="28">
        <f>Inputs!$D$7</f>
        <v>1</v>
      </c>
      <c r="I4655" s="28">
        <f>Inputs!$D$7</f>
        <v>1</v>
      </c>
      <c r="J4655" s="28">
        <f>Inputs!$D$7</f>
        <v>1</v>
      </c>
      <c r="K4655" s="28">
        <f>Inputs!$D$7</f>
        <v>1</v>
      </c>
      <c r="L4655" s="28">
        <f>Inputs!$D$7</f>
        <v>1</v>
      </c>
      <c r="M4655" s="28">
        <f>Inputs!$D$7</f>
        <v>1</v>
      </c>
    </row>
    <row r="4656" spans="1:13" ht="15" customHeight="1" x14ac:dyDescent="0.2">
      <c r="A4656" s="91"/>
      <c r="B4656" s="3" t="s">
        <v>890</v>
      </c>
      <c r="C4656" s="10" t="s">
        <v>199</v>
      </c>
      <c r="D4656" s="28">
        <f>Inputs!$D$24+(Inputs!$D$93-Inputs!$D$24)*Inputs!$D$83</f>
        <v>512.20000000000005</v>
      </c>
      <c r="E4656" s="28">
        <f>Inputs!$D$24+(Inputs!$D$93-Inputs!$D$24)*Inputs!$D$84</f>
        <v>1133.8</v>
      </c>
      <c r="F4656" s="28">
        <f>Inputs!$D$24+(Inputs!$D$93-Inputs!$D$24)*Inputs!$D$85</f>
        <v>1600</v>
      </c>
      <c r="G4656" s="28">
        <f>Inputs!$D$24+(Inputs!$D$93-Inputs!$D$24)*Inputs!$D$86</f>
        <v>1600</v>
      </c>
      <c r="H4656" s="28">
        <f>Inputs!$D$24+(Inputs!$D$93-Inputs!$D$24)*Inputs!$D$87</f>
        <v>1600</v>
      </c>
      <c r="I4656" s="28">
        <f>Inputs!$D$24+(Inputs!$D$93-Inputs!$D$24)*Inputs!$D$88</f>
        <v>1600</v>
      </c>
      <c r="J4656" s="28">
        <f>Inputs!$D$24+(Inputs!$D$93-Inputs!$D$24)*Inputs!$D$89</f>
        <v>1600</v>
      </c>
      <c r="K4656" s="28">
        <f>Inputs!$D$24+(Inputs!$D$93-Inputs!$D$24)*Inputs!$D$90</f>
        <v>1600</v>
      </c>
      <c r="L4656" s="28">
        <f>Inputs!$D$24+(Inputs!$D$93-Inputs!$D$24)*Inputs!$D$91</f>
        <v>1600</v>
      </c>
      <c r="M4656" s="28">
        <f>Inputs!$D$24+(Inputs!$D$93-Inputs!$D$24)*Inputs!$D$92</f>
        <v>1600</v>
      </c>
    </row>
    <row r="4657" spans="1:13" ht="15" customHeight="1" x14ac:dyDescent="0.2">
      <c r="A4657" s="91"/>
      <c r="B4657" s="10" t="s">
        <v>891</v>
      </c>
      <c r="C4657" s="10" t="s">
        <v>199</v>
      </c>
      <c r="D4657" s="28">
        <f>Inputs!$D$24</f>
        <v>46</v>
      </c>
      <c r="E4657" s="28">
        <f t="shared" ref="E4657:M4657" si="1010">D4656</f>
        <v>512.20000000000005</v>
      </c>
      <c r="F4657" s="28">
        <f t="shared" si="1010"/>
        <v>1133.8</v>
      </c>
      <c r="G4657" s="28">
        <f t="shared" si="1010"/>
        <v>1600</v>
      </c>
      <c r="H4657" s="28">
        <f t="shared" si="1010"/>
        <v>1600</v>
      </c>
      <c r="I4657" s="28">
        <f t="shared" si="1010"/>
        <v>1600</v>
      </c>
      <c r="J4657" s="28">
        <f t="shared" si="1010"/>
        <v>1600</v>
      </c>
      <c r="K4657" s="28">
        <f t="shared" si="1010"/>
        <v>1600</v>
      </c>
      <c r="L4657" s="28">
        <f t="shared" si="1010"/>
        <v>1600</v>
      </c>
      <c r="M4657" s="28">
        <f t="shared" si="1010"/>
        <v>1600</v>
      </c>
    </row>
    <row r="4658" spans="1:13" ht="15" customHeight="1" x14ac:dyDescent="0.2">
      <c r="B4658" s="10" t="s">
        <v>892</v>
      </c>
      <c r="C4658" s="10" t="s">
        <v>199</v>
      </c>
      <c r="D4658" s="28">
        <f>(D4657+D4656)*Inputs!$D$12</f>
        <v>279.10000000000002</v>
      </c>
      <c r="E4658" s="28">
        <f>(E4657+E4656)*Inputs!$D$12</f>
        <v>823</v>
      </c>
      <c r="F4658" s="28">
        <f>(F4657+F4656)*Inputs!$D$12</f>
        <v>1366.9</v>
      </c>
      <c r="G4658" s="28">
        <f>(G4657+G4656)*Inputs!$D$12</f>
        <v>1600</v>
      </c>
      <c r="H4658" s="28">
        <f>(H4657+H4656)*Inputs!$D$12</f>
        <v>1600</v>
      </c>
      <c r="I4658" s="28">
        <f>(I4657+I4656)*Inputs!$D$12</f>
        <v>1600</v>
      </c>
      <c r="J4658" s="28">
        <f>(J4657+J4656)*Inputs!$D$12</f>
        <v>1600</v>
      </c>
      <c r="K4658" s="28">
        <f>(K4657+K4656)*Inputs!$D$12</f>
        <v>1600</v>
      </c>
      <c r="L4658" s="28">
        <f>(L4657+L4656)*Inputs!$D$12</f>
        <v>1600</v>
      </c>
      <c r="M4658" s="28">
        <f>(M4657+M4656)*Inputs!$D$12</f>
        <v>1600</v>
      </c>
    </row>
    <row r="4659" spans="1:13" ht="15" customHeight="1" x14ac:dyDescent="0.2">
      <c r="B4659" s="10" t="s">
        <v>893</v>
      </c>
      <c r="C4659" s="10" t="s">
        <v>199</v>
      </c>
      <c r="D4659" s="28">
        <f t="shared" ref="D4659:M4659" si="1011">D4656-D4657</f>
        <v>466.20000000000005</v>
      </c>
      <c r="E4659" s="28">
        <f t="shared" si="1011"/>
        <v>621.59999999999991</v>
      </c>
      <c r="F4659" s="28">
        <f t="shared" si="1011"/>
        <v>466.20000000000005</v>
      </c>
      <c r="G4659" s="28">
        <f t="shared" si="1011"/>
        <v>0</v>
      </c>
      <c r="H4659" s="28">
        <f t="shared" si="1011"/>
        <v>0</v>
      </c>
      <c r="I4659" s="28">
        <f t="shared" si="1011"/>
        <v>0</v>
      </c>
      <c r="J4659" s="28">
        <f t="shared" si="1011"/>
        <v>0</v>
      </c>
      <c r="K4659" s="28">
        <f t="shared" si="1011"/>
        <v>0</v>
      </c>
      <c r="L4659" s="28">
        <f t="shared" si="1011"/>
        <v>0</v>
      </c>
      <c r="M4659" s="28">
        <f t="shared" si="1011"/>
        <v>0</v>
      </c>
    </row>
    <row r="4660" spans="1:13" ht="15" customHeight="1" x14ac:dyDescent="0.2">
      <c r="B4660" s="10" t="s">
        <v>894</v>
      </c>
      <c r="C4660" s="10" t="s">
        <v>199</v>
      </c>
      <c r="D4660" s="28">
        <f>IF(MOD(D4652,Inputs!$D$21)=Inputs!$D$6,Inputs!$D$24,Inputs!$D$6)+SUMPRODUCT(--(D4652&gt;$D$4652:$M$4652),--(MOD(D4652-$D$4652:$M$4652,Inputs!$D$21)=Inputs!$D$6),$D$4659:$M$4659)</f>
        <v>0</v>
      </c>
      <c r="E4660" s="28">
        <f>IF(MOD(E4652,Inputs!$D$21)=Inputs!$D$6,Inputs!$D$24,Inputs!$D$6)+SUMPRODUCT(--(E4652&gt;$D$4652:$M$4652),--(MOD(E4652-$D$4652:$M$4652,Inputs!$D$21)=Inputs!$D$6),$D$4659:$M$4659)</f>
        <v>0</v>
      </c>
      <c r="F4660" s="28">
        <f>IF(MOD(F4652,Inputs!$D$21)=Inputs!$D$6,Inputs!$D$24,Inputs!$D$6)+SUMPRODUCT(--(F4652&gt;$D$4652:$M$4652),--(MOD(F4652-$D$4652:$M$4652,Inputs!$D$21)=Inputs!$D$6),$D$4659:$M$4659)</f>
        <v>0</v>
      </c>
      <c r="G4660" s="28">
        <f>IF(MOD(G4652,Inputs!$D$21)=Inputs!$D$6,Inputs!$D$24,Inputs!$D$6)+SUMPRODUCT(--(G4652&gt;$D$4652:$M$4652),--(MOD(G4652-$D$4652:$M$4652,Inputs!$D$21)=Inputs!$D$6),$D$4659:$M$4659)</f>
        <v>46</v>
      </c>
      <c r="H4660" s="28">
        <f>IF(MOD(H4652,Inputs!$D$21)=Inputs!$D$6,Inputs!$D$24,Inputs!$D$6)+SUMPRODUCT(--(H4652&gt;$D$4652:$M$4652),--(MOD(H4652-$D$4652:$M$4652,Inputs!$D$21)=Inputs!$D$6),$D$4659:$M$4659)</f>
        <v>466.20000000000005</v>
      </c>
      <c r="I4660" s="28">
        <f>IF(MOD(I4652,Inputs!$D$21)=Inputs!$D$6,Inputs!$D$24,Inputs!$D$6)+SUMPRODUCT(--(I4652&gt;$D$4652:$M$4652),--(MOD(I4652-$D$4652:$M$4652,Inputs!$D$21)=Inputs!$D$6),$D$4659:$M$4659)</f>
        <v>621.59999999999991</v>
      </c>
      <c r="J4660" s="28">
        <f>IF(MOD(J4652,Inputs!$D$21)=Inputs!$D$6,Inputs!$D$24,Inputs!$D$6)+SUMPRODUCT(--(J4652&gt;$D$4652:$M$4652),--(MOD(J4652-$D$4652:$M$4652,Inputs!$D$21)=Inputs!$D$6),$D$4659:$M$4659)</f>
        <v>466.20000000000005</v>
      </c>
      <c r="K4660" s="28">
        <f>IF(MOD(K4652,Inputs!$D$21)=Inputs!$D$6,Inputs!$D$24,Inputs!$D$6)+SUMPRODUCT(--(K4652&gt;$D$4652:$M$4652),--(MOD(K4652-$D$4652:$M$4652,Inputs!$D$21)=Inputs!$D$6),$D$4659:$M$4659)</f>
        <v>46</v>
      </c>
      <c r="L4660" s="28">
        <f>IF(MOD(L4652,Inputs!$D$21)=Inputs!$D$6,Inputs!$D$24,Inputs!$D$6)+SUMPRODUCT(--(L4652&gt;$D$4652:$M$4652),--(MOD(L4652-$D$4652:$M$4652,Inputs!$D$21)=Inputs!$D$6),$D$4659:$M$4659)</f>
        <v>466.20000000000005</v>
      </c>
      <c r="M4660" s="28">
        <f>IF(MOD(M4652,Inputs!$D$21)=Inputs!$D$6,Inputs!$D$24,Inputs!$D$6)+SUMPRODUCT(--(M4652&gt;$D$4652:$M$4652),--(MOD(M4652-$D$4652:$M$4652,Inputs!$D$21)=Inputs!$D$6),$D$4659:$M$4659)</f>
        <v>621.59999999999991</v>
      </c>
    </row>
    <row r="4661" spans="1:13" ht="15" customHeight="1" x14ac:dyDescent="0.2">
      <c r="B4661" s="10" t="s">
        <v>895</v>
      </c>
      <c r="C4661" s="10" t="s">
        <v>896</v>
      </c>
      <c r="D4661" s="28">
        <f t="shared" ref="D4661:M4661" si="1012">D4658*D4655</f>
        <v>199.43901437371667</v>
      </c>
      <c r="E4661" s="28">
        <f t="shared" si="1012"/>
        <v>823</v>
      </c>
      <c r="F4661" s="28">
        <f t="shared" si="1012"/>
        <v>1366.9</v>
      </c>
      <c r="G4661" s="28">
        <f t="shared" si="1012"/>
        <v>1600</v>
      </c>
      <c r="H4661" s="28">
        <f t="shared" si="1012"/>
        <v>1600</v>
      </c>
      <c r="I4661" s="28">
        <f t="shared" si="1012"/>
        <v>1600</v>
      </c>
      <c r="J4661" s="28">
        <f t="shared" si="1012"/>
        <v>1600</v>
      </c>
      <c r="K4661" s="28">
        <f t="shared" si="1012"/>
        <v>1600</v>
      </c>
      <c r="L4661" s="28">
        <f t="shared" si="1012"/>
        <v>1600</v>
      </c>
      <c r="M4661" s="28">
        <f t="shared" si="1012"/>
        <v>1600</v>
      </c>
    </row>
    <row r="4662" spans="1:13" ht="15" customHeight="1" x14ac:dyDescent="0.2">
      <c r="B4662" s="10" t="s">
        <v>897</v>
      </c>
      <c r="C4662" s="10" t="s">
        <v>110</v>
      </c>
      <c r="D4662" s="16">
        <f>D4661*($D$4681/Inputs!$D$21+$D$4682/Inputs!$D$22)</f>
        <v>2885.4529758392296</v>
      </c>
      <c r="E4662" s="16">
        <f>E4661*($D$4681/Inputs!$D$21+$D$4682/Inputs!$D$22)</f>
        <v>11907.037379686541</v>
      </c>
      <c r="F4662" s="16">
        <f>F4661*($D$4681/Inputs!$D$21+$D$4682/Inputs!$D$22)</f>
        <v>19776.098899506116</v>
      </c>
      <c r="G4662" s="16">
        <f>G4661*($D$4681/Inputs!$D$21+$D$4682/Inputs!$D$22)</f>
        <v>23148.553836571649</v>
      </c>
      <c r="H4662" s="16">
        <f>H4661*($D$4681/Inputs!$D$21+$D$4682/Inputs!$D$22)</f>
        <v>23148.553836571649</v>
      </c>
      <c r="I4662" s="16">
        <f>I4661*($D$4681/Inputs!$D$21+$D$4682/Inputs!$D$22)</f>
        <v>23148.553836571649</v>
      </c>
      <c r="J4662" s="16">
        <f>J4661*($D$4681/Inputs!$D$21+$D$4682/Inputs!$D$22)</f>
        <v>23148.553836571649</v>
      </c>
      <c r="K4662" s="16">
        <f>K4661*($D$4681/Inputs!$D$21+$D$4682/Inputs!$D$22)</f>
        <v>23148.553836571649</v>
      </c>
      <c r="L4662" s="16">
        <f>L4661*($D$4681/Inputs!$D$21+$D$4682/Inputs!$D$22)</f>
        <v>23148.553836571649</v>
      </c>
      <c r="M4662" s="16">
        <f>M4661*($D$4681/Inputs!$D$21+$D$4682/Inputs!$D$22)</f>
        <v>23148.553836571649</v>
      </c>
    </row>
    <row r="4663" spans="1:13" ht="15" customHeight="1" x14ac:dyDescent="0.2">
      <c r="B4663" s="10" t="s">
        <v>898</v>
      </c>
      <c r="C4663" s="10" t="s">
        <v>110</v>
      </c>
      <c r="D4663" s="16">
        <f t="shared" ref="D4663:M4663" si="1013">D4659*($D$4681+$D$4682)</f>
        <v>27955.774838967773</v>
      </c>
      <c r="E4663" s="16">
        <f t="shared" si="1013"/>
        <v>37274.366451957023</v>
      </c>
      <c r="F4663" s="16">
        <f t="shared" si="1013"/>
        <v>27955.774838967773</v>
      </c>
      <c r="G4663" s="16">
        <f t="shared" si="1013"/>
        <v>0</v>
      </c>
      <c r="H4663" s="16">
        <f t="shared" si="1013"/>
        <v>0</v>
      </c>
      <c r="I4663" s="16">
        <f t="shared" si="1013"/>
        <v>0</v>
      </c>
      <c r="J4663" s="16">
        <f t="shared" si="1013"/>
        <v>0</v>
      </c>
      <c r="K4663" s="16">
        <f t="shared" si="1013"/>
        <v>0</v>
      </c>
      <c r="L4663" s="16">
        <f t="shared" si="1013"/>
        <v>0</v>
      </c>
      <c r="M4663" s="16">
        <f t="shared" si="1013"/>
        <v>0</v>
      </c>
    </row>
    <row r="4664" spans="1:13" ht="15" customHeight="1" x14ac:dyDescent="0.2">
      <c r="B4664" s="10" t="s">
        <v>899</v>
      </c>
      <c r="C4664" s="10" t="s">
        <v>110</v>
      </c>
      <c r="D4664" s="16">
        <f t="shared" ref="D4664:M4664" si="1014">D4660*$D$4681</f>
        <v>0</v>
      </c>
      <c r="E4664" s="16">
        <f t="shared" si="1014"/>
        <v>0</v>
      </c>
      <c r="F4664" s="16">
        <f t="shared" si="1014"/>
        <v>0</v>
      </c>
      <c r="G4664" s="16">
        <f t="shared" si="1014"/>
        <v>2638.0048485671714</v>
      </c>
      <c r="H4664" s="16">
        <f t="shared" si="1014"/>
        <v>26735.605660913378</v>
      </c>
      <c r="I4664" s="16">
        <f t="shared" si="1014"/>
        <v>35647.474214551163</v>
      </c>
      <c r="J4664" s="16">
        <f t="shared" si="1014"/>
        <v>26735.605660913378</v>
      </c>
      <c r="K4664" s="16">
        <f t="shared" si="1014"/>
        <v>2638.0048485671714</v>
      </c>
      <c r="L4664" s="16">
        <f t="shared" si="1014"/>
        <v>26735.605660913378</v>
      </c>
      <c r="M4664" s="16">
        <f t="shared" si="1014"/>
        <v>35647.474214551163</v>
      </c>
    </row>
    <row r="4665" spans="1:13" ht="15" customHeight="1" x14ac:dyDescent="0.2">
      <c r="B4665" s="10" t="s">
        <v>900</v>
      </c>
      <c r="C4665" s="10" t="s">
        <v>199</v>
      </c>
      <c r="D4665" s="28">
        <f>D4659*Inputs!$D$23</f>
        <v>11.655000000000001</v>
      </c>
      <c r="E4665" s="28">
        <f>E4659*Inputs!$D$23</f>
        <v>15.54</v>
      </c>
      <c r="F4665" s="28">
        <f>F4659*Inputs!$D$23</f>
        <v>11.655000000000001</v>
      </c>
      <c r="G4665" s="28">
        <f>G4659*Inputs!$D$23</f>
        <v>0</v>
      </c>
      <c r="H4665" s="28">
        <f>H4659*Inputs!$D$23</f>
        <v>0</v>
      </c>
      <c r="I4665" s="28">
        <f>I4659*Inputs!$D$23</f>
        <v>0</v>
      </c>
      <c r="J4665" s="28">
        <f>J4659*Inputs!$D$23</f>
        <v>0</v>
      </c>
      <c r="K4665" s="28">
        <f>K4659*Inputs!$D$23</f>
        <v>0</v>
      </c>
      <c r="L4665" s="28">
        <f>L4659*Inputs!$D$23</f>
        <v>0</v>
      </c>
      <c r="M4665" s="28">
        <f>M4659*Inputs!$D$23</f>
        <v>0</v>
      </c>
    </row>
    <row r="4666" spans="1:13" ht="15" customHeight="1" x14ac:dyDescent="0.2">
      <c r="B4666" s="3" t="s">
        <v>901</v>
      </c>
      <c r="C4666" s="10" t="s">
        <v>896</v>
      </c>
      <c r="D4666" s="28">
        <f>(D4661*$D$4679*(Inputs!$D$7-Inputs!$D$19)-D4665)/(Inputs!$D$7+$D$4680)^D4654</f>
        <v>67.361764076638423</v>
      </c>
      <c r="E4666" s="28">
        <f>(E4661*$D$4679*(Inputs!$D$7-Inputs!$D$19)-E4665)/(Inputs!$D$7+$D$4680)^E4654</f>
        <v>280.29529652215348</v>
      </c>
      <c r="F4666" s="28">
        <f>(F4661*$D$4679*(Inputs!$D$7-Inputs!$D$19)-F4665)/(Inputs!$D$7+$D$4680)^F4654</f>
        <v>434.1683252988114</v>
      </c>
      <c r="G4666" s="28">
        <f>(G4661*$D$4679*(Inputs!$D$7-Inputs!$D$19)-G4665)/(Inputs!$D$7+$D$4680)^G4654</f>
        <v>471.61166655007548</v>
      </c>
      <c r="H4666" s="28">
        <f>(H4661*$D$4679*(Inputs!$D$7-Inputs!$D$19)-H4665)/(Inputs!$D$7+$D$4680)^H4654</f>
        <v>428.76584885109446</v>
      </c>
      <c r="I4666" s="28">
        <f>(I4661*$D$4679*(Inputs!$D$7-Inputs!$D$19)-I4665)/(Inputs!$D$7+$D$4680)^I4654</f>
        <v>389.71085801561958</v>
      </c>
      <c r="J4666" s="28">
        <f>(J4661*$D$4679*(Inputs!$D$7-Inputs!$D$19)-J4665)/(Inputs!$D$7+$D$4680)^J4654</f>
        <v>354.30571102255266</v>
      </c>
      <c r="K4666" s="28">
        <f>(K4661*$D$4679*(Inputs!$D$7-Inputs!$D$19)-K4665)/(Inputs!$D$7+$D$4680)^K4654</f>
        <v>322.1171139608465</v>
      </c>
      <c r="L4666" s="28">
        <f>(L4661*$D$4679*(Inputs!$D$7-Inputs!$D$19)-L4665)/(Inputs!$D$7+$D$4680)^L4654</f>
        <v>292.85284396632358</v>
      </c>
      <c r="M4666" s="28">
        <f>(M4661*$D$4679*(Inputs!$D$7-Inputs!$D$19)-M4665)/(Inputs!$D$7+$D$4680)^M4654</f>
        <v>266.1777597265347</v>
      </c>
    </row>
    <row r="4667" spans="1:13" ht="15" customHeight="1" x14ac:dyDescent="0.2">
      <c r="B4667" s="10" t="s">
        <v>902</v>
      </c>
      <c r="C4667" s="10" t="s">
        <v>110</v>
      </c>
      <c r="D4667" s="16">
        <f>(D4662*Inputs!$D$19-D4663-D4664)/(Inputs!$D$7+$D$4680)^D4654</f>
        <v>-25306.546745010444</v>
      </c>
      <c r="E4667" s="16">
        <f>(E4662*Inputs!$D$19-E4663-E4664)/(Inputs!$D$7+$D$4680)^E4654</f>
        <v>-28615.60531144682</v>
      </c>
      <c r="F4667" s="16">
        <f>(F4662*Inputs!$D$19-F4663-F4664)/(Inputs!$D$7+$D$4680)^F4654</f>
        <v>-17000.238641466985</v>
      </c>
      <c r="G4667" s="16">
        <f>(G4662*Inputs!$D$19-G4663-G4664)/(Inputs!$D$7+$D$4680)^G4654</f>
        <v>3022.3579656651286</v>
      </c>
      <c r="H4667" s="16">
        <f>(H4662*Inputs!$D$19-H4663-H4664)/(Inputs!$D$7+$D$4680)^H4654</f>
        <v>-12627.562284413363</v>
      </c>
      <c r="I4667" s="16">
        <f>(I4662*Inputs!$D$19-I4663-I4664)/(Inputs!$D$7+$D$4680)^I4654</f>
        <v>-16645.587691965891</v>
      </c>
      <c r="J4667" s="16">
        <f>(J4662*Inputs!$D$19-J4663-J4664)/(Inputs!$D$7+$D$4680)^J4654</f>
        <v>-10434.640365246118</v>
      </c>
      <c r="K4667" s="16">
        <f>(K4662*Inputs!$D$19-K4663-K4664)/(Inputs!$D$7+$D$4680)^K4654</f>
        <v>2064.3111574790846</v>
      </c>
      <c r="L4667" s="16">
        <f>(L4662*Inputs!$D$19-L4663-L4664)/(Inputs!$D$7+$D$4680)^L4654</f>
        <v>-8624.7949487148144</v>
      </c>
      <c r="M4667" s="16">
        <f>(M4662*Inputs!$D$19-M4663-M4664)/(Inputs!$D$7+$D$4680)^M4654</f>
        <v>-11369.160366071912</v>
      </c>
    </row>
    <row r="4668" spans="1:13" ht="15" customHeight="1" x14ac:dyDescent="0.2">
      <c r="B4668" s="10" t="s">
        <v>903</v>
      </c>
      <c r="C4668" s="10" t="s">
        <v>110</v>
      </c>
      <c r="D4668" s="16">
        <f t="shared" ref="D4668:M4668" si="1015">D4661*$D$4678</f>
        <v>7520.1484266893431</v>
      </c>
      <c r="E4668" s="16">
        <f t="shared" si="1015"/>
        <v>31032.454580666868</v>
      </c>
      <c r="F4668" s="16">
        <f t="shared" si="1015"/>
        <v>51541.023288351818</v>
      </c>
      <c r="G4668" s="16">
        <f t="shared" si="1015"/>
        <v>60330.409877359649</v>
      </c>
      <c r="H4668" s="16">
        <f t="shared" si="1015"/>
        <v>60330.409877359649</v>
      </c>
      <c r="I4668" s="16">
        <f t="shared" si="1015"/>
        <v>60330.409877359649</v>
      </c>
      <c r="J4668" s="16">
        <f t="shared" si="1015"/>
        <v>60330.409877359649</v>
      </c>
      <c r="K4668" s="16">
        <f t="shared" si="1015"/>
        <v>60330.409877359649</v>
      </c>
      <c r="L4668" s="16">
        <f t="shared" si="1015"/>
        <v>60330.409877359649</v>
      </c>
      <c r="M4668" s="16">
        <f t="shared" si="1015"/>
        <v>60330.409877359649</v>
      </c>
    </row>
    <row r="4669" spans="1:13" ht="15" customHeight="1" x14ac:dyDescent="0.2">
      <c r="B4669" s="10" t="s">
        <v>904</v>
      </c>
      <c r="C4669" s="10" t="s">
        <v>110</v>
      </c>
      <c r="D4669" s="16">
        <f t="shared" ref="D4669:M4669" si="1016">D4668*$D$4679</f>
        <v>4512.0890560136058</v>
      </c>
      <c r="E4669" s="16">
        <f t="shared" si="1016"/>
        <v>18619.47274840012</v>
      </c>
      <c r="F4669" s="16">
        <f t="shared" si="1016"/>
        <v>30924.613973011088</v>
      </c>
      <c r="G4669" s="16">
        <f t="shared" si="1016"/>
        <v>36198.245926415788</v>
      </c>
      <c r="H4669" s="16">
        <f t="shared" si="1016"/>
        <v>36198.245926415788</v>
      </c>
      <c r="I4669" s="16">
        <f t="shared" si="1016"/>
        <v>36198.245926415788</v>
      </c>
      <c r="J4669" s="16">
        <f t="shared" si="1016"/>
        <v>36198.245926415788</v>
      </c>
      <c r="K4669" s="16">
        <f t="shared" si="1016"/>
        <v>36198.245926415788</v>
      </c>
      <c r="L4669" s="16">
        <f t="shared" si="1016"/>
        <v>36198.245926415788</v>
      </c>
      <c r="M4669" s="16">
        <f t="shared" si="1016"/>
        <v>36198.245926415788</v>
      </c>
    </row>
    <row r="4670" spans="1:13" ht="15" customHeight="1" x14ac:dyDescent="0.2">
      <c r="B4670" s="10" t="s">
        <v>905</v>
      </c>
      <c r="C4670" s="10" t="s">
        <v>110</v>
      </c>
      <c r="D4670" s="16">
        <f t="shared" ref="D4670:M4670" si="1017">D4669-D4662</f>
        <v>1626.6360801743763</v>
      </c>
      <c r="E4670" s="16">
        <f t="shared" si="1017"/>
        <v>6712.435368713579</v>
      </c>
      <c r="F4670" s="16">
        <f t="shared" si="1017"/>
        <v>11148.515073504972</v>
      </c>
      <c r="G4670" s="16">
        <f t="shared" si="1017"/>
        <v>13049.692089844139</v>
      </c>
      <c r="H4670" s="16">
        <f t="shared" si="1017"/>
        <v>13049.692089844139</v>
      </c>
      <c r="I4670" s="16">
        <f t="shared" si="1017"/>
        <v>13049.692089844139</v>
      </c>
      <c r="J4670" s="16">
        <f t="shared" si="1017"/>
        <v>13049.692089844139</v>
      </c>
      <c r="K4670" s="16">
        <f t="shared" si="1017"/>
        <v>13049.692089844139</v>
      </c>
      <c r="L4670" s="16">
        <f t="shared" si="1017"/>
        <v>13049.692089844139</v>
      </c>
      <c r="M4670" s="16">
        <f t="shared" si="1017"/>
        <v>13049.692089844139</v>
      </c>
    </row>
    <row r="4671" spans="1:13" ht="15" customHeight="1" x14ac:dyDescent="0.2">
      <c r="B4671" s="10" t="s">
        <v>906</v>
      </c>
      <c r="C4671" s="10" t="s">
        <v>110</v>
      </c>
      <c r="D4671" s="16">
        <f>MAX(D4670,Inputs!$D$6)*Inputs!$D$19</f>
        <v>487.99082405231286</v>
      </c>
      <c r="E4671" s="16">
        <f>MAX(E4670,Inputs!$D$6)*Inputs!$D$19</f>
        <v>2013.7306106140736</v>
      </c>
      <c r="F4671" s="16">
        <f>MAX(F4670,Inputs!$D$6)*Inputs!$D$19</f>
        <v>3344.5545220514914</v>
      </c>
      <c r="G4671" s="16">
        <f>MAX(G4670,Inputs!$D$6)*Inputs!$D$19</f>
        <v>3914.9076269532416</v>
      </c>
      <c r="H4671" s="16">
        <f>MAX(H4670,Inputs!$D$6)*Inputs!$D$19</f>
        <v>3914.9076269532416</v>
      </c>
      <c r="I4671" s="16">
        <f>MAX(I4670,Inputs!$D$6)*Inputs!$D$19</f>
        <v>3914.9076269532416</v>
      </c>
      <c r="J4671" s="16">
        <f>MAX(J4670,Inputs!$D$6)*Inputs!$D$19</f>
        <v>3914.9076269532416</v>
      </c>
      <c r="K4671" s="16">
        <f>MAX(K4670,Inputs!$D$6)*Inputs!$D$19</f>
        <v>3914.9076269532416</v>
      </c>
      <c r="L4671" s="16">
        <f>MAX(L4670,Inputs!$D$6)*Inputs!$D$19</f>
        <v>3914.9076269532416</v>
      </c>
      <c r="M4671" s="16">
        <f>MAX(M4670,Inputs!$D$6)*Inputs!$D$19</f>
        <v>3914.9076269532416</v>
      </c>
    </row>
    <row r="4672" spans="1:13" ht="15" customHeight="1" x14ac:dyDescent="0.2">
      <c r="B4672" s="10" t="s">
        <v>907</v>
      </c>
      <c r="C4672" s="10" t="s">
        <v>110</v>
      </c>
      <c r="D4672" s="16">
        <f t="shared" ref="D4672:M4672" si="1018">D4665*$D$4678</f>
        <v>439.46932945039174</v>
      </c>
      <c r="E4672" s="16">
        <f t="shared" si="1018"/>
        <v>585.95910593385554</v>
      </c>
      <c r="F4672" s="16">
        <f t="shared" si="1018"/>
        <v>439.46932945039174</v>
      </c>
      <c r="G4672" s="16">
        <f t="shared" si="1018"/>
        <v>0</v>
      </c>
      <c r="H4672" s="16">
        <f t="shared" si="1018"/>
        <v>0</v>
      </c>
      <c r="I4672" s="16">
        <f t="shared" si="1018"/>
        <v>0</v>
      </c>
      <c r="J4672" s="16">
        <f t="shared" si="1018"/>
        <v>0</v>
      </c>
      <c r="K4672" s="16">
        <f t="shared" si="1018"/>
        <v>0</v>
      </c>
      <c r="L4672" s="16">
        <f t="shared" si="1018"/>
        <v>0</v>
      </c>
      <c r="M4672" s="16">
        <f t="shared" si="1018"/>
        <v>0</v>
      </c>
    </row>
    <row r="4673" spans="2:13" ht="15" customHeight="1" x14ac:dyDescent="0.2">
      <c r="B4673" s="10" t="s">
        <v>908</v>
      </c>
      <c r="C4673" s="10" t="s">
        <v>110</v>
      </c>
      <c r="D4673" s="16">
        <f t="shared" ref="D4673:M4673" si="1019">D4669-D4671-D4663-D4664-D4672</f>
        <v>-24371.145936456873</v>
      </c>
      <c r="E4673" s="16">
        <f t="shared" si="1019"/>
        <v>-21254.583420104835</v>
      </c>
      <c r="F4673" s="16">
        <f t="shared" si="1019"/>
        <v>-815.18471745856687</v>
      </c>
      <c r="G4673" s="16">
        <f t="shared" si="1019"/>
        <v>29645.333450895374</v>
      </c>
      <c r="H4673" s="16">
        <f t="shared" si="1019"/>
        <v>5547.7326385491688</v>
      </c>
      <c r="I4673" s="16">
        <f t="shared" si="1019"/>
        <v>-3364.1359150886165</v>
      </c>
      <c r="J4673" s="16">
        <f t="shared" si="1019"/>
        <v>5547.7326385491688</v>
      </c>
      <c r="K4673" s="16">
        <f t="shared" si="1019"/>
        <v>29645.333450895374</v>
      </c>
      <c r="L4673" s="16">
        <f t="shared" si="1019"/>
        <v>5547.7326385491688</v>
      </c>
      <c r="M4673" s="16">
        <f t="shared" si="1019"/>
        <v>-3364.1359150886165</v>
      </c>
    </row>
    <row r="4674" spans="2:13" ht="15" customHeight="1" x14ac:dyDescent="0.2">
      <c r="B4674" s="10" t="s">
        <v>909</v>
      </c>
      <c r="C4674" s="10" t="s">
        <v>110</v>
      </c>
      <c r="D4674" s="16">
        <f>D4673/(Inputs!$D$7+$D$4680)^D4654</f>
        <v>-22766.569972006946</v>
      </c>
      <c r="E4674" s="16">
        <f>E4673/(Inputs!$D$7+$D$4680)^E4654</f>
        <v>-18046.648982773335</v>
      </c>
      <c r="F4674" s="16">
        <f>F4673/(Inputs!$D$7+$D$4680)^F4654</f>
        <v>-629.26800331441711</v>
      </c>
      <c r="G4674" s="16">
        <f>G4673/(Inputs!$D$7+$D$4680)^G4654</f>
        <v>20805.186181859328</v>
      </c>
      <c r="H4674" s="16">
        <f>H4673/(Inputs!$D$7+$D$4680)^H4654</f>
        <v>3539.6998422119887</v>
      </c>
      <c r="I4674" s="16">
        <f>I4673/(Inputs!$D$7+$D$4680)^I4654</f>
        <v>-1950.9528183784914</v>
      </c>
      <c r="J4674" s="16">
        <f>J4673/(Inputs!$D$7+$D$4680)^J4654</f>
        <v>2924.9901146788475</v>
      </c>
      <c r="K4674" s="16">
        <f>K4673/(Inputs!$D$7+$D$4680)^K4654</f>
        <v>14210.222103585356</v>
      </c>
      <c r="L4674" s="16">
        <f>L4673/(Inputs!$D$7+$D$4680)^L4654</f>
        <v>2417.6626201844056</v>
      </c>
      <c r="M4674" s="16">
        <f>M4673/(Inputs!$D$7+$D$4680)^M4654</f>
        <v>-1332.5270257349164</v>
      </c>
    </row>
    <row r="4675" spans="2:13" ht="15" customHeight="1" x14ac:dyDescent="0.2">
      <c r="B4675" s="3" t="s">
        <v>910</v>
      </c>
      <c r="C4675" s="10" t="s">
        <v>896</v>
      </c>
      <c r="D4675" s="28">
        <f>(D4661*$D$4679-D4665)/(Inputs!$D$7+$D$4680)^D4654</f>
        <v>100.89722489537324</v>
      </c>
      <c r="E4675" s="28">
        <f>(E4661*$D$4679-E4665)/(Inputs!$D$7+$D$4680)^E4654</f>
        <v>406.07666459070981</v>
      </c>
      <c r="F4675" s="28">
        <f>(F4661*$D$4679-F4665)/(Inputs!$D$7+$D$4680)^F4654</f>
        <v>624.09627016286015</v>
      </c>
      <c r="G4675" s="28">
        <f>(G4661*$D$4679-G4665)/(Inputs!$D$7+$D$4680)^G4654</f>
        <v>673.73095221439348</v>
      </c>
      <c r="H4675" s="28">
        <f>(H4661*$D$4679-H4665)/(Inputs!$D$7+$D$4680)^H4654</f>
        <v>612.52264121584926</v>
      </c>
      <c r="I4675" s="28">
        <f>(I4661*$D$4679-I4665)/(Inputs!$D$7+$D$4680)^I4654</f>
        <v>556.72979716517079</v>
      </c>
      <c r="J4675" s="28">
        <f>(J4661*$D$4679-J4665)/(Inputs!$D$7+$D$4680)^J4654</f>
        <v>506.15101574650379</v>
      </c>
      <c r="K4675" s="28">
        <f>(K4661*$D$4679-K4665)/(Inputs!$D$7+$D$4680)^K4654</f>
        <v>460.16730565835212</v>
      </c>
      <c r="L4675" s="28">
        <f>(L4661*$D$4679-L4665)/(Inputs!$D$7+$D$4680)^L4654</f>
        <v>418.36120566617655</v>
      </c>
      <c r="M4675" s="28">
        <f>(M4661*$D$4679-M4665)/(Inputs!$D$7+$D$4680)^M4654</f>
        <v>380.25394246647818</v>
      </c>
    </row>
    <row r="4676" spans="2:13" ht="15" customHeight="1" x14ac:dyDescent="0.2">
      <c r="B4676" s="10" t="s">
        <v>911</v>
      </c>
      <c r="C4676" s="10" t="s">
        <v>110</v>
      </c>
      <c r="D4676" s="16">
        <f>(-D4663-D4664)/(Inputs!$D$7+$D$4680)^D4654</f>
        <v>-26115.189891048693</v>
      </c>
      <c r="E4676" s="16">
        <f>(-E4663-E4664)/(Inputs!$D$7+$D$4680)^E4654</f>
        <v>-31648.581113918288</v>
      </c>
      <c r="F4676" s="16">
        <f>(-F4663-F4664)/(Inputs!$D$7+$D$4680)^F4654</f>
        <v>-21579.985783919947</v>
      </c>
      <c r="G4676" s="16">
        <f>(-G4663-G4664)/(Inputs!$D$7+$D$4680)^G4654</f>
        <v>-1851.359915178487</v>
      </c>
      <c r="H4676" s="16">
        <f>(-H4663-H4664)/(Inputs!$D$7+$D$4680)^H4654</f>
        <v>-17058.50395200841</v>
      </c>
      <c r="I4676" s="16">
        <f>(-I4663-I4664)/(Inputs!$D$7+$D$4680)^I4654</f>
        <v>-20672.92821762263</v>
      </c>
      <c r="J4676" s="16">
        <f>(-J4663-J4664)/(Inputs!$D$7+$D$4680)^J4654</f>
        <v>-14096.097876947169</v>
      </c>
      <c r="K4676" s="16">
        <f>(-K4663-K4664)/(Inputs!$D$7+$D$4680)^K4654</f>
        <v>-1264.5037327904422</v>
      </c>
      <c r="L4676" s="16">
        <f>(-L4663-L4664)/(Inputs!$D$7+$D$4680)^L4654</f>
        <v>-11651.187727619976</v>
      </c>
      <c r="M4676" s="16">
        <f>(-M4663-M4664)/(Inputs!$D$7+$D$4680)^M4654</f>
        <v>-14119.888134432502</v>
      </c>
    </row>
    <row r="4677" spans="2:13" ht="15" customHeight="1" x14ac:dyDescent="0.2">
      <c r="B4677" s="10" t="s">
        <v>912</v>
      </c>
      <c r="C4677" s="10" t="s">
        <v>110</v>
      </c>
      <c r="D4677" s="16">
        <f>Prices!I7</f>
        <v>35754.545454545456</v>
      </c>
    </row>
    <row r="4678" spans="2:13" ht="15" customHeight="1" x14ac:dyDescent="0.2">
      <c r="B4678" s="3" t="s">
        <v>913</v>
      </c>
      <c r="C4678" s="10" t="s">
        <v>914</v>
      </c>
      <c r="D4678" s="28">
        <f>IF(J4685&gt;=J4681,J4685,(D4677-J4684)/J4683)</f>
        <v>37.70650617334978</v>
      </c>
      <c r="G4678" s="99" t="s">
        <v>915</v>
      </c>
      <c r="H4678" s="91"/>
      <c r="I4678" s="91"/>
      <c r="J4678" s="28">
        <f>D4678*Inputs!$D$15</f>
        <v>26.315370658380811</v>
      </c>
      <c r="K4678" s="99" t="s">
        <v>916</v>
      </c>
      <c r="L4678" s="91"/>
      <c r="M4678" s="91"/>
    </row>
    <row r="4679" spans="2:13" ht="15" customHeight="1" x14ac:dyDescent="0.2">
      <c r="B4679" s="10" t="s">
        <v>917</v>
      </c>
      <c r="C4679" s="10" t="s">
        <v>104</v>
      </c>
      <c r="D4679" s="30">
        <f>Inputs!$D$81</f>
        <v>0.6</v>
      </c>
      <c r="G4679" s="99" t="s">
        <v>918</v>
      </c>
      <c r="H4679" s="91"/>
      <c r="I4679" s="91"/>
      <c r="J4679" s="28">
        <f>IF(-D4690/D4689&gt;=J4681,-D4690/D4689,-J4684/J4683)</f>
        <v>32.55444198319757</v>
      </c>
      <c r="K4679" s="99" t="s">
        <v>919</v>
      </c>
      <c r="L4679" s="91"/>
      <c r="M4679" s="91"/>
    </row>
    <row r="4680" spans="2:13" ht="15" customHeight="1" x14ac:dyDescent="0.2">
      <c r="B4680" s="10" t="s">
        <v>920</v>
      </c>
      <c r="C4680" s="10" t="s">
        <v>104</v>
      </c>
      <c r="D4680" s="30">
        <f>Inputs!$D$82</f>
        <v>0.1</v>
      </c>
      <c r="G4680" s="99" t="s">
        <v>918</v>
      </c>
      <c r="H4680" s="91"/>
      <c r="I4680" s="91"/>
      <c r="J4680" s="28">
        <f>J4679*Inputs!$D$15</f>
        <v>22.719745060073585</v>
      </c>
      <c r="K4680" s="99" t="s">
        <v>916</v>
      </c>
      <c r="L4680" s="91"/>
      <c r="M4680" s="91"/>
    </row>
    <row r="4681" spans="2:13" ht="15" customHeight="1" x14ac:dyDescent="0.2">
      <c r="B4681" s="3" t="s">
        <v>921</v>
      </c>
      <c r="C4681" s="10" t="s">
        <v>848</v>
      </c>
      <c r="D4681" s="28">
        <f>Capital!$D$13</f>
        <v>57.347931490590682</v>
      </c>
      <c r="G4681" s="99" t="s">
        <v>922</v>
      </c>
      <c r="H4681" s="91"/>
      <c r="I4681" s="91"/>
      <c r="J4681" s="28">
        <f>($D$4681/Inputs!$D$21+$D$4682/Inputs!$D$22)/$D$4679</f>
        <v>24.113076913095469</v>
      </c>
      <c r="K4681" s="99" t="s">
        <v>919</v>
      </c>
      <c r="L4681" s="91"/>
      <c r="M4681" s="91"/>
    </row>
    <row r="4682" spans="2:13" ht="15" customHeight="1" x14ac:dyDescent="0.2">
      <c r="B4682" s="3" t="s">
        <v>923</v>
      </c>
      <c r="C4682" s="10" t="s">
        <v>848</v>
      </c>
      <c r="D4682" s="28">
        <f>Capital!$D$14</f>
        <v>2.6172655041921802</v>
      </c>
    </row>
    <row r="4683" spans="2:13" ht="15" customHeight="1" x14ac:dyDescent="0.2">
      <c r="B4683" s="10" t="s">
        <v>924</v>
      </c>
      <c r="C4683" s="10" t="s">
        <v>896</v>
      </c>
      <c r="D4683" s="28">
        <f>(M4656*(Inputs!$D$7+Inputs!$D$20)*$D$4679*(Inputs!$D$7-Inputs!$D$19)-M4656*Inputs!$D$20*Inputs!$D$23)/($D$4680-Inputs!$D$20)/(Inputs!$D$7+$D$4680)^M4654</f>
        <v>3632.4814115061608</v>
      </c>
      <c r="G4683" s="92" t="s">
        <v>910</v>
      </c>
      <c r="H4683" s="91"/>
      <c r="I4683" s="91"/>
      <c r="J4683" s="28">
        <f>SUM(D4675:M4675)+(M4656*(Inputs!$D$7+Inputs!$D$20)*$D$4679-M4656*Inputs!$D$20*Inputs!$D$23)/($D$4680-Inputs!$D$20)/(Inputs!$D$7+$D$4680)^M4654</f>
        <v>9930.5095954005883</v>
      </c>
      <c r="K4683" s="99" t="s">
        <v>896</v>
      </c>
      <c r="L4683" s="91"/>
      <c r="M4683" s="91"/>
    </row>
    <row r="4684" spans="2:13" ht="15" customHeight="1" x14ac:dyDescent="0.2">
      <c r="B4684" s="10" t="s">
        <v>925</v>
      </c>
      <c r="C4684" s="10" t="s">
        <v>110</v>
      </c>
      <c r="D4684" s="16">
        <f>(D4687*Inputs!$D$19-D4687-D4688)/($D$4680-Inputs!$D$20)/(Inputs!$D$7+$D$4680)^M4654</f>
        <v>-100385.43137330168</v>
      </c>
      <c r="G4684" s="92" t="s">
        <v>926</v>
      </c>
      <c r="H4684" s="91"/>
      <c r="I4684" s="91"/>
      <c r="J4684" s="16">
        <f>SUM(D4676:M4676)-(D4687+D4688)/($D$4680-Inputs!$D$20)/(Inputs!$D$7+$D$4680)^M4654</f>
        <v>-298036.93721971626</v>
      </c>
      <c r="K4684" s="99" t="s">
        <v>110</v>
      </c>
      <c r="L4684" s="91"/>
      <c r="M4684" s="91"/>
    </row>
    <row r="4685" spans="2:13" ht="15" customHeight="1" x14ac:dyDescent="0.2">
      <c r="B4685" s="10" t="s">
        <v>927</v>
      </c>
      <c r="C4685" s="10" t="s">
        <v>928</v>
      </c>
      <c r="D4685" s="16">
        <f>(M4656*(Inputs!$D$7+Inputs!$D$20)*$D$4678*$D$4679-D4687)-MAX((M4656*(Inputs!$D$7+Inputs!$D$20)*$D$4678*$D$4679-D4687),Inputs!$D$6)*Inputs!$D$19-D4688-M4656*Inputs!$D$20*$D$4678*Inputs!$D$23</f>
        <v>6926.8396884985032</v>
      </c>
      <c r="G4685" s="99" t="s">
        <v>929</v>
      </c>
      <c r="H4685" s="91"/>
      <c r="I4685" s="91"/>
      <c r="J4685" s="28">
        <f>(D4677-D4690)/D4689</f>
        <v>37.70650617334978</v>
      </c>
      <c r="K4685" s="99" t="s">
        <v>919</v>
      </c>
      <c r="L4685" s="91"/>
      <c r="M4685" s="91"/>
    </row>
    <row r="4686" spans="2:13" ht="15" customHeight="1" x14ac:dyDescent="0.2">
      <c r="B4686" s="10" t="s">
        <v>930</v>
      </c>
      <c r="C4686" s="10" t="s">
        <v>110</v>
      </c>
      <c r="D4686" s="16">
        <f>D4685/($D$4680-Inputs!$D$20)</f>
        <v>92357.862513313361</v>
      </c>
      <c r="G4686" s="99" t="s">
        <v>931</v>
      </c>
      <c r="H4686" s="91"/>
      <c r="I4686" s="91"/>
      <c r="J4686" s="16">
        <f>MIN(D4670:M4670,(M4656*(Inputs!$D$7+Inputs!$D$20)*$D$4678*$D$4679-D4687))</f>
        <v>1626.6360801743763</v>
      </c>
      <c r="K4686" s="99" t="s">
        <v>110</v>
      </c>
      <c r="L4686" s="91"/>
      <c r="M4686" s="91"/>
    </row>
    <row r="4687" spans="2:13" ht="15" customHeight="1" x14ac:dyDescent="0.2">
      <c r="B4687" s="10" t="s">
        <v>932</v>
      </c>
      <c r="C4687" s="10" t="s">
        <v>928</v>
      </c>
      <c r="D4687" s="16">
        <f>M4656*(Inputs!$D$7+Inputs!$D$20)*($D$4681/Inputs!$D$21+$D$4682/Inputs!$D$22)</f>
        <v>23727.267682485937</v>
      </c>
      <c r="G4687" s="99" t="s">
        <v>933</v>
      </c>
      <c r="H4687" s="91"/>
      <c r="I4687" s="91"/>
      <c r="J4687" s="31" t="str">
        <f>IF(J4686&lt;Inputs!$D$6,"breached","satisfied")</f>
        <v>satisfied</v>
      </c>
      <c r="K4687" s="99" t="s">
        <v>934</v>
      </c>
      <c r="L4687" s="91"/>
      <c r="M4687" s="91"/>
    </row>
    <row r="4688" spans="2:13" ht="15" customHeight="1" x14ac:dyDescent="0.2">
      <c r="B4688" s="10" t="s">
        <v>935</v>
      </c>
      <c r="C4688" s="10" t="s">
        <v>928</v>
      </c>
      <c r="D4688" s="16">
        <f>M4656*Inputs!$D$20*($D$4681+$D$4682)</f>
        <v>2398.6078797913146</v>
      </c>
    </row>
    <row r="4689" spans="1:13" ht="15" customHeight="1" x14ac:dyDescent="0.2">
      <c r="B4689" s="10" t="s">
        <v>936</v>
      </c>
      <c r="C4689" s="10" t="s">
        <v>896</v>
      </c>
      <c r="D4689" s="28">
        <f>SUM(D4666:M4666)+D4683</f>
        <v>6939.8485994968105</v>
      </c>
      <c r="G4689" s="99" t="s">
        <v>937</v>
      </c>
      <c r="H4689" s="91"/>
      <c r="I4689" s="91"/>
      <c r="J4689" s="16">
        <f>D4691-D4677</f>
        <v>6.5483618527650833E-11</v>
      </c>
      <c r="K4689" s="99" t="s">
        <v>110</v>
      </c>
      <c r="L4689" s="91"/>
      <c r="M4689" s="91"/>
    </row>
    <row r="4690" spans="1:13" ht="15" customHeight="1" x14ac:dyDescent="0.2">
      <c r="B4690" s="10" t="s">
        <v>938</v>
      </c>
      <c r="C4690" s="10" t="s">
        <v>110</v>
      </c>
      <c r="D4690" s="16">
        <f>SUM(D4667:M4667)+D4684</f>
        <v>-225922.89860449382</v>
      </c>
    </row>
    <row r="4691" spans="1:13" ht="15" customHeight="1" x14ac:dyDescent="0.2">
      <c r="B4691" s="10" t="s">
        <v>939</v>
      </c>
      <c r="C4691" s="10" t="s">
        <v>110</v>
      </c>
      <c r="D4691" s="16">
        <f>SUM(D4674:M4674)+D4686/(Inputs!$D$7+$D$4680)^M4654</f>
        <v>35754.545454545521</v>
      </c>
    </row>
    <row r="4692" spans="1:13" ht="15" customHeight="1" x14ac:dyDescent="0.2">
      <c r="B4692" s="10" t="s">
        <v>940</v>
      </c>
      <c r="C4692" s="10" t="s">
        <v>104</v>
      </c>
      <c r="D4692" s="30">
        <f>IF(ABS(D4677)&gt;Inputs!$D$6,D4691/D4677-Inputs!$D$7,Inputs!$D$6)</f>
        <v>1.7763568394002505E-15</v>
      </c>
    </row>
    <row r="4693" spans="1:13" ht="15" customHeight="1" x14ac:dyDescent="0.2">
      <c r="B4693" s="10" t="s">
        <v>941</v>
      </c>
      <c r="C4693" s="10" t="s">
        <v>104</v>
      </c>
      <c r="D4693" s="30">
        <f>IF(ABS(D4691)&gt;Inputs!$D$119,D4686/(Inputs!$D$7+$D$4680)^M4654/D4691,Inputs!$D$6)</f>
        <v>1.0231636545552252</v>
      </c>
    </row>
    <row r="4694" spans="1:13" ht="15" customHeight="1" x14ac:dyDescent="0.2">
      <c r="B4694" s="10" t="s">
        <v>942</v>
      </c>
      <c r="C4694" s="10" t="s">
        <v>943</v>
      </c>
      <c r="D4694" s="26">
        <f>$D$4678*Inputs!$D$8/Prices!$P$6/(Inputs!$D$26/Inputs!$D$25)/Inputs!$D$11/Inputs!$D$56</f>
        <v>6.8570426819783243</v>
      </c>
    </row>
    <row r="4698" spans="1:13" ht="15" customHeight="1" x14ac:dyDescent="0.2">
      <c r="A4698" s="104" t="s">
        <v>1045</v>
      </c>
      <c r="B4698" s="10" t="s">
        <v>886</v>
      </c>
      <c r="C4698" s="10" t="s">
        <v>107</v>
      </c>
      <c r="D4698" s="28">
        <f>Inputs!$D$60</f>
        <v>1</v>
      </c>
      <c r="E4698" s="28">
        <f>Inputs!$D$62</f>
        <v>2</v>
      </c>
      <c r="F4698" s="28">
        <f>Inputs!$D$64</f>
        <v>3</v>
      </c>
      <c r="G4698" s="28">
        <f>Inputs!$D$66</f>
        <v>4</v>
      </c>
      <c r="H4698" s="28">
        <f>Inputs!$D$68</f>
        <v>5</v>
      </c>
      <c r="I4698" s="28">
        <f>Inputs!$D$70</f>
        <v>6</v>
      </c>
      <c r="J4698" s="28">
        <f>Inputs!$D$72</f>
        <v>7</v>
      </c>
      <c r="K4698" s="28">
        <f>Inputs!$D$74</f>
        <v>8</v>
      </c>
      <c r="L4698" s="28">
        <f>Inputs!$D$76</f>
        <v>9</v>
      </c>
      <c r="M4698" s="28">
        <f>Inputs!$D$78</f>
        <v>10</v>
      </c>
    </row>
    <row r="4699" spans="1:13" ht="15" customHeight="1" x14ac:dyDescent="0.2">
      <c r="A4699" s="91"/>
      <c r="B4699" s="10" t="s">
        <v>887</v>
      </c>
      <c r="C4699" s="10" t="s">
        <v>161</v>
      </c>
      <c r="D4699" s="29">
        <f>Inputs!$D$61</f>
        <v>46568</v>
      </c>
      <c r="E4699" s="29">
        <f>Inputs!$D$63</f>
        <v>46934</v>
      </c>
      <c r="F4699" s="29">
        <f>Inputs!$D$65</f>
        <v>47299</v>
      </c>
      <c r="G4699" s="29">
        <f>Inputs!$D$67</f>
        <v>47664</v>
      </c>
      <c r="H4699" s="29">
        <f>Inputs!$D$69</f>
        <v>48029</v>
      </c>
      <c r="I4699" s="29">
        <f>Inputs!$D$71</f>
        <v>48395</v>
      </c>
      <c r="J4699" s="29">
        <f>Inputs!$D$73</f>
        <v>48760</v>
      </c>
      <c r="K4699" s="29">
        <f>Inputs!$D$75</f>
        <v>49125</v>
      </c>
      <c r="L4699" s="29">
        <f>Inputs!$D$77</f>
        <v>49490</v>
      </c>
      <c r="M4699" s="29">
        <f>Inputs!$D$79</f>
        <v>49856</v>
      </c>
    </row>
    <row r="4700" spans="1:13" ht="15" customHeight="1" x14ac:dyDescent="0.2">
      <c r="A4700" s="91"/>
      <c r="B4700" s="10" t="s">
        <v>888</v>
      </c>
      <c r="C4700" s="10" t="s">
        <v>107</v>
      </c>
      <c r="D4700" s="28">
        <f>(D4699-Inputs!$D$13)/Inputs!$D$10</f>
        <v>0.71457905544147848</v>
      </c>
      <c r="E4700" s="28">
        <f>(E4699-Inputs!$D$13)/Inputs!$D$10</f>
        <v>1.7166324435318274</v>
      </c>
      <c r="F4700" s="28">
        <f>(F4699-Inputs!$D$13)/Inputs!$D$10</f>
        <v>2.7159479808350446</v>
      </c>
      <c r="G4700" s="28">
        <f>(G4699-Inputs!$D$13)/Inputs!$D$10</f>
        <v>3.7152635181382614</v>
      </c>
      <c r="H4700" s="28">
        <f>(H4699-Inputs!$D$13)/Inputs!$D$10</f>
        <v>4.7145790554414786</v>
      </c>
      <c r="I4700" s="28">
        <f>(I4699-Inputs!$D$13)/Inputs!$D$10</f>
        <v>5.7166324435318279</v>
      </c>
      <c r="J4700" s="28">
        <f>(J4699-Inputs!$D$13)/Inputs!$D$10</f>
        <v>6.7159479808350442</v>
      </c>
      <c r="K4700" s="28">
        <f>(K4699-Inputs!$D$13)/Inputs!$D$10</f>
        <v>7.7152635181382614</v>
      </c>
      <c r="L4700" s="28">
        <f>(L4699-Inputs!$D$13)/Inputs!$D$10</f>
        <v>8.7145790554414777</v>
      </c>
      <c r="M4700" s="28">
        <f>(M4699-Inputs!$D$13)/Inputs!$D$10</f>
        <v>9.716632443531827</v>
      </c>
    </row>
    <row r="4701" spans="1:13" ht="15" customHeight="1" x14ac:dyDescent="0.2">
      <c r="A4701" s="91"/>
      <c r="B4701" s="10" t="s">
        <v>889</v>
      </c>
      <c r="C4701" s="10" t="s">
        <v>107</v>
      </c>
      <c r="D4701" s="28">
        <f>D4700</f>
        <v>0.71457905544147848</v>
      </c>
      <c r="E4701" s="28">
        <f>Inputs!$D$7</f>
        <v>1</v>
      </c>
      <c r="F4701" s="28">
        <f>Inputs!$D$7</f>
        <v>1</v>
      </c>
      <c r="G4701" s="28">
        <f>Inputs!$D$7</f>
        <v>1</v>
      </c>
      <c r="H4701" s="28">
        <f>Inputs!$D$7</f>
        <v>1</v>
      </c>
      <c r="I4701" s="28">
        <f>Inputs!$D$7</f>
        <v>1</v>
      </c>
      <c r="J4701" s="28">
        <f>Inputs!$D$7</f>
        <v>1</v>
      </c>
      <c r="K4701" s="28">
        <f>Inputs!$D$7</f>
        <v>1</v>
      </c>
      <c r="L4701" s="28">
        <f>Inputs!$D$7</f>
        <v>1</v>
      </c>
      <c r="M4701" s="28">
        <f>Inputs!$D$7</f>
        <v>1</v>
      </c>
    </row>
    <row r="4702" spans="1:13" ht="15" customHeight="1" x14ac:dyDescent="0.2">
      <c r="A4702" s="91"/>
      <c r="B4702" s="3" t="s">
        <v>890</v>
      </c>
      <c r="C4702" s="10" t="s">
        <v>199</v>
      </c>
      <c r="D4702" s="28">
        <f>Inputs!$D$24+(Inputs!$D$80-Inputs!$D$24)*Inputs!$D$109</f>
        <v>115.2</v>
      </c>
      <c r="E4702" s="28">
        <f>Inputs!$D$24+(Inputs!$D$80-Inputs!$D$24)*Inputs!$D$110</f>
        <v>288.20000000000005</v>
      </c>
      <c r="F4702" s="28">
        <f>Inputs!$D$24+(Inputs!$D$80-Inputs!$D$24)*Inputs!$D$111</f>
        <v>478.5</v>
      </c>
      <c r="G4702" s="28">
        <f>Inputs!$D$24+(Inputs!$D$80-Inputs!$D$24)*Inputs!$D$112</f>
        <v>694.75</v>
      </c>
      <c r="H4702" s="28">
        <f>Inputs!$D$24+(Inputs!$D$80-Inputs!$D$24)*Inputs!$D$113</f>
        <v>911</v>
      </c>
      <c r="I4702" s="28">
        <f>Inputs!$D$24+(Inputs!$D$80-Inputs!$D$24)*Inputs!$D$114</f>
        <v>911</v>
      </c>
      <c r="J4702" s="28">
        <f>Inputs!$D$24+(Inputs!$D$80-Inputs!$D$24)*Inputs!$D$115</f>
        <v>911</v>
      </c>
      <c r="K4702" s="28">
        <f>Inputs!$D$24+(Inputs!$D$80-Inputs!$D$24)*Inputs!$D$116</f>
        <v>911</v>
      </c>
      <c r="L4702" s="28">
        <f>Inputs!$D$24+(Inputs!$D$80-Inputs!$D$24)*Inputs!$D$117</f>
        <v>911</v>
      </c>
      <c r="M4702" s="28">
        <f>Inputs!$D$24+(Inputs!$D$80-Inputs!$D$24)*Inputs!$D$118</f>
        <v>911</v>
      </c>
    </row>
    <row r="4703" spans="1:13" ht="15" customHeight="1" x14ac:dyDescent="0.2">
      <c r="A4703" s="91"/>
      <c r="B4703" s="10" t="s">
        <v>891</v>
      </c>
      <c r="C4703" s="10" t="s">
        <v>199</v>
      </c>
      <c r="D4703" s="28">
        <f>Inputs!$D$24</f>
        <v>46</v>
      </c>
      <c r="E4703" s="28">
        <f t="shared" ref="E4703:M4703" si="1020">D4702</f>
        <v>115.2</v>
      </c>
      <c r="F4703" s="28">
        <f t="shared" si="1020"/>
        <v>288.20000000000005</v>
      </c>
      <c r="G4703" s="28">
        <f t="shared" si="1020"/>
        <v>478.5</v>
      </c>
      <c r="H4703" s="28">
        <f t="shared" si="1020"/>
        <v>694.75</v>
      </c>
      <c r="I4703" s="28">
        <f t="shared" si="1020"/>
        <v>911</v>
      </c>
      <c r="J4703" s="28">
        <f t="shared" si="1020"/>
        <v>911</v>
      </c>
      <c r="K4703" s="28">
        <f t="shared" si="1020"/>
        <v>911</v>
      </c>
      <c r="L4703" s="28">
        <f t="shared" si="1020"/>
        <v>911</v>
      </c>
      <c r="M4703" s="28">
        <f t="shared" si="1020"/>
        <v>911</v>
      </c>
    </row>
    <row r="4704" spans="1:13" ht="15" customHeight="1" x14ac:dyDescent="0.2">
      <c r="B4704" s="10" t="s">
        <v>892</v>
      </c>
      <c r="C4704" s="10" t="s">
        <v>199</v>
      </c>
      <c r="D4704" s="28">
        <f>(D4703+D4702)*Inputs!$D$12</f>
        <v>80.599999999999994</v>
      </c>
      <c r="E4704" s="28">
        <f>(E4703+E4702)*Inputs!$D$12</f>
        <v>201.70000000000002</v>
      </c>
      <c r="F4704" s="28">
        <f>(F4703+F4702)*Inputs!$D$12</f>
        <v>383.35</v>
      </c>
      <c r="G4704" s="28">
        <f>(G4703+G4702)*Inputs!$D$12</f>
        <v>586.625</v>
      </c>
      <c r="H4704" s="28">
        <f>(H4703+H4702)*Inputs!$D$12</f>
        <v>802.875</v>
      </c>
      <c r="I4704" s="28">
        <f>(I4703+I4702)*Inputs!$D$12</f>
        <v>911</v>
      </c>
      <c r="J4704" s="28">
        <f>(J4703+J4702)*Inputs!$D$12</f>
        <v>911</v>
      </c>
      <c r="K4704" s="28">
        <f>(K4703+K4702)*Inputs!$D$12</f>
        <v>911</v>
      </c>
      <c r="L4704" s="28">
        <f>(L4703+L4702)*Inputs!$D$12</f>
        <v>911</v>
      </c>
      <c r="M4704" s="28">
        <f>(M4703+M4702)*Inputs!$D$12</f>
        <v>911</v>
      </c>
    </row>
    <row r="4705" spans="2:13" ht="15" customHeight="1" x14ac:dyDescent="0.2">
      <c r="B4705" s="10" t="s">
        <v>893</v>
      </c>
      <c r="C4705" s="10" t="s">
        <v>199</v>
      </c>
      <c r="D4705" s="28">
        <f t="shared" ref="D4705:M4705" si="1021">D4702-D4703</f>
        <v>69.2</v>
      </c>
      <c r="E4705" s="28">
        <f t="shared" si="1021"/>
        <v>173.00000000000006</v>
      </c>
      <c r="F4705" s="28">
        <f t="shared" si="1021"/>
        <v>190.29999999999995</v>
      </c>
      <c r="G4705" s="28">
        <f t="shared" si="1021"/>
        <v>216.25</v>
      </c>
      <c r="H4705" s="28">
        <f t="shared" si="1021"/>
        <v>216.25</v>
      </c>
      <c r="I4705" s="28">
        <f t="shared" si="1021"/>
        <v>0</v>
      </c>
      <c r="J4705" s="28">
        <f t="shared" si="1021"/>
        <v>0</v>
      </c>
      <c r="K4705" s="28">
        <f t="shared" si="1021"/>
        <v>0</v>
      </c>
      <c r="L4705" s="28">
        <f t="shared" si="1021"/>
        <v>0</v>
      </c>
      <c r="M4705" s="28">
        <f t="shared" si="1021"/>
        <v>0</v>
      </c>
    </row>
    <row r="4706" spans="2:13" ht="15" customHeight="1" x14ac:dyDescent="0.2">
      <c r="B4706" s="10" t="s">
        <v>894</v>
      </c>
      <c r="C4706" s="10" t="s">
        <v>199</v>
      </c>
      <c r="D4706" s="28">
        <f>IF(MOD(D4698,Inputs!$D$21)=Inputs!$D$6,Inputs!$D$24,Inputs!$D$6)+SUMPRODUCT(--(D4698&gt;$D$4698:$M$4698),--(MOD(D4698-$D$4698:$M$4698,Inputs!$D$21)=Inputs!$D$6),$D$4705:$M$4705)</f>
        <v>0</v>
      </c>
      <c r="E4706" s="28">
        <f>IF(MOD(E4698,Inputs!$D$21)=Inputs!$D$6,Inputs!$D$24,Inputs!$D$6)+SUMPRODUCT(--(E4698&gt;$D$4698:$M$4698),--(MOD(E4698-$D$4698:$M$4698,Inputs!$D$21)=Inputs!$D$6),$D$4705:$M$4705)</f>
        <v>0</v>
      </c>
      <c r="F4706" s="28">
        <f>IF(MOD(F4698,Inputs!$D$21)=Inputs!$D$6,Inputs!$D$24,Inputs!$D$6)+SUMPRODUCT(--(F4698&gt;$D$4698:$M$4698),--(MOD(F4698-$D$4698:$M$4698,Inputs!$D$21)=Inputs!$D$6),$D$4705:$M$4705)</f>
        <v>0</v>
      </c>
      <c r="G4706" s="28">
        <f>IF(MOD(G4698,Inputs!$D$21)=Inputs!$D$6,Inputs!$D$24,Inputs!$D$6)+SUMPRODUCT(--(G4698&gt;$D$4698:$M$4698),--(MOD(G4698-$D$4698:$M$4698,Inputs!$D$21)=Inputs!$D$6),$D$4705:$M$4705)</f>
        <v>46</v>
      </c>
      <c r="H4706" s="28">
        <f>IF(MOD(H4698,Inputs!$D$21)=Inputs!$D$6,Inputs!$D$24,Inputs!$D$6)+SUMPRODUCT(--(H4698&gt;$D$4698:$M$4698),--(MOD(H4698-$D$4698:$M$4698,Inputs!$D$21)=Inputs!$D$6),$D$4705:$M$4705)</f>
        <v>69.2</v>
      </c>
      <c r="I4706" s="28">
        <f>IF(MOD(I4698,Inputs!$D$21)=Inputs!$D$6,Inputs!$D$24,Inputs!$D$6)+SUMPRODUCT(--(I4698&gt;$D$4698:$M$4698),--(MOD(I4698-$D$4698:$M$4698,Inputs!$D$21)=Inputs!$D$6),$D$4705:$M$4705)</f>
        <v>173.00000000000006</v>
      </c>
      <c r="J4706" s="28">
        <f>IF(MOD(J4698,Inputs!$D$21)=Inputs!$D$6,Inputs!$D$24,Inputs!$D$6)+SUMPRODUCT(--(J4698&gt;$D$4698:$M$4698),--(MOD(J4698-$D$4698:$M$4698,Inputs!$D$21)=Inputs!$D$6),$D$4705:$M$4705)</f>
        <v>190.29999999999995</v>
      </c>
      <c r="K4706" s="28">
        <f>IF(MOD(K4698,Inputs!$D$21)=Inputs!$D$6,Inputs!$D$24,Inputs!$D$6)+SUMPRODUCT(--(K4698&gt;$D$4698:$M$4698),--(MOD(K4698-$D$4698:$M$4698,Inputs!$D$21)=Inputs!$D$6),$D$4705:$M$4705)</f>
        <v>262.25</v>
      </c>
      <c r="L4706" s="28">
        <f>IF(MOD(L4698,Inputs!$D$21)=Inputs!$D$6,Inputs!$D$24,Inputs!$D$6)+SUMPRODUCT(--(L4698&gt;$D$4698:$M$4698),--(MOD(L4698-$D$4698:$M$4698,Inputs!$D$21)=Inputs!$D$6),$D$4705:$M$4705)</f>
        <v>285.45</v>
      </c>
      <c r="M4706" s="28">
        <f>IF(MOD(M4698,Inputs!$D$21)=Inputs!$D$6,Inputs!$D$24,Inputs!$D$6)+SUMPRODUCT(--(M4698&gt;$D$4698:$M$4698),--(MOD(M4698-$D$4698:$M$4698,Inputs!$D$21)=Inputs!$D$6),$D$4705:$M$4705)</f>
        <v>173.00000000000006</v>
      </c>
    </row>
    <row r="4707" spans="2:13" ht="15" customHeight="1" x14ac:dyDescent="0.2">
      <c r="B4707" s="10" t="s">
        <v>895</v>
      </c>
      <c r="C4707" s="10" t="s">
        <v>896</v>
      </c>
      <c r="D4707" s="28">
        <f t="shared" ref="D4707:M4707" si="1022">D4704*D4701</f>
        <v>57.595071868583162</v>
      </c>
      <c r="E4707" s="28">
        <f t="shared" si="1022"/>
        <v>201.70000000000002</v>
      </c>
      <c r="F4707" s="28">
        <f t="shared" si="1022"/>
        <v>383.35</v>
      </c>
      <c r="G4707" s="28">
        <f t="shared" si="1022"/>
        <v>586.625</v>
      </c>
      <c r="H4707" s="28">
        <f t="shared" si="1022"/>
        <v>802.875</v>
      </c>
      <c r="I4707" s="28">
        <f t="shared" si="1022"/>
        <v>911</v>
      </c>
      <c r="J4707" s="28">
        <f t="shared" si="1022"/>
        <v>911</v>
      </c>
      <c r="K4707" s="28">
        <f t="shared" si="1022"/>
        <v>911</v>
      </c>
      <c r="L4707" s="28">
        <f t="shared" si="1022"/>
        <v>911</v>
      </c>
      <c r="M4707" s="28">
        <f t="shared" si="1022"/>
        <v>911</v>
      </c>
    </row>
    <row r="4708" spans="2:13" ht="15" customHeight="1" x14ac:dyDescent="0.2">
      <c r="B4708" s="10" t="s">
        <v>897</v>
      </c>
      <c r="C4708" s="10" t="s">
        <v>110</v>
      </c>
      <c r="D4708" s="16">
        <f>D4707*($D$4727/Inputs!$D$21+$D$4728/Inputs!$D$22)</f>
        <v>833.27663866944408</v>
      </c>
      <c r="E4708" s="16">
        <f>E4707*($D$4727/Inputs!$D$21+$D$4728/Inputs!$D$22)</f>
        <v>2918.1645680228135</v>
      </c>
      <c r="F4708" s="16">
        <f>F4707*($D$4727/Inputs!$D$21+$D$4728/Inputs!$D$22)</f>
        <v>5546.2488207810884</v>
      </c>
      <c r="G4708" s="16">
        <f>G4707*($D$4727/Inputs!$D$21+$D$4728/Inputs!$D$22)</f>
        <v>8487.2002464867765</v>
      </c>
      <c r="H4708" s="16">
        <f>H4707*($D$4727/Inputs!$D$21+$D$4728/Inputs!$D$22)</f>
        <v>11615.871975960914</v>
      </c>
      <c r="I4708" s="16">
        <f>I4707*($D$4727/Inputs!$D$21+$D$4728/Inputs!$D$22)</f>
        <v>13180.207840697982</v>
      </c>
      <c r="J4708" s="16">
        <f>J4707*($D$4727/Inputs!$D$21+$D$4728/Inputs!$D$22)</f>
        <v>13180.207840697982</v>
      </c>
      <c r="K4708" s="16">
        <f>K4707*($D$4727/Inputs!$D$21+$D$4728/Inputs!$D$22)</f>
        <v>13180.207840697982</v>
      </c>
      <c r="L4708" s="16">
        <f>L4707*($D$4727/Inputs!$D$21+$D$4728/Inputs!$D$22)</f>
        <v>13180.207840697982</v>
      </c>
      <c r="M4708" s="16">
        <f>M4707*($D$4727/Inputs!$D$21+$D$4728/Inputs!$D$22)</f>
        <v>13180.207840697982</v>
      </c>
    </row>
    <row r="4709" spans="2:13" ht="15" customHeight="1" x14ac:dyDescent="0.2">
      <c r="B4709" s="10" t="s">
        <v>898</v>
      </c>
      <c r="C4709" s="10" t="s">
        <v>110</v>
      </c>
      <c r="D4709" s="16">
        <f t="shared" ref="D4709:M4709" si="1023">D4705*($D$4727+$D$4728)</f>
        <v>4149.5916320389742</v>
      </c>
      <c r="E4709" s="16">
        <f t="shared" si="1023"/>
        <v>10373.979080097439</v>
      </c>
      <c r="F4709" s="16">
        <f t="shared" si="1023"/>
        <v>11411.376988107177</v>
      </c>
      <c r="G4709" s="16">
        <f t="shared" si="1023"/>
        <v>12967.473850121794</v>
      </c>
      <c r="H4709" s="16">
        <f t="shared" si="1023"/>
        <v>12967.473850121794</v>
      </c>
      <c r="I4709" s="16">
        <f t="shared" si="1023"/>
        <v>0</v>
      </c>
      <c r="J4709" s="16">
        <f t="shared" si="1023"/>
        <v>0</v>
      </c>
      <c r="K4709" s="16">
        <f t="shared" si="1023"/>
        <v>0</v>
      </c>
      <c r="L4709" s="16">
        <f t="shared" si="1023"/>
        <v>0</v>
      </c>
      <c r="M4709" s="16">
        <f t="shared" si="1023"/>
        <v>0</v>
      </c>
    </row>
    <row r="4710" spans="2:13" ht="15" customHeight="1" x14ac:dyDescent="0.2">
      <c r="B4710" s="10" t="s">
        <v>899</v>
      </c>
      <c r="C4710" s="10" t="s">
        <v>110</v>
      </c>
      <c r="D4710" s="16">
        <f t="shared" ref="D4710:M4710" si="1024">D4706*$D$4727</f>
        <v>0</v>
      </c>
      <c r="E4710" s="16">
        <f t="shared" si="1024"/>
        <v>0</v>
      </c>
      <c r="F4710" s="16">
        <f t="shared" si="1024"/>
        <v>0</v>
      </c>
      <c r="G4710" s="16">
        <f t="shared" si="1024"/>
        <v>2638.0048485671714</v>
      </c>
      <c r="H4710" s="16">
        <f t="shared" si="1024"/>
        <v>3968.4768591488755</v>
      </c>
      <c r="I4710" s="16">
        <f t="shared" si="1024"/>
        <v>9921.1921478721906</v>
      </c>
      <c r="J4710" s="16">
        <f t="shared" si="1024"/>
        <v>10913.311362659404</v>
      </c>
      <c r="K4710" s="16">
        <f t="shared" si="1024"/>
        <v>15039.495033407406</v>
      </c>
      <c r="L4710" s="16">
        <f t="shared" si="1024"/>
        <v>16369.967043989109</v>
      </c>
      <c r="M4710" s="16">
        <f t="shared" si="1024"/>
        <v>9921.1921478721906</v>
      </c>
    </row>
    <row r="4711" spans="2:13" ht="15" customHeight="1" x14ac:dyDescent="0.2">
      <c r="B4711" s="10" t="s">
        <v>900</v>
      </c>
      <c r="C4711" s="10" t="s">
        <v>199</v>
      </c>
      <c r="D4711" s="28">
        <f>D4705*Inputs!$D$23</f>
        <v>1.7300000000000002</v>
      </c>
      <c r="E4711" s="28">
        <f>E4705*Inputs!$D$23</f>
        <v>4.325000000000002</v>
      </c>
      <c r="F4711" s="28">
        <f>F4705*Inputs!$D$23</f>
        <v>4.7574999999999994</v>
      </c>
      <c r="G4711" s="28">
        <f>G4705*Inputs!$D$23</f>
        <v>5.40625</v>
      </c>
      <c r="H4711" s="28">
        <f>H4705*Inputs!$D$23</f>
        <v>5.40625</v>
      </c>
      <c r="I4711" s="28">
        <f>I4705*Inputs!$D$23</f>
        <v>0</v>
      </c>
      <c r="J4711" s="28">
        <f>J4705*Inputs!$D$23</f>
        <v>0</v>
      </c>
      <c r="K4711" s="28">
        <f>K4705*Inputs!$D$23</f>
        <v>0</v>
      </c>
      <c r="L4711" s="28">
        <f>L4705*Inputs!$D$23</f>
        <v>0</v>
      </c>
      <c r="M4711" s="28">
        <f>M4705*Inputs!$D$23</f>
        <v>0</v>
      </c>
    </row>
    <row r="4712" spans="2:13" ht="15" customHeight="1" x14ac:dyDescent="0.2">
      <c r="B4712" s="3" t="s">
        <v>901</v>
      </c>
      <c r="C4712" s="10" t="s">
        <v>896</v>
      </c>
      <c r="D4712" s="28">
        <f>(D4707*$D$4725*(Inputs!$D$7-Inputs!$D$19)-D4711)/(Inputs!$D$7+$D$4726)^D4700</f>
        <v>20.981187074746607</v>
      </c>
      <c r="E4712" s="28">
        <f>(E4707*$D$4725*(Inputs!$D$7-Inputs!$D$19)-E4711)/(Inputs!$D$7+$D$4726)^E4700</f>
        <v>68.255963262205867</v>
      </c>
      <c r="F4712" s="28">
        <f>(F4707*$D$4725*(Inputs!$D$7-Inputs!$D$19)-F4711)/(Inputs!$D$7+$D$4726)^F4700</f>
        <v>120.61414888935703</v>
      </c>
      <c r="G4712" s="28">
        <f>(G4707*$D$4725*(Inputs!$D$7-Inputs!$D$19)-G4711)/(Inputs!$D$7+$D$4726)^G4700</f>
        <v>169.11787330578514</v>
      </c>
      <c r="H4712" s="28">
        <f>(H4707*$D$4725*(Inputs!$D$7-Inputs!$D$19)-H4711)/(Inputs!$D$7+$D$4726)^H4700</f>
        <v>211.7039354257503</v>
      </c>
      <c r="I4712" s="28">
        <f>(I4707*$D$4725*(Inputs!$D$7-Inputs!$D$19)-I4711)/(Inputs!$D$7+$D$4726)^I4700</f>
        <v>221.8916197826434</v>
      </c>
      <c r="J4712" s="28">
        <f>(J4707*$D$4725*(Inputs!$D$7-Inputs!$D$19)-J4711)/(Inputs!$D$7+$D$4726)^J4700</f>
        <v>201.73281421346593</v>
      </c>
      <c r="K4712" s="28">
        <f>(K4707*$D$4725*(Inputs!$D$7-Inputs!$D$19)-K4711)/(Inputs!$D$7+$D$4726)^K4700</f>
        <v>183.40543176145695</v>
      </c>
      <c r="L4712" s="28">
        <f>(L4707*$D$4725*(Inputs!$D$7-Inputs!$D$19)-L4711)/(Inputs!$D$7+$D$4726)^L4700</f>
        <v>166.74308803332551</v>
      </c>
      <c r="M4712" s="28">
        <f>(M4707*$D$4725*(Inputs!$D$7-Inputs!$D$19)-M4711)/(Inputs!$D$7+$D$4726)^M4700</f>
        <v>151.55496194429571</v>
      </c>
    </row>
    <row r="4713" spans="2:13" ht="15" customHeight="1" x14ac:dyDescent="0.2">
      <c r="B4713" s="10" t="s">
        <v>902</v>
      </c>
      <c r="C4713" s="10" t="s">
        <v>110</v>
      </c>
      <c r="D4713" s="16">
        <f>(D4708*Inputs!$D$19-D4709-D4710)/(Inputs!$D$7+$D$4726)^D4700</f>
        <v>-3642.8616531802254</v>
      </c>
      <c r="E4713" s="16">
        <f>(E4708*Inputs!$D$19-E4709-E4710)/(Inputs!$D$7+$D$4726)^E4700</f>
        <v>-8064.925486193536</v>
      </c>
      <c r="F4713" s="16">
        <f>(F4708*Inputs!$D$19-F4709-F4710)/(Inputs!$D$7+$D$4726)^F4700</f>
        <v>-7524.4189502174931</v>
      </c>
      <c r="G4713" s="16">
        <f>(G4708*Inputs!$D$19-G4709-G4710)/(Inputs!$D$7+$D$4726)^G4700</f>
        <v>-9165.0699711658544</v>
      </c>
      <c r="H4713" s="16">
        <f>(H4708*Inputs!$D$19-H4709-H4710)/(Inputs!$D$7+$D$4726)^H4700</f>
        <v>-8582.4561303350856</v>
      </c>
      <c r="I4713" s="16">
        <f>(I4708*Inputs!$D$19-I4709-I4710)/(Inputs!$D$7+$D$4726)^I4700</f>
        <v>-3460.4989174974958</v>
      </c>
      <c r="J4713" s="16">
        <f>(J4708*Inputs!$D$19-J4709-J4710)/(Inputs!$D$7+$D$4726)^J4700</f>
        <v>-3669.1989119501291</v>
      </c>
      <c r="K4713" s="16">
        <f>(K4708*Inputs!$D$19-K4709-K4710)/(Inputs!$D$7+$D$4726)^K4700</f>
        <v>-5313.7017593374285</v>
      </c>
      <c r="L4713" s="16">
        <f>(L4708*Inputs!$D$19-L4709-L4710)/(Inputs!$D$7+$D$4726)^L4700</f>
        <v>-5410.7633919680211</v>
      </c>
      <c r="M4713" s="16">
        <f>(M4708*Inputs!$D$19-M4709-M4710)/(Inputs!$D$7+$D$4726)^M4700</f>
        <v>-2363.567322927051</v>
      </c>
    </row>
    <row r="4714" spans="2:13" ht="15" customHeight="1" x14ac:dyDescent="0.2">
      <c r="B4714" s="10" t="s">
        <v>903</v>
      </c>
      <c r="C4714" s="10" t="s">
        <v>110</v>
      </c>
      <c r="D4714" s="16">
        <f t="shared" ref="D4714:M4714" si="1025">D4707*$D$4724</f>
        <v>2642.3413300473198</v>
      </c>
      <c r="E4714" s="16">
        <f t="shared" si="1025"/>
        <v>9253.5737690651713</v>
      </c>
      <c r="F4714" s="16">
        <f t="shared" si="1025"/>
        <v>17587.295510020493</v>
      </c>
      <c r="G4714" s="16">
        <f t="shared" si="1025"/>
        <v>26913.126982041922</v>
      </c>
      <c r="H4714" s="16">
        <f t="shared" si="1025"/>
        <v>36834.224292703017</v>
      </c>
      <c r="I4714" s="16">
        <f t="shared" si="1025"/>
        <v>41794.772948033562</v>
      </c>
      <c r="J4714" s="16">
        <f t="shared" si="1025"/>
        <v>41794.772948033562</v>
      </c>
      <c r="K4714" s="16">
        <f t="shared" si="1025"/>
        <v>41794.772948033562</v>
      </c>
      <c r="L4714" s="16">
        <f t="shared" si="1025"/>
        <v>41794.772948033562</v>
      </c>
      <c r="M4714" s="16">
        <f t="shared" si="1025"/>
        <v>41794.772948033562</v>
      </c>
    </row>
    <row r="4715" spans="2:13" ht="15" customHeight="1" x14ac:dyDescent="0.2">
      <c r="B4715" s="10" t="s">
        <v>904</v>
      </c>
      <c r="C4715" s="10" t="s">
        <v>110</v>
      </c>
      <c r="D4715" s="16">
        <f t="shared" ref="D4715:M4715" si="1026">D4714*$D$4725</f>
        <v>1585.404798028392</v>
      </c>
      <c r="E4715" s="16">
        <f t="shared" si="1026"/>
        <v>5552.1442614391026</v>
      </c>
      <c r="F4715" s="16">
        <f t="shared" si="1026"/>
        <v>10552.377306012295</v>
      </c>
      <c r="G4715" s="16">
        <f t="shared" si="1026"/>
        <v>16147.876189225153</v>
      </c>
      <c r="H4715" s="16">
        <f t="shared" si="1026"/>
        <v>22100.534575621808</v>
      </c>
      <c r="I4715" s="16">
        <f t="shared" si="1026"/>
        <v>25076.863768820138</v>
      </c>
      <c r="J4715" s="16">
        <f t="shared" si="1026"/>
        <v>25076.863768820138</v>
      </c>
      <c r="K4715" s="16">
        <f t="shared" si="1026"/>
        <v>25076.863768820138</v>
      </c>
      <c r="L4715" s="16">
        <f t="shared" si="1026"/>
        <v>25076.863768820138</v>
      </c>
      <c r="M4715" s="16">
        <f t="shared" si="1026"/>
        <v>25076.863768820138</v>
      </c>
    </row>
    <row r="4716" spans="2:13" ht="15" customHeight="1" x14ac:dyDescent="0.2">
      <c r="B4716" s="10" t="s">
        <v>905</v>
      </c>
      <c r="C4716" s="10" t="s">
        <v>110</v>
      </c>
      <c r="D4716" s="16">
        <f t="shared" ref="D4716:M4716" si="1027">D4715-D4708</f>
        <v>752.12815935894787</v>
      </c>
      <c r="E4716" s="16">
        <f t="shared" si="1027"/>
        <v>2633.9796934162891</v>
      </c>
      <c r="F4716" s="16">
        <f t="shared" si="1027"/>
        <v>5006.1284852312065</v>
      </c>
      <c r="G4716" s="16">
        <f t="shared" si="1027"/>
        <v>7660.6759427383768</v>
      </c>
      <c r="H4716" s="16">
        <f t="shared" si="1027"/>
        <v>10484.662599660895</v>
      </c>
      <c r="I4716" s="16">
        <f t="shared" si="1027"/>
        <v>11896.655928122156</v>
      </c>
      <c r="J4716" s="16">
        <f t="shared" si="1027"/>
        <v>11896.655928122156</v>
      </c>
      <c r="K4716" s="16">
        <f t="shared" si="1027"/>
        <v>11896.655928122156</v>
      </c>
      <c r="L4716" s="16">
        <f t="shared" si="1027"/>
        <v>11896.655928122156</v>
      </c>
      <c r="M4716" s="16">
        <f t="shared" si="1027"/>
        <v>11896.655928122156</v>
      </c>
    </row>
    <row r="4717" spans="2:13" ht="15" customHeight="1" x14ac:dyDescent="0.2">
      <c r="B4717" s="10" t="s">
        <v>906</v>
      </c>
      <c r="C4717" s="10" t="s">
        <v>110</v>
      </c>
      <c r="D4717" s="16">
        <f>MAX(D4716,Inputs!$D$6)*Inputs!$D$19</f>
        <v>225.63844780768434</v>
      </c>
      <c r="E4717" s="16">
        <f>MAX(E4716,Inputs!$D$6)*Inputs!$D$19</f>
        <v>790.1939080248867</v>
      </c>
      <c r="F4717" s="16">
        <f>MAX(F4716,Inputs!$D$6)*Inputs!$D$19</f>
        <v>1501.8385455693619</v>
      </c>
      <c r="G4717" s="16">
        <f>MAX(G4716,Inputs!$D$6)*Inputs!$D$19</f>
        <v>2298.2027828215128</v>
      </c>
      <c r="H4717" s="16">
        <f>MAX(H4716,Inputs!$D$6)*Inputs!$D$19</f>
        <v>3145.3987798982685</v>
      </c>
      <c r="I4717" s="16">
        <f>MAX(I4716,Inputs!$D$6)*Inputs!$D$19</f>
        <v>3568.9967784366468</v>
      </c>
      <c r="J4717" s="16">
        <f>MAX(J4716,Inputs!$D$6)*Inputs!$D$19</f>
        <v>3568.9967784366468</v>
      </c>
      <c r="K4717" s="16">
        <f>MAX(K4716,Inputs!$D$6)*Inputs!$D$19</f>
        <v>3568.9967784366468</v>
      </c>
      <c r="L4717" s="16">
        <f>MAX(L4716,Inputs!$D$6)*Inputs!$D$19</f>
        <v>3568.9967784366468</v>
      </c>
      <c r="M4717" s="16">
        <f>MAX(M4716,Inputs!$D$6)*Inputs!$D$19</f>
        <v>3568.9967784366468</v>
      </c>
    </row>
    <row r="4718" spans="2:13" ht="15" customHeight="1" x14ac:dyDescent="0.2">
      <c r="B4718" s="10" t="s">
        <v>907</v>
      </c>
      <c r="C4718" s="10" t="s">
        <v>110</v>
      </c>
      <c r="D4718" s="16">
        <f t="shared" ref="D4718:M4718" si="1028">D4711*$D$4724</f>
        <v>79.368778485288772</v>
      </c>
      <c r="E4718" s="16">
        <f t="shared" si="1028"/>
        <v>198.42194621322201</v>
      </c>
      <c r="F4718" s="16">
        <f t="shared" si="1028"/>
        <v>218.26414083454407</v>
      </c>
      <c r="G4718" s="16">
        <f t="shared" si="1028"/>
        <v>248.0274327665274</v>
      </c>
      <c r="H4718" s="16">
        <f t="shared" si="1028"/>
        <v>248.0274327665274</v>
      </c>
      <c r="I4718" s="16">
        <f t="shared" si="1028"/>
        <v>0</v>
      </c>
      <c r="J4718" s="16">
        <f t="shared" si="1028"/>
        <v>0</v>
      </c>
      <c r="K4718" s="16">
        <f t="shared" si="1028"/>
        <v>0</v>
      </c>
      <c r="L4718" s="16">
        <f t="shared" si="1028"/>
        <v>0</v>
      </c>
      <c r="M4718" s="16">
        <f t="shared" si="1028"/>
        <v>0</v>
      </c>
    </row>
    <row r="4719" spans="2:13" ht="15" customHeight="1" x14ac:dyDescent="0.2">
      <c r="B4719" s="10" t="s">
        <v>908</v>
      </c>
      <c r="C4719" s="10" t="s">
        <v>110</v>
      </c>
      <c r="D4719" s="16">
        <f t="shared" ref="D4719:M4719" si="1029">D4715-D4717-D4709-D4710-D4718</f>
        <v>-2869.194060303555</v>
      </c>
      <c r="E4719" s="16">
        <f t="shared" si="1029"/>
        <v>-5810.4506728964452</v>
      </c>
      <c r="F4719" s="16">
        <f t="shared" si="1029"/>
        <v>-2579.1023684987881</v>
      </c>
      <c r="G4719" s="16">
        <f t="shared" si="1029"/>
        <v>-2003.8327250518523</v>
      </c>
      <c r="H4719" s="16">
        <f t="shared" si="1029"/>
        <v>1771.157653686344</v>
      </c>
      <c r="I4719" s="16">
        <f t="shared" si="1029"/>
        <v>11586.674842511302</v>
      </c>
      <c r="J4719" s="16">
        <f t="shared" si="1029"/>
        <v>10594.555627724088</v>
      </c>
      <c r="K4719" s="16">
        <f t="shared" si="1029"/>
        <v>6468.3719569760869</v>
      </c>
      <c r="L4719" s="16">
        <f t="shared" si="1029"/>
        <v>5137.8999463943837</v>
      </c>
      <c r="M4719" s="16">
        <f t="shared" si="1029"/>
        <v>11586.674842511302</v>
      </c>
    </row>
    <row r="4720" spans="2:13" ht="15" customHeight="1" x14ac:dyDescent="0.2">
      <c r="B4720" s="10" t="s">
        <v>909</v>
      </c>
      <c r="C4720" s="10" t="s">
        <v>110</v>
      </c>
      <c r="D4720" s="16">
        <f>D4719/(Inputs!$D$7+$D$4726)^D4700</f>
        <v>-2680.2887113918046</v>
      </c>
      <c r="E4720" s="16">
        <f>E4719/(Inputs!$D$7+$D$4726)^E4700</f>
        <v>-4933.484776102192</v>
      </c>
      <c r="F4720" s="16">
        <f>F4719/(Inputs!$D$7+$D$4726)^F4700</f>
        <v>-1990.8942881417615</v>
      </c>
      <c r="G4720" s="16">
        <f>G4719/(Inputs!$D$7+$D$4726)^G4700</f>
        <v>-1406.2959686745287</v>
      </c>
      <c r="H4720" s="16">
        <f>H4719/(Inputs!$D$7+$D$4726)^H4700</f>
        <v>1130.0772542141935</v>
      </c>
      <c r="I4720" s="16">
        <f>I4719/(Inputs!$D$7+$D$4726)^I4700</f>
        <v>6719.4240988438587</v>
      </c>
      <c r="J4720" s="16">
        <f>J4719/(Inputs!$D$7+$D$4726)^J4700</f>
        <v>5585.8803045368595</v>
      </c>
      <c r="K4720" s="16">
        <f>K4719/(Inputs!$D$7+$D$4726)^K4700</f>
        <v>3100.5555160809668</v>
      </c>
      <c r="L4720" s="16">
        <f>L4719/(Inputs!$D$7+$D$4726)^L4700</f>
        <v>2239.0604335059775</v>
      </c>
      <c r="M4720" s="16">
        <f>M4719/(Inputs!$D$7+$D$4726)^M4700</f>
        <v>4589.4570718146697</v>
      </c>
    </row>
    <row r="4721" spans="2:13" ht="15" customHeight="1" x14ac:dyDescent="0.2">
      <c r="B4721" s="3" t="s">
        <v>910</v>
      </c>
      <c r="C4721" s="10" t="s">
        <v>896</v>
      </c>
      <c r="D4721" s="28">
        <f>(D4707*$D$4725-D4711)/(Inputs!$D$7+$D$4726)^D4700</f>
        <v>30.665737923868878</v>
      </c>
      <c r="E4721" s="28">
        <f>(E4707*$D$4725-E4711)/(Inputs!$D$7+$D$4726)^E4700</f>
        <v>99.082332568922538</v>
      </c>
      <c r="F4721" s="28">
        <f>(F4707*$D$4725-F4711)/(Inputs!$D$7+$D$4726)^F4700</f>
        <v>173.87984328077783</v>
      </c>
      <c r="G4721" s="28">
        <f>(G4707*$D$4725-G4711)/(Inputs!$D$7+$D$4726)^G4700</f>
        <v>243.22301452630424</v>
      </c>
      <c r="H4721" s="28">
        <f>(H4707*$D$4725-H4711)/(Inputs!$D$7+$D$4726)^H4700</f>
        <v>303.91251959440808</v>
      </c>
      <c r="I4721" s="28">
        <f>(I4707*$D$4725-I4711)/(Inputs!$D$7+$D$4726)^I4700</f>
        <v>316.98802826091918</v>
      </c>
      <c r="J4721" s="28">
        <f>(J4707*$D$4725-J4711)/(Inputs!$D$7+$D$4726)^J4700</f>
        <v>288.18973459066564</v>
      </c>
      <c r="K4721" s="28">
        <f>(K4707*$D$4725-K4711)/(Inputs!$D$7+$D$4726)^K4700</f>
        <v>262.00775965922423</v>
      </c>
      <c r="L4721" s="28">
        <f>(L4707*$D$4725-L4711)/(Inputs!$D$7+$D$4726)^L4700</f>
        <v>238.2044114761793</v>
      </c>
      <c r="M4721" s="28">
        <f>(M4707*$D$4725-M4711)/(Inputs!$D$7+$D$4726)^M4700</f>
        <v>216.50708849185102</v>
      </c>
    </row>
    <row r="4722" spans="2:13" ht="15" customHeight="1" x14ac:dyDescent="0.2">
      <c r="B4722" s="10" t="s">
        <v>911</v>
      </c>
      <c r="C4722" s="10" t="s">
        <v>110</v>
      </c>
      <c r="D4722" s="16">
        <f>(-D4709-D4710)/(Inputs!$D$7+$D$4726)^D4700</f>
        <v>-3876.3859726738942</v>
      </c>
      <c r="E4722" s="16">
        <f>(-E4709-E4710)/(Inputs!$D$7+$D$4726)^E4700</f>
        <v>-8808.24410023788</v>
      </c>
      <c r="F4722" s="16">
        <f>(-F4709-F4710)/(Inputs!$D$7+$D$4726)^F4700</f>
        <v>-8808.8187359072599</v>
      </c>
      <c r="G4722" s="16">
        <f>(-G4709-G4710)/(Inputs!$D$7+$D$4726)^G4700</f>
        <v>-10951.972941072034</v>
      </c>
      <c r="H4722" s="16">
        <f>(-H4709-H4710)/(Inputs!$D$7+$D$4726)^H4700</f>
        <v>-10805.888812441568</v>
      </c>
      <c r="I4722" s="16">
        <f>(-I4709-I4710)/(Inputs!$D$7+$D$4726)^I4700</f>
        <v>-5753.5659292933024</v>
      </c>
      <c r="J4722" s="16">
        <f>(-J4709-J4710)/(Inputs!$D$7+$D$4726)^J4700</f>
        <v>-5753.9412826749158</v>
      </c>
      <c r="K4722" s="16">
        <f>(-K4709-K4710)/(Inputs!$D$7+$D$4726)^K4700</f>
        <v>-7209.0457374846392</v>
      </c>
      <c r="L4722" s="16">
        <f>(-L4709-L4710)/(Inputs!$D$7+$D$4726)^L4700</f>
        <v>-7133.915780457146</v>
      </c>
      <c r="M4722" s="16">
        <f>(-M4709-M4710)/(Inputs!$D$7+$D$4726)^M4700</f>
        <v>-3929.7629460373614</v>
      </c>
    </row>
    <row r="4723" spans="2:13" ht="15" customHeight="1" x14ac:dyDescent="0.2">
      <c r="B4723" s="10" t="s">
        <v>912</v>
      </c>
      <c r="C4723" s="10" t="s">
        <v>110</v>
      </c>
      <c r="D4723" s="16">
        <f>Prices!K7</f>
        <v>50083.245841420365</v>
      </c>
    </row>
    <row r="4724" spans="2:13" ht="15" customHeight="1" x14ac:dyDescent="0.2">
      <c r="B4724" s="3" t="s">
        <v>913</v>
      </c>
      <c r="C4724" s="10" t="s">
        <v>914</v>
      </c>
      <c r="D4724" s="28">
        <f>IF(J4731&gt;=J4727,J4731,(D4723-J4730)/J4729)</f>
        <v>45.87790663889524</v>
      </c>
      <c r="G4724" s="99" t="s">
        <v>915</v>
      </c>
      <c r="H4724" s="91"/>
      <c r="I4724" s="91"/>
      <c r="J4724" s="28">
        <f>D4724*Inputs!$D$15</f>
        <v>32.018191043284986</v>
      </c>
      <c r="K4724" s="99" t="s">
        <v>916</v>
      </c>
      <c r="L4724" s="91"/>
      <c r="M4724" s="91"/>
    </row>
    <row r="4725" spans="2:13" ht="15" customHeight="1" x14ac:dyDescent="0.2">
      <c r="B4725" s="10" t="s">
        <v>917</v>
      </c>
      <c r="C4725" s="10" t="s">
        <v>104</v>
      </c>
      <c r="D4725" s="30">
        <f>Inputs!$D$81</f>
        <v>0.6</v>
      </c>
      <c r="G4725" s="99" t="s">
        <v>918</v>
      </c>
      <c r="H4725" s="91"/>
      <c r="I4725" s="91"/>
      <c r="J4725" s="28">
        <f>IF(-D4736/D4735&gt;=J4727,-D4736/D4735,-J4730/J4729)</f>
        <v>31.904742398820275</v>
      </c>
      <c r="K4725" s="99" t="s">
        <v>919</v>
      </c>
      <c r="L4725" s="91"/>
      <c r="M4725" s="91"/>
    </row>
    <row r="4726" spans="2:13" ht="15" customHeight="1" x14ac:dyDescent="0.2">
      <c r="B4726" s="10" t="s">
        <v>920</v>
      </c>
      <c r="C4726" s="10" t="s">
        <v>104</v>
      </c>
      <c r="D4726" s="30">
        <f>Inputs!$D$82</f>
        <v>0.1</v>
      </c>
      <c r="G4726" s="99" t="s">
        <v>918</v>
      </c>
      <c r="H4726" s="91"/>
      <c r="I4726" s="91"/>
      <c r="J4726" s="28">
        <f>J4725*Inputs!$D$15</f>
        <v>22.266319720136668</v>
      </c>
      <c r="K4726" s="99" t="s">
        <v>916</v>
      </c>
      <c r="L4726" s="91"/>
      <c r="M4726" s="91"/>
    </row>
    <row r="4727" spans="2:13" ht="15" customHeight="1" x14ac:dyDescent="0.2">
      <c r="B4727" s="3" t="s">
        <v>921</v>
      </c>
      <c r="C4727" s="10" t="s">
        <v>848</v>
      </c>
      <c r="D4727" s="28">
        <f>Capital!$D$13</f>
        <v>57.347931490590682</v>
      </c>
      <c r="G4727" s="99" t="s">
        <v>922</v>
      </c>
      <c r="H4727" s="91"/>
      <c r="I4727" s="91"/>
      <c r="J4727" s="28">
        <f>($D$4727/Inputs!$D$21+$D$4728/Inputs!$D$22)/$D$4725</f>
        <v>24.113076913095469</v>
      </c>
      <c r="K4727" s="99" t="s">
        <v>919</v>
      </c>
      <c r="L4727" s="91"/>
      <c r="M4727" s="91"/>
    </row>
    <row r="4728" spans="2:13" ht="15" customHeight="1" x14ac:dyDescent="0.2">
      <c r="B4728" s="3" t="s">
        <v>923</v>
      </c>
      <c r="C4728" s="10" t="s">
        <v>848</v>
      </c>
      <c r="D4728" s="28">
        <f>Capital!$D$14</f>
        <v>2.6172655041921802</v>
      </c>
    </row>
    <row r="4729" spans="2:13" ht="15" customHeight="1" x14ac:dyDescent="0.2">
      <c r="B4729" s="10" t="s">
        <v>924</v>
      </c>
      <c r="C4729" s="10" t="s">
        <v>896</v>
      </c>
      <c r="D4729" s="28">
        <f>(M4702*(Inputs!$D$7+Inputs!$D$20)*$D$4725*(Inputs!$D$7-Inputs!$D$19)-M4702*Inputs!$D$20*Inputs!$D$23)/($D$4726-Inputs!$D$20)/(Inputs!$D$7+$D$4726)^M4700</f>
        <v>2068.2441036763203</v>
      </c>
      <c r="G4729" s="92" t="s">
        <v>910</v>
      </c>
      <c r="H4729" s="91"/>
      <c r="I4729" s="91"/>
      <c r="J4729" s="28">
        <f>SUM(D4721:M4721)+(M4702*(Inputs!$D$7+Inputs!$D$20)*$D$4725-M4702*Inputs!$D$20*Inputs!$D$23)/($D$4726-Inputs!$D$20)/(Inputs!$D$7+$D$4726)^M4700</f>
        <v>5128.5836368660293</v>
      </c>
      <c r="K4729" s="99" t="s">
        <v>896</v>
      </c>
      <c r="L4729" s="91"/>
      <c r="M4729" s="91"/>
    </row>
    <row r="4730" spans="2:13" ht="15" customHeight="1" x14ac:dyDescent="0.2">
      <c r="B4730" s="10" t="s">
        <v>925</v>
      </c>
      <c r="C4730" s="10" t="s">
        <v>110</v>
      </c>
      <c r="D4730" s="16">
        <f>(D4733*Inputs!$D$19-D4733-D4734)/($D$4726-Inputs!$D$20)/(Inputs!$D$7+$D$4726)^M4700</f>
        <v>-57156.954988173631</v>
      </c>
      <c r="G4730" s="92" t="s">
        <v>926</v>
      </c>
      <c r="H4730" s="91"/>
      <c r="I4730" s="91"/>
      <c r="J4730" s="16">
        <f>SUM(D4722:M4722)-(D4733+D4734)/($D$4726-Inputs!$D$20)/(Inputs!$D$7+$D$4726)^M4700</f>
        <v>-151593.17074229455</v>
      </c>
      <c r="K4730" s="99" t="s">
        <v>110</v>
      </c>
      <c r="L4730" s="91"/>
      <c r="M4730" s="91"/>
    </row>
    <row r="4731" spans="2:13" ht="15" customHeight="1" x14ac:dyDescent="0.2">
      <c r="B4731" s="10" t="s">
        <v>927</v>
      </c>
      <c r="C4731" s="10" t="s">
        <v>928</v>
      </c>
      <c r="D4731" s="16">
        <f>(M4702*(Inputs!$D$7+Inputs!$D$20)*$D$4724*$D$4725-D4733)-MAX((M4702*(Inputs!$D$7+Inputs!$D$20)*$D$4724*$D$4725-D4733),Inputs!$D$6)*Inputs!$D$19-D4734-M4702*Inputs!$D$20*$D$4724*Inputs!$D$23</f>
        <v>7144.0215337789432</v>
      </c>
      <c r="G4731" s="99" t="s">
        <v>929</v>
      </c>
      <c r="H4731" s="91"/>
      <c r="I4731" s="91"/>
      <c r="J4731" s="28">
        <f>(D4723-D4736)/D4735</f>
        <v>45.87790663889524</v>
      </c>
      <c r="K4731" s="99" t="s">
        <v>919</v>
      </c>
      <c r="L4731" s="91"/>
      <c r="M4731" s="91"/>
    </row>
    <row r="4732" spans="2:13" ht="15" customHeight="1" x14ac:dyDescent="0.2">
      <c r="B4732" s="10" t="s">
        <v>930</v>
      </c>
      <c r="C4732" s="10" t="s">
        <v>110</v>
      </c>
      <c r="D4732" s="16">
        <f>D4731/($D$4726-Inputs!$D$20)</f>
        <v>95253.62045038589</v>
      </c>
      <c r="G4732" s="99" t="s">
        <v>931</v>
      </c>
      <c r="H4732" s="91"/>
      <c r="I4732" s="91"/>
      <c r="J4732" s="16">
        <f>MIN(D4716:M4716,(M4702*(Inputs!$D$7+Inputs!$D$20)*$D$4724*$D$4725-D4733))</f>
        <v>752.12815935894787</v>
      </c>
      <c r="K4732" s="99" t="s">
        <v>110</v>
      </c>
      <c r="L4732" s="91"/>
      <c r="M4732" s="91"/>
    </row>
    <row r="4733" spans="2:13" ht="15" customHeight="1" x14ac:dyDescent="0.2">
      <c r="B4733" s="10" t="s">
        <v>932</v>
      </c>
      <c r="C4733" s="10" t="s">
        <v>928</v>
      </c>
      <c r="D4733" s="16">
        <f>M4702*(Inputs!$D$7+Inputs!$D$20)*($D$4727/Inputs!$D$21+$D$4728/Inputs!$D$22)</f>
        <v>13509.71303671543</v>
      </c>
      <c r="G4733" s="99" t="s">
        <v>933</v>
      </c>
      <c r="H4733" s="91"/>
      <c r="I4733" s="91"/>
      <c r="J4733" s="31" t="str">
        <f>IF(J4732&lt;Inputs!$D$6,"breached","satisfied")</f>
        <v>satisfied</v>
      </c>
      <c r="K4733" s="99" t="s">
        <v>934</v>
      </c>
      <c r="L4733" s="91"/>
      <c r="M4733" s="91"/>
    </row>
    <row r="4734" spans="2:13" ht="15" customHeight="1" x14ac:dyDescent="0.2">
      <c r="B4734" s="10" t="s">
        <v>935</v>
      </c>
      <c r="C4734" s="10" t="s">
        <v>928</v>
      </c>
      <c r="D4734" s="16">
        <f>M4702*Inputs!$D$20*($D$4727+$D$4728)</f>
        <v>1365.7073615561799</v>
      </c>
    </row>
    <row r="4735" spans="2:13" ht="15" customHeight="1" x14ac:dyDescent="0.2">
      <c r="B4735" s="10" t="s">
        <v>936</v>
      </c>
      <c r="C4735" s="10" t="s">
        <v>896</v>
      </c>
      <c r="D4735" s="28">
        <f>SUM(D4712:M4712)+D4729</f>
        <v>3584.2451273693523</v>
      </c>
      <c r="G4735" s="99" t="s">
        <v>937</v>
      </c>
      <c r="H4735" s="91"/>
      <c r="I4735" s="91"/>
      <c r="J4735" s="16">
        <f>D4737-D4723</f>
        <v>0</v>
      </c>
      <c r="K4735" s="99" t="s">
        <v>110</v>
      </c>
      <c r="L4735" s="91"/>
      <c r="M4735" s="91"/>
    </row>
    <row r="4736" spans="2:13" ht="15" customHeight="1" x14ac:dyDescent="0.2">
      <c r="B4736" s="10" t="s">
        <v>938</v>
      </c>
      <c r="C4736" s="10" t="s">
        <v>110</v>
      </c>
      <c r="D4736" s="16">
        <f>SUM(D4713:M4713)+D4730</f>
        <v>-114354.41748294595</v>
      </c>
    </row>
    <row r="4737" spans="1:13" ht="15" customHeight="1" x14ac:dyDescent="0.2">
      <c r="B4737" s="10" t="s">
        <v>939</v>
      </c>
      <c r="C4737" s="10" t="s">
        <v>110</v>
      </c>
      <c r="D4737" s="16">
        <f>SUM(D4720:M4720)+D4732/(Inputs!$D$7+$D$4726)^M4700</f>
        <v>50083.245841420394</v>
      </c>
    </row>
    <row r="4738" spans="1:13" ht="15" customHeight="1" x14ac:dyDescent="0.2">
      <c r="B4738" s="10" t="s">
        <v>940</v>
      </c>
      <c r="C4738" s="10" t="s">
        <v>104</v>
      </c>
      <c r="D4738" s="30">
        <f>IF(ABS(D4723)&gt;Inputs!$D$6,D4737/D4723-Inputs!$D$7,Inputs!$D$6)</f>
        <v>6.6613381477509392E-16</v>
      </c>
    </row>
    <row r="4739" spans="1:13" ht="15" customHeight="1" x14ac:dyDescent="0.2">
      <c r="B4739" s="10" t="s">
        <v>941</v>
      </c>
      <c r="C4739" s="10" t="s">
        <v>104</v>
      </c>
      <c r="D4739" s="30">
        <f>IF(ABS(D4737)&gt;Inputs!$D$119,D4732/(Inputs!$D$7+$D$4726)^M4700/D4737,Inputs!$D$6)</f>
        <v>0.7533408482788565</v>
      </c>
    </row>
    <row r="4740" spans="1:13" ht="15" customHeight="1" x14ac:dyDescent="0.2">
      <c r="B4740" s="10" t="s">
        <v>942</v>
      </c>
      <c r="C4740" s="10" t="s">
        <v>943</v>
      </c>
      <c r="D4740" s="26">
        <f>$D$4724*Inputs!$D$8/Prices!$P$6/(Inputs!$D$26/Inputs!$D$25)/Inputs!$D$11/Inputs!$D$56</f>
        <v>8.3430366774491862</v>
      </c>
    </row>
    <row r="4744" spans="1:13" ht="15" customHeight="1" x14ac:dyDescent="0.2">
      <c r="A4744" s="104" t="s">
        <v>1046</v>
      </c>
      <c r="B4744" s="10" t="s">
        <v>886</v>
      </c>
      <c r="C4744" s="10" t="s">
        <v>107</v>
      </c>
      <c r="D4744" s="28">
        <f>Inputs!$D$60</f>
        <v>1</v>
      </c>
      <c r="E4744" s="28">
        <f>Inputs!$D$62</f>
        <v>2</v>
      </c>
      <c r="F4744" s="28">
        <f>Inputs!$D$64</f>
        <v>3</v>
      </c>
      <c r="G4744" s="28">
        <f>Inputs!$D$66</f>
        <v>4</v>
      </c>
      <c r="H4744" s="28">
        <f>Inputs!$D$68</f>
        <v>5</v>
      </c>
      <c r="I4744" s="28">
        <f>Inputs!$D$70</f>
        <v>6</v>
      </c>
      <c r="J4744" s="28">
        <f>Inputs!$D$72</f>
        <v>7</v>
      </c>
      <c r="K4744" s="28">
        <f>Inputs!$D$74</f>
        <v>8</v>
      </c>
      <c r="L4744" s="28">
        <f>Inputs!$D$76</f>
        <v>9</v>
      </c>
      <c r="M4744" s="28">
        <f>Inputs!$D$78</f>
        <v>10</v>
      </c>
    </row>
    <row r="4745" spans="1:13" ht="15" customHeight="1" x14ac:dyDescent="0.2">
      <c r="A4745" s="91"/>
      <c r="B4745" s="10" t="s">
        <v>887</v>
      </c>
      <c r="C4745" s="10" t="s">
        <v>161</v>
      </c>
      <c r="D4745" s="29">
        <f>Inputs!$D$61</f>
        <v>46568</v>
      </c>
      <c r="E4745" s="29">
        <f>Inputs!$D$63</f>
        <v>46934</v>
      </c>
      <c r="F4745" s="29">
        <f>Inputs!$D$65</f>
        <v>47299</v>
      </c>
      <c r="G4745" s="29">
        <f>Inputs!$D$67</f>
        <v>47664</v>
      </c>
      <c r="H4745" s="29">
        <f>Inputs!$D$69</f>
        <v>48029</v>
      </c>
      <c r="I4745" s="29">
        <f>Inputs!$D$71</f>
        <v>48395</v>
      </c>
      <c r="J4745" s="29">
        <f>Inputs!$D$73</f>
        <v>48760</v>
      </c>
      <c r="K4745" s="29">
        <f>Inputs!$D$75</f>
        <v>49125</v>
      </c>
      <c r="L4745" s="29">
        <f>Inputs!$D$77</f>
        <v>49490</v>
      </c>
      <c r="M4745" s="29">
        <f>Inputs!$D$79</f>
        <v>49856</v>
      </c>
    </row>
    <row r="4746" spans="1:13" ht="15" customHeight="1" x14ac:dyDescent="0.2">
      <c r="A4746" s="91"/>
      <c r="B4746" s="10" t="s">
        <v>888</v>
      </c>
      <c r="C4746" s="10" t="s">
        <v>107</v>
      </c>
      <c r="D4746" s="28">
        <f>(D4745-Inputs!$D$13)/Inputs!$D$10</f>
        <v>0.71457905544147848</v>
      </c>
      <c r="E4746" s="28">
        <f>(E4745-Inputs!$D$13)/Inputs!$D$10</f>
        <v>1.7166324435318274</v>
      </c>
      <c r="F4746" s="28">
        <f>(F4745-Inputs!$D$13)/Inputs!$D$10</f>
        <v>2.7159479808350446</v>
      </c>
      <c r="G4746" s="28">
        <f>(G4745-Inputs!$D$13)/Inputs!$D$10</f>
        <v>3.7152635181382614</v>
      </c>
      <c r="H4746" s="28">
        <f>(H4745-Inputs!$D$13)/Inputs!$D$10</f>
        <v>4.7145790554414786</v>
      </c>
      <c r="I4746" s="28">
        <f>(I4745-Inputs!$D$13)/Inputs!$D$10</f>
        <v>5.7166324435318279</v>
      </c>
      <c r="J4746" s="28">
        <f>(J4745-Inputs!$D$13)/Inputs!$D$10</f>
        <v>6.7159479808350442</v>
      </c>
      <c r="K4746" s="28">
        <f>(K4745-Inputs!$D$13)/Inputs!$D$10</f>
        <v>7.7152635181382614</v>
      </c>
      <c r="L4746" s="28">
        <f>(L4745-Inputs!$D$13)/Inputs!$D$10</f>
        <v>8.7145790554414777</v>
      </c>
      <c r="M4746" s="28">
        <f>(M4745-Inputs!$D$13)/Inputs!$D$10</f>
        <v>9.716632443531827</v>
      </c>
    </row>
    <row r="4747" spans="1:13" ht="15" customHeight="1" x14ac:dyDescent="0.2">
      <c r="A4747" s="91"/>
      <c r="B4747" s="10" t="s">
        <v>889</v>
      </c>
      <c r="C4747" s="10" t="s">
        <v>107</v>
      </c>
      <c r="D4747" s="28">
        <f>D4746</f>
        <v>0.71457905544147848</v>
      </c>
      <c r="E4747" s="28">
        <f>Inputs!$D$7</f>
        <v>1</v>
      </c>
      <c r="F4747" s="28">
        <f>Inputs!$D$7</f>
        <v>1</v>
      </c>
      <c r="G4747" s="28">
        <f>Inputs!$D$7</f>
        <v>1</v>
      </c>
      <c r="H4747" s="28">
        <f>Inputs!$D$7</f>
        <v>1</v>
      </c>
      <c r="I4747" s="28">
        <f>Inputs!$D$7</f>
        <v>1</v>
      </c>
      <c r="J4747" s="28">
        <f>Inputs!$D$7</f>
        <v>1</v>
      </c>
      <c r="K4747" s="28">
        <f>Inputs!$D$7</f>
        <v>1</v>
      </c>
      <c r="L4747" s="28">
        <f>Inputs!$D$7</f>
        <v>1</v>
      </c>
      <c r="M4747" s="28">
        <f>Inputs!$D$7</f>
        <v>1</v>
      </c>
    </row>
    <row r="4748" spans="1:13" ht="15" customHeight="1" x14ac:dyDescent="0.2">
      <c r="A4748" s="91"/>
      <c r="B4748" s="3" t="s">
        <v>890</v>
      </c>
      <c r="C4748" s="10" t="s">
        <v>199</v>
      </c>
      <c r="D4748" s="28">
        <f>Inputs!$D$24+(Inputs!$D$93-Inputs!$D$24)*Inputs!$D$83</f>
        <v>512.20000000000005</v>
      </c>
      <c r="E4748" s="28">
        <f>Inputs!$D$24+(Inputs!$D$93-Inputs!$D$24)*Inputs!$D$84</f>
        <v>1133.8</v>
      </c>
      <c r="F4748" s="28">
        <f>Inputs!$D$24+(Inputs!$D$93-Inputs!$D$24)*Inputs!$D$85</f>
        <v>1600</v>
      </c>
      <c r="G4748" s="28">
        <f>Inputs!$D$24+(Inputs!$D$93-Inputs!$D$24)*Inputs!$D$86</f>
        <v>1600</v>
      </c>
      <c r="H4748" s="28">
        <f>Inputs!$D$24+(Inputs!$D$93-Inputs!$D$24)*Inputs!$D$87</f>
        <v>1600</v>
      </c>
      <c r="I4748" s="28">
        <f>Inputs!$D$24+(Inputs!$D$93-Inputs!$D$24)*Inputs!$D$88</f>
        <v>1600</v>
      </c>
      <c r="J4748" s="28">
        <f>Inputs!$D$24+(Inputs!$D$93-Inputs!$D$24)*Inputs!$D$89</f>
        <v>1600</v>
      </c>
      <c r="K4748" s="28">
        <f>Inputs!$D$24+(Inputs!$D$93-Inputs!$D$24)*Inputs!$D$90</f>
        <v>1600</v>
      </c>
      <c r="L4748" s="28">
        <f>Inputs!$D$24+(Inputs!$D$93-Inputs!$D$24)*Inputs!$D$91</f>
        <v>1600</v>
      </c>
      <c r="M4748" s="28">
        <f>Inputs!$D$24+(Inputs!$D$93-Inputs!$D$24)*Inputs!$D$92</f>
        <v>1600</v>
      </c>
    </row>
    <row r="4749" spans="1:13" ht="15" customHeight="1" x14ac:dyDescent="0.2">
      <c r="A4749" s="91"/>
      <c r="B4749" s="10" t="s">
        <v>891</v>
      </c>
      <c r="C4749" s="10" t="s">
        <v>199</v>
      </c>
      <c r="D4749" s="28">
        <f>Inputs!$D$24</f>
        <v>46</v>
      </c>
      <c r="E4749" s="28">
        <f t="shared" ref="E4749:M4749" si="1030">D4748</f>
        <v>512.20000000000005</v>
      </c>
      <c r="F4749" s="28">
        <f t="shared" si="1030"/>
        <v>1133.8</v>
      </c>
      <c r="G4749" s="28">
        <f t="shared" si="1030"/>
        <v>1600</v>
      </c>
      <c r="H4749" s="28">
        <f t="shared" si="1030"/>
        <v>1600</v>
      </c>
      <c r="I4749" s="28">
        <f t="shared" si="1030"/>
        <v>1600</v>
      </c>
      <c r="J4749" s="28">
        <f t="shared" si="1030"/>
        <v>1600</v>
      </c>
      <c r="K4749" s="28">
        <f t="shared" si="1030"/>
        <v>1600</v>
      </c>
      <c r="L4749" s="28">
        <f t="shared" si="1030"/>
        <v>1600</v>
      </c>
      <c r="M4749" s="28">
        <f t="shared" si="1030"/>
        <v>1600</v>
      </c>
    </row>
    <row r="4750" spans="1:13" ht="15" customHeight="1" x14ac:dyDescent="0.2">
      <c r="B4750" s="10" t="s">
        <v>892</v>
      </c>
      <c r="C4750" s="10" t="s">
        <v>199</v>
      </c>
      <c r="D4750" s="28">
        <f>(D4749+D4748)*Inputs!$D$12</f>
        <v>279.10000000000002</v>
      </c>
      <c r="E4750" s="28">
        <f>(E4749+E4748)*Inputs!$D$12</f>
        <v>823</v>
      </c>
      <c r="F4750" s="28">
        <f>(F4749+F4748)*Inputs!$D$12</f>
        <v>1366.9</v>
      </c>
      <c r="G4750" s="28">
        <f>(G4749+G4748)*Inputs!$D$12</f>
        <v>1600</v>
      </c>
      <c r="H4750" s="28">
        <f>(H4749+H4748)*Inputs!$D$12</f>
        <v>1600</v>
      </c>
      <c r="I4750" s="28">
        <f>(I4749+I4748)*Inputs!$D$12</f>
        <v>1600</v>
      </c>
      <c r="J4750" s="28">
        <f>(J4749+J4748)*Inputs!$D$12</f>
        <v>1600</v>
      </c>
      <c r="K4750" s="28">
        <f>(K4749+K4748)*Inputs!$D$12</f>
        <v>1600</v>
      </c>
      <c r="L4750" s="28">
        <f>(L4749+L4748)*Inputs!$D$12</f>
        <v>1600</v>
      </c>
      <c r="M4750" s="28">
        <f>(M4749+M4748)*Inputs!$D$12</f>
        <v>1600</v>
      </c>
    </row>
    <row r="4751" spans="1:13" ht="15" customHeight="1" x14ac:dyDescent="0.2">
      <c r="B4751" s="10" t="s">
        <v>893</v>
      </c>
      <c r="C4751" s="10" t="s">
        <v>199</v>
      </c>
      <c r="D4751" s="28">
        <f t="shared" ref="D4751:M4751" si="1031">D4748-D4749</f>
        <v>466.20000000000005</v>
      </c>
      <c r="E4751" s="28">
        <f t="shared" si="1031"/>
        <v>621.59999999999991</v>
      </c>
      <c r="F4751" s="28">
        <f t="shared" si="1031"/>
        <v>466.20000000000005</v>
      </c>
      <c r="G4751" s="28">
        <f t="shared" si="1031"/>
        <v>0</v>
      </c>
      <c r="H4751" s="28">
        <f t="shared" si="1031"/>
        <v>0</v>
      </c>
      <c r="I4751" s="28">
        <f t="shared" si="1031"/>
        <v>0</v>
      </c>
      <c r="J4751" s="28">
        <f t="shared" si="1031"/>
        <v>0</v>
      </c>
      <c r="K4751" s="28">
        <f t="shared" si="1031"/>
        <v>0</v>
      </c>
      <c r="L4751" s="28">
        <f t="shared" si="1031"/>
        <v>0</v>
      </c>
      <c r="M4751" s="28">
        <f t="shared" si="1031"/>
        <v>0</v>
      </c>
    </row>
    <row r="4752" spans="1:13" ht="15" customHeight="1" x14ac:dyDescent="0.2">
      <c r="B4752" s="10" t="s">
        <v>894</v>
      </c>
      <c r="C4752" s="10" t="s">
        <v>199</v>
      </c>
      <c r="D4752" s="28">
        <f>IF(MOD(D4744,Inputs!$D$21)=Inputs!$D$6,Inputs!$D$24,Inputs!$D$6)+SUMPRODUCT(--(D4744&gt;$D$4744:$M$4744),--(MOD(D4744-$D$4744:$M$4744,Inputs!$D$21)=Inputs!$D$6),$D$4751:$M$4751)</f>
        <v>0</v>
      </c>
      <c r="E4752" s="28">
        <f>IF(MOD(E4744,Inputs!$D$21)=Inputs!$D$6,Inputs!$D$24,Inputs!$D$6)+SUMPRODUCT(--(E4744&gt;$D$4744:$M$4744),--(MOD(E4744-$D$4744:$M$4744,Inputs!$D$21)=Inputs!$D$6),$D$4751:$M$4751)</f>
        <v>0</v>
      </c>
      <c r="F4752" s="28">
        <f>IF(MOD(F4744,Inputs!$D$21)=Inputs!$D$6,Inputs!$D$24,Inputs!$D$6)+SUMPRODUCT(--(F4744&gt;$D$4744:$M$4744),--(MOD(F4744-$D$4744:$M$4744,Inputs!$D$21)=Inputs!$D$6),$D$4751:$M$4751)</f>
        <v>0</v>
      </c>
      <c r="G4752" s="28">
        <f>IF(MOD(G4744,Inputs!$D$21)=Inputs!$D$6,Inputs!$D$24,Inputs!$D$6)+SUMPRODUCT(--(G4744&gt;$D$4744:$M$4744),--(MOD(G4744-$D$4744:$M$4744,Inputs!$D$21)=Inputs!$D$6),$D$4751:$M$4751)</f>
        <v>46</v>
      </c>
      <c r="H4752" s="28">
        <f>IF(MOD(H4744,Inputs!$D$21)=Inputs!$D$6,Inputs!$D$24,Inputs!$D$6)+SUMPRODUCT(--(H4744&gt;$D$4744:$M$4744),--(MOD(H4744-$D$4744:$M$4744,Inputs!$D$21)=Inputs!$D$6),$D$4751:$M$4751)</f>
        <v>466.20000000000005</v>
      </c>
      <c r="I4752" s="28">
        <f>IF(MOD(I4744,Inputs!$D$21)=Inputs!$D$6,Inputs!$D$24,Inputs!$D$6)+SUMPRODUCT(--(I4744&gt;$D$4744:$M$4744),--(MOD(I4744-$D$4744:$M$4744,Inputs!$D$21)=Inputs!$D$6),$D$4751:$M$4751)</f>
        <v>621.59999999999991</v>
      </c>
      <c r="J4752" s="28">
        <f>IF(MOD(J4744,Inputs!$D$21)=Inputs!$D$6,Inputs!$D$24,Inputs!$D$6)+SUMPRODUCT(--(J4744&gt;$D$4744:$M$4744),--(MOD(J4744-$D$4744:$M$4744,Inputs!$D$21)=Inputs!$D$6),$D$4751:$M$4751)</f>
        <v>466.20000000000005</v>
      </c>
      <c r="K4752" s="28">
        <f>IF(MOD(K4744,Inputs!$D$21)=Inputs!$D$6,Inputs!$D$24,Inputs!$D$6)+SUMPRODUCT(--(K4744&gt;$D$4744:$M$4744),--(MOD(K4744-$D$4744:$M$4744,Inputs!$D$21)=Inputs!$D$6),$D$4751:$M$4751)</f>
        <v>46</v>
      </c>
      <c r="L4752" s="28">
        <f>IF(MOD(L4744,Inputs!$D$21)=Inputs!$D$6,Inputs!$D$24,Inputs!$D$6)+SUMPRODUCT(--(L4744&gt;$D$4744:$M$4744),--(MOD(L4744-$D$4744:$M$4744,Inputs!$D$21)=Inputs!$D$6),$D$4751:$M$4751)</f>
        <v>466.20000000000005</v>
      </c>
      <c r="M4752" s="28">
        <f>IF(MOD(M4744,Inputs!$D$21)=Inputs!$D$6,Inputs!$D$24,Inputs!$D$6)+SUMPRODUCT(--(M4744&gt;$D$4744:$M$4744),--(MOD(M4744-$D$4744:$M$4744,Inputs!$D$21)=Inputs!$D$6),$D$4751:$M$4751)</f>
        <v>621.59999999999991</v>
      </c>
    </row>
    <row r="4753" spans="2:13" ht="15" customHeight="1" x14ac:dyDescent="0.2">
      <c r="B4753" s="10" t="s">
        <v>895</v>
      </c>
      <c r="C4753" s="10" t="s">
        <v>896</v>
      </c>
      <c r="D4753" s="28">
        <f t="shared" ref="D4753:M4753" si="1032">D4750*D4747</f>
        <v>199.43901437371667</v>
      </c>
      <c r="E4753" s="28">
        <f t="shared" si="1032"/>
        <v>823</v>
      </c>
      <c r="F4753" s="28">
        <f t="shared" si="1032"/>
        <v>1366.9</v>
      </c>
      <c r="G4753" s="28">
        <f t="shared" si="1032"/>
        <v>1600</v>
      </c>
      <c r="H4753" s="28">
        <f t="shared" si="1032"/>
        <v>1600</v>
      </c>
      <c r="I4753" s="28">
        <f t="shared" si="1032"/>
        <v>1600</v>
      </c>
      <c r="J4753" s="28">
        <f t="shared" si="1032"/>
        <v>1600</v>
      </c>
      <c r="K4753" s="28">
        <f t="shared" si="1032"/>
        <v>1600</v>
      </c>
      <c r="L4753" s="28">
        <f t="shared" si="1032"/>
        <v>1600</v>
      </c>
      <c r="M4753" s="28">
        <f t="shared" si="1032"/>
        <v>1600</v>
      </c>
    </row>
    <row r="4754" spans="2:13" ht="15" customHeight="1" x14ac:dyDescent="0.2">
      <c r="B4754" s="10" t="s">
        <v>897</v>
      </c>
      <c r="C4754" s="10" t="s">
        <v>110</v>
      </c>
      <c r="D4754" s="16">
        <f>D4753*($D$4773/Inputs!$D$21+$D$4774/Inputs!$D$22)</f>
        <v>2885.4529758392296</v>
      </c>
      <c r="E4754" s="16">
        <f>E4753*($D$4773/Inputs!$D$21+$D$4774/Inputs!$D$22)</f>
        <v>11907.037379686541</v>
      </c>
      <c r="F4754" s="16">
        <f>F4753*($D$4773/Inputs!$D$21+$D$4774/Inputs!$D$22)</f>
        <v>19776.098899506116</v>
      </c>
      <c r="G4754" s="16">
        <f>G4753*($D$4773/Inputs!$D$21+$D$4774/Inputs!$D$22)</f>
        <v>23148.553836571649</v>
      </c>
      <c r="H4754" s="16">
        <f>H4753*($D$4773/Inputs!$D$21+$D$4774/Inputs!$D$22)</f>
        <v>23148.553836571649</v>
      </c>
      <c r="I4754" s="16">
        <f>I4753*($D$4773/Inputs!$D$21+$D$4774/Inputs!$D$22)</f>
        <v>23148.553836571649</v>
      </c>
      <c r="J4754" s="16">
        <f>J4753*($D$4773/Inputs!$D$21+$D$4774/Inputs!$D$22)</f>
        <v>23148.553836571649</v>
      </c>
      <c r="K4754" s="16">
        <f>K4753*($D$4773/Inputs!$D$21+$D$4774/Inputs!$D$22)</f>
        <v>23148.553836571649</v>
      </c>
      <c r="L4754" s="16">
        <f>L4753*($D$4773/Inputs!$D$21+$D$4774/Inputs!$D$22)</f>
        <v>23148.553836571649</v>
      </c>
      <c r="M4754" s="16">
        <f>M4753*($D$4773/Inputs!$D$21+$D$4774/Inputs!$D$22)</f>
        <v>23148.553836571649</v>
      </c>
    </row>
    <row r="4755" spans="2:13" ht="15" customHeight="1" x14ac:dyDescent="0.2">
      <c r="B4755" s="10" t="s">
        <v>898</v>
      </c>
      <c r="C4755" s="10" t="s">
        <v>110</v>
      </c>
      <c r="D4755" s="16">
        <f t="shared" ref="D4755:M4755" si="1033">D4751*($D$4773+$D$4774)</f>
        <v>27955.774838967773</v>
      </c>
      <c r="E4755" s="16">
        <f t="shared" si="1033"/>
        <v>37274.366451957023</v>
      </c>
      <c r="F4755" s="16">
        <f t="shared" si="1033"/>
        <v>27955.774838967773</v>
      </c>
      <c r="G4755" s="16">
        <f t="shared" si="1033"/>
        <v>0</v>
      </c>
      <c r="H4755" s="16">
        <f t="shared" si="1033"/>
        <v>0</v>
      </c>
      <c r="I4755" s="16">
        <f t="shared" si="1033"/>
        <v>0</v>
      </c>
      <c r="J4755" s="16">
        <f t="shared" si="1033"/>
        <v>0</v>
      </c>
      <c r="K4755" s="16">
        <f t="shared" si="1033"/>
        <v>0</v>
      </c>
      <c r="L4755" s="16">
        <f t="shared" si="1033"/>
        <v>0</v>
      </c>
      <c r="M4755" s="16">
        <f t="shared" si="1033"/>
        <v>0</v>
      </c>
    </row>
    <row r="4756" spans="2:13" ht="15" customHeight="1" x14ac:dyDescent="0.2">
      <c r="B4756" s="10" t="s">
        <v>899</v>
      </c>
      <c r="C4756" s="10" t="s">
        <v>110</v>
      </c>
      <c r="D4756" s="16">
        <f t="shared" ref="D4756:M4756" si="1034">D4752*$D$4773</f>
        <v>0</v>
      </c>
      <c r="E4756" s="16">
        <f t="shared" si="1034"/>
        <v>0</v>
      </c>
      <c r="F4756" s="16">
        <f t="shared" si="1034"/>
        <v>0</v>
      </c>
      <c r="G4756" s="16">
        <f t="shared" si="1034"/>
        <v>2638.0048485671714</v>
      </c>
      <c r="H4756" s="16">
        <f t="shared" si="1034"/>
        <v>26735.605660913378</v>
      </c>
      <c r="I4756" s="16">
        <f t="shared" si="1034"/>
        <v>35647.474214551163</v>
      </c>
      <c r="J4756" s="16">
        <f t="shared" si="1034"/>
        <v>26735.605660913378</v>
      </c>
      <c r="K4756" s="16">
        <f t="shared" si="1034"/>
        <v>2638.0048485671714</v>
      </c>
      <c r="L4756" s="16">
        <f t="shared" si="1034"/>
        <v>26735.605660913378</v>
      </c>
      <c r="M4756" s="16">
        <f t="shared" si="1034"/>
        <v>35647.474214551163</v>
      </c>
    </row>
    <row r="4757" spans="2:13" ht="15" customHeight="1" x14ac:dyDescent="0.2">
      <c r="B4757" s="10" t="s">
        <v>900</v>
      </c>
      <c r="C4757" s="10" t="s">
        <v>199</v>
      </c>
      <c r="D4757" s="28">
        <f>D4751*Inputs!$D$23</f>
        <v>11.655000000000001</v>
      </c>
      <c r="E4757" s="28">
        <f>E4751*Inputs!$D$23</f>
        <v>15.54</v>
      </c>
      <c r="F4757" s="28">
        <f>F4751*Inputs!$D$23</f>
        <v>11.655000000000001</v>
      </c>
      <c r="G4757" s="28">
        <f>G4751*Inputs!$D$23</f>
        <v>0</v>
      </c>
      <c r="H4757" s="28">
        <f>H4751*Inputs!$D$23</f>
        <v>0</v>
      </c>
      <c r="I4757" s="28">
        <f>I4751*Inputs!$D$23</f>
        <v>0</v>
      </c>
      <c r="J4757" s="28">
        <f>J4751*Inputs!$D$23</f>
        <v>0</v>
      </c>
      <c r="K4757" s="28">
        <f>K4751*Inputs!$D$23</f>
        <v>0</v>
      </c>
      <c r="L4757" s="28">
        <f>L4751*Inputs!$D$23</f>
        <v>0</v>
      </c>
      <c r="M4757" s="28">
        <f>M4751*Inputs!$D$23</f>
        <v>0</v>
      </c>
    </row>
    <row r="4758" spans="2:13" ht="15" customHeight="1" x14ac:dyDescent="0.2">
      <c r="B4758" s="3" t="s">
        <v>901</v>
      </c>
      <c r="C4758" s="10" t="s">
        <v>896</v>
      </c>
      <c r="D4758" s="28">
        <f>(D4753*$D$4771*(Inputs!$D$7-Inputs!$D$19)-D4757)/(Inputs!$D$7+$D$4772)^D4746</f>
        <v>67.361764076638423</v>
      </c>
      <c r="E4758" s="28">
        <f>(E4753*$D$4771*(Inputs!$D$7-Inputs!$D$19)-E4757)/(Inputs!$D$7+$D$4772)^E4746</f>
        <v>280.29529652215348</v>
      </c>
      <c r="F4758" s="28">
        <f>(F4753*$D$4771*(Inputs!$D$7-Inputs!$D$19)-F4757)/(Inputs!$D$7+$D$4772)^F4746</f>
        <v>434.1683252988114</v>
      </c>
      <c r="G4758" s="28">
        <f>(G4753*$D$4771*(Inputs!$D$7-Inputs!$D$19)-G4757)/(Inputs!$D$7+$D$4772)^G4746</f>
        <v>471.61166655007548</v>
      </c>
      <c r="H4758" s="28">
        <f>(H4753*$D$4771*(Inputs!$D$7-Inputs!$D$19)-H4757)/(Inputs!$D$7+$D$4772)^H4746</f>
        <v>428.76584885109446</v>
      </c>
      <c r="I4758" s="28">
        <f>(I4753*$D$4771*(Inputs!$D$7-Inputs!$D$19)-I4757)/(Inputs!$D$7+$D$4772)^I4746</f>
        <v>389.71085801561958</v>
      </c>
      <c r="J4758" s="28">
        <f>(J4753*$D$4771*(Inputs!$D$7-Inputs!$D$19)-J4757)/(Inputs!$D$7+$D$4772)^J4746</f>
        <v>354.30571102255266</v>
      </c>
      <c r="K4758" s="28">
        <f>(K4753*$D$4771*(Inputs!$D$7-Inputs!$D$19)-K4757)/(Inputs!$D$7+$D$4772)^K4746</f>
        <v>322.1171139608465</v>
      </c>
      <c r="L4758" s="28">
        <f>(L4753*$D$4771*(Inputs!$D$7-Inputs!$D$19)-L4757)/(Inputs!$D$7+$D$4772)^L4746</f>
        <v>292.85284396632358</v>
      </c>
      <c r="M4758" s="28">
        <f>(M4753*$D$4771*(Inputs!$D$7-Inputs!$D$19)-M4757)/(Inputs!$D$7+$D$4772)^M4746</f>
        <v>266.1777597265347</v>
      </c>
    </row>
    <row r="4759" spans="2:13" ht="15" customHeight="1" x14ac:dyDescent="0.2">
      <c r="B4759" s="10" t="s">
        <v>902</v>
      </c>
      <c r="C4759" s="10" t="s">
        <v>110</v>
      </c>
      <c r="D4759" s="16">
        <f>(D4754*Inputs!$D$19-D4755-D4756)/(Inputs!$D$7+$D$4772)^D4746</f>
        <v>-25306.546745010444</v>
      </c>
      <c r="E4759" s="16">
        <f>(E4754*Inputs!$D$19-E4755-E4756)/(Inputs!$D$7+$D$4772)^E4746</f>
        <v>-28615.60531144682</v>
      </c>
      <c r="F4759" s="16">
        <f>(F4754*Inputs!$D$19-F4755-F4756)/(Inputs!$D$7+$D$4772)^F4746</f>
        <v>-17000.238641466985</v>
      </c>
      <c r="G4759" s="16">
        <f>(G4754*Inputs!$D$19-G4755-G4756)/(Inputs!$D$7+$D$4772)^G4746</f>
        <v>3022.3579656651286</v>
      </c>
      <c r="H4759" s="16">
        <f>(H4754*Inputs!$D$19-H4755-H4756)/(Inputs!$D$7+$D$4772)^H4746</f>
        <v>-12627.562284413363</v>
      </c>
      <c r="I4759" s="16">
        <f>(I4754*Inputs!$D$19-I4755-I4756)/(Inputs!$D$7+$D$4772)^I4746</f>
        <v>-16645.587691965891</v>
      </c>
      <c r="J4759" s="16">
        <f>(J4754*Inputs!$D$19-J4755-J4756)/(Inputs!$D$7+$D$4772)^J4746</f>
        <v>-10434.640365246118</v>
      </c>
      <c r="K4759" s="16">
        <f>(K4754*Inputs!$D$19-K4755-K4756)/(Inputs!$D$7+$D$4772)^K4746</f>
        <v>2064.3111574790846</v>
      </c>
      <c r="L4759" s="16">
        <f>(L4754*Inputs!$D$19-L4755-L4756)/(Inputs!$D$7+$D$4772)^L4746</f>
        <v>-8624.7949487148144</v>
      </c>
      <c r="M4759" s="16">
        <f>(M4754*Inputs!$D$19-M4755-M4756)/(Inputs!$D$7+$D$4772)^M4746</f>
        <v>-11369.160366071912</v>
      </c>
    </row>
    <row r="4760" spans="2:13" ht="15" customHeight="1" x14ac:dyDescent="0.2">
      <c r="B4760" s="10" t="s">
        <v>903</v>
      </c>
      <c r="C4760" s="10" t="s">
        <v>110</v>
      </c>
      <c r="D4760" s="16">
        <f t="shared" ref="D4760:M4760" si="1035">D4753*$D$4770</f>
        <v>7931.9300155012124</v>
      </c>
      <c r="E4760" s="16">
        <f t="shared" si="1035"/>
        <v>32731.702085756977</v>
      </c>
      <c r="F4760" s="16">
        <f t="shared" si="1035"/>
        <v>54363.260730280941</v>
      </c>
      <c r="G4760" s="16">
        <f t="shared" si="1035"/>
        <v>63633.928720791213</v>
      </c>
      <c r="H4760" s="16">
        <f t="shared" si="1035"/>
        <v>63633.928720791213</v>
      </c>
      <c r="I4760" s="16">
        <f t="shared" si="1035"/>
        <v>63633.928720791213</v>
      </c>
      <c r="J4760" s="16">
        <f t="shared" si="1035"/>
        <v>63633.928720791213</v>
      </c>
      <c r="K4760" s="16">
        <f t="shared" si="1035"/>
        <v>63633.928720791213</v>
      </c>
      <c r="L4760" s="16">
        <f t="shared" si="1035"/>
        <v>63633.928720791213</v>
      </c>
      <c r="M4760" s="16">
        <f t="shared" si="1035"/>
        <v>63633.928720791213</v>
      </c>
    </row>
    <row r="4761" spans="2:13" ht="15" customHeight="1" x14ac:dyDescent="0.2">
      <c r="B4761" s="10" t="s">
        <v>904</v>
      </c>
      <c r="C4761" s="10" t="s">
        <v>110</v>
      </c>
      <c r="D4761" s="16">
        <f t="shared" ref="D4761:M4761" si="1036">D4760*$D$4771</f>
        <v>4759.1580093007269</v>
      </c>
      <c r="E4761" s="16">
        <f t="shared" si="1036"/>
        <v>19639.021251454185</v>
      </c>
      <c r="F4761" s="16">
        <f t="shared" si="1036"/>
        <v>32617.956438168563</v>
      </c>
      <c r="G4761" s="16">
        <f t="shared" si="1036"/>
        <v>38180.357232474729</v>
      </c>
      <c r="H4761" s="16">
        <f t="shared" si="1036"/>
        <v>38180.357232474729</v>
      </c>
      <c r="I4761" s="16">
        <f t="shared" si="1036"/>
        <v>38180.357232474729</v>
      </c>
      <c r="J4761" s="16">
        <f t="shared" si="1036"/>
        <v>38180.357232474729</v>
      </c>
      <c r="K4761" s="16">
        <f t="shared" si="1036"/>
        <v>38180.357232474729</v>
      </c>
      <c r="L4761" s="16">
        <f t="shared" si="1036"/>
        <v>38180.357232474729</v>
      </c>
      <c r="M4761" s="16">
        <f t="shared" si="1036"/>
        <v>38180.357232474729</v>
      </c>
    </row>
    <row r="4762" spans="2:13" ht="15" customHeight="1" x14ac:dyDescent="0.2">
      <c r="B4762" s="10" t="s">
        <v>905</v>
      </c>
      <c r="C4762" s="10" t="s">
        <v>110</v>
      </c>
      <c r="D4762" s="16">
        <f t="shared" ref="D4762:M4762" si="1037">D4761-D4754</f>
        <v>1873.7050334614974</v>
      </c>
      <c r="E4762" s="16">
        <f t="shared" si="1037"/>
        <v>7731.9838717676448</v>
      </c>
      <c r="F4762" s="16">
        <f t="shared" si="1037"/>
        <v>12841.857538662447</v>
      </c>
      <c r="G4762" s="16">
        <f t="shared" si="1037"/>
        <v>15031.80339590308</v>
      </c>
      <c r="H4762" s="16">
        <f t="shared" si="1037"/>
        <v>15031.80339590308</v>
      </c>
      <c r="I4762" s="16">
        <f t="shared" si="1037"/>
        <v>15031.80339590308</v>
      </c>
      <c r="J4762" s="16">
        <f t="shared" si="1037"/>
        <v>15031.80339590308</v>
      </c>
      <c r="K4762" s="16">
        <f t="shared" si="1037"/>
        <v>15031.80339590308</v>
      </c>
      <c r="L4762" s="16">
        <f t="shared" si="1037"/>
        <v>15031.80339590308</v>
      </c>
      <c r="M4762" s="16">
        <f t="shared" si="1037"/>
        <v>15031.80339590308</v>
      </c>
    </row>
    <row r="4763" spans="2:13" ht="15" customHeight="1" x14ac:dyDescent="0.2">
      <c r="B4763" s="10" t="s">
        <v>906</v>
      </c>
      <c r="C4763" s="10" t="s">
        <v>110</v>
      </c>
      <c r="D4763" s="16">
        <f>MAX(D4762,Inputs!$D$6)*Inputs!$D$19</f>
        <v>562.11151003844918</v>
      </c>
      <c r="E4763" s="16">
        <f>MAX(E4762,Inputs!$D$6)*Inputs!$D$19</f>
        <v>2319.5951615302934</v>
      </c>
      <c r="F4763" s="16">
        <f>MAX(F4762,Inputs!$D$6)*Inputs!$D$19</f>
        <v>3852.5572615987339</v>
      </c>
      <c r="G4763" s="16">
        <f>MAX(G4762,Inputs!$D$6)*Inputs!$D$19</f>
        <v>4509.541018770924</v>
      </c>
      <c r="H4763" s="16">
        <f>MAX(H4762,Inputs!$D$6)*Inputs!$D$19</f>
        <v>4509.541018770924</v>
      </c>
      <c r="I4763" s="16">
        <f>MAX(I4762,Inputs!$D$6)*Inputs!$D$19</f>
        <v>4509.541018770924</v>
      </c>
      <c r="J4763" s="16">
        <f>MAX(J4762,Inputs!$D$6)*Inputs!$D$19</f>
        <v>4509.541018770924</v>
      </c>
      <c r="K4763" s="16">
        <f>MAX(K4762,Inputs!$D$6)*Inputs!$D$19</f>
        <v>4509.541018770924</v>
      </c>
      <c r="L4763" s="16">
        <f>MAX(L4762,Inputs!$D$6)*Inputs!$D$19</f>
        <v>4509.541018770924</v>
      </c>
      <c r="M4763" s="16">
        <f>MAX(M4762,Inputs!$D$6)*Inputs!$D$19</f>
        <v>4509.541018770924</v>
      </c>
    </row>
    <row r="4764" spans="2:13" ht="15" customHeight="1" x14ac:dyDescent="0.2">
      <c r="B4764" s="10" t="s">
        <v>907</v>
      </c>
      <c r="C4764" s="10" t="s">
        <v>110</v>
      </c>
      <c r="D4764" s="16">
        <f t="shared" ref="D4764:M4764" si="1038">D4757*$D$4770</f>
        <v>463.53339952551352</v>
      </c>
      <c r="E4764" s="16">
        <f t="shared" si="1038"/>
        <v>618.04453270068461</v>
      </c>
      <c r="F4764" s="16">
        <f t="shared" si="1038"/>
        <v>463.53339952551352</v>
      </c>
      <c r="G4764" s="16">
        <f t="shared" si="1038"/>
        <v>0</v>
      </c>
      <c r="H4764" s="16">
        <f t="shared" si="1038"/>
        <v>0</v>
      </c>
      <c r="I4764" s="16">
        <f t="shared" si="1038"/>
        <v>0</v>
      </c>
      <c r="J4764" s="16">
        <f t="shared" si="1038"/>
        <v>0</v>
      </c>
      <c r="K4764" s="16">
        <f t="shared" si="1038"/>
        <v>0</v>
      </c>
      <c r="L4764" s="16">
        <f t="shared" si="1038"/>
        <v>0</v>
      </c>
      <c r="M4764" s="16">
        <f t="shared" si="1038"/>
        <v>0</v>
      </c>
    </row>
    <row r="4765" spans="2:13" ht="15" customHeight="1" x14ac:dyDescent="0.2">
      <c r="B4765" s="10" t="s">
        <v>908</v>
      </c>
      <c r="C4765" s="10" t="s">
        <v>110</v>
      </c>
      <c r="D4765" s="16">
        <f t="shared" ref="D4765:M4765" si="1039">D4761-D4763-D4755-D4756-D4764</f>
        <v>-24222.261739231009</v>
      </c>
      <c r="E4765" s="16">
        <f t="shared" si="1039"/>
        <v>-20572.984894733818</v>
      </c>
      <c r="F4765" s="16">
        <f t="shared" si="1039"/>
        <v>346.09093807654398</v>
      </c>
      <c r="G4765" s="16">
        <f t="shared" si="1039"/>
        <v>31032.811365136629</v>
      </c>
      <c r="H4765" s="16">
        <f t="shared" si="1039"/>
        <v>6935.2105527904241</v>
      </c>
      <c r="I4765" s="16">
        <f t="shared" si="1039"/>
        <v>-1976.6580008473611</v>
      </c>
      <c r="J4765" s="16">
        <f t="shared" si="1039"/>
        <v>6935.2105527904241</v>
      </c>
      <c r="K4765" s="16">
        <f t="shared" si="1039"/>
        <v>31032.811365136629</v>
      </c>
      <c r="L4765" s="16">
        <f t="shared" si="1039"/>
        <v>6935.2105527904241</v>
      </c>
      <c r="M4765" s="16">
        <f t="shared" si="1039"/>
        <v>-1976.6580008473611</v>
      </c>
    </row>
    <row r="4766" spans="2:13" ht="15" customHeight="1" x14ac:dyDescent="0.2">
      <c r="B4766" s="10" t="s">
        <v>909</v>
      </c>
      <c r="C4766" s="10" t="s">
        <v>110</v>
      </c>
      <c r="D4766" s="16">
        <f>D4765/(Inputs!$D$7+$D$4772)^D4746</f>
        <v>-22627.488186410716</v>
      </c>
      <c r="E4766" s="16">
        <f>E4765/(Inputs!$D$7+$D$4772)^E4746</f>
        <v>-17467.923486656975</v>
      </c>
      <c r="F4766" s="16">
        <f>F4765/(Inputs!$D$7+$D$4772)^F4746</f>
        <v>267.15902408917481</v>
      </c>
      <c r="G4766" s="16">
        <f>G4765/(Inputs!$D$7+$D$4772)^G4746</f>
        <v>21778.922448878286</v>
      </c>
      <c r="H4766" s="16">
        <f>H4765/(Inputs!$D$7+$D$4772)^H4746</f>
        <v>4424.9723803991883</v>
      </c>
      <c r="I4766" s="16">
        <f>I4765/(Inputs!$D$7+$D$4772)^I4746</f>
        <v>-1146.3170915381911</v>
      </c>
      <c r="J4766" s="16">
        <f>J4765/(Inputs!$D$7+$D$4772)^J4746</f>
        <v>3656.5248601153598</v>
      </c>
      <c r="K4766" s="16">
        <f>K4765/(Inputs!$D$7+$D$4772)^K4746</f>
        <v>14875.297075936262</v>
      </c>
      <c r="L4766" s="16">
        <f>L4765/(Inputs!$D$7+$D$4772)^L4746</f>
        <v>3022.3156754314505</v>
      </c>
      <c r="M4766" s="16">
        <f>M4765/(Inputs!$D$7+$D$4772)^M4746</f>
        <v>-782.94999763553778</v>
      </c>
    </row>
    <row r="4767" spans="2:13" ht="15" customHeight="1" x14ac:dyDescent="0.2">
      <c r="B4767" s="3" t="s">
        <v>910</v>
      </c>
      <c r="C4767" s="10" t="s">
        <v>896</v>
      </c>
      <c r="D4767" s="28">
        <f>(D4753*$D$4771-D4757)/(Inputs!$D$7+$D$4772)^D4746</f>
        <v>100.89722489537324</v>
      </c>
      <c r="E4767" s="28">
        <f>(E4753*$D$4771-E4757)/(Inputs!$D$7+$D$4772)^E4746</f>
        <v>406.07666459070981</v>
      </c>
      <c r="F4767" s="28">
        <f>(F4753*$D$4771-F4757)/(Inputs!$D$7+$D$4772)^F4746</f>
        <v>624.09627016286015</v>
      </c>
      <c r="G4767" s="28">
        <f>(G4753*$D$4771-G4757)/(Inputs!$D$7+$D$4772)^G4746</f>
        <v>673.73095221439348</v>
      </c>
      <c r="H4767" s="28">
        <f>(H4753*$D$4771-H4757)/(Inputs!$D$7+$D$4772)^H4746</f>
        <v>612.52264121584926</v>
      </c>
      <c r="I4767" s="28">
        <f>(I4753*$D$4771-I4757)/(Inputs!$D$7+$D$4772)^I4746</f>
        <v>556.72979716517079</v>
      </c>
      <c r="J4767" s="28">
        <f>(J4753*$D$4771-J4757)/(Inputs!$D$7+$D$4772)^J4746</f>
        <v>506.15101574650379</v>
      </c>
      <c r="K4767" s="28">
        <f>(K4753*$D$4771-K4757)/(Inputs!$D$7+$D$4772)^K4746</f>
        <v>460.16730565835212</v>
      </c>
      <c r="L4767" s="28">
        <f>(L4753*$D$4771-L4757)/(Inputs!$D$7+$D$4772)^L4746</f>
        <v>418.36120566617655</v>
      </c>
      <c r="M4767" s="28">
        <f>(M4753*$D$4771-M4757)/(Inputs!$D$7+$D$4772)^M4746</f>
        <v>380.25394246647818</v>
      </c>
    </row>
    <row r="4768" spans="2:13" ht="15" customHeight="1" x14ac:dyDescent="0.2">
      <c r="B4768" s="10" t="s">
        <v>911</v>
      </c>
      <c r="C4768" s="10" t="s">
        <v>110</v>
      </c>
      <c r="D4768" s="16">
        <f>(-D4755-D4756)/(Inputs!$D$7+$D$4772)^D4746</f>
        <v>-26115.189891048693</v>
      </c>
      <c r="E4768" s="16">
        <f>(-E4755-E4756)/(Inputs!$D$7+$D$4772)^E4746</f>
        <v>-31648.581113918288</v>
      </c>
      <c r="F4768" s="16">
        <f>(-F4755-F4756)/(Inputs!$D$7+$D$4772)^F4746</f>
        <v>-21579.985783919947</v>
      </c>
      <c r="G4768" s="16">
        <f>(-G4755-G4756)/(Inputs!$D$7+$D$4772)^G4746</f>
        <v>-1851.359915178487</v>
      </c>
      <c r="H4768" s="16">
        <f>(-H4755-H4756)/(Inputs!$D$7+$D$4772)^H4746</f>
        <v>-17058.50395200841</v>
      </c>
      <c r="I4768" s="16">
        <f>(-I4755-I4756)/(Inputs!$D$7+$D$4772)^I4746</f>
        <v>-20672.92821762263</v>
      </c>
      <c r="J4768" s="16">
        <f>(-J4755-J4756)/(Inputs!$D$7+$D$4772)^J4746</f>
        <v>-14096.097876947169</v>
      </c>
      <c r="K4768" s="16">
        <f>(-K4755-K4756)/(Inputs!$D$7+$D$4772)^K4746</f>
        <v>-1264.5037327904422</v>
      </c>
      <c r="L4768" s="16">
        <f>(-L4755-L4756)/(Inputs!$D$7+$D$4772)^L4746</f>
        <v>-11651.187727619976</v>
      </c>
      <c r="M4768" s="16">
        <f>(-M4755-M4756)/(Inputs!$D$7+$D$4772)^M4746</f>
        <v>-14119.888134432502</v>
      </c>
    </row>
    <row r="4769" spans="2:13" ht="15" customHeight="1" x14ac:dyDescent="0.2">
      <c r="B4769" s="10" t="s">
        <v>912</v>
      </c>
      <c r="C4769" s="10" t="s">
        <v>110</v>
      </c>
      <c r="D4769" s="16">
        <f>Prices!K7</f>
        <v>50083.245841420365</v>
      </c>
    </row>
    <row r="4770" spans="2:13" ht="15" customHeight="1" x14ac:dyDescent="0.2">
      <c r="B4770" s="3" t="s">
        <v>913</v>
      </c>
      <c r="C4770" s="10" t="s">
        <v>914</v>
      </c>
      <c r="D4770" s="28">
        <f>IF(J4777&gt;=J4773,J4777,(D4769-J4776)/J4775)</f>
        <v>39.771205450494506</v>
      </c>
      <c r="G4770" s="99" t="s">
        <v>915</v>
      </c>
      <c r="H4770" s="91"/>
      <c r="I4770" s="91"/>
      <c r="J4770" s="28">
        <f>D4770*Inputs!$D$15</f>
        <v>27.756324283900113</v>
      </c>
      <c r="K4770" s="99" t="s">
        <v>916</v>
      </c>
      <c r="L4770" s="91"/>
      <c r="M4770" s="91"/>
    </row>
    <row r="4771" spans="2:13" ht="15" customHeight="1" x14ac:dyDescent="0.2">
      <c r="B4771" s="10" t="s">
        <v>917</v>
      </c>
      <c r="C4771" s="10" t="s">
        <v>104</v>
      </c>
      <c r="D4771" s="30">
        <f>Inputs!$D$81</f>
        <v>0.6</v>
      </c>
      <c r="G4771" s="99" t="s">
        <v>918</v>
      </c>
      <c r="H4771" s="91"/>
      <c r="I4771" s="91"/>
      <c r="J4771" s="28">
        <f>IF(-D4782/D4781&gt;=J4773,-D4782/D4781,-J4776/J4775)</f>
        <v>32.55444198319757</v>
      </c>
      <c r="K4771" s="99" t="s">
        <v>919</v>
      </c>
      <c r="L4771" s="91"/>
      <c r="M4771" s="91"/>
    </row>
    <row r="4772" spans="2:13" ht="15" customHeight="1" x14ac:dyDescent="0.2">
      <c r="B4772" s="10" t="s">
        <v>920</v>
      </c>
      <c r="C4772" s="10" t="s">
        <v>104</v>
      </c>
      <c r="D4772" s="30">
        <f>Inputs!$D$82</f>
        <v>0.1</v>
      </c>
      <c r="G4772" s="99" t="s">
        <v>918</v>
      </c>
      <c r="H4772" s="91"/>
      <c r="I4772" s="91"/>
      <c r="J4772" s="28">
        <f>J4771*Inputs!$D$15</f>
        <v>22.719745060073585</v>
      </c>
      <c r="K4772" s="99" t="s">
        <v>916</v>
      </c>
      <c r="L4772" s="91"/>
      <c r="M4772" s="91"/>
    </row>
    <row r="4773" spans="2:13" ht="15" customHeight="1" x14ac:dyDescent="0.2">
      <c r="B4773" s="3" t="s">
        <v>921</v>
      </c>
      <c r="C4773" s="10" t="s">
        <v>848</v>
      </c>
      <c r="D4773" s="28">
        <f>Capital!$D$13</f>
        <v>57.347931490590682</v>
      </c>
      <c r="G4773" s="99" t="s">
        <v>922</v>
      </c>
      <c r="H4773" s="91"/>
      <c r="I4773" s="91"/>
      <c r="J4773" s="28">
        <f>($D$4773/Inputs!$D$21+$D$4774/Inputs!$D$22)/$D$4771</f>
        <v>24.113076913095469</v>
      </c>
      <c r="K4773" s="99" t="s">
        <v>919</v>
      </c>
      <c r="L4773" s="91"/>
      <c r="M4773" s="91"/>
    </row>
    <row r="4774" spans="2:13" ht="15" customHeight="1" x14ac:dyDescent="0.2">
      <c r="B4774" s="3" t="s">
        <v>923</v>
      </c>
      <c r="C4774" s="10" t="s">
        <v>848</v>
      </c>
      <c r="D4774" s="28">
        <f>Capital!$D$14</f>
        <v>2.6172655041921802</v>
      </c>
    </row>
    <row r="4775" spans="2:13" ht="15" customHeight="1" x14ac:dyDescent="0.2">
      <c r="B4775" s="10" t="s">
        <v>924</v>
      </c>
      <c r="C4775" s="10" t="s">
        <v>896</v>
      </c>
      <c r="D4775" s="28">
        <f>(M4748*(Inputs!$D$7+Inputs!$D$20)*$D$4771*(Inputs!$D$7-Inputs!$D$19)-M4748*Inputs!$D$20*Inputs!$D$23)/($D$4772-Inputs!$D$20)/(Inputs!$D$7+$D$4772)^M4746</f>
        <v>3632.4814115061608</v>
      </c>
      <c r="G4775" s="92" t="s">
        <v>910</v>
      </c>
      <c r="H4775" s="91"/>
      <c r="I4775" s="91"/>
      <c r="J4775" s="28">
        <f>SUM(D4767:M4767)+(M4748*(Inputs!$D$7+Inputs!$D$20)*$D$4771-M4748*Inputs!$D$20*Inputs!$D$23)/($D$4772-Inputs!$D$20)/(Inputs!$D$7+$D$4772)^M4746</f>
        <v>9930.5095954005883</v>
      </c>
      <c r="K4775" s="99" t="s">
        <v>896</v>
      </c>
      <c r="L4775" s="91"/>
      <c r="M4775" s="91"/>
    </row>
    <row r="4776" spans="2:13" ht="15" customHeight="1" x14ac:dyDescent="0.2">
      <c r="B4776" s="10" t="s">
        <v>925</v>
      </c>
      <c r="C4776" s="10" t="s">
        <v>110</v>
      </c>
      <c r="D4776" s="16">
        <f>(D4779*Inputs!$D$19-D4779-D4780)/($D$4772-Inputs!$D$20)/(Inputs!$D$7+$D$4772)^M4746</f>
        <v>-100385.43137330168</v>
      </c>
      <c r="G4776" s="92" t="s">
        <v>926</v>
      </c>
      <c r="H4776" s="91"/>
      <c r="I4776" s="91"/>
      <c r="J4776" s="16">
        <f>SUM(D4768:M4768)-(D4779+D4780)/($D$4772-Inputs!$D$20)/(Inputs!$D$7+$D$4772)^M4746</f>
        <v>-298036.93721971626</v>
      </c>
      <c r="K4776" s="99" t="s">
        <v>110</v>
      </c>
      <c r="L4776" s="91"/>
      <c r="M4776" s="91"/>
    </row>
    <row r="4777" spans="2:13" ht="15" customHeight="1" x14ac:dyDescent="0.2">
      <c r="B4777" s="10" t="s">
        <v>927</v>
      </c>
      <c r="C4777" s="10" t="s">
        <v>928</v>
      </c>
      <c r="D4777" s="16">
        <f>(M4748*(Inputs!$D$7+Inputs!$D$20)*$D$4770*$D$4771-D4779)-MAX((M4748*(Inputs!$D$7+Inputs!$D$20)*$D$4770*$D$4771-D4779),Inputs!$D$6)*Inputs!$D$19-D4780-M4748*Inputs!$D$20*$D$4770*Inputs!$D$23</f>
        <v>8346.9398513186443</v>
      </c>
      <c r="G4777" s="99" t="s">
        <v>929</v>
      </c>
      <c r="H4777" s="91"/>
      <c r="I4777" s="91"/>
      <c r="J4777" s="28">
        <f>(D4769-D4782)/D4781</f>
        <v>39.771205450494506</v>
      </c>
      <c r="K4777" s="99" t="s">
        <v>919</v>
      </c>
      <c r="L4777" s="91"/>
      <c r="M4777" s="91"/>
    </row>
    <row r="4778" spans="2:13" ht="15" customHeight="1" x14ac:dyDescent="0.2">
      <c r="B4778" s="10" t="s">
        <v>930</v>
      </c>
      <c r="C4778" s="10" t="s">
        <v>110</v>
      </c>
      <c r="D4778" s="16">
        <f>D4777/($D$4772-Inputs!$D$20)</f>
        <v>111292.53135091525</v>
      </c>
      <c r="G4778" s="99" t="s">
        <v>931</v>
      </c>
      <c r="H4778" s="91"/>
      <c r="I4778" s="91"/>
      <c r="J4778" s="16">
        <f>MIN(D4762:M4762,(M4748*(Inputs!$D$7+Inputs!$D$20)*$D$4770*$D$4771-D4779))</f>
        <v>1873.7050334614974</v>
      </c>
      <c r="K4778" s="99" t="s">
        <v>110</v>
      </c>
      <c r="L4778" s="91"/>
      <c r="M4778" s="91"/>
    </row>
    <row r="4779" spans="2:13" ht="15" customHeight="1" x14ac:dyDescent="0.2">
      <c r="B4779" s="10" t="s">
        <v>932</v>
      </c>
      <c r="C4779" s="10" t="s">
        <v>928</v>
      </c>
      <c r="D4779" s="16">
        <f>M4748*(Inputs!$D$7+Inputs!$D$20)*($D$4773/Inputs!$D$21+$D$4774/Inputs!$D$22)</f>
        <v>23727.267682485937</v>
      </c>
      <c r="G4779" s="99" t="s">
        <v>933</v>
      </c>
      <c r="H4779" s="91"/>
      <c r="I4779" s="91"/>
      <c r="J4779" s="31" t="str">
        <f>IF(J4778&lt;Inputs!$D$6,"breached","satisfied")</f>
        <v>satisfied</v>
      </c>
      <c r="K4779" s="99" t="s">
        <v>934</v>
      </c>
      <c r="L4779" s="91"/>
      <c r="M4779" s="91"/>
    </row>
    <row r="4780" spans="2:13" ht="15" customHeight="1" x14ac:dyDescent="0.2">
      <c r="B4780" s="10" t="s">
        <v>935</v>
      </c>
      <c r="C4780" s="10" t="s">
        <v>928</v>
      </c>
      <c r="D4780" s="16">
        <f>M4748*Inputs!$D$20*($D$4773+$D$4774)</f>
        <v>2398.6078797913146</v>
      </c>
    </row>
    <row r="4781" spans="2:13" ht="15" customHeight="1" x14ac:dyDescent="0.2">
      <c r="B4781" s="10" t="s">
        <v>936</v>
      </c>
      <c r="C4781" s="10" t="s">
        <v>896</v>
      </c>
      <c r="D4781" s="28">
        <f>SUM(D4758:M4758)+D4775</f>
        <v>6939.8485994968105</v>
      </c>
      <c r="G4781" s="99" t="s">
        <v>937</v>
      </c>
      <c r="H4781" s="91"/>
      <c r="I4781" s="91"/>
      <c r="J4781" s="16">
        <f>D4783-D4769</f>
        <v>6.5483618527650833E-11</v>
      </c>
      <c r="K4781" s="99" t="s">
        <v>110</v>
      </c>
      <c r="L4781" s="91"/>
      <c r="M4781" s="91"/>
    </row>
    <row r="4782" spans="2:13" ht="15" customHeight="1" x14ac:dyDescent="0.2">
      <c r="B4782" s="10" t="s">
        <v>938</v>
      </c>
      <c r="C4782" s="10" t="s">
        <v>110</v>
      </c>
      <c r="D4782" s="16">
        <f>SUM(D4759:M4759)+D4776</f>
        <v>-225922.89860449382</v>
      </c>
    </row>
    <row r="4783" spans="2:13" ht="15" customHeight="1" x14ac:dyDescent="0.2">
      <c r="B4783" s="10" t="s">
        <v>939</v>
      </c>
      <c r="C4783" s="10" t="s">
        <v>110</v>
      </c>
      <c r="D4783" s="16">
        <f>SUM(D4766:M4766)+D4778/(Inputs!$D$7+$D$4772)^M4746</f>
        <v>50083.24584142043</v>
      </c>
    </row>
    <row r="4784" spans="2:13" ht="15" customHeight="1" x14ac:dyDescent="0.2">
      <c r="B4784" s="10" t="s">
        <v>940</v>
      </c>
      <c r="C4784" s="10" t="s">
        <v>104</v>
      </c>
      <c r="D4784" s="30">
        <f>IF(ABS(D4769)&gt;Inputs!$D$6,D4783/D4769-Inputs!$D$7,Inputs!$D$6)</f>
        <v>1.3322676295501878E-15</v>
      </c>
    </row>
    <row r="4785" spans="1:13" ht="15" customHeight="1" x14ac:dyDescent="0.2">
      <c r="B4785" s="10" t="s">
        <v>941</v>
      </c>
      <c r="C4785" s="10" t="s">
        <v>104</v>
      </c>
      <c r="D4785" s="30">
        <f>IF(ABS(D4783)&gt;Inputs!$D$119,D4778/(Inputs!$D$7+$D$4772)^M4746/D4783,Inputs!$D$6)</f>
        <v>0.88018922093013219</v>
      </c>
    </row>
    <row r="4786" spans="1:13" ht="15" customHeight="1" x14ac:dyDescent="0.2">
      <c r="B4786" s="10" t="s">
        <v>942</v>
      </c>
      <c r="C4786" s="10" t="s">
        <v>943</v>
      </c>
      <c r="D4786" s="26">
        <f>$D$4770*Inputs!$D$8/Prices!$P$6/(Inputs!$D$26/Inputs!$D$25)/Inputs!$D$11/Inputs!$D$56</f>
        <v>7.2325145170972611</v>
      </c>
    </row>
    <row r="4790" spans="1:13" ht="15" customHeight="1" x14ac:dyDescent="0.2">
      <c r="A4790" s="104" t="s">
        <v>1047</v>
      </c>
      <c r="B4790" s="10" t="s">
        <v>886</v>
      </c>
      <c r="C4790" s="10" t="s">
        <v>107</v>
      </c>
      <c r="D4790" s="28">
        <f>Inputs!$D$60</f>
        <v>1</v>
      </c>
      <c r="E4790" s="28">
        <f>Inputs!$D$62</f>
        <v>2</v>
      </c>
      <c r="F4790" s="28">
        <f>Inputs!$D$64</f>
        <v>3</v>
      </c>
      <c r="G4790" s="28">
        <f>Inputs!$D$66</f>
        <v>4</v>
      </c>
      <c r="H4790" s="28">
        <f>Inputs!$D$68</f>
        <v>5</v>
      </c>
      <c r="I4790" s="28">
        <f>Inputs!$D$70</f>
        <v>6</v>
      </c>
      <c r="J4790" s="28">
        <f>Inputs!$D$72</f>
        <v>7</v>
      </c>
      <c r="K4790" s="28">
        <f>Inputs!$D$74</f>
        <v>8</v>
      </c>
      <c r="L4790" s="28">
        <f>Inputs!$D$76</f>
        <v>9</v>
      </c>
      <c r="M4790" s="28">
        <f>Inputs!$D$78</f>
        <v>10</v>
      </c>
    </row>
    <row r="4791" spans="1:13" ht="15" customHeight="1" x14ac:dyDescent="0.2">
      <c r="A4791" s="91"/>
      <c r="B4791" s="10" t="s">
        <v>887</v>
      </c>
      <c r="C4791" s="10" t="s">
        <v>161</v>
      </c>
      <c r="D4791" s="29">
        <f>Inputs!$D$61</f>
        <v>46568</v>
      </c>
      <c r="E4791" s="29">
        <f>Inputs!$D$63</f>
        <v>46934</v>
      </c>
      <c r="F4791" s="29">
        <f>Inputs!$D$65</f>
        <v>47299</v>
      </c>
      <c r="G4791" s="29">
        <f>Inputs!$D$67</f>
        <v>47664</v>
      </c>
      <c r="H4791" s="29">
        <f>Inputs!$D$69</f>
        <v>48029</v>
      </c>
      <c r="I4791" s="29">
        <f>Inputs!$D$71</f>
        <v>48395</v>
      </c>
      <c r="J4791" s="29">
        <f>Inputs!$D$73</f>
        <v>48760</v>
      </c>
      <c r="K4791" s="29">
        <f>Inputs!$D$75</f>
        <v>49125</v>
      </c>
      <c r="L4791" s="29">
        <f>Inputs!$D$77</f>
        <v>49490</v>
      </c>
      <c r="M4791" s="29">
        <f>Inputs!$D$79</f>
        <v>49856</v>
      </c>
    </row>
    <row r="4792" spans="1:13" ht="15" customHeight="1" x14ac:dyDescent="0.2">
      <c r="A4792" s="91"/>
      <c r="B4792" s="10" t="s">
        <v>888</v>
      </c>
      <c r="C4792" s="10" t="s">
        <v>107</v>
      </c>
      <c r="D4792" s="28">
        <f>(D4791-Inputs!$D$13)/Inputs!$D$10</f>
        <v>0.71457905544147848</v>
      </c>
      <c r="E4792" s="28">
        <f>(E4791-Inputs!$D$13)/Inputs!$D$10</f>
        <v>1.7166324435318274</v>
      </c>
      <c r="F4792" s="28">
        <f>(F4791-Inputs!$D$13)/Inputs!$D$10</f>
        <v>2.7159479808350446</v>
      </c>
      <c r="G4792" s="28">
        <f>(G4791-Inputs!$D$13)/Inputs!$D$10</f>
        <v>3.7152635181382614</v>
      </c>
      <c r="H4792" s="28">
        <f>(H4791-Inputs!$D$13)/Inputs!$D$10</f>
        <v>4.7145790554414786</v>
      </c>
      <c r="I4792" s="28">
        <f>(I4791-Inputs!$D$13)/Inputs!$D$10</f>
        <v>5.7166324435318279</v>
      </c>
      <c r="J4792" s="28">
        <f>(J4791-Inputs!$D$13)/Inputs!$D$10</f>
        <v>6.7159479808350442</v>
      </c>
      <c r="K4792" s="28">
        <f>(K4791-Inputs!$D$13)/Inputs!$D$10</f>
        <v>7.7152635181382614</v>
      </c>
      <c r="L4792" s="28">
        <f>(L4791-Inputs!$D$13)/Inputs!$D$10</f>
        <v>8.7145790554414777</v>
      </c>
      <c r="M4792" s="28">
        <f>(M4791-Inputs!$D$13)/Inputs!$D$10</f>
        <v>9.716632443531827</v>
      </c>
    </row>
    <row r="4793" spans="1:13" ht="15" customHeight="1" x14ac:dyDescent="0.2">
      <c r="A4793" s="91"/>
      <c r="B4793" s="10" t="s">
        <v>889</v>
      </c>
      <c r="C4793" s="10" t="s">
        <v>107</v>
      </c>
      <c r="D4793" s="28">
        <f>D4792</f>
        <v>0.71457905544147848</v>
      </c>
      <c r="E4793" s="28">
        <f>Inputs!$D$7</f>
        <v>1</v>
      </c>
      <c r="F4793" s="28">
        <f>Inputs!$D$7</f>
        <v>1</v>
      </c>
      <c r="G4793" s="28">
        <f>Inputs!$D$7</f>
        <v>1</v>
      </c>
      <c r="H4793" s="28">
        <f>Inputs!$D$7</f>
        <v>1</v>
      </c>
      <c r="I4793" s="28">
        <f>Inputs!$D$7</f>
        <v>1</v>
      </c>
      <c r="J4793" s="28">
        <f>Inputs!$D$7</f>
        <v>1</v>
      </c>
      <c r="K4793" s="28">
        <f>Inputs!$D$7</f>
        <v>1</v>
      </c>
      <c r="L4793" s="28">
        <f>Inputs!$D$7</f>
        <v>1</v>
      </c>
      <c r="M4793" s="28">
        <f>Inputs!$D$7</f>
        <v>1</v>
      </c>
    </row>
    <row r="4794" spans="1:13" ht="15" customHeight="1" x14ac:dyDescent="0.2">
      <c r="A4794" s="91"/>
      <c r="B4794" s="3" t="s">
        <v>890</v>
      </c>
      <c r="C4794" s="10" t="s">
        <v>199</v>
      </c>
      <c r="D4794" s="28">
        <f>Inputs!$D$24+(Inputs!$D$80-Inputs!$D$24)*Inputs!$D$109</f>
        <v>115.2</v>
      </c>
      <c r="E4794" s="28">
        <f>Inputs!$D$24+(Inputs!$D$80-Inputs!$D$24)*Inputs!$D$110</f>
        <v>288.20000000000005</v>
      </c>
      <c r="F4794" s="28">
        <f>Inputs!$D$24+(Inputs!$D$80-Inputs!$D$24)*Inputs!$D$111</f>
        <v>478.5</v>
      </c>
      <c r="G4794" s="28">
        <f>Inputs!$D$24+(Inputs!$D$80-Inputs!$D$24)*Inputs!$D$112</f>
        <v>694.75</v>
      </c>
      <c r="H4794" s="28">
        <f>Inputs!$D$24+(Inputs!$D$80-Inputs!$D$24)*Inputs!$D$113</f>
        <v>911</v>
      </c>
      <c r="I4794" s="28">
        <f>Inputs!$D$24+(Inputs!$D$80-Inputs!$D$24)*Inputs!$D$114</f>
        <v>911</v>
      </c>
      <c r="J4794" s="28">
        <f>Inputs!$D$24+(Inputs!$D$80-Inputs!$D$24)*Inputs!$D$115</f>
        <v>911</v>
      </c>
      <c r="K4794" s="28">
        <f>Inputs!$D$24+(Inputs!$D$80-Inputs!$D$24)*Inputs!$D$116</f>
        <v>911</v>
      </c>
      <c r="L4794" s="28">
        <f>Inputs!$D$24+(Inputs!$D$80-Inputs!$D$24)*Inputs!$D$117</f>
        <v>911</v>
      </c>
      <c r="M4794" s="28">
        <f>Inputs!$D$24+(Inputs!$D$80-Inputs!$D$24)*Inputs!$D$118</f>
        <v>911</v>
      </c>
    </row>
    <row r="4795" spans="1:13" ht="15" customHeight="1" x14ac:dyDescent="0.2">
      <c r="A4795" s="91"/>
      <c r="B4795" s="10" t="s">
        <v>891</v>
      </c>
      <c r="C4795" s="10" t="s">
        <v>199</v>
      </c>
      <c r="D4795" s="28">
        <f>Inputs!$D$24</f>
        <v>46</v>
      </c>
      <c r="E4795" s="28">
        <f t="shared" ref="E4795:M4795" si="1040">D4794</f>
        <v>115.2</v>
      </c>
      <c r="F4795" s="28">
        <f t="shared" si="1040"/>
        <v>288.20000000000005</v>
      </c>
      <c r="G4795" s="28">
        <f t="shared" si="1040"/>
        <v>478.5</v>
      </c>
      <c r="H4795" s="28">
        <f t="shared" si="1040"/>
        <v>694.75</v>
      </c>
      <c r="I4795" s="28">
        <f t="shared" si="1040"/>
        <v>911</v>
      </c>
      <c r="J4795" s="28">
        <f t="shared" si="1040"/>
        <v>911</v>
      </c>
      <c r="K4795" s="28">
        <f t="shared" si="1040"/>
        <v>911</v>
      </c>
      <c r="L4795" s="28">
        <f t="shared" si="1040"/>
        <v>911</v>
      </c>
      <c r="M4795" s="28">
        <f t="shared" si="1040"/>
        <v>911</v>
      </c>
    </row>
    <row r="4796" spans="1:13" ht="15" customHeight="1" x14ac:dyDescent="0.2">
      <c r="B4796" s="10" t="s">
        <v>892</v>
      </c>
      <c r="C4796" s="10" t="s">
        <v>199</v>
      </c>
      <c r="D4796" s="28">
        <f>(D4795+D4794)*Inputs!$D$12</f>
        <v>80.599999999999994</v>
      </c>
      <c r="E4796" s="28">
        <f>(E4795+E4794)*Inputs!$D$12</f>
        <v>201.70000000000002</v>
      </c>
      <c r="F4796" s="28">
        <f>(F4795+F4794)*Inputs!$D$12</f>
        <v>383.35</v>
      </c>
      <c r="G4796" s="28">
        <f>(G4795+G4794)*Inputs!$D$12</f>
        <v>586.625</v>
      </c>
      <c r="H4796" s="28">
        <f>(H4795+H4794)*Inputs!$D$12</f>
        <v>802.875</v>
      </c>
      <c r="I4796" s="28">
        <f>(I4795+I4794)*Inputs!$D$12</f>
        <v>911</v>
      </c>
      <c r="J4796" s="28">
        <f>(J4795+J4794)*Inputs!$D$12</f>
        <v>911</v>
      </c>
      <c r="K4796" s="28">
        <f>(K4795+K4794)*Inputs!$D$12</f>
        <v>911</v>
      </c>
      <c r="L4796" s="28">
        <f>(L4795+L4794)*Inputs!$D$12</f>
        <v>911</v>
      </c>
      <c r="M4796" s="28">
        <f>(M4795+M4794)*Inputs!$D$12</f>
        <v>911</v>
      </c>
    </row>
    <row r="4797" spans="1:13" ht="15" customHeight="1" x14ac:dyDescent="0.2">
      <c r="B4797" s="10" t="s">
        <v>893</v>
      </c>
      <c r="C4797" s="10" t="s">
        <v>199</v>
      </c>
      <c r="D4797" s="28">
        <f t="shared" ref="D4797:M4797" si="1041">D4794-D4795</f>
        <v>69.2</v>
      </c>
      <c r="E4797" s="28">
        <f t="shared" si="1041"/>
        <v>173.00000000000006</v>
      </c>
      <c r="F4797" s="28">
        <f t="shared" si="1041"/>
        <v>190.29999999999995</v>
      </c>
      <c r="G4797" s="28">
        <f t="shared" si="1041"/>
        <v>216.25</v>
      </c>
      <c r="H4797" s="28">
        <f t="shared" si="1041"/>
        <v>216.25</v>
      </c>
      <c r="I4797" s="28">
        <f t="shared" si="1041"/>
        <v>0</v>
      </c>
      <c r="J4797" s="28">
        <f t="shared" si="1041"/>
        <v>0</v>
      </c>
      <c r="K4797" s="28">
        <f t="shared" si="1041"/>
        <v>0</v>
      </c>
      <c r="L4797" s="28">
        <f t="shared" si="1041"/>
        <v>0</v>
      </c>
      <c r="M4797" s="28">
        <f t="shared" si="1041"/>
        <v>0</v>
      </c>
    </row>
    <row r="4798" spans="1:13" ht="15" customHeight="1" x14ac:dyDescent="0.2">
      <c r="B4798" s="10" t="s">
        <v>894</v>
      </c>
      <c r="C4798" s="10" t="s">
        <v>199</v>
      </c>
      <c r="D4798" s="28">
        <f>IF(MOD(D4790,Inputs!$D$21)=Inputs!$D$6,Inputs!$D$24,Inputs!$D$6)+SUMPRODUCT(--(D4790&gt;$D$4790:$M$4790),--(MOD(D4790-$D$4790:$M$4790,Inputs!$D$21)=Inputs!$D$6),$D$4797:$M$4797)</f>
        <v>0</v>
      </c>
      <c r="E4798" s="28">
        <f>IF(MOD(E4790,Inputs!$D$21)=Inputs!$D$6,Inputs!$D$24,Inputs!$D$6)+SUMPRODUCT(--(E4790&gt;$D$4790:$M$4790),--(MOD(E4790-$D$4790:$M$4790,Inputs!$D$21)=Inputs!$D$6),$D$4797:$M$4797)</f>
        <v>0</v>
      </c>
      <c r="F4798" s="28">
        <f>IF(MOD(F4790,Inputs!$D$21)=Inputs!$D$6,Inputs!$D$24,Inputs!$D$6)+SUMPRODUCT(--(F4790&gt;$D$4790:$M$4790),--(MOD(F4790-$D$4790:$M$4790,Inputs!$D$21)=Inputs!$D$6),$D$4797:$M$4797)</f>
        <v>0</v>
      </c>
      <c r="G4798" s="28">
        <f>IF(MOD(G4790,Inputs!$D$21)=Inputs!$D$6,Inputs!$D$24,Inputs!$D$6)+SUMPRODUCT(--(G4790&gt;$D$4790:$M$4790),--(MOD(G4790-$D$4790:$M$4790,Inputs!$D$21)=Inputs!$D$6),$D$4797:$M$4797)</f>
        <v>46</v>
      </c>
      <c r="H4798" s="28">
        <f>IF(MOD(H4790,Inputs!$D$21)=Inputs!$D$6,Inputs!$D$24,Inputs!$D$6)+SUMPRODUCT(--(H4790&gt;$D$4790:$M$4790),--(MOD(H4790-$D$4790:$M$4790,Inputs!$D$21)=Inputs!$D$6),$D$4797:$M$4797)</f>
        <v>69.2</v>
      </c>
      <c r="I4798" s="28">
        <f>IF(MOD(I4790,Inputs!$D$21)=Inputs!$D$6,Inputs!$D$24,Inputs!$D$6)+SUMPRODUCT(--(I4790&gt;$D$4790:$M$4790),--(MOD(I4790-$D$4790:$M$4790,Inputs!$D$21)=Inputs!$D$6),$D$4797:$M$4797)</f>
        <v>173.00000000000006</v>
      </c>
      <c r="J4798" s="28">
        <f>IF(MOD(J4790,Inputs!$D$21)=Inputs!$D$6,Inputs!$D$24,Inputs!$D$6)+SUMPRODUCT(--(J4790&gt;$D$4790:$M$4790),--(MOD(J4790-$D$4790:$M$4790,Inputs!$D$21)=Inputs!$D$6),$D$4797:$M$4797)</f>
        <v>190.29999999999995</v>
      </c>
      <c r="K4798" s="28">
        <f>IF(MOD(K4790,Inputs!$D$21)=Inputs!$D$6,Inputs!$D$24,Inputs!$D$6)+SUMPRODUCT(--(K4790&gt;$D$4790:$M$4790),--(MOD(K4790-$D$4790:$M$4790,Inputs!$D$21)=Inputs!$D$6),$D$4797:$M$4797)</f>
        <v>262.25</v>
      </c>
      <c r="L4798" s="28">
        <f>IF(MOD(L4790,Inputs!$D$21)=Inputs!$D$6,Inputs!$D$24,Inputs!$D$6)+SUMPRODUCT(--(L4790&gt;$D$4790:$M$4790),--(MOD(L4790-$D$4790:$M$4790,Inputs!$D$21)=Inputs!$D$6),$D$4797:$M$4797)</f>
        <v>285.45</v>
      </c>
      <c r="M4798" s="28">
        <f>IF(MOD(M4790,Inputs!$D$21)=Inputs!$D$6,Inputs!$D$24,Inputs!$D$6)+SUMPRODUCT(--(M4790&gt;$D$4790:$M$4790),--(MOD(M4790-$D$4790:$M$4790,Inputs!$D$21)=Inputs!$D$6),$D$4797:$M$4797)</f>
        <v>173.00000000000006</v>
      </c>
    </row>
    <row r="4799" spans="1:13" ht="15" customHeight="1" x14ac:dyDescent="0.2">
      <c r="B4799" s="10" t="s">
        <v>895</v>
      </c>
      <c r="C4799" s="10" t="s">
        <v>896</v>
      </c>
      <c r="D4799" s="28">
        <f t="shared" ref="D4799:M4799" si="1042">D4796*D4793</f>
        <v>57.595071868583162</v>
      </c>
      <c r="E4799" s="28">
        <f t="shared" si="1042"/>
        <v>201.70000000000002</v>
      </c>
      <c r="F4799" s="28">
        <f t="shared" si="1042"/>
        <v>383.35</v>
      </c>
      <c r="G4799" s="28">
        <f t="shared" si="1042"/>
        <v>586.625</v>
      </c>
      <c r="H4799" s="28">
        <f t="shared" si="1042"/>
        <v>802.875</v>
      </c>
      <c r="I4799" s="28">
        <f t="shared" si="1042"/>
        <v>911</v>
      </c>
      <c r="J4799" s="28">
        <f t="shared" si="1042"/>
        <v>911</v>
      </c>
      <c r="K4799" s="28">
        <f t="shared" si="1042"/>
        <v>911</v>
      </c>
      <c r="L4799" s="28">
        <f t="shared" si="1042"/>
        <v>911</v>
      </c>
      <c r="M4799" s="28">
        <f t="shared" si="1042"/>
        <v>911</v>
      </c>
    </row>
    <row r="4800" spans="1:13" ht="15" customHeight="1" x14ac:dyDescent="0.2">
      <c r="B4800" s="10" t="s">
        <v>897</v>
      </c>
      <c r="C4800" s="10" t="s">
        <v>110</v>
      </c>
      <c r="D4800" s="16">
        <f>D4799*($D$4819/Inputs!$D$21+$D$4820/Inputs!$D$22)</f>
        <v>833.27663866944408</v>
      </c>
      <c r="E4800" s="16">
        <f>E4799*($D$4819/Inputs!$D$21+$D$4820/Inputs!$D$22)</f>
        <v>2918.1645680228135</v>
      </c>
      <c r="F4800" s="16">
        <f>F4799*($D$4819/Inputs!$D$21+$D$4820/Inputs!$D$22)</f>
        <v>5546.2488207810884</v>
      </c>
      <c r="G4800" s="16">
        <f>G4799*($D$4819/Inputs!$D$21+$D$4820/Inputs!$D$22)</f>
        <v>8487.2002464867765</v>
      </c>
      <c r="H4800" s="16">
        <f>H4799*($D$4819/Inputs!$D$21+$D$4820/Inputs!$D$22)</f>
        <v>11615.871975960914</v>
      </c>
      <c r="I4800" s="16">
        <f>I4799*($D$4819/Inputs!$D$21+$D$4820/Inputs!$D$22)</f>
        <v>13180.207840697982</v>
      </c>
      <c r="J4800" s="16">
        <f>J4799*($D$4819/Inputs!$D$21+$D$4820/Inputs!$D$22)</f>
        <v>13180.207840697982</v>
      </c>
      <c r="K4800" s="16">
        <f>K4799*($D$4819/Inputs!$D$21+$D$4820/Inputs!$D$22)</f>
        <v>13180.207840697982</v>
      </c>
      <c r="L4800" s="16">
        <f>L4799*($D$4819/Inputs!$D$21+$D$4820/Inputs!$D$22)</f>
        <v>13180.207840697982</v>
      </c>
      <c r="M4800" s="16">
        <f>M4799*($D$4819/Inputs!$D$21+$D$4820/Inputs!$D$22)</f>
        <v>13180.207840697982</v>
      </c>
    </row>
    <row r="4801" spans="2:13" ht="15" customHeight="1" x14ac:dyDescent="0.2">
      <c r="B4801" s="10" t="s">
        <v>898</v>
      </c>
      <c r="C4801" s="10" t="s">
        <v>110</v>
      </c>
      <c r="D4801" s="16">
        <f t="shared" ref="D4801:M4801" si="1043">D4797*($D$4819+$D$4820)</f>
        <v>4149.5916320389742</v>
      </c>
      <c r="E4801" s="16">
        <f t="shared" si="1043"/>
        <v>10373.979080097439</v>
      </c>
      <c r="F4801" s="16">
        <f t="shared" si="1043"/>
        <v>11411.376988107177</v>
      </c>
      <c r="G4801" s="16">
        <f t="shared" si="1043"/>
        <v>12967.473850121794</v>
      </c>
      <c r="H4801" s="16">
        <f t="shared" si="1043"/>
        <v>12967.473850121794</v>
      </c>
      <c r="I4801" s="16">
        <f t="shared" si="1043"/>
        <v>0</v>
      </c>
      <c r="J4801" s="16">
        <f t="shared" si="1043"/>
        <v>0</v>
      </c>
      <c r="K4801" s="16">
        <f t="shared" si="1043"/>
        <v>0</v>
      </c>
      <c r="L4801" s="16">
        <f t="shared" si="1043"/>
        <v>0</v>
      </c>
      <c r="M4801" s="16">
        <f t="shared" si="1043"/>
        <v>0</v>
      </c>
    </row>
    <row r="4802" spans="2:13" ht="15" customHeight="1" x14ac:dyDescent="0.2">
      <c r="B4802" s="10" t="s">
        <v>899</v>
      </c>
      <c r="C4802" s="10" t="s">
        <v>110</v>
      </c>
      <c r="D4802" s="16">
        <f t="shared" ref="D4802:M4802" si="1044">D4798*$D$4819</f>
        <v>0</v>
      </c>
      <c r="E4802" s="16">
        <f t="shared" si="1044"/>
        <v>0</v>
      </c>
      <c r="F4802" s="16">
        <f t="shared" si="1044"/>
        <v>0</v>
      </c>
      <c r="G4802" s="16">
        <f t="shared" si="1044"/>
        <v>2638.0048485671714</v>
      </c>
      <c r="H4802" s="16">
        <f t="shared" si="1044"/>
        <v>3968.4768591488755</v>
      </c>
      <c r="I4802" s="16">
        <f t="shared" si="1044"/>
        <v>9921.1921478721906</v>
      </c>
      <c r="J4802" s="16">
        <f t="shared" si="1044"/>
        <v>10913.311362659404</v>
      </c>
      <c r="K4802" s="16">
        <f t="shared" si="1044"/>
        <v>15039.495033407406</v>
      </c>
      <c r="L4802" s="16">
        <f t="shared" si="1044"/>
        <v>16369.967043989109</v>
      </c>
      <c r="M4802" s="16">
        <f t="shared" si="1044"/>
        <v>9921.1921478721906</v>
      </c>
    </row>
    <row r="4803" spans="2:13" ht="15" customHeight="1" x14ac:dyDescent="0.2">
      <c r="B4803" s="10" t="s">
        <v>900</v>
      </c>
      <c r="C4803" s="10" t="s">
        <v>199</v>
      </c>
      <c r="D4803" s="28">
        <f>D4797*Inputs!$D$23</f>
        <v>1.7300000000000002</v>
      </c>
      <c r="E4803" s="28">
        <f>E4797*Inputs!$D$23</f>
        <v>4.325000000000002</v>
      </c>
      <c r="F4803" s="28">
        <f>F4797*Inputs!$D$23</f>
        <v>4.7574999999999994</v>
      </c>
      <c r="G4803" s="28">
        <f>G4797*Inputs!$D$23</f>
        <v>5.40625</v>
      </c>
      <c r="H4803" s="28">
        <f>H4797*Inputs!$D$23</f>
        <v>5.40625</v>
      </c>
      <c r="I4803" s="28">
        <f>I4797*Inputs!$D$23</f>
        <v>0</v>
      </c>
      <c r="J4803" s="28">
        <f>J4797*Inputs!$D$23</f>
        <v>0</v>
      </c>
      <c r="K4803" s="28">
        <f>K4797*Inputs!$D$23</f>
        <v>0</v>
      </c>
      <c r="L4803" s="28">
        <f>L4797*Inputs!$D$23</f>
        <v>0</v>
      </c>
      <c r="M4803" s="28">
        <f>M4797*Inputs!$D$23</f>
        <v>0</v>
      </c>
    </row>
    <row r="4804" spans="2:13" ht="15" customHeight="1" x14ac:dyDescent="0.2">
      <c r="B4804" s="3" t="s">
        <v>901</v>
      </c>
      <c r="C4804" s="10" t="s">
        <v>896</v>
      </c>
      <c r="D4804" s="28">
        <f>(D4799*$D$4817*(Inputs!$D$7-Inputs!$D$19)-D4803)/(Inputs!$D$7+$D$4818)^D4792</f>
        <v>20.981187074746607</v>
      </c>
      <c r="E4804" s="28">
        <f>(E4799*$D$4817*(Inputs!$D$7-Inputs!$D$19)-E4803)/(Inputs!$D$7+$D$4818)^E4792</f>
        <v>68.255963262205867</v>
      </c>
      <c r="F4804" s="28">
        <f>(F4799*$D$4817*(Inputs!$D$7-Inputs!$D$19)-F4803)/(Inputs!$D$7+$D$4818)^F4792</f>
        <v>120.61414888935703</v>
      </c>
      <c r="G4804" s="28">
        <f>(G4799*$D$4817*(Inputs!$D$7-Inputs!$D$19)-G4803)/(Inputs!$D$7+$D$4818)^G4792</f>
        <v>169.11787330578514</v>
      </c>
      <c r="H4804" s="28">
        <f>(H4799*$D$4817*(Inputs!$D$7-Inputs!$D$19)-H4803)/(Inputs!$D$7+$D$4818)^H4792</f>
        <v>211.7039354257503</v>
      </c>
      <c r="I4804" s="28">
        <f>(I4799*$D$4817*(Inputs!$D$7-Inputs!$D$19)-I4803)/(Inputs!$D$7+$D$4818)^I4792</f>
        <v>221.8916197826434</v>
      </c>
      <c r="J4804" s="28">
        <f>(J4799*$D$4817*(Inputs!$D$7-Inputs!$D$19)-J4803)/(Inputs!$D$7+$D$4818)^J4792</f>
        <v>201.73281421346593</v>
      </c>
      <c r="K4804" s="28">
        <f>(K4799*$D$4817*(Inputs!$D$7-Inputs!$D$19)-K4803)/(Inputs!$D$7+$D$4818)^K4792</f>
        <v>183.40543176145695</v>
      </c>
      <c r="L4804" s="28">
        <f>(L4799*$D$4817*(Inputs!$D$7-Inputs!$D$19)-L4803)/(Inputs!$D$7+$D$4818)^L4792</f>
        <v>166.74308803332551</v>
      </c>
      <c r="M4804" s="28">
        <f>(M4799*$D$4817*(Inputs!$D$7-Inputs!$D$19)-M4803)/(Inputs!$D$7+$D$4818)^M4792</f>
        <v>151.55496194429571</v>
      </c>
    </row>
    <row r="4805" spans="2:13" ht="15" customHeight="1" x14ac:dyDescent="0.2">
      <c r="B4805" s="10" t="s">
        <v>902</v>
      </c>
      <c r="C4805" s="10" t="s">
        <v>110</v>
      </c>
      <c r="D4805" s="16">
        <f>(D4800*Inputs!$D$19-D4801-D4802)/(Inputs!$D$7+$D$4818)^D4792</f>
        <v>-3642.8616531802254</v>
      </c>
      <c r="E4805" s="16">
        <f>(E4800*Inputs!$D$19-E4801-E4802)/(Inputs!$D$7+$D$4818)^E4792</f>
        <v>-8064.925486193536</v>
      </c>
      <c r="F4805" s="16">
        <f>(F4800*Inputs!$D$19-F4801-F4802)/(Inputs!$D$7+$D$4818)^F4792</f>
        <v>-7524.4189502174931</v>
      </c>
      <c r="G4805" s="16">
        <f>(G4800*Inputs!$D$19-G4801-G4802)/(Inputs!$D$7+$D$4818)^G4792</f>
        <v>-9165.0699711658544</v>
      </c>
      <c r="H4805" s="16">
        <f>(H4800*Inputs!$D$19-H4801-H4802)/(Inputs!$D$7+$D$4818)^H4792</f>
        <v>-8582.4561303350856</v>
      </c>
      <c r="I4805" s="16">
        <f>(I4800*Inputs!$D$19-I4801-I4802)/(Inputs!$D$7+$D$4818)^I4792</f>
        <v>-3460.4989174974958</v>
      </c>
      <c r="J4805" s="16">
        <f>(J4800*Inputs!$D$19-J4801-J4802)/(Inputs!$D$7+$D$4818)^J4792</f>
        <v>-3669.1989119501291</v>
      </c>
      <c r="K4805" s="16">
        <f>(K4800*Inputs!$D$19-K4801-K4802)/(Inputs!$D$7+$D$4818)^K4792</f>
        <v>-5313.7017593374285</v>
      </c>
      <c r="L4805" s="16">
        <f>(L4800*Inputs!$D$19-L4801-L4802)/(Inputs!$D$7+$D$4818)^L4792</f>
        <v>-5410.7633919680211</v>
      </c>
      <c r="M4805" s="16">
        <f>(M4800*Inputs!$D$19-M4801-M4802)/(Inputs!$D$7+$D$4818)^M4792</f>
        <v>-2363.567322927051</v>
      </c>
    </row>
    <row r="4806" spans="2:13" ht="15" customHeight="1" x14ac:dyDescent="0.2">
      <c r="B4806" s="10" t="s">
        <v>903</v>
      </c>
      <c r="C4806" s="10" t="s">
        <v>110</v>
      </c>
      <c r="D4806" s="16">
        <f t="shared" ref="D4806:M4806" si="1045">D4799*$D$4816</f>
        <v>2364.2159151465366</v>
      </c>
      <c r="E4806" s="16">
        <f t="shared" si="1045"/>
        <v>8279.5686265160184</v>
      </c>
      <c r="F4806" s="16">
        <f t="shared" si="1045"/>
        <v>15736.106261650548</v>
      </c>
      <c r="G4806" s="16">
        <f t="shared" si="1045"/>
        <v>24080.326948586808</v>
      </c>
      <c r="H4806" s="16">
        <f t="shared" si="1045"/>
        <v>32957.157466604105</v>
      </c>
      <c r="I4806" s="16">
        <f t="shared" si="1045"/>
        <v>37395.57272561275</v>
      </c>
      <c r="J4806" s="16">
        <f t="shared" si="1045"/>
        <v>37395.57272561275</v>
      </c>
      <c r="K4806" s="16">
        <f t="shared" si="1045"/>
        <v>37395.57272561275</v>
      </c>
      <c r="L4806" s="16">
        <f t="shared" si="1045"/>
        <v>37395.57272561275</v>
      </c>
      <c r="M4806" s="16">
        <f t="shared" si="1045"/>
        <v>37395.57272561275</v>
      </c>
    </row>
    <row r="4807" spans="2:13" ht="15" customHeight="1" x14ac:dyDescent="0.2">
      <c r="B4807" s="10" t="s">
        <v>904</v>
      </c>
      <c r="C4807" s="10" t="s">
        <v>110</v>
      </c>
      <c r="D4807" s="16">
        <f t="shared" ref="D4807:M4807" si="1046">D4806*$D$4817</f>
        <v>1418.5295490879219</v>
      </c>
      <c r="E4807" s="16">
        <f t="shared" si="1046"/>
        <v>4967.7411759096112</v>
      </c>
      <c r="F4807" s="16">
        <f t="shared" si="1046"/>
        <v>9441.6637569903287</v>
      </c>
      <c r="G4807" s="16">
        <f t="shared" si="1046"/>
        <v>14448.196169152085</v>
      </c>
      <c r="H4807" s="16">
        <f t="shared" si="1046"/>
        <v>19774.294479962464</v>
      </c>
      <c r="I4807" s="16">
        <f t="shared" si="1046"/>
        <v>22437.343635367648</v>
      </c>
      <c r="J4807" s="16">
        <f t="shared" si="1046"/>
        <v>22437.343635367648</v>
      </c>
      <c r="K4807" s="16">
        <f t="shared" si="1046"/>
        <v>22437.343635367648</v>
      </c>
      <c r="L4807" s="16">
        <f t="shared" si="1046"/>
        <v>22437.343635367648</v>
      </c>
      <c r="M4807" s="16">
        <f t="shared" si="1046"/>
        <v>22437.343635367648</v>
      </c>
    </row>
    <row r="4808" spans="2:13" ht="15" customHeight="1" x14ac:dyDescent="0.2">
      <c r="B4808" s="10" t="s">
        <v>905</v>
      </c>
      <c r="C4808" s="10" t="s">
        <v>110</v>
      </c>
      <c r="D4808" s="16">
        <f t="shared" ref="D4808:M4808" si="1047">D4807-D4800</f>
        <v>585.25291041847777</v>
      </c>
      <c r="E4808" s="16">
        <f t="shared" si="1047"/>
        <v>2049.5766078867978</v>
      </c>
      <c r="F4808" s="16">
        <f t="shared" si="1047"/>
        <v>3895.4149362092403</v>
      </c>
      <c r="G4808" s="16">
        <f t="shared" si="1047"/>
        <v>5960.9959226653082</v>
      </c>
      <c r="H4808" s="16">
        <f t="shared" si="1047"/>
        <v>8158.4225040015499</v>
      </c>
      <c r="I4808" s="16">
        <f t="shared" si="1047"/>
        <v>9257.1357946696662</v>
      </c>
      <c r="J4808" s="16">
        <f t="shared" si="1047"/>
        <v>9257.1357946696662</v>
      </c>
      <c r="K4808" s="16">
        <f t="shared" si="1047"/>
        <v>9257.1357946696662</v>
      </c>
      <c r="L4808" s="16">
        <f t="shared" si="1047"/>
        <v>9257.1357946696662</v>
      </c>
      <c r="M4808" s="16">
        <f t="shared" si="1047"/>
        <v>9257.1357946696662</v>
      </c>
    </row>
    <row r="4809" spans="2:13" ht="15" customHeight="1" x14ac:dyDescent="0.2">
      <c r="B4809" s="10" t="s">
        <v>906</v>
      </c>
      <c r="C4809" s="10" t="s">
        <v>110</v>
      </c>
      <c r="D4809" s="16">
        <f>MAX(D4808,Inputs!$D$6)*Inputs!$D$19</f>
        <v>175.57587312554332</v>
      </c>
      <c r="E4809" s="16">
        <f>MAX(E4808,Inputs!$D$6)*Inputs!$D$19</f>
        <v>614.87298236603931</v>
      </c>
      <c r="F4809" s="16">
        <f>MAX(F4808,Inputs!$D$6)*Inputs!$D$19</f>
        <v>1168.6244808627721</v>
      </c>
      <c r="G4809" s="16">
        <f>MAX(G4808,Inputs!$D$6)*Inputs!$D$19</f>
        <v>1788.2987767995924</v>
      </c>
      <c r="H4809" s="16">
        <f>MAX(H4808,Inputs!$D$6)*Inputs!$D$19</f>
        <v>2447.5267512004648</v>
      </c>
      <c r="I4809" s="16">
        <f>MAX(I4808,Inputs!$D$6)*Inputs!$D$19</f>
        <v>2777.1407384008999</v>
      </c>
      <c r="J4809" s="16">
        <f>MAX(J4808,Inputs!$D$6)*Inputs!$D$19</f>
        <v>2777.1407384008999</v>
      </c>
      <c r="K4809" s="16">
        <f>MAX(K4808,Inputs!$D$6)*Inputs!$D$19</f>
        <v>2777.1407384008999</v>
      </c>
      <c r="L4809" s="16">
        <f>MAX(L4808,Inputs!$D$6)*Inputs!$D$19</f>
        <v>2777.1407384008999</v>
      </c>
      <c r="M4809" s="16">
        <f>MAX(M4808,Inputs!$D$6)*Inputs!$D$19</f>
        <v>2777.1407384008999</v>
      </c>
    </row>
    <row r="4810" spans="2:13" ht="15" customHeight="1" x14ac:dyDescent="0.2">
      <c r="B4810" s="10" t="s">
        <v>907</v>
      </c>
      <c r="C4810" s="10" t="s">
        <v>110</v>
      </c>
      <c r="D4810" s="16">
        <f t="shared" ref="D4810:M4810" si="1048">D4803*$D$4816</f>
        <v>71.014644144138387</v>
      </c>
      <c r="E4810" s="16">
        <f t="shared" si="1048"/>
        <v>177.53661036034603</v>
      </c>
      <c r="F4810" s="16">
        <f t="shared" si="1048"/>
        <v>195.29027139638052</v>
      </c>
      <c r="G4810" s="16">
        <f t="shared" si="1048"/>
        <v>221.92076295043242</v>
      </c>
      <c r="H4810" s="16">
        <f t="shared" si="1048"/>
        <v>221.92076295043242</v>
      </c>
      <c r="I4810" s="16">
        <f t="shared" si="1048"/>
        <v>0</v>
      </c>
      <c r="J4810" s="16">
        <f t="shared" si="1048"/>
        <v>0</v>
      </c>
      <c r="K4810" s="16">
        <f t="shared" si="1048"/>
        <v>0</v>
      </c>
      <c r="L4810" s="16">
        <f t="shared" si="1048"/>
        <v>0</v>
      </c>
      <c r="M4810" s="16">
        <f t="shared" si="1048"/>
        <v>0</v>
      </c>
    </row>
    <row r="4811" spans="2:13" ht="15" customHeight="1" x14ac:dyDescent="0.2">
      <c r="B4811" s="10" t="s">
        <v>908</v>
      </c>
      <c r="C4811" s="10" t="s">
        <v>110</v>
      </c>
      <c r="D4811" s="16">
        <f t="shared" ref="D4811:M4811" si="1049">D4807-D4809-D4801-D4802-D4810</f>
        <v>-2977.6526002207338</v>
      </c>
      <c r="E4811" s="16">
        <f t="shared" si="1049"/>
        <v>-6198.6474969142137</v>
      </c>
      <c r="F4811" s="16">
        <f t="shared" si="1049"/>
        <v>-3333.6279833760009</v>
      </c>
      <c r="G4811" s="16">
        <f t="shared" si="1049"/>
        <v>-3167.5020692869066</v>
      </c>
      <c r="H4811" s="16">
        <f t="shared" si="1049"/>
        <v>168.8962565408967</v>
      </c>
      <c r="I4811" s="16">
        <f t="shared" si="1049"/>
        <v>9739.0107490945575</v>
      </c>
      <c r="J4811" s="16">
        <f t="shared" si="1049"/>
        <v>8746.891534307344</v>
      </c>
      <c r="K4811" s="16">
        <f t="shared" si="1049"/>
        <v>4620.7078635593425</v>
      </c>
      <c r="L4811" s="16">
        <f t="shared" si="1049"/>
        <v>3290.2358529776393</v>
      </c>
      <c r="M4811" s="16">
        <f t="shared" si="1049"/>
        <v>9739.0107490945575</v>
      </c>
    </row>
    <row r="4812" spans="2:13" ht="15" customHeight="1" x14ac:dyDescent="0.2">
      <c r="B4812" s="10" t="s">
        <v>909</v>
      </c>
      <c r="C4812" s="10" t="s">
        <v>110</v>
      </c>
      <c r="D4812" s="16">
        <f>D4811/(Inputs!$D$7+$D$4818)^D4792</f>
        <v>-2781.6064313104412</v>
      </c>
      <c r="E4812" s="16">
        <f>E4811/(Inputs!$D$7+$D$4818)^E4792</f>
        <v>-5263.0914157999341</v>
      </c>
      <c r="F4812" s="16">
        <f>F4811/(Inputs!$D$7+$D$4818)^F4792</f>
        <v>-2573.3375270233823</v>
      </c>
      <c r="G4812" s="16">
        <f>G4811/(Inputs!$D$7+$D$4818)^G4792</f>
        <v>-2222.9626930018017</v>
      </c>
      <c r="H4812" s="16">
        <f>H4811/(Inputs!$D$7+$D$4818)^H4792</f>
        <v>107.76331369572885</v>
      </c>
      <c r="I4812" s="16">
        <f>I4811/(Inputs!$D$7+$D$4818)^I4792</f>
        <v>5647.9140405550324</v>
      </c>
      <c r="J4812" s="16">
        <f>J4811/(Inputs!$D$7+$D$4818)^J4792</f>
        <v>4611.716702827247</v>
      </c>
      <c r="K4812" s="16">
        <f>K4811/(Inputs!$D$7+$D$4818)^K4792</f>
        <v>2214.894466467149</v>
      </c>
      <c r="L4812" s="16">
        <f>L4811/(Inputs!$D$7+$D$4818)^L4792</f>
        <v>1433.8614983102145</v>
      </c>
      <c r="M4812" s="16">
        <f>M4811/(Inputs!$D$7+$D$4818)^M4792</f>
        <v>3857.6012844443899</v>
      </c>
    </row>
    <row r="4813" spans="2:13" ht="15" customHeight="1" x14ac:dyDescent="0.2">
      <c r="B4813" s="3" t="s">
        <v>910</v>
      </c>
      <c r="C4813" s="10" t="s">
        <v>896</v>
      </c>
      <c r="D4813" s="28">
        <f>(D4799*$D$4817-D4803)/(Inputs!$D$7+$D$4818)^D4792</f>
        <v>30.665737923868878</v>
      </c>
      <c r="E4813" s="28">
        <f>(E4799*$D$4817-E4803)/(Inputs!$D$7+$D$4818)^E4792</f>
        <v>99.082332568922538</v>
      </c>
      <c r="F4813" s="28">
        <f>(F4799*$D$4817-F4803)/(Inputs!$D$7+$D$4818)^F4792</f>
        <v>173.87984328077783</v>
      </c>
      <c r="G4813" s="28">
        <f>(G4799*$D$4817-G4803)/(Inputs!$D$7+$D$4818)^G4792</f>
        <v>243.22301452630424</v>
      </c>
      <c r="H4813" s="28">
        <f>(H4799*$D$4817-H4803)/(Inputs!$D$7+$D$4818)^H4792</f>
        <v>303.91251959440808</v>
      </c>
      <c r="I4813" s="28">
        <f>(I4799*$D$4817-I4803)/(Inputs!$D$7+$D$4818)^I4792</f>
        <v>316.98802826091918</v>
      </c>
      <c r="J4813" s="28">
        <f>(J4799*$D$4817-J4803)/(Inputs!$D$7+$D$4818)^J4792</f>
        <v>288.18973459066564</v>
      </c>
      <c r="K4813" s="28">
        <f>(K4799*$D$4817-K4803)/(Inputs!$D$7+$D$4818)^K4792</f>
        <v>262.00775965922423</v>
      </c>
      <c r="L4813" s="28">
        <f>(L4799*$D$4817-L4803)/(Inputs!$D$7+$D$4818)^L4792</f>
        <v>238.2044114761793</v>
      </c>
      <c r="M4813" s="28">
        <f>(M4799*$D$4817-M4803)/(Inputs!$D$7+$D$4818)^M4792</f>
        <v>216.50708849185102</v>
      </c>
    </row>
    <row r="4814" spans="2:13" ht="15" customHeight="1" x14ac:dyDescent="0.2">
      <c r="B4814" s="10" t="s">
        <v>911</v>
      </c>
      <c r="C4814" s="10" t="s">
        <v>110</v>
      </c>
      <c r="D4814" s="16">
        <f>(-D4801-D4802)/(Inputs!$D$7+$D$4818)^D4792</f>
        <v>-3876.3859726738942</v>
      </c>
      <c r="E4814" s="16">
        <f>(-E4801-E4802)/(Inputs!$D$7+$D$4818)^E4792</f>
        <v>-8808.24410023788</v>
      </c>
      <c r="F4814" s="16">
        <f>(-F4801-F4802)/(Inputs!$D$7+$D$4818)^F4792</f>
        <v>-8808.8187359072599</v>
      </c>
      <c r="G4814" s="16">
        <f>(-G4801-G4802)/(Inputs!$D$7+$D$4818)^G4792</f>
        <v>-10951.972941072034</v>
      </c>
      <c r="H4814" s="16">
        <f>(-H4801-H4802)/(Inputs!$D$7+$D$4818)^H4792</f>
        <v>-10805.888812441568</v>
      </c>
      <c r="I4814" s="16">
        <f>(-I4801-I4802)/(Inputs!$D$7+$D$4818)^I4792</f>
        <v>-5753.5659292933024</v>
      </c>
      <c r="J4814" s="16">
        <f>(-J4801-J4802)/(Inputs!$D$7+$D$4818)^J4792</f>
        <v>-5753.9412826749158</v>
      </c>
      <c r="K4814" s="16">
        <f>(-K4801-K4802)/(Inputs!$D$7+$D$4818)^K4792</f>
        <v>-7209.0457374846392</v>
      </c>
      <c r="L4814" s="16">
        <f>(-L4801-L4802)/(Inputs!$D$7+$D$4818)^L4792</f>
        <v>-7133.915780457146</v>
      </c>
      <c r="M4814" s="16">
        <f>(-M4801-M4802)/(Inputs!$D$7+$D$4818)^M4792</f>
        <v>-3929.7629460373614</v>
      </c>
    </row>
    <row r="4815" spans="2:13" ht="15" customHeight="1" x14ac:dyDescent="0.2">
      <c r="B4815" s="10" t="s">
        <v>912</v>
      </c>
      <c r="C4815" s="10" t="s">
        <v>110</v>
      </c>
      <c r="D4815" s="16">
        <f>Prices!I8</f>
        <v>32775</v>
      </c>
    </row>
    <row r="4816" spans="2:13" ht="15" customHeight="1" x14ac:dyDescent="0.2">
      <c r="B4816" s="3" t="s">
        <v>913</v>
      </c>
      <c r="C4816" s="10" t="s">
        <v>914</v>
      </c>
      <c r="D4816" s="28">
        <f>IF(J4823&gt;=J4819,J4823,(D4815-J4822)/J4821)</f>
        <v>41.048927250947038</v>
      </c>
      <c r="G4816" s="99" t="s">
        <v>915</v>
      </c>
      <c r="H4816" s="91"/>
      <c r="I4816" s="91"/>
      <c r="J4816" s="28">
        <f>D4816*Inputs!$D$15</f>
        <v>28.648046328435935</v>
      </c>
      <c r="K4816" s="99" t="s">
        <v>916</v>
      </c>
      <c r="L4816" s="91"/>
      <c r="M4816" s="91"/>
    </row>
    <row r="4817" spans="2:13" ht="15" customHeight="1" x14ac:dyDescent="0.2">
      <c r="B4817" s="10" t="s">
        <v>917</v>
      </c>
      <c r="C4817" s="10" t="s">
        <v>104</v>
      </c>
      <c r="D4817" s="30">
        <f>Inputs!$D$81</f>
        <v>0.6</v>
      </c>
      <c r="G4817" s="99" t="s">
        <v>918</v>
      </c>
      <c r="H4817" s="91"/>
      <c r="I4817" s="91"/>
      <c r="J4817" s="28">
        <f>IF(-D4828/D4827&gt;=J4819,-D4828/D4827,-J4822/J4821)</f>
        <v>31.904742398820275</v>
      </c>
      <c r="K4817" s="99" t="s">
        <v>919</v>
      </c>
      <c r="L4817" s="91"/>
      <c r="M4817" s="91"/>
    </row>
    <row r="4818" spans="2:13" ht="15" customHeight="1" x14ac:dyDescent="0.2">
      <c r="B4818" s="10" t="s">
        <v>920</v>
      </c>
      <c r="C4818" s="10" t="s">
        <v>104</v>
      </c>
      <c r="D4818" s="30">
        <f>Inputs!$D$82</f>
        <v>0.1</v>
      </c>
      <c r="G4818" s="99" t="s">
        <v>918</v>
      </c>
      <c r="H4818" s="91"/>
      <c r="I4818" s="91"/>
      <c r="J4818" s="28">
        <f>J4817*Inputs!$D$15</f>
        <v>22.266319720136668</v>
      </c>
      <c r="K4818" s="99" t="s">
        <v>916</v>
      </c>
      <c r="L4818" s="91"/>
      <c r="M4818" s="91"/>
    </row>
    <row r="4819" spans="2:13" ht="15" customHeight="1" x14ac:dyDescent="0.2">
      <c r="B4819" s="3" t="s">
        <v>921</v>
      </c>
      <c r="C4819" s="10" t="s">
        <v>848</v>
      </c>
      <c r="D4819" s="28">
        <f>Capital!$D$13</f>
        <v>57.347931490590682</v>
      </c>
      <c r="G4819" s="99" t="s">
        <v>922</v>
      </c>
      <c r="H4819" s="91"/>
      <c r="I4819" s="91"/>
      <c r="J4819" s="28">
        <f>($D$4819/Inputs!$D$21+$D$4820/Inputs!$D$22)/$D$4817</f>
        <v>24.113076913095469</v>
      </c>
      <c r="K4819" s="99" t="s">
        <v>919</v>
      </c>
      <c r="L4819" s="91"/>
      <c r="M4819" s="91"/>
    </row>
    <row r="4820" spans="2:13" ht="15" customHeight="1" x14ac:dyDescent="0.2">
      <c r="B4820" s="3" t="s">
        <v>923</v>
      </c>
      <c r="C4820" s="10" t="s">
        <v>848</v>
      </c>
      <c r="D4820" s="28">
        <f>Capital!$D$14</f>
        <v>2.6172655041921802</v>
      </c>
    </row>
    <row r="4821" spans="2:13" ht="15" customHeight="1" x14ac:dyDescent="0.2">
      <c r="B4821" s="10" t="s">
        <v>924</v>
      </c>
      <c r="C4821" s="10" t="s">
        <v>896</v>
      </c>
      <c r="D4821" s="28">
        <f>(M4794*(Inputs!$D$7+Inputs!$D$20)*$D$4817*(Inputs!$D$7-Inputs!$D$19)-M4794*Inputs!$D$20*Inputs!$D$23)/($D$4818-Inputs!$D$20)/(Inputs!$D$7+$D$4818)^M4792</f>
        <v>2068.2441036763203</v>
      </c>
      <c r="G4821" s="92" t="s">
        <v>910</v>
      </c>
      <c r="H4821" s="91"/>
      <c r="I4821" s="91"/>
      <c r="J4821" s="28">
        <f>SUM(D4813:M4813)+(M4794*(Inputs!$D$7+Inputs!$D$20)*$D$4817-M4794*Inputs!$D$20*Inputs!$D$23)/($D$4818-Inputs!$D$20)/(Inputs!$D$7+$D$4818)^M4792</f>
        <v>5128.5836368660293</v>
      </c>
      <c r="K4821" s="99" t="s">
        <v>896</v>
      </c>
      <c r="L4821" s="91"/>
      <c r="M4821" s="91"/>
    </row>
    <row r="4822" spans="2:13" ht="15" customHeight="1" x14ac:dyDescent="0.2">
      <c r="B4822" s="10" t="s">
        <v>925</v>
      </c>
      <c r="C4822" s="10" t="s">
        <v>110</v>
      </c>
      <c r="D4822" s="16">
        <f>(D4825*Inputs!$D$19-D4825-D4826)/($D$4818-Inputs!$D$20)/(Inputs!$D$7+$D$4818)^M4792</f>
        <v>-57156.954988173631</v>
      </c>
      <c r="G4822" s="92" t="s">
        <v>926</v>
      </c>
      <c r="H4822" s="91"/>
      <c r="I4822" s="91"/>
      <c r="J4822" s="16">
        <f>SUM(D4814:M4814)-(D4825+D4826)/($D$4818-Inputs!$D$20)/(Inputs!$D$7+$D$4818)^M4792</f>
        <v>-151593.17074229455</v>
      </c>
      <c r="K4822" s="99" t="s">
        <v>110</v>
      </c>
      <c r="L4822" s="91"/>
      <c r="M4822" s="91"/>
    </row>
    <row r="4823" spans="2:13" ht="15" customHeight="1" x14ac:dyDescent="0.2">
      <c r="B4823" s="10" t="s">
        <v>927</v>
      </c>
      <c r="C4823" s="10" t="s">
        <v>928</v>
      </c>
      <c r="D4823" s="16">
        <f>(M4794*(Inputs!$D$7+Inputs!$D$20)*$D$4816*$D$4817-D4825)-MAX((M4794*(Inputs!$D$7+Inputs!$D$20)*$D$4816*$D$4817-D4825),Inputs!$D$6)*Inputs!$D$19-D4826-M4794*Inputs!$D$20*$D$4816*Inputs!$D$23</f>
        <v>5252.9153381658007</v>
      </c>
      <c r="G4823" s="99" t="s">
        <v>929</v>
      </c>
      <c r="H4823" s="91"/>
      <c r="I4823" s="91"/>
      <c r="J4823" s="28">
        <f>(D4815-D4828)/D4827</f>
        <v>41.048927250947038</v>
      </c>
      <c r="K4823" s="99" t="s">
        <v>919</v>
      </c>
      <c r="L4823" s="91"/>
      <c r="M4823" s="91"/>
    </row>
    <row r="4824" spans="2:13" ht="15" customHeight="1" x14ac:dyDescent="0.2">
      <c r="B4824" s="10" t="s">
        <v>930</v>
      </c>
      <c r="C4824" s="10" t="s">
        <v>110</v>
      </c>
      <c r="D4824" s="16">
        <f>D4823/($D$4818-Inputs!$D$20)</f>
        <v>70038.871175544002</v>
      </c>
      <c r="G4824" s="99" t="s">
        <v>931</v>
      </c>
      <c r="H4824" s="91"/>
      <c r="I4824" s="91"/>
      <c r="J4824" s="16">
        <f>MIN(D4808:M4808,(M4794*(Inputs!$D$7+Inputs!$D$20)*$D$4816*$D$4817-D4825))</f>
        <v>585.25291041847777</v>
      </c>
      <c r="K4824" s="99" t="s">
        <v>110</v>
      </c>
      <c r="L4824" s="91"/>
      <c r="M4824" s="91"/>
    </row>
    <row r="4825" spans="2:13" ht="15" customHeight="1" x14ac:dyDescent="0.2">
      <c r="B4825" s="10" t="s">
        <v>932</v>
      </c>
      <c r="C4825" s="10" t="s">
        <v>928</v>
      </c>
      <c r="D4825" s="16">
        <f>M4794*(Inputs!$D$7+Inputs!$D$20)*($D$4819/Inputs!$D$21+$D$4820/Inputs!$D$22)</f>
        <v>13509.71303671543</v>
      </c>
      <c r="G4825" s="99" t="s">
        <v>933</v>
      </c>
      <c r="H4825" s="91"/>
      <c r="I4825" s="91"/>
      <c r="J4825" s="31" t="str">
        <f>IF(J4824&lt;Inputs!$D$6,"breached","satisfied")</f>
        <v>satisfied</v>
      </c>
      <c r="K4825" s="99" t="s">
        <v>934</v>
      </c>
      <c r="L4825" s="91"/>
      <c r="M4825" s="91"/>
    </row>
    <row r="4826" spans="2:13" ht="15" customHeight="1" x14ac:dyDescent="0.2">
      <c r="B4826" s="10" t="s">
        <v>935</v>
      </c>
      <c r="C4826" s="10" t="s">
        <v>928</v>
      </c>
      <c r="D4826" s="16">
        <f>M4794*Inputs!$D$20*($D$4819+$D$4820)</f>
        <v>1365.7073615561799</v>
      </c>
    </row>
    <row r="4827" spans="2:13" ht="15" customHeight="1" x14ac:dyDescent="0.2">
      <c r="B4827" s="10" t="s">
        <v>936</v>
      </c>
      <c r="C4827" s="10" t="s">
        <v>896</v>
      </c>
      <c r="D4827" s="28">
        <f>SUM(D4804:M4804)+D4821</f>
        <v>3584.2451273693523</v>
      </c>
      <c r="G4827" s="99" t="s">
        <v>937</v>
      </c>
      <c r="H4827" s="91"/>
      <c r="I4827" s="91"/>
      <c r="J4827" s="16">
        <f>D4829-D4815</f>
        <v>0</v>
      </c>
      <c r="K4827" s="99" t="s">
        <v>110</v>
      </c>
      <c r="L4827" s="91"/>
      <c r="M4827" s="91"/>
    </row>
    <row r="4828" spans="2:13" ht="15" customHeight="1" x14ac:dyDescent="0.2">
      <c r="B4828" s="10" t="s">
        <v>938</v>
      </c>
      <c r="C4828" s="10" t="s">
        <v>110</v>
      </c>
      <c r="D4828" s="16">
        <f>SUM(D4805:M4805)+D4822</f>
        <v>-114354.41748294595</v>
      </c>
    </row>
    <row r="4829" spans="2:13" ht="15" customHeight="1" x14ac:dyDescent="0.2">
      <c r="B4829" s="10" t="s">
        <v>939</v>
      </c>
      <c r="C4829" s="10" t="s">
        <v>110</v>
      </c>
      <c r="D4829" s="16">
        <f>SUM(D4812:M4812)+D4824/(Inputs!$D$7+$D$4818)^M4792</f>
        <v>32775.000000000022</v>
      </c>
    </row>
    <row r="4830" spans="2:13" ht="15" customHeight="1" x14ac:dyDescent="0.2">
      <c r="B4830" s="10" t="s">
        <v>940</v>
      </c>
      <c r="C4830" s="10" t="s">
        <v>104</v>
      </c>
      <c r="D4830" s="30">
        <f>IF(ABS(D4815)&gt;Inputs!$D$6,D4829/D4815-Inputs!$D$7,Inputs!$D$6)</f>
        <v>6.6613381477509392E-16</v>
      </c>
    </row>
    <row r="4831" spans="2:13" ht="15" customHeight="1" x14ac:dyDescent="0.2">
      <c r="B4831" s="10" t="s">
        <v>941</v>
      </c>
      <c r="C4831" s="10" t="s">
        <v>104</v>
      </c>
      <c r="D4831" s="30">
        <f>IF(ABS(D4829)&gt;Inputs!$D$119,D4824/(Inputs!$D$7+$D$4818)^M4792/D4829,Inputs!$D$6)</f>
        <v>0.84644536264945236</v>
      </c>
    </row>
    <row r="4832" spans="2:13" ht="15" customHeight="1" x14ac:dyDescent="0.2">
      <c r="B4832" s="10" t="s">
        <v>942</v>
      </c>
      <c r="C4832" s="10" t="s">
        <v>943</v>
      </c>
      <c r="D4832" s="26">
        <f>$D$4816*Inputs!$D$8/Prices!$P$6/(Inputs!$D$26/Inputs!$D$25)/Inputs!$D$11/Inputs!$D$56</f>
        <v>7.46487210761806</v>
      </c>
    </row>
    <row r="4836" spans="1:13" ht="15" customHeight="1" x14ac:dyDescent="0.2">
      <c r="A4836" s="104" t="s">
        <v>1048</v>
      </c>
      <c r="B4836" s="10" t="s">
        <v>886</v>
      </c>
      <c r="C4836" s="10" t="s">
        <v>107</v>
      </c>
      <c r="D4836" s="28">
        <f>Inputs!$D$60</f>
        <v>1</v>
      </c>
      <c r="E4836" s="28">
        <f>Inputs!$D$62</f>
        <v>2</v>
      </c>
      <c r="F4836" s="28">
        <f>Inputs!$D$64</f>
        <v>3</v>
      </c>
      <c r="G4836" s="28">
        <f>Inputs!$D$66</f>
        <v>4</v>
      </c>
      <c r="H4836" s="28">
        <f>Inputs!$D$68</f>
        <v>5</v>
      </c>
      <c r="I4836" s="28">
        <f>Inputs!$D$70</f>
        <v>6</v>
      </c>
      <c r="J4836" s="28">
        <f>Inputs!$D$72</f>
        <v>7</v>
      </c>
      <c r="K4836" s="28">
        <f>Inputs!$D$74</f>
        <v>8</v>
      </c>
      <c r="L4836" s="28">
        <f>Inputs!$D$76</f>
        <v>9</v>
      </c>
      <c r="M4836" s="28">
        <f>Inputs!$D$78</f>
        <v>10</v>
      </c>
    </row>
    <row r="4837" spans="1:13" ht="15" customHeight="1" x14ac:dyDescent="0.2">
      <c r="A4837" s="91"/>
      <c r="B4837" s="10" t="s">
        <v>887</v>
      </c>
      <c r="C4837" s="10" t="s">
        <v>161</v>
      </c>
      <c r="D4837" s="29">
        <f>Inputs!$D$61</f>
        <v>46568</v>
      </c>
      <c r="E4837" s="29">
        <f>Inputs!$D$63</f>
        <v>46934</v>
      </c>
      <c r="F4837" s="29">
        <f>Inputs!$D$65</f>
        <v>47299</v>
      </c>
      <c r="G4837" s="29">
        <f>Inputs!$D$67</f>
        <v>47664</v>
      </c>
      <c r="H4837" s="29">
        <f>Inputs!$D$69</f>
        <v>48029</v>
      </c>
      <c r="I4837" s="29">
        <f>Inputs!$D$71</f>
        <v>48395</v>
      </c>
      <c r="J4837" s="29">
        <f>Inputs!$D$73</f>
        <v>48760</v>
      </c>
      <c r="K4837" s="29">
        <f>Inputs!$D$75</f>
        <v>49125</v>
      </c>
      <c r="L4837" s="29">
        <f>Inputs!$D$77</f>
        <v>49490</v>
      </c>
      <c r="M4837" s="29">
        <f>Inputs!$D$79</f>
        <v>49856</v>
      </c>
    </row>
    <row r="4838" spans="1:13" ht="15" customHeight="1" x14ac:dyDescent="0.2">
      <c r="A4838" s="91"/>
      <c r="B4838" s="10" t="s">
        <v>888</v>
      </c>
      <c r="C4838" s="10" t="s">
        <v>107</v>
      </c>
      <c r="D4838" s="28">
        <f>(D4837-Inputs!$D$13)/Inputs!$D$10</f>
        <v>0.71457905544147848</v>
      </c>
      <c r="E4838" s="28">
        <f>(E4837-Inputs!$D$13)/Inputs!$D$10</f>
        <v>1.7166324435318274</v>
      </c>
      <c r="F4838" s="28">
        <f>(F4837-Inputs!$D$13)/Inputs!$D$10</f>
        <v>2.7159479808350446</v>
      </c>
      <c r="G4838" s="28">
        <f>(G4837-Inputs!$D$13)/Inputs!$D$10</f>
        <v>3.7152635181382614</v>
      </c>
      <c r="H4838" s="28">
        <f>(H4837-Inputs!$D$13)/Inputs!$D$10</f>
        <v>4.7145790554414786</v>
      </c>
      <c r="I4838" s="28">
        <f>(I4837-Inputs!$D$13)/Inputs!$D$10</f>
        <v>5.7166324435318279</v>
      </c>
      <c r="J4838" s="28">
        <f>(J4837-Inputs!$D$13)/Inputs!$D$10</f>
        <v>6.7159479808350442</v>
      </c>
      <c r="K4838" s="28">
        <f>(K4837-Inputs!$D$13)/Inputs!$D$10</f>
        <v>7.7152635181382614</v>
      </c>
      <c r="L4838" s="28">
        <f>(L4837-Inputs!$D$13)/Inputs!$D$10</f>
        <v>8.7145790554414777</v>
      </c>
      <c r="M4838" s="28">
        <f>(M4837-Inputs!$D$13)/Inputs!$D$10</f>
        <v>9.716632443531827</v>
      </c>
    </row>
    <row r="4839" spans="1:13" ht="15" customHeight="1" x14ac:dyDescent="0.2">
      <c r="A4839" s="91"/>
      <c r="B4839" s="10" t="s">
        <v>889</v>
      </c>
      <c r="C4839" s="10" t="s">
        <v>107</v>
      </c>
      <c r="D4839" s="28">
        <f>D4838</f>
        <v>0.71457905544147848</v>
      </c>
      <c r="E4839" s="28">
        <f>Inputs!$D$7</f>
        <v>1</v>
      </c>
      <c r="F4839" s="28">
        <f>Inputs!$D$7</f>
        <v>1</v>
      </c>
      <c r="G4839" s="28">
        <f>Inputs!$D$7</f>
        <v>1</v>
      </c>
      <c r="H4839" s="28">
        <f>Inputs!$D$7</f>
        <v>1</v>
      </c>
      <c r="I4839" s="28">
        <f>Inputs!$D$7</f>
        <v>1</v>
      </c>
      <c r="J4839" s="28">
        <f>Inputs!$D$7</f>
        <v>1</v>
      </c>
      <c r="K4839" s="28">
        <f>Inputs!$D$7</f>
        <v>1</v>
      </c>
      <c r="L4839" s="28">
        <f>Inputs!$D$7</f>
        <v>1</v>
      </c>
      <c r="M4839" s="28">
        <f>Inputs!$D$7</f>
        <v>1</v>
      </c>
    </row>
    <row r="4840" spans="1:13" ht="15" customHeight="1" x14ac:dyDescent="0.2">
      <c r="A4840" s="91"/>
      <c r="B4840" s="3" t="s">
        <v>890</v>
      </c>
      <c r="C4840" s="10" t="s">
        <v>199</v>
      </c>
      <c r="D4840" s="28">
        <f>Inputs!$D$24+(Inputs!$D$93-Inputs!$D$24)*Inputs!$D$83</f>
        <v>512.20000000000005</v>
      </c>
      <c r="E4840" s="28">
        <f>Inputs!$D$24+(Inputs!$D$93-Inputs!$D$24)*Inputs!$D$84</f>
        <v>1133.8</v>
      </c>
      <c r="F4840" s="28">
        <f>Inputs!$D$24+(Inputs!$D$93-Inputs!$D$24)*Inputs!$D$85</f>
        <v>1600</v>
      </c>
      <c r="G4840" s="28">
        <f>Inputs!$D$24+(Inputs!$D$93-Inputs!$D$24)*Inputs!$D$86</f>
        <v>1600</v>
      </c>
      <c r="H4840" s="28">
        <f>Inputs!$D$24+(Inputs!$D$93-Inputs!$D$24)*Inputs!$D$87</f>
        <v>1600</v>
      </c>
      <c r="I4840" s="28">
        <f>Inputs!$D$24+(Inputs!$D$93-Inputs!$D$24)*Inputs!$D$88</f>
        <v>1600</v>
      </c>
      <c r="J4840" s="28">
        <f>Inputs!$D$24+(Inputs!$D$93-Inputs!$D$24)*Inputs!$D$89</f>
        <v>1600</v>
      </c>
      <c r="K4840" s="28">
        <f>Inputs!$D$24+(Inputs!$D$93-Inputs!$D$24)*Inputs!$D$90</f>
        <v>1600</v>
      </c>
      <c r="L4840" s="28">
        <f>Inputs!$D$24+(Inputs!$D$93-Inputs!$D$24)*Inputs!$D$91</f>
        <v>1600</v>
      </c>
      <c r="M4840" s="28">
        <f>Inputs!$D$24+(Inputs!$D$93-Inputs!$D$24)*Inputs!$D$92</f>
        <v>1600</v>
      </c>
    </row>
    <row r="4841" spans="1:13" ht="15" customHeight="1" x14ac:dyDescent="0.2">
      <c r="A4841" s="91"/>
      <c r="B4841" s="10" t="s">
        <v>891</v>
      </c>
      <c r="C4841" s="10" t="s">
        <v>199</v>
      </c>
      <c r="D4841" s="28">
        <f>Inputs!$D$24</f>
        <v>46</v>
      </c>
      <c r="E4841" s="28">
        <f t="shared" ref="E4841:M4841" si="1050">D4840</f>
        <v>512.20000000000005</v>
      </c>
      <c r="F4841" s="28">
        <f t="shared" si="1050"/>
        <v>1133.8</v>
      </c>
      <c r="G4841" s="28">
        <f t="shared" si="1050"/>
        <v>1600</v>
      </c>
      <c r="H4841" s="28">
        <f t="shared" si="1050"/>
        <v>1600</v>
      </c>
      <c r="I4841" s="28">
        <f t="shared" si="1050"/>
        <v>1600</v>
      </c>
      <c r="J4841" s="28">
        <f t="shared" si="1050"/>
        <v>1600</v>
      </c>
      <c r="K4841" s="28">
        <f t="shared" si="1050"/>
        <v>1600</v>
      </c>
      <c r="L4841" s="28">
        <f t="shared" si="1050"/>
        <v>1600</v>
      </c>
      <c r="M4841" s="28">
        <f t="shared" si="1050"/>
        <v>1600</v>
      </c>
    </row>
    <row r="4842" spans="1:13" ht="15" customHeight="1" x14ac:dyDescent="0.2">
      <c r="B4842" s="10" t="s">
        <v>892</v>
      </c>
      <c r="C4842" s="10" t="s">
        <v>199</v>
      </c>
      <c r="D4842" s="28">
        <f>(D4841+D4840)*Inputs!$D$12</f>
        <v>279.10000000000002</v>
      </c>
      <c r="E4842" s="28">
        <f>(E4841+E4840)*Inputs!$D$12</f>
        <v>823</v>
      </c>
      <c r="F4842" s="28">
        <f>(F4841+F4840)*Inputs!$D$12</f>
        <v>1366.9</v>
      </c>
      <c r="G4842" s="28">
        <f>(G4841+G4840)*Inputs!$D$12</f>
        <v>1600</v>
      </c>
      <c r="H4842" s="28">
        <f>(H4841+H4840)*Inputs!$D$12</f>
        <v>1600</v>
      </c>
      <c r="I4842" s="28">
        <f>(I4841+I4840)*Inputs!$D$12</f>
        <v>1600</v>
      </c>
      <c r="J4842" s="28">
        <f>(J4841+J4840)*Inputs!$D$12</f>
        <v>1600</v>
      </c>
      <c r="K4842" s="28">
        <f>(K4841+K4840)*Inputs!$D$12</f>
        <v>1600</v>
      </c>
      <c r="L4842" s="28">
        <f>(L4841+L4840)*Inputs!$D$12</f>
        <v>1600</v>
      </c>
      <c r="M4842" s="28">
        <f>(M4841+M4840)*Inputs!$D$12</f>
        <v>1600</v>
      </c>
    </row>
    <row r="4843" spans="1:13" ht="15" customHeight="1" x14ac:dyDescent="0.2">
      <c r="B4843" s="10" t="s">
        <v>893</v>
      </c>
      <c r="C4843" s="10" t="s">
        <v>199</v>
      </c>
      <c r="D4843" s="28">
        <f t="shared" ref="D4843:M4843" si="1051">D4840-D4841</f>
        <v>466.20000000000005</v>
      </c>
      <c r="E4843" s="28">
        <f t="shared" si="1051"/>
        <v>621.59999999999991</v>
      </c>
      <c r="F4843" s="28">
        <f t="shared" si="1051"/>
        <v>466.20000000000005</v>
      </c>
      <c r="G4843" s="28">
        <f t="shared" si="1051"/>
        <v>0</v>
      </c>
      <c r="H4843" s="28">
        <f t="shared" si="1051"/>
        <v>0</v>
      </c>
      <c r="I4843" s="28">
        <f t="shared" si="1051"/>
        <v>0</v>
      </c>
      <c r="J4843" s="28">
        <f t="shared" si="1051"/>
        <v>0</v>
      </c>
      <c r="K4843" s="28">
        <f t="shared" si="1051"/>
        <v>0</v>
      </c>
      <c r="L4843" s="28">
        <f t="shared" si="1051"/>
        <v>0</v>
      </c>
      <c r="M4843" s="28">
        <f t="shared" si="1051"/>
        <v>0</v>
      </c>
    </row>
    <row r="4844" spans="1:13" ht="15" customHeight="1" x14ac:dyDescent="0.2">
      <c r="B4844" s="10" t="s">
        <v>894</v>
      </c>
      <c r="C4844" s="10" t="s">
        <v>199</v>
      </c>
      <c r="D4844" s="28">
        <f>IF(MOD(D4836,Inputs!$D$21)=Inputs!$D$6,Inputs!$D$24,Inputs!$D$6)+SUMPRODUCT(--(D4836&gt;$D$4836:$M$4836),--(MOD(D4836-$D$4836:$M$4836,Inputs!$D$21)=Inputs!$D$6),$D$4843:$M$4843)</f>
        <v>0</v>
      </c>
      <c r="E4844" s="28">
        <f>IF(MOD(E4836,Inputs!$D$21)=Inputs!$D$6,Inputs!$D$24,Inputs!$D$6)+SUMPRODUCT(--(E4836&gt;$D$4836:$M$4836),--(MOD(E4836-$D$4836:$M$4836,Inputs!$D$21)=Inputs!$D$6),$D$4843:$M$4843)</f>
        <v>0</v>
      </c>
      <c r="F4844" s="28">
        <f>IF(MOD(F4836,Inputs!$D$21)=Inputs!$D$6,Inputs!$D$24,Inputs!$D$6)+SUMPRODUCT(--(F4836&gt;$D$4836:$M$4836),--(MOD(F4836-$D$4836:$M$4836,Inputs!$D$21)=Inputs!$D$6),$D$4843:$M$4843)</f>
        <v>0</v>
      </c>
      <c r="G4844" s="28">
        <f>IF(MOD(G4836,Inputs!$D$21)=Inputs!$D$6,Inputs!$D$24,Inputs!$D$6)+SUMPRODUCT(--(G4836&gt;$D$4836:$M$4836),--(MOD(G4836-$D$4836:$M$4836,Inputs!$D$21)=Inputs!$D$6),$D$4843:$M$4843)</f>
        <v>46</v>
      </c>
      <c r="H4844" s="28">
        <f>IF(MOD(H4836,Inputs!$D$21)=Inputs!$D$6,Inputs!$D$24,Inputs!$D$6)+SUMPRODUCT(--(H4836&gt;$D$4836:$M$4836),--(MOD(H4836-$D$4836:$M$4836,Inputs!$D$21)=Inputs!$D$6),$D$4843:$M$4843)</f>
        <v>466.20000000000005</v>
      </c>
      <c r="I4844" s="28">
        <f>IF(MOD(I4836,Inputs!$D$21)=Inputs!$D$6,Inputs!$D$24,Inputs!$D$6)+SUMPRODUCT(--(I4836&gt;$D$4836:$M$4836),--(MOD(I4836-$D$4836:$M$4836,Inputs!$D$21)=Inputs!$D$6),$D$4843:$M$4843)</f>
        <v>621.59999999999991</v>
      </c>
      <c r="J4844" s="28">
        <f>IF(MOD(J4836,Inputs!$D$21)=Inputs!$D$6,Inputs!$D$24,Inputs!$D$6)+SUMPRODUCT(--(J4836&gt;$D$4836:$M$4836),--(MOD(J4836-$D$4836:$M$4836,Inputs!$D$21)=Inputs!$D$6),$D$4843:$M$4843)</f>
        <v>466.20000000000005</v>
      </c>
      <c r="K4844" s="28">
        <f>IF(MOD(K4836,Inputs!$D$21)=Inputs!$D$6,Inputs!$D$24,Inputs!$D$6)+SUMPRODUCT(--(K4836&gt;$D$4836:$M$4836),--(MOD(K4836-$D$4836:$M$4836,Inputs!$D$21)=Inputs!$D$6),$D$4843:$M$4843)</f>
        <v>46</v>
      </c>
      <c r="L4844" s="28">
        <f>IF(MOD(L4836,Inputs!$D$21)=Inputs!$D$6,Inputs!$D$24,Inputs!$D$6)+SUMPRODUCT(--(L4836&gt;$D$4836:$M$4836),--(MOD(L4836-$D$4836:$M$4836,Inputs!$D$21)=Inputs!$D$6),$D$4843:$M$4843)</f>
        <v>466.20000000000005</v>
      </c>
      <c r="M4844" s="28">
        <f>IF(MOD(M4836,Inputs!$D$21)=Inputs!$D$6,Inputs!$D$24,Inputs!$D$6)+SUMPRODUCT(--(M4836&gt;$D$4836:$M$4836),--(MOD(M4836-$D$4836:$M$4836,Inputs!$D$21)=Inputs!$D$6),$D$4843:$M$4843)</f>
        <v>621.59999999999991</v>
      </c>
    </row>
    <row r="4845" spans="1:13" ht="15" customHeight="1" x14ac:dyDescent="0.2">
      <c r="B4845" s="10" t="s">
        <v>895</v>
      </c>
      <c r="C4845" s="10" t="s">
        <v>896</v>
      </c>
      <c r="D4845" s="28">
        <f t="shared" ref="D4845:M4845" si="1052">D4842*D4839</f>
        <v>199.43901437371667</v>
      </c>
      <c r="E4845" s="28">
        <f t="shared" si="1052"/>
        <v>823</v>
      </c>
      <c r="F4845" s="28">
        <f t="shared" si="1052"/>
        <v>1366.9</v>
      </c>
      <c r="G4845" s="28">
        <f t="shared" si="1052"/>
        <v>1600</v>
      </c>
      <c r="H4845" s="28">
        <f t="shared" si="1052"/>
        <v>1600</v>
      </c>
      <c r="I4845" s="28">
        <f t="shared" si="1052"/>
        <v>1600</v>
      </c>
      <c r="J4845" s="28">
        <f t="shared" si="1052"/>
        <v>1600</v>
      </c>
      <c r="K4845" s="28">
        <f t="shared" si="1052"/>
        <v>1600</v>
      </c>
      <c r="L4845" s="28">
        <f t="shared" si="1052"/>
        <v>1600</v>
      </c>
      <c r="M4845" s="28">
        <f t="shared" si="1052"/>
        <v>1600</v>
      </c>
    </row>
    <row r="4846" spans="1:13" ht="15" customHeight="1" x14ac:dyDescent="0.2">
      <c r="B4846" s="10" t="s">
        <v>897</v>
      </c>
      <c r="C4846" s="10" t="s">
        <v>110</v>
      </c>
      <c r="D4846" s="16">
        <f>D4845*($D$4865/Inputs!$D$21+$D$4866/Inputs!$D$22)</f>
        <v>2885.4529758392296</v>
      </c>
      <c r="E4846" s="16">
        <f>E4845*($D$4865/Inputs!$D$21+$D$4866/Inputs!$D$22)</f>
        <v>11907.037379686541</v>
      </c>
      <c r="F4846" s="16">
        <f>F4845*($D$4865/Inputs!$D$21+$D$4866/Inputs!$D$22)</f>
        <v>19776.098899506116</v>
      </c>
      <c r="G4846" s="16">
        <f>G4845*($D$4865/Inputs!$D$21+$D$4866/Inputs!$D$22)</f>
        <v>23148.553836571649</v>
      </c>
      <c r="H4846" s="16">
        <f>H4845*($D$4865/Inputs!$D$21+$D$4866/Inputs!$D$22)</f>
        <v>23148.553836571649</v>
      </c>
      <c r="I4846" s="16">
        <f>I4845*($D$4865/Inputs!$D$21+$D$4866/Inputs!$D$22)</f>
        <v>23148.553836571649</v>
      </c>
      <c r="J4846" s="16">
        <f>J4845*($D$4865/Inputs!$D$21+$D$4866/Inputs!$D$22)</f>
        <v>23148.553836571649</v>
      </c>
      <c r="K4846" s="16">
        <f>K4845*($D$4865/Inputs!$D$21+$D$4866/Inputs!$D$22)</f>
        <v>23148.553836571649</v>
      </c>
      <c r="L4846" s="16">
        <f>L4845*($D$4865/Inputs!$D$21+$D$4866/Inputs!$D$22)</f>
        <v>23148.553836571649</v>
      </c>
      <c r="M4846" s="16">
        <f>M4845*($D$4865/Inputs!$D$21+$D$4866/Inputs!$D$22)</f>
        <v>23148.553836571649</v>
      </c>
    </row>
    <row r="4847" spans="1:13" ht="15" customHeight="1" x14ac:dyDescent="0.2">
      <c r="B4847" s="10" t="s">
        <v>898</v>
      </c>
      <c r="C4847" s="10" t="s">
        <v>110</v>
      </c>
      <c r="D4847" s="16">
        <f t="shared" ref="D4847:M4847" si="1053">D4843*($D$4865+$D$4866)</f>
        <v>27955.774838967773</v>
      </c>
      <c r="E4847" s="16">
        <f t="shared" si="1053"/>
        <v>37274.366451957023</v>
      </c>
      <c r="F4847" s="16">
        <f t="shared" si="1053"/>
        <v>27955.774838967773</v>
      </c>
      <c r="G4847" s="16">
        <f t="shared" si="1053"/>
        <v>0</v>
      </c>
      <c r="H4847" s="16">
        <f t="shared" si="1053"/>
        <v>0</v>
      </c>
      <c r="I4847" s="16">
        <f t="shared" si="1053"/>
        <v>0</v>
      </c>
      <c r="J4847" s="16">
        <f t="shared" si="1053"/>
        <v>0</v>
      </c>
      <c r="K4847" s="16">
        <f t="shared" si="1053"/>
        <v>0</v>
      </c>
      <c r="L4847" s="16">
        <f t="shared" si="1053"/>
        <v>0</v>
      </c>
      <c r="M4847" s="16">
        <f t="shared" si="1053"/>
        <v>0</v>
      </c>
    </row>
    <row r="4848" spans="1:13" ht="15" customHeight="1" x14ac:dyDescent="0.2">
      <c r="B4848" s="10" t="s">
        <v>899</v>
      </c>
      <c r="C4848" s="10" t="s">
        <v>110</v>
      </c>
      <c r="D4848" s="16">
        <f t="shared" ref="D4848:M4848" si="1054">D4844*$D$4865</f>
        <v>0</v>
      </c>
      <c r="E4848" s="16">
        <f t="shared" si="1054"/>
        <v>0</v>
      </c>
      <c r="F4848" s="16">
        <f t="shared" si="1054"/>
        <v>0</v>
      </c>
      <c r="G4848" s="16">
        <f t="shared" si="1054"/>
        <v>2638.0048485671714</v>
      </c>
      <c r="H4848" s="16">
        <f t="shared" si="1054"/>
        <v>26735.605660913378</v>
      </c>
      <c r="I4848" s="16">
        <f t="shared" si="1054"/>
        <v>35647.474214551163</v>
      </c>
      <c r="J4848" s="16">
        <f t="shared" si="1054"/>
        <v>26735.605660913378</v>
      </c>
      <c r="K4848" s="16">
        <f t="shared" si="1054"/>
        <v>2638.0048485671714</v>
      </c>
      <c r="L4848" s="16">
        <f t="shared" si="1054"/>
        <v>26735.605660913378</v>
      </c>
      <c r="M4848" s="16">
        <f t="shared" si="1054"/>
        <v>35647.474214551163</v>
      </c>
    </row>
    <row r="4849" spans="2:13" ht="15" customHeight="1" x14ac:dyDescent="0.2">
      <c r="B4849" s="10" t="s">
        <v>900</v>
      </c>
      <c r="C4849" s="10" t="s">
        <v>199</v>
      </c>
      <c r="D4849" s="28">
        <f>D4843*Inputs!$D$23</f>
        <v>11.655000000000001</v>
      </c>
      <c r="E4849" s="28">
        <f>E4843*Inputs!$D$23</f>
        <v>15.54</v>
      </c>
      <c r="F4849" s="28">
        <f>F4843*Inputs!$D$23</f>
        <v>11.655000000000001</v>
      </c>
      <c r="G4849" s="28">
        <f>G4843*Inputs!$D$23</f>
        <v>0</v>
      </c>
      <c r="H4849" s="28">
        <f>H4843*Inputs!$D$23</f>
        <v>0</v>
      </c>
      <c r="I4849" s="28">
        <f>I4843*Inputs!$D$23</f>
        <v>0</v>
      </c>
      <c r="J4849" s="28">
        <f>J4843*Inputs!$D$23</f>
        <v>0</v>
      </c>
      <c r="K4849" s="28">
        <f>K4843*Inputs!$D$23</f>
        <v>0</v>
      </c>
      <c r="L4849" s="28">
        <f>L4843*Inputs!$D$23</f>
        <v>0</v>
      </c>
      <c r="M4849" s="28">
        <f>M4843*Inputs!$D$23</f>
        <v>0</v>
      </c>
    </row>
    <row r="4850" spans="2:13" ht="15" customHeight="1" x14ac:dyDescent="0.2">
      <c r="B4850" s="3" t="s">
        <v>901</v>
      </c>
      <c r="C4850" s="10" t="s">
        <v>896</v>
      </c>
      <c r="D4850" s="28">
        <f>(D4845*$D$4863*(Inputs!$D$7-Inputs!$D$19)-D4849)/(Inputs!$D$7+$D$4864)^D4838</f>
        <v>67.361764076638423</v>
      </c>
      <c r="E4850" s="28">
        <f>(E4845*$D$4863*(Inputs!$D$7-Inputs!$D$19)-E4849)/(Inputs!$D$7+$D$4864)^E4838</f>
        <v>280.29529652215348</v>
      </c>
      <c r="F4850" s="28">
        <f>(F4845*$D$4863*(Inputs!$D$7-Inputs!$D$19)-F4849)/(Inputs!$D$7+$D$4864)^F4838</f>
        <v>434.1683252988114</v>
      </c>
      <c r="G4850" s="28">
        <f>(G4845*$D$4863*(Inputs!$D$7-Inputs!$D$19)-G4849)/(Inputs!$D$7+$D$4864)^G4838</f>
        <v>471.61166655007548</v>
      </c>
      <c r="H4850" s="28">
        <f>(H4845*$D$4863*(Inputs!$D$7-Inputs!$D$19)-H4849)/(Inputs!$D$7+$D$4864)^H4838</f>
        <v>428.76584885109446</v>
      </c>
      <c r="I4850" s="28">
        <f>(I4845*$D$4863*(Inputs!$D$7-Inputs!$D$19)-I4849)/(Inputs!$D$7+$D$4864)^I4838</f>
        <v>389.71085801561958</v>
      </c>
      <c r="J4850" s="28">
        <f>(J4845*$D$4863*(Inputs!$D$7-Inputs!$D$19)-J4849)/(Inputs!$D$7+$D$4864)^J4838</f>
        <v>354.30571102255266</v>
      </c>
      <c r="K4850" s="28">
        <f>(K4845*$D$4863*(Inputs!$D$7-Inputs!$D$19)-K4849)/(Inputs!$D$7+$D$4864)^K4838</f>
        <v>322.1171139608465</v>
      </c>
      <c r="L4850" s="28">
        <f>(L4845*$D$4863*(Inputs!$D$7-Inputs!$D$19)-L4849)/(Inputs!$D$7+$D$4864)^L4838</f>
        <v>292.85284396632358</v>
      </c>
      <c r="M4850" s="28">
        <f>(M4845*$D$4863*(Inputs!$D$7-Inputs!$D$19)-M4849)/(Inputs!$D$7+$D$4864)^M4838</f>
        <v>266.1777597265347</v>
      </c>
    </row>
    <row r="4851" spans="2:13" ht="15" customHeight="1" x14ac:dyDescent="0.2">
      <c r="B4851" s="10" t="s">
        <v>902</v>
      </c>
      <c r="C4851" s="10" t="s">
        <v>110</v>
      </c>
      <c r="D4851" s="16">
        <f>(D4846*Inputs!$D$19-D4847-D4848)/(Inputs!$D$7+$D$4864)^D4838</f>
        <v>-25306.546745010444</v>
      </c>
      <c r="E4851" s="16">
        <f>(E4846*Inputs!$D$19-E4847-E4848)/(Inputs!$D$7+$D$4864)^E4838</f>
        <v>-28615.60531144682</v>
      </c>
      <c r="F4851" s="16">
        <f>(F4846*Inputs!$D$19-F4847-F4848)/(Inputs!$D$7+$D$4864)^F4838</f>
        <v>-17000.238641466985</v>
      </c>
      <c r="G4851" s="16">
        <f>(G4846*Inputs!$D$19-G4847-G4848)/(Inputs!$D$7+$D$4864)^G4838</f>
        <v>3022.3579656651286</v>
      </c>
      <c r="H4851" s="16">
        <f>(H4846*Inputs!$D$19-H4847-H4848)/(Inputs!$D$7+$D$4864)^H4838</f>
        <v>-12627.562284413363</v>
      </c>
      <c r="I4851" s="16">
        <f>(I4846*Inputs!$D$19-I4847-I4848)/(Inputs!$D$7+$D$4864)^I4838</f>
        <v>-16645.587691965891</v>
      </c>
      <c r="J4851" s="16">
        <f>(J4846*Inputs!$D$19-J4847-J4848)/(Inputs!$D$7+$D$4864)^J4838</f>
        <v>-10434.640365246118</v>
      </c>
      <c r="K4851" s="16">
        <f>(K4846*Inputs!$D$19-K4847-K4848)/(Inputs!$D$7+$D$4864)^K4838</f>
        <v>2064.3111574790846</v>
      </c>
      <c r="L4851" s="16">
        <f>(L4846*Inputs!$D$19-L4847-L4848)/(Inputs!$D$7+$D$4864)^L4838</f>
        <v>-8624.7949487148144</v>
      </c>
      <c r="M4851" s="16">
        <f>(M4846*Inputs!$D$19-M4847-M4848)/(Inputs!$D$7+$D$4864)^M4838</f>
        <v>-11369.160366071912</v>
      </c>
    </row>
    <row r="4852" spans="2:13" ht="15" customHeight="1" x14ac:dyDescent="0.2">
      <c r="B4852" s="10" t="s">
        <v>903</v>
      </c>
      <c r="C4852" s="10" t="s">
        <v>110</v>
      </c>
      <c r="D4852" s="16">
        <f t="shared" ref="D4852:M4852" si="1055">D4845*$D$4862</f>
        <v>7434.5215430165035</v>
      </c>
      <c r="E4852" s="16">
        <f t="shared" si="1055"/>
        <v>30679.10884495893</v>
      </c>
      <c r="F4852" s="16">
        <f t="shared" si="1055"/>
        <v>50954.160243225226</v>
      </c>
      <c r="G4852" s="16">
        <f t="shared" si="1055"/>
        <v>59643.467985339354</v>
      </c>
      <c r="H4852" s="16">
        <f t="shared" si="1055"/>
        <v>59643.467985339354</v>
      </c>
      <c r="I4852" s="16">
        <f t="shared" si="1055"/>
        <v>59643.467985339354</v>
      </c>
      <c r="J4852" s="16">
        <f t="shared" si="1055"/>
        <v>59643.467985339354</v>
      </c>
      <c r="K4852" s="16">
        <f t="shared" si="1055"/>
        <v>59643.467985339354</v>
      </c>
      <c r="L4852" s="16">
        <f t="shared" si="1055"/>
        <v>59643.467985339354</v>
      </c>
      <c r="M4852" s="16">
        <f t="shared" si="1055"/>
        <v>59643.467985339354</v>
      </c>
    </row>
    <row r="4853" spans="2:13" ht="15" customHeight="1" x14ac:dyDescent="0.2">
      <c r="B4853" s="10" t="s">
        <v>904</v>
      </c>
      <c r="C4853" s="10" t="s">
        <v>110</v>
      </c>
      <c r="D4853" s="16">
        <f t="shared" ref="D4853:M4853" si="1056">D4852*$D$4863</f>
        <v>4460.7129258099021</v>
      </c>
      <c r="E4853" s="16">
        <f t="shared" si="1056"/>
        <v>18407.465306975359</v>
      </c>
      <c r="F4853" s="16">
        <f t="shared" si="1056"/>
        <v>30572.496145935133</v>
      </c>
      <c r="G4853" s="16">
        <f t="shared" si="1056"/>
        <v>35786.080791203611</v>
      </c>
      <c r="H4853" s="16">
        <f t="shared" si="1056"/>
        <v>35786.080791203611</v>
      </c>
      <c r="I4853" s="16">
        <f t="shared" si="1056"/>
        <v>35786.080791203611</v>
      </c>
      <c r="J4853" s="16">
        <f t="shared" si="1056"/>
        <v>35786.080791203611</v>
      </c>
      <c r="K4853" s="16">
        <f t="shared" si="1056"/>
        <v>35786.080791203611</v>
      </c>
      <c r="L4853" s="16">
        <f t="shared" si="1056"/>
        <v>35786.080791203611</v>
      </c>
      <c r="M4853" s="16">
        <f t="shared" si="1056"/>
        <v>35786.080791203611</v>
      </c>
    </row>
    <row r="4854" spans="2:13" ht="15" customHeight="1" x14ac:dyDescent="0.2">
      <c r="B4854" s="10" t="s">
        <v>905</v>
      </c>
      <c r="C4854" s="10" t="s">
        <v>110</v>
      </c>
      <c r="D4854" s="16">
        <f t="shared" ref="D4854:M4854" si="1057">D4853-D4846</f>
        <v>1575.2599499706726</v>
      </c>
      <c r="E4854" s="16">
        <f t="shared" si="1057"/>
        <v>6500.427927288818</v>
      </c>
      <c r="F4854" s="16">
        <f t="shared" si="1057"/>
        <v>10796.397246429016</v>
      </c>
      <c r="G4854" s="16">
        <f t="shared" si="1057"/>
        <v>12637.526954631961</v>
      </c>
      <c r="H4854" s="16">
        <f t="shared" si="1057"/>
        <v>12637.526954631961</v>
      </c>
      <c r="I4854" s="16">
        <f t="shared" si="1057"/>
        <v>12637.526954631961</v>
      </c>
      <c r="J4854" s="16">
        <f t="shared" si="1057"/>
        <v>12637.526954631961</v>
      </c>
      <c r="K4854" s="16">
        <f t="shared" si="1057"/>
        <v>12637.526954631961</v>
      </c>
      <c r="L4854" s="16">
        <f t="shared" si="1057"/>
        <v>12637.526954631961</v>
      </c>
      <c r="M4854" s="16">
        <f t="shared" si="1057"/>
        <v>12637.526954631961</v>
      </c>
    </row>
    <row r="4855" spans="2:13" ht="15" customHeight="1" x14ac:dyDescent="0.2">
      <c r="B4855" s="10" t="s">
        <v>906</v>
      </c>
      <c r="C4855" s="10" t="s">
        <v>110</v>
      </c>
      <c r="D4855" s="16">
        <f>MAX(D4854,Inputs!$D$6)*Inputs!$D$19</f>
        <v>472.57798499120173</v>
      </c>
      <c r="E4855" s="16">
        <f>MAX(E4854,Inputs!$D$6)*Inputs!$D$19</f>
        <v>1950.1283781866453</v>
      </c>
      <c r="F4855" s="16">
        <f>MAX(F4854,Inputs!$D$6)*Inputs!$D$19</f>
        <v>3238.9191739287048</v>
      </c>
      <c r="G4855" s="16">
        <f>MAX(G4854,Inputs!$D$6)*Inputs!$D$19</f>
        <v>3791.2580863895882</v>
      </c>
      <c r="H4855" s="16">
        <f>MAX(H4854,Inputs!$D$6)*Inputs!$D$19</f>
        <v>3791.2580863895882</v>
      </c>
      <c r="I4855" s="16">
        <f>MAX(I4854,Inputs!$D$6)*Inputs!$D$19</f>
        <v>3791.2580863895882</v>
      </c>
      <c r="J4855" s="16">
        <f>MAX(J4854,Inputs!$D$6)*Inputs!$D$19</f>
        <v>3791.2580863895882</v>
      </c>
      <c r="K4855" s="16">
        <f>MAX(K4854,Inputs!$D$6)*Inputs!$D$19</f>
        <v>3791.2580863895882</v>
      </c>
      <c r="L4855" s="16">
        <f>MAX(L4854,Inputs!$D$6)*Inputs!$D$19</f>
        <v>3791.2580863895882</v>
      </c>
      <c r="M4855" s="16">
        <f>MAX(M4854,Inputs!$D$6)*Inputs!$D$19</f>
        <v>3791.2580863895882</v>
      </c>
    </row>
    <row r="4856" spans="2:13" ht="15" customHeight="1" x14ac:dyDescent="0.2">
      <c r="B4856" s="10" t="s">
        <v>907</v>
      </c>
      <c r="C4856" s="10" t="s">
        <v>110</v>
      </c>
      <c r="D4856" s="16">
        <f t="shared" ref="D4856:M4856" si="1058">D4849*$D$4862</f>
        <v>434.46538710570638</v>
      </c>
      <c r="E4856" s="16">
        <f t="shared" si="1058"/>
        <v>579.28718280760836</v>
      </c>
      <c r="F4856" s="16">
        <f t="shared" si="1058"/>
        <v>434.46538710570638</v>
      </c>
      <c r="G4856" s="16">
        <f t="shared" si="1058"/>
        <v>0</v>
      </c>
      <c r="H4856" s="16">
        <f t="shared" si="1058"/>
        <v>0</v>
      </c>
      <c r="I4856" s="16">
        <f t="shared" si="1058"/>
        <v>0</v>
      </c>
      <c r="J4856" s="16">
        <f t="shared" si="1058"/>
        <v>0</v>
      </c>
      <c r="K4856" s="16">
        <f t="shared" si="1058"/>
        <v>0</v>
      </c>
      <c r="L4856" s="16">
        <f t="shared" si="1058"/>
        <v>0</v>
      </c>
      <c r="M4856" s="16">
        <f t="shared" si="1058"/>
        <v>0</v>
      </c>
    </row>
    <row r="4857" spans="2:13" ht="15" customHeight="1" x14ac:dyDescent="0.2">
      <c r="B4857" s="10" t="s">
        <v>908</v>
      </c>
      <c r="C4857" s="10" t="s">
        <v>110</v>
      </c>
      <c r="D4857" s="16">
        <f t="shared" ref="D4857:M4857" si="1059">D4853-D4855-D4847-D4848-D4856</f>
        <v>-24402.105285254776</v>
      </c>
      <c r="E4857" s="16">
        <f t="shared" si="1059"/>
        <v>-21396.316705975918</v>
      </c>
      <c r="F4857" s="16">
        <f t="shared" si="1059"/>
        <v>-1056.6632540670519</v>
      </c>
      <c r="G4857" s="16">
        <f t="shared" si="1059"/>
        <v>29356.817856246849</v>
      </c>
      <c r="H4857" s="16">
        <f t="shared" si="1059"/>
        <v>5259.2170439006441</v>
      </c>
      <c r="I4857" s="16">
        <f t="shared" si="1059"/>
        <v>-3652.6515097371412</v>
      </c>
      <c r="J4857" s="16">
        <f t="shared" si="1059"/>
        <v>5259.2170439006441</v>
      </c>
      <c r="K4857" s="16">
        <f t="shared" si="1059"/>
        <v>29356.817856246849</v>
      </c>
      <c r="L4857" s="16">
        <f t="shared" si="1059"/>
        <v>5259.2170439006441</v>
      </c>
      <c r="M4857" s="16">
        <f t="shared" si="1059"/>
        <v>-3652.6515097371412</v>
      </c>
    </row>
    <row r="4858" spans="2:13" ht="15" customHeight="1" x14ac:dyDescent="0.2">
      <c r="B4858" s="10" t="s">
        <v>909</v>
      </c>
      <c r="C4858" s="10" t="s">
        <v>110</v>
      </c>
      <c r="D4858" s="16">
        <f>D4857/(Inputs!$D$7+$D$4864)^D4838</f>
        <v>-22795.490983047337</v>
      </c>
      <c r="E4858" s="16">
        <f>E4857/(Inputs!$D$7+$D$4864)^E4838</f>
        <v>-18166.990596096653</v>
      </c>
      <c r="F4858" s="16">
        <f>F4857/(Inputs!$D$7+$D$4864)^F4838</f>
        <v>-815.67326008694988</v>
      </c>
      <c r="G4858" s="16">
        <f>G4857/(Inputs!$D$7+$D$4864)^G4838</f>
        <v>20602.705050285105</v>
      </c>
      <c r="H4858" s="16">
        <f>H4857/(Inputs!$D$7+$D$4864)^H4838</f>
        <v>3355.6140775598265</v>
      </c>
      <c r="I4858" s="16">
        <f>I4857/(Inputs!$D$7+$D$4864)^I4838</f>
        <v>-2118.2707647198058</v>
      </c>
      <c r="J4858" s="16">
        <f>J4857/(Inputs!$D$7+$D$4864)^J4838</f>
        <v>2772.8729675017044</v>
      </c>
      <c r="K4858" s="16">
        <f>K4857/(Inputs!$D$7+$D$4864)^K4838</f>
        <v>14071.924766262617</v>
      </c>
      <c r="L4858" s="16">
        <f>L4857/(Inputs!$D$7+$D$4864)^L4838</f>
        <v>2291.9295659858108</v>
      </c>
      <c r="M4858" s="16">
        <f>M4857/(Inputs!$D$7+$D$4864)^M4838</f>
        <v>-1446.8074344100849</v>
      </c>
    </row>
    <row r="4859" spans="2:13" ht="15" customHeight="1" x14ac:dyDescent="0.2">
      <c r="B4859" s="3" t="s">
        <v>910</v>
      </c>
      <c r="C4859" s="10" t="s">
        <v>896</v>
      </c>
      <c r="D4859" s="28">
        <f>(D4845*$D$4863-D4849)/(Inputs!$D$7+$D$4864)^D4838</f>
        <v>100.89722489537324</v>
      </c>
      <c r="E4859" s="28">
        <f>(E4845*$D$4863-E4849)/(Inputs!$D$7+$D$4864)^E4838</f>
        <v>406.07666459070981</v>
      </c>
      <c r="F4859" s="28">
        <f>(F4845*$D$4863-F4849)/(Inputs!$D$7+$D$4864)^F4838</f>
        <v>624.09627016286015</v>
      </c>
      <c r="G4859" s="28">
        <f>(G4845*$D$4863-G4849)/(Inputs!$D$7+$D$4864)^G4838</f>
        <v>673.73095221439348</v>
      </c>
      <c r="H4859" s="28">
        <f>(H4845*$D$4863-H4849)/(Inputs!$D$7+$D$4864)^H4838</f>
        <v>612.52264121584926</v>
      </c>
      <c r="I4859" s="28">
        <f>(I4845*$D$4863-I4849)/(Inputs!$D$7+$D$4864)^I4838</f>
        <v>556.72979716517079</v>
      </c>
      <c r="J4859" s="28">
        <f>(J4845*$D$4863-J4849)/(Inputs!$D$7+$D$4864)^J4838</f>
        <v>506.15101574650379</v>
      </c>
      <c r="K4859" s="28">
        <f>(K4845*$D$4863-K4849)/(Inputs!$D$7+$D$4864)^K4838</f>
        <v>460.16730565835212</v>
      </c>
      <c r="L4859" s="28">
        <f>(L4845*$D$4863-L4849)/(Inputs!$D$7+$D$4864)^L4838</f>
        <v>418.36120566617655</v>
      </c>
      <c r="M4859" s="28">
        <f>(M4845*$D$4863-M4849)/(Inputs!$D$7+$D$4864)^M4838</f>
        <v>380.25394246647818</v>
      </c>
    </row>
    <row r="4860" spans="2:13" ht="15" customHeight="1" x14ac:dyDescent="0.2">
      <c r="B4860" s="10" t="s">
        <v>911</v>
      </c>
      <c r="C4860" s="10" t="s">
        <v>110</v>
      </c>
      <c r="D4860" s="16">
        <f>(-D4847-D4848)/(Inputs!$D$7+$D$4864)^D4838</f>
        <v>-26115.189891048693</v>
      </c>
      <c r="E4860" s="16">
        <f>(-E4847-E4848)/(Inputs!$D$7+$D$4864)^E4838</f>
        <v>-31648.581113918288</v>
      </c>
      <c r="F4860" s="16">
        <f>(-F4847-F4848)/(Inputs!$D$7+$D$4864)^F4838</f>
        <v>-21579.985783919947</v>
      </c>
      <c r="G4860" s="16">
        <f>(-G4847-G4848)/(Inputs!$D$7+$D$4864)^G4838</f>
        <v>-1851.359915178487</v>
      </c>
      <c r="H4860" s="16">
        <f>(-H4847-H4848)/(Inputs!$D$7+$D$4864)^H4838</f>
        <v>-17058.50395200841</v>
      </c>
      <c r="I4860" s="16">
        <f>(-I4847-I4848)/(Inputs!$D$7+$D$4864)^I4838</f>
        <v>-20672.92821762263</v>
      </c>
      <c r="J4860" s="16">
        <f>(-J4847-J4848)/(Inputs!$D$7+$D$4864)^J4838</f>
        <v>-14096.097876947169</v>
      </c>
      <c r="K4860" s="16">
        <f>(-K4847-K4848)/(Inputs!$D$7+$D$4864)^K4838</f>
        <v>-1264.5037327904422</v>
      </c>
      <c r="L4860" s="16">
        <f>(-L4847-L4848)/(Inputs!$D$7+$D$4864)^L4838</f>
        <v>-11651.187727619976</v>
      </c>
      <c r="M4860" s="16">
        <f>(-M4847-M4848)/(Inputs!$D$7+$D$4864)^M4838</f>
        <v>-14119.888134432502</v>
      </c>
    </row>
    <row r="4861" spans="2:13" ht="15" customHeight="1" x14ac:dyDescent="0.2">
      <c r="B4861" s="10" t="s">
        <v>912</v>
      </c>
      <c r="C4861" s="10" t="s">
        <v>110</v>
      </c>
      <c r="D4861" s="16">
        <f>Prices!I8</f>
        <v>32775</v>
      </c>
    </row>
    <row r="4862" spans="2:13" ht="15" customHeight="1" x14ac:dyDescent="0.2">
      <c r="B4862" s="3" t="s">
        <v>913</v>
      </c>
      <c r="C4862" s="10" t="s">
        <v>914</v>
      </c>
      <c r="D4862" s="28">
        <f>IF(J4869&gt;=J4865,J4869,(D4861-J4868)/J4867)</f>
        <v>37.277167490837094</v>
      </c>
      <c r="G4862" s="99" t="s">
        <v>915</v>
      </c>
      <c r="H4862" s="91"/>
      <c r="I4862" s="91"/>
      <c r="J4862" s="28">
        <f>D4862*Inputs!$D$15</f>
        <v>26.015735191855207</v>
      </c>
      <c r="K4862" s="99" t="s">
        <v>916</v>
      </c>
      <c r="L4862" s="91"/>
      <c r="M4862" s="91"/>
    </row>
    <row r="4863" spans="2:13" ht="15" customHeight="1" x14ac:dyDescent="0.2">
      <c r="B4863" s="10" t="s">
        <v>917</v>
      </c>
      <c r="C4863" s="10" t="s">
        <v>104</v>
      </c>
      <c r="D4863" s="30">
        <f>Inputs!$D$81</f>
        <v>0.6</v>
      </c>
      <c r="G4863" s="99" t="s">
        <v>918</v>
      </c>
      <c r="H4863" s="91"/>
      <c r="I4863" s="91"/>
      <c r="J4863" s="28">
        <f>IF(-D4874/D4873&gt;=J4865,-D4874/D4873,-J4868/J4867)</f>
        <v>32.55444198319757</v>
      </c>
      <c r="K4863" s="99" t="s">
        <v>919</v>
      </c>
      <c r="L4863" s="91"/>
      <c r="M4863" s="91"/>
    </row>
    <row r="4864" spans="2:13" ht="15" customHeight="1" x14ac:dyDescent="0.2">
      <c r="B4864" s="10" t="s">
        <v>920</v>
      </c>
      <c r="C4864" s="10" t="s">
        <v>104</v>
      </c>
      <c r="D4864" s="30">
        <f>Inputs!$D$82</f>
        <v>0.1</v>
      </c>
      <c r="G4864" s="99" t="s">
        <v>918</v>
      </c>
      <c r="H4864" s="91"/>
      <c r="I4864" s="91"/>
      <c r="J4864" s="28">
        <f>J4863*Inputs!$D$15</f>
        <v>22.719745060073585</v>
      </c>
      <c r="K4864" s="99" t="s">
        <v>916</v>
      </c>
      <c r="L4864" s="91"/>
      <c r="M4864" s="91"/>
    </row>
    <row r="4865" spans="2:13" ht="15" customHeight="1" x14ac:dyDescent="0.2">
      <c r="B4865" s="3" t="s">
        <v>921</v>
      </c>
      <c r="C4865" s="10" t="s">
        <v>848</v>
      </c>
      <c r="D4865" s="28">
        <f>Capital!$D$13</f>
        <v>57.347931490590682</v>
      </c>
      <c r="G4865" s="99" t="s">
        <v>922</v>
      </c>
      <c r="H4865" s="91"/>
      <c r="I4865" s="91"/>
      <c r="J4865" s="28">
        <f>($D$4865/Inputs!$D$21+$D$4866/Inputs!$D$22)/$D$4863</f>
        <v>24.113076913095469</v>
      </c>
      <c r="K4865" s="99" t="s">
        <v>919</v>
      </c>
      <c r="L4865" s="91"/>
      <c r="M4865" s="91"/>
    </row>
    <row r="4866" spans="2:13" ht="15" customHeight="1" x14ac:dyDescent="0.2">
      <c r="B4866" s="3" t="s">
        <v>923</v>
      </c>
      <c r="C4866" s="10" t="s">
        <v>848</v>
      </c>
      <c r="D4866" s="28">
        <f>Capital!$D$14</f>
        <v>2.6172655041921802</v>
      </c>
    </row>
    <row r="4867" spans="2:13" ht="15" customHeight="1" x14ac:dyDescent="0.2">
      <c r="B4867" s="10" t="s">
        <v>924</v>
      </c>
      <c r="C4867" s="10" t="s">
        <v>896</v>
      </c>
      <c r="D4867" s="28">
        <f>(M4840*(Inputs!$D$7+Inputs!$D$20)*$D$4863*(Inputs!$D$7-Inputs!$D$19)-M4840*Inputs!$D$20*Inputs!$D$23)/($D$4864-Inputs!$D$20)/(Inputs!$D$7+$D$4864)^M4838</f>
        <v>3632.4814115061608</v>
      </c>
      <c r="G4867" s="92" t="s">
        <v>910</v>
      </c>
      <c r="H4867" s="91"/>
      <c r="I4867" s="91"/>
      <c r="J4867" s="28">
        <f>SUM(D4859:M4859)+(M4840*(Inputs!$D$7+Inputs!$D$20)*$D$4863-M4840*Inputs!$D$20*Inputs!$D$23)/($D$4864-Inputs!$D$20)/(Inputs!$D$7+$D$4864)^M4838</f>
        <v>9930.5095954005883</v>
      </c>
      <c r="K4867" s="99" t="s">
        <v>896</v>
      </c>
      <c r="L4867" s="91"/>
      <c r="M4867" s="91"/>
    </row>
    <row r="4868" spans="2:13" ht="15" customHeight="1" x14ac:dyDescent="0.2">
      <c r="B4868" s="10" t="s">
        <v>925</v>
      </c>
      <c r="C4868" s="10" t="s">
        <v>110</v>
      </c>
      <c r="D4868" s="16">
        <f>(D4871*Inputs!$D$19-D4871-D4872)/($D$4864-Inputs!$D$20)/(Inputs!$D$7+$D$4864)^M4838</f>
        <v>-100385.43137330168</v>
      </c>
      <c r="G4868" s="92" t="s">
        <v>926</v>
      </c>
      <c r="H4868" s="91"/>
      <c r="I4868" s="91"/>
      <c r="J4868" s="16">
        <f>SUM(D4860:M4860)-(D4871+D4872)/($D$4864-Inputs!$D$20)/(Inputs!$D$7+$D$4864)^M4838</f>
        <v>-298036.93721971626</v>
      </c>
      <c r="K4868" s="99" t="s">
        <v>110</v>
      </c>
      <c r="L4868" s="91"/>
      <c r="M4868" s="91"/>
    </row>
    <row r="4869" spans="2:13" ht="15" customHeight="1" x14ac:dyDescent="0.2">
      <c r="B4869" s="10" t="s">
        <v>927</v>
      </c>
      <c r="C4869" s="10" t="s">
        <v>928</v>
      </c>
      <c r="D4869" s="16">
        <f>(M4840*(Inputs!$D$7+Inputs!$D$20)*$D$4862*$D$4863-D4871)-MAX((M4840*(Inputs!$D$7+Inputs!$D$20)*$D$4862*$D$4863-D4871),Inputs!$D$6)*Inputs!$D$19-D4872-M4840*Inputs!$D$20*$D$4862*Inputs!$D$23</f>
        <v>6631.5405426662792</v>
      </c>
      <c r="G4869" s="99" t="s">
        <v>929</v>
      </c>
      <c r="H4869" s="91"/>
      <c r="I4869" s="91"/>
      <c r="J4869" s="28">
        <f>(D4861-D4874)/D4873</f>
        <v>37.277167490837094</v>
      </c>
      <c r="K4869" s="99" t="s">
        <v>919</v>
      </c>
      <c r="L4869" s="91"/>
      <c r="M4869" s="91"/>
    </row>
    <row r="4870" spans="2:13" ht="15" customHeight="1" x14ac:dyDescent="0.2">
      <c r="B4870" s="10" t="s">
        <v>930</v>
      </c>
      <c r="C4870" s="10" t="s">
        <v>110</v>
      </c>
      <c r="D4870" s="16">
        <f>D4869/($D$4864-Inputs!$D$20)</f>
        <v>88420.540568883705</v>
      </c>
      <c r="G4870" s="99" t="s">
        <v>931</v>
      </c>
      <c r="H4870" s="91"/>
      <c r="I4870" s="91"/>
      <c r="J4870" s="16">
        <f>MIN(D4854:M4854,(M4840*(Inputs!$D$7+Inputs!$D$20)*$D$4862*$D$4863-D4871))</f>
        <v>1575.2599499706726</v>
      </c>
      <c r="K4870" s="99" t="s">
        <v>110</v>
      </c>
      <c r="L4870" s="91"/>
      <c r="M4870" s="91"/>
    </row>
    <row r="4871" spans="2:13" ht="15" customHeight="1" x14ac:dyDescent="0.2">
      <c r="B4871" s="10" t="s">
        <v>932</v>
      </c>
      <c r="C4871" s="10" t="s">
        <v>928</v>
      </c>
      <c r="D4871" s="16">
        <f>M4840*(Inputs!$D$7+Inputs!$D$20)*($D$4865/Inputs!$D$21+$D$4866/Inputs!$D$22)</f>
        <v>23727.267682485937</v>
      </c>
      <c r="G4871" s="99" t="s">
        <v>933</v>
      </c>
      <c r="H4871" s="91"/>
      <c r="I4871" s="91"/>
      <c r="J4871" s="31" t="str">
        <f>IF(J4870&lt;Inputs!$D$6,"breached","satisfied")</f>
        <v>satisfied</v>
      </c>
      <c r="K4871" s="99" t="s">
        <v>934</v>
      </c>
      <c r="L4871" s="91"/>
      <c r="M4871" s="91"/>
    </row>
    <row r="4872" spans="2:13" ht="15" customHeight="1" x14ac:dyDescent="0.2">
      <c r="B4872" s="10" t="s">
        <v>935</v>
      </c>
      <c r="C4872" s="10" t="s">
        <v>928</v>
      </c>
      <c r="D4872" s="16">
        <f>M4840*Inputs!$D$20*($D$4865+$D$4866)</f>
        <v>2398.6078797913146</v>
      </c>
    </row>
    <row r="4873" spans="2:13" ht="15" customHeight="1" x14ac:dyDescent="0.2">
      <c r="B4873" s="10" t="s">
        <v>936</v>
      </c>
      <c r="C4873" s="10" t="s">
        <v>896</v>
      </c>
      <c r="D4873" s="28">
        <f>SUM(D4850:M4850)+D4867</f>
        <v>6939.8485994968105</v>
      </c>
      <c r="G4873" s="99" t="s">
        <v>937</v>
      </c>
      <c r="H4873" s="91"/>
      <c r="I4873" s="91"/>
      <c r="J4873" s="16">
        <f>D4875-D4861</f>
        <v>6.5483618527650833E-11</v>
      </c>
      <c r="K4873" s="99" t="s">
        <v>110</v>
      </c>
      <c r="L4873" s="91"/>
      <c r="M4873" s="91"/>
    </row>
    <row r="4874" spans="2:13" ht="15" customHeight="1" x14ac:dyDescent="0.2">
      <c r="B4874" s="10" t="s">
        <v>938</v>
      </c>
      <c r="C4874" s="10" t="s">
        <v>110</v>
      </c>
      <c r="D4874" s="16">
        <f>SUM(D4851:M4851)+D4868</f>
        <v>-225922.89860449382</v>
      </c>
    </row>
    <row r="4875" spans="2:13" ht="15" customHeight="1" x14ac:dyDescent="0.2">
      <c r="B4875" s="10" t="s">
        <v>939</v>
      </c>
      <c r="C4875" s="10" t="s">
        <v>110</v>
      </c>
      <c r="D4875" s="16">
        <f>SUM(D4858:M4858)+D4870/(Inputs!$D$7+$D$4864)^M4838</f>
        <v>32775.000000000065</v>
      </c>
    </row>
    <row r="4876" spans="2:13" ht="15" customHeight="1" x14ac:dyDescent="0.2">
      <c r="B4876" s="10" t="s">
        <v>940</v>
      </c>
      <c r="C4876" s="10" t="s">
        <v>104</v>
      </c>
      <c r="D4876" s="30">
        <f>IF(ABS(D4861)&gt;Inputs!$D$6,D4875/D4861-Inputs!$D$7,Inputs!$D$6)</f>
        <v>1.9984014443252818E-15</v>
      </c>
    </row>
    <row r="4877" spans="2:13" ht="15" customHeight="1" x14ac:dyDescent="0.2">
      <c r="B4877" s="10" t="s">
        <v>941</v>
      </c>
      <c r="C4877" s="10" t="s">
        <v>104</v>
      </c>
      <c r="D4877" s="30">
        <f>IF(ABS(D4875)&gt;Inputs!$D$119,D4870/(Inputs!$D$7+$D$4864)^M4838/D4875,Inputs!$D$6)</f>
        <v>1.0685945571553246</v>
      </c>
    </row>
    <row r="4878" spans="2:13" ht="15" customHeight="1" x14ac:dyDescent="0.2">
      <c r="B4878" s="10" t="s">
        <v>942</v>
      </c>
      <c r="C4878" s="10" t="s">
        <v>943</v>
      </c>
      <c r="D4878" s="26">
        <f>$D$4862*Inputs!$D$8/Prices!$P$6/(Inputs!$D$26/Inputs!$D$25)/Inputs!$D$11/Inputs!$D$56</f>
        <v>6.7789661384375552</v>
      </c>
    </row>
    <row r="4882" spans="1:13" ht="15" customHeight="1" x14ac:dyDescent="0.2">
      <c r="A4882" s="104" t="s">
        <v>1049</v>
      </c>
      <c r="B4882" s="10" t="s">
        <v>886</v>
      </c>
      <c r="C4882" s="10" t="s">
        <v>107</v>
      </c>
      <c r="D4882" s="28">
        <f>Inputs!$D$60</f>
        <v>1</v>
      </c>
      <c r="E4882" s="28">
        <f>Inputs!$D$62</f>
        <v>2</v>
      </c>
      <c r="F4882" s="28">
        <f>Inputs!$D$64</f>
        <v>3</v>
      </c>
      <c r="G4882" s="28">
        <f>Inputs!$D$66</f>
        <v>4</v>
      </c>
      <c r="H4882" s="28">
        <f>Inputs!$D$68</f>
        <v>5</v>
      </c>
      <c r="I4882" s="28">
        <f>Inputs!$D$70</f>
        <v>6</v>
      </c>
      <c r="J4882" s="28">
        <f>Inputs!$D$72</f>
        <v>7</v>
      </c>
      <c r="K4882" s="28">
        <f>Inputs!$D$74</f>
        <v>8</v>
      </c>
      <c r="L4882" s="28">
        <f>Inputs!$D$76</f>
        <v>9</v>
      </c>
      <c r="M4882" s="28">
        <f>Inputs!$D$78</f>
        <v>10</v>
      </c>
    </row>
    <row r="4883" spans="1:13" ht="15" customHeight="1" x14ac:dyDescent="0.2">
      <c r="A4883" s="91"/>
      <c r="B4883" s="10" t="s">
        <v>887</v>
      </c>
      <c r="C4883" s="10" t="s">
        <v>161</v>
      </c>
      <c r="D4883" s="29">
        <f>Inputs!$D$61</f>
        <v>46568</v>
      </c>
      <c r="E4883" s="29">
        <f>Inputs!$D$63</f>
        <v>46934</v>
      </c>
      <c r="F4883" s="29">
        <f>Inputs!$D$65</f>
        <v>47299</v>
      </c>
      <c r="G4883" s="29">
        <f>Inputs!$D$67</f>
        <v>47664</v>
      </c>
      <c r="H4883" s="29">
        <f>Inputs!$D$69</f>
        <v>48029</v>
      </c>
      <c r="I4883" s="29">
        <f>Inputs!$D$71</f>
        <v>48395</v>
      </c>
      <c r="J4883" s="29">
        <f>Inputs!$D$73</f>
        <v>48760</v>
      </c>
      <c r="K4883" s="29">
        <f>Inputs!$D$75</f>
        <v>49125</v>
      </c>
      <c r="L4883" s="29">
        <f>Inputs!$D$77</f>
        <v>49490</v>
      </c>
      <c r="M4883" s="29">
        <f>Inputs!$D$79</f>
        <v>49856</v>
      </c>
    </row>
    <row r="4884" spans="1:13" ht="15" customHeight="1" x14ac:dyDescent="0.2">
      <c r="A4884" s="91"/>
      <c r="B4884" s="10" t="s">
        <v>888</v>
      </c>
      <c r="C4884" s="10" t="s">
        <v>107</v>
      </c>
      <c r="D4884" s="28">
        <f>(D4883-Inputs!$D$13)/Inputs!$D$10</f>
        <v>0.71457905544147848</v>
      </c>
      <c r="E4884" s="28">
        <f>(E4883-Inputs!$D$13)/Inputs!$D$10</f>
        <v>1.7166324435318274</v>
      </c>
      <c r="F4884" s="28">
        <f>(F4883-Inputs!$D$13)/Inputs!$D$10</f>
        <v>2.7159479808350446</v>
      </c>
      <c r="G4884" s="28">
        <f>(G4883-Inputs!$D$13)/Inputs!$D$10</f>
        <v>3.7152635181382614</v>
      </c>
      <c r="H4884" s="28">
        <f>(H4883-Inputs!$D$13)/Inputs!$D$10</f>
        <v>4.7145790554414786</v>
      </c>
      <c r="I4884" s="28">
        <f>(I4883-Inputs!$D$13)/Inputs!$D$10</f>
        <v>5.7166324435318279</v>
      </c>
      <c r="J4884" s="28">
        <f>(J4883-Inputs!$D$13)/Inputs!$D$10</f>
        <v>6.7159479808350442</v>
      </c>
      <c r="K4884" s="28">
        <f>(K4883-Inputs!$D$13)/Inputs!$D$10</f>
        <v>7.7152635181382614</v>
      </c>
      <c r="L4884" s="28">
        <f>(L4883-Inputs!$D$13)/Inputs!$D$10</f>
        <v>8.7145790554414777</v>
      </c>
      <c r="M4884" s="28">
        <f>(M4883-Inputs!$D$13)/Inputs!$D$10</f>
        <v>9.716632443531827</v>
      </c>
    </row>
    <row r="4885" spans="1:13" ht="15" customHeight="1" x14ac:dyDescent="0.2">
      <c r="A4885" s="91"/>
      <c r="B4885" s="10" t="s">
        <v>889</v>
      </c>
      <c r="C4885" s="10" t="s">
        <v>107</v>
      </c>
      <c r="D4885" s="28">
        <f>D4884</f>
        <v>0.71457905544147848</v>
      </c>
      <c r="E4885" s="28">
        <f>Inputs!$D$7</f>
        <v>1</v>
      </c>
      <c r="F4885" s="28">
        <f>Inputs!$D$7</f>
        <v>1</v>
      </c>
      <c r="G4885" s="28">
        <f>Inputs!$D$7</f>
        <v>1</v>
      </c>
      <c r="H4885" s="28">
        <f>Inputs!$D$7</f>
        <v>1</v>
      </c>
      <c r="I4885" s="28">
        <f>Inputs!$D$7</f>
        <v>1</v>
      </c>
      <c r="J4885" s="28">
        <f>Inputs!$D$7</f>
        <v>1</v>
      </c>
      <c r="K4885" s="28">
        <f>Inputs!$D$7</f>
        <v>1</v>
      </c>
      <c r="L4885" s="28">
        <f>Inputs!$D$7</f>
        <v>1</v>
      </c>
      <c r="M4885" s="28">
        <f>Inputs!$D$7</f>
        <v>1</v>
      </c>
    </row>
    <row r="4886" spans="1:13" ht="15" customHeight="1" x14ac:dyDescent="0.2">
      <c r="A4886" s="91"/>
      <c r="B4886" s="3" t="s">
        <v>890</v>
      </c>
      <c r="C4886" s="10" t="s">
        <v>199</v>
      </c>
      <c r="D4886" s="28">
        <f>Inputs!$D$24+(Inputs!$D$80-Inputs!$D$24)*Inputs!$D$109</f>
        <v>115.2</v>
      </c>
      <c r="E4886" s="28">
        <f>Inputs!$D$24+(Inputs!$D$80-Inputs!$D$24)*Inputs!$D$110</f>
        <v>288.20000000000005</v>
      </c>
      <c r="F4886" s="28">
        <f>Inputs!$D$24+(Inputs!$D$80-Inputs!$D$24)*Inputs!$D$111</f>
        <v>478.5</v>
      </c>
      <c r="G4886" s="28">
        <f>Inputs!$D$24+(Inputs!$D$80-Inputs!$D$24)*Inputs!$D$112</f>
        <v>694.75</v>
      </c>
      <c r="H4886" s="28">
        <f>Inputs!$D$24+(Inputs!$D$80-Inputs!$D$24)*Inputs!$D$113</f>
        <v>911</v>
      </c>
      <c r="I4886" s="28">
        <f>Inputs!$D$24+(Inputs!$D$80-Inputs!$D$24)*Inputs!$D$114</f>
        <v>911</v>
      </c>
      <c r="J4886" s="28">
        <f>Inputs!$D$24+(Inputs!$D$80-Inputs!$D$24)*Inputs!$D$115</f>
        <v>911</v>
      </c>
      <c r="K4886" s="28">
        <f>Inputs!$D$24+(Inputs!$D$80-Inputs!$D$24)*Inputs!$D$116</f>
        <v>911</v>
      </c>
      <c r="L4886" s="28">
        <f>Inputs!$D$24+(Inputs!$D$80-Inputs!$D$24)*Inputs!$D$117</f>
        <v>911</v>
      </c>
      <c r="M4886" s="28">
        <f>Inputs!$D$24+(Inputs!$D$80-Inputs!$D$24)*Inputs!$D$118</f>
        <v>911</v>
      </c>
    </row>
    <row r="4887" spans="1:13" ht="15" customHeight="1" x14ac:dyDescent="0.2">
      <c r="A4887" s="91"/>
      <c r="B4887" s="10" t="s">
        <v>891</v>
      </c>
      <c r="C4887" s="10" t="s">
        <v>199</v>
      </c>
      <c r="D4887" s="28">
        <f>Inputs!$D$24</f>
        <v>46</v>
      </c>
      <c r="E4887" s="28">
        <f t="shared" ref="E4887:M4887" si="1060">D4886</f>
        <v>115.2</v>
      </c>
      <c r="F4887" s="28">
        <f t="shared" si="1060"/>
        <v>288.20000000000005</v>
      </c>
      <c r="G4887" s="28">
        <f t="shared" si="1060"/>
        <v>478.5</v>
      </c>
      <c r="H4887" s="28">
        <f t="shared" si="1060"/>
        <v>694.75</v>
      </c>
      <c r="I4887" s="28">
        <f t="shared" si="1060"/>
        <v>911</v>
      </c>
      <c r="J4887" s="28">
        <f t="shared" si="1060"/>
        <v>911</v>
      </c>
      <c r="K4887" s="28">
        <f t="shared" si="1060"/>
        <v>911</v>
      </c>
      <c r="L4887" s="28">
        <f t="shared" si="1060"/>
        <v>911</v>
      </c>
      <c r="M4887" s="28">
        <f t="shared" si="1060"/>
        <v>911</v>
      </c>
    </row>
    <row r="4888" spans="1:13" ht="15" customHeight="1" x14ac:dyDescent="0.2">
      <c r="B4888" s="10" t="s">
        <v>892</v>
      </c>
      <c r="C4888" s="10" t="s">
        <v>199</v>
      </c>
      <c r="D4888" s="28">
        <f>(D4887+D4886)*Inputs!$D$12</f>
        <v>80.599999999999994</v>
      </c>
      <c r="E4888" s="28">
        <f>(E4887+E4886)*Inputs!$D$12</f>
        <v>201.70000000000002</v>
      </c>
      <c r="F4888" s="28">
        <f>(F4887+F4886)*Inputs!$D$12</f>
        <v>383.35</v>
      </c>
      <c r="G4888" s="28">
        <f>(G4887+G4886)*Inputs!$D$12</f>
        <v>586.625</v>
      </c>
      <c r="H4888" s="28">
        <f>(H4887+H4886)*Inputs!$D$12</f>
        <v>802.875</v>
      </c>
      <c r="I4888" s="28">
        <f>(I4887+I4886)*Inputs!$D$12</f>
        <v>911</v>
      </c>
      <c r="J4888" s="28">
        <f>(J4887+J4886)*Inputs!$D$12</f>
        <v>911</v>
      </c>
      <c r="K4888" s="28">
        <f>(K4887+K4886)*Inputs!$D$12</f>
        <v>911</v>
      </c>
      <c r="L4888" s="28">
        <f>(L4887+L4886)*Inputs!$D$12</f>
        <v>911</v>
      </c>
      <c r="M4888" s="28">
        <f>(M4887+M4886)*Inputs!$D$12</f>
        <v>911</v>
      </c>
    </row>
    <row r="4889" spans="1:13" ht="15" customHeight="1" x14ac:dyDescent="0.2">
      <c r="B4889" s="10" t="s">
        <v>893</v>
      </c>
      <c r="C4889" s="10" t="s">
        <v>199</v>
      </c>
      <c r="D4889" s="28">
        <f t="shared" ref="D4889:M4889" si="1061">D4886-D4887</f>
        <v>69.2</v>
      </c>
      <c r="E4889" s="28">
        <f t="shared" si="1061"/>
        <v>173.00000000000006</v>
      </c>
      <c r="F4889" s="28">
        <f t="shared" si="1061"/>
        <v>190.29999999999995</v>
      </c>
      <c r="G4889" s="28">
        <f t="shared" si="1061"/>
        <v>216.25</v>
      </c>
      <c r="H4889" s="28">
        <f t="shared" si="1061"/>
        <v>216.25</v>
      </c>
      <c r="I4889" s="28">
        <f t="shared" si="1061"/>
        <v>0</v>
      </c>
      <c r="J4889" s="28">
        <f t="shared" si="1061"/>
        <v>0</v>
      </c>
      <c r="K4889" s="28">
        <f t="shared" si="1061"/>
        <v>0</v>
      </c>
      <c r="L4889" s="28">
        <f t="shared" si="1061"/>
        <v>0</v>
      </c>
      <c r="M4889" s="28">
        <f t="shared" si="1061"/>
        <v>0</v>
      </c>
    </row>
    <row r="4890" spans="1:13" ht="15" customHeight="1" x14ac:dyDescent="0.2">
      <c r="B4890" s="10" t="s">
        <v>894</v>
      </c>
      <c r="C4890" s="10" t="s">
        <v>199</v>
      </c>
      <c r="D4890" s="28">
        <f>IF(MOD(D4882,Inputs!$D$21)=Inputs!$D$6,Inputs!$D$24,Inputs!$D$6)+SUMPRODUCT(--(D4882&gt;$D$4882:$M$4882),--(MOD(D4882-$D$4882:$M$4882,Inputs!$D$21)=Inputs!$D$6),$D$4889:$M$4889)</f>
        <v>0</v>
      </c>
      <c r="E4890" s="28">
        <f>IF(MOD(E4882,Inputs!$D$21)=Inputs!$D$6,Inputs!$D$24,Inputs!$D$6)+SUMPRODUCT(--(E4882&gt;$D$4882:$M$4882),--(MOD(E4882-$D$4882:$M$4882,Inputs!$D$21)=Inputs!$D$6),$D$4889:$M$4889)</f>
        <v>0</v>
      </c>
      <c r="F4890" s="28">
        <f>IF(MOD(F4882,Inputs!$D$21)=Inputs!$D$6,Inputs!$D$24,Inputs!$D$6)+SUMPRODUCT(--(F4882&gt;$D$4882:$M$4882),--(MOD(F4882-$D$4882:$M$4882,Inputs!$D$21)=Inputs!$D$6),$D$4889:$M$4889)</f>
        <v>0</v>
      </c>
      <c r="G4890" s="28">
        <f>IF(MOD(G4882,Inputs!$D$21)=Inputs!$D$6,Inputs!$D$24,Inputs!$D$6)+SUMPRODUCT(--(G4882&gt;$D$4882:$M$4882),--(MOD(G4882-$D$4882:$M$4882,Inputs!$D$21)=Inputs!$D$6),$D$4889:$M$4889)</f>
        <v>46</v>
      </c>
      <c r="H4890" s="28">
        <f>IF(MOD(H4882,Inputs!$D$21)=Inputs!$D$6,Inputs!$D$24,Inputs!$D$6)+SUMPRODUCT(--(H4882&gt;$D$4882:$M$4882),--(MOD(H4882-$D$4882:$M$4882,Inputs!$D$21)=Inputs!$D$6),$D$4889:$M$4889)</f>
        <v>69.2</v>
      </c>
      <c r="I4890" s="28">
        <f>IF(MOD(I4882,Inputs!$D$21)=Inputs!$D$6,Inputs!$D$24,Inputs!$D$6)+SUMPRODUCT(--(I4882&gt;$D$4882:$M$4882),--(MOD(I4882-$D$4882:$M$4882,Inputs!$D$21)=Inputs!$D$6),$D$4889:$M$4889)</f>
        <v>173.00000000000006</v>
      </c>
      <c r="J4890" s="28">
        <f>IF(MOD(J4882,Inputs!$D$21)=Inputs!$D$6,Inputs!$D$24,Inputs!$D$6)+SUMPRODUCT(--(J4882&gt;$D$4882:$M$4882),--(MOD(J4882-$D$4882:$M$4882,Inputs!$D$21)=Inputs!$D$6),$D$4889:$M$4889)</f>
        <v>190.29999999999995</v>
      </c>
      <c r="K4890" s="28">
        <f>IF(MOD(K4882,Inputs!$D$21)=Inputs!$D$6,Inputs!$D$24,Inputs!$D$6)+SUMPRODUCT(--(K4882&gt;$D$4882:$M$4882),--(MOD(K4882-$D$4882:$M$4882,Inputs!$D$21)=Inputs!$D$6),$D$4889:$M$4889)</f>
        <v>262.25</v>
      </c>
      <c r="L4890" s="28">
        <f>IF(MOD(L4882,Inputs!$D$21)=Inputs!$D$6,Inputs!$D$24,Inputs!$D$6)+SUMPRODUCT(--(L4882&gt;$D$4882:$M$4882),--(MOD(L4882-$D$4882:$M$4882,Inputs!$D$21)=Inputs!$D$6),$D$4889:$M$4889)</f>
        <v>285.45</v>
      </c>
      <c r="M4890" s="28">
        <f>IF(MOD(M4882,Inputs!$D$21)=Inputs!$D$6,Inputs!$D$24,Inputs!$D$6)+SUMPRODUCT(--(M4882&gt;$D$4882:$M$4882),--(MOD(M4882-$D$4882:$M$4882,Inputs!$D$21)=Inputs!$D$6),$D$4889:$M$4889)</f>
        <v>173.00000000000006</v>
      </c>
    </row>
    <row r="4891" spans="1:13" ht="15" customHeight="1" x14ac:dyDescent="0.2">
      <c r="B4891" s="10" t="s">
        <v>895</v>
      </c>
      <c r="C4891" s="10" t="s">
        <v>896</v>
      </c>
      <c r="D4891" s="28">
        <f t="shared" ref="D4891:M4891" si="1062">D4888*D4885</f>
        <v>57.595071868583162</v>
      </c>
      <c r="E4891" s="28">
        <f t="shared" si="1062"/>
        <v>201.70000000000002</v>
      </c>
      <c r="F4891" s="28">
        <f t="shared" si="1062"/>
        <v>383.35</v>
      </c>
      <c r="G4891" s="28">
        <f t="shared" si="1062"/>
        <v>586.625</v>
      </c>
      <c r="H4891" s="28">
        <f t="shared" si="1062"/>
        <v>802.875</v>
      </c>
      <c r="I4891" s="28">
        <f t="shared" si="1062"/>
        <v>911</v>
      </c>
      <c r="J4891" s="28">
        <f t="shared" si="1062"/>
        <v>911</v>
      </c>
      <c r="K4891" s="28">
        <f t="shared" si="1062"/>
        <v>911</v>
      </c>
      <c r="L4891" s="28">
        <f t="shared" si="1062"/>
        <v>911</v>
      </c>
      <c r="M4891" s="28">
        <f t="shared" si="1062"/>
        <v>911</v>
      </c>
    </row>
    <row r="4892" spans="1:13" ht="15" customHeight="1" x14ac:dyDescent="0.2">
      <c r="B4892" s="10" t="s">
        <v>897</v>
      </c>
      <c r="C4892" s="10" t="s">
        <v>110</v>
      </c>
      <c r="D4892" s="16">
        <f>D4891*($D$4911/Inputs!$D$21+$D$4912/Inputs!$D$22)</f>
        <v>833.27663866944408</v>
      </c>
      <c r="E4892" s="16">
        <f>E4891*($D$4911/Inputs!$D$21+$D$4912/Inputs!$D$22)</f>
        <v>2918.1645680228135</v>
      </c>
      <c r="F4892" s="16">
        <f>F4891*($D$4911/Inputs!$D$21+$D$4912/Inputs!$D$22)</f>
        <v>5546.2488207810884</v>
      </c>
      <c r="G4892" s="16">
        <f>G4891*($D$4911/Inputs!$D$21+$D$4912/Inputs!$D$22)</f>
        <v>8487.2002464867765</v>
      </c>
      <c r="H4892" s="16">
        <f>H4891*($D$4911/Inputs!$D$21+$D$4912/Inputs!$D$22)</f>
        <v>11615.871975960914</v>
      </c>
      <c r="I4892" s="16">
        <f>I4891*($D$4911/Inputs!$D$21+$D$4912/Inputs!$D$22)</f>
        <v>13180.207840697982</v>
      </c>
      <c r="J4892" s="16">
        <f>J4891*($D$4911/Inputs!$D$21+$D$4912/Inputs!$D$22)</f>
        <v>13180.207840697982</v>
      </c>
      <c r="K4892" s="16">
        <f>K4891*($D$4911/Inputs!$D$21+$D$4912/Inputs!$D$22)</f>
        <v>13180.207840697982</v>
      </c>
      <c r="L4892" s="16">
        <f>L4891*($D$4911/Inputs!$D$21+$D$4912/Inputs!$D$22)</f>
        <v>13180.207840697982</v>
      </c>
      <c r="M4892" s="16">
        <f>M4891*($D$4911/Inputs!$D$21+$D$4912/Inputs!$D$22)</f>
        <v>13180.207840697982</v>
      </c>
    </row>
    <row r="4893" spans="1:13" ht="15" customHeight="1" x14ac:dyDescent="0.2">
      <c r="B4893" s="10" t="s">
        <v>898</v>
      </c>
      <c r="C4893" s="10" t="s">
        <v>110</v>
      </c>
      <c r="D4893" s="16">
        <f t="shared" ref="D4893:M4893" si="1063">D4889*($D$4911+$D$4912)</f>
        <v>4149.5916320389742</v>
      </c>
      <c r="E4893" s="16">
        <f t="shared" si="1063"/>
        <v>10373.979080097439</v>
      </c>
      <c r="F4893" s="16">
        <f t="shared" si="1063"/>
        <v>11411.376988107177</v>
      </c>
      <c r="G4893" s="16">
        <f t="shared" si="1063"/>
        <v>12967.473850121794</v>
      </c>
      <c r="H4893" s="16">
        <f t="shared" si="1063"/>
        <v>12967.473850121794</v>
      </c>
      <c r="I4893" s="16">
        <f t="shared" si="1063"/>
        <v>0</v>
      </c>
      <c r="J4893" s="16">
        <f t="shared" si="1063"/>
        <v>0</v>
      </c>
      <c r="K4893" s="16">
        <f t="shared" si="1063"/>
        <v>0</v>
      </c>
      <c r="L4893" s="16">
        <f t="shared" si="1063"/>
        <v>0</v>
      </c>
      <c r="M4893" s="16">
        <f t="shared" si="1063"/>
        <v>0</v>
      </c>
    </row>
    <row r="4894" spans="1:13" ht="15" customHeight="1" x14ac:dyDescent="0.2">
      <c r="B4894" s="10" t="s">
        <v>899</v>
      </c>
      <c r="C4894" s="10" t="s">
        <v>110</v>
      </c>
      <c r="D4894" s="16">
        <f t="shared" ref="D4894:M4894" si="1064">D4890*$D$4911</f>
        <v>0</v>
      </c>
      <c r="E4894" s="16">
        <f t="shared" si="1064"/>
        <v>0</v>
      </c>
      <c r="F4894" s="16">
        <f t="shared" si="1064"/>
        <v>0</v>
      </c>
      <c r="G4894" s="16">
        <f t="shared" si="1064"/>
        <v>2638.0048485671714</v>
      </c>
      <c r="H4894" s="16">
        <f t="shared" si="1064"/>
        <v>3968.4768591488755</v>
      </c>
      <c r="I4894" s="16">
        <f t="shared" si="1064"/>
        <v>9921.1921478721906</v>
      </c>
      <c r="J4894" s="16">
        <f t="shared" si="1064"/>
        <v>10913.311362659404</v>
      </c>
      <c r="K4894" s="16">
        <f t="shared" si="1064"/>
        <v>15039.495033407406</v>
      </c>
      <c r="L4894" s="16">
        <f t="shared" si="1064"/>
        <v>16369.967043989109</v>
      </c>
      <c r="M4894" s="16">
        <f t="shared" si="1064"/>
        <v>9921.1921478721906</v>
      </c>
    </row>
    <row r="4895" spans="1:13" ht="15" customHeight="1" x14ac:dyDescent="0.2">
      <c r="B4895" s="10" t="s">
        <v>900</v>
      </c>
      <c r="C4895" s="10" t="s">
        <v>199</v>
      </c>
      <c r="D4895" s="28">
        <f>D4889*Inputs!$D$23</f>
        <v>1.7300000000000002</v>
      </c>
      <c r="E4895" s="28">
        <f>E4889*Inputs!$D$23</f>
        <v>4.325000000000002</v>
      </c>
      <c r="F4895" s="28">
        <f>F4889*Inputs!$D$23</f>
        <v>4.7574999999999994</v>
      </c>
      <c r="G4895" s="28">
        <f>G4889*Inputs!$D$23</f>
        <v>5.40625</v>
      </c>
      <c r="H4895" s="28">
        <f>H4889*Inputs!$D$23</f>
        <v>5.40625</v>
      </c>
      <c r="I4895" s="28">
        <f>I4889*Inputs!$D$23</f>
        <v>0</v>
      </c>
      <c r="J4895" s="28">
        <f>J4889*Inputs!$D$23</f>
        <v>0</v>
      </c>
      <c r="K4895" s="28">
        <f>K4889*Inputs!$D$23</f>
        <v>0</v>
      </c>
      <c r="L4895" s="28">
        <f>L4889*Inputs!$D$23</f>
        <v>0</v>
      </c>
      <c r="M4895" s="28">
        <f>M4889*Inputs!$D$23</f>
        <v>0</v>
      </c>
    </row>
    <row r="4896" spans="1:13" ht="15" customHeight="1" x14ac:dyDescent="0.2">
      <c r="B4896" s="3" t="s">
        <v>901</v>
      </c>
      <c r="C4896" s="10" t="s">
        <v>896</v>
      </c>
      <c r="D4896" s="28">
        <f>(D4891*$D$4909*(Inputs!$D$7-Inputs!$D$19)-D4895)/(Inputs!$D$7+$D$4910)^D4884</f>
        <v>20.981187074746607</v>
      </c>
      <c r="E4896" s="28">
        <f>(E4891*$D$4909*(Inputs!$D$7-Inputs!$D$19)-E4895)/(Inputs!$D$7+$D$4910)^E4884</f>
        <v>68.255963262205867</v>
      </c>
      <c r="F4896" s="28">
        <f>(F4891*$D$4909*(Inputs!$D$7-Inputs!$D$19)-F4895)/(Inputs!$D$7+$D$4910)^F4884</f>
        <v>120.61414888935703</v>
      </c>
      <c r="G4896" s="28">
        <f>(G4891*$D$4909*(Inputs!$D$7-Inputs!$D$19)-G4895)/(Inputs!$D$7+$D$4910)^G4884</f>
        <v>169.11787330578514</v>
      </c>
      <c r="H4896" s="28">
        <f>(H4891*$D$4909*(Inputs!$D$7-Inputs!$D$19)-H4895)/(Inputs!$D$7+$D$4910)^H4884</f>
        <v>211.7039354257503</v>
      </c>
      <c r="I4896" s="28">
        <f>(I4891*$D$4909*(Inputs!$D$7-Inputs!$D$19)-I4895)/(Inputs!$D$7+$D$4910)^I4884</f>
        <v>221.8916197826434</v>
      </c>
      <c r="J4896" s="28">
        <f>(J4891*$D$4909*(Inputs!$D$7-Inputs!$D$19)-J4895)/(Inputs!$D$7+$D$4910)^J4884</f>
        <v>201.73281421346593</v>
      </c>
      <c r="K4896" s="28">
        <f>(K4891*$D$4909*(Inputs!$D$7-Inputs!$D$19)-K4895)/(Inputs!$D$7+$D$4910)^K4884</f>
        <v>183.40543176145695</v>
      </c>
      <c r="L4896" s="28">
        <f>(L4891*$D$4909*(Inputs!$D$7-Inputs!$D$19)-L4895)/(Inputs!$D$7+$D$4910)^L4884</f>
        <v>166.74308803332551</v>
      </c>
      <c r="M4896" s="28">
        <f>(M4891*$D$4909*(Inputs!$D$7-Inputs!$D$19)-M4895)/(Inputs!$D$7+$D$4910)^M4884</f>
        <v>151.55496194429571</v>
      </c>
    </row>
    <row r="4897" spans="2:13" ht="15" customHeight="1" x14ac:dyDescent="0.2">
      <c r="B4897" s="10" t="s">
        <v>902</v>
      </c>
      <c r="C4897" s="10" t="s">
        <v>110</v>
      </c>
      <c r="D4897" s="16">
        <f>(D4892*Inputs!$D$19-D4893-D4894)/(Inputs!$D$7+$D$4910)^D4884</f>
        <v>-3642.8616531802254</v>
      </c>
      <c r="E4897" s="16">
        <f>(E4892*Inputs!$D$19-E4893-E4894)/(Inputs!$D$7+$D$4910)^E4884</f>
        <v>-8064.925486193536</v>
      </c>
      <c r="F4897" s="16">
        <f>(F4892*Inputs!$D$19-F4893-F4894)/(Inputs!$D$7+$D$4910)^F4884</f>
        <v>-7524.4189502174931</v>
      </c>
      <c r="G4897" s="16">
        <f>(G4892*Inputs!$D$19-G4893-G4894)/(Inputs!$D$7+$D$4910)^G4884</f>
        <v>-9165.0699711658544</v>
      </c>
      <c r="H4897" s="16">
        <f>(H4892*Inputs!$D$19-H4893-H4894)/(Inputs!$D$7+$D$4910)^H4884</f>
        <v>-8582.4561303350856</v>
      </c>
      <c r="I4897" s="16">
        <f>(I4892*Inputs!$D$19-I4893-I4894)/(Inputs!$D$7+$D$4910)^I4884</f>
        <v>-3460.4989174974958</v>
      </c>
      <c r="J4897" s="16">
        <f>(J4892*Inputs!$D$19-J4893-J4894)/(Inputs!$D$7+$D$4910)^J4884</f>
        <v>-3669.1989119501291</v>
      </c>
      <c r="K4897" s="16">
        <f>(K4892*Inputs!$D$19-K4893-K4894)/(Inputs!$D$7+$D$4910)^K4884</f>
        <v>-5313.7017593374285</v>
      </c>
      <c r="L4897" s="16">
        <f>(L4892*Inputs!$D$19-L4893-L4894)/(Inputs!$D$7+$D$4910)^L4884</f>
        <v>-5410.7633919680211</v>
      </c>
      <c r="M4897" s="16">
        <f>(M4892*Inputs!$D$19-M4893-M4894)/(Inputs!$D$7+$D$4910)^M4884</f>
        <v>-2363.567322927051</v>
      </c>
    </row>
    <row r="4898" spans="2:13" ht="15" customHeight="1" x14ac:dyDescent="0.2">
      <c r="B4898" s="10" t="s">
        <v>903</v>
      </c>
      <c r="C4898" s="10" t="s">
        <v>110</v>
      </c>
      <c r="D4898" s="16">
        <f t="shared" ref="D4898:M4898" si="1065">D4891*$D$4908</f>
        <v>2594.4631497075147</v>
      </c>
      <c r="E4898" s="16">
        <f t="shared" si="1065"/>
        <v>9085.9026704584448</v>
      </c>
      <c r="F4898" s="16">
        <f t="shared" si="1065"/>
        <v>17268.620667923871</v>
      </c>
      <c r="G4898" s="16">
        <f t="shared" si="1065"/>
        <v>26425.471760325654</v>
      </c>
      <c r="H4898" s="16">
        <f t="shared" si="1065"/>
        <v>36166.802709689255</v>
      </c>
      <c r="I4898" s="16">
        <f t="shared" si="1065"/>
        <v>41037.468184371057</v>
      </c>
      <c r="J4898" s="16">
        <f t="shared" si="1065"/>
        <v>41037.468184371057</v>
      </c>
      <c r="K4898" s="16">
        <f t="shared" si="1065"/>
        <v>41037.468184371057</v>
      </c>
      <c r="L4898" s="16">
        <f t="shared" si="1065"/>
        <v>41037.468184371057</v>
      </c>
      <c r="M4898" s="16">
        <f t="shared" si="1065"/>
        <v>41037.468184371057</v>
      </c>
    </row>
    <row r="4899" spans="2:13" ht="15" customHeight="1" x14ac:dyDescent="0.2">
      <c r="B4899" s="10" t="s">
        <v>904</v>
      </c>
      <c r="C4899" s="10" t="s">
        <v>110</v>
      </c>
      <c r="D4899" s="16">
        <f t="shared" ref="D4899:M4899" si="1066">D4898*$D$4909</f>
        <v>1556.6778898245088</v>
      </c>
      <c r="E4899" s="16">
        <f t="shared" si="1066"/>
        <v>5451.5416022750669</v>
      </c>
      <c r="F4899" s="16">
        <f t="shared" si="1066"/>
        <v>10361.172400754322</v>
      </c>
      <c r="G4899" s="16">
        <f t="shared" si="1066"/>
        <v>15855.283056195392</v>
      </c>
      <c r="H4899" s="16">
        <f t="shared" si="1066"/>
        <v>21700.081625813553</v>
      </c>
      <c r="I4899" s="16">
        <f t="shared" si="1066"/>
        <v>24622.480910622635</v>
      </c>
      <c r="J4899" s="16">
        <f t="shared" si="1066"/>
        <v>24622.480910622635</v>
      </c>
      <c r="K4899" s="16">
        <f t="shared" si="1066"/>
        <v>24622.480910622635</v>
      </c>
      <c r="L4899" s="16">
        <f t="shared" si="1066"/>
        <v>24622.480910622635</v>
      </c>
      <c r="M4899" s="16">
        <f t="shared" si="1066"/>
        <v>24622.480910622635</v>
      </c>
    </row>
    <row r="4900" spans="2:13" ht="15" customHeight="1" x14ac:dyDescent="0.2">
      <c r="B4900" s="10" t="s">
        <v>905</v>
      </c>
      <c r="C4900" s="10" t="s">
        <v>110</v>
      </c>
      <c r="D4900" s="16">
        <f t="shared" ref="D4900:M4900" si="1067">D4899-D4892</f>
        <v>723.40125115506476</v>
      </c>
      <c r="E4900" s="16">
        <f t="shared" si="1067"/>
        <v>2533.3770342522535</v>
      </c>
      <c r="F4900" s="16">
        <f t="shared" si="1067"/>
        <v>4814.9235799732332</v>
      </c>
      <c r="G4900" s="16">
        <f t="shared" si="1067"/>
        <v>7368.082809708616</v>
      </c>
      <c r="H4900" s="16">
        <f t="shared" si="1067"/>
        <v>10084.209649852639</v>
      </c>
      <c r="I4900" s="16">
        <f t="shared" si="1067"/>
        <v>11442.273069924653</v>
      </c>
      <c r="J4900" s="16">
        <f t="shared" si="1067"/>
        <v>11442.273069924653</v>
      </c>
      <c r="K4900" s="16">
        <f t="shared" si="1067"/>
        <v>11442.273069924653</v>
      </c>
      <c r="L4900" s="16">
        <f t="shared" si="1067"/>
        <v>11442.273069924653</v>
      </c>
      <c r="M4900" s="16">
        <f t="shared" si="1067"/>
        <v>11442.273069924653</v>
      </c>
    </row>
    <row r="4901" spans="2:13" ht="15" customHeight="1" x14ac:dyDescent="0.2">
      <c r="B4901" s="10" t="s">
        <v>906</v>
      </c>
      <c r="C4901" s="10" t="s">
        <v>110</v>
      </c>
      <c r="D4901" s="16">
        <f>MAX(D4900,Inputs!$D$6)*Inputs!$D$19</f>
        <v>217.02037534651942</v>
      </c>
      <c r="E4901" s="16">
        <f>MAX(E4900,Inputs!$D$6)*Inputs!$D$19</f>
        <v>760.01311027567601</v>
      </c>
      <c r="F4901" s="16">
        <f>MAX(F4900,Inputs!$D$6)*Inputs!$D$19</f>
        <v>1444.47707399197</v>
      </c>
      <c r="G4901" s="16">
        <f>MAX(G4900,Inputs!$D$6)*Inputs!$D$19</f>
        <v>2210.4248429125846</v>
      </c>
      <c r="H4901" s="16">
        <f>MAX(H4900,Inputs!$D$6)*Inputs!$D$19</f>
        <v>3025.2628949557916</v>
      </c>
      <c r="I4901" s="16">
        <f>MAX(I4900,Inputs!$D$6)*Inputs!$D$19</f>
        <v>3432.6819209773957</v>
      </c>
      <c r="J4901" s="16">
        <f>MAX(J4900,Inputs!$D$6)*Inputs!$D$19</f>
        <v>3432.6819209773957</v>
      </c>
      <c r="K4901" s="16">
        <f>MAX(K4900,Inputs!$D$6)*Inputs!$D$19</f>
        <v>3432.6819209773957</v>
      </c>
      <c r="L4901" s="16">
        <f>MAX(L4900,Inputs!$D$6)*Inputs!$D$19</f>
        <v>3432.6819209773957</v>
      </c>
      <c r="M4901" s="16">
        <f>MAX(M4900,Inputs!$D$6)*Inputs!$D$19</f>
        <v>3432.6819209773957</v>
      </c>
    </row>
    <row r="4902" spans="2:13" ht="15" customHeight="1" x14ac:dyDescent="0.2">
      <c r="B4902" s="10" t="s">
        <v>907</v>
      </c>
      <c r="C4902" s="10" t="s">
        <v>110</v>
      </c>
      <c r="D4902" s="16">
        <f t="shared" ref="D4902:M4902" si="1068">D4895*$D$4908</f>
        <v>77.93064759490882</v>
      </c>
      <c r="E4902" s="16">
        <f t="shared" si="1068"/>
        <v>194.82661898727213</v>
      </c>
      <c r="F4902" s="16">
        <f t="shared" si="1068"/>
        <v>214.30928088599921</v>
      </c>
      <c r="G4902" s="16">
        <f t="shared" si="1068"/>
        <v>243.53327373409005</v>
      </c>
      <c r="H4902" s="16">
        <f t="shared" si="1068"/>
        <v>243.53327373409005</v>
      </c>
      <c r="I4902" s="16">
        <f t="shared" si="1068"/>
        <v>0</v>
      </c>
      <c r="J4902" s="16">
        <f t="shared" si="1068"/>
        <v>0</v>
      </c>
      <c r="K4902" s="16">
        <f t="shared" si="1068"/>
        <v>0</v>
      </c>
      <c r="L4902" s="16">
        <f t="shared" si="1068"/>
        <v>0</v>
      </c>
      <c r="M4902" s="16">
        <f t="shared" si="1068"/>
        <v>0</v>
      </c>
    </row>
    <row r="4903" spans="2:13" ht="15" customHeight="1" x14ac:dyDescent="0.2">
      <c r="B4903" s="10" t="s">
        <v>908</v>
      </c>
      <c r="C4903" s="10" t="s">
        <v>110</v>
      </c>
      <c r="D4903" s="16">
        <f t="shared" ref="D4903:M4903" si="1069">D4899-D4901-D4893-D4894-D4902</f>
        <v>-2887.8647651558936</v>
      </c>
      <c r="E4903" s="16">
        <f t="shared" si="1069"/>
        <v>-5877.2772070853198</v>
      </c>
      <c r="F4903" s="16">
        <f t="shared" si="1069"/>
        <v>-2708.9909422308237</v>
      </c>
      <c r="G4903" s="16">
        <f t="shared" si="1069"/>
        <v>-2204.1537591402471</v>
      </c>
      <c r="H4903" s="16">
        <f t="shared" si="1069"/>
        <v>1495.3347478530018</v>
      </c>
      <c r="I4903" s="16">
        <f t="shared" si="1069"/>
        <v>11268.606841773048</v>
      </c>
      <c r="J4903" s="16">
        <f t="shared" si="1069"/>
        <v>10276.487626985834</v>
      </c>
      <c r="K4903" s="16">
        <f t="shared" si="1069"/>
        <v>6150.3039562378326</v>
      </c>
      <c r="L4903" s="16">
        <f t="shared" si="1069"/>
        <v>4819.8319456561294</v>
      </c>
      <c r="M4903" s="16">
        <f t="shared" si="1069"/>
        <v>11268.606841773048</v>
      </c>
    </row>
    <row r="4904" spans="2:13" ht="15" customHeight="1" x14ac:dyDescent="0.2">
      <c r="B4904" s="10" t="s">
        <v>909</v>
      </c>
      <c r="C4904" s="10" t="s">
        <v>110</v>
      </c>
      <c r="D4904" s="16">
        <f>D4903/(Inputs!$D$7+$D$4910)^D4884</f>
        <v>-2697.7301525762173</v>
      </c>
      <c r="E4904" s="16">
        <f>E4903/(Inputs!$D$7+$D$4910)^E4884</f>
        <v>-4990.2252438594269</v>
      </c>
      <c r="F4904" s="16">
        <f>F4903/(Inputs!$D$7+$D$4910)^F4884</f>
        <v>-2091.1595675259641</v>
      </c>
      <c r="G4904" s="16">
        <f>G4903/(Inputs!$D$7+$D$4910)^G4884</f>
        <v>-1546.8818864296809</v>
      </c>
      <c r="H4904" s="16">
        <f>H4903/(Inputs!$D$7+$D$4910)^H4884</f>
        <v>954.08998880912145</v>
      </c>
      <c r="I4904" s="16">
        <f>I4903/(Inputs!$D$7+$D$4910)^I4884</f>
        <v>6534.9679180774638</v>
      </c>
      <c r="J4904" s="16">
        <f>J4903/(Inputs!$D$7+$D$4910)^J4884</f>
        <v>5418.1819278179773</v>
      </c>
      <c r="K4904" s="16">
        <f>K4903/(Inputs!$D$7+$D$4910)^K4884</f>
        <v>2948.0925005436115</v>
      </c>
      <c r="L4904" s="16">
        <f>L4903/(Inputs!$D$7+$D$4910)^L4884</f>
        <v>2100.4486498885958</v>
      </c>
      <c r="M4904" s="16">
        <f>M4903/(Inputs!$D$7+$D$4910)^M4884</f>
        <v>4463.4710184259693</v>
      </c>
    </row>
    <row r="4905" spans="2:13" ht="15" customHeight="1" x14ac:dyDescent="0.2">
      <c r="B4905" s="3" t="s">
        <v>910</v>
      </c>
      <c r="C4905" s="10" t="s">
        <v>896</v>
      </c>
      <c r="D4905" s="28">
        <f>(D4891*$D$4909-D4895)/(Inputs!$D$7+$D$4910)^D4884</f>
        <v>30.665737923868878</v>
      </c>
      <c r="E4905" s="28">
        <f>(E4891*$D$4909-E4895)/(Inputs!$D$7+$D$4910)^E4884</f>
        <v>99.082332568922538</v>
      </c>
      <c r="F4905" s="28">
        <f>(F4891*$D$4909-F4895)/(Inputs!$D$7+$D$4910)^F4884</f>
        <v>173.87984328077783</v>
      </c>
      <c r="G4905" s="28">
        <f>(G4891*$D$4909-G4895)/(Inputs!$D$7+$D$4910)^G4884</f>
        <v>243.22301452630424</v>
      </c>
      <c r="H4905" s="28">
        <f>(H4891*$D$4909-H4895)/(Inputs!$D$7+$D$4910)^H4884</f>
        <v>303.91251959440808</v>
      </c>
      <c r="I4905" s="28">
        <f>(I4891*$D$4909-I4895)/(Inputs!$D$7+$D$4910)^I4884</f>
        <v>316.98802826091918</v>
      </c>
      <c r="J4905" s="28">
        <f>(J4891*$D$4909-J4895)/(Inputs!$D$7+$D$4910)^J4884</f>
        <v>288.18973459066564</v>
      </c>
      <c r="K4905" s="28">
        <f>(K4891*$D$4909-K4895)/(Inputs!$D$7+$D$4910)^K4884</f>
        <v>262.00775965922423</v>
      </c>
      <c r="L4905" s="28">
        <f>(L4891*$D$4909-L4895)/(Inputs!$D$7+$D$4910)^L4884</f>
        <v>238.2044114761793</v>
      </c>
      <c r="M4905" s="28">
        <f>(M4891*$D$4909-M4895)/(Inputs!$D$7+$D$4910)^M4884</f>
        <v>216.50708849185102</v>
      </c>
    </row>
    <row r="4906" spans="2:13" ht="15" customHeight="1" x14ac:dyDescent="0.2">
      <c r="B4906" s="10" t="s">
        <v>911</v>
      </c>
      <c r="C4906" s="10" t="s">
        <v>110</v>
      </c>
      <c r="D4906" s="16">
        <f>(-D4893-D4894)/(Inputs!$D$7+$D$4910)^D4884</f>
        <v>-3876.3859726738942</v>
      </c>
      <c r="E4906" s="16">
        <f>(-E4893-E4894)/(Inputs!$D$7+$D$4910)^E4884</f>
        <v>-8808.24410023788</v>
      </c>
      <c r="F4906" s="16">
        <f>(-F4893-F4894)/(Inputs!$D$7+$D$4910)^F4884</f>
        <v>-8808.8187359072599</v>
      </c>
      <c r="G4906" s="16">
        <f>(-G4893-G4894)/(Inputs!$D$7+$D$4910)^G4884</f>
        <v>-10951.972941072034</v>
      </c>
      <c r="H4906" s="16">
        <f>(-H4893-H4894)/(Inputs!$D$7+$D$4910)^H4884</f>
        <v>-10805.888812441568</v>
      </c>
      <c r="I4906" s="16">
        <f>(-I4893-I4894)/(Inputs!$D$7+$D$4910)^I4884</f>
        <v>-5753.5659292933024</v>
      </c>
      <c r="J4906" s="16">
        <f>(-J4893-J4894)/(Inputs!$D$7+$D$4910)^J4884</f>
        <v>-5753.9412826749158</v>
      </c>
      <c r="K4906" s="16">
        <f>(-K4893-K4894)/(Inputs!$D$7+$D$4910)^K4884</f>
        <v>-7209.0457374846392</v>
      </c>
      <c r="L4906" s="16">
        <f>(-L4893-L4894)/(Inputs!$D$7+$D$4910)^L4884</f>
        <v>-7133.915780457146</v>
      </c>
      <c r="M4906" s="16">
        <f>(-M4893-M4894)/(Inputs!$D$7+$D$4910)^M4884</f>
        <v>-3929.7629460373614</v>
      </c>
    </row>
    <row r="4907" spans="2:13" ht="15" customHeight="1" x14ac:dyDescent="0.2">
      <c r="B4907" s="10" t="s">
        <v>912</v>
      </c>
      <c r="C4907" s="10" t="s">
        <v>110</v>
      </c>
      <c r="D4907" s="16">
        <f>Prices!K8</f>
        <v>47103.700386874909</v>
      </c>
    </row>
    <row r="4908" spans="2:13" ht="15" customHeight="1" x14ac:dyDescent="0.2">
      <c r="B4908" s="3" t="s">
        <v>913</v>
      </c>
      <c r="C4908" s="10" t="s">
        <v>914</v>
      </c>
      <c r="D4908" s="28">
        <f>IF(J4915&gt;=J4911,J4915,(D4907-J4914)/J4913)</f>
        <v>45.046617106883708</v>
      </c>
      <c r="G4908" s="99" t="s">
        <v>915</v>
      </c>
      <c r="H4908" s="91"/>
      <c r="I4908" s="91"/>
      <c r="J4908" s="28">
        <f>D4908*Inputs!$D$15</f>
        <v>31.438034078894137</v>
      </c>
      <c r="K4908" s="99" t="s">
        <v>916</v>
      </c>
      <c r="L4908" s="91"/>
      <c r="M4908" s="91"/>
    </row>
    <row r="4909" spans="2:13" ht="15" customHeight="1" x14ac:dyDescent="0.2">
      <c r="B4909" s="10" t="s">
        <v>917</v>
      </c>
      <c r="C4909" s="10" t="s">
        <v>104</v>
      </c>
      <c r="D4909" s="30">
        <f>Inputs!$D$81</f>
        <v>0.6</v>
      </c>
      <c r="G4909" s="99" t="s">
        <v>918</v>
      </c>
      <c r="H4909" s="91"/>
      <c r="I4909" s="91"/>
      <c r="J4909" s="28">
        <f>IF(-D4920/D4919&gt;=J4911,-D4920/D4919,-J4914/J4913)</f>
        <v>31.904742398820275</v>
      </c>
      <c r="K4909" s="99" t="s">
        <v>919</v>
      </c>
      <c r="L4909" s="91"/>
      <c r="M4909" s="91"/>
    </row>
    <row r="4910" spans="2:13" ht="15" customHeight="1" x14ac:dyDescent="0.2">
      <c r="B4910" s="10" t="s">
        <v>920</v>
      </c>
      <c r="C4910" s="10" t="s">
        <v>104</v>
      </c>
      <c r="D4910" s="30">
        <f>Inputs!$D$82</f>
        <v>0.1</v>
      </c>
      <c r="G4910" s="99" t="s">
        <v>918</v>
      </c>
      <c r="H4910" s="91"/>
      <c r="I4910" s="91"/>
      <c r="J4910" s="28">
        <f>J4909*Inputs!$D$15</f>
        <v>22.266319720136668</v>
      </c>
      <c r="K4910" s="99" t="s">
        <v>916</v>
      </c>
      <c r="L4910" s="91"/>
      <c r="M4910" s="91"/>
    </row>
    <row r="4911" spans="2:13" ht="15" customHeight="1" x14ac:dyDescent="0.2">
      <c r="B4911" s="3" t="s">
        <v>921</v>
      </c>
      <c r="C4911" s="10" t="s">
        <v>848</v>
      </c>
      <c r="D4911" s="28">
        <f>Capital!$D$13</f>
        <v>57.347931490590682</v>
      </c>
      <c r="G4911" s="99" t="s">
        <v>922</v>
      </c>
      <c r="H4911" s="91"/>
      <c r="I4911" s="91"/>
      <c r="J4911" s="28">
        <f>($D$4911/Inputs!$D$21+$D$4912/Inputs!$D$22)/$D$4909</f>
        <v>24.113076913095469</v>
      </c>
      <c r="K4911" s="99" t="s">
        <v>919</v>
      </c>
      <c r="L4911" s="91"/>
      <c r="M4911" s="91"/>
    </row>
    <row r="4912" spans="2:13" ht="15" customHeight="1" x14ac:dyDescent="0.2">
      <c r="B4912" s="3" t="s">
        <v>923</v>
      </c>
      <c r="C4912" s="10" t="s">
        <v>848</v>
      </c>
      <c r="D4912" s="28">
        <f>Capital!$D$14</f>
        <v>2.6172655041921802</v>
      </c>
    </row>
    <row r="4913" spans="1:13" ht="15" customHeight="1" x14ac:dyDescent="0.2">
      <c r="B4913" s="10" t="s">
        <v>924</v>
      </c>
      <c r="C4913" s="10" t="s">
        <v>896</v>
      </c>
      <c r="D4913" s="28">
        <f>(M4886*(Inputs!$D$7+Inputs!$D$20)*$D$4909*(Inputs!$D$7-Inputs!$D$19)-M4886*Inputs!$D$20*Inputs!$D$23)/($D$4910-Inputs!$D$20)/(Inputs!$D$7+$D$4910)^M4884</f>
        <v>2068.2441036763203</v>
      </c>
      <c r="G4913" s="92" t="s">
        <v>910</v>
      </c>
      <c r="H4913" s="91"/>
      <c r="I4913" s="91"/>
      <c r="J4913" s="28">
        <f>SUM(D4905:M4905)+(M4886*(Inputs!$D$7+Inputs!$D$20)*$D$4909-M4886*Inputs!$D$20*Inputs!$D$23)/($D$4910-Inputs!$D$20)/(Inputs!$D$7+$D$4910)^M4884</f>
        <v>5128.5836368660293</v>
      </c>
      <c r="K4913" s="99" t="s">
        <v>896</v>
      </c>
      <c r="L4913" s="91"/>
      <c r="M4913" s="91"/>
    </row>
    <row r="4914" spans="1:13" ht="15" customHeight="1" x14ac:dyDescent="0.2">
      <c r="B4914" s="10" t="s">
        <v>925</v>
      </c>
      <c r="C4914" s="10" t="s">
        <v>110</v>
      </c>
      <c r="D4914" s="16">
        <f>(D4917*Inputs!$D$19-D4917-D4918)/($D$4910-Inputs!$D$20)/(Inputs!$D$7+$D$4910)^M4884</f>
        <v>-57156.954988173631</v>
      </c>
      <c r="G4914" s="92" t="s">
        <v>926</v>
      </c>
      <c r="H4914" s="91"/>
      <c r="I4914" s="91"/>
      <c r="J4914" s="16">
        <f>SUM(D4906:M4906)-(D4917+D4918)/($D$4910-Inputs!$D$20)/(Inputs!$D$7+$D$4910)^M4884</f>
        <v>-151593.17074229455</v>
      </c>
      <c r="K4914" s="99" t="s">
        <v>110</v>
      </c>
      <c r="L4914" s="91"/>
      <c r="M4914" s="91"/>
    </row>
    <row r="4915" spans="1:13" ht="15" customHeight="1" x14ac:dyDescent="0.2">
      <c r="B4915" s="10" t="s">
        <v>927</v>
      </c>
      <c r="C4915" s="10" t="s">
        <v>928</v>
      </c>
      <c r="D4915" s="16">
        <f>(M4886*(Inputs!$D$7+Inputs!$D$20)*$D$4908*$D$4909-D4917)-MAX((M4886*(Inputs!$D$7+Inputs!$D$20)*$D$4908*$D$4909-D4917),Inputs!$D$6)*Inputs!$D$19-D4918-M4886*Inputs!$D$20*$D$4908*Inputs!$D$23</f>
        <v>6818.4751484995268</v>
      </c>
      <c r="G4915" s="99" t="s">
        <v>929</v>
      </c>
      <c r="H4915" s="91"/>
      <c r="I4915" s="91"/>
      <c r="J4915" s="28">
        <f>(D4907-D4920)/D4919</f>
        <v>45.046617106883708</v>
      </c>
      <c r="K4915" s="99" t="s">
        <v>919</v>
      </c>
      <c r="L4915" s="91"/>
      <c r="M4915" s="91"/>
    </row>
    <row r="4916" spans="1:13" ht="15" customHeight="1" x14ac:dyDescent="0.2">
      <c r="B4916" s="10" t="s">
        <v>930</v>
      </c>
      <c r="C4916" s="10" t="s">
        <v>110</v>
      </c>
      <c r="D4916" s="16">
        <f>D4915/($D$4910-Inputs!$D$20)</f>
        <v>90913.001979993671</v>
      </c>
      <c r="G4916" s="99" t="s">
        <v>931</v>
      </c>
      <c r="H4916" s="91"/>
      <c r="I4916" s="91"/>
      <c r="J4916" s="16">
        <f>MIN(D4900:M4900,(M4886*(Inputs!$D$7+Inputs!$D$20)*$D$4908*$D$4909-D4917))</f>
        <v>723.40125115506476</v>
      </c>
      <c r="K4916" s="99" t="s">
        <v>110</v>
      </c>
      <c r="L4916" s="91"/>
      <c r="M4916" s="91"/>
    </row>
    <row r="4917" spans="1:13" ht="15" customHeight="1" x14ac:dyDescent="0.2">
      <c r="B4917" s="10" t="s">
        <v>932</v>
      </c>
      <c r="C4917" s="10" t="s">
        <v>928</v>
      </c>
      <c r="D4917" s="16">
        <f>M4886*(Inputs!$D$7+Inputs!$D$20)*($D$4911/Inputs!$D$21+$D$4912/Inputs!$D$22)</f>
        <v>13509.71303671543</v>
      </c>
      <c r="G4917" s="99" t="s">
        <v>933</v>
      </c>
      <c r="H4917" s="91"/>
      <c r="I4917" s="91"/>
      <c r="J4917" s="31" t="str">
        <f>IF(J4916&lt;Inputs!$D$6,"breached","satisfied")</f>
        <v>satisfied</v>
      </c>
      <c r="K4917" s="99" t="s">
        <v>934</v>
      </c>
      <c r="L4917" s="91"/>
      <c r="M4917" s="91"/>
    </row>
    <row r="4918" spans="1:13" ht="15" customHeight="1" x14ac:dyDescent="0.2">
      <c r="B4918" s="10" t="s">
        <v>935</v>
      </c>
      <c r="C4918" s="10" t="s">
        <v>928</v>
      </c>
      <c r="D4918" s="16">
        <f>M4886*Inputs!$D$20*($D$4911+$D$4912)</f>
        <v>1365.7073615561799</v>
      </c>
    </row>
    <row r="4919" spans="1:13" ht="15" customHeight="1" x14ac:dyDescent="0.2">
      <c r="B4919" s="10" t="s">
        <v>936</v>
      </c>
      <c r="C4919" s="10" t="s">
        <v>896</v>
      </c>
      <c r="D4919" s="28">
        <f>SUM(D4896:M4896)+D4913</f>
        <v>3584.2451273693523</v>
      </c>
      <c r="G4919" s="99" t="s">
        <v>937</v>
      </c>
      <c r="H4919" s="91"/>
      <c r="I4919" s="91"/>
      <c r="J4919" s="16">
        <f>D4921-D4907</f>
        <v>0</v>
      </c>
      <c r="K4919" s="99" t="s">
        <v>110</v>
      </c>
      <c r="L4919" s="91"/>
      <c r="M4919" s="91"/>
    </row>
    <row r="4920" spans="1:13" ht="15" customHeight="1" x14ac:dyDescent="0.2">
      <c r="B4920" s="10" t="s">
        <v>938</v>
      </c>
      <c r="C4920" s="10" t="s">
        <v>110</v>
      </c>
      <c r="D4920" s="16">
        <f>SUM(D4897:M4897)+D4914</f>
        <v>-114354.41748294595</v>
      </c>
    </row>
    <row r="4921" spans="1:13" ht="15" customHeight="1" x14ac:dyDescent="0.2">
      <c r="B4921" s="10" t="s">
        <v>939</v>
      </c>
      <c r="C4921" s="10" t="s">
        <v>110</v>
      </c>
      <c r="D4921" s="16">
        <f>SUM(D4904:M4904)+D4916/(Inputs!$D$7+$D$4910)^M4884</f>
        <v>47103.700386874916</v>
      </c>
    </row>
    <row r="4922" spans="1:13" ht="15" customHeight="1" x14ac:dyDescent="0.2">
      <c r="B4922" s="10" t="s">
        <v>940</v>
      </c>
      <c r="C4922" s="10" t="s">
        <v>104</v>
      </c>
      <c r="D4922" s="30">
        <f>IF(ABS(D4907)&gt;Inputs!$D$6,D4921/D4907-Inputs!$D$7,Inputs!$D$6)</f>
        <v>2.2204460492503131E-16</v>
      </c>
    </row>
    <row r="4923" spans="1:13" ht="15" customHeight="1" x14ac:dyDescent="0.2">
      <c r="B4923" s="10" t="s">
        <v>941</v>
      </c>
      <c r="C4923" s="10" t="s">
        <v>104</v>
      </c>
      <c r="D4923" s="30">
        <f>IF(ABS(D4921)&gt;Inputs!$D$119,D4916/(Inputs!$D$7+$D$4910)^M4884/D4921,Inputs!$D$6)</f>
        <v>0.76449291537480779</v>
      </c>
    </row>
    <row r="4924" spans="1:13" ht="15" customHeight="1" x14ac:dyDescent="0.2">
      <c r="B4924" s="10" t="s">
        <v>942</v>
      </c>
      <c r="C4924" s="10" t="s">
        <v>943</v>
      </c>
      <c r="D4924" s="26">
        <f>$D$4908*Inputs!$D$8/Prices!$P$6/(Inputs!$D$26/Inputs!$D$25)/Inputs!$D$11/Inputs!$D$56</f>
        <v>8.1918641509923678</v>
      </c>
    </row>
    <row r="4928" spans="1:13" ht="15" customHeight="1" x14ac:dyDescent="0.2">
      <c r="A4928" s="104" t="s">
        <v>1050</v>
      </c>
      <c r="B4928" s="10" t="s">
        <v>886</v>
      </c>
      <c r="C4928" s="10" t="s">
        <v>107</v>
      </c>
      <c r="D4928" s="28">
        <f>Inputs!$D$60</f>
        <v>1</v>
      </c>
      <c r="E4928" s="28">
        <f>Inputs!$D$62</f>
        <v>2</v>
      </c>
      <c r="F4928" s="28">
        <f>Inputs!$D$64</f>
        <v>3</v>
      </c>
      <c r="G4928" s="28">
        <f>Inputs!$D$66</f>
        <v>4</v>
      </c>
      <c r="H4928" s="28">
        <f>Inputs!$D$68</f>
        <v>5</v>
      </c>
      <c r="I4928" s="28">
        <f>Inputs!$D$70</f>
        <v>6</v>
      </c>
      <c r="J4928" s="28">
        <f>Inputs!$D$72</f>
        <v>7</v>
      </c>
      <c r="K4928" s="28">
        <f>Inputs!$D$74</f>
        <v>8</v>
      </c>
      <c r="L4928" s="28">
        <f>Inputs!$D$76</f>
        <v>9</v>
      </c>
      <c r="M4928" s="28">
        <f>Inputs!$D$78</f>
        <v>10</v>
      </c>
    </row>
    <row r="4929" spans="1:13" ht="15" customHeight="1" x14ac:dyDescent="0.2">
      <c r="A4929" s="91"/>
      <c r="B4929" s="10" t="s">
        <v>887</v>
      </c>
      <c r="C4929" s="10" t="s">
        <v>161</v>
      </c>
      <c r="D4929" s="29">
        <f>Inputs!$D$61</f>
        <v>46568</v>
      </c>
      <c r="E4929" s="29">
        <f>Inputs!$D$63</f>
        <v>46934</v>
      </c>
      <c r="F4929" s="29">
        <f>Inputs!$D$65</f>
        <v>47299</v>
      </c>
      <c r="G4929" s="29">
        <f>Inputs!$D$67</f>
        <v>47664</v>
      </c>
      <c r="H4929" s="29">
        <f>Inputs!$D$69</f>
        <v>48029</v>
      </c>
      <c r="I4929" s="29">
        <f>Inputs!$D$71</f>
        <v>48395</v>
      </c>
      <c r="J4929" s="29">
        <f>Inputs!$D$73</f>
        <v>48760</v>
      </c>
      <c r="K4929" s="29">
        <f>Inputs!$D$75</f>
        <v>49125</v>
      </c>
      <c r="L4929" s="29">
        <f>Inputs!$D$77</f>
        <v>49490</v>
      </c>
      <c r="M4929" s="29">
        <f>Inputs!$D$79</f>
        <v>49856</v>
      </c>
    </row>
    <row r="4930" spans="1:13" ht="15" customHeight="1" x14ac:dyDescent="0.2">
      <c r="A4930" s="91"/>
      <c r="B4930" s="10" t="s">
        <v>888</v>
      </c>
      <c r="C4930" s="10" t="s">
        <v>107</v>
      </c>
      <c r="D4930" s="28">
        <f>(D4929-Inputs!$D$13)/Inputs!$D$10</f>
        <v>0.71457905544147848</v>
      </c>
      <c r="E4930" s="28">
        <f>(E4929-Inputs!$D$13)/Inputs!$D$10</f>
        <v>1.7166324435318274</v>
      </c>
      <c r="F4930" s="28">
        <f>(F4929-Inputs!$D$13)/Inputs!$D$10</f>
        <v>2.7159479808350446</v>
      </c>
      <c r="G4930" s="28">
        <f>(G4929-Inputs!$D$13)/Inputs!$D$10</f>
        <v>3.7152635181382614</v>
      </c>
      <c r="H4930" s="28">
        <f>(H4929-Inputs!$D$13)/Inputs!$D$10</f>
        <v>4.7145790554414786</v>
      </c>
      <c r="I4930" s="28">
        <f>(I4929-Inputs!$D$13)/Inputs!$D$10</f>
        <v>5.7166324435318279</v>
      </c>
      <c r="J4930" s="28">
        <f>(J4929-Inputs!$D$13)/Inputs!$D$10</f>
        <v>6.7159479808350442</v>
      </c>
      <c r="K4930" s="28">
        <f>(K4929-Inputs!$D$13)/Inputs!$D$10</f>
        <v>7.7152635181382614</v>
      </c>
      <c r="L4930" s="28">
        <f>(L4929-Inputs!$D$13)/Inputs!$D$10</f>
        <v>8.7145790554414777</v>
      </c>
      <c r="M4930" s="28">
        <f>(M4929-Inputs!$D$13)/Inputs!$D$10</f>
        <v>9.716632443531827</v>
      </c>
    </row>
    <row r="4931" spans="1:13" ht="15" customHeight="1" x14ac:dyDescent="0.2">
      <c r="A4931" s="91"/>
      <c r="B4931" s="10" t="s">
        <v>889</v>
      </c>
      <c r="C4931" s="10" t="s">
        <v>107</v>
      </c>
      <c r="D4931" s="28">
        <f>D4930</f>
        <v>0.71457905544147848</v>
      </c>
      <c r="E4931" s="28">
        <f>Inputs!$D$7</f>
        <v>1</v>
      </c>
      <c r="F4931" s="28">
        <f>Inputs!$D$7</f>
        <v>1</v>
      </c>
      <c r="G4931" s="28">
        <f>Inputs!$D$7</f>
        <v>1</v>
      </c>
      <c r="H4931" s="28">
        <f>Inputs!$D$7</f>
        <v>1</v>
      </c>
      <c r="I4931" s="28">
        <f>Inputs!$D$7</f>
        <v>1</v>
      </c>
      <c r="J4931" s="28">
        <f>Inputs!$D$7</f>
        <v>1</v>
      </c>
      <c r="K4931" s="28">
        <f>Inputs!$D$7</f>
        <v>1</v>
      </c>
      <c r="L4931" s="28">
        <f>Inputs!$D$7</f>
        <v>1</v>
      </c>
      <c r="M4931" s="28">
        <f>Inputs!$D$7</f>
        <v>1</v>
      </c>
    </row>
    <row r="4932" spans="1:13" ht="15" customHeight="1" x14ac:dyDescent="0.2">
      <c r="A4932" s="91"/>
      <c r="B4932" s="3" t="s">
        <v>890</v>
      </c>
      <c r="C4932" s="10" t="s">
        <v>199</v>
      </c>
      <c r="D4932" s="28">
        <f>Inputs!$D$24+(Inputs!$D$93-Inputs!$D$24)*Inputs!$D$83</f>
        <v>512.20000000000005</v>
      </c>
      <c r="E4932" s="28">
        <f>Inputs!$D$24+(Inputs!$D$93-Inputs!$D$24)*Inputs!$D$84</f>
        <v>1133.8</v>
      </c>
      <c r="F4932" s="28">
        <f>Inputs!$D$24+(Inputs!$D$93-Inputs!$D$24)*Inputs!$D$85</f>
        <v>1600</v>
      </c>
      <c r="G4932" s="28">
        <f>Inputs!$D$24+(Inputs!$D$93-Inputs!$D$24)*Inputs!$D$86</f>
        <v>1600</v>
      </c>
      <c r="H4932" s="28">
        <f>Inputs!$D$24+(Inputs!$D$93-Inputs!$D$24)*Inputs!$D$87</f>
        <v>1600</v>
      </c>
      <c r="I4932" s="28">
        <f>Inputs!$D$24+(Inputs!$D$93-Inputs!$D$24)*Inputs!$D$88</f>
        <v>1600</v>
      </c>
      <c r="J4932" s="28">
        <f>Inputs!$D$24+(Inputs!$D$93-Inputs!$D$24)*Inputs!$D$89</f>
        <v>1600</v>
      </c>
      <c r="K4932" s="28">
        <f>Inputs!$D$24+(Inputs!$D$93-Inputs!$D$24)*Inputs!$D$90</f>
        <v>1600</v>
      </c>
      <c r="L4932" s="28">
        <f>Inputs!$D$24+(Inputs!$D$93-Inputs!$D$24)*Inputs!$D$91</f>
        <v>1600</v>
      </c>
      <c r="M4932" s="28">
        <f>Inputs!$D$24+(Inputs!$D$93-Inputs!$D$24)*Inputs!$D$92</f>
        <v>1600</v>
      </c>
    </row>
    <row r="4933" spans="1:13" ht="15" customHeight="1" x14ac:dyDescent="0.2">
      <c r="A4933" s="91"/>
      <c r="B4933" s="10" t="s">
        <v>891</v>
      </c>
      <c r="C4933" s="10" t="s">
        <v>199</v>
      </c>
      <c r="D4933" s="28">
        <f>Inputs!$D$24</f>
        <v>46</v>
      </c>
      <c r="E4933" s="28">
        <f t="shared" ref="E4933:M4933" si="1070">D4932</f>
        <v>512.20000000000005</v>
      </c>
      <c r="F4933" s="28">
        <f t="shared" si="1070"/>
        <v>1133.8</v>
      </c>
      <c r="G4933" s="28">
        <f t="shared" si="1070"/>
        <v>1600</v>
      </c>
      <c r="H4933" s="28">
        <f t="shared" si="1070"/>
        <v>1600</v>
      </c>
      <c r="I4933" s="28">
        <f t="shared" si="1070"/>
        <v>1600</v>
      </c>
      <c r="J4933" s="28">
        <f t="shared" si="1070"/>
        <v>1600</v>
      </c>
      <c r="K4933" s="28">
        <f t="shared" si="1070"/>
        <v>1600</v>
      </c>
      <c r="L4933" s="28">
        <f t="shared" si="1070"/>
        <v>1600</v>
      </c>
      <c r="M4933" s="28">
        <f t="shared" si="1070"/>
        <v>1600</v>
      </c>
    </row>
    <row r="4934" spans="1:13" ht="15" customHeight="1" x14ac:dyDescent="0.2">
      <c r="B4934" s="10" t="s">
        <v>892</v>
      </c>
      <c r="C4934" s="10" t="s">
        <v>199</v>
      </c>
      <c r="D4934" s="28">
        <f>(D4933+D4932)*Inputs!$D$12</f>
        <v>279.10000000000002</v>
      </c>
      <c r="E4934" s="28">
        <f>(E4933+E4932)*Inputs!$D$12</f>
        <v>823</v>
      </c>
      <c r="F4934" s="28">
        <f>(F4933+F4932)*Inputs!$D$12</f>
        <v>1366.9</v>
      </c>
      <c r="G4934" s="28">
        <f>(G4933+G4932)*Inputs!$D$12</f>
        <v>1600</v>
      </c>
      <c r="H4934" s="28">
        <f>(H4933+H4932)*Inputs!$D$12</f>
        <v>1600</v>
      </c>
      <c r="I4934" s="28">
        <f>(I4933+I4932)*Inputs!$D$12</f>
        <v>1600</v>
      </c>
      <c r="J4934" s="28">
        <f>(J4933+J4932)*Inputs!$D$12</f>
        <v>1600</v>
      </c>
      <c r="K4934" s="28">
        <f>(K4933+K4932)*Inputs!$D$12</f>
        <v>1600</v>
      </c>
      <c r="L4934" s="28">
        <f>(L4933+L4932)*Inputs!$D$12</f>
        <v>1600</v>
      </c>
      <c r="M4934" s="28">
        <f>(M4933+M4932)*Inputs!$D$12</f>
        <v>1600</v>
      </c>
    </row>
    <row r="4935" spans="1:13" ht="15" customHeight="1" x14ac:dyDescent="0.2">
      <c r="B4935" s="10" t="s">
        <v>893</v>
      </c>
      <c r="C4935" s="10" t="s">
        <v>199</v>
      </c>
      <c r="D4935" s="28">
        <f t="shared" ref="D4935:M4935" si="1071">D4932-D4933</f>
        <v>466.20000000000005</v>
      </c>
      <c r="E4935" s="28">
        <f t="shared" si="1071"/>
        <v>621.59999999999991</v>
      </c>
      <c r="F4935" s="28">
        <f t="shared" si="1071"/>
        <v>466.20000000000005</v>
      </c>
      <c r="G4935" s="28">
        <f t="shared" si="1071"/>
        <v>0</v>
      </c>
      <c r="H4935" s="28">
        <f t="shared" si="1071"/>
        <v>0</v>
      </c>
      <c r="I4935" s="28">
        <f t="shared" si="1071"/>
        <v>0</v>
      </c>
      <c r="J4935" s="28">
        <f t="shared" si="1071"/>
        <v>0</v>
      </c>
      <c r="K4935" s="28">
        <f t="shared" si="1071"/>
        <v>0</v>
      </c>
      <c r="L4935" s="28">
        <f t="shared" si="1071"/>
        <v>0</v>
      </c>
      <c r="M4935" s="28">
        <f t="shared" si="1071"/>
        <v>0</v>
      </c>
    </row>
    <row r="4936" spans="1:13" ht="15" customHeight="1" x14ac:dyDescent="0.2">
      <c r="B4936" s="10" t="s">
        <v>894</v>
      </c>
      <c r="C4936" s="10" t="s">
        <v>199</v>
      </c>
      <c r="D4936" s="28">
        <f>IF(MOD(D4928,Inputs!$D$21)=Inputs!$D$6,Inputs!$D$24,Inputs!$D$6)+SUMPRODUCT(--(D4928&gt;$D$4928:$M$4928),--(MOD(D4928-$D$4928:$M$4928,Inputs!$D$21)=Inputs!$D$6),$D$4935:$M$4935)</f>
        <v>0</v>
      </c>
      <c r="E4936" s="28">
        <f>IF(MOD(E4928,Inputs!$D$21)=Inputs!$D$6,Inputs!$D$24,Inputs!$D$6)+SUMPRODUCT(--(E4928&gt;$D$4928:$M$4928),--(MOD(E4928-$D$4928:$M$4928,Inputs!$D$21)=Inputs!$D$6),$D$4935:$M$4935)</f>
        <v>0</v>
      </c>
      <c r="F4936" s="28">
        <f>IF(MOD(F4928,Inputs!$D$21)=Inputs!$D$6,Inputs!$D$24,Inputs!$D$6)+SUMPRODUCT(--(F4928&gt;$D$4928:$M$4928),--(MOD(F4928-$D$4928:$M$4928,Inputs!$D$21)=Inputs!$D$6),$D$4935:$M$4935)</f>
        <v>0</v>
      </c>
      <c r="G4936" s="28">
        <f>IF(MOD(G4928,Inputs!$D$21)=Inputs!$D$6,Inputs!$D$24,Inputs!$D$6)+SUMPRODUCT(--(G4928&gt;$D$4928:$M$4928),--(MOD(G4928-$D$4928:$M$4928,Inputs!$D$21)=Inputs!$D$6),$D$4935:$M$4935)</f>
        <v>46</v>
      </c>
      <c r="H4936" s="28">
        <f>IF(MOD(H4928,Inputs!$D$21)=Inputs!$D$6,Inputs!$D$24,Inputs!$D$6)+SUMPRODUCT(--(H4928&gt;$D$4928:$M$4928),--(MOD(H4928-$D$4928:$M$4928,Inputs!$D$21)=Inputs!$D$6),$D$4935:$M$4935)</f>
        <v>466.20000000000005</v>
      </c>
      <c r="I4936" s="28">
        <f>IF(MOD(I4928,Inputs!$D$21)=Inputs!$D$6,Inputs!$D$24,Inputs!$D$6)+SUMPRODUCT(--(I4928&gt;$D$4928:$M$4928),--(MOD(I4928-$D$4928:$M$4928,Inputs!$D$21)=Inputs!$D$6),$D$4935:$M$4935)</f>
        <v>621.59999999999991</v>
      </c>
      <c r="J4936" s="28">
        <f>IF(MOD(J4928,Inputs!$D$21)=Inputs!$D$6,Inputs!$D$24,Inputs!$D$6)+SUMPRODUCT(--(J4928&gt;$D$4928:$M$4928),--(MOD(J4928-$D$4928:$M$4928,Inputs!$D$21)=Inputs!$D$6),$D$4935:$M$4935)</f>
        <v>466.20000000000005</v>
      </c>
      <c r="K4936" s="28">
        <f>IF(MOD(K4928,Inputs!$D$21)=Inputs!$D$6,Inputs!$D$24,Inputs!$D$6)+SUMPRODUCT(--(K4928&gt;$D$4928:$M$4928),--(MOD(K4928-$D$4928:$M$4928,Inputs!$D$21)=Inputs!$D$6),$D$4935:$M$4935)</f>
        <v>46</v>
      </c>
      <c r="L4936" s="28">
        <f>IF(MOD(L4928,Inputs!$D$21)=Inputs!$D$6,Inputs!$D$24,Inputs!$D$6)+SUMPRODUCT(--(L4928&gt;$D$4928:$M$4928),--(MOD(L4928-$D$4928:$M$4928,Inputs!$D$21)=Inputs!$D$6),$D$4935:$M$4935)</f>
        <v>466.20000000000005</v>
      </c>
      <c r="M4936" s="28">
        <f>IF(MOD(M4928,Inputs!$D$21)=Inputs!$D$6,Inputs!$D$24,Inputs!$D$6)+SUMPRODUCT(--(M4928&gt;$D$4928:$M$4928),--(MOD(M4928-$D$4928:$M$4928,Inputs!$D$21)=Inputs!$D$6),$D$4935:$M$4935)</f>
        <v>621.59999999999991</v>
      </c>
    </row>
    <row r="4937" spans="1:13" ht="15" customHeight="1" x14ac:dyDescent="0.2">
      <c r="B4937" s="10" t="s">
        <v>895</v>
      </c>
      <c r="C4937" s="10" t="s">
        <v>896</v>
      </c>
      <c r="D4937" s="28">
        <f t="shared" ref="D4937:M4937" si="1072">D4934*D4931</f>
        <v>199.43901437371667</v>
      </c>
      <c r="E4937" s="28">
        <f t="shared" si="1072"/>
        <v>823</v>
      </c>
      <c r="F4937" s="28">
        <f t="shared" si="1072"/>
        <v>1366.9</v>
      </c>
      <c r="G4937" s="28">
        <f t="shared" si="1072"/>
        <v>1600</v>
      </c>
      <c r="H4937" s="28">
        <f t="shared" si="1072"/>
        <v>1600</v>
      </c>
      <c r="I4937" s="28">
        <f t="shared" si="1072"/>
        <v>1600</v>
      </c>
      <c r="J4937" s="28">
        <f t="shared" si="1072"/>
        <v>1600</v>
      </c>
      <c r="K4937" s="28">
        <f t="shared" si="1072"/>
        <v>1600</v>
      </c>
      <c r="L4937" s="28">
        <f t="shared" si="1072"/>
        <v>1600</v>
      </c>
      <c r="M4937" s="28">
        <f t="shared" si="1072"/>
        <v>1600</v>
      </c>
    </row>
    <row r="4938" spans="1:13" ht="15" customHeight="1" x14ac:dyDescent="0.2">
      <c r="B4938" s="10" t="s">
        <v>897</v>
      </c>
      <c r="C4938" s="10" t="s">
        <v>110</v>
      </c>
      <c r="D4938" s="16">
        <f>D4937*($D$4957/Inputs!$D$21+$D$4958/Inputs!$D$22)</f>
        <v>2885.4529758392296</v>
      </c>
      <c r="E4938" s="16">
        <f>E4937*($D$4957/Inputs!$D$21+$D$4958/Inputs!$D$22)</f>
        <v>11907.037379686541</v>
      </c>
      <c r="F4938" s="16">
        <f>F4937*($D$4957/Inputs!$D$21+$D$4958/Inputs!$D$22)</f>
        <v>19776.098899506116</v>
      </c>
      <c r="G4938" s="16">
        <f>G4937*($D$4957/Inputs!$D$21+$D$4958/Inputs!$D$22)</f>
        <v>23148.553836571649</v>
      </c>
      <c r="H4938" s="16">
        <f>H4937*($D$4957/Inputs!$D$21+$D$4958/Inputs!$D$22)</f>
        <v>23148.553836571649</v>
      </c>
      <c r="I4938" s="16">
        <f>I4937*($D$4957/Inputs!$D$21+$D$4958/Inputs!$D$22)</f>
        <v>23148.553836571649</v>
      </c>
      <c r="J4938" s="16">
        <f>J4937*($D$4957/Inputs!$D$21+$D$4958/Inputs!$D$22)</f>
        <v>23148.553836571649</v>
      </c>
      <c r="K4938" s="16">
        <f>K4937*($D$4957/Inputs!$D$21+$D$4958/Inputs!$D$22)</f>
        <v>23148.553836571649</v>
      </c>
      <c r="L4938" s="16">
        <f>L4937*($D$4957/Inputs!$D$21+$D$4958/Inputs!$D$22)</f>
        <v>23148.553836571649</v>
      </c>
      <c r="M4938" s="16">
        <f>M4937*($D$4957/Inputs!$D$21+$D$4958/Inputs!$D$22)</f>
        <v>23148.553836571649</v>
      </c>
    </row>
    <row r="4939" spans="1:13" ht="15" customHeight="1" x14ac:dyDescent="0.2">
      <c r="B4939" s="10" t="s">
        <v>898</v>
      </c>
      <c r="C4939" s="10" t="s">
        <v>110</v>
      </c>
      <c r="D4939" s="16">
        <f t="shared" ref="D4939:M4939" si="1073">D4935*($D$4957+$D$4958)</f>
        <v>27955.774838967773</v>
      </c>
      <c r="E4939" s="16">
        <f t="shared" si="1073"/>
        <v>37274.366451957023</v>
      </c>
      <c r="F4939" s="16">
        <f t="shared" si="1073"/>
        <v>27955.774838967773</v>
      </c>
      <c r="G4939" s="16">
        <f t="shared" si="1073"/>
        <v>0</v>
      </c>
      <c r="H4939" s="16">
        <f t="shared" si="1073"/>
        <v>0</v>
      </c>
      <c r="I4939" s="16">
        <f t="shared" si="1073"/>
        <v>0</v>
      </c>
      <c r="J4939" s="16">
        <f t="shared" si="1073"/>
        <v>0</v>
      </c>
      <c r="K4939" s="16">
        <f t="shared" si="1073"/>
        <v>0</v>
      </c>
      <c r="L4939" s="16">
        <f t="shared" si="1073"/>
        <v>0</v>
      </c>
      <c r="M4939" s="16">
        <f t="shared" si="1073"/>
        <v>0</v>
      </c>
    </row>
    <row r="4940" spans="1:13" ht="15" customHeight="1" x14ac:dyDescent="0.2">
      <c r="B4940" s="10" t="s">
        <v>899</v>
      </c>
      <c r="C4940" s="10" t="s">
        <v>110</v>
      </c>
      <c r="D4940" s="16">
        <f t="shared" ref="D4940:M4940" si="1074">D4936*$D$4957</f>
        <v>0</v>
      </c>
      <c r="E4940" s="16">
        <f t="shared" si="1074"/>
        <v>0</v>
      </c>
      <c r="F4940" s="16">
        <f t="shared" si="1074"/>
        <v>0</v>
      </c>
      <c r="G4940" s="16">
        <f t="shared" si="1074"/>
        <v>2638.0048485671714</v>
      </c>
      <c r="H4940" s="16">
        <f t="shared" si="1074"/>
        <v>26735.605660913378</v>
      </c>
      <c r="I4940" s="16">
        <f t="shared" si="1074"/>
        <v>35647.474214551163</v>
      </c>
      <c r="J4940" s="16">
        <f t="shared" si="1074"/>
        <v>26735.605660913378</v>
      </c>
      <c r="K4940" s="16">
        <f t="shared" si="1074"/>
        <v>2638.0048485671714</v>
      </c>
      <c r="L4940" s="16">
        <f t="shared" si="1074"/>
        <v>26735.605660913378</v>
      </c>
      <c r="M4940" s="16">
        <f t="shared" si="1074"/>
        <v>35647.474214551163</v>
      </c>
    </row>
    <row r="4941" spans="1:13" ht="15" customHeight="1" x14ac:dyDescent="0.2">
      <c r="B4941" s="10" t="s">
        <v>900</v>
      </c>
      <c r="C4941" s="10" t="s">
        <v>199</v>
      </c>
      <c r="D4941" s="28">
        <f>D4935*Inputs!$D$23</f>
        <v>11.655000000000001</v>
      </c>
      <c r="E4941" s="28">
        <f>E4935*Inputs!$D$23</f>
        <v>15.54</v>
      </c>
      <c r="F4941" s="28">
        <f>F4935*Inputs!$D$23</f>
        <v>11.655000000000001</v>
      </c>
      <c r="G4941" s="28">
        <f>G4935*Inputs!$D$23</f>
        <v>0</v>
      </c>
      <c r="H4941" s="28">
        <f>H4935*Inputs!$D$23</f>
        <v>0</v>
      </c>
      <c r="I4941" s="28">
        <f>I4935*Inputs!$D$23</f>
        <v>0</v>
      </c>
      <c r="J4941" s="28">
        <f>J4935*Inputs!$D$23</f>
        <v>0</v>
      </c>
      <c r="K4941" s="28">
        <f>K4935*Inputs!$D$23</f>
        <v>0</v>
      </c>
      <c r="L4941" s="28">
        <f>L4935*Inputs!$D$23</f>
        <v>0</v>
      </c>
      <c r="M4941" s="28">
        <f>M4935*Inputs!$D$23</f>
        <v>0</v>
      </c>
    </row>
    <row r="4942" spans="1:13" ht="15" customHeight="1" x14ac:dyDescent="0.2">
      <c r="B4942" s="3" t="s">
        <v>901</v>
      </c>
      <c r="C4942" s="10" t="s">
        <v>896</v>
      </c>
      <c r="D4942" s="28">
        <f>(D4937*$D$4955*(Inputs!$D$7-Inputs!$D$19)-D4941)/(Inputs!$D$7+$D$4956)^D4930</f>
        <v>67.361764076638423</v>
      </c>
      <c r="E4942" s="28">
        <f>(E4937*$D$4955*(Inputs!$D$7-Inputs!$D$19)-E4941)/(Inputs!$D$7+$D$4956)^E4930</f>
        <v>280.29529652215348</v>
      </c>
      <c r="F4942" s="28">
        <f>(F4937*$D$4955*(Inputs!$D$7-Inputs!$D$19)-F4941)/(Inputs!$D$7+$D$4956)^F4930</f>
        <v>434.1683252988114</v>
      </c>
      <c r="G4942" s="28">
        <f>(G4937*$D$4955*(Inputs!$D$7-Inputs!$D$19)-G4941)/(Inputs!$D$7+$D$4956)^G4930</f>
        <v>471.61166655007548</v>
      </c>
      <c r="H4942" s="28">
        <f>(H4937*$D$4955*(Inputs!$D$7-Inputs!$D$19)-H4941)/(Inputs!$D$7+$D$4956)^H4930</f>
        <v>428.76584885109446</v>
      </c>
      <c r="I4942" s="28">
        <f>(I4937*$D$4955*(Inputs!$D$7-Inputs!$D$19)-I4941)/(Inputs!$D$7+$D$4956)^I4930</f>
        <v>389.71085801561958</v>
      </c>
      <c r="J4942" s="28">
        <f>(J4937*$D$4955*(Inputs!$D$7-Inputs!$D$19)-J4941)/(Inputs!$D$7+$D$4956)^J4930</f>
        <v>354.30571102255266</v>
      </c>
      <c r="K4942" s="28">
        <f>(K4937*$D$4955*(Inputs!$D$7-Inputs!$D$19)-K4941)/(Inputs!$D$7+$D$4956)^K4930</f>
        <v>322.1171139608465</v>
      </c>
      <c r="L4942" s="28">
        <f>(L4937*$D$4955*(Inputs!$D$7-Inputs!$D$19)-L4941)/(Inputs!$D$7+$D$4956)^L4930</f>
        <v>292.85284396632358</v>
      </c>
      <c r="M4942" s="28">
        <f>(M4937*$D$4955*(Inputs!$D$7-Inputs!$D$19)-M4941)/(Inputs!$D$7+$D$4956)^M4930</f>
        <v>266.1777597265347</v>
      </c>
    </row>
    <row r="4943" spans="1:13" ht="15" customHeight="1" x14ac:dyDescent="0.2">
      <c r="B4943" s="10" t="s">
        <v>902</v>
      </c>
      <c r="C4943" s="10" t="s">
        <v>110</v>
      </c>
      <c r="D4943" s="16">
        <f>(D4938*Inputs!$D$19-D4939-D4940)/(Inputs!$D$7+$D$4956)^D4930</f>
        <v>-25306.546745010444</v>
      </c>
      <c r="E4943" s="16">
        <f>(E4938*Inputs!$D$19-E4939-E4940)/(Inputs!$D$7+$D$4956)^E4930</f>
        <v>-28615.60531144682</v>
      </c>
      <c r="F4943" s="16">
        <f>(F4938*Inputs!$D$19-F4939-F4940)/(Inputs!$D$7+$D$4956)^F4930</f>
        <v>-17000.238641466985</v>
      </c>
      <c r="G4943" s="16">
        <f>(G4938*Inputs!$D$19-G4939-G4940)/(Inputs!$D$7+$D$4956)^G4930</f>
        <v>3022.3579656651286</v>
      </c>
      <c r="H4943" s="16">
        <f>(H4938*Inputs!$D$19-H4939-H4940)/(Inputs!$D$7+$D$4956)^H4930</f>
        <v>-12627.562284413363</v>
      </c>
      <c r="I4943" s="16">
        <f>(I4938*Inputs!$D$19-I4939-I4940)/(Inputs!$D$7+$D$4956)^I4930</f>
        <v>-16645.587691965891</v>
      </c>
      <c r="J4943" s="16">
        <f>(J4938*Inputs!$D$19-J4939-J4940)/(Inputs!$D$7+$D$4956)^J4930</f>
        <v>-10434.640365246118</v>
      </c>
      <c r="K4943" s="16">
        <f>(K4938*Inputs!$D$19-K4939-K4940)/(Inputs!$D$7+$D$4956)^K4930</f>
        <v>2064.3111574790846</v>
      </c>
      <c r="L4943" s="16">
        <f>(L4938*Inputs!$D$19-L4939-L4940)/(Inputs!$D$7+$D$4956)^L4930</f>
        <v>-8624.7949487148144</v>
      </c>
      <c r="M4943" s="16">
        <f>(M4938*Inputs!$D$19-M4939-M4940)/(Inputs!$D$7+$D$4956)^M4930</f>
        <v>-11369.160366071912</v>
      </c>
    </row>
    <row r="4944" spans="1:13" ht="15" customHeight="1" x14ac:dyDescent="0.2">
      <c r="B4944" s="10" t="s">
        <v>903</v>
      </c>
      <c r="C4944" s="10" t="s">
        <v>110</v>
      </c>
      <c r="D4944" s="16">
        <f t="shared" ref="D4944:M4944" si="1075">D4937*$D$4954</f>
        <v>7846.3031318283729</v>
      </c>
      <c r="E4944" s="16">
        <f t="shared" si="1075"/>
        <v>32378.356350049038</v>
      </c>
      <c r="F4944" s="16">
        <f t="shared" si="1075"/>
        <v>53776.397685154356</v>
      </c>
      <c r="G4944" s="16">
        <f t="shared" si="1075"/>
        <v>62946.986828770911</v>
      </c>
      <c r="H4944" s="16">
        <f t="shared" si="1075"/>
        <v>62946.986828770911</v>
      </c>
      <c r="I4944" s="16">
        <f t="shared" si="1075"/>
        <v>62946.986828770911</v>
      </c>
      <c r="J4944" s="16">
        <f t="shared" si="1075"/>
        <v>62946.986828770911</v>
      </c>
      <c r="K4944" s="16">
        <f t="shared" si="1075"/>
        <v>62946.986828770911</v>
      </c>
      <c r="L4944" s="16">
        <f t="shared" si="1075"/>
        <v>62946.986828770911</v>
      </c>
      <c r="M4944" s="16">
        <f t="shared" si="1075"/>
        <v>62946.986828770911</v>
      </c>
    </row>
    <row r="4945" spans="2:13" ht="15" customHeight="1" x14ac:dyDescent="0.2">
      <c r="B4945" s="10" t="s">
        <v>904</v>
      </c>
      <c r="C4945" s="10" t="s">
        <v>110</v>
      </c>
      <c r="D4945" s="16">
        <f t="shared" ref="D4945:M4945" si="1076">D4944*$D$4955</f>
        <v>4707.7818790970232</v>
      </c>
      <c r="E4945" s="16">
        <f t="shared" si="1076"/>
        <v>19427.013810029421</v>
      </c>
      <c r="F4945" s="16">
        <f t="shared" si="1076"/>
        <v>32265.838611092611</v>
      </c>
      <c r="G4945" s="16">
        <f t="shared" si="1076"/>
        <v>37768.192097262545</v>
      </c>
      <c r="H4945" s="16">
        <f t="shared" si="1076"/>
        <v>37768.192097262545</v>
      </c>
      <c r="I4945" s="16">
        <f t="shared" si="1076"/>
        <v>37768.192097262545</v>
      </c>
      <c r="J4945" s="16">
        <f t="shared" si="1076"/>
        <v>37768.192097262545</v>
      </c>
      <c r="K4945" s="16">
        <f t="shared" si="1076"/>
        <v>37768.192097262545</v>
      </c>
      <c r="L4945" s="16">
        <f t="shared" si="1076"/>
        <v>37768.192097262545</v>
      </c>
      <c r="M4945" s="16">
        <f t="shared" si="1076"/>
        <v>37768.192097262545</v>
      </c>
    </row>
    <row r="4946" spans="2:13" ht="15" customHeight="1" x14ac:dyDescent="0.2">
      <c r="B4946" s="10" t="s">
        <v>905</v>
      </c>
      <c r="C4946" s="10" t="s">
        <v>110</v>
      </c>
      <c r="D4946" s="16">
        <f t="shared" ref="D4946:M4946" si="1077">D4945-D4938</f>
        <v>1822.3289032577936</v>
      </c>
      <c r="E4946" s="16">
        <f t="shared" si="1077"/>
        <v>7519.9764303428801</v>
      </c>
      <c r="F4946" s="16">
        <f t="shared" si="1077"/>
        <v>12489.739711586495</v>
      </c>
      <c r="G4946" s="16">
        <f t="shared" si="1077"/>
        <v>14619.638260690896</v>
      </c>
      <c r="H4946" s="16">
        <f t="shared" si="1077"/>
        <v>14619.638260690896</v>
      </c>
      <c r="I4946" s="16">
        <f t="shared" si="1077"/>
        <v>14619.638260690896</v>
      </c>
      <c r="J4946" s="16">
        <f t="shared" si="1077"/>
        <v>14619.638260690896</v>
      </c>
      <c r="K4946" s="16">
        <f t="shared" si="1077"/>
        <v>14619.638260690896</v>
      </c>
      <c r="L4946" s="16">
        <f t="shared" si="1077"/>
        <v>14619.638260690896</v>
      </c>
      <c r="M4946" s="16">
        <f t="shared" si="1077"/>
        <v>14619.638260690896</v>
      </c>
    </row>
    <row r="4947" spans="2:13" ht="15" customHeight="1" x14ac:dyDescent="0.2">
      <c r="B4947" s="10" t="s">
        <v>906</v>
      </c>
      <c r="C4947" s="10" t="s">
        <v>110</v>
      </c>
      <c r="D4947" s="16">
        <f>MAX(D4946,Inputs!$D$6)*Inputs!$D$19</f>
        <v>546.69867097733811</v>
      </c>
      <c r="E4947" s="16">
        <f>MAX(E4946,Inputs!$D$6)*Inputs!$D$19</f>
        <v>2255.9929291028639</v>
      </c>
      <c r="F4947" s="16">
        <f>MAX(F4946,Inputs!$D$6)*Inputs!$D$19</f>
        <v>3746.9219134759483</v>
      </c>
      <c r="G4947" s="16">
        <f>MAX(G4946,Inputs!$D$6)*Inputs!$D$19</f>
        <v>4385.8914782072688</v>
      </c>
      <c r="H4947" s="16">
        <f>MAX(H4946,Inputs!$D$6)*Inputs!$D$19</f>
        <v>4385.8914782072688</v>
      </c>
      <c r="I4947" s="16">
        <f>MAX(I4946,Inputs!$D$6)*Inputs!$D$19</f>
        <v>4385.8914782072688</v>
      </c>
      <c r="J4947" s="16">
        <f>MAX(J4946,Inputs!$D$6)*Inputs!$D$19</f>
        <v>4385.8914782072688</v>
      </c>
      <c r="K4947" s="16">
        <f>MAX(K4946,Inputs!$D$6)*Inputs!$D$19</f>
        <v>4385.8914782072688</v>
      </c>
      <c r="L4947" s="16">
        <f>MAX(L4946,Inputs!$D$6)*Inputs!$D$19</f>
        <v>4385.8914782072688</v>
      </c>
      <c r="M4947" s="16">
        <f>MAX(M4946,Inputs!$D$6)*Inputs!$D$19</f>
        <v>4385.8914782072688</v>
      </c>
    </row>
    <row r="4948" spans="2:13" ht="15" customHeight="1" x14ac:dyDescent="0.2">
      <c r="B4948" s="10" t="s">
        <v>907</v>
      </c>
      <c r="C4948" s="10" t="s">
        <v>110</v>
      </c>
      <c r="D4948" s="16">
        <f t="shared" ref="D4948:M4948" si="1078">D4941*$D$4954</f>
        <v>458.52945718082816</v>
      </c>
      <c r="E4948" s="16">
        <f t="shared" si="1078"/>
        <v>611.37260957443743</v>
      </c>
      <c r="F4948" s="16">
        <f t="shared" si="1078"/>
        <v>458.52945718082816</v>
      </c>
      <c r="G4948" s="16">
        <f t="shared" si="1078"/>
        <v>0</v>
      </c>
      <c r="H4948" s="16">
        <f t="shared" si="1078"/>
        <v>0</v>
      </c>
      <c r="I4948" s="16">
        <f t="shared" si="1078"/>
        <v>0</v>
      </c>
      <c r="J4948" s="16">
        <f t="shared" si="1078"/>
        <v>0</v>
      </c>
      <c r="K4948" s="16">
        <f t="shared" si="1078"/>
        <v>0</v>
      </c>
      <c r="L4948" s="16">
        <f t="shared" si="1078"/>
        <v>0</v>
      </c>
      <c r="M4948" s="16">
        <f t="shared" si="1078"/>
        <v>0</v>
      </c>
    </row>
    <row r="4949" spans="2:13" ht="15" customHeight="1" x14ac:dyDescent="0.2">
      <c r="B4949" s="10" t="s">
        <v>908</v>
      </c>
      <c r="C4949" s="10" t="s">
        <v>110</v>
      </c>
      <c r="D4949" s="16">
        <f t="shared" ref="D4949:M4949" si="1079">D4945-D4947-D4939-D4940-D4948</f>
        <v>-24253.221088028917</v>
      </c>
      <c r="E4949" s="16">
        <f t="shared" si="1079"/>
        <v>-20714.718180604905</v>
      </c>
      <c r="F4949" s="16">
        <f t="shared" si="1079"/>
        <v>104.61240146806261</v>
      </c>
      <c r="G4949" s="16">
        <f t="shared" si="1079"/>
        <v>30744.295770488105</v>
      </c>
      <c r="H4949" s="16">
        <f t="shared" si="1079"/>
        <v>6646.6949581418994</v>
      </c>
      <c r="I4949" s="16">
        <f t="shared" si="1079"/>
        <v>-2265.1735954958858</v>
      </c>
      <c r="J4949" s="16">
        <f t="shared" si="1079"/>
        <v>6646.6949581418994</v>
      </c>
      <c r="K4949" s="16">
        <f t="shared" si="1079"/>
        <v>30744.295770488105</v>
      </c>
      <c r="L4949" s="16">
        <f t="shared" si="1079"/>
        <v>6646.6949581418994</v>
      </c>
      <c r="M4949" s="16">
        <f t="shared" si="1079"/>
        <v>-2265.1735954958858</v>
      </c>
    </row>
    <row r="4950" spans="2:13" ht="15" customHeight="1" x14ac:dyDescent="0.2">
      <c r="B4950" s="10" t="s">
        <v>909</v>
      </c>
      <c r="C4950" s="10" t="s">
        <v>110</v>
      </c>
      <c r="D4950" s="16">
        <f>D4949/(Inputs!$D$7+$D$4956)^D4930</f>
        <v>-22656.40919745111</v>
      </c>
      <c r="E4950" s="16">
        <f>E4949/(Inputs!$D$7+$D$4956)^E4930</f>
        <v>-17588.265099980301</v>
      </c>
      <c r="F4950" s="16">
        <f>F4949/(Inputs!$D$7+$D$4956)^F4930</f>
        <v>80.753767316644826</v>
      </c>
      <c r="G4950" s="16">
        <f>G4949/(Inputs!$D$7+$D$4956)^G4930</f>
        <v>21576.441317304067</v>
      </c>
      <c r="H4950" s="16">
        <f>H4949/(Inputs!$D$7+$D$4956)^H4930</f>
        <v>4240.8866157470256</v>
      </c>
      <c r="I4950" s="16">
        <f>I4949/(Inputs!$D$7+$D$4956)^I4930</f>
        <v>-1313.6350378795055</v>
      </c>
      <c r="J4950" s="16">
        <f>J4949/(Inputs!$D$7+$D$4956)^J4930</f>
        <v>3504.4077129382167</v>
      </c>
      <c r="K4950" s="16">
        <f>K4949/(Inputs!$D$7+$D$4956)^K4930</f>
        <v>14736.999738613522</v>
      </c>
      <c r="L4950" s="16">
        <f>L4949/(Inputs!$D$7+$D$4956)^L4930</f>
        <v>2896.5826212328561</v>
      </c>
      <c r="M4950" s="16">
        <f>M4949/(Inputs!$D$7+$D$4956)^M4930</f>
        <v>-897.23040631070637</v>
      </c>
    </row>
    <row r="4951" spans="2:13" ht="15" customHeight="1" x14ac:dyDescent="0.2">
      <c r="B4951" s="3" t="s">
        <v>910</v>
      </c>
      <c r="C4951" s="10" t="s">
        <v>896</v>
      </c>
      <c r="D4951" s="28">
        <f>(D4937*$D$4955-D4941)/(Inputs!$D$7+$D$4956)^D4930</f>
        <v>100.89722489537324</v>
      </c>
      <c r="E4951" s="28">
        <f>(E4937*$D$4955-E4941)/(Inputs!$D$7+$D$4956)^E4930</f>
        <v>406.07666459070981</v>
      </c>
      <c r="F4951" s="28">
        <f>(F4937*$D$4955-F4941)/(Inputs!$D$7+$D$4956)^F4930</f>
        <v>624.09627016286015</v>
      </c>
      <c r="G4951" s="28">
        <f>(G4937*$D$4955-G4941)/(Inputs!$D$7+$D$4956)^G4930</f>
        <v>673.73095221439348</v>
      </c>
      <c r="H4951" s="28">
        <f>(H4937*$D$4955-H4941)/(Inputs!$D$7+$D$4956)^H4930</f>
        <v>612.52264121584926</v>
      </c>
      <c r="I4951" s="28">
        <f>(I4937*$D$4955-I4941)/(Inputs!$D$7+$D$4956)^I4930</f>
        <v>556.72979716517079</v>
      </c>
      <c r="J4951" s="28">
        <f>(J4937*$D$4955-J4941)/(Inputs!$D$7+$D$4956)^J4930</f>
        <v>506.15101574650379</v>
      </c>
      <c r="K4951" s="28">
        <f>(K4937*$D$4955-K4941)/(Inputs!$D$7+$D$4956)^K4930</f>
        <v>460.16730565835212</v>
      </c>
      <c r="L4951" s="28">
        <f>(L4937*$D$4955-L4941)/(Inputs!$D$7+$D$4956)^L4930</f>
        <v>418.36120566617655</v>
      </c>
      <c r="M4951" s="28">
        <f>(M4937*$D$4955-M4941)/(Inputs!$D$7+$D$4956)^M4930</f>
        <v>380.25394246647818</v>
      </c>
    </row>
    <row r="4952" spans="2:13" ht="15" customHeight="1" x14ac:dyDescent="0.2">
      <c r="B4952" s="10" t="s">
        <v>911</v>
      </c>
      <c r="C4952" s="10" t="s">
        <v>110</v>
      </c>
      <c r="D4952" s="16">
        <f>(-D4939-D4940)/(Inputs!$D$7+$D$4956)^D4930</f>
        <v>-26115.189891048693</v>
      </c>
      <c r="E4952" s="16">
        <f>(-E4939-E4940)/(Inputs!$D$7+$D$4956)^E4930</f>
        <v>-31648.581113918288</v>
      </c>
      <c r="F4952" s="16">
        <f>(-F4939-F4940)/(Inputs!$D$7+$D$4956)^F4930</f>
        <v>-21579.985783919947</v>
      </c>
      <c r="G4952" s="16">
        <f>(-G4939-G4940)/(Inputs!$D$7+$D$4956)^G4930</f>
        <v>-1851.359915178487</v>
      </c>
      <c r="H4952" s="16">
        <f>(-H4939-H4940)/(Inputs!$D$7+$D$4956)^H4930</f>
        <v>-17058.50395200841</v>
      </c>
      <c r="I4952" s="16">
        <f>(-I4939-I4940)/(Inputs!$D$7+$D$4956)^I4930</f>
        <v>-20672.92821762263</v>
      </c>
      <c r="J4952" s="16">
        <f>(-J4939-J4940)/(Inputs!$D$7+$D$4956)^J4930</f>
        <v>-14096.097876947169</v>
      </c>
      <c r="K4952" s="16">
        <f>(-K4939-K4940)/(Inputs!$D$7+$D$4956)^K4930</f>
        <v>-1264.5037327904422</v>
      </c>
      <c r="L4952" s="16">
        <f>(-L4939-L4940)/(Inputs!$D$7+$D$4956)^L4930</f>
        <v>-11651.187727619976</v>
      </c>
      <c r="M4952" s="16">
        <f>(-M4939-M4940)/(Inputs!$D$7+$D$4956)^M4930</f>
        <v>-14119.888134432502</v>
      </c>
    </row>
    <row r="4953" spans="2:13" ht="15" customHeight="1" x14ac:dyDescent="0.2">
      <c r="B4953" s="10" t="s">
        <v>912</v>
      </c>
      <c r="C4953" s="10" t="s">
        <v>110</v>
      </c>
      <c r="D4953" s="16">
        <f>Prices!K8</f>
        <v>47103.700386874909</v>
      </c>
    </row>
    <row r="4954" spans="2:13" ht="15" customHeight="1" x14ac:dyDescent="0.2">
      <c r="B4954" s="3" t="s">
        <v>913</v>
      </c>
      <c r="C4954" s="10" t="s">
        <v>914</v>
      </c>
      <c r="D4954" s="28">
        <f>IF(J4961&gt;=J4957,J4961,(D4953-J4960)/J4959)</f>
        <v>39.34186676798182</v>
      </c>
      <c r="G4954" s="99" t="s">
        <v>915</v>
      </c>
      <c r="H4954" s="91"/>
      <c r="I4954" s="91"/>
      <c r="J4954" s="28">
        <f>D4954*Inputs!$D$15</f>
        <v>27.456688817374509</v>
      </c>
      <c r="K4954" s="99" t="s">
        <v>916</v>
      </c>
      <c r="L4954" s="91"/>
      <c r="M4954" s="91"/>
    </row>
    <row r="4955" spans="2:13" ht="15" customHeight="1" x14ac:dyDescent="0.2">
      <c r="B4955" s="10" t="s">
        <v>917</v>
      </c>
      <c r="C4955" s="10" t="s">
        <v>104</v>
      </c>
      <c r="D4955" s="30">
        <f>Inputs!$D$81</f>
        <v>0.6</v>
      </c>
      <c r="G4955" s="99" t="s">
        <v>918</v>
      </c>
      <c r="H4955" s="91"/>
      <c r="I4955" s="91"/>
      <c r="J4955" s="28">
        <f>IF(-D4966/D4965&gt;=J4957,-D4966/D4965,-J4960/J4959)</f>
        <v>32.55444198319757</v>
      </c>
      <c r="K4955" s="99" t="s">
        <v>919</v>
      </c>
      <c r="L4955" s="91"/>
      <c r="M4955" s="91"/>
    </row>
    <row r="4956" spans="2:13" ht="15" customHeight="1" x14ac:dyDescent="0.2">
      <c r="B4956" s="10" t="s">
        <v>920</v>
      </c>
      <c r="C4956" s="10" t="s">
        <v>104</v>
      </c>
      <c r="D4956" s="30">
        <f>Inputs!$D$82</f>
        <v>0.1</v>
      </c>
      <c r="G4956" s="99" t="s">
        <v>918</v>
      </c>
      <c r="H4956" s="91"/>
      <c r="I4956" s="91"/>
      <c r="J4956" s="28">
        <f>J4955*Inputs!$D$15</f>
        <v>22.719745060073585</v>
      </c>
      <c r="K4956" s="99" t="s">
        <v>916</v>
      </c>
      <c r="L4956" s="91"/>
      <c r="M4956" s="91"/>
    </row>
    <row r="4957" spans="2:13" ht="15" customHeight="1" x14ac:dyDescent="0.2">
      <c r="B4957" s="3" t="s">
        <v>921</v>
      </c>
      <c r="C4957" s="10" t="s">
        <v>848</v>
      </c>
      <c r="D4957" s="28">
        <f>Capital!$D$13</f>
        <v>57.347931490590682</v>
      </c>
      <c r="G4957" s="99" t="s">
        <v>922</v>
      </c>
      <c r="H4957" s="91"/>
      <c r="I4957" s="91"/>
      <c r="J4957" s="28">
        <f>($D$4957/Inputs!$D$21+$D$4958/Inputs!$D$22)/$D$4955</f>
        <v>24.113076913095469</v>
      </c>
      <c r="K4957" s="99" t="s">
        <v>919</v>
      </c>
      <c r="L4957" s="91"/>
      <c r="M4957" s="91"/>
    </row>
    <row r="4958" spans="2:13" ht="15" customHeight="1" x14ac:dyDescent="0.2">
      <c r="B4958" s="3" t="s">
        <v>923</v>
      </c>
      <c r="C4958" s="10" t="s">
        <v>848</v>
      </c>
      <c r="D4958" s="28">
        <f>Capital!$D$14</f>
        <v>2.6172655041921802</v>
      </c>
    </row>
    <row r="4959" spans="2:13" ht="15" customHeight="1" x14ac:dyDescent="0.2">
      <c r="B4959" s="10" t="s">
        <v>924</v>
      </c>
      <c r="C4959" s="10" t="s">
        <v>896</v>
      </c>
      <c r="D4959" s="28">
        <f>(M4932*(Inputs!$D$7+Inputs!$D$20)*$D$4955*(Inputs!$D$7-Inputs!$D$19)-M4932*Inputs!$D$20*Inputs!$D$23)/($D$4956-Inputs!$D$20)/(Inputs!$D$7+$D$4956)^M4930</f>
        <v>3632.4814115061608</v>
      </c>
      <c r="G4959" s="92" t="s">
        <v>910</v>
      </c>
      <c r="H4959" s="91"/>
      <c r="I4959" s="91"/>
      <c r="J4959" s="28">
        <f>SUM(D4951:M4951)+(M4932*(Inputs!$D$7+Inputs!$D$20)*$D$4955-M4932*Inputs!$D$20*Inputs!$D$23)/($D$4956-Inputs!$D$20)/(Inputs!$D$7+$D$4956)^M4930</f>
        <v>9930.5095954005883</v>
      </c>
      <c r="K4959" s="99" t="s">
        <v>896</v>
      </c>
      <c r="L4959" s="91"/>
      <c r="M4959" s="91"/>
    </row>
    <row r="4960" spans="2:13" ht="15" customHeight="1" x14ac:dyDescent="0.2">
      <c r="B4960" s="10" t="s">
        <v>925</v>
      </c>
      <c r="C4960" s="10" t="s">
        <v>110</v>
      </c>
      <c r="D4960" s="16">
        <f>(D4963*Inputs!$D$19-D4963-D4964)/($D$4956-Inputs!$D$20)/(Inputs!$D$7+$D$4956)^M4930</f>
        <v>-100385.43137330168</v>
      </c>
      <c r="G4960" s="92" t="s">
        <v>926</v>
      </c>
      <c r="H4960" s="91"/>
      <c r="I4960" s="91"/>
      <c r="J4960" s="16">
        <f>SUM(D4952:M4952)-(D4963+D4964)/($D$4956-Inputs!$D$20)/(Inputs!$D$7+$D$4956)^M4930</f>
        <v>-298036.93721971626</v>
      </c>
      <c r="K4960" s="99" t="s">
        <v>110</v>
      </c>
      <c r="L4960" s="91"/>
      <c r="M4960" s="91"/>
    </row>
    <row r="4961" spans="1:13" ht="15" customHeight="1" x14ac:dyDescent="0.2">
      <c r="B4961" s="10" t="s">
        <v>927</v>
      </c>
      <c r="C4961" s="10" t="s">
        <v>928</v>
      </c>
      <c r="D4961" s="16">
        <f>(M4932*(Inputs!$D$7+Inputs!$D$20)*$D$4954*$D$4955-D4963)-MAX((M4932*(Inputs!$D$7+Inputs!$D$20)*$D$4954*$D$4955-D4963),Inputs!$D$6)*Inputs!$D$19-D4964-M4932*Inputs!$D$20*$D$4954*Inputs!$D$23</f>
        <v>8051.6407054864212</v>
      </c>
      <c r="G4961" s="99" t="s">
        <v>929</v>
      </c>
      <c r="H4961" s="91"/>
      <c r="I4961" s="91"/>
      <c r="J4961" s="28">
        <f>(D4953-D4966)/D4965</f>
        <v>39.34186676798182</v>
      </c>
      <c r="K4961" s="99" t="s">
        <v>919</v>
      </c>
      <c r="L4961" s="91"/>
      <c r="M4961" s="91"/>
    </row>
    <row r="4962" spans="1:13" ht="15" customHeight="1" x14ac:dyDescent="0.2">
      <c r="B4962" s="10" t="s">
        <v>930</v>
      </c>
      <c r="C4962" s="10" t="s">
        <v>110</v>
      </c>
      <c r="D4962" s="16">
        <f>D4961/($D$4956-Inputs!$D$20)</f>
        <v>107355.20940648561</v>
      </c>
      <c r="G4962" s="99" t="s">
        <v>931</v>
      </c>
      <c r="H4962" s="91"/>
      <c r="I4962" s="91"/>
      <c r="J4962" s="16">
        <f>MIN(D4946:M4946,(M4932*(Inputs!$D$7+Inputs!$D$20)*$D$4954*$D$4955-D4963))</f>
        <v>1822.3289032577936</v>
      </c>
      <c r="K4962" s="99" t="s">
        <v>110</v>
      </c>
      <c r="L4962" s="91"/>
      <c r="M4962" s="91"/>
    </row>
    <row r="4963" spans="1:13" ht="15" customHeight="1" x14ac:dyDescent="0.2">
      <c r="B4963" s="10" t="s">
        <v>932</v>
      </c>
      <c r="C4963" s="10" t="s">
        <v>928</v>
      </c>
      <c r="D4963" s="16">
        <f>M4932*(Inputs!$D$7+Inputs!$D$20)*($D$4957/Inputs!$D$21+$D$4958/Inputs!$D$22)</f>
        <v>23727.267682485937</v>
      </c>
      <c r="G4963" s="99" t="s">
        <v>933</v>
      </c>
      <c r="H4963" s="91"/>
      <c r="I4963" s="91"/>
      <c r="J4963" s="31" t="str">
        <f>IF(J4962&lt;Inputs!$D$6,"breached","satisfied")</f>
        <v>satisfied</v>
      </c>
      <c r="K4963" s="99" t="s">
        <v>934</v>
      </c>
      <c r="L4963" s="91"/>
      <c r="M4963" s="91"/>
    </row>
    <row r="4964" spans="1:13" ht="15" customHeight="1" x14ac:dyDescent="0.2">
      <c r="B4964" s="10" t="s">
        <v>935</v>
      </c>
      <c r="C4964" s="10" t="s">
        <v>928</v>
      </c>
      <c r="D4964" s="16">
        <f>M4932*Inputs!$D$20*($D$4957+$D$4958)</f>
        <v>2398.6078797913146</v>
      </c>
    </row>
    <row r="4965" spans="1:13" ht="15" customHeight="1" x14ac:dyDescent="0.2">
      <c r="B4965" s="10" t="s">
        <v>936</v>
      </c>
      <c r="C4965" s="10" t="s">
        <v>896</v>
      </c>
      <c r="D4965" s="28">
        <f>SUM(D4942:M4942)+D4959</f>
        <v>6939.8485994968105</v>
      </c>
      <c r="G4965" s="99" t="s">
        <v>937</v>
      </c>
      <c r="H4965" s="91"/>
      <c r="I4965" s="91"/>
      <c r="J4965" s="16">
        <f>D4967-D4953</f>
        <v>6.5483618527650833E-11</v>
      </c>
      <c r="K4965" s="99" t="s">
        <v>110</v>
      </c>
      <c r="L4965" s="91"/>
      <c r="M4965" s="91"/>
    </row>
    <row r="4966" spans="1:13" ht="15" customHeight="1" x14ac:dyDescent="0.2">
      <c r="B4966" s="10" t="s">
        <v>938</v>
      </c>
      <c r="C4966" s="10" t="s">
        <v>110</v>
      </c>
      <c r="D4966" s="16">
        <f>SUM(D4943:M4943)+D4960</f>
        <v>-225922.89860449382</v>
      </c>
    </row>
    <row r="4967" spans="1:13" ht="15" customHeight="1" x14ac:dyDescent="0.2">
      <c r="B4967" s="10" t="s">
        <v>939</v>
      </c>
      <c r="C4967" s="10" t="s">
        <v>110</v>
      </c>
      <c r="D4967" s="16">
        <f>SUM(D4950:M4950)+D4962/(Inputs!$D$7+$D$4956)^M4930</f>
        <v>47103.700386874974</v>
      </c>
    </row>
    <row r="4968" spans="1:13" ht="15" customHeight="1" x14ac:dyDescent="0.2">
      <c r="B4968" s="10" t="s">
        <v>940</v>
      </c>
      <c r="C4968" s="10" t="s">
        <v>104</v>
      </c>
      <c r="D4968" s="30">
        <f>IF(ABS(D4953)&gt;Inputs!$D$6,D4967/D4953-Inputs!$D$7,Inputs!$D$6)</f>
        <v>1.3322676295501878E-15</v>
      </c>
    </row>
    <row r="4969" spans="1:13" ht="15" customHeight="1" x14ac:dyDescent="0.2">
      <c r="B4969" s="10" t="s">
        <v>941</v>
      </c>
      <c r="C4969" s="10" t="s">
        <v>104</v>
      </c>
      <c r="D4969" s="30">
        <f>IF(ABS(D4967)&gt;Inputs!$D$119,D4962/(Inputs!$D$7+$D$4956)^M4930/D4967,Inputs!$D$6)</f>
        <v>0.90275642902978737</v>
      </c>
    </row>
    <row r="4970" spans="1:13" ht="15" customHeight="1" x14ac:dyDescent="0.2">
      <c r="B4970" s="10" t="s">
        <v>942</v>
      </c>
      <c r="C4970" s="10" t="s">
        <v>943</v>
      </c>
      <c r="D4970" s="26">
        <f>$D$4954*Inputs!$D$8/Prices!$P$6/(Inputs!$D$26/Inputs!$D$25)/Inputs!$D$11/Inputs!$D$56</f>
        <v>7.154437973556492</v>
      </c>
    </row>
    <row r="4974" spans="1:13" ht="15" customHeight="1" x14ac:dyDescent="0.2">
      <c r="A4974" s="104" t="s">
        <v>1051</v>
      </c>
      <c r="B4974" s="10" t="s">
        <v>886</v>
      </c>
      <c r="C4974" s="10" t="s">
        <v>107</v>
      </c>
      <c r="D4974" s="28">
        <f>Inputs!$D$60</f>
        <v>1</v>
      </c>
      <c r="E4974" s="28">
        <f>Inputs!$D$62</f>
        <v>2</v>
      </c>
      <c r="F4974" s="28">
        <f>Inputs!$D$64</f>
        <v>3</v>
      </c>
      <c r="G4974" s="28">
        <f>Inputs!$D$66</f>
        <v>4</v>
      </c>
      <c r="H4974" s="28">
        <f>Inputs!$D$68</f>
        <v>5</v>
      </c>
      <c r="I4974" s="28">
        <f>Inputs!$D$70</f>
        <v>6</v>
      </c>
      <c r="J4974" s="28">
        <f>Inputs!$D$72</f>
        <v>7</v>
      </c>
      <c r="K4974" s="28">
        <f>Inputs!$D$74</f>
        <v>8</v>
      </c>
      <c r="L4974" s="28">
        <f>Inputs!$D$76</f>
        <v>9</v>
      </c>
      <c r="M4974" s="28">
        <f>Inputs!$D$78</f>
        <v>10</v>
      </c>
    </row>
    <row r="4975" spans="1:13" ht="15" customHeight="1" x14ac:dyDescent="0.2">
      <c r="A4975" s="91"/>
      <c r="B4975" s="10" t="s">
        <v>887</v>
      </c>
      <c r="C4975" s="10" t="s">
        <v>161</v>
      </c>
      <c r="D4975" s="29">
        <f>Inputs!$D$61</f>
        <v>46568</v>
      </c>
      <c r="E4975" s="29">
        <f>Inputs!$D$63</f>
        <v>46934</v>
      </c>
      <c r="F4975" s="29">
        <f>Inputs!$D$65</f>
        <v>47299</v>
      </c>
      <c r="G4975" s="29">
        <f>Inputs!$D$67</f>
        <v>47664</v>
      </c>
      <c r="H4975" s="29">
        <f>Inputs!$D$69</f>
        <v>48029</v>
      </c>
      <c r="I4975" s="29">
        <f>Inputs!$D$71</f>
        <v>48395</v>
      </c>
      <c r="J4975" s="29">
        <f>Inputs!$D$73</f>
        <v>48760</v>
      </c>
      <c r="K4975" s="29">
        <f>Inputs!$D$75</f>
        <v>49125</v>
      </c>
      <c r="L4975" s="29">
        <f>Inputs!$D$77</f>
        <v>49490</v>
      </c>
      <c r="M4975" s="29">
        <f>Inputs!$D$79</f>
        <v>49856</v>
      </c>
    </row>
    <row r="4976" spans="1:13" ht="15" customHeight="1" x14ac:dyDescent="0.2">
      <c r="A4976" s="91"/>
      <c r="B4976" s="10" t="s">
        <v>888</v>
      </c>
      <c r="C4976" s="10" t="s">
        <v>107</v>
      </c>
      <c r="D4976" s="28">
        <f>(D4975-Inputs!$D$13)/Inputs!$D$10</f>
        <v>0.71457905544147848</v>
      </c>
      <c r="E4976" s="28">
        <f>(E4975-Inputs!$D$13)/Inputs!$D$10</f>
        <v>1.7166324435318274</v>
      </c>
      <c r="F4976" s="28">
        <f>(F4975-Inputs!$D$13)/Inputs!$D$10</f>
        <v>2.7159479808350446</v>
      </c>
      <c r="G4976" s="28">
        <f>(G4975-Inputs!$D$13)/Inputs!$D$10</f>
        <v>3.7152635181382614</v>
      </c>
      <c r="H4976" s="28">
        <f>(H4975-Inputs!$D$13)/Inputs!$D$10</f>
        <v>4.7145790554414786</v>
      </c>
      <c r="I4976" s="28">
        <f>(I4975-Inputs!$D$13)/Inputs!$D$10</f>
        <v>5.7166324435318279</v>
      </c>
      <c r="J4976" s="28">
        <f>(J4975-Inputs!$D$13)/Inputs!$D$10</f>
        <v>6.7159479808350442</v>
      </c>
      <c r="K4976" s="28">
        <f>(K4975-Inputs!$D$13)/Inputs!$D$10</f>
        <v>7.7152635181382614</v>
      </c>
      <c r="L4976" s="28">
        <f>(L4975-Inputs!$D$13)/Inputs!$D$10</f>
        <v>8.7145790554414777</v>
      </c>
      <c r="M4976" s="28">
        <f>(M4975-Inputs!$D$13)/Inputs!$D$10</f>
        <v>9.716632443531827</v>
      </c>
    </row>
    <row r="4977" spans="1:13" ht="15" customHeight="1" x14ac:dyDescent="0.2">
      <c r="A4977" s="91"/>
      <c r="B4977" s="10" t="s">
        <v>889</v>
      </c>
      <c r="C4977" s="10" t="s">
        <v>107</v>
      </c>
      <c r="D4977" s="28">
        <f>D4976</f>
        <v>0.71457905544147848</v>
      </c>
      <c r="E4977" s="28">
        <f>Inputs!$D$7</f>
        <v>1</v>
      </c>
      <c r="F4977" s="28">
        <f>Inputs!$D$7</f>
        <v>1</v>
      </c>
      <c r="G4977" s="28">
        <f>Inputs!$D$7</f>
        <v>1</v>
      </c>
      <c r="H4977" s="28">
        <f>Inputs!$D$7</f>
        <v>1</v>
      </c>
      <c r="I4977" s="28">
        <f>Inputs!$D$7</f>
        <v>1</v>
      </c>
      <c r="J4977" s="28">
        <f>Inputs!$D$7</f>
        <v>1</v>
      </c>
      <c r="K4977" s="28">
        <f>Inputs!$D$7</f>
        <v>1</v>
      </c>
      <c r="L4977" s="28">
        <f>Inputs!$D$7</f>
        <v>1</v>
      </c>
      <c r="M4977" s="28">
        <f>Inputs!$D$7</f>
        <v>1</v>
      </c>
    </row>
    <row r="4978" spans="1:13" ht="15" customHeight="1" x14ac:dyDescent="0.2">
      <c r="A4978" s="91"/>
      <c r="B4978" s="3" t="s">
        <v>890</v>
      </c>
      <c r="C4978" s="10" t="s">
        <v>199</v>
      </c>
      <c r="D4978" s="28">
        <f>Inputs!$D$24+(Inputs!$D$80-Inputs!$D$24)*Inputs!$D$109</f>
        <v>115.2</v>
      </c>
      <c r="E4978" s="28">
        <f>Inputs!$D$24+(Inputs!$D$80-Inputs!$D$24)*Inputs!$D$110</f>
        <v>288.20000000000005</v>
      </c>
      <c r="F4978" s="28">
        <f>Inputs!$D$24+(Inputs!$D$80-Inputs!$D$24)*Inputs!$D$111</f>
        <v>478.5</v>
      </c>
      <c r="G4978" s="28">
        <f>Inputs!$D$24+(Inputs!$D$80-Inputs!$D$24)*Inputs!$D$112</f>
        <v>694.75</v>
      </c>
      <c r="H4978" s="28">
        <f>Inputs!$D$24+(Inputs!$D$80-Inputs!$D$24)*Inputs!$D$113</f>
        <v>911</v>
      </c>
      <c r="I4978" s="28">
        <f>Inputs!$D$24+(Inputs!$D$80-Inputs!$D$24)*Inputs!$D$114</f>
        <v>911</v>
      </c>
      <c r="J4978" s="28">
        <f>Inputs!$D$24+(Inputs!$D$80-Inputs!$D$24)*Inputs!$D$115</f>
        <v>911</v>
      </c>
      <c r="K4978" s="28">
        <f>Inputs!$D$24+(Inputs!$D$80-Inputs!$D$24)*Inputs!$D$116</f>
        <v>911</v>
      </c>
      <c r="L4978" s="28">
        <f>Inputs!$D$24+(Inputs!$D$80-Inputs!$D$24)*Inputs!$D$117</f>
        <v>911</v>
      </c>
      <c r="M4978" s="28">
        <f>Inputs!$D$24+(Inputs!$D$80-Inputs!$D$24)*Inputs!$D$118</f>
        <v>911</v>
      </c>
    </row>
    <row r="4979" spans="1:13" ht="15" customHeight="1" x14ac:dyDescent="0.2">
      <c r="A4979" s="91"/>
      <c r="B4979" s="10" t="s">
        <v>891</v>
      </c>
      <c r="C4979" s="10" t="s">
        <v>199</v>
      </c>
      <c r="D4979" s="28">
        <f>Inputs!$D$24</f>
        <v>46</v>
      </c>
      <c r="E4979" s="28">
        <f t="shared" ref="E4979:M4979" si="1080">D4978</f>
        <v>115.2</v>
      </c>
      <c r="F4979" s="28">
        <f t="shared" si="1080"/>
        <v>288.20000000000005</v>
      </c>
      <c r="G4979" s="28">
        <f t="shared" si="1080"/>
        <v>478.5</v>
      </c>
      <c r="H4979" s="28">
        <f t="shared" si="1080"/>
        <v>694.75</v>
      </c>
      <c r="I4979" s="28">
        <f t="shared" si="1080"/>
        <v>911</v>
      </c>
      <c r="J4979" s="28">
        <f t="shared" si="1080"/>
        <v>911</v>
      </c>
      <c r="K4979" s="28">
        <f t="shared" si="1080"/>
        <v>911</v>
      </c>
      <c r="L4979" s="28">
        <f t="shared" si="1080"/>
        <v>911</v>
      </c>
      <c r="M4979" s="28">
        <f t="shared" si="1080"/>
        <v>911</v>
      </c>
    </row>
    <row r="4980" spans="1:13" ht="15" customHeight="1" x14ac:dyDescent="0.2">
      <c r="B4980" s="10" t="s">
        <v>892</v>
      </c>
      <c r="C4980" s="10" t="s">
        <v>199</v>
      </c>
      <c r="D4980" s="28">
        <f>(D4979+D4978)*Inputs!$D$12</f>
        <v>80.599999999999994</v>
      </c>
      <c r="E4980" s="28">
        <f>(E4979+E4978)*Inputs!$D$12</f>
        <v>201.70000000000002</v>
      </c>
      <c r="F4980" s="28">
        <f>(F4979+F4978)*Inputs!$D$12</f>
        <v>383.35</v>
      </c>
      <c r="G4980" s="28">
        <f>(G4979+G4978)*Inputs!$D$12</f>
        <v>586.625</v>
      </c>
      <c r="H4980" s="28">
        <f>(H4979+H4978)*Inputs!$D$12</f>
        <v>802.875</v>
      </c>
      <c r="I4980" s="28">
        <f>(I4979+I4978)*Inputs!$D$12</f>
        <v>911</v>
      </c>
      <c r="J4980" s="28">
        <f>(J4979+J4978)*Inputs!$D$12</f>
        <v>911</v>
      </c>
      <c r="K4980" s="28">
        <f>(K4979+K4978)*Inputs!$D$12</f>
        <v>911</v>
      </c>
      <c r="L4980" s="28">
        <f>(L4979+L4978)*Inputs!$D$12</f>
        <v>911</v>
      </c>
      <c r="M4980" s="28">
        <f>(M4979+M4978)*Inputs!$D$12</f>
        <v>911</v>
      </c>
    </row>
    <row r="4981" spans="1:13" ht="15" customHeight="1" x14ac:dyDescent="0.2">
      <c r="B4981" s="10" t="s">
        <v>893</v>
      </c>
      <c r="C4981" s="10" t="s">
        <v>199</v>
      </c>
      <c r="D4981" s="28">
        <f t="shared" ref="D4981:M4981" si="1081">D4978-D4979</f>
        <v>69.2</v>
      </c>
      <c r="E4981" s="28">
        <f t="shared" si="1081"/>
        <v>173.00000000000006</v>
      </c>
      <c r="F4981" s="28">
        <f t="shared" si="1081"/>
        <v>190.29999999999995</v>
      </c>
      <c r="G4981" s="28">
        <f t="shared" si="1081"/>
        <v>216.25</v>
      </c>
      <c r="H4981" s="28">
        <f t="shared" si="1081"/>
        <v>216.25</v>
      </c>
      <c r="I4981" s="28">
        <f t="shared" si="1081"/>
        <v>0</v>
      </c>
      <c r="J4981" s="28">
        <f t="shared" si="1081"/>
        <v>0</v>
      </c>
      <c r="K4981" s="28">
        <f t="shared" si="1081"/>
        <v>0</v>
      </c>
      <c r="L4981" s="28">
        <f t="shared" si="1081"/>
        <v>0</v>
      </c>
      <c r="M4981" s="28">
        <f t="shared" si="1081"/>
        <v>0</v>
      </c>
    </row>
    <row r="4982" spans="1:13" ht="15" customHeight="1" x14ac:dyDescent="0.2">
      <c r="B4982" s="10" t="s">
        <v>894</v>
      </c>
      <c r="C4982" s="10" t="s">
        <v>199</v>
      </c>
      <c r="D4982" s="28">
        <f>IF(MOD(D4974,Inputs!$D$21)=Inputs!$D$6,Inputs!$D$24,Inputs!$D$6)+SUMPRODUCT(--(D4974&gt;$D$4974:$M$4974),--(MOD(D4974-$D$4974:$M$4974,Inputs!$D$21)=Inputs!$D$6),$D$4981:$M$4981)</f>
        <v>0</v>
      </c>
      <c r="E4982" s="28">
        <f>IF(MOD(E4974,Inputs!$D$21)=Inputs!$D$6,Inputs!$D$24,Inputs!$D$6)+SUMPRODUCT(--(E4974&gt;$D$4974:$M$4974),--(MOD(E4974-$D$4974:$M$4974,Inputs!$D$21)=Inputs!$D$6),$D$4981:$M$4981)</f>
        <v>0</v>
      </c>
      <c r="F4982" s="28">
        <f>IF(MOD(F4974,Inputs!$D$21)=Inputs!$D$6,Inputs!$D$24,Inputs!$D$6)+SUMPRODUCT(--(F4974&gt;$D$4974:$M$4974),--(MOD(F4974-$D$4974:$M$4974,Inputs!$D$21)=Inputs!$D$6),$D$4981:$M$4981)</f>
        <v>0</v>
      </c>
      <c r="G4982" s="28">
        <f>IF(MOD(G4974,Inputs!$D$21)=Inputs!$D$6,Inputs!$D$24,Inputs!$D$6)+SUMPRODUCT(--(G4974&gt;$D$4974:$M$4974),--(MOD(G4974-$D$4974:$M$4974,Inputs!$D$21)=Inputs!$D$6),$D$4981:$M$4981)</f>
        <v>46</v>
      </c>
      <c r="H4982" s="28">
        <f>IF(MOD(H4974,Inputs!$D$21)=Inputs!$D$6,Inputs!$D$24,Inputs!$D$6)+SUMPRODUCT(--(H4974&gt;$D$4974:$M$4974),--(MOD(H4974-$D$4974:$M$4974,Inputs!$D$21)=Inputs!$D$6),$D$4981:$M$4981)</f>
        <v>69.2</v>
      </c>
      <c r="I4982" s="28">
        <f>IF(MOD(I4974,Inputs!$D$21)=Inputs!$D$6,Inputs!$D$24,Inputs!$D$6)+SUMPRODUCT(--(I4974&gt;$D$4974:$M$4974),--(MOD(I4974-$D$4974:$M$4974,Inputs!$D$21)=Inputs!$D$6),$D$4981:$M$4981)</f>
        <v>173.00000000000006</v>
      </c>
      <c r="J4982" s="28">
        <f>IF(MOD(J4974,Inputs!$D$21)=Inputs!$D$6,Inputs!$D$24,Inputs!$D$6)+SUMPRODUCT(--(J4974&gt;$D$4974:$M$4974),--(MOD(J4974-$D$4974:$M$4974,Inputs!$D$21)=Inputs!$D$6),$D$4981:$M$4981)</f>
        <v>190.29999999999995</v>
      </c>
      <c r="K4982" s="28">
        <f>IF(MOD(K4974,Inputs!$D$21)=Inputs!$D$6,Inputs!$D$24,Inputs!$D$6)+SUMPRODUCT(--(K4974&gt;$D$4974:$M$4974),--(MOD(K4974-$D$4974:$M$4974,Inputs!$D$21)=Inputs!$D$6),$D$4981:$M$4981)</f>
        <v>262.25</v>
      </c>
      <c r="L4982" s="28">
        <f>IF(MOD(L4974,Inputs!$D$21)=Inputs!$D$6,Inputs!$D$24,Inputs!$D$6)+SUMPRODUCT(--(L4974&gt;$D$4974:$M$4974),--(MOD(L4974-$D$4974:$M$4974,Inputs!$D$21)=Inputs!$D$6),$D$4981:$M$4981)</f>
        <v>285.45</v>
      </c>
      <c r="M4982" s="28">
        <f>IF(MOD(M4974,Inputs!$D$21)=Inputs!$D$6,Inputs!$D$24,Inputs!$D$6)+SUMPRODUCT(--(M4974&gt;$D$4974:$M$4974),--(MOD(M4974-$D$4974:$M$4974,Inputs!$D$21)=Inputs!$D$6),$D$4981:$M$4981)</f>
        <v>173.00000000000006</v>
      </c>
    </row>
    <row r="4983" spans="1:13" ht="15" customHeight="1" x14ac:dyDescent="0.2">
      <c r="B4983" s="10" t="s">
        <v>895</v>
      </c>
      <c r="C4983" s="10" t="s">
        <v>896</v>
      </c>
      <c r="D4983" s="28">
        <f t="shared" ref="D4983:M4983" si="1082">D4980*D4977</f>
        <v>57.595071868583162</v>
      </c>
      <c r="E4983" s="28">
        <f t="shared" si="1082"/>
        <v>201.70000000000002</v>
      </c>
      <c r="F4983" s="28">
        <f t="shared" si="1082"/>
        <v>383.35</v>
      </c>
      <c r="G4983" s="28">
        <f t="shared" si="1082"/>
        <v>586.625</v>
      </c>
      <c r="H4983" s="28">
        <f t="shared" si="1082"/>
        <v>802.875</v>
      </c>
      <c r="I4983" s="28">
        <f t="shared" si="1082"/>
        <v>911</v>
      </c>
      <c r="J4983" s="28">
        <f t="shared" si="1082"/>
        <v>911</v>
      </c>
      <c r="K4983" s="28">
        <f t="shared" si="1082"/>
        <v>911</v>
      </c>
      <c r="L4983" s="28">
        <f t="shared" si="1082"/>
        <v>911</v>
      </c>
      <c r="M4983" s="28">
        <f t="shared" si="1082"/>
        <v>911</v>
      </c>
    </row>
    <row r="4984" spans="1:13" ht="15" customHeight="1" x14ac:dyDescent="0.2">
      <c r="B4984" s="10" t="s">
        <v>897</v>
      </c>
      <c r="C4984" s="10" t="s">
        <v>110</v>
      </c>
      <c r="D4984" s="16">
        <f>D4983*($D$5003/Inputs!$D$21+$D$5004/Inputs!$D$22)</f>
        <v>833.27663866944408</v>
      </c>
      <c r="E4984" s="16">
        <f>E4983*($D$5003/Inputs!$D$21+$D$5004/Inputs!$D$22)</f>
        <v>2918.1645680228135</v>
      </c>
      <c r="F4984" s="16">
        <f>F4983*($D$5003/Inputs!$D$21+$D$5004/Inputs!$D$22)</f>
        <v>5546.2488207810884</v>
      </c>
      <c r="G4984" s="16">
        <f>G4983*($D$5003/Inputs!$D$21+$D$5004/Inputs!$D$22)</f>
        <v>8487.2002464867765</v>
      </c>
      <c r="H4984" s="16">
        <f>H4983*($D$5003/Inputs!$D$21+$D$5004/Inputs!$D$22)</f>
        <v>11615.871975960914</v>
      </c>
      <c r="I4984" s="16">
        <f>I4983*($D$5003/Inputs!$D$21+$D$5004/Inputs!$D$22)</f>
        <v>13180.207840697982</v>
      </c>
      <c r="J4984" s="16">
        <f>J4983*($D$5003/Inputs!$D$21+$D$5004/Inputs!$D$22)</f>
        <v>13180.207840697982</v>
      </c>
      <c r="K4984" s="16">
        <f>K4983*($D$5003/Inputs!$D$21+$D$5004/Inputs!$D$22)</f>
        <v>13180.207840697982</v>
      </c>
      <c r="L4984" s="16">
        <f>L4983*($D$5003/Inputs!$D$21+$D$5004/Inputs!$D$22)</f>
        <v>13180.207840697982</v>
      </c>
      <c r="M4984" s="16">
        <f>M4983*($D$5003/Inputs!$D$21+$D$5004/Inputs!$D$22)</f>
        <v>13180.207840697982</v>
      </c>
    </row>
    <row r="4985" spans="1:13" ht="15" customHeight="1" x14ac:dyDescent="0.2">
      <c r="B4985" s="10" t="s">
        <v>898</v>
      </c>
      <c r="C4985" s="10" t="s">
        <v>110</v>
      </c>
      <c r="D4985" s="16">
        <f t="shared" ref="D4985:M4985" si="1083">D4981*($D$5003+$D$5004)</f>
        <v>4149.5916320389742</v>
      </c>
      <c r="E4985" s="16">
        <f t="shared" si="1083"/>
        <v>10373.979080097439</v>
      </c>
      <c r="F4985" s="16">
        <f t="shared" si="1083"/>
        <v>11411.376988107177</v>
      </c>
      <c r="G4985" s="16">
        <f t="shared" si="1083"/>
        <v>12967.473850121794</v>
      </c>
      <c r="H4985" s="16">
        <f t="shared" si="1083"/>
        <v>12967.473850121794</v>
      </c>
      <c r="I4985" s="16">
        <f t="shared" si="1083"/>
        <v>0</v>
      </c>
      <c r="J4985" s="16">
        <f t="shared" si="1083"/>
        <v>0</v>
      </c>
      <c r="K4985" s="16">
        <f t="shared" si="1083"/>
        <v>0</v>
      </c>
      <c r="L4985" s="16">
        <f t="shared" si="1083"/>
        <v>0</v>
      </c>
      <c r="M4985" s="16">
        <f t="shared" si="1083"/>
        <v>0</v>
      </c>
    </row>
    <row r="4986" spans="1:13" ht="15" customHeight="1" x14ac:dyDescent="0.2">
      <c r="B4986" s="10" t="s">
        <v>899</v>
      </c>
      <c r="C4986" s="10" t="s">
        <v>110</v>
      </c>
      <c r="D4986" s="16">
        <f t="shared" ref="D4986:M4986" si="1084">D4982*$D$5003</f>
        <v>0</v>
      </c>
      <c r="E4986" s="16">
        <f t="shared" si="1084"/>
        <v>0</v>
      </c>
      <c r="F4986" s="16">
        <f t="shared" si="1084"/>
        <v>0</v>
      </c>
      <c r="G4986" s="16">
        <f t="shared" si="1084"/>
        <v>2638.0048485671714</v>
      </c>
      <c r="H4986" s="16">
        <f t="shared" si="1084"/>
        <v>3968.4768591488755</v>
      </c>
      <c r="I4986" s="16">
        <f t="shared" si="1084"/>
        <v>9921.1921478721906</v>
      </c>
      <c r="J4986" s="16">
        <f t="shared" si="1084"/>
        <v>10913.311362659404</v>
      </c>
      <c r="K4986" s="16">
        <f t="shared" si="1084"/>
        <v>15039.495033407406</v>
      </c>
      <c r="L4986" s="16">
        <f t="shared" si="1084"/>
        <v>16369.967043989109</v>
      </c>
      <c r="M4986" s="16">
        <f t="shared" si="1084"/>
        <v>9921.1921478721906</v>
      </c>
    </row>
    <row r="4987" spans="1:13" ht="15" customHeight="1" x14ac:dyDescent="0.2">
      <c r="B4987" s="10" t="s">
        <v>900</v>
      </c>
      <c r="C4987" s="10" t="s">
        <v>199</v>
      </c>
      <c r="D4987" s="28">
        <f>D4981*Inputs!$D$23</f>
        <v>1.7300000000000002</v>
      </c>
      <c r="E4987" s="28">
        <f>E4981*Inputs!$D$23</f>
        <v>4.325000000000002</v>
      </c>
      <c r="F4987" s="28">
        <f>F4981*Inputs!$D$23</f>
        <v>4.7574999999999994</v>
      </c>
      <c r="G4987" s="28">
        <f>G4981*Inputs!$D$23</f>
        <v>5.40625</v>
      </c>
      <c r="H4987" s="28">
        <f>H4981*Inputs!$D$23</f>
        <v>5.40625</v>
      </c>
      <c r="I4987" s="28">
        <f>I4981*Inputs!$D$23</f>
        <v>0</v>
      </c>
      <c r="J4987" s="28">
        <f>J4981*Inputs!$D$23</f>
        <v>0</v>
      </c>
      <c r="K4987" s="28">
        <f>K4981*Inputs!$D$23</f>
        <v>0</v>
      </c>
      <c r="L4987" s="28">
        <f>L4981*Inputs!$D$23</f>
        <v>0</v>
      </c>
      <c r="M4987" s="28">
        <f>M4981*Inputs!$D$23</f>
        <v>0</v>
      </c>
    </row>
    <row r="4988" spans="1:13" ht="15" customHeight="1" x14ac:dyDescent="0.2">
      <c r="B4988" s="3" t="s">
        <v>901</v>
      </c>
      <c r="C4988" s="10" t="s">
        <v>896</v>
      </c>
      <c r="D4988" s="28">
        <f>(D4983*$D$5001*(Inputs!$D$7-Inputs!$D$19)-D4987)/(Inputs!$D$7+$D$5002)^D4976</f>
        <v>20.981187074746607</v>
      </c>
      <c r="E4988" s="28">
        <f>(E4983*$D$5001*(Inputs!$D$7-Inputs!$D$19)-E4987)/(Inputs!$D$7+$D$5002)^E4976</f>
        <v>68.255963262205867</v>
      </c>
      <c r="F4988" s="28">
        <f>(F4983*$D$5001*(Inputs!$D$7-Inputs!$D$19)-F4987)/(Inputs!$D$7+$D$5002)^F4976</f>
        <v>120.61414888935703</v>
      </c>
      <c r="G4988" s="28">
        <f>(G4983*$D$5001*(Inputs!$D$7-Inputs!$D$19)-G4987)/(Inputs!$D$7+$D$5002)^G4976</f>
        <v>169.11787330578514</v>
      </c>
      <c r="H4988" s="28">
        <f>(H4983*$D$5001*(Inputs!$D$7-Inputs!$D$19)-H4987)/(Inputs!$D$7+$D$5002)^H4976</f>
        <v>211.7039354257503</v>
      </c>
      <c r="I4988" s="28">
        <f>(I4983*$D$5001*(Inputs!$D$7-Inputs!$D$19)-I4987)/(Inputs!$D$7+$D$5002)^I4976</f>
        <v>221.8916197826434</v>
      </c>
      <c r="J4988" s="28">
        <f>(J4983*$D$5001*(Inputs!$D$7-Inputs!$D$19)-J4987)/(Inputs!$D$7+$D$5002)^J4976</f>
        <v>201.73281421346593</v>
      </c>
      <c r="K4988" s="28">
        <f>(K4983*$D$5001*(Inputs!$D$7-Inputs!$D$19)-K4987)/(Inputs!$D$7+$D$5002)^K4976</f>
        <v>183.40543176145695</v>
      </c>
      <c r="L4988" s="28">
        <f>(L4983*$D$5001*(Inputs!$D$7-Inputs!$D$19)-L4987)/(Inputs!$D$7+$D$5002)^L4976</f>
        <v>166.74308803332551</v>
      </c>
      <c r="M4988" s="28">
        <f>(M4983*$D$5001*(Inputs!$D$7-Inputs!$D$19)-M4987)/(Inputs!$D$7+$D$5002)^M4976</f>
        <v>151.55496194429571</v>
      </c>
    </row>
    <row r="4989" spans="1:13" ht="15" customHeight="1" x14ac:dyDescent="0.2">
      <c r="B4989" s="10" t="s">
        <v>902</v>
      </c>
      <c r="C4989" s="10" t="s">
        <v>110</v>
      </c>
      <c r="D4989" s="16">
        <f>(D4984*Inputs!$D$19-D4985-D4986)/(Inputs!$D$7+$D$5002)^D4976</f>
        <v>-3642.8616531802254</v>
      </c>
      <c r="E4989" s="16">
        <f>(E4984*Inputs!$D$19-E4985-E4986)/(Inputs!$D$7+$D$5002)^E4976</f>
        <v>-8064.925486193536</v>
      </c>
      <c r="F4989" s="16">
        <f>(F4984*Inputs!$D$19-F4985-F4986)/(Inputs!$D$7+$D$5002)^F4976</f>
        <v>-7524.4189502174931</v>
      </c>
      <c r="G4989" s="16">
        <f>(G4984*Inputs!$D$19-G4985-G4986)/(Inputs!$D$7+$D$5002)^G4976</f>
        <v>-9165.0699711658544</v>
      </c>
      <c r="H4989" s="16">
        <f>(H4984*Inputs!$D$19-H4985-H4986)/(Inputs!$D$7+$D$5002)^H4976</f>
        <v>-8582.4561303350856</v>
      </c>
      <c r="I4989" s="16">
        <f>(I4984*Inputs!$D$19-I4985-I4986)/(Inputs!$D$7+$D$5002)^I4976</f>
        <v>-3460.4989174974958</v>
      </c>
      <c r="J4989" s="16">
        <f>(J4984*Inputs!$D$19-J4985-J4986)/(Inputs!$D$7+$D$5002)^J4976</f>
        <v>-3669.1989119501291</v>
      </c>
      <c r="K4989" s="16">
        <f>(K4984*Inputs!$D$19-K4985-K4986)/(Inputs!$D$7+$D$5002)^K4976</f>
        <v>-5313.7017593374285</v>
      </c>
      <c r="L4989" s="16">
        <f>(L4984*Inputs!$D$19-L4985-L4986)/(Inputs!$D$7+$D$5002)^L4976</f>
        <v>-5410.7633919680211</v>
      </c>
      <c r="M4989" s="16">
        <f>(M4984*Inputs!$D$19-M4985-M4986)/(Inputs!$D$7+$D$5002)^M4976</f>
        <v>-2363.567322927051</v>
      </c>
    </row>
    <row r="4990" spans="1:13" ht="15" customHeight="1" x14ac:dyDescent="0.2">
      <c r="B4990" s="10" t="s">
        <v>903</v>
      </c>
      <c r="C4990" s="10" t="s">
        <v>110</v>
      </c>
      <c r="D4990" s="16">
        <f t="shared" ref="D4990:M4990" si="1085">D4983*$D$5000</f>
        <v>2188.6625872339196</v>
      </c>
      <c r="E4990" s="16">
        <f t="shared" si="1085"/>
        <v>7664.7745982913621</v>
      </c>
      <c r="F4990" s="16">
        <f t="shared" si="1085"/>
        <v>14567.631840629616</v>
      </c>
      <c r="G4990" s="16">
        <f t="shared" si="1085"/>
        <v>22292.257802293851</v>
      </c>
      <c r="H4990" s="16">
        <f t="shared" si="1085"/>
        <v>30509.944995553677</v>
      </c>
      <c r="I4990" s="16">
        <f t="shared" si="1085"/>
        <v>34618.788592183591</v>
      </c>
      <c r="J4990" s="16">
        <f t="shared" si="1085"/>
        <v>34618.788592183591</v>
      </c>
      <c r="K4990" s="16">
        <f t="shared" si="1085"/>
        <v>34618.788592183591</v>
      </c>
      <c r="L4990" s="16">
        <f t="shared" si="1085"/>
        <v>34618.788592183591</v>
      </c>
      <c r="M4990" s="16">
        <f t="shared" si="1085"/>
        <v>34618.788592183591</v>
      </c>
    </row>
    <row r="4991" spans="1:13" ht="15" customHeight="1" x14ac:dyDescent="0.2">
      <c r="B4991" s="10" t="s">
        <v>904</v>
      </c>
      <c r="C4991" s="10" t="s">
        <v>110</v>
      </c>
      <c r="D4991" s="16">
        <f t="shared" ref="D4991:M4991" si="1086">D4990*$D$5001</f>
        <v>1313.1975523403516</v>
      </c>
      <c r="E4991" s="16">
        <f t="shared" si="1086"/>
        <v>4598.8647589748171</v>
      </c>
      <c r="F4991" s="16">
        <f t="shared" si="1086"/>
        <v>8740.5791043777699</v>
      </c>
      <c r="G4991" s="16">
        <f t="shared" si="1086"/>
        <v>13375.35468137631</v>
      </c>
      <c r="H4991" s="16">
        <f t="shared" si="1086"/>
        <v>18305.966997332205</v>
      </c>
      <c r="I4991" s="16">
        <f t="shared" si="1086"/>
        <v>20771.273155310155</v>
      </c>
      <c r="J4991" s="16">
        <f t="shared" si="1086"/>
        <v>20771.273155310155</v>
      </c>
      <c r="K4991" s="16">
        <f t="shared" si="1086"/>
        <v>20771.273155310155</v>
      </c>
      <c r="L4991" s="16">
        <f t="shared" si="1086"/>
        <v>20771.273155310155</v>
      </c>
      <c r="M4991" s="16">
        <f t="shared" si="1086"/>
        <v>20771.273155310155</v>
      </c>
    </row>
    <row r="4992" spans="1:13" ht="15" customHeight="1" x14ac:dyDescent="0.2">
      <c r="B4992" s="10" t="s">
        <v>905</v>
      </c>
      <c r="C4992" s="10" t="s">
        <v>110</v>
      </c>
      <c r="D4992" s="16">
        <f t="shared" ref="D4992:M4992" si="1087">D4991-D4984</f>
        <v>479.92091367090757</v>
      </c>
      <c r="E4992" s="16">
        <f t="shared" si="1087"/>
        <v>1680.7001909520036</v>
      </c>
      <c r="F4992" s="16">
        <f t="shared" si="1087"/>
        <v>3194.3302835966815</v>
      </c>
      <c r="G4992" s="16">
        <f t="shared" si="1087"/>
        <v>4888.1544348895331</v>
      </c>
      <c r="H4992" s="16">
        <f t="shared" si="1087"/>
        <v>6690.0950213712913</v>
      </c>
      <c r="I4992" s="16">
        <f t="shared" si="1087"/>
        <v>7591.0653146121731</v>
      </c>
      <c r="J4992" s="16">
        <f t="shared" si="1087"/>
        <v>7591.0653146121731</v>
      </c>
      <c r="K4992" s="16">
        <f t="shared" si="1087"/>
        <v>7591.0653146121731</v>
      </c>
      <c r="L4992" s="16">
        <f t="shared" si="1087"/>
        <v>7591.0653146121731</v>
      </c>
      <c r="M4992" s="16">
        <f t="shared" si="1087"/>
        <v>7591.0653146121731</v>
      </c>
    </row>
    <row r="4993" spans="2:13" ht="15" customHeight="1" x14ac:dyDescent="0.2">
      <c r="B4993" s="10" t="s">
        <v>906</v>
      </c>
      <c r="C4993" s="10" t="s">
        <v>110</v>
      </c>
      <c r="D4993" s="16">
        <f>MAX(D4992,Inputs!$D$6)*Inputs!$D$19</f>
        <v>143.97627410127225</v>
      </c>
      <c r="E4993" s="16">
        <f>MAX(E4992,Inputs!$D$6)*Inputs!$D$19</f>
        <v>504.21005728560107</v>
      </c>
      <c r="F4993" s="16">
        <f>MAX(F4992,Inputs!$D$6)*Inputs!$D$19</f>
        <v>958.29908507900439</v>
      </c>
      <c r="G4993" s="16">
        <f>MAX(G4992,Inputs!$D$6)*Inputs!$D$19</f>
        <v>1466.44633046686</v>
      </c>
      <c r="H4993" s="16">
        <f>MAX(H4992,Inputs!$D$6)*Inputs!$D$19</f>
        <v>2007.0285064113873</v>
      </c>
      <c r="I4993" s="16">
        <f>MAX(I4992,Inputs!$D$6)*Inputs!$D$19</f>
        <v>2277.3195943836517</v>
      </c>
      <c r="J4993" s="16">
        <f>MAX(J4992,Inputs!$D$6)*Inputs!$D$19</f>
        <v>2277.3195943836517</v>
      </c>
      <c r="K4993" s="16">
        <f>MAX(K4992,Inputs!$D$6)*Inputs!$D$19</f>
        <v>2277.3195943836517</v>
      </c>
      <c r="L4993" s="16">
        <f>MAX(L4992,Inputs!$D$6)*Inputs!$D$19</f>
        <v>2277.3195943836517</v>
      </c>
      <c r="M4993" s="16">
        <f>MAX(M4992,Inputs!$D$6)*Inputs!$D$19</f>
        <v>2277.3195943836517</v>
      </c>
    </row>
    <row r="4994" spans="2:13" ht="15" customHeight="1" x14ac:dyDescent="0.2">
      <c r="B4994" s="10" t="s">
        <v>907</v>
      </c>
      <c r="C4994" s="10" t="s">
        <v>110</v>
      </c>
      <c r="D4994" s="16">
        <f t="shared" ref="D4994:M4994" si="1088">D4987*$D$5000</f>
        <v>65.74149754607862</v>
      </c>
      <c r="E4994" s="16">
        <f t="shared" si="1088"/>
        <v>164.35374386519661</v>
      </c>
      <c r="F4994" s="16">
        <f t="shared" si="1088"/>
        <v>180.78911825171616</v>
      </c>
      <c r="G4994" s="16">
        <f t="shared" si="1088"/>
        <v>205.44217983149565</v>
      </c>
      <c r="H4994" s="16">
        <f t="shared" si="1088"/>
        <v>205.44217983149565</v>
      </c>
      <c r="I4994" s="16">
        <f t="shared" si="1088"/>
        <v>0</v>
      </c>
      <c r="J4994" s="16">
        <f t="shared" si="1088"/>
        <v>0</v>
      </c>
      <c r="K4994" s="16">
        <f t="shared" si="1088"/>
        <v>0</v>
      </c>
      <c r="L4994" s="16">
        <f t="shared" si="1088"/>
        <v>0</v>
      </c>
      <c r="M4994" s="16">
        <f t="shared" si="1088"/>
        <v>0</v>
      </c>
    </row>
    <row r="4995" spans="2:13" ht="15" customHeight="1" x14ac:dyDescent="0.2">
      <c r="B4995" s="10" t="s">
        <v>908</v>
      </c>
      <c r="C4995" s="10" t="s">
        <v>110</v>
      </c>
      <c r="D4995" s="16">
        <f t="shared" ref="D4995:M4995" si="1089">D4991-D4993-D4985-D4986-D4994</f>
        <v>-3046.1118513459737</v>
      </c>
      <c r="E4995" s="16">
        <f t="shared" si="1089"/>
        <v>-6443.6781222734189</v>
      </c>
      <c r="F4995" s="16">
        <f t="shared" si="1089"/>
        <v>-3809.8860870601275</v>
      </c>
      <c r="G4995" s="16">
        <f t="shared" si="1089"/>
        <v>-3902.0125276110125</v>
      </c>
      <c r="H4995" s="16">
        <f t="shared" si="1089"/>
        <v>-842.45439818134719</v>
      </c>
      <c r="I4995" s="16">
        <f t="shared" si="1089"/>
        <v>8572.7614130543134</v>
      </c>
      <c r="J4995" s="16">
        <f t="shared" si="1089"/>
        <v>7580.6421982671</v>
      </c>
      <c r="K4995" s="16">
        <f t="shared" si="1089"/>
        <v>3454.4585275190984</v>
      </c>
      <c r="L4995" s="16">
        <f t="shared" si="1089"/>
        <v>2123.9865169373952</v>
      </c>
      <c r="M4995" s="16">
        <f t="shared" si="1089"/>
        <v>8572.7614130543134</v>
      </c>
    </row>
    <row r="4996" spans="2:13" ht="15" customHeight="1" x14ac:dyDescent="0.2">
      <c r="B4996" s="10" t="s">
        <v>909</v>
      </c>
      <c r="C4996" s="10" t="s">
        <v>110</v>
      </c>
      <c r="D4996" s="16">
        <f>D4995/(Inputs!$D$7+$D$5002)^D4976</f>
        <v>-2845.5583823199536</v>
      </c>
      <c r="E4996" s="16">
        <f>E4995/(Inputs!$D$7+$D$5002)^E4976</f>
        <v>-5471.1397975764612</v>
      </c>
      <c r="F4996" s="16">
        <f>F4995/(Inputs!$D$7+$D$5002)^F4976</f>
        <v>-2940.9768847654555</v>
      </c>
      <c r="G4996" s="16">
        <f>G4995/(Inputs!$D$7+$D$5002)^G4976</f>
        <v>-2738.4443914373542</v>
      </c>
      <c r="H4996" s="16">
        <f>H4995/(Inputs!$D$7+$D$5002)^H4976</f>
        <v>-537.52332612286193</v>
      </c>
      <c r="I4996" s="16">
        <f>I4995/(Inputs!$D$7+$D$5002)^I4976</f>
        <v>4971.5747110782613</v>
      </c>
      <c r="J4996" s="16">
        <f>J4995/(Inputs!$D$7+$D$5002)^J4976</f>
        <v>3996.8226548580228</v>
      </c>
      <c r="K4996" s="16">
        <f>K4995/(Inputs!$D$7+$D$5002)^K4976</f>
        <v>1655.8634094968561</v>
      </c>
      <c r="L4996" s="16">
        <f>L4995/(Inputs!$D$7+$D$5002)^L4976</f>
        <v>925.61829171315787</v>
      </c>
      <c r="M4996" s="16">
        <f>M4995/(Inputs!$D$7+$D$5002)^M4976</f>
        <v>3395.6524220191659</v>
      </c>
    </row>
    <row r="4997" spans="2:13" ht="15" customHeight="1" x14ac:dyDescent="0.2">
      <c r="B4997" s="3" t="s">
        <v>910</v>
      </c>
      <c r="C4997" s="10" t="s">
        <v>896</v>
      </c>
      <c r="D4997" s="28">
        <f>(D4983*$D$5001-D4987)/(Inputs!$D$7+$D$5002)^D4976</f>
        <v>30.665737923868878</v>
      </c>
      <c r="E4997" s="28">
        <f>(E4983*$D$5001-E4987)/(Inputs!$D$7+$D$5002)^E4976</f>
        <v>99.082332568922538</v>
      </c>
      <c r="F4997" s="28">
        <f>(F4983*$D$5001-F4987)/(Inputs!$D$7+$D$5002)^F4976</f>
        <v>173.87984328077783</v>
      </c>
      <c r="G4997" s="28">
        <f>(G4983*$D$5001-G4987)/(Inputs!$D$7+$D$5002)^G4976</f>
        <v>243.22301452630424</v>
      </c>
      <c r="H4997" s="28">
        <f>(H4983*$D$5001-H4987)/(Inputs!$D$7+$D$5002)^H4976</f>
        <v>303.91251959440808</v>
      </c>
      <c r="I4997" s="28">
        <f>(I4983*$D$5001-I4987)/(Inputs!$D$7+$D$5002)^I4976</f>
        <v>316.98802826091918</v>
      </c>
      <c r="J4997" s="28">
        <f>(J4983*$D$5001-J4987)/(Inputs!$D$7+$D$5002)^J4976</f>
        <v>288.18973459066564</v>
      </c>
      <c r="K4997" s="28">
        <f>(K4983*$D$5001-K4987)/(Inputs!$D$7+$D$5002)^K4976</f>
        <v>262.00775965922423</v>
      </c>
      <c r="L4997" s="28">
        <f>(L4983*$D$5001-L4987)/(Inputs!$D$7+$D$5002)^L4976</f>
        <v>238.2044114761793</v>
      </c>
      <c r="M4997" s="28">
        <f>(M4983*$D$5001-M4987)/(Inputs!$D$7+$D$5002)^M4976</f>
        <v>216.50708849185102</v>
      </c>
    </row>
    <row r="4998" spans="2:13" ht="15" customHeight="1" x14ac:dyDescent="0.2">
      <c r="B4998" s="10" t="s">
        <v>911</v>
      </c>
      <c r="C4998" s="10" t="s">
        <v>110</v>
      </c>
      <c r="D4998" s="16">
        <f>(-D4985-D4986)/(Inputs!$D$7+$D$5002)^D4976</f>
        <v>-3876.3859726738942</v>
      </c>
      <c r="E4998" s="16">
        <f>(-E4985-E4986)/(Inputs!$D$7+$D$5002)^E4976</f>
        <v>-8808.24410023788</v>
      </c>
      <c r="F4998" s="16">
        <f>(-F4985-F4986)/(Inputs!$D$7+$D$5002)^F4976</f>
        <v>-8808.8187359072599</v>
      </c>
      <c r="G4998" s="16">
        <f>(-G4985-G4986)/(Inputs!$D$7+$D$5002)^G4976</f>
        <v>-10951.972941072034</v>
      </c>
      <c r="H4998" s="16">
        <f>(-H4985-H4986)/(Inputs!$D$7+$D$5002)^H4976</f>
        <v>-10805.888812441568</v>
      </c>
      <c r="I4998" s="16">
        <f>(-I4985-I4986)/(Inputs!$D$7+$D$5002)^I4976</f>
        <v>-5753.5659292933024</v>
      </c>
      <c r="J4998" s="16">
        <f>(-J4985-J4986)/(Inputs!$D$7+$D$5002)^J4976</f>
        <v>-5753.9412826749158</v>
      </c>
      <c r="K4998" s="16">
        <f>(-K4985-K4986)/(Inputs!$D$7+$D$5002)^K4976</f>
        <v>-7209.0457374846392</v>
      </c>
      <c r="L4998" s="16">
        <f>(-L4985-L4986)/(Inputs!$D$7+$D$5002)^L4976</f>
        <v>-7133.915780457146</v>
      </c>
      <c r="M4998" s="16">
        <f>(-M4985-M4986)/(Inputs!$D$7+$D$5002)^M4976</f>
        <v>-3929.7629460373614</v>
      </c>
    </row>
    <row r="4999" spans="2:13" ht="15" customHeight="1" x14ac:dyDescent="0.2">
      <c r="B4999" s="10" t="s">
        <v>912</v>
      </c>
      <c r="C4999" s="10" t="s">
        <v>110</v>
      </c>
      <c r="D4999" s="16">
        <f>Prices!I9</f>
        <v>21850</v>
      </c>
    </row>
    <row r="5000" spans="2:13" ht="15" customHeight="1" x14ac:dyDescent="0.2">
      <c r="B5000" s="3" t="s">
        <v>913</v>
      </c>
      <c r="C5000" s="10" t="s">
        <v>914</v>
      </c>
      <c r="D5000" s="28">
        <f>IF(J5007&gt;=J5003,J5007,(D4999-J5006)/J5005)</f>
        <v>38.000865633571451</v>
      </c>
      <c r="G5000" s="99" t="s">
        <v>915</v>
      </c>
      <c r="H5000" s="91"/>
      <c r="I5000" s="91"/>
      <c r="J5000" s="28">
        <f>D5000*Inputs!$D$15</f>
        <v>26.520804125669514</v>
      </c>
      <c r="K5000" s="99" t="s">
        <v>916</v>
      </c>
      <c r="L5000" s="91"/>
      <c r="M5000" s="91"/>
    </row>
    <row r="5001" spans="2:13" ht="15" customHeight="1" x14ac:dyDescent="0.2">
      <c r="B5001" s="10" t="s">
        <v>917</v>
      </c>
      <c r="C5001" s="10" t="s">
        <v>104</v>
      </c>
      <c r="D5001" s="30">
        <f>Inputs!$D$81</f>
        <v>0.6</v>
      </c>
      <c r="G5001" s="99" t="s">
        <v>918</v>
      </c>
      <c r="H5001" s="91"/>
      <c r="I5001" s="91"/>
      <c r="J5001" s="28">
        <f>IF(-D5012/D5011&gt;=J5003,-D5012/D5011,-J5006/J5005)</f>
        <v>31.904742398820275</v>
      </c>
      <c r="K5001" s="99" t="s">
        <v>919</v>
      </c>
      <c r="L5001" s="91"/>
      <c r="M5001" s="91"/>
    </row>
    <row r="5002" spans="2:13" ht="15" customHeight="1" x14ac:dyDescent="0.2">
      <c r="B5002" s="10" t="s">
        <v>920</v>
      </c>
      <c r="C5002" s="10" t="s">
        <v>104</v>
      </c>
      <c r="D5002" s="30">
        <f>Inputs!$D$82</f>
        <v>0.1</v>
      </c>
      <c r="G5002" s="99" t="s">
        <v>918</v>
      </c>
      <c r="H5002" s="91"/>
      <c r="I5002" s="91"/>
      <c r="J5002" s="28">
        <f>J5001*Inputs!$D$15</f>
        <v>22.266319720136668</v>
      </c>
      <c r="K5002" s="99" t="s">
        <v>916</v>
      </c>
      <c r="L5002" s="91"/>
      <c r="M5002" s="91"/>
    </row>
    <row r="5003" spans="2:13" ht="15" customHeight="1" x14ac:dyDescent="0.2">
      <c r="B5003" s="3" t="s">
        <v>921</v>
      </c>
      <c r="C5003" s="10" t="s">
        <v>848</v>
      </c>
      <c r="D5003" s="28">
        <f>Capital!$D$13</f>
        <v>57.347931490590682</v>
      </c>
      <c r="G5003" s="99" t="s">
        <v>922</v>
      </c>
      <c r="H5003" s="91"/>
      <c r="I5003" s="91"/>
      <c r="J5003" s="28">
        <f>($D$5003/Inputs!$D$21+$D$5004/Inputs!$D$22)/$D$5001</f>
        <v>24.113076913095469</v>
      </c>
      <c r="K5003" s="99" t="s">
        <v>919</v>
      </c>
      <c r="L5003" s="91"/>
      <c r="M5003" s="91"/>
    </row>
    <row r="5004" spans="2:13" ht="15" customHeight="1" x14ac:dyDescent="0.2">
      <c r="B5004" s="3" t="s">
        <v>923</v>
      </c>
      <c r="C5004" s="10" t="s">
        <v>848</v>
      </c>
      <c r="D5004" s="28">
        <f>Capital!$D$14</f>
        <v>2.6172655041921802</v>
      </c>
    </row>
    <row r="5005" spans="2:13" ht="15" customHeight="1" x14ac:dyDescent="0.2">
      <c r="B5005" s="10" t="s">
        <v>924</v>
      </c>
      <c r="C5005" s="10" t="s">
        <v>896</v>
      </c>
      <c r="D5005" s="28">
        <f>(M4978*(Inputs!$D$7+Inputs!$D$20)*$D$5001*(Inputs!$D$7-Inputs!$D$19)-M4978*Inputs!$D$20*Inputs!$D$23)/($D$5002-Inputs!$D$20)/(Inputs!$D$7+$D$5002)^M4976</f>
        <v>2068.2441036763203</v>
      </c>
      <c r="G5005" s="92" t="s">
        <v>910</v>
      </c>
      <c r="H5005" s="91"/>
      <c r="I5005" s="91"/>
      <c r="J5005" s="28">
        <f>SUM(D4997:M4997)+(M4978*(Inputs!$D$7+Inputs!$D$20)*$D$5001-M4978*Inputs!$D$20*Inputs!$D$23)/($D$5002-Inputs!$D$20)/(Inputs!$D$7+$D$5002)^M4976</f>
        <v>5128.5836368660293</v>
      </c>
      <c r="K5005" s="99" t="s">
        <v>896</v>
      </c>
      <c r="L5005" s="91"/>
      <c r="M5005" s="91"/>
    </row>
    <row r="5006" spans="2:13" ht="15" customHeight="1" x14ac:dyDescent="0.2">
      <c r="B5006" s="10" t="s">
        <v>925</v>
      </c>
      <c r="C5006" s="10" t="s">
        <v>110</v>
      </c>
      <c r="D5006" s="16">
        <f>(D5009*Inputs!$D$19-D5009-D5010)/($D$5002-Inputs!$D$20)/(Inputs!$D$7+$D$5002)^M4976</f>
        <v>-57156.954988173631</v>
      </c>
      <c r="G5006" s="92" t="s">
        <v>926</v>
      </c>
      <c r="H5006" s="91"/>
      <c r="I5006" s="91"/>
      <c r="J5006" s="16">
        <f>SUM(D4998:M4998)-(D5009+D5010)/($D$5002-Inputs!$D$20)/(Inputs!$D$7+$D$5002)^M4976</f>
        <v>-151593.17074229455</v>
      </c>
      <c r="K5006" s="99" t="s">
        <v>110</v>
      </c>
      <c r="L5006" s="91"/>
      <c r="M5006" s="91"/>
    </row>
    <row r="5007" spans="2:13" ht="15" customHeight="1" x14ac:dyDescent="0.2">
      <c r="B5007" s="10" t="s">
        <v>927</v>
      </c>
      <c r="C5007" s="10" t="s">
        <v>928</v>
      </c>
      <c r="D5007" s="16">
        <f>(M4978*(Inputs!$D$7+Inputs!$D$20)*$D$5000*$D$5001-D5009)-MAX((M4978*(Inputs!$D$7+Inputs!$D$20)*$D$5000*$D$5001-D5009),Inputs!$D$6)*Inputs!$D$19-D5010-M4978*Inputs!$D$20*$D$5000*Inputs!$D$23</f>
        <v>4059.2452588079359</v>
      </c>
      <c r="G5007" s="99" t="s">
        <v>929</v>
      </c>
      <c r="H5007" s="91"/>
      <c r="I5007" s="91"/>
      <c r="J5007" s="28">
        <f>(D4999-D5012)/D5011</f>
        <v>38.000865633571451</v>
      </c>
      <c r="K5007" s="99" t="s">
        <v>919</v>
      </c>
      <c r="L5007" s="91"/>
      <c r="M5007" s="91"/>
    </row>
    <row r="5008" spans="2:13" ht="15" customHeight="1" x14ac:dyDescent="0.2">
      <c r="B5008" s="10" t="s">
        <v>930</v>
      </c>
      <c r="C5008" s="10" t="s">
        <v>110</v>
      </c>
      <c r="D5008" s="16">
        <f>D5007/($D$5002-Inputs!$D$20)</f>
        <v>54123.27011743914</v>
      </c>
      <c r="G5008" s="99" t="s">
        <v>931</v>
      </c>
      <c r="H5008" s="91"/>
      <c r="I5008" s="91"/>
      <c r="J5008" s="16">
        <f>MIN(D4992:M4992,(M4978*(Inputs!$D$7+Inputs!$D$20)*$D$5000*$D$5001-D5009))</f>
        <v>479.92091367090757</v>
      </c>
      <c r="K5008" s="99" t="s">
        <v>110</v>
      </c>
      <c r="L5008" s="91"/>
      <c r="M5008" s="91"/>
    </row>
    <row r="5009" spans="1:13" ht="15" customHeight="1" x14ac:dyDescent="0.2">
      <c r="B5009" s="10" t="s">
        <v>932</v>
      </c>
      <c r="C5009" s="10" t="s">
        <v>928</v>
      </c>
      <c r="D5009" s="16">
        <f>M4978*(Inputs!$D$7+Inputs!$D$20)*($D$5003/Inputs!$D$21+$D$5004/Inputs!$D$22)</f>
        <v>13509.71303671543</v>
      </c>
      <c r="G5009" s="99" t="s">
        <v>933</v>
      </c>
      <c r="H5009" s="91"/>
      <c r="I5009" s="91"/>
      <c r="J5009" s="31" t="str">
        <f>IF(J5008&lt;Inputs!$D$6,"breached","satisfied")</f>
        <v>satisfied</v>
      </c>
      <c r="K5009" s="99" t="s">
        <v>934</v>
      </c>
      <c r="L5009" s="91"/>
      <c r="M5009" s="91"/>
    </row>
    <row r="5010" spans="1:13" ht="15" customHeight="1" x14ac:dyDescent="0.2">
      <c r="B5010" s="10" t="s">
        <v>935</v>
      </c>
      <c r="C5010" s="10" t="s">
        <v>928</v>
      </c>
      <c r="D5010" s="16">
        <f>M4978*Inputs!$D$20*($D$5003+$D$5004)</f>
        <v>1365.7073615561799</v>
      </c>
    </row>
    <row r="5011" spans="1:13" ht="15" customHeight="1" x14ac:dyDescent="0.2">
      <c r="B5011" s="10" t="s">
        <v>936</v>
      </c>
      <c r="C5011" s="10" t="s">
        <v>896</v>
      </c>
      <c r="D5011" s="28">
        <f>SUM(D4988:M4988)+D5005</f>
        <v>3584.2451273693523</v>
      </c>
      <c r="G5011" s="99" t="s">
        <v>937</v>
      </c>
      <c r="H5011" s="91"/>
      <c r="I5011" s="91"/>
      <c r="J5011" s="16">
        <f>D5013-D4999</f>
        <v>0</v>
      </c>
      <c r="K5011" s="99" t="s">
        <v>110</v>
      </c>
      <c r="L5011" s="91"/>
      <c r="M5011" s="91"/>
    </row>
    <row r="5012" spans="1:13" ht="15" customHeight="1" x14ac:dyDescent="0.2">
      <c r="B5012" s="10" t="s">
        <v>938</v>
      </c>
      <c r="C5012" s="10" t="s">
        <v>110</v>
      </c>
      <c r="D5012" s="16">
        <f>SUM(D4989:M4989)+D5006</f>
        <v>-114354.41748294595</v>
      </c>
    </row>
    <row r="5013" spans="1:13" ht="15" customHeight="1" x14ac:dyDescent="0.2">
      <c r="B5013" s="10" t="s">
        <v>939</v>
      </c>
      <c r="C5013" s="10" t="s">
        <v>110</v>
      </c>
      <c r="D5013" s="16">
        <f>SUM(D4996:M4996)+D5008/(Inputs!$D$7+$D$5002)^M4976</f>
        <v>21850</v>
      </c>
    </row>
    <row r="5014" spans="1:13" ht="15" customHeight="1" x14ac:dyDescent="0.2">
      <c r="B5014" s="10" t="s">
        <v>940</v>
      </c>
      <c r="C5014" s="10" t="s">
        <v>104</v>
      </c>
      <c r="D5014" s="30">
        <f>IF(ABS(D4999)&gt;Inputs!$D$6,D5013/D4999-Inputs!$D$7,Inputs!$D$6)</f>
        <v>0</v>
      </c>
    </row>
    <row r="5015" spans="1:13" ht="15" customHeight="1" x14ac:dyDescent="0.2">
      <c r="B5015" s="10" t="s">
        <v>941</v>
      </c>
      <c r="C5015" s="10" t="s">
        <v>104</v>
      </c>
      <c r="D5015" s="30">
        <f>IF(ABS(D5013)&gt;Inputs!$D$119,D5008/(Inputs!$D$7+$D$5002)^M4976/D5013,Inputs!$D$6)</f>
        <v>0.98114925826346122</v>
      </c>
    </row>
    <row r="5016" spans="1:13" ht="15" customHeight="1" x14ac:dyDescent="0.2">
      <c r="B5016" s="10" t="s">
        <v>942</v>
      </c>
      <c r="C5016" s="10" t="s">
        <v>943</v>
      </c>
      <c r="D5016" s="26">
        <f>$D$5000*Inputs!$D$8/Prices!$P$6/(Inputs!$D$26/Inputs!$D$25)/Inputs!$D$11/Inputs!$D$56</f>
        <v>6.9105728439430703</v>
      </c>
    </row>
    <row r="5020" spans="1:13" ht="15" customHeight="1" x14ac:dyDescent="0.2">
      <c r="A5020" s="104" t="s">
        <v>1052</v>
      </c>
      <c r="B5020" s="10" t="s">
        <v>886</v>
      </c>
      <c r="C5020" s="10" t="s">
        <v>107</v>
      </c>
      <c r="D5020" s="28">
        <f>Inputs!$D$60</f>
        <v>1</v>
      </c>
      <c r="E5020" s="28">
        <f>Inputs!$D$62</f>
        <v>2</v>
      </c>
      <c r="F5020" s="28">
        <f>Inputs!$D$64</f>
        <v>3</v>
      </c>
      <c r="G5020" s="28">
        <f>Inputs!$D$66</f>
        <v>4</v>
      </c>
      <c r="H5020" s="28">
        <f>Inputs!$D$68</f>
        <v>5</v>
      </c>
      <c r="I5020" s="28">
        <f>Inputs!$D$70</f>
        <v>6</v>
      </c>
      <c r="J5020" s="28">
        <f>Inputs!$D$72</f>
        <v>7</v>
      </c>
      <c r="K5020" s="28">
        <f>Inputs!$D$74</f>
        <v>8</v>
      </c>
      <c r="L5020" s="28">
        <f>Inputs!$D$76</f>
        <v>9</v>
      </c>
      <c r="M5020" s="28">
        <f>Inputs!$D$78</f>
        <v>10</v>
      </c>
    </row>
    <row r="5021" spans="1:13" ht="15" customHeight="1" x14ac:dyDescent="0.2">
      <c r="A5021" s="91"/>
      <c r="B5021" s="10" t="s">
        <v>887</v>
      </c>
      <c r="C5021" s="10" t="s">
        <v>161</v>
      </c>
      <c r="D5021" s="29">
        <f>Inputs!$D$61</f>
        <v>46568</v>
      </c>
      <c r="E5021" s="29">
        <f>Inputs!$D$63</f>
        <v>46934</v>
      </c>
      <c r="F5021" s="29">
        <f>Inputs!$D$65</f>
        <v>47299</v>
      </c>
      <c r="G5021" s="29">
        <f>Inputs!$D$67</f>
        <v>47664</v>
      </c>
      <c r="H5021" s="29">
        <f>Inputs!$D$69</f>
        <v>48029</v>
      </c>
      <c r="I5021" s="29">
        <f>Inputs!$D$71</f>
        <v>48395</v>
      </c>
      <c r="J5021" s="29">
        <f>Inputs!$D$73</f>
        <v>48760</v>
      </c>
      <c r="K5021" s="29">
        <f>Inputs!$D$75</f>
        <v>49125</v>
      </c>
      <c r="L5021" s="29">
        <f>Inputs!$D$77</f>
        <v>49490</v>
      </c>
      <c r="M5021" s="29">
        <f>Inputs!$D$79</f>
        <v>49856</v>
      </c>
    </row>
    <row r="5022" spans="1:13" ht="15" customHeight="1" x14ac:dyDescent="0.2">
      <c r="A5022" s="91"/>
      <c r="B5022" s="10" t="s">
        <v>888</v>
      </c>
      <c r="C5022" s="10" t="s">
        <v>107</v>
      </c>
      <c r="D5022" s="28">
        <f>(D5021-Inputs!$D$13)/Inputs!$D$10</f>
        <v>0.71457905544147848</v>
      </c>
      <c r="E5022" s="28">
        <f>(E5021-Inputs!$D$13)/Inputs!$D$10</f>
        <v>1.7166324435318274</v>
      </c>
      <c r="F5022" s="28">
        <f>(F5021-Inputs!$D$13)/Inputs!$D$10</f>
        <v>2.7159479808350446</v>
      </c>
      <c r="G5022" s="28">
        <f>(G5021-Inputs!$D$13)/Inputs!$D$10</f>
        <v>3.7152635181382614</v>
      </c>
      <c r="H5022" s="28">
        <f>(H5021-Inputs!$D$13)/Inputs!$D$10</f>
        <v>4.7145790554414786</v>
      </c>
      <c r="I5022" s="28">
        <f>(I5021-Inputs!$D$13)/Inputs!$D$10</f>
        <v>5.7166324435318279</v>
      </c>
      <c r="J5022" s="28">
        <f>(J5021-Inputs!$D$13)/Inputs!$D$10</f>
        <v>6.7159479808350442</v>
      </c>
      <c r="K5022" s="28">
        <f>(K5021-Inputs!$D$13)/Inputs!$D$10</f>
        <v>7.7152635181382614</v>
      </c>
      <c r="L5022" s="28">
        <f>(L5021-Inputs!$D$13)/Inputs!$D$10</f>
        <v>8.7145790554414777</v>
      </c>
      <c r="M5022" s="28">
        <f>(M5021-Inputs!$D$13)/Inputs!$D$10</f>
        <v>9.716632443531827</v>
      </c>
    </row>
    <row r="5023" spans="1:13" ht="15" customHeight="1" x14ac:dyDescent="0.2">
      <c r="A5023" s="91"/>
      <c r="B5023" s="10" t="s">
        <v>889</v>
      </c>
      <c r="C5023" s="10" t="s">
        <v>107</v>
      </c>
      <c r="D5023" s="28">
        <f>D5022</f>
        <v>0.71457905544147848</v>
      </c>
      <c r="E5023" s="28">
        <f>Inputs!$D$7</f>
        <v>1</v>
      </c>
      <c r="F5023" s="28">
        <f>Inputs!$D$7</f>
        <v>1</v>
      </c>
      <c r="G5023" s="28">
        <f>Inputs!$D$7</f>
        <v>1</v>
      </c>
      <c r="H5023" s="28">
        <f>Inputs!$D$7</f>
        <v>1</v>
      </c>
      <c r="I5023" s="28">
        <f>Inputs!$D$7</f>
        <v>1</v>
      </c>
      <c r="J5023" s="28">
        <f>Inputs!$D$7</f>
        <v>1</v>
      </c>
      <c r="K5023" s="28">
        <f>Inputs!$D$7</f>
        <v>1</v>
      </c>
      <c r="L5023" s="28">
        <f>Inputs!$D$7</f>
        <v>1</v>
      </c>
      <c r="M5023" s="28">
        <f>Inputs!$D$7</f>
        <v>1</v>
      </c>
    </row>
    <row r="5024" spans="1:13" ht="15" customHeight="1" x14ac:dyDescent="0.2">
      <c r="A5024" s="91"/>
      <c r="B5024" s="3" t="s">
        <v>890</v>
      </c>
      <c r="C5024" s="10" t="s">
        <v>199</v>
      </c>
      <c r="D5024" s="28">
        <f>Inputs!$D$24+(Inputs!$D$93-Inputs!$D$24)*Inputs!$D$83</f>
        <v>512.20000000000005</v>
      </c>
      <c r="E5024" s="28">
        <f>Inputs!$D$24+(Inputs!$D$93-Inputs!$D$24)*Inputs!$D$84</f>
        <v>1133.8</v>
      </c>
      <c r="F5024" s="28">
        <f>Inputs!$D$24+(Inputs!$D$93-Inputs!$D$24)*Inputs!$D$85</f>
        <v>1600</v>
      </c>
      <c r="G5024" s="28">
        <f>Inputs!$D$24+(Inputs!$D$93-Inputs!$D$24)*Inputs!$D$86</f>
        <v>1600</v>
      </c>
      <c r="H5024" s="28">
        <f>Inputs!$D$24+(Inputs!$D$93-Inputs!$D$24)*Inputs!$D$87</f>
        <v>1600</v>
      </c>
      <c r="I5024" s="28">
        <f>Inputs!$D$24+(Inputs!$D$93-Inputs!$D$24)*Inputs!$D$88</f>
        <v>1600</v>
      </c>
      <c r="J5024" s="28">
        <f>Inputs!$D$24+(Inputs!$D$93-Inputs!$D$24)*Inputs!$D$89</f>
        <v>1600</v>
      </c>
      <c r="K5024" s="28">
        <f>Inputs!$D$24+(Inputs!$D$93-Inputs!$D$24)*Inputs!$D$90</f>
        <v>1600</v>
      </c>
      <c r="L5024" s="28">
        <f>Inputs!$D$24+(Inputs!$D$93-Inputs!$D$24)*Inputs!$D$91</f>
        <v>1600</v>
      </c>
      <c r="M5024" s="28">
        <f>Inputs!$D$24+(Inputs!$D$93-Inputs!$D$24)*Inputs!$D$92</f>
        <v>1600</v>
      </c>
    </row>
    <row r="5025" spans="1:13" ht="15" customHeight="1" x14ac:dyDescent="0.2">
      <c r="A5025" s="91"/>
      <c r="B5025" s="10" t="s">
        <v>891</v>
      </c>
      <c r="C5025" s="10" t="s">
        <v>199</v>
      </c>
      <c r="D5025" s="28">
        <f>Inputs!$D$24</f>
        <v>46</v>
      </c>
      <c r="E5025" s="28">
        <f t="shared" ref="E5025:M5025" si="1090">D5024</f>
        <v>512.20000000000005</v>
      </c>
      <c r="F5025" s="28">
        <f t="shared" si="1090"/>
        <v>1133.8</v>
      </c>
      <c r="G5025" s="28">
        <f t="shared" si="1090"/>
        <v>1600</v>
      </c>
      <c r="H5025" s="28">
        <f t="shared" si="1090"/>
        <v>1600</v>
      </c>
      <c r="I5025" s="28">
        <f t="shared" si="1090"/>
        <v>1600</v>
      </c>
      <c r="J5025" s="28">
        <f t="shared" si="1090"/>
        <v>1600</v>
      </c>
      <c r="K5025" s="28">
        <f t="shared" si="1090"/>
        <v>1600</v>
      </c>
      <c r="L5025" s="28">
        <f t="shared" si="1090"/>
        <v>1600</v>
      </c>
      <c r="M5025" s="28">
        <f t="shared" si="1090"/>
        <v>1600</v>
      </c>
    </row>
    <row r="5026" spans="1:13" ht="15" customHeight="1" x14ac:dyDescent="0.2">
      <c r="B5026" s="10" t="s">
        <v>892</v>
      </c>
      <c r="C5026" s="10" t="s">
        <v>199</v>
      </c>
      <c r="D5026" s="28">
        <f>(D5025+D5024)*Inputs!$D$12</f>
        <v>279.10000000000002</v>
      </c>
      <c r="E5026" s="28">
        <f>(E5025+E5024)*Inputs!$D$12</f>
        <v>823</v>
      </c>
      <c r="F5026" s="28">
        <f>(F5025+F5024)*Inputs!$D$12</f>
        <v>1366.9</v>
      </c>
      <c r="G5026" s="28">
        <f>(G5025+G5024)*Inputs!$D$12</f>
        <v>1600</v>
      </c>
      <c r="H5026" s="28">
        <f>(H5025+H5024)*Inputs!$D$12</f>
        <v>1600</v>
      </c>
      <c r="I5026" s="28">
        <f>(I5025+I5024)*Inputs!$D$12</f>
        <v>1600</v>
      </c>
      <c r="J5026" s="28">
        <f>(J5025+J5024)*Inputs!$D$12</f>
        <v>1600</v>
      </c>
      <c r="K5026" s="28">
        <f>(K5025+K5024)*Inputs!$D$12</f>
        <v>1600</v>
      </c>
      <c r="L5026" s="28">
        <f>(L5025+L5024)*Inputs!$D$12</f>
        <v>1600</v>
      </c>
      <c r="M5026" s="28">
        <f>(M5025+M5024)*Inputs!$D$12</f>
        <v>1600</v>
      </c>
    </row>
    <row r="5027" spans="1:13" ht="15" customHeight="1" x14ac:dyDescent="0.2">
      <c r="B5027" s="10" t="s">
        <v>893</v>
      </c>
      <c r="C5027" s="10" t="s">
        <v>199</v>
      </c>
      <c r="D5027" s="28">
        <f t="shared" ref="D5027:M5027" si="1091">D5024-D5025</f>
        <v>466.20000000000005</v>
      </c>
      <c r="E5027" s="28">
        <f t="shared" si="1091"/>
        <v>621.59999999999991</v>
      </c>
      <c r="F5027" s="28">
        <f t="shared" si="1091"/>
        <v>466.20000000000005</v>
      </c>
      <c r="G5027" s="28">
        <f t="shared" si="1091"/>
        <v>0</v>
      </c>
      <c r="H5027" s="28">
        <f t="shared" si="1091"/>
        <v>0</v>
      </c>
      <c r="I5027" s="28">
        <f t="shared" si="1091"/>
        <v>0</v>
      </c>
      <c r="J5027" s="28">
        <f t="shared" si="1091"/>
        <v>0</v>
      </c>
      <c r="K5027" s="28">
        <f t="shared" si="1091"/>
        <v>0</v>
      </c>
      <c r="L5027" s="28">
        <f t="shared" si="1091"/>
        <v>0</v>
      </c>
      <c r="M5027" s="28">
        <f t="shared" si="1091"/>
        <v>0</v>
      </c>
    </row>
    <row r="5028" spans="1:13" ht="15" customHeight="1" x14ac:dyDescent="0.2">
      <c r="B5028" s="10" t="s">
        <v>894</v>
      </c>
      <c r="C5028" s="10" t="s">
        <v>199</v>
      </c>
      <c r="D5028" s="28">
        <f>IF(MOD(D5020,Inputs!$D$21)=Inputs!$D$6,Inputs!$D$24,Inputs!$D$6)+SUMPRODUCT(--(D5020&gt;$D$5020:$M$5020),--(MOD(D5020-$D$5020:$M$5020,Inputs!$D$21)=Inputs!$D$6),$D$5027:$M$5027)</f>
        <v>0</v>
      </c>
      <c r="E5028" s="28">
        <f>IF(MOD(E5020,Inputs!$D$21)=Inputs!$D$6,Inputs!$D$24,Inputs!$D$6)+SUMPRODUCT(--(E5020&gt;$D$5020:$M$5020),--(MOD(E5020-$D$5020:$M$5020,Inputs!$D$21)=Inputs!$D$6),$D$5027:$M$5027)</f>
        <v>0</v>
      </c>
      <c r="F5028" s="28">
        <f>IF(MOD(F5020,Inputs!$D$21)=Inputs!$D$6,Inputs!$D$24,Inputs!$D$6)+SUMPRODUCT(--(F5020&gt;$D$5020:$M$5020),--(MOD(F5020-$D$5020:$M$5020,Inputs!$D$21)=Inputs!$D$6),$D$5027:$M$5027)</f>
        <v>0</v>
      </c>
      <c r="G5028" s="28">
        <f>IF(MOD(G5020,Inputs!$D$21)=Inputs!$D$6,Inputs!$D$24,Inputs!$D$6)+SUMPRODUCT(--(G5020&gt;$D$5020:$M$5020),--(MOD(G5020-$D$5020:$M$5020,Inputs!$D$21)=Inputs!$D$6),$D$5027:$M$5027)</f>
        <v>46</v>
      </c>
      <c r="H5028" s="28">
        <f>IF(MOD(H5020,Inputs!$D$21)=Inputs!$D$6,Inputs!$D$24,Inputs!$D$6)+SUMPRODUCT(--(H5020&gt;$D$5020:$M$5020),--(MOD(H5020-$D$5020:$M$5020,Inputs!$D$21)=Inputs!$D$6),$D$5027:$M$5027)</f>
        <v>466.20000000000005</v>
      </c>
      <c r="I5028" s="28">
        <f>IF(MOD(I5020,Inputs!$D$21)=Inputs!$D$6,Inputs!$D$24,Inputs!$D$6)+SUMPRODUCT(--(I5020&gt;$D$5020:$M$5020),--(MOD(I5020-$D$5020:$M$5020,Inputs!$D$21)=Inputs!$D$6),$D$5027:$M$5027)</f>
        <v>621.59999999999991</v>
      </c>
      <c r="J5028" s="28">
        <f>IF(MOD(J5020,Inputs!$D$21)=Inputs!$D$6,Inputs!$D$24,Inputs!$D$6)+SUMPRODUCT(--(J5020&gt;$D$5020:$M$5020),--(MOD(J5020-$D$5020:$M$5020,Inputs!$D$21)=Inputs!$D$6),$D$5027:$M$5027)</f>
        <v>466.20000000000005</v>
      </c>
      <c r="K5028" s="28">
        <f>IF(MOD(K5020,Inputs!$D$21)=Inputs!$D$6,Inputs!$D$24,Inputs!$D$6)+SUMPRODUCT(--(K5020&gt;$D$5020:$M$5020),--(MOD(K5020-$D$5020:$M$5020,Inputs!$D$21)=Inputs!$D$6),$D$5027:$M$5027)</f>
        <v>46</v>
      </c>
      <c r="L5028" s="28">
        <f>IF(MOD(L5020,Inputs!$D$21)=Inputs!$D$6,Inputs!$D$24,Inputs!$D$6)+SUMPRODUCT(--(L5020&gt;$D$5020:$M$5020),--(MOD(L5020-$D$5020:$M$5020,Inputs!$D$21)=Inputs!$D$6),$D$5027:$M$5027)</f>
        <v>466.20000000000005</v>
      </c>
      <c r="M5028" s="28">
        <f>IF(MOD(M5020,Inputs!$D$21)=Inputs!$D$6,Inputs!$D$24,Inputs!$D$6)+SUMPRODUCT(--(M5020&gt;$D$5020:$M$5020),--(MOD(M5020-$D$5020:$M$5020,Inputs!$D$21)=Inputs!$D$6),$D$5027:$M$5027)</f>
        <v>621.59999999999991</v>
      </c>
    </row>
    <row r="5029" spans="1:13" ht="15" customHeight="1" x14ac:dyDescent="0.2">
      <c r="B5029" s="10" t="s">
        <v>895</v>
      </c>
      <c r="C5029" s="10" t="s">
        <v>896</v>
      </c>
      <c r="D5029" s="28">
        <f t="shared" ref="D5029:M5029" si="1092">D5026*D5023</f>
        <v>199.43901437371667</v>
      </c>
      <c r="E5029" s="28">
        <f t="shared" si="1092"/>
        <v>823</v>
      </c>
      <c r="F5029" s="28">
        <f t="shared" si="1092"/>
        <v>1366.9</v>
      </c>
      <c r="G5029" s="28">
        <f t="shared" si="1092"/>
        <v>1600</v>
      </c>
      <c r="H5029" s="28">
        <f t="shared" si="1092"/>
        <v>1600</v>
      </c>
      <c r="I5029" s="28">
        <f t="shared" si="1092"/>
        <v>1600</v>
      </c>
      <c r="J5029" s="28">
        <f t="shared" si="1092"/>
        <v>1600</v>
      </c>
      <c r="K5029" s="28">
        <f t="shared" si="1092"/>
        <v>1600</v>
      </c>
      <c r="L5029" s="28">
        <f t="shared" si="1092"/>
        <v>1600</v>
      </c>
      <c r="M5029" s="28">
        <f t="shared" si="1092"/>
        <v>1600</v>
      </c>
    </row>
    <row r="5030" spans="1:13" ht="15" customHeight="1" x14ac:dyDescent="0.2">
      <c r="B5030" s="10" t="s">
        <v>897</v>
      </c>
      <c r="C5030" s="10" t="s">
        <v>110</v>
      </c>
      <c r="D5030" s="16">
        <f>D5029*($D$5049/Inputs!$D$21+$D$5050/Inputs!$D$22)</f>
        <v>2885.4529758392296</v>
      </c>
      <c r="E5030" s="16">
        <f>E5029*($D$5049/Inputs!$D$21+$D$5050/Inputs!$D$22)</f>
        <v>11907.037379686541</v>
      </c>
      <c r="F5030" s="16">
        <f>F5029*($D$5049/Inputs!$D$21+$D$5050/Inputs!$D$22)</f>
        <v>19776.098899506116</v>
      </c>
      <c r="G5030" s="16">
        <f>G5029*($D$5049/Inputs!$D$21+$D$5050/Inputs!$D$22)</f>
        <v>23148.553836571649</v>
      </c>
      <c r="H5030" s="16">
        <f>H5029*($D$5049/Inputs!$D$21+$D$5050/Inputs!$D$22)</f>
        <v>23148.553836571649</v>
      </c>
      <c r="I5030" s="16">
        <f>I5029*($D$5049/Inputs!$D$21+$D$5050/Inputs!$D$22)</f>
        <v>23148.553836571649</v>
      </c>
      <c r="J5030" s="16">
        <f>J5029*($D$5049/Inputs!$D$21+$D$5050/Inputs!$D$22)</f>
        <v>23148.553836571649</v>
      </c>
      <c r="K5030" s="16">
        <f>K5029*($D$5049/Inputs!$D$21+$D$5050/Inputs!$D$22)</f>
        <v>23148.553836571649</v>
      </c>
      <c r="L5030" s="16">
        <f>L5029*($D$5049/Inputs!$D$21+$D$5050/Inputs!$D$22)</f>
        <v>23148.553836571649</v>
      </c>
      <c r="M5030" s="16">
        <f>M5029*($D$5049/Inputs!$D$21+$D$5050/Inputs!$D$22)</f>
        <v>23148.553836571649</v>
      </c>
    </row>
    <row r="5031" spans="1:13" ht="15" customHeight="1" x14ac:dyDescent="0.2">
      <c r="B5031" s="10" t="s">
        <v>898</v>
      </c>
      <c r="C5031" s="10" t="s">
        <v>110</v>
      </c>
      <c r="D5031" s="16">
        <f t="shared" ref="D5031:M5031" si="1093">D5027*($D$5049+$D$5050)</f>
        <v>27955.774838967773</v>
      </c>
      <c r="E5031" s="16">
        <f t="shared" si="1093"/>
        <v>37274.366451957023</v>
      </c>
      <c r="F5031" s="16">
        <f t="shared" si="1093"/>
        <v>27955.774838967773</v>
      </c>
      <c r="G5031" s="16">
        <f t="shared" si="1093"/>
        <v>0</v>
      </c>
      <c r="H5031" s="16">
        <f t="shared" si="1093"/>
        <v>0</v>
      </c>
      <c r="I5031" s="16">
        <f t="shared" si="1093"/>
        <v>0</v>
      </c>
      <c r="J5031" s="16">
        <f t="shared" si="1093"/>
        <v>0</v>
      </c>
      <c r="K5031" s="16">
        <f t="shared" si="1093"/>
        <v>0</v>
      </c>
      <c r="L5031" s="16">
        <f t="shared" si="1093"/>
        <v>0</v>
      </c>
      <c r="M5031" s="16">
        <f t="shared" si="1093"/>
        <v>0</v>
      </c>
    </row>
    <row r="5032" spans="1:13" ht="15" customHeight="1" x14ac:dyDescent="0.2">
      <c r="B5032" s="10" t="s">
        <v>899</v>
      </c>
      <c r="C5032" s="10" t="s">
        <v>110</v>
      </c>
      <c r="D5032" s="16">
        <f t="shared" ref="D5032:M5032" si="1094">D5028*$D$5049</f>
        <v>0</v>
      </c>
      <c r="E5032" s="16">
        <f t="shared" si="1094"/>
        <v>0</v>
      </c>
      <c r="F5032" s="16">
        <f t="shared" si="1094"/>
        <v>0</v>
      </c>
      <c r="G5032" s="16">
        <f t="shared" si="1094"/>
        <v>2638.0048485671714</v>
      </c>
      <c r="H5032" s="16">
        <f t="shared" si="1094"/>
        <v>26735.605660913378</v>
      </c>
      <c r="I5032" s="16">
        <f t="shared" si="1094"/>
        <v>35647.474214551163</v>
      </c>
      <c r="J5032" s="16">
        <f t="shared" si="1094"/>
        <v>26735.605660913378</v>
      </c>
      <c r="K5032" s="16">
        <f t="shared" si="1094"/>
        <v>2638.0048485671714</v>
      </c>
      <c r="L5032" s="16">
        <f t="shared" si="1094"/>
        <v>26735.605660913378</v>
      </c>
      <c r="M5032" s="16">
        <f t="shared" si="1094"/>
        <v>35647.474214551163</v>
      </c>
    </row>
    <row r="5033" spans="1:13" ht="15" customHeight="1" x14ac:dyDescent="0.2">
      <c r="B5033" s="10" t="s">
        <v>900</v>
      </c>
      <c r="C5033" s="10" t="s">
        <v>199</v>
      </c>
      <c r="D5033" s="28">
        <f>D5027*Inputs!$D$23</f>
        <v>11.655000000000001</v>
      </c>
      <c r="E5033" s="28">
        <f>E5027*Inputs!$D$23</f>
        <v>15.54</v>
      </c>
      <c r="F5033" s="28">
        <f>F5027*Inputs!$D$23</f>
        <v>11.655000000000001</v>
      </c>
      <c r="G5033" s="28">
        <f>G5027*Inputs!$D$23</f>
        <v>0</v>
      </c>
      <c r="H5033" s="28">
        <f>H5027*Inputs!$D$23</f>
        <v>0</v>
      </c>
      <c r="I5033" s="28">
        <f>I5027*Inputs!$D$23</f>
        <v>0</v>
      </c>
      <c r="J5033" s="28">
        <f>J5027*Inputs!$D$23</f>
        <v>0</v>
      </c>
      <c r="K5033" s="28">
        <f>K5027*Inputs!$D$23</f>
        <v>0</v>
      </c>
      <c r="L5033" s="28">
        <f>L5027*Inputs!$D$23</f>
        <v>0</v>
      </c>
      <c r="M5033" s="28">
        <f>M5027*Inputs!$D$23</f>
        <v>0</v>
      </c>
    </row>
    <row r="5034" spans="1:13" ht="15" customHeight="1" x14ac:dyDescent="0.2">
      <c r="B5034" s="3" t="s">
        <v>901</v>
      </c>
      <c r="C5034" s="10" t="s">
        <v>896</v>
      </c>
      <c r="D5034" s="28">
        <f>(D5029*$D$5047*(Inputs!$D$7-Inputs!$D$19)-D5033)/(Inputs!$D$7+$D$5048)^D5022</f>
        <v>67.361764076638423</v>
      </c>
      <c r="E5034" s="28">
        <f>(E5029*$D$5047*(Inputs!$D$7-Inputs!$D$19)-E5033)/(Inputs!$D$7+$D$5048)^E5022</f>
        <v>280.29529652215348</v>
      </c>
      <c r="F5034" s="28">
        <f>(F5029*$D$5047*(Inputs!$D$7-Inputs!$D$19)-F5033)/(Inputs!$D$7+$D$5048)^F5022</f>
        <v>434.1683252988114</v>
      </c>
      <c r="G5034" s="28">
        <f>(G5029*$D$5047*(Inputs!$D$7-Inputs!$D$19)-G5033)/(Inputs!$D$7+$D$5048)^G5022</f>
        <v>471.61166655007548</v>
      </c>
      <c r="H5034" s="28">
        <f>(H5029*$D$5047*(Inputs!$D$7-Inputs!$D$19)-H5033)/(Inputs!$D$7+$D$5048)^H5022</f>
        <v>428.76584885109446</v>
      </c>
      <c r="I5034" s="28">
        <f>(I5029*$D$5047*(Inputs!$D$7-Inputs!$D$19)-I5033)/(Inputs!$D$7+$D$5048)^I5022</f>
        <v>389.71085801561958</v>
      </c>
      <c r="J5034" s="28">
        <f>(J5029*$D$5047*(Inputs!$D$7-Inputs!$D$19)-J5033)/(Inputs!$D$7+$D$5048)^J5022</f>
        <v>354.30571102255266</v>
      </c>
      <c r="K5034" s="28">
        <f>(K5029*$D$5047*(Inputs!$D$7-Inputs!$D$19)-K5033)/(Inputs!$D$7+$D$5048)^K5022</f>
        <v>322.1171139608465</v>
      </c>
      <c r="L5034" s="28">
        <f>(L5029*$D$5047*(Inputs!$D$7-Inputs!$D$19)-L5033)/(Inputs!$D$7+$D$5048)^L5022</f>
        <v>292.85284396632358</v>
      </c>
      <c r="M5034" s="28">
        <f>(M5029*$D$5047*(Inputs!$D$7-Inputs!$D$19)-M5033)/(Inputs!$D$7+$D$5048)^M5022</f>
        <v>266.1777597265347</v>
      </c>
    </row>
    <row r="5035" spans="1:13" ht="15" customHeight="1" x14ac:dyDescent="0.2">
      <c r="B5035" s="10" t="s">
        <v>902</v>
      </c>
      <c r="C5035" s="10" t="s">
        <v>110</v>
      </c>
      <c r="D5035" s="16">
        <f>(D5030*Inputs!$D$19-D5031-D5032)/(Inputs!$D$7+$D$5048)^D5022</f>
        <v>-25306.546745010444</v>
      </c>
      <c r="E5035" s="16">
        <f>(E5030*Inputs!$D$19-E5031-E5032)/(Inputs!$D$7+$D$5048)^E5022</f>
        <v>-28615.60531144682</v>
      </c>
      <c r="F5035" s="16">
        <f>(F5030*Inputs!$D$19-F5031-F5032)/(Inputs!$D$7+$D$5048)^F5022</f>
        <v>-17000.238641466985</v>
      </c>
      <c r="G5035" s="16">
        <f>(G5030*Inputs!$D$19-G5031-G5032)/(Inputs!$D$7+$D$5048)^G5022</f>
        <v>3022.3579656651286</v>
      </c>
      <c r="H5035" s="16">
        <f>(H5030*Inputs!$D$19-H5031-H5032)/(Inputs!$D$7+$D$5048)^H5022</f>
        <v>-12627.562284413363</v>
      </c>
      <c r="I5035" s="16">
        <f>(I5030*Inputs!$D$19-I5031-I5032)/(Inputs!$D$7+$D$5048)^I5022</f>
        <v>-16645.587691965891</v>
      </c>
      <c r="J5035" s="16">
        <f>(J5030*Inputs!$D$19-J5031-J5032)/(Inputs!$D$7+$D$5048)^J5022</f>
        <v>-10434.640365246118</v>
      </c>
      <c r="K5035" s="16">
        <f>(K5030*Inputs!$D$19-K5031-K5032)/(Inputs!$D$7+$D$5048)^K5022</f>
        <v>2064.3111574790846</v>
      </c>
      <c r="L5035" s="16">
        <f>(L5030*Inputs!$D$19-L5031-L5032)/(Inputs!$D$7+$D$5048)^L5022</f>
        <v>-8624.7949487148144</v>
      </c>
      <c r="M5035" s="16">
        <f>(M5030*Inputs!$D$19-M5031-M5032)/(Inputs!$D$7+$D$5048)^M5022</f>
        <v>-11369.160366071912</v>
      </c>
    </row>
    <row r="5036" spans="1:13" ht="15" customHeight="1" x14ac:dyDescent="0.2">
      <c r="B5036" s="10" t="s">
        <v>903</v>
      </c>
      <c r="C5036" s="10" t="s">
        <v>110</v>
      </c>
      <c r="D5036" s="16">
        <f t="shared" ref="D5036:M5036" si="1095">D5029*$D$5046</f>
        <v>7120.5563028827564</v>
      </c>
      <c r="E5036" s="16">
        <f t="shared" si="1095"/>
        <v>29383.507814029814</v>
      </c>
      <c r="F5036" s="16">
        <f t="shared" si="1095"/>
        <v>48802.329077761067</v>
      </c>
      <c r="G5036" s="16">
        <f t="shared" si="1095"/>
        <v>57124.681047931597</v>
      </c>
      <c r="H5036" s="16">
        <f t="shared" si="1095"/>
        <v>57124.681047931597</v>
      </c>
      <c r="I5036" s="16">
        <f t="shared" si="1095"/>
        <v>57124.681047931597</v>
      </c>
      <c r="J5036" s="16">
        <f t="shared" si="1095"/>
        <v>57124.681047931597</v>
      </c>
      <c r="K5036" s="16">
        <f t="shared" si="1095"/>
        <v>57124.681047931597</v>
      </c>
      <c r="L5036" s="16">
        <f t="shared" si="1095"/>
        <v>57124.681047931597</v>
      </c>
      <c r="M5036" s="16">
        <f t="shared" si="1095"/>
        <v>57124.681047931597</v>
      </c>
    </row>
    <row r="5037" spans="1:13" ht="15" customHeight="1" x14ac:dyDescent="0.2">
      <c r="B5037" s="10" t="s">
        <v>904</v>
      </c>
      <c r="C5037" s="10" t="s">
        <v>110</v>
      </c>
      <c r="D5037" s="16">
        <f t="shared" ref="D5037:M5037" si="1096">D5036*$D$5047</f>
        <v>4272.3337817296533</v>
      </c>
      <c r="E5037" s="16">
        <f t="shared" si="1096"/>
        <v>17630.104688417887</v>
      </c>
      <c r="F5037" s="16">
        <f t="shared" si="1096"/>
        <v>29281.39744665664</v>
      </c>
      <c r="G5037" s="16">
        <f t="shared" si="1096"/>
        <v>34274.808628758954</v>
      </c>
      <c r="H5037" s="16">
        <f t="shared" si="1096"/>
        <v>34274.808628758954</v>
      </c>
      <c r="I5037" s="16">
        <f t="shared" si="1096"/>
        <v>34274.808628758954</v>
      </c>
      <c r="J5037" s="16">
        <f t="shared" si="1096"/>
        <v>34274.808628758954</v>
      </c>
      <c r="K5037" s="16">
        <f t="shared" si="1096"/>
        <v>34274.808628758954</v>
      </c>
      <c r="L5037" s="16">
        <f t="shared" si="1096"/>
        <v>34274.808628758954</v>
      </c>
      <c r="M5037" s="16">
        <f t="shared" si="1096"/>
        <v>34274.808628758954</v>
      </c>
    </row>
    <row r="5038" spans="1:13" ht="15" customHeight="1" x14ac:dyDescent="0.2">
      <c r="B5038" s="10" t="s">
        <v>905</v>
      </c>
      <c r="C5038" s="10" t="s">
        <v>110</v>
      </c>
      <c r="D5038" s="16">
        <f t="shared" ref="D5038:M5038" si="1097">D5037-D5030</f>
        <v>1386.8808058904237</v>
      </c>
      <c r="E5038" s="16">
        <f t="shared" si="1097"/>
        <v>5723.0673087313462</v>
      </c>
      <c r="F5038" s="16">
        <f t="shared" si="1097"/>
        <v>9505.2985471505235</v>
      </c>
      <c r="G5038" s="16">
        <f t="shared" si="1097"/>
        <v>11126.254792187305</v>
      </c>
      <c r="H5038" s="16">
        <f t="shared" si="1097"/>
        <v>11126.254792187305</v>
      </c>
      <c r="I5038" s="16">
        <f t="shared" si="1097"/>
        <v>11126.254792187305</v>
      </c>
      <c r="J5038" s="16">
        <f t="shared" si="1097"/>
        <v>11126.254792187305</v>
      </c>
      <c r="K5038" s="16">
        <f t="shared" si="1097"/>
        <v>11126.254792187305</v>
      </c>
      <c r="L5038" s="16">
        <f t="shared" si="1097"/>
        <v>11126.254792187305</v>
      </c>
      <c r="M5038" s="16">
        <f t="shared" si="1097"/>
        <v>11126.254792187305</v>
      </c>
    </row>
    <row r="5039" spans="1:13" ht="15" customHeight="1" x14ac:dyDescent="0.2">
      <c r="B5039" s="10" t="s">
        <v>906</v>
      </c>
      <c r="C5039" s="10" t="s">
        <v>110</v>
      </c>
      <c r="D5039" s="16">
        <f>MAX(D5038,Inputs!$D$6)*Inputs!$D$19</f>
        <v>416.0642417671271</v>
      </c>
      <c r="E5039" s="16">
        <f>MAX(E5038,Inputs!$D$6)*Inputs!$D$19</f>
        <v>1716.9201926194039</v>
      </c>
      <c r="F5039" s="16">
        <f>MAX(F5038,Inputs!$D$6)*Inputs!$D$19</f>
        <v>2851.5895641451571</v>
      </c>
      <c r="G5039" s="16">
        <f>MAX(G5038,Inputs!$D$6)*Inputs!$D$19</f>
        <v>3337.8764376561912</v>
      </c>
      <c r="H5039" s="16">
        <f>MAX(H5038,Inputs!$D$6)*Inputs!$D$19</f>
        <v>3337.8764376561912</v>
      </c>
      <c r="I5039" s="16">
        <f>MAX(I5038,Inputs!$D$6)*Inputs!$D$19</f>
        <v>3337.8764376561912</v>
      </c>
      <c r="J5039" s="16">
        <f>MAX(J5038,Inputs!$D$6)*Inputs!$D$19</f>
        <v>3337.8764376561912</v>
      </c>
      <c r="K5039" s="16">
        <f>MAX(K5038,Inputs!$D$6)*Inputs!$D$19</f>
        <v>3337.8764376561912</v>
      </c>
      <c r="L5039" s="16">
        <f>MAX(L5038,Inputs!$D$6)*Inputs!$D$19</f>
        <v>3337.8764376561912</v>
      </c>
      <c r="M5039" s="16">
        <f>MAX(M5038,Inputs!$D$6)*Inputs!$D$19</f>
        <v>3337.8764376561912</v>
      </c>
    </row>
    <row r="5040" spans="1:13" ht="15" customHeight="1" x14ac:dyDescent="0.2">
      <c r="B5040" s="10" t="s">
        <v>907</v>
      </c>
      <c r="C5040" s="10" t="s">
        <v>110</v>
      </c>
      <c r="D5040" s="16">
        <f t="shared" ref="D5040:M5040" si="1098">D5033*$D$5046</f>
        <v>416.11759850852678</v>
      </c>
      <c r="E5040" s="16">
        <f t="shared" si="1098"/>
        <v>554.82346467803563</v>
      </c>
      <c r="F5040" s="16">
        <f t="shared" si="1098"/>
        <v>416.11759850852678</v>
      </c>
      <c r="G5040" s="16">
        <f t="shared" si="1098"/>
        <v>0</v>
      </c>
      <c r="H5040" s="16">
        <f t="shared" si="1098"/>
        <v>0</v>
      </c>
      <c r="I5040" s="16">
        <f t="shared" si="1098"/>
        <v>0</v>
      </c>
      <c r="J5040" s="16">
        <f t="shared" si="1098"/>
        <v>0</v>
      </c>
      <c r="K5040" s="16">
        <f t="shared" si="1098"/>
        <v>0</v>
      </c>
      <c r="L5040" s="16">
        <f t="shared" si="1098"/>
        <v>0</v>
      </c>
      <c r="M5040" s="16">
        <f t="shared" si="1098"/>
        <v>0</v>
      </c>
    </row>
    <row r="5041" spans="2:13" ht="15" customHeight="1" x14ac:dyDescent="0.2">
      <c r="B5041" s="10" t="s">
        <v>908</v>
      </c>
      <c r="C5041" s="10" t="s">
        <v>110</v>
      </c>
      <c r="D5041" s="16">
        <f t="shared" ref="D5041:M5041" si="1099">D5037-D5039-D5031-D5032-D5040</f>
        <v>-24515.622897513775</v>
      </c>
      <c r="E5041" s="16">
        <f t="shared" si="1099"/>
        <v>-21916.005420836576</v>
      </c>
      <c r="F5041" s="16">
        <f t="shared" si="1099"/>
        <v>-1942.0845549648168</v>
      </c>
      <c r="G5041" s="16">
        <f t="shared" si="1099"/>
        <v>28298.92734253559</v>
      </c>
      <c r="H5041" s="16">
        <f t="shared" si="1099"/>
        <v>4201.3265301893844</v>
      </c>
      <c r="I5041" s="16">
        <f t="shared" si="1099"/>
        <v>-4710.5420234484009</v>
      </c>
      <c r="J5041" s="16">
        <f t="shared" si="1099"/>
        <v>4201.3265301893844</v>
      </c>
      <c r="K5041" s="16">
        <f t="shared" si="1099"/>
        <v>28298.92734253559</v>
      </c>
      <c r="L5041" s="16">
        <f t="shared" si="1099"/>
        <v>4201.3265301893844</v>
      </c>
      <c r="M5041" s="16">
        <f t="shared" si="1099"/>
        <v>-4710.5420234484009</v>
      </c>
    </row>
    <row r="5042" spans="2:13" ht="15" customHeight="1" x14ac:dyDescent="0.2">
      <c r="B5042" s="10" t="s">
        <v>909</v>
      </c>
      <c r="C5042" s="10" t="s">
        <v>110</v>
      </c>
      <c r="D5042" s="16">
        <f>D5041/(Inputs!$D$7+$D$5048)^D5022</f>
        <v>-22901.534690195451</v>
      </c>
      <c r="E5042" s="16">
        <f>E5041/(Inputs!$D$7+$D$5048)^E5022</f>
        <v>-18608.243178282177</v>
      </c>
      <c r="F5042" s="16">
        <f>F5041/(Inputs!$D$7+$D$5048)^F5022</f>
        <v>-1499.1592015862263</v>
      </c>
      <c r="G5042" s="16">
        <f>G5041/(Inputs!$D$7+$D$5048)^G5022</f>
        <v>19860.274234512959</v>
      </c>
      <c r="H5042" s="16">
        <f>H5041/(Inputs!$D$7+$D$5048)^H5022</f>
        <v>2680.6329405018969</v>
      </c>
      <c r="I5042" s="16">
        <f>I5041/(Inputs!$D$7+$D$5048)^I5022</f>
        <v>-2731.7699013046267</v>
      </c>
      <c r="J5042" s="16">
        <f>J5041/(Inputs!$D$7+$D$5048)^J5022</f>
        <v>2215.110094518845</v>
      </c>
      <c r="K5042" s="16">
        <f>K5041/(Inputs!$D$7+$D$5048)^K5022</f>
        <v>13564.834529412576</v>
      </c>
      <c r="L5042" s="16">
        <f>L5041/(Inputs!$D$7+$D$5048)^L5022</f>
        <v>1830.9083672576303</v>
      </c>
      <c r="M5042" s="16">
        <f>M5041/(Inputs!$D$7+$D$5048)^M5022</f>
        <v>-1865.8355995523707</v>
      </c>
    </row>
    <row r="5043" spans="2:13" ht="15" customHeight="1" x14ac:dyDescent="0.2">
      <c r="B5043" s="3" t="s">
        <v>910</v>
      </c>
      <c r="C5043" s="10" t="s">
        <v>896</v>
      </c>
      <c r="D5043" s="28">
        <f>(D5029*$D$5047-D5033)/(Inputs!$D$7+$D$5048)^D5022</f>
        <v>100.89722489537324</v>
      </c>
      <c r="E5043" s="28">
        <f>(E5029*$D$5047-E5033)/(Inputs!$D$7+$D$5048)^E5022</f>
        <v>406.07666459070981</v>
      </c>
      <c r="F5043" s="28">
        <f>(F5029*$D$5047-F5033)/(Inputs!$D$7+$D$5048)^F5022</f>
        <v>624.09627016286015</v>
      </c>
      <c r="G5043" s="28">
        <f>(G5029*$D$5047-G5033)/(Inputs!$D$7+$D$5048)^G5022</f>
        <v>673.73095221439348</v>
      </c>
      <c r="H5043" s="28">
        <f>(H5029*$D$5047-H5033)/(Inputs!$D$7+$D$5048)^H5022</f>
        <v>612.52264121584926</v>
      </c>
      <c r="I5043" s="28">
        <f>(I5029*$D$5047-I5033)/(Inputs!$D$7+$D$5048)^I5022</f>
        <v>556.72979716517079</v>
      </c>
      <c r="J5043" s="28">
        <f>(J5029*$D$5047-J5033)/(Inputs!$D$7+$D$5048)^J5022</f>
        <v>506.15101574650379</v>
      </c>
      <c r="K5043" s="28">
        <f>(K5029*$D$5047-K5033)/(Inputs!$D$7+$D$5048)^K5022</f>
        <v>460.16730565835212</v>
      </c>
      <c r="L5043" s="28">
        <f>(L5029*$D$5047-L5033)/(Inputs!$D$7+$D$5048)^L5022</f>
        <v>418.36120566617655</v>
      </c>
      <c r="M5043" s="28">
        <f>(M5029*$D$5047-M5033)/(Inputs!$D$7+$D$5048)^M5022</f>
        <v>380.25394246647818</v>
      </c>
    </row>
    <row r="5044" spans="2:13" ht="15" customHeight="1" x14ac:dyDescent="0.2">
      <c r="B5044" s="10" t="s">
        <v>911</v>
      </c>
      <c r="C5044" s="10" t="s">
        <v>110</v>
      </c>
      <c r="D5044" s="16">
        <f>(-D5031-D5032)/(Inputs!$D$7+$D$5048)^D5022</f>
        <v>-26115.189891048693</v>
      </c>
      <c r="E5044" s="16">
        <f>(-E5031-E5032)/(Inputs!$D$7+$D$5048)^E5022</f>
        <v>-31648.581113918288</v>
      </c>
      <c r="F5044" s="16">
        <f>(-F5031-F5032)/(Inputs!$D$7+$D$5048)^F5022</f>
        <v>-21579.985783919947</v>
      </c>
      <c r="G5044" s="16">
        <f>(-G5031-G5032)/(Inputs!$D$7+$D$5048)^G5022</f>
        <v>-1851.359915178487</v>
      </c>
      <c r="H5044" s="16">
        <f>(-H5031-H5032)/(Inputs!$D$7+$D$5048)^H5022</f>
        <v>-17058.50395200841</v>
      </c>
      <c r="I5044" s="16">
        <f>(-I5031-I5032)/(Inputs!$D$7+$D$5048)^I5022</f>
        <v>-20672.92821762263</v>
      </c>
      <c r="J5044" s="16">
        <f>(-J5031-J5032)/(Inputs!$D$7+$D$5048)^J5022</f>
        <v>-14096.097876947169</v>
      </c>
      <c r="K5044" s="16">
        <f>(-K5031-K5032)/(Inputs!$D$7+$D$5048)^K5022</f>
        <v>-1264.5037327904422</v>
      </c>
      <c r="L5044" s="16">
        <f>(-L5031-L5032)/(Inputs!$D$7+$D$5048)^L5022</f>
        <v>-11651.187727619976</v>
      </c>
      <c r="M5044" s="16">
        <f>(-M5031-M5032)/(Inputs!$D$7+$D$5048)^M5022</f>
        <v>-14119.888134432502</v>
      </c>
    </row>
    <row r="5045" spans="2:13" ht="15" customHeight="1" x14ac:dyDescent="0.2">
      <c r="B5045" s="10" t="s">
        <v>912</v>
      </c>
      <c r="C5045" s="10" t="s">
        <v>110</v>
      </c>
      <c r="D5045" s="16">
        <f>Prices!I9</f>
        <v>21850</v>
      </c>
    </row>
    <row r="5046" spans="2:13" ht="15" customHeight="1" x14ac:dyDescent="0.2">
      <c r="B5046" s="3" t="s">
        <v>913</v>
      </c>
      <c r="C5046" s="10" t="s">
        <v>914</v>
      </c>
      <c r="D5046" s="28">
        <f>IF(J5053&gt;=J5049,J5053,(D5045-J5052)/J5051)</f>
        <v>35.702925654957248</v>
      </c>
      <c r="G5046" s="99" t="s">
        <v>915</v>
      </c>
      <c r="H5046" s="91"/>
      <c r="I5046" s="91"/>
      <c r="J5046" s="28">
        <f>D5046*Inputs!$D$15</f>
        <v>24.917071814594664</v>
      </c>
      <c r="K5046" s="99" t="s">
        <v>916</v>
      </c>
      <c r="L5046" s="91"/>
      <c r="M5046" s="91"/>
    </row>
    <row r="5047" spans="2:13" ht="15" customHeight="1" x14ac:dyDescent="0.2">
      <c r="B5047" s="10" t="s">
        <v>917</v>
      </c>
      <c r="C5047" s="10" t="s">
        <v>104</v>
      </c>
      <c r="D5047" s="30">
        <f>Inputs!$D$81</f>
        <v>0.6</v>
      </c>
      <c r="G5047" s="99" t="s">
        <v>918</v>
      </c>
      <c r="H5047" s="91"/>
      <c r="I5047" s="91"/>
      <c r="J5047" s="28">
        <f>IF(-D5058/D5057&gt;=J5049,-D5058/D5057,-J5052/J5051)</f>
        <v>32.55444198319757</v>
      </c>
      <c r="K5047" s="99" t="s">
        <v>919</v>
      </c>
      <c r="L5047" s="91"/>
      <c r="M5047" s="91"/>
    </row>
    <row r="5048" spans="2:13" ht="15" customHeight="1" x14ac:dyDescent="0.2">
      <c r="B5048" s="10" t="s">
        <v>920</v>
      </c>
      <c r="C5048" s="10" t="s">
        <v>104</v>
      </c>
      <c r="D5048" s="30">
        <f>Inputs!$D$82</f>
        <v>0.1</v>
      </c>
      <c r="G5048" s="99" t="s">
        <v>918</v>
      </c>
      <c r="H5048" s="91"/>
      <c r="I5048" s="91"/>
      <c r="J5048" s="28">
        <f>J5047*Inputs!$D$15</f>
        <v>22.719745060073585</v>
      </c>
      <c r="K5048" s="99" t="s">
        <v>916</v>
      </c>
      <c r="L5048" s="91"/>
      <c r="M5048" s="91"/>
    </row>
    <row r="5049" spans="2:13" ht="15" customHeight="1" x14ac:dyDescent="0.2">
      <c r="B5049" s="3" t="s">
        <v>921</v>
      </c>
      <c r="C5049" s="10" t="s">
        <v>848</v>
      </c>
      <c r="D5049" s="28">
        <f>Capital!$D$13</f>
        <v>57.347931490590682</v>
      </c>
      <c r="G5049" s="99" t="s">
        <v>922</v>
      </c>
      <c r="H5049" s="91"/>
      <c r="I5049" s="91"/>
      <c r="J5049" s="28">
        <f>($D$5049/Inputs!$D$21+$D$5050/Inputs!$D$22)/$D$5047</f>
        <v>24.113076913095469</v>
      </c>
      <c r="K5049" s="99" t="s">
        <v>919</v>
      </c>
      <c r="L5049" s="91"/>
      <c r="M5049" s="91"/>
    </row>
    <row r="5050" spans="2:13" ht="15" customHeight="1" x14ac:dyDescent="0.2">
      <c r="B5050" s="3" t="s">
        <v>923</v>
      </c>
      <c r="C5050" s="10" t="s">
        <v>848</v>
      </c>
      <c r="D5050" s="28">
        <f>Capital!$D$14</f>
        <v>2.6172655041921802</v>
      </c>
    </row>
    <row r="5051" spans="2:13" ht="15" customHeight="1" x14ac:dyDescent="0.2">
      <c r="B5051" s="10" t="s">
        <v>924</v>
      </c>
      <c r="C5051" s="10" t="s">
        <v>896</v>
      </c>
      <c r="D5051" s="28">
        <f>(M5024*(Inputs!$D$7+Inputs!$D$20)*$D$5047*(Inputs!$D$7-Inputs!$D$19)-M5024*Inputs!$D$20*Inputs!$D$23)/($D$5048-Inputs!$D$20)/(Inputs!$D$7+$D$5048)^M5022</f>
        <v>3632.4814115061608</v>
      </c>
      <c r="G5051" s="92" t="s">
        <v>910</v>
      </c>
      <c r="H5051" s="91"/>
      <c r="I5051" s="91"/>
      <c r="J5051" s="28">
        <f>SUM(D5043:M5043)+(M5024*(Inputs!$D$7+Inputs!$D$20)*$D$5047-M5024*Inputs!$D$20*Inputs!$D$23)/($D$5048-Inputs!$D$20)/(Inputs!$D$7+$D$5048)^M5022</f>
        <v>9930.5095954005883</v>
      </c>
      <c r="K5051" s="99" t="s">
        <v>896</v>
      </c>
      <c r="L5051" s="91"/>
      <c r="M5051" s="91"/>
    </row>
    <row r="5052" spans="2:13" ht="15" customHeight="1" x14ac:dyDescent="0.2">
      <c r="B5052" s="10" t="s">
        <v>925</v>
      </c>
      <c r="C5052" s="10" t="s">
        <v>110</v>
      </c>
      <c r="D5052" s="16">
        <f>(D5055*Inputs!$D$19-D5055-D5056)/($D$5048-Inputs!$D$20)/(Inputs!$D$7+$D$5048)^M5022</f>
        <v>-100385.43137330168</v>
      </c>
      <c r="G5052" s="92" t="s">
        <v>926</v>
      </c>
      <c r="H5052" s="91"/>
      <c r="I5052" s="91"/>
      <c r="J5052" s="16">
        <f>SUM(D5044:M5044)-(D5055+D5056)/($D$5048-Inputs!$D$20)/(Inputs!$D$7+$D$5048)^M5022</f>
        <v>-298036.93721971626</v>
      </c>
      <c r="K5052" s="99" t="s">
        <v>110</v>
      </c>
      <c r="L5052" s="91"/>
      <c r="M5052" s="91"/>
    </row>
    <row r="5053" spans="2:13" ht="15" customHeight="1" x14ac:dyDescent="0.2">
      <c r="B5053" s="10" t="s">
        <v>927</v>
      </c>
      <c r="C5053" s="10" t="s">
        <v>928</v>
      </c>
      <c r="D5053" s="16">
        <f>(M5024*(Inputs!$D$7+Inputs!$D$20)*$D$5046*$D$5047-D5055)-MAX((M5024*(Inputs!$D$7+Inputs!$D$20)*$D$5046*$D$5047-D5055),Inputs!$D$6)*Inputs!$D$19-D5056-M5024*Inputs!$D$20*$D$5046*Inputs!$D$23</f>
        <v>5548.7770079481234</v>
      </c>
      <c r="G5053" s="99" t="s">
        <v>929</v>
      </c>
      <c r="H5053" s="91"/>
      <c r="I5053" s="91"/>
      <c r="J5053" s="28">
        <f>(D5045-D5058)/D5057</f>
        <v>35.702925654957248</v>
      </c>
      <c r="K5053" s="99" t="s">
        <v>919</v>
      </c>
      <c r="L5053" s="91"/>
      <c r="M5053" s="91"/>
    </row>
    <row r="5054" spans="2:13" ht="15" customHeight="1" x14ac:dyDescent="0.2">
      <c r="B5054" s="10" t="s">
        <v>930</v>
      </c>
      <c r="C5054" s="10" t="s">
        <v>110</v>
      </c>
      <c r="D5054" s="16">
        <f>D5053/($D$5048-Inputs!$D$20)</f>
        <v>73983.693439308307</v>
      </c>
      <c r="G5054" s="99" t="s">
        <v>931</v>
      </c>
      <c r="H5054" s="91"/>
      <c r="I5054" s="91"/>
      <c r="J5054" s="16">
        <f>MIN(D5038:M5038,(M5024*(Inputs!$D$7+Inputs!$D$20)*$D$5046*$D$5047-D5055))</f>
        <v>1386.8808058904237</v>
      </c>
      <c r="K5054" s="99" t="s">
        <v>110</v>
      </c>
      <c r="L5054" s="91"/>
      <c r="M5054" s="91"/>
    </row>
    <row r="5055" spans="2:13" ht="15" customHeight="1" x14ac:dyDescent="0.2">
      <c r="B5055" s="10" t="s">
        <v>932</v>
      </c>
      <c r="C5055" s="10" t="s">
        <v>928</v>
      </c>
      <c r="D5055" s="16">
        <f>M5024*(Inputs!$D$7+Inputs!$D$20)*($D$5049/Inputs!$D$21+$D$5050/Inputs!$D$22)</f>
        <v>23727.267682485937</v>
      </c>
      <c r="G5055" s="99" t="s">
        <v>933</v>
      </c>
      <c r="H5055" s="91"/>
      <c r="I5055" s="91"/>
      <c r="J5055" s="31" t="str">
        <f>IF(J5054&lt;Inputs!$D$6,"breached","satisfied")</f>
        <v>satisfied</v>
      </c>
      <c r="K5055" s="99" t="s">
        <v>934</v>
      </c>
      <c r="L5055" s="91"/>
      <c r="M5055" s="91"/>
    </row>
    <row r="5056" spans="2:13" ht="15" customHeight="1" x14ac:dyDescent="0.2">
      <c r="B5056" s="10" t="s">
        <v>935</v>
      </c>
      <c r="C5056" s="10" t="s">
        <v>928</v>
      </c>
      <c r="D5056" s="16">
        <f>M5024*Inputs!$D$20*($D$5049+$D$5050)</f>
        <v>2398.6078797913146</v>
      </c>
    </row>
    <row r="5057" spans="1:13" ht="15" customHeight="1" x14ac:dyDescent="0.2">
      <c r="B5057" s="10" t="s">
        <v>936</v>
      </c>
      <c r="C5057" s="10" t="s">
        <v>896</v>
      </c>
      <c r="D5057" s="28">
        <f>SUM(D5034:M5034)+D5051</f>
        <v>6939.8485994968105</v>
      </c>
      <c r="G5057" s="99" t="s">
        <v>937</v>
      </c>
      <c r="H5057" s="91"/>
      <c r="I5057" s="91"/>
      <c r="J5057" s="16">
        <f>D5059-D5045</f>
        <v>3.637978807091713E-11</v>
      </c>
      <c r="K5057" s="99" t="s">
        <v>110</v>
      </c>
      <c r="L5057" s="91"/>
      <c r="M5057" s="91"/>
    </row>
    <row r="5058" spans="1:13" ht="15" customHeight="1" x14ac:dyDescent="0.2">
      <c r="B5058" s="10" t="s">
        <v>938</v>
      </c>
      <c r="C5058" s="10" t="s">
        <v>110</v>
      </c>
      <c r="D5058" s="16">
        <f>SUM(D5035:M5035)+D5052</f>
        <v>-225922.89860449382</v>
      </c>
    </row>
    <row r="5059" spans="1:13" ht="15" customHeight="1" x14ac:dyDescent="0.2">
      <c r="B5059" s="10" t="s">
        <v>939</v>
      </c>
      <c r="C5059" s="10" t="s">
        <v>110</v>
      </c>
      <c r="D5059" s="16">
        <f>SUM(D5042:M5042)+D5054/(Inputs!$D$7+$D$5048)^M5022</f>
        <v>21850.000000000036</v>
      </c>
    </row>
    <row r="5060" spans="1:13" ht="15" customHeight="1" x14ac:dyDescent="0.2">
      <c r="B5060" s="10" t="s">
        <v>940</v>
      </c>
      <c r="C5060" s="10" t="s">
        <v>104</v>
      </c>
      <c r="D5060" s="30">
        <f>IF(ABS(D5045)&gt;Inputs!$D$6,D5059/D5045-Inputs!$D$7,Inputs!$D$6)</f>
        <v>1.5543122344752192E-15</v>
      </c>
    </row>
    <row r="5061" spans="1:13" ht="15" customHeight="1" x14ac:dyDescent="0.2">
      <c r="B5061" s="10" t="s">
        <v>941</v>
      </c>
      <c r="C5061" s="10" t="s">
        <v>104</v>
      </c>
      <c r="D5061" s="30">
        <f>IF(ABS(D5059)&gt;Inputs!$D$119,D5054/(Inputs!$D$7+$D$5048)^M5022/D5059,Inputs!$D$6)</f>
        <v>1.3411799727559235</v>
      </c>
    </row>
    <row r="5062" spans="1:13" ht="15" customHeight="1" x14ac:dyDescent="0.2">
      <c r="B5062" s="10" t="s">
        <v>942</v>
      </c>
      <c r="C5062" s="10" t="s">
        <v>943</v>
      </c>
      <c r="D5062" s="26">
        <f>$D$5046*Inputs!$D$8/Prices!$P$6/(Inputs!$D$26/Inputs!$D$25)/Inputs!$D$11/Inputs!$D$56</f>
        <v>6.4926854787880677</v>
      </c>
    </row>
    <row r="5066" spans="1:13" ht="15" customHeight="1" x14ac:dyDescent="0.2">
      <c r="A5066" s="104" t="s">
        <v>1053</v>
      </c>
      <c r="B5066" s="10" t="s">
        <v>886</v>
      </c>
      <c r="C5066" s="10" t="s">
        <v>107</v>
      </c>
      <c r="D5066" s="28">
        <f>Inputs!$D$60</f>
        <v>1</v>
      </c>
      <c r="E5066" s="28">
        <f>Inputs!$D$62</f>
        <v>2</v>
      </c>
      <c r="F5066" s="28">
        <f>Inputs!$D$64</f>
        <v>3</v>
      </c>
      <c r="G5066" s="28">
        <f>Inputs!$D$66</f>
        <v>4</v>
      </c>
      <c r="H5066" s="28">
        <f>Inputs!$D$68</f>
        <v>5</v>
      </c>
      <c r="I5066" s="28">
        <f>Inputs!$D$70</f>
        <v>6</v>
      </c>
      <c r="J5066" s="28">
        <f>Inputs!$D$72</f>
        <v>7</v>
      </c>
      <c r="K5066" s="28">
        <f>Inputs!$D$74</f>
        <v>8</v>
      </c>
      <c r="L5066" s="28">
        <f>Inputs!$D$76</f>
        <v>9</v>
      </c>
      <c r="M5066" s="28">
        <f>Inputs!$D$78</f>
        <v>10</v>
      </c>
    </row>
    <row r="5067" spans="1:13" ht="15" customHeight="1" x14ac:dyDescent="0.2">
      <c r="A5067" s="91"/>
      <c r="B5067" s="10" t="s">
        <v>887</v>
      </c>
      <c r="C5067" s="10" t="s">
        <v>161</v>
      </c>
      <c r="D5067" s="29">
        <f>Inputs!$D$61</f>
        <v>46568</v>
      </c>
      <c r="E5067" s="29">
        <f>Inputs!$D$63</f>
        <v>46934</v>
      </c>
      <c r="F5067" s="29">
        <f>Inputs!$D$65</f>
        <v>47299</v>
      </c>
      <c r="G5067" s="29">
        <f>Inputs!$D$67</f>
        <v>47664</v>
      </c>
      <c r="H5067" s="29">
        <f>Inputs!$D$69</f>
        <v>48029</v>
      </c>
      <c r="I5067" s="29">
        <f>Inputs!$D$71</f>
        <v>48395</v>
      </c>
      <c r="J5067" s="29">
        <f>Inputs!$D$73</f>
        <v>48760</v>
      </c>
      <c r="K5067" s="29">
        <f>Inputs!$D$75</f>
        <v>49125</v>
      </c>
      <c r="L5067" s="29">
        <f>Inputs!$D$77</f>
        <v>49490</v>
      </c>
      <c r="M5067" s="29">
        <f>Inputs!$D$79</f>
        <v>49856</v>
      </c>
    </row>
    <row r="5068" spans="1:13" ht="15" customHeight="1" x14ac:dyDescent="0.2">
      <c r="A5068" s="91"/>
      <c r="B5068" s="10" t="s">
        <v>888</v>
      </c>
      <c r="C5068" s="10" t="s">
        <v>107</v>
      </c>
      <c r="D5068" s="28">
        <f>(D5067-Inputs!$D$13)/Inputs!$D$10</f>
        <v>0.71457905544147848</v>
      </c>
      <c r="E5068" s="28">
        <f>(E5067-Inputs!$D$13)/Inputs!$D$10</f>
        <v>1.7166324435318274</v>
      </c>
      <c r="F5068" s="28">
        <f>(F5067-Inputs!$D$13)/Inputs!$D$10</f>
        <v>2.7159479808350446</v>
      </c>
      <c r="G5068" s="28">
        <f>(G5067-Inputs!$D$13)/Inputs!$D$10</f>
        <v>3.7152635181382614</v>
      </c>
      <c r="H5068" s="28">
        <f>(H5067-Inputs!$D$13)/Inputs!$D$10</f>
        <v>4.7145790554414786</v>
      </c>
      <c r="I5068" s="28">
        <f>(I5067-Inputs!$D$13)/Inputs!$D$10</f>
        <v>5.7166324435318279</v>
      </c>
      <c r="J5068" s="28">
        <f>(J5067-Inputs!$D$13)/Inputs!$D$10</f>
        <v>6.7159479808350442</v>
      </c>
      <c r="K5068" s="28">
        <f>(K5067-Inputs!$D$13)/Inputs!$D$10</f>
        <v>7.7152635181382614</v>
      </c>
      <c r="L5068" s="28">
        <f>(L5067-Inputs!$D$13)/Inputs!$D$10</f>
        <v>8.7145790554414777</v>
      </c>
      <c r="M5068" s="28">
        <f>(M5067-Inputs!$D$13)/Inputs!$D$10</f>
        <v>9.716632443531827</v>
      </c>
    </row>
    <row r="5069" spans="1:13" ht="15" customHeight="1" x14ac:dyDescent="0.2">
      <c r="A5069" s="91"/>
      <c r="B5069" s="10" t="s">
        <v>889</v>
      </c>
      <c r="C5069" s="10" t="s">
        <v>107</v>
      </c>
      <c r="D5069" s="28">
        <f>D5068</f>
        <v>0.71457905544147848</v>
      </c>
      <c r="E5069" s="28">
        <f>Inputs!$D$7</f>
        <v>1</v>
      </c>
      <c r="F5069" s="28">
        <f>Inputs!$D$7</f>
        <v>1</v>
      </c>
      <c r="G5069" s="28">
        <f>Inputs!$D$7</f>
        <v>1</v>
      </c>
      <c r="H5069" s="28">
        <f>Inputs!$D$7</f>
        <v>1</v>
      </c>
      <c r="I5069" s="28">
        <f>Inputs!$D$7</f>
        <v>1</v>
      </c>
      <c r="J5069" s="28">
        <f>Inputs!$D$7</f>
        <v>1</v>
      </c>
      <c r="K5069" s="28">
        <f>Inputs!$D$7</f>
        <v>1</v>
      </c>
      <c r="L5069" s="28">
        <f>Inputs!$D$7</f>
        <v>1</v>
      </c>
      <c r="M5069" s="28">
        <f>Inputs!$D$7</f>
        <v>1</v>
      </c>
    </row>
    <row r="5070" spans="1:13" ht="15" customHeight="1" x14ac:dyDescent="0.2">
      <c r="A5070" s="91"/>
      <c r="B5070" s="3" t="s">
        <v>890</v>
      </c>
      <c r="C5070" s="10" t="s">
        <v>199</v>
      </c>
      <c r="D5070" s="28">
        <f>Inputs!$D$24+(Inputs!$D$80-Inputs!$D$24)*Inputs!$D$109</f>
        <v>115.2</v>
      </c>
      <c r="E5070" s="28">
        <f>Inputs!$D$24+(Inputs!$D$80-Inputs!$D$24)*Inputs!$D$110</f>
        <v>288.20000000000005</v>
      </c>
      <c r="F5070" s="28">
        <f>Inputs!$D$24+(Inputs!$D$80-Inputs!$D$24)*Inputs!$D$111</f>
        <v>478.5</v>
      </c>
      <c r="G5070" s="28">
        <f>Inputs!$D$24+(Inputs!$D$80-Inputs!$D$24)*Inputs!$D$112</f>
        <v>694.75</v>
      </c>
      <c r="H5070" s="28">
        <f>Inputs!$D$24+(Inputs!$D$80-Inputs!$D$24)*Inputs!$D$113</f>
        <v>911</v>
      </c>
      <c r="I5070" s="28">
        <f>Inputs!$D$24+(Inputs!$D$80-Inputs!$D$24)*Inputs!$D$114</f>
        <v>911</v>
      </c>
      <c r="J5070" s="28">
        <f>Inputs!$D$24+(Inputs!$D$80-Inputs!$D$24)*Inputs!$D$115</f>
        <v>911</v>
      </c>
      <c r="K5070" s="28">
        <f>Inputs!$D$24+(Inputs!$D$80-Inputs!$D$24)*Inputs!$D$116</f>
        <v>911</v>
      </c>
      <c r="L5070" s="28">
        <f>Inputs!$D$24+(Inputs!$D$80-Inputs!$D$24)*Inputs!$D$117</f>
        <v>911</v>
      </c>
      <c r="M5070" s="28">
        <f>Inputs!$D$24+(Inputs!$D$80-Inputs!$D$24)*Inputs!$D$118</f>
        <v>911</v>
      </c>
    </row>
    <row r="5071" spans="1:13" ht="15" customHeight="1" x14ac:dyDescent="0.2">
      <c r="A5071" s="91"/>
      <c r="B5071" s="10" t="s">
        <v>891</v>
      </c>
      <c r="C5071" s="10" t="s">
        <v>199</v>
      </c>
      <c r="D5071" s="28">
        <f>Inputs!$D$24</f>
        <v>46</v>
      </c>
      <c r="E5071" s="28">
        <f t="shared" ref="E5071:M5071" si="1100">D5070</f>
        <v>115.2</v>
      </c>
      <c r="F5071" s="28">
        <f t="shared" si="1100"/>
        <v>288.20000000000005</v>
      </c>
      <c r="G5071" s="28">
        <f t="shared" si="1100"/>
        <v>478.5</v>
      </c>
      <c r="H5071" s="28">
        <f t="shared" si="1100"/>
        <v>694.75</v>
      </c>
      <c r="I5071" s="28">
        <f t="shared" si="1100"/>
        <v>911</v>
      </c>
      <c r="J5071" s="28">
        <f t="shared" si="1100"/>
        <v>911</v>
      </c>
      <c r="K5071" s="28">
        <f t="shared" si="1100"/>
        <v>911</v>
      </c>
      <c r="L5071" s="28">
        <f t="shared" si="1100"/>
        <v>911</v>
      </c>
      <c r="M5071" s="28">
        <f t="shared" si="1100"/>
        <v>911</v>
      </c>
    </row>
    <row r="5072" spans="1:13" ht="15" customHeight="1" x14ac:dyDescent="0.2">
      <c r="B5072" s="10" t="s">
        <v>892</v>
      </c>
      <c r="C5072" s="10" t="s">
        <v>199</v>
      </c>
      <c r="D5072" s="28">
        <f>(D5071+D5070)*Inputs!$D$12</f>
        <v>80.599999999999994</v>
      </c>
      <c r="E5072" s="28">
        <f>(E5071+E5070)*Inputs!$D$12</f>
        <v>201.70000000000002</v>
      </c>
      <c r="F5072" s="28">
        <f>(F5071+F5070)*Inputs!$D$12</f>
        <v>383.35</v>
      </c>
      <c r="G5072" s="28">
        <f>(G5071+G5070)*Inputs!$D$12</f>
        <v>586.625</v>
      </c>
      <c r="H5072" s="28">
        <f>(H5071+H5070)*Inputs!$D$12</f>
        <v>802.875</v>
      </c>
      <c r="I5072" s="28">
        <f>(I5071+I5070)*Inputs!$D$12</f>
        <v>911</v>
      </c>
      <c r="J5072" s="28">
        <f>(J5071+J5070)*Inputs!$D$12</f>
        <v>911</v>
      </c>
      <c r="K5072" s="28">
        <f>(K5071+K5070)*Inputs!$D$12</f>
        <v>911</v>
      </c>
      <c r="L5072" s="28">
        <f>(L5071+L5070)*Inputs!$D$12</f>
        <v>911</v>
      </c>
      <c r="M5072" s="28">
        <f>(M5071+M5070)*Inputs!$D$12</f>
        <v>911</v>
      </c>
    </row>
    <row r="5073" spans="2:13" ht="15" customHeight="1" x14ac:dyDescent="0.2">
      <c r="B5073" s="10" t="s">
        <v>893</v>
      </c>
      <c r="C5073" s="10" t="s">
        <v>199</v>
      </c>
      <c r="D5073" s="28">
        <f t="shared" ref="D5073:M5073" si="1101">D5070-D5071</f>
        <v>69.2</v>
      </c>
      <c r="E5073" s="28">
        <f t="shared" si="1101"/>
        <v>173.00000000000006</v>
      </c>
      <c r="F5073" s="28">
        <f t="shared" si="1101"/>
        <v>190.29999999999995</v>
      </c>
      <c r="G5073" s="28">
        <f t="shared" si="1101"/>
        <v>216.25</v>
      </c>
      <c r="H5073" s="28">
        <f t="shared" si="1101"/>
        <v>216.25</v>
      </c>
      <c r="I5073" s="28">
        <f t="shared" si="1101"/>
        <v>0</v>
      </c>
      <c r="J5073" s="28">
        <f t="shared" si="1101"/>
        <v>0</v>
      </c>
      <c r="K5073" s="28">
        <f t="shared" si="1101"/>
        <v>0</v>
      </c>
      <c r="L5073" s="28">
        <f t="shared" si="1101"/>
        <v>0</v>
      </c>
      <c r="M5073" s="28">
        <f t="shared" si="1101"/>
        <v>0</v>
      </c>
    </row>
    <row r="5074" spans="2:13" ht="15" customHeight="1" x14ac:dyDescent="0.2">
      <c r="B5074" s="10" t="s">
        <v>894</v>
      </c>
      <c r="C5074" s="10" t="s">
        <v>199</v>
      </c>
      <c r="D5074" s="28">
        <f>IF(MOD(D5066,Inputs!$D$21)=Inputs!$D$6,Inputs!$D$24,Inputs!$D$6)+SUMPRODUCT(--(D5066&gt;$D$5066:$M$5066),--(MOD(D5066-$D$5066:$M$5066,Inputs!$D$21)=Inputs!$D$6),$D$5073:$M$5073)</f>
        <v>0</v>
      </c>
      <c r="E5074" s="28">
        <f>IF(MOD(E5066,Inputs!$D$21)=Inputs!$D$6,Inputs!$D$24,Inputs!$D$6)+SUMPRODUCT(--(E5066&gt;$D$5066:$M$5066),--(MOD(E5066-$D$5066:$M$5066,Inputs!$D$21)=Inputs!$D$6),$D$5073:$M$5073)</f>
        <v>0</v>
      </c>
      <c r="F5074" s="28">
        <f>IF(MOD(F5066,Inputs!$D$21)=Inputs!$D$6,Inputs!$D$24,Inputs!$D$6)+SUMPRODUCT(--(F5066&gt;$D$5066:$M$5066),--(MOD(F5066-$D$5066:$M$5066,Inputs!$D$21)=Inputs!$D$6),$D$5073:$M$5073)</f>
        <v>0</v>
      </c>
      <c r="G5074" s="28">
        <f>IF(MOD(G5066,Inputs!$D$21)=Inputs!$D$6,Inputs!$D$24,Inputs!$D$6)+SUMPRODUCT(--(G5066&gt;$D$5066:$M$5066),--(MOD(G5066-$D$5066:$M$5066,Inputs!$D$21)=Inputs!$D$6),$D$5073:$M$5073)</f>
        <v>46</v>
      </c>
      <c r="H5074" s="28">
        <f>IF(MOD(H5066,Inputs!$D$21)=Inputs!$D$6,Inputs!$D$24,Inputs!$D$6)+SUMPRODUCT(--(H5066&gt;$D$5066:$M$5066),--(MOD(H5066-$D$5066:$M$5066,Inputs!$D$21)=Inputs!$D$6),$D$5073:$M$5073)</f>
        <v>69.2</v>
      </c>
      <c r="I5074" s="28">
        <f>IF(MOD(I5066,Inputs!$D$21)=Inputs!$D$6,Inputs!$D$24,Inputs!$D$6)+SUMPRODUCT(--(I5066&gt;$D$5066:$M$5066),--(MOD(I5066-$D$5066:$M$5066,Inputs!$D$21)=Inputs!$D$6),$D$5073:$M$5073)</f>
        <v>173.00000000000006</v>
      </c>
      <c r="J5074" s="28">
        <f>IF(MOD(J5066,Inputs!$D$21)=Inputs!$D$6,Inputs!$D$24,Inputs!$D$6)+SUMPRODUCT(--(J5066&gt;$D$5066:$M$5066),--(MOD(J5066-$D$5066:$M$5066,Inputs!$D$21)=Inputs!$D$6),$D$5073:$M$5073)</f>
        <v>190.29999999999995</v>
      </c>
      <c r="K5074" s="28">
        <f>IF(MOD(K5066,Inputs!$D$21)=Inputs!$D$6,Inputs!$D$24,Inputs!$D$6)+SUMPRODUCT(--(K5066&gt;$D$5066:$M$5066),--(MOD(K5066-$D$5066:$M$5066,Inputs!$D$21)=Inputs!$D$6),$D$5073:$M$5073)</f>
        <v>262.25</v>
      </c>
      <c r="L5074" s="28">
        <f>IF(MOD(L5066,Inputs!$D$21)=Inputs!$D$6,Inputs!$D$24,Inputs!$D$6)+SUMPRODUCT(--(L5066&gt;$D$5066:$M$5066),--(MOD(L5066-$D$5066:$M$5066,Inputs!$D$21)=Inputs!$D$6),$D$5073:$M$5073)</f>
        <v>285.45</v>
      </c>
      <c r="M5074" s="28">
        <f>IF(MOD(M5066,Inputs!$D$21)=Inputs!$D$6,Inputs!$D$24,Inputs!$D$6)+SUMPRODUCT(--(M5066&gt;$D$5066:$M$5066),--(MOD(M5066-$D$5066:$M$5066,Inputs!$D$21)=Inputs!$D$6),$D$5073:$M$5073)</f>
        <v>173.00000000000006</v>
      </c>
    </row>
    <row r="5075" spans="2:13" ht="15" customHeight="1" x14ac:dyDescent="0.2">
      <c r="B5075" s="10" t="s">
        <v>895</v>
      </c>
      <c r="C5075" s="10" t="s">
        <v>896</v>
      </c>
      <c r="D5075" s="28">
        <f t="shared" ref="D5075:M5075" si="1102">D5072*D5069</f>
        <v>57.595071868583162</v>
      </c>
      <c r="E5075" s="28">
        <f t="shared" si="1102"/>
        <v>201.70000000000002</v>
      </c>
      <c r="F5075" s="28">
        <f t="shared" si="1102"/>
        <v>383.35</v>
      </c>
      <c r="G5075" s="28">
        <f t="shared" si="1102"/>
        <v>586.625</v>
      </c>
      <c r="H5075" s="28">
        <f t="shared" si="1102"/>
        <v>802.875</v>
      </c>
      <c r="I5075" s="28">
        <f t="shared" si="1102"/>
        <v>911</v>
      </c>
      <c r="J5075" s="28">
        <f t="shared" si="1102"/>
        <v>911</v>
      </c>
      <c r="K5075" s="28">
        <f t="shared" si="1102"/>
        <v>911</v>
      </c>
      <c r="L5075" s="28">
        <f t="shared" si="1102"/>
        <v>911</v>
      </c>
      <c r="M5075" s="28">
        <f t="shared" si="1102"/>
        <v>911</v>
      </c>
    </row>
    <row r="5076" spans="2:13" ht="15" customHeight="1" x14ac:dyDescent="0.2">
      <c r="B5076" s="10" t="s">
        <v>897</v>
      </c>
      <c r="C5076" s="10" t="s">
        <v>110</v>
      </c>
      <c r="D5076" s="16">
        <f>D5075*($D$5095/Inputs!$D$21+$D$5096/Inputs!$D$22)</f>
        <v>833.27663866944408</v>
      </c>
      <c r="E5076" s="16">
        <f>E5075*($D$5095/Inputs!$D$21+$D$5096/Inputs!$D$22)</f>
        <v>2918.1645680228135</v>
      </c>
      <c r="F5076" s="16">
        <f>F5075*($D$5095/Inputs!$D$21+$D$5096/Inputs!$D$22)</f>
        <v>5546.2488207810884</v>
      </c>
      <c r="G5076" s="16">
        <f>G5075*($D$5095/Inputs!$D$21+$D$5096/Inputs!$D$22)</f>
        <v>8487.2002464867765</v>
      </c>
      <c r="H5076" s="16">
        <f>H5075*($D$5095/Inputs!$D$21+$D$5096/Inputs!$D$22)</f>
        <v>11615.871975960914</v>
      </c>
      <c r="I5076" s="16">
        <f>I5075*($D$5095/Inputs!$D$21+$D$5096/Inputs!$D$22)</f>
        <v>13180.207840697982</v>
      </c>
      <c r="J5076" s="16">
        <f>J5075*($D$5095/Inputs!$D$21+$D$5096/Inputs!$D$22)</f>
        <v>13180.207840697982</v>
      </c>
      <c r="K5076" s="16">
        <f>K5075*($D$5095/Inputs!$D$21+$D$5096/Inputs!$D$22)</f>
        <v>13180.207840697982</v>
      </c>
      <c r="L5076" s="16">
        <f>L5075*($D$5095/Inputs!$D$21+$D$5096/Inputs!$D$22)</f>
        <v>13180.207840697982</v>
      </c>
      <c r="M5076" s="16">
        <f>M5075*($D$5095/Inputs!$D$21+$D$5096/Inputs!$D$22)</f>
        <v>13180.207840697982</v>
      </c>
    </row>
    <row r="5077" spans="2:13" ht="15" customHeight="1" x14ac:dyDescent="0.2">
      <c r="B5077" s="10" t="s">
        <v>898</v>
      </c>
      <c r="C5077" s="10" t="s">
        <v>110</v>
      </c>
      <c r="D5077" s="16">
        <f t="shared" ref="D5077:M5077" si="1103">D5073*($D$5095+$D$5096)</f>
        <v>4149.5916320389742</v>
      </c>
      <c r="E5077" s="16">
        <f t="shared" si="1103"/>
        <v>10373.979080097439</v>
      </c>
      <c r="F5077" s="16">
        <f t="shared" si="1103"/>
        <v>11411.376988107177</v>
      </c>
      <c r="G5077" s="16">
        <f t="shared" si="1103"/>
        <v>12967.473850121794</v>
      </c>
      <c r="H5077" s="16">
        <f t="shared" si="1103"/>
        <v>12967.473850121794</v>
      </c>
      <c r="I5077" s="16">
        <f t="shared" si="1103"/>
        <v>0</v>
      </c>
      <c r="J5077" s="16">
        <f t="shared" si="1103"/>
        <v>0</v>
      </c>
      <c r="K5077" s="16">
        <f t="shared" si="1103"/>
        <v>0</v>
      </c>
      <c r="L5077" s="16">
        <f t="shared" si="1103"/>
        <v>0</v>
      </c>
      <c r="M5077" s="16">
        <f t="shared" si="1103"/>
        <v>0</v>
      </c>
    </row>
    <row r="5078" spans="2:13" ht="15" customHeight="1" x14ac:dyDescent="0.2">
      <c r="B5078" s="10" t="s">
        <v>899</v>
      </c>
      <c r="C5078" s="10" t="s">
        <v>110</v>
      </c>
      <c r="D5078" s="16">
        <f t="shared" ref="D5078:M5078" si="1104">D5074*$D$5095</f>
        <v>0</v>
      </c>
      <c r="E5078" s="16">
        <f t="shared" si="1104"/>
        <v>0</v>
      </c>
      <c r="F5078" s="16">
        <f t="shared" si="1104"/>
        <v>0</v>
      </c>
      <c r="G5078" s="16">
        <f t="shared" si="1104"/>
        <v>2638.0048485671714</v>
      </c>
      <c r="H5078" s="16">
        <f t="shared" si="1104"/>
        <v>3968.4768591488755</v>
      </c>
      <c r="I5078" s="16">
        <f t="shared" si="1104"/>
        <v>9921.1921478721906</v>
      </c>
      <c r="J5078" s="16">
        <f t="shared" si="1104"/>
        <v>10913.311362659404</v>
      </c>
      <c r="K5078" s="16">
        <f t="shared" si="1104"/>
        <v>15039.495033407406</v>
      </c>
      <c r="L5078" s="16">
        <f t="shared" si="1104"/>
        <v>16369.967043989109</v>
      </c>
      <c r="M5078" s="16">
        <f t="shared" si="1104"/>
        <v>9921.1921478721906</v>
      </c>
    </row>
    <row r="5079" spans="2:13" ht="15" customHeight="1" x14ac:dyDescent="0.2">
      <c r="B5079" s="10" t="s">
        <v>900</v>
      </c>
      <c r="C5079" s="10" t="s">
        <v>199</v>
      </c>
      <c r="D5079" s="28">
        <f>D5073*Inputs!$D$23</f>
        <v>1.7300000000000002</v>
      </c>
      <c r="E5079" s="28">
        <f>E5073*Inputs!$D$23</f>
        <v>4.325000000000002</v>
      </c>
      <c r="F5079" s="28">
        <f>F5073*Inputs!$D$23</f>
        <v>4.7574999999999994</v>
      </c>
      <c r="G5079" s="28">
        <f>G5073*Inputs!$D$23</f>
        <v>5.40625</v>
      </c>
      <c r="H5079" s="28">
        <f>H5073*Inputs!$D$23</f>
        <v>5.40625</v>
      </c>
      <c r="I5079" s="28">
        <f>I5073*Inputs!$D$23</f>
        <v>0</v>
      </c>
      <c r="J5079" s="28">
        <f>J5073*Inputs!$D$23</f>
        <v>0</v>
      </c>
      <c r="K5079" s="28">
        <f>K5073*Inputs!$D$23</f>
        <v>0</v>
      </c>
      <c r="L5079" s="28">
        <f>L5073*Inputs!$D$23</f>
        <v>0</v>
      </c>
      <c r="M5079" s="28">
        <f>M5073*Inputs!$D$23</f>
        <v>0</v>
      </c>
    </row>
    <row r="5080" spans="2:13" ht="15" customHeight="1" x14ac:dyDescent="0.2">
      <c r="B5080" s="3" t="s">
        <v>901</v>
      </c>
      <c r="C5080" s="10" t="s">
        <v>896</v>
      </c>
      <c r="D5080" s="28">
        <f>(D5075*$D$5093*(Inputs!$D$7-Inputs!$D$19)-D5079)/(Inputs!$D$7+$D$5094)^D5068</f>
        <v>20.981187074746607</v>
      </c>
      <c r="E5080" s="28">
        <f>(E5075*$D$5093*(Inputs!$D$7-Inputs!$D$19)-E5079)/(Inputs!$D$7+$D$5094)^E5068</f>
        <v>68.255963262205867</v>
      </c>
      <c r="F5080" s="28">
        <f>(F5075*$D$5093*(Inputs!$D$7-Inputs!$D$19)-F5079)/(Inputs!$D$7+$D$5094)^F5068</f>
        <v>120.61414888935703</v>
      </c>
      <c r="G5080" s="28">
        <f>(G5075*$D$5093*(Inputs!$D$7-Inputs!$D$19)-G5079)/(Inputs!$D$7+$D$5094)^G5068</f>
        <v>169.11787330578514</v>
      </c>
      <c r="H5080" s="28">
        <f>(H5075*$D$5093*(Inputs!$D$7-Inputs!$D$19)-H5079)/(Inputs!$D$7+$D$5094)^H5068</f>
        <v>211.7039354257503</v>
      </c>
      <c r="I5080" s="28">
        <f>(I5075*$D$5093*(Inputs!$D$7-Inputs!$D$19)-I5079)/(Inputs!$D$7+$D$5094)^I5068</f>
        <v>221.8916197826434</v>
      </c>
      <c r="J5080" s="28">
        <f>(J5075*$D$5093*(Inputs!$D$7-Inputs!$D$19)-J5079)/(Inputs!$D$7+$D$5094)^J5068</f>
        <v>201.73281421346593</v>
      </c>
      <c r="K5080" s="28">
        <f>(K5075*$D$5093*(Inputs!$D$7-Inputs!$D$19)-K5079)/(Inputs!$D$7+$D$5094)^K5068</f>
        <v>183.40543176145695</v>
      </c>
      <c r="L5080" s="28">
        <f>(L5075*$D$5093*(Inputs!$D$7-Inputs!$D$19)-L5079)/(Inputs!$D$7+$D$5094)^L5068</f>
        <v>166.74308803332551</v>
      </c>
      <c r="M5080" s="28">
        <f>(M5075*$D$5093*(Inputs!$D$7-Inputs!$D$19)-M5079)/(Inputs!$D$7+$D$5094)^M5068</f>
        <v>151.55496194429571</v>
      </c>
    </row>
    <row r="5081" spans="2:13" ht="15" customHeight="1" x14ac:dyDescent="0.2">
      <c r="B5081" s="10" t="s">
        <v>902</v>
      </c>
      <c r="C5081" s="10" t="s">
        <v>110</v>
      </c>
      <c r="D5081" s="16">
        <f>(D5076*Inputs!$D$19-D5077-D5078)/(Inputs!$D$7+$D$5094)^D5068</f>
        <v>-3642.8616531802254</v>
      </c>
      <c r="E5081" s="16">
        <f>(E5076*Inputs!$D$19-E5077-E5078)/(Inputs!$D$7+$D$5094)^E5068</f>
        <v>-8064.925486193536</v>
      </c>
      <c r="F5081" s="16">
        <f>(F5076*Inputs!$D$19-F5077-F5078)/(Inputs!$D$7+$D$5094)^F5068</f>
        <v>-7524.4189502174931</v>
      </c>
      <c r="G5081" s="16">
        <f>(G5076*Inputs!$D$19-G5077-G5078)/(Inputs!$D$7+$D$5094)^G5068</f>
        <v>-9165.0699711658544</v>
      </c>
      <c r="H5081" s="16">
        <f>(H5076*Inputs!$D$19-H5077-H5078)/(Inputs!$D$7+$D$5094)^H5068</f>
        <v>-8582.4561303350856</v>
      </c>
      <c r="I5081" s="16">
        <f>(I5076*Inputs!$D$19-I5077-I5078)/(Inputs!$D$7+$D$5094)^I5068</f>
        <v>-3460.4989174974958</v>
      </c>
      <c r="J5081" s="16">
        <f>(J5076*Inputs!$D$19-J5077-J5078)/(Inputs!$D$7+$D$5094)^J5068</f>
        <v>-3669.1989119501291</v>
      </c>
      <c r="K5081" s="16">
        <f>(K5076*Inputs!$D$19-K5077-K5078)/(Inputs!$D$7+$D$5094)^K5068</f>
        <v>-5313.7017593374285</v>
      </c>
      <c r="L5081" s="16">
        <f>(L5076*Inputs!$D$19-L5077-L5078)/(Inputs!$D$7+$D$5094)^L5068</f>
        <v>-5410.7633919680211</v>
      </c>
      <c r="M5081" s="16">
        <f>(M5076*Inputs!$D$19-M5077-M5078)/(Inputs!$D$7+$D$5094)^M5068</f>
        <v>-2363.567322927051</v>
      </c>
    </row>
    <row r="5082" spans="2:13" ht="15" customHeight="1" x14ac:dyDescent="0.2">
      <c r="B5082" s="10" t="s">
        <v>903</v>
      </c>
      <c r="C5082" s="10" t="s">
        <v>110</v>
      </c>
      <c r="D5082" s="16">
        <f t="shared" ref="D5082:M5082" si="1105">D5075*$D$5092</f>
        <v>2418.9098217948981</v>
      </c>
      <c r="E5082" s="16">
        <f t="shared" si="1105"/>
        <v>8471.1086422337885</v>
      </c>
      <c r="F5082" s="16">
        <f t="shared" si="1105"/>
        <v>16100.146246902939</v>
      </c>
      <c r="G5082" s="16">
        <f t="shared" si="1105"/>
        <v>24637.402614032701</v>
      </c>
      <c r="H5082" s="16">
        <f t="shared" si="1105"/>
        <v>33719.590238638833</v>
      </c>
      <c r="I5082" s="16">
        <f t="shared" si="1105"/>
        <v>38260.684050941898</v>
      </c>
      <c r="J5082" s="16">
        <f t="shared" si="1105"/>
        <v>38260.684050941898</v>
      </c>
      <c r="K5082" s="16">
        <f t="shared" si="1105"/>
        <v>38260.684050941898</v>
      </c>
      <c r="L5082" s="16">
        <f t="shared" si="1105"/>
        <v>38260.684050941898</v>
      </c>
      <c r="M5082" s="16">
        <f t="shared" si="1105"/>
        <v>38260.684050941898</v>
      </c>
    </row>
    <row r="5083" spans="2:13" ht="15" customHeight="1" x14ac:dyDescent="0.2">
      <c r="B5083" s="10" t="s">
        <v>904</v>
      </c>
      <c r="C5083" s="10" t="s">
        <v>110</v>
      </c>
      <c r="D5083" s="16">
        <f t="shared" ref="D5083:M5083" si="1106">D5082*$D$5093</f>
        <v>1451.3458930769389</v>
      </c>
      <c r="E5083" s="16">
        <f t="shared" si="1106"/>
        <v>5082.6651853402727</v>
      </c>
      <c r="F5083" s="16">
        <f t="shared" si="1106"/>
        <v>9660.0877481417629</v>
      </c>
      <c r="G5083" s="16">
        <f t="shared" si="1106"/>
        <v>14782.441568419619</v>
      </c>
      <c r="H5083" s="16">
        <f t="shared" si="1106"/>
        <v>20231.754143183298</v>
      </c>
      <c r="I5083" s="16">
        <f t="shared" si="1106"/>
        <v>22956.410430565138</v>
      </c>
      <c r="J5083" s="16">
        <f t="shared" si="1106"/>
        <v>22956.410430565138</v>
      </c>
      <c r="K5083" s="16">
        <f t="shared" si="1106"/>
        <v>22956.410430565138</v>
      </c>
      <c r="L5083" s="16">
        <f t="shared" si="1106"/>
        <v>22956.410430565138</v>
      </c>
      <c r="M5083" s="16">
        <f t="shared" si="1106"/>
        <v>22956.410430565138</v>
      </c>
    </row>
    <row r="5084" spans="2:13" ht="15" customHeight="1" x14ac:dyDescent="0.2">
      <c r="B5084" s="10" t="s">
        <v>905</v>
      </c>
      <c r="C5084" s="10" t="s">
        <v>110</v>
      </c>
      <c r="D5084" s="16">
        <f t="shared" ref="D5084:M5084" si="1107">D5083-D5076</f>
        <v>618.06925440749478</v>
      </c>
      <c r="E5084" s="16">
        <f t="shared" si="1107"/>
        <v>2164.5006173174593</v>
      </c>
      <c r="F5084" s="16">
        <f t="shared" si="1107"/>
        <v>4113.8389273606745</v>
      </c>
      <c r="G5084" s="16">
        <f t="shared" si="1107"/>
        <v>6295.2413219328428</v>
      </c>
      <c r="H5084" s="16">
        <f t="shared" si="1107"/>
        <v>8615.8821672223839</v>
      </c>
      <c r="I5084" s="16">
        <f t="shared" si="1107"/>
        <v>9776.2025898671563</v>
      </c>
      <c r="J5084" s="16">
        <f t="shared" si="1107"/>
        <v>9776.2025898671563</v>
      </c>
      <c r="K5084" s="16">
        <f t="shared" si="1107"/>
        <v>9776.2025898671563</v>
      </c>
      <c r="L5084" s="16">
        <f t="shared" si="1107"/>
        <v>9776.2025898671563</v>
      </c>
      <c r="M5084" s="16">
        <f t="shared" si="1107"/>
        <v>9776.2025898671563</v>
      </c>
    </row>
    <row r="5085" spans="2:13" ht="15" customHeight="1" x14ac:dyDescent="0.2">
      <c r="B5085" s="10" t="s">
        <v>906</v>
      </c>
      <c r="C5085" s="10" t="s">
        <v>110</v>
      </c>
      <c r="D5085" s="16">
        <f>MAX(D5084,Inputs!$D$6)*Inputs!$D$19</f>
        <v>185.42077632224843</v>
      </c>
      <c r="E5085" s="16">
        <f>MAX(E5084,Inputs!$D$6)*Inputs!$D$19</f>
        <v>649.35018519523771</v>
      </c>
      <c r="F5085" s="16">
        <f>MAX(F5084,Inputs!$D$6)*Inputs!$D$19</f>
        <v>1234.1516782082024</v>
      </c>
      <c r="G5085" s="16">
        <f>MAX(G5084,Inputs!$D$6)*Inputs!$D$19</f>
        <v>1888.5723965798527</v>
      </c>
      <c r="H5085" s="16">
        <f>MAX(H5084,Inputs!$D$6)*Inputs!$D$19</f>
        <v>2584.764650166715</v>
      </c>
      <c r="I5085" s="16">
        <f>MAX(I5084,Inputs!$D$6)*Inputs!$D$19</f>
        <v>2932.8607769601467</v>
      </c>
      <c r="J5085" s="16">
        <f>MAX(J5084,Inputs!$D$6)*Inputs!$D$19</f>
        <v>2932.8607769601467</v>
      </c>
      <c r="K5085" s="16">
        <f>MAX(K5084,Inputs!$D$6)*Inputs!$D$19</f>
        <v>2932.8607769601467</v>
      </c>
      <c r="L5085" s="16">
        <f>MAX(L5084,Inputs!$D$6)*Inputs!$D$19</f>
        <v>2932.8607769601467</v>
      </c>
      <c r="M5085" s="16">
        <f>MAX(M5084,Inputs!$D$6)*Inputs!$D$19</f>
        <v>2932.8607769601467</v>
      </c>
    </row>
    <row r="5086" spans="2:13" ht="15" customHeight="1" x14ac:dyDescent="0.2">
      <c r="B5086" s="10" t="s">
        <v>907</v>
      </c>
      <c r="C5086" s="10" t="s">
        <v>110</v>
      </c>
      <c r="D5086" s="16">
        <f t="shared" ref="D5086:M5086" si="1108">D5079*$D$5092</f>
        <v>72.657500996849052</v>
      </c>
      <c r="E5086" s="16">
        <f t="shared" si="1108"/>
        <v>181.6437524921227</v>
      </c>
      <c r="F5086" s="16">
        <f t="shared" si="1108"/>
        <v>199.80812774133486</v>
      </c>
      <c r="G5086" s="16">
        <f t="shared" si="1108"/>
        <v>227.05469061515328</v>
      </c>
      <c r="H5086" s="16">
        <f t="shared" si="1108"/>
        <v>227.05469061515328</v>
      </c>
      <c r="I5086" s="16">
        <f t="shared" si="1108"/>
        <v>0</v>
      </c>
      <c r="J5086" s="16">
        <f t="shared" si="1108"/>
        <v>0</v>
      </c>
      <c r="K5086" s="16">
        <f t="shared" si="1108"/>
        <v>0</v>
      </c>
      <c r="L5086" s="16">
        <f t="shared" si="1108"/>
        <v>0</v>
      </c>
      <c r="M5086" s="16">
        <f t="shared" si="1108"/>
        <v>0</v>
      </c>
    </row>
    <row r="5087" spans="2:13" ht="15" customHeight="1" x14ac:dyDescent="0.2">
      <c r="B5087" s="10" t="s">
        <v>908</v>
      </c>
      <c r="C5087" s="10" t="s">
        <v>110</v>
      </c>
      <c r="D5087" s="16">
        <f t="shared" ref="D5087:M5087" si="1109">D5083-D5085-D5077-D5078-D5086</f>
        <v>-2956.324016281133</v>
      </c>
      <c r="E5087" s="16">
        <f t="shared" si="1109"/>
        <v>-6122.3078324445269</v>
      </c>
      <c r="F5087" s="16">
        <f t="shared" si="1109"/>
        <v>-3185.2490459149503</v>
      </c>
      <c r="G5087" s="16">
        <f t="shared" si="1109"/>
        <v>-2938.664217464353</v>
      </c>
      <c r="H5087" s="16">
        <f t="shared" si="1109"/>
        <v>483.98409313075967</v>
      </c>
      <c r="I5087" s="16">
        <f t="shared" si="1109"/>
        <v>10102.3575057328</v>
      </c>
      <c r="J5087" s="16">
        <f t="shared" si="1109"/>
        <v>9110.2382909455864</v>
      </c>
      <c r="K5087" s="16">
        <f t="shared" si="1109"/>
        <v>4984.0546201975849</v>
      </c>
      <c r="L5087" s="16">
        <f t="shared" si="1109"/>
        <v>3653.5826096158817</v>
      </c>
      <c r="M5087" s="16">
        <f t="shared" si="1109"/>
        <v>10102.3575057328</v>
      </c>
    </row>
    <row r="5088" spans="2:13" ht="15" customHeight="1" x14ac:dyDescent="0.2">
      <c r="B5088" s="10" t="s">
        <v>909</v>
      </c>
      <c r="C5088" s="10" t="s">
        <v>110</v>
      </c>
      <c r="D5088" s="16">
        <f>D5087/(Inputs!$D$7+$D$5094)^D5068</f>
        <v>-2761.6821035857292</v>
      </c>
      <c r="E5088" s="16">
        <f>E5087/(Inputs!$D$7+$D$5094)^E5068</f>
        <v>-5198.2736256359558</v>
      </c>
      <c r="F5088" s="16">
        <f>F5087/(Inputs!$D$7+$D$5094)^F5068</f>
        <v>-2458.7989252680372</v>
      </c>
      <c r="G5088" s="16">
        <f>G5087/(Inputs!$D$7+$D$5094)^G5068</f>
        <v>-2062.3635848652334</v>
      </c>
      <c r="H5088" s="16">
        <f>H5087/(Inputs!$D$7+$D$5094)^H5068</f>
        <v>308.80334899053173</v>
      </c>
      <c r="I5088" s="16">
        <f>I5087/(Inputs!$D$7+$D$5094)^I5068</f>
        <v>5858.6285886006908</v>
      </c>
      <c r="J5088" s="16">
        <f>J5087/(Inputs!$D$7+$D$5094)^J5068</f>
        <v>4803.2878798487518</v>
      </c>
      <c r="K5088" s="16">
        <f>K5087/(Inputs!$D$7+$D$5094)^K5068</f>
        <v>2389.0614435733169</v>
      </c>
      <c r="L5088" s="16">
        <f>L5087/(Inputs!$D$7+$D$5094)^L5068</f>
        <v>1592.2054432915374</v>
      </c>
      <c r="M5088" s="16">
        <f>M5087/(Inputs!$D$7+$D$5094)^M5068</f>
        <v>4001.522156000744</v>
      </c>
    </row>
    <row r="5089" spans="2:13" ht="15" customHeight="1" x14ac:dyDescent="0.2">
      <c r="B5089" s="3" t="s">
        <v>910</v>
      </c>
      <c r="C5089" s="10" t="s">
        <v>896</v>
      </c>
      <c r="D5089" s="28">
        <f>(D5075*$D$5093-D5079)/(Inputs!$D$7+$D$5094)^D5068</f>
        <v>30.665737923868878</v>
      </c>
      <c r="E5089" s="28">
        <f>(E5075*$D$5093-E5079)/(Inputs!$D$7+$D$5094)^E5068</f>
        <v>99.082332568922538</v>
      </c>
      <c r="F5089" s="28">
        <f>(F5075*$D$5093-F5079)/(Inputs!$D$7+$D$5094)^F5068</f>
        <v>173.87984328077783</v>
      </c>
      <c r="G5089" s="28">
        <f>(G5075*$D$5093-G5079)/(Inputs!$D$7+$D$5094)^G5068</f>
        <v>243.22301452630424</v>
      </c>
      <c r="H5089" s="28">
        <f>(H5075*$D$5093-H5079)/(Inputs!$D$7+$D$5094)^H5068</f>
        <v>303.91251959440808</v>
      </c>
      <c r="I5089" s="28">
        <f>(I5075*$D$5093-I5079)/(Inputs!$D$7+$D$5094)^I5068</f>
        <v>316.98802826091918</v>
      </c>
      <c r="J5089" s="28">
        <f>(J5075*$D$5093-J5079)/(Inputs!$D$7+$D$5094)^J5068</f>
        <v>288.18973459066564</v>
      </c>
      <c r="K5089" s="28">
        <f>(K5075*$D$5093-K5079)/(Inputs!$D$7+$D$5094)^K5068</f>
        <v>262.00775965922423</v>
      </c>
      <c r="L5089" s="28">
        <f>(L5075*$D$5093-L5079)/(Inputs!$D$7+$D$5094)^L5068</f>
        <v>238.2044114761793</v>
      </c>
      <c r="M5089" s="28">
        <f>(M5075*$D$5093-M5079)/(Inputs!$D$7+$D$5094)^M5068</f>
        <v>216.50708849185102</v>
      </c>
    </row>
    <row r="5090" spans="2:13" ht="15" customHeight="1" x14ac:dyDescent="0.2">
      <c r="B5090" s="10" t="s">
        <v>911</v>
      </c>
      <c r="C5090" s="10" t="s">
        <v>110</v>
      </c>
      <c r="D5090" s="16">
        <f>(-D5077-D5078)/(Inputs!$D$7+$D$5094)^D5068</f>
        <v>-3876.3859726738942</v>
      </c>
      <c r="E5090" s="16">
        <f>(-E5077-E5078)/(Inputs!$D$7+$D$5094)^E5068</f>
        <v>-8808.24410023788</v>
      </c>
      <c r="F5090" s="16">
        <f>(-F5077-F5078)/(Inputs!$D$7+$D$5094)^F5068</f>
        <v>-8808.8187359072599</v>
      </c>
      <c r="G5090" s="16">
        <f>(-G5077-G5078)/(Inputs!$D$7+$D$5094)^G5068</f>
        <v>-10951.972941072034</v>
      </c>
      <c r="H5090" s="16">
        <f>(-H5077-H5078)/(Inputs!$D$7+$D$5094)^H5068</f>
        <v>-10805.888812441568</v>
      </c>
      <c r="I5090" s="16">
        <f>(-I5077-I5078)/(Inputs!$D$7+$D$5094)^I5068</f>
        <v>-5753.5659292933024</v>
      </c>
      <c r="J5090" s="16">
        <f>(-J5077-J5078)/(Inputs!$D$7+$D$5094)^J5068</f>
        <v>-5753.9412826749158</v>
      </c>
      <c r="K5090" s="16">
        <f>(-K5077-K5078)/(Inputs!$D$7+$D$5094)^K5068</f>
        <v>-7209.0457374846392</v>
      </c>
      <c r="L5090" s="16">
        <f>(-L5077-L5078)/(Inputs!$D$7+$D$5094)^L5068</f>
        <v>-7133.915780457146</v>
      </c>
      <c r="M5090" s="16">
        <f>(-M5077-M5078)/(Inputs!$D$7+$D$5094)^M5068</f>
        <v>-3929.7629460373614</v>
      </c>
    </row>
    <row r="5091" spans="2:13" ht="15" customHeight="1" x14ac:dyDescent="0.2">
      <c r="B5091" s="10" t="s">
        <v>912</v>
      </c>
      <c r="C5091" s="10" t="s">
        <v>110</v>
      </c>
      <c r="D5091" s="16">
        <f>Prices!K9</f>
        <v>36178.700386874909</v>
      </c>
    </row>
    <row r="5092" spans="2:13" ht="15" customHeight="1" x14ac:dyDescent="0.2">
      <c r="B5092" s="3" t="s">
        <v>913</v>
      </c>
      <c r="C5092" s="10" t="s">
        <v>914</v>
      </c>
      <c r="D5092" s="28">
        <f>IF(J5099&gt;=J5095,J5099,(D5091-J5098)/J5097)</f>
        <v>41.998555489508121</v>
      </c>
      <c r="G5092" s="99" t="s">
        <v>915</v>
      </c>
      <c r="H5092" s="91"/>
      <c r="I5092" s="91"/>
      <c r="J5092" s="28">
        <f>D5092*Inputs!$D$15</f>
        <v>29.310791876127716</v>
      </c>
      <c r="K5092" s="99" t="s">
        <v>916</v>
      </c>
      <c r="L5092" s="91"/>
      <c r="M5092" s="91"/>
    </row>
    <row r="5093" spans="2:13" ht="15" customHeight="1" x14ac:dyDescent="0.2">
      <c r="B5093" s="10" t="s">
        <v>917</v>
      </c>
      <c r="C5093" s="10" t="s">
        <v>104</v>
      </c>
      <c r="D5093" s="30">
        <f>Inputs!$D$81</f>
        <v>0.6</v>
      </c>
      <c r="G5093" s="99" t="s">
        <v>918</v>
      </c>
      <c r="H5093" s="91"/>
      <c r="I5093" s="91"/>
      <c r="J5093" s="28">
        <f>IF(-D5104/D5103&gt;=J5095,-D5104/D5103,-J5098/J5097)</f>
        <v>31.904742398820275</v>
      </c>
      <c r="K5093" s="99" t="s">
        <v>919</v>
      </c>
      <c r="L5093" s="91"/>
      <c r="M5093" s="91"/>
    </row>
    <row r="5094" spans="2:13" ht="15" customHeight="1" x14ac:dyDescent="0.2">
      <c r="B5094" s="10" t="s">
        <v>920</v>
      </c>
      <c r="C5094" s="10" t="s">
        <v>104</v>
      </c>
      <c r="D5094" s="30">
        <f>Inputs!$D$82</f>
        <v>0.1</v>
      </c>
      <c r="G5094" s="99" t="s">
        <v>918</v>
      </c>
      <c r="H5094" s="91"/>
      <c r="I5094" s="91"/>
      <c r="J5094" s="28">
        <f>J5093*Inputs!$D$15</f>
        <v>22.266319720136668</v>
      </c>
      <c r="K5094" s="99" t="s">
        <v>916</v>
      </c>
      <c r="L5094" s="91"/>
      <c r="M5094" s="91"/>
    </row>
    <row r="5095" spans="2:13" ht="15" customHeight="1" x14ac:dyDescent="0.2">
      <c r="B5095" s="3" t="s">
        <v>921</v>
      </c>
      <c r="C5095" s="10" t="s">
        <v>848</v>
      </c>
      <c r="D5095" s="28">
        <f>Capital!$D$13</f>
        <v>57.347931490590682</v>
      </c>
      <c r="G5095" s="99" t="s">
        <v>922</v>
      </c>
      <c r="H5095" s="91"/>
      <c r="I5095" s="91"/>
      <c r="J5095" s="28">
        <f>($D$5095/Inputs!$D$21+$D$5096/Inputs!$D$22)/$D$5093</f>
        <v>24.113076913095469</v>
      </c>
      <c r="K5095" s="99" t="s">
        <v>919</v>
      </c>
      <c r="L5095" s="91"/>
      <c r="M5095" s="91"/>
    </row>
    <row r="5096" spans="2:13" ht="15" customHeight="1" x14ac:dyDescent="0.2">
      <c r="B5096" s="3" t="s">
        <v>923</v>
      </c>
      <c r="C5096" s="10" t="s">
        <v>848</v>
      </c>
      <c r="D5096" s="28">
        <f>Capital!$D$14</f>
        <v>2.6172655041921802</v>
      </c>
    </row>
    <row r="5097" spans="2:13" ht="15" customHeight="1" x14ac:dyDescent="0.2">
      <c r="B5097" s="10" t="s">
        <v>924</v>
      </c>
      <c r="C5097" s="10" t="s">
        <v>896</v>
      </c>
      <c r="D5097" s="28">
        <f>(M5070*(Inputs!$D$7+Inputs!$D$20)*$D$5093*(Inputs!$D$7-Inputs!$D$19)-M5070*Inputs!$D$20*Inputs!$D$23)/($D$5094-Inputs!$D$20)/(Inputs!$D$7+$D$5094)^M5068</f>
        <v>2068.2441036763203</v>
      </c>
      <c r="G5097" s="92" t="s">
        <v>910</v>
      </c>
      <c r="H5097" s="91"/>
      <c r="I5097" s="91"/>
      <c r="J5097" s="28">
        <f>SUM(D5089:M5089)+(M5070*(Inputs!$D$7+Inputs!$D$20)*$D$5093-M5070*Inputs!$D$20*Inputs!$D$23)/($D$5094-Inputs!$D$20)/(Inputs!$D$7+$D$5094)^M5068</f>
        <v>5128.5836368660293</v>
      </c>
      <c r="K5097" s="99" t="s">
        <v>896</v>
      </c>
      <c r="L5097" s="91"/>
      <c r="M5097" s="91"/>
    </row>
    <row r="5098" spans="2:13" ht="15" customHeight="1" x14ac:dyDescent="0.2">
      <c r="B5098" s="10" t="s">
        <v>925</v>
      </c>
      <c r="C5098" s="10" t="s">
        <v>110</v>
      </c>
      <c r="D5098" s="16">
        <f>(D5101*Inputs!$D$19-D5101-D5102)/($D$5094-Inputs!$D$20)/(Inputs!$D$7+$D$5094)^M5068</f>
        <v>-57156.954988173631</v>
      </c>
      <c r="G5098" s="92" t="s">
        <v>926</v>
      </c>
      <c r="H5098" s="91"/>
      <c r="I5098" s="91"/>
      <c r="J5098" s="16">
        <f>SUM(D5090:M5090)-(D5101+D5102)/($D$5094-Inputs!$D$20)/(Inputs!$D$7+$D$5094)^M5068</f>
        <v>-151593.17074229455</v>
      </c>
      <c r="K5098" s="99" t="s">
        <v>110</v>
      </c>
      <c r="L5098" s="91"/>
      <c r="M5098" s="91"/>
    </row>
    <row r="5099" spans="2:13" ht="15" customHeight="1" x14ac:dyDescent="0.2">
      <c r="B5099" s="10" t="s">
        <v>927</v>
      </c>
      <c r="C5099" s="10" t="s">
        <v>928</v>
      </c>
      <c r="D5099" s="16">
        <f>(M5070*(Inputs!$D$7+Inputs!$D$20)*$D$5092*$D$5093-D5101)-MAX((M5070*(Inputs!$D$7+Inputs!$D$20)*$D$5092*$D$5093-D5101),Inputs!$D$6)*Inputs!$D$19-D5102-M5070*Inputs!$D$20*$D$5092*Inputs!$D$23</f>
        <v>5624.8050691416656</v>
      </c>
      <c r="G5099" s="99" t="s">
        <v>929</v>
      </c>
      <c r="H5099" s="91"/>
      <c r="I5099" s="91"/>
      <c r="J5099" s="28">
        <f>(D5091-D5104)/D5103</f>
        <v>41.998555489508121</v>
      </c>
      <c r="K5099" s="99" t="s">
        <v>919</v>
      </c>
      <c r="L5099" s="91"/>
      <c r="M5099" s="91"/>
    </row>
    <row r="5100" spans="2:13" ht="15" customHeight="1" x14ac:dyDescent="0.2">
      <c r="B5100" s="10" t="s">
        <v>930</v>
      </c>
      <c r="C5100" s="10" t="s">
        <v>110</v>
      </c>
      <c r="D5100" s="16">
        <f>D5099/($D$5094-Inputs!$D$20)</f>
        <v>74997.400921888868</v>
      </c>
      <c r="G5100" s="99" t="s">
        <v>931</v>
      </c>
      <c r="H5100" s="91"/>
      <c r="I5100" s="91"/>
      <c r="J5100" s="16">
        <f>MIN(D5084:M5084,(M5070*(Inputs!$D$7+Inputs!$D$20)*$D$5092*$D$5093-D5101))</f>
        <v>618.06925440749478</v>
      </c>
      <c r="K5100" s="99" t="s">
        <v>110</v>
      </c>
      <c r="L5100" s="91"/>
      <c r="M5100" s="91"/>
    </row>
    <row r="5101" spans="2:13" ht="15" customHeight="1" x14ac:dyDescent="0.2">
      <c r="B5101" s="10" t="s">
        <v>932</v>
      </c>
      <c r="C5101" s="10" t="s">
        <v>928</v>
      </c>
      <c r="D5101" s="16">
        <f>M5070*(Inputs!$D$7+Inputs!$D$20)*($D$5095/Inputs!$D$21+$D$5096/Inputs!$D$22)</f>
        <v>13509.71303671543</v>
      </c>
      <c r="G5101" s="99" t="s">
        <v>933</v>
      </c>
      <c r="H5101" s="91"/>
      <c r="I5101" s="91"/>
      <c r="J5101" s="31" t="str">
        <f>IF(J5100&lt;Inputs!$D$6,"breached","satisfied")</f>
        <v>satisfied</v>
      </c>
      <c r="K5101" s="99" t="s">
        <v>934</v>
      </c>
      <c r="L5101" s="91"/>
      <c r="M5101" s="91"/>
    </row>
    <row r="5102" spans="2:13" ht="15" customHeight="1" x14ac:dyDescent="0.2">
      <c r="B5102" s="10" t="s">
        <v>935</v>
      </c>
      <c r="C5102" s="10" t="s">
        <v>928</v>
      </c>
      <c r="D5102" s="16">
        <f>M5070*Inputs!$D$20*($D$5095+$D$5096)</f>
        <v>1365.7073615561799</v>
      </c>
    </row>
    <row r="5103" spans="2:13" ht="15" customHeight="1" x14ac:dyDescent="0.2">
      <c r="B5103" s="10" t="s">
        <v>936</v>
      </c>
      <c r="C5103" s="10" t="s">
        <v>896</v>
      </c>
      <c r="D5103" s="28">
        <f>SUM(D5080:M5080)+D5097</f>
        <v>3584.2451273693523</v>
      </c>
      <c r="G5103" s="99" t="s">
        <v>937</v>
      </c>
      <c r="H5103" s="91"/>
      <c r="I5103" s="91"/>
      <c r="J5103" s="16">
        <f>D5105-D5091</f>
        <v>0</v>
      </c>
      <c r="K5103" s="99" t="s">
        <v>110</v>
      </c>
      <c r="L5103" s="91"/>
      <c r="M5103" s="91"/>
    </row>
    <row r="5104" spans="2:13" ht="15" customHeight="1" x14ac:dyDescent="0.2">
      <c r="B5104" s="10" t="s">
        <v>938</v>
      </c>
      <c r="C5104" s="10" t="s">
        <v>110</v>
      </c>
      <c r="D5104" s="16">
        <f>SUM(D5081:M5081)+D5098</f>
        <v>-114354.41748294595</v>
      </c>
    </row>
    <row r="5105" spans="1:13" ht="15" customHeight="1" x14ac:dyDescent="0.2">
      <c r="B5105" s="10" t="s">
        <v>939</v>
      </c>
      <c r="C5105" s="10" t="s">
        <v>110</v>
      </c>
      <c r="D5105" s="16">
        <f>SUM(D5088:M5088)+D5100/(Inputs!$D$7+$D$5094)^M5068</f>
        <v>36178.700386874916</v>
      </c>
    </row>
    <row r="5106" spans="1:13" ht="15" customHeight="1" x14ac:dyDescent="0.2">
      <c r="B5106" s="10" t="s">
        <v>940</v>
      </c>
      <c r="C5106" s="10" t="s">
        <v>104</v>
      </c>
      <c r="D5106" s="30">
        <f>IF(ABS(D5091)&gt;Inputs!$D$6,D5105/D5091-Inputs!$D$7,Inputs!$D$6)</f>
        <v>2.2204460492503131E-16</v>
      </c>
    </row>
    <row r="5107" spans="1:13" ht="15" customHeight="1" x14ac:dyDescent="0.2">
      <c r="B5107" s="10" t="s">
        <v>941</v>
      </c>
      <c r="C5107" s="10" t="s">
        <v>104</v>
      </c>
      <c r="D5107" s="30">
        <f>IF(ABS(D5105)&gt;Inputs!$D$119,D5100/(Inputs!$D$7+$D$5094)^M5068/D5105,Inputs!$D$6)</f>
        <v>0.82109941618304505</v>
      </c>
    </row>
    <row r="5108" spans="1:13" ht="15" customHeight="1" x14ac:dyDescent="0.2">
      <c r="B5108" s="10" t="s">
        <v>942</v>
      </c>
      <c r="C5108" s="10" t="s">
        <v>943</v>
      </c>
      <c r="D5108" s="26">
        <f>$D$5092*Inputs!$D$8/Prices!$P$6/(Inputs!$D$26/Inputs!$D$25)/Inputs!$D$11/Inputs!$D$56</f>
        <v>7.6375648873173763</v>
      </c>
    </row>
    <row r="5112" spans="1:13" ht="15" customHeight="1" x14ac:dyDescent="0.2">
      <c r="A5112" s="104" t="s">
        <v>1054</v>
      </c>
      <c r="B5112" s="10" t="s">
        <v>886</v>
      </c>
      <c r="C5112" s="10" t="s">
        <v>107</v>
      </c>
      <c r="D5112" s="28">
        <f>Inputs!$D$60</f>
        <v>1</v>
      </c>
      <c r="E5112" s="28">
        <f>Inputs!$D$62</f>
        <v>2</v>
      </c>
      <c r="F5112" s="28">
        <f>Inputs!$D$64</f>
        <v>3</v>
      </c>
      <c r="G5112" s="28">
        <f>Inputs!$D$66</f>
        <v>4</v>
      </c>
      <c r="H5112" s="28">
        <f>Inputs!$D$68</f>
        <v>5</v>
      </c>
      <c r="I5112" s="28">
        <f>Inputs!$D$70</f>
        <v>6</v>
      </c>
      <c r="J5112" s="28">
        <f>Inputs!$D$72</f>
        <v>7</v>
      </c>
      <c r="K5112" s="28">
        <f>Inputs!$D$74</f>
        <v>8</v>
      </c>
      <c r="L5112" s="28">
        <f>Inputs!$D$76</f>
        <v>9</v>
      </c>
      <c r="M5112" s="28">
        <f>Inputs!$D$78</f>
        <v>10</v>
      </c>
    </row>
    <row r="5113" spans="1:13" ht="15" customHeight="1" x14ac:dyDescent="0.2">
      <c r="A5113" s="91"/>
      <c r="B5113" s="10" t="s">
        <v>887</v>
      </c>
      <c r="C5113" s="10" t="s">
        <v>161</v>
      </c>
      <c r="D5113" s="29">
        <f>Inputs!$D$61</f>
        <v>46568</v>
      </c>
      <c r="E5113" s="29">
        <f>Inputs!$D$63</f>
        <v>46934</v>
      </c>
      <c r="F5113" s="29">
        <f>Inputs!$D$65</f>
        <v>47299</v>
      </c>
      <c r="G5113" s="29">
        <f>Inputs!$D$67</f>
        <v>47664</v>
      </c>
      <c r="H5113" s="29">
        <f>Inputs!$D$69</f>
        <v>48029</v>
      </c>
      <c r="I5113" s="29">
        <f>Inputs!$D$71</f>
        <v>48395</v>
      </c>
      <c r="J5113" s="29">
        <f>Inputs!$D$73</f>
        <v>48760</v>
      </c>
      <c r="K5113" s="29">
        <f>Inputs!$D$75</f>
        <v>49125</v>
      </c>
      <c r="L5113" s="29">
        <f>Inputs!$D$77</f>
        <v>49490</v>
      </c>
      <c r="M5113" s="29">
        <f>Inputs!$D$79</f>
        <v>49856</v>
      </c>
    </row>
    <row r="5114" spans="1:13" ht="15" customHeight="1" x14ac:dyDescent="0.2">
      <c r="A5114" s="91"/>
      <c r="B5114" s="10" t="s">
        <v>888</v>
      </c>
      <c r="C5114" s="10" t="s">
        <v>107</v>
      </c>
      <c r="D5114" s="28">
        <f>(D5113-Inputs!$D$13)/Inputs!$D$10</f>
        <v>0.71457905544147848</v>
      </c>
      <c r="E5114" s="28">
        <f>(E5113-Inputs!$D$13)/Inputs!$D$10</f>
        <v>1.7166324435318274</v>
      </c>
      <c r="F5114" s="28">
        <f>(F5113-Inputs!$D$13)/Inputs!$D$10</f>
        <v>2.7159479808350446</v>
      </c>
      <c r="G5114" s="28">
        <f>(G5113-Inputs!$D$13)/Inputs!$D$10</f>
        <v>3.7152635181382614</v>
      </c>
      <c r="H5114" s="28">
        <f>(H5113-Inputs!$D$13)/Inputs!$D$10</f>
        <v>4.7145790554414786</v>
      </c>
      <c r="I5114" s="28">
        <f>(I5113-Inputs!$D$13)/Inputs!$D$10</f>
        <v>5.7166324435318279</v>
      </c>
      <c r="J5114" s="28">
        <f>(J5113-Inputs!$D$13)/Inputs!$D$10</f>
        <v>6.7159479808350442</v>
      </c>
      <c r="K5114" s="28">
        <f>(K5113-Inputs!$D$13)/Inputs!$D$10</f>
        <v>7.7152635181382614</v>
      </c>
      <c r="L5114" s="28">
        <f>(L5113-Inputs!$D$13)/Inputs!$D$10</f>
        <v>8.7145790554414777</v>
      </c>
      <c r="M5114" s="28">
        <f>(M5113-Inputs!$D$13)/Inputs!$D$10</f>
        <v>9.716632443531827</v>
      </c>
    </row>
    <row r="5115" spans="1:13" ht="15" customHeight="1" x14ac:dyDescent="0.2">
      <c r="A5115" s="91"/>
      <c r="B5115" s="10" t="s">
        <v>889</v>
      </c>
      <c r="C5115" s="10" t="s">
        <v>107</v>
      </c>
      <c r="D5115" s="28">
        <f>D5114</f>
        <v>0.71457905544147848</v>
      </c>
      <c r="E5115" s="28">
        <f>Inputs!$D$7</f>
        <v>1</v>
      </c>
      <c r="F5115" s="28">
        <f>Inputs!$D$7</f>
        <v>1</v>
      </c>
      <c r="G5115" s="28">
        <f>Inputs!$D$7</f>
        <v>1</v>
      </c>
      <c r="H5115" s="28">
        <f>Inputs!$D$7</f>
        <v>1</v>
      </c>
      <c r="I5115" s="28">
        <f>Inputs!$D$7</f>
        <v>1</v>
      </c>
      <c r="J5115" s="28">
        <f>Inputs!$D$7</f>
        <v>1</v>
      </c>
      <c r="K5115" s="28">
        <f>Inputs!$D$7</f>
        <v>1</v>
      </c>
      <c r="L5115" s="28">
        <f>Inputs!$D$7</f>
        <v>1</v>
      </c>
      <c r="M5115" s="28">
        <f>Inputs!$D$7</f>
        <v>1</v>
      </c>
    </row>
    <row r="5116" spans="1:13" ht="15" customHeight="1" x14ac:dyDescent="0.2">
      <c r="A5116" s="91"/>
      <c r="B5116" s="3" t="s">
        <v>890</v>
      </c>
      <c r="C5116" s="10" t="s">
        <v>199</v>
      </c>
      <c r="D5116" s="28">
        <f>Inputs!$D$24+(Inputs!$D$93-Inputs!$D$24)*Inputs!$D$83</f>
        <v>512.20000000000005</v>
      </c>
      <c r="E5116" s="28">
        <f>Inputs!$D$24+(Inputs!$D$93-Inputs!$D$24)*Inputs!$D$84</f>
        <v>1133.8</v>
      </c>
      <c r="F5116" s="28">
        <f>Inputs!$D$24+(Inputs!$D$93-Inputs!$D$24)*Inputs!$D$85</f>
        <v>1600</v>
      </c>
      <c r="G5116" s="28">
        <f>Inputs!$D$24+(Inputs!$D$93-Inputs!$D$24)*Inputs!$D$86</f>
        <v>1600</v>
      </c>
      <c r="H5116" s="28">
        <f>Inputs!$D$24+(Inputs!$D$93-Inputs!$D$24)*Inputs!$D$87</f>
        <v>1600</v>
      </c>
      <c r="I5116" s="28">
        <f>Inputs!$D$24+(Inputs!$D$93-Inputs!$D$24)*Inputs!$D$88</f>
        <v>1600</v>
      </c>
      <c r="J5116" s="28">
        <f>Inputs!$D$24+(Inputs!$D$93-Inputs!$D$24)*Inputs!$D$89</f>
        <v>1600</v>
      </c>
      <c r="K5116" s="28">
        <f>Inputs!$D$24+(Inputs!$D$93-Inputs!$D$24)*Inputs!$D$90</f>
        <v>1600</v>
      </c>
      <c r="L5116" s="28">
        <f>Inputs!$D$24+(Inputs!$D$93-Inputs!$D$24)*Inputs!$D$91</f>
        <v>1600</v>
      </c>
      <c r="M5116" s="28">
        <f>Inputs!$D$24+(Inputs!$D$93-Inputs!$D$24)*Inputs!$D$92</f>
        <v>1600</v>
      </c>
    </row>
    <row r="5117" spans="1:13" ht="15" customHeight="1" x14ac:dyDescent="0.2">
      <c r="A5117" s="91"/>
      <c r="B5117" s="10" t="s">
        <v>891</v>
      </c>
      <c r="C5117" s="10" t="s">
        <v>199</v>
      </c>
      <c r="D5117" s="28">
        <f>Inputs!$D$24</f>
        <v>46</v>
      </c>
      <c r="E5117" s="28">
        <f t="shared" ref="E5117:M5117" si="1110">D5116</f>
        <v>512.20000000000005</v>
      </c>
      <c r="F5117" s="28">
        <f t="shared" si="1110"/>
        <v>1133.8</v>
      </c>
      <c r="G5117" s="28">
        <f t="shared" si="1110"/>
        <v>1600</v>
      </c>
      <c r="H5117" s="28">
        <f t="shared" si="1110"/>
        <v>1600</v>
      </c>
      <c r="I5117" s="28">
        <f t="shared" si="1110"/>
        <v>1600</v>
      </c>
      <c r="J5117" s="28">
        <f t="shared" si="1110"/>
        <v>1600</v>
      </c>
      <c r="K5117" s="28">
        <f t="shared" si="1110"/>
        <v>1600</v>
      </c>
      <c r="L5117" s="28">
        <f t="shared" si="1110"/>
        <v>1600</v>
      </c>
      <c r="M5117" s="28">
        <f t="shared" si="1110"/>
        <v>1600</v>
      </c>
    </row>
    <row r="5118" spans="1:13" ht="15" customHeight="1" x14ac:dyDescent="0.2">
      <c r="B5118" s="10" t="s">
        <v>892</v>
      </c>
      <c r="C5118" s="10" t="s">
        <v>199</v>
      </c>
      <c r="D5118" s="28">
        <f>(D5117+D5116)*Inputs!$D$12</f>
        <v>279.10000000000002</v>
      </c>
      <c r="E5118" s="28">
        <f>(E5117+E5116)*Inputs!$D$12</f>
        <v>823</v>
      </c>
      <c r="F5118" s="28">
        <f>(F5117+F5116)*Inputs!$D$12</f>
        <v>1366.9</v>
      </c>
      <c r="G5118" s="28">
        <f>(G5117+G5116)*Inputs!$D$12</f>
        <v>1600</v>
      </c>
      <c r="H5118" s="28">
        <f>(H5117+H5116)*Inputs!$D$12</f>
        <v>1600</v>
      </c>
      <c r="I5118" s="28">
        <f>(I5117+I5116)*Inputs!$D$12</f>
        <v>1600</v>
      </c>
      <c r="J5118" s="28">
        <f>(J5117+J5116)*Inputs!$D$12</f>
        <v>1600</v>
      </c>
      <c r="K5118" s="28">
        <f>(K5117+K5116)*Inputs!$D$12</f>
        <v>1600</v>
      </c>
      <c r="L5118" s="28">
        <f>(L5117+L5116)*Inputs!$D$12</f>
        <v>1600</v>
      </c>
      <c r="M5118" s="28">
        <f>(M5117+M5116)*Inputs!$D$12</f>
        <v>1600</v>
      </c>
    </row>
    <row r="5119" spans="1:13" ht="15" customHeight="1" x14ac:dyDescent="0.2">
      <c r="B5119" s="10" t="s">
        <v>893</v>
      </c>
      <c r="C5119" s="10" t="s">
        <v>199</v>
      </c>
      <c r="D5119" s="28">
        <f t="shared" ref="D5119:M5119" si="1111">D5116-D5117</f>
        <v>466.20000000000005</v>
      </c>
      <c r="E5119" s="28">
        <f t="shared" si="1111"/>
        <v>621.59999999999991</v>
      </c>
      <c r="F5119" s="28">
        <f t="shared" si="1111"/>
        <v>466.20000000000005</v>
      </c>
      <c r="G5119" s="28">
        <f t="shared" si="1111"/>
        <v>0</v>
      </c>
      <c r="H5119" s="28">
        <f t="shared" si="1111"/>
        <v>0</v>
      </c>
      <c r="I5119" s="28">
        <f t="shared" si="1111"/>
        <v>0</v>
      </c>
      <c r="J5119" s="28">
        <f t="shared" si="1111"/>
        <v>0</v>
      </c>
      <c r="K5119" s="28">
        <f t="shared" si="1111"/>
        <v>0</v>
      </c>
      <c r="L5119" s="28">
        <f t="shared" si="1111"/>
        <v>0</v>
      </c>
      <c r="M5119" s="28">
        <f t="shared" si="1111"/>
        <v>0</v>
      </c>
    </row>
    <row r="5120" spans="1:13" ht="15" customHeight="1" x14ac:dyDescent="0.2">
      <c r="B5120" s="10" t="s">
        <v>894</v>
      </c>
      <c r="C5120" s="10" t="s">
        <v>199</v>
      </c>
      <c r="D5120" s="28">
        <f>IF(MOD(D5112,Inputs!$D$21)=Inputs!$D$6,Inputs!$D$24,Inputs!$D$6)+SUMPRODUCT(--(D5112&gt;$D$5112:$M$5112),--(MOD(D5112-$D$5112:$M$5112,Inputs!$D$21)=Inputs!$D$6),$D$5119:$M$5119)</f>
        <v>0</v>
      </c>
      <c r="E5120" s="28">
        <f>IF(MOD(E5112,Inputs!$D$21)=Inputs!$D$6,Inputs!$D$24,Inputs!$D$6)+SUMPRODUCT(--(E5112&gt;$D$5112:$M$5112),--(MOD(E5112-$D$5112:$M$5112,Inputs!$D$21)=Inputs!$D$6),$D$5119:$M$5119)</f>
        <v>0</v>
      </c>
      <c r="F5120" s="28">
        <f>IF(MOD(F5112,Inputs!$D$21)=Inputs!$D$6,Inputs!$D$24,Inputs!$D$6)+SUMPRODUCT(--(F5112&gt;$D$5112:$M$5112),--(MOD(F5112-$D$5112:$M$5112,Inputs!$D$21)=Inputs!$D$6),$D$5119:$M$5119)</f>
        <v>0</v>
      </c>
      <c r="G5120" s="28">
        <f>IF(MOD(G5112,Inputs!$D$21)=Inputs!$D$6,Inputs!$D$24,Inputs!$D$6)+SUMPRODUCT(--(G5112&gt;$D$5112:$M$5112),--(MOD(G5112-$D$5112:$M$5112,Inputs!$D$21)=Inputs!$D$6),$D$5119:$M$5119)</f>
        <v>46</v>
      </c>
      <c r="H5120" s="28">
        <f>IF(MOD(H5112,Inputs!$D$21)=Inputs!$D$6,Inputs!$D$24,Inputs!$D$6)+SUMPRODUCT(--(H5112&gt;$D$5112:$M$5112),--(MOD(H5112-$D$5112:$M$5112,Inputs!$D$21)=Inputs!$D$6),$D$5119:$M$5119)</f>
        <v>466.20000000000005</v>
      </c>
      <c r="I5120" s="28">
        <f>IF(MOD(I5112,Inputs!$D$21)=Inputs!$D$6,Inputs!$D$24,Inputs!$D$6)+SUMPRODUCT(--(I5112&gt;$D$5112:$M$5112),--(MOD(I5112-$D$5112:$M$5112,Inputs!$D$21)=Inputs!$D$6),$D$5119:$M$5119)</f>
        <v>621.59999999999991</v>
      </c>
      <c r="J5120" s="28">
        <f>IF(MOD(J5112,Inputs!$D$21)=Inputs!$D$6,Inputs!$D$24,Inputs!$D$6)+SUMPRODUCT(--(J5112&gt;$D$5112:$M$5112),--(MOD(J5112-$D$5112:$M$5112,Inputs!$D$21)=Inputs!$D$6),$D$5119:$M$5119)</f>
        <v>466.20000000000005</v>
      </c>
      <c r="K5120" s="28">
        <f>IF(MOD(K5112,Inputs!$D$21)=Inputs!$D$6,Inputs!$D$24,Inputs!$D$6)+SUMPRODUCT(--(K5112&gt;$D$5112:$M$5112),--(MOD(K5112-$D$5112:$M$5112,Inputs!$D$21)=Inputs!$D$6),$D$5119:$M$5119)</f>
        <v>46</v>
      </c>
      <c r="L5120" s="28">
        <f>IF(MOD(L5112,Inputs!$D$21)=Inputs!$D$6,Inputs!$D$24,Inputs!$D$6)+SUMPRODUCT(--(L5112&gt;$D$5112:$M$5112),--(MOD(L5112-$D$5112:$M$5112,Inputs!$D$21)=Inputs!$D$6),$D$5119:$M$5119)</f>
        <v>466.20000000000005</v>
      </c>
      <c r="M5120" s="28">
        <f>IF(MOD(M5112,Inputs!$D$21)=Inputs!$D$6,Inputs!$D$24,Inputs!$D$6)+SUMPRODUCT(--(M5112&gt;$D$5112:$M$5112),--(MOD(M5112-$D$5112:$M$5112,Inputs!$D$21)=Inputs!$D$6),$D$5119:$M$5119)</f>
        <v>621.59999999999991</v>
      </c>
    </row>
    <row r="5121" spans="2:13" ht="15" customHeight="1" x14ac:dyDescent="0.2">
      <c r="B5121" s="10" t="s">
        <v>895</v>
      </c>
      <c r="C5121" s="10" t="s">
        <v>896</v>
      </c>
      <c r="D5121" s="28">
        <f t="shared" ref="D5121:M5121" si="1112">D5118*D5115</f>
        <v>199.43901437371667</v>
      </c>
      <c r="E5121" s="28">
        <f t="shared" si="1112"/>
        <v>823</v>
      </c>
      <c r="F5121" s="28">
        <f t="shared" si="1112"/>
        <v>1366.9</v>
      </c>
      <c r="G5121" s="28">
        <f t="shared" si="1112"/>
        <v>1600</v>
      </c>
      <c r="H5121" s="28">
        <f t="shared" si="1112"/>
        <v>1600</v>
      </c>
      <c r="I5121" s="28">
        <f t="shared" si="1112"/>
        <v>1600</v>
      </c>
      <c r="J5121" s="28">
        <f t="shared" si="1112"/>
        <v>1600</v>
      </c>
      <c r="K5121" s="28">
        <f t="shared" si="1112"/>
        <v>1600</v>
      </c>
      <c r="L5121" s="28">
        <f t="shared" si="1112"/>
        <v>1600</v>
      </c>
      <c r="M5121" s="28">
        <f t="shared" si="1112"/>
        <v>1600</v>
      </c>
    </row>
    <row r="5122" spans="2:13" ht="15" customHeight="1" x14ac:dyDescent="0.2">
      <c r="B5122" s="10" t="s">
        <v>897</v>
      </c>
      <c r="C5122" s="10" t="s">
        <v>110</v>
      </c>
      <c r="D5122" s="16">
        <f>D5121*($D$5141/Inputs!$D$21+$D$5142/Inputs!$D$22)</f>
        <v>2885.4529758392296</v>
      </c>
      <c r="E5122" s="16">
        <f>E5121*($D$5141/Inputs!$D$21+$D$5142/Inputs!$D$22)</f>
        <v>11907.037379686541</v>
      </c>
      <c r="F5122" s="16">
        <f>F5121*($D$5141/Inputs!$D$21+$D$5142/Inputs!$D$22)</f>
        <v>19776.098899506116</v>
      </c>
      <c r="G5122" s="16">
        <f>G5121*($D$5141/Inputs!$D$21+$D$5142/Inputs!$D$22)</f>
        <v>23148.553836571649</v>
      </c>
      <c r="H5122" s="16">
        <f>H5121*($D$5141/Inputs!$D$21+$D$5142/Inputs!$D$22)</f>
        <v>23148.553836571649</v>
      </c>
      <c r="I5122" s="16">
        <f>I5121*($D$5141/Inputs!$D$21+$D$5142/Inputs!$D$22)</f>
        <v>23148.553836571649</v>
      </c>
      <c r="J5122" s="16">
        <f>J5121*($D$5141/Inputs!$D$21+$D$5142/Inputs!$D$22)</f>
        <v>23148.553836571649</v>
      </c>
      <c r="K5122" s="16">
        <f>K5121*($D$5141/Inputs!$D$21+$D$5142/Inputs!$D$22)</f>
        <v>23148.553836571649</v>
      </c>
      <c r="L5122" s="16">
        <f>L5121*($D$5141/Inputs!$D$21+$D$5142/Inputs!$D$22)</f>
        <v>23148.553836571649</v>
      </c>
      <c r="M5122" s="16">
        <f>M5121*($D$5141/Inputs!$D$21+$D$5142/Inputs!$D$22)</f>
        <v>23148.553836571649</v>
      </c>
    </row>
    <row r="5123" spans="2:13" ht="15" customHeight="1" x14ac:dyDescent="0.2">
      <c r="B5123" s="10" t="s">
        <v>898</v>
      </c>
      <c r="C5123" s="10" t="s">
        <v>110</v>
      </c>
      <c r="D5123" s="16">
        <f t="shared" ref="D5123:M5123" si="1113">D5119*($D$5141+$D$5142)</f>
        <v>27955.774838967773</v>
      </c>
      <c r="E5123" s="16">
        <f t="shared" si="1113"/>
        <v>37274.366451957023</v>
      </c>
      <c r="F5123" s="16">
        <f t="shared" si="1113"/>
        <v>27955.774838967773</v>
      </c>
      <c r="G5123" s="16">
        <f t="shared" si="1113"/>
        <v>0</v>
      </c>
      <c r="H5123" s="16">
        <f t="shared" si="1113"/>
        <v>0</v>
      </c>
      <c r="I5123" s="16">
        <f t="shared" si="1113"/>
        <v>0</v>
      </c>
      <c r="J5123" s="16">
        <f t="shared" si="1113"/>
        <v>0</v>
      </c>
      <c r="K5123" s="16">
        <f t="shared" si="1113"/>
        <v>0</v>
      </c>
      <c r="L5123" s="16">
        <f t="shared" si="1113"/>
        <v>0</v>
      </c>
      <c r="M5123" s="16">
        <f t="shared" si="1113"/>
        <v>0</v>
      </c>
    </row>
    <row r="5124" spans="2:13" ht="15" customHeight="1" x14ac:dyDescent="0.2">
      <c r="B5124" s="10" t="s">
        <v>899</v>
      </c>
      <c r="C5124" s="10" t="s">
        <v>110</v>
      </c>
      <c r="D5124" s="16">
        <f t="shared" ref="D5124:M5124" si="1114">D5120*$D$5141</f>
        <v>0</v>
      </c>
      <c r="E5124" s="16">
        <f t="shared" si="1114"/>
        <v>0</v>
      </c>
      <c r="F5124" s="16">
        <f t="shared" si="1114"/>
        <v>0</v>
      </c>
      <c r="G5124" s="16">
        <f t="shared" si="1114"/>
        <v>2638.0048485671714</v>
      </c>
      <c r="H5124" s="16">
        <f t="shared" si="1114"/>
        <v>26735.605660913378</v>
      </c>
      <c r="I5124" s="16">
        <f t="shared" si="1114"/>
        <v>35647.474214551163</v>
      </c>
      <c r="J5124" s="16">
        <f t="shared" si="1114"/>
        <v>26735.605660913378</v>
      </c>
      <c r="K5124" s="16">
        <f t="shared" si="1114"/>
        <v>2638.0048485671714</v>
      </c>
      <c r="L5124" s="16">
        <f t="shared" si="1114"/>
        <v>26735.605660913378</v>
      </c>
      <c r="M5124" s="16">
        <f t="shared" si="1114"/>
        <v>35647.474214551163</v>
      </c>
    </row>
    <row r="5125" spans="2:13" ht="15" customHeight="1" x14ac:dyDescent="0.2">
      <c r="B5125" s="10" t="s">
        <v>900</v>
      </c>
      <c r="C5125" s="10" t="s">
        <v>199</v>
      </c>
      <c r="D5125" s="28">
        <f>D5119*Inputs!$D$23</f>
        <v>11.655000000000001</v>
      </c>
      <c r="E5125" s="28">
        <f>E5119*Inputs!$D$23</f>
        <v>15.54</v>
      </c>
      <c r="F5125" s="28">
        <f>F5119*Inputs!$D$23</f>
        <v>11.655000000000001</v>
      </c>
      <c r="G5125" s="28">
        <f>G5119*Inputs!$D$23</f>
        <v>0</v>
      </c>
      <c r="H5125" s="28">
        <f>H5119*Inputs!$D$23</f>
        <v>0</v>
      </c>
      <c r="I5125" s="28">
        <f>I5119*Inputs!$D$23</f>
        <v>0</v>
      </c>
      <c r="J5125" s="28">
        <f>J5119*Inputs!$D$23</f>
        <v>0</v>
      </c>
      <c r="K5125" s="28">
        <f>K5119*Inputs!$D$23</f>
        <v>0</v>
      </c>
      <c r="L5125" s="28">
        <f>L5119*Inputs!$D$23</f>
        <v>0</v>
      </c>
      <c r="M5125" s="28">
        <f>M5119*Inputs!$D$23</f>
        <v>0</v>
      </c>
    </row>
    <row r="5126" spans="2:13" ht="15" customHeight="1" x14ac:dyDescent="0.2">
      <c r="B5126" s="3" t="s">
        <v>901</v>
      </c>
      <c r="C5126" s="10" t="s">
        <v>896</v>
      </c>
      <c r="D5126" s="28">
        <f>(D5121*$D$5139*(Inputs!$D$7-Inputs!$D$19)-D5125)/(Inputs!$D$7+$D$5140)^D5114</f>
        <v>67.361764076638423</v>
      </c>
      <c r="E5126" s="28">
        <f>(E5121*$D$5139*(Inputs!$D$7-Inputs!$D$19)-E5125)/(Inputs!$D$7+$D$5140)^E5114</f>
        <v>280.29529652215348</v>
      </c>
      <c r="F5126" s="28">
        <f>(F5121*$D$5139*(Inputs!$D$7-Inputs!$D$19)-F5125)/(Inputs!$D$7+$D$5140)^F5114</f>
        <v>434.1683252988114</v>
      </c>
      <c r="G5126" s="28">
        <f>(G5121*$D$5139*(Inputs!$D$7-Inputs!$D$19)-G5125)/(Inputs!$D$7+$D$5140)^G5114</f>
        <v>471.61166655007548</v>
      </c>
      <c r="H5126" s="28">
        <f>(H5121*$D$5139*(Inputs!$D$7-Inputs!$D$19)-H5125)/(Inputs!$D$7+$D$5140)^H5114</f>
        <v>428.76584885109446</v>
      </c>
      <c r="I5126" s="28">
        <f>(I5121*$D$5139*(Inputs!$D$7-Inputs!$D$19)-I5125)/(Inputs!$D$7+$D$5140)^I5114</f>
        <v>389.71085801561958</v>
      </c>
      <c r="J5126" s="28">
        <f>(J5121*$D$5139*(Inputs!$D$7-Inputs!$D$19)-J5125)/(Inputs!$D$7+$D$5140)^J5114</f>
        <v>354.30571102255266</v>
      </c>
      <c r="K5126" s="28">
        <f>(K5121*$D$5139*(Inputs!$D$7-Inputs!$D$19)-K5125)/(Inputs!$D$7+$D$5140)^K5114</f>
        <v>322.1171139608465</v>
      </c>
      <c r="L5126" s="28">
        <f>(L5121*$D$5139*(Inputs!$D$7-Inputs!$D$19)-L5125)/(Inputs!$D$7+$D$5140)^L5114</f>
        <v>292.85284396632358</v>
      </c>
      <c r="M5126" s="28">
        <f>(M5121*$D$5139*(Inputs!$D$7-Inputs!$D$19)-M5125)/(Inputs!$D$7+$D$5140)^M5114</f>
        <v>266.1777597265347</v>
      </c>
    </row>
    <row r="5127" spans="2:13" ht="15" customHeight="1" x14ac:dyDescent="0.2">
      <c r="B5127" s="10" t="s">
        <v>902</v>
      </c>
      <c r="C5127" s="10" t="s">
        <v>110</v>
      </c>
      <c r="D5127" s="16">
        <f>(D5122*Inputs!$D$19-D5123-D5124)/(Inputs!$D$7+$D$5140)^D5114</f>
        <v>-25306.546745010444</v>
      </c>
      <c r="E5127" s="16">
        <f>(E5122*Inputs!$D$19-E5123-E5124)/(Inputs!$D$7+$D$5140)^E5114</f>
        <v>-28615.60531144682</v>
      </c>
      <c r="F5127" s="16">
        <f>(F5122*Inputs!$D$19-F5123-F5124)/(Inputs!$D$7+$D$5140)^F5114</f>
        <v>-17000.238641466985</v>
      </c>
      <c r="G5127" s="16">
        <f>(G5122*Inputs!$D$19-G5123-G5124)/(Inputs!$D$7+$D$5140)^G5114</f>
        <v>3022.3579656651286</v>
      </c>
      <c r="H5127" s="16">
        <f>(H5122*Inputs!$D$19-H5123-H5124)/(Inputs!$D$7+$D$5140)^H5114</f>
        <v>-12627.562284413363</v>
      </c>
      <c r="I5127" s="16">
        <f>(I5122*Inputs!$D$19-I5123-I5124)/(Inputs!$D$7+$D$5140)^I5114</f>
        <v>-16645.587691965891</v>
      </c>
      <c r="J5127" s="16">
        <f>(J5122*Inputs!$D$19-J5123-J5124)/(Inputs!$D$7+$D$5140)^J5114</f>
        <v>-10434.640365246118</v>
      </c>
      <c r="K5127" s="16">
        <f>(K5122*Inputs!$D$19-K5123-K5124)/(Inputs!$D$7+$D$5140)^K5114</f>
        <v>2064.3111574790846</v>
      </c>
      <c r="L5127" s="16">
        <f>(L5122*Inputs!$D$19-L5123-L5124)/(Inputs!$D$7+$D$5140)^L5114</f>
        <v>-8624.7949487148144</v>
      </c>
      <c r="M5127" s="16">
        <f>(M5122*Inputs!$D$19-M5123-M5124)/(Inputs!$D$7+$D$5140)^M5114</f>
        <v>-11369.160366071912</v>
      </c>
    </row>
    <row r="5128" spans="2:13" ht="15" customHeight="1" x14ac:dyDescent="0.2">
      <c r="B5128" s="10" t="s">
        <v>903</v>
      </c>
      <c r="C5128" s="10" t="s">
        <v>110</v>
      </c>
      <c r="D5128" s="16">
        <f t="shared" ref="D5128:M5128" si="1115">D5121*$D$5138</f>
        <v>7532.3378916946258</v>
      </c>
      <c r="E5128" s="16">
        <f t="shared" si="1115"/>
        <v>31082.755319119926</v>
      </c>
      <c r="F5128" s="16">
        <f t="shared" si="1115"/>
        <v>51624.56651969019</v>
      </c>
      <c r="G5128" s="16">
        <f t="shared" si="1115"/>
        <v>60428.199891363161</v>
      </c>
      <c r="H5128" s="16">
        <f t="shared" si="1115"/>
        <v>60428.199891363161</v>
      </c>
      <c r="I5128" s="16">
        <f t="shared" si="1115"/>
        <v>60428.199891363161</v>
      </c>
      <c r="J5128" s="16">
        <f t="shared" si="1115"/>
        <v>60428.199891363161</v>
      </c>
      <c r="K5128" s="16">
        <f t="shared" si="1115"/>
        <v>60428.199891363161</v>
      </c>
      <c r="L5128" s="16">
        <f t="shared" si="1115"/>
        <v>60428.199891363161</v>
      </c>
      <c r="M5128" s="16">
        <f t="shared" si="1115"/>
        <v>60428.199891363161</v>
      </c>
    </row>
    <row r="5129" spans="2:13" ht="15" customHeight="1" x14ac:dyDescent="0.2">
      <c r="B5129" s="10" t="s">
        <v>904</v>
      </c>
      <c r="C5129" s="10" t="s">
        <v>110</v>
      </c>
      <c r="D5129" s="16">
        <f t="shared" ref="D5129:M5129" si="1116">D5128*$D$5139</f>
        <v>4519.4027350167753</v>
      </c>
      <c r="E5129" s="16">
        <f t="shared" si="1116"/>
        <v>18649.653191471956</v>
      </c>
      <c r="F5129" s="16">
        <f t="shared" si="1116"/>
        <v>30974.739911814111</v>
      </c>
      <c r="G5129" s="16">
        <f t="shared" si="1116"/>
        <v>36256.919934817895</v>
      </c>
      <c r="H5129" s="16">
        <f t="shared" si="1116"/>
        <v>36256.919934817895</v>
      </c>
      <c r="I5129" s="16">
        <f t="shared" si="1116"/>
        <v>36256.919934817895</v>
      </c>
      <c r="J5129" s="16">
        <f t="shared" si="1116"/>
        <v>36256.919934817895</v>
      </c>
      <c r="K5129" s="16">
        <f t="shared" si="1116"/>
        <v>36256.919934817895</v>
      </c>
      <c r="L5129" s="16">
        <f t="shared" si="1116"/>
        <v>36256.919934817895</v>
      </c>
      <c r="M5129" s="16">
        <f t="shared" si="1116"/>
        <v>36256.919934817895</v>
      </c>
    </row>
    <row r="5130" spans="2:13" ht="15" customHeight="1" x14ac:dyDescent="0.2">
      <c r="B5130" s="10" t="s">
        <v>905</v>
      </c>
      <c r="C5130" s="10" t="s">
        <v>110</v>
      </c>
      <c r="D5130" s="16">
        <f t="shared" ref="D5130:M5130" si="1117">D5129-D5122</f>
        <v>1633.9497591775457</v>
      </c>
      <c r="E5130" s="16">
        <f t="shared" si="1117"/>
        <v>6742.6158117854156</v>
      </c>
      <c r="F5130" s="16">
        <f t="shared" si="1117"/>
        <v>11198.641012307995</v>
      </c>
      <c r="G5130" s="16">
        <f t="shared" si="1117"/>
        <v>13108.366098246246</v>
      </c>
      <c r="H5130" s="16">
        <f t="shared" si="1117"/>
        <v>13108.366098246246</v>
      </c>
      <c r="I5130" s="16">
        <f t="shared" si="1117"/>
        <v>13108.366098246246</v>
      </c>
      <c r="J5130" s="16">
        <f t="shared" si="1117"/>
        <v>13108.366098246246</v>
      </c>
      <c r="K5130" s="16">
        <f t="shared" si="1117"/>
        <v>13108.366098246246</v>
      </c>
      <c r="L5130" s="16">
        <f t="shared" si="1117"/>
        <v>13108.366098246246</v>
      </c>
      <c r="M5130" s="16">
        <f t="shared" si="1117"/>
        <v>13108.366098246246</v>
      </c>
    </row>
    <row r="5131" spans="2:13" ht="15" customHeight="1" x14ac:dyDescent="0.2">
      <c r="B5131" s="10" t="s">
        <v>906</v>
      </c>
      <c r="C5131" s="10" t="s">
        <v>110</v>
      </c>
      <c r="D5131" s="16">
        <f>MAX(D5130,Inputs!$D$6)*Inputs!$D$19</f>
        <v>490.18492775326371</v>
      </c>
      <c r="E5131" s="16">
        <f>MAX(E5130,Inputs!$D$6)*Inputs!$D$19</f>
        <v>2022.7847435356246</v>
      </c>
      <c r="F5131" s="16">
        <f>MAX(F5130,Inputs!$D$6)*Inputs!$D$19</f>
        <v>3359.5923036923982</v>
      </c>
      <c r="G5131" s="16">
        <f>MAX(G5130,Inputs!$D$6)*Inputs!$D$19</f>
        <v>3932.5098294738737</v>
      </c>
      <c r="H5131" s="16">
        <f>MAX(H5130,Inputs!$D$6)*Inputs!$D$19</f>
        <v>3932.5098294738737</v>
      </c>
      <c r="I5131" s="16">
        <f>MAX(I5130,Inputs!$D$6)*Inputs!$D$19</f>
        <v>3932.5098294738737</v>
      </c>
      <c r="J5131" s="16">
        <f>MAX(J5130,Inputs!$D$6)*Inputs!$D$19</f>
        <v>3932.5098294738737</v>
      </c>
      <c r="K5131" s="16">
        <f>MAX(K5130,Inputs!$D$6)*Inputs!$D$19</f>
        <v>3932.5098294738737</v>
      </c>
      <c r="L5131" s="16">
        <f>MAX(L5130,Inputs!$D$6)*Inputs!$D$19</f>
        <v>3932.5098294738737</v>
      </c>
      <c r="M5131" s="16">
        <f>MAX(M5130,Inputs!$D$6)*Inputs!$D$19</f>
        <v>3932.5098294738737</v>
      </c>
    </row>
    <row r="5132" spans="2:13" ht="15" customHeight="1" x14ac:dyDescent="0.2">
      <c r="B5132" s="10" t="s">
        <v>907</v>
      </c>
      <c r="C5132" s="10" t="s">
        <v>110</v>
      </c>
      <c r="D5132" s="16">
        <f t="shared" ref="D5132:M5132" si="1118">D5125*$D$5138</f>
        <v>440.18166858364856</v>
      </c>
      <c r="E5132" s="16">
        <f t="shared" si="1118"/>
        <v>586.90889144486459</v>
      </c>
      <c r="F5132" s="16">
        <f t="shared" si="1118"/>
        <v>440.18166858364856</v>
      </c>
      <c r="G5132" s="16">
        <f t="shared" si="1118"/>
        <v>0</v>
      </c>
      <c r="H5132" s="16">
        <f t="shared" si="1118"/>
        <v>0</v>
      </c>
      <c r="I5132" s="16">
        <f t="shared" si="1118"/>
        <v>0</v>
      </c>
      <c r="J5132" s="16">
        <f t="shared" si="1118"/>
        <v>0</v>
      </c>
      <c r="K5132" s="16">
        <f t="shared" si="1118"/>
        <v>0</v>
      </c>
      <c r="L5132" s="16">
        <f t="shared" si="1118"/>
        <v>0</v>
      </c>
      <c r="M5132" s="16">
        <f t="shared" si="1118"/>
        <v>0</v>
      </c>
    </row>
    <row r="5133" spans="2:13" ht="15" customHeight="1" x14ac:dyDescent="0.2">
      <c r="B5133" s="10" t="s">
        <v>908</v>
      </c>
      <c r="C5133" s="10" t="s">
        <v>110</v>
      </c>
      <c r="D5133" s="16">
        <f t="shared" ref="D5133:M5133" si="1119">D5129-D5131-D5123-D5124-D5132</f>
        <v>-24366.738700287911</v>
      </c>
      <c r="E5133" s="16">
        <f t="shared" si="1119"/>
        <v>-21234.406895465556</v>
      </c>
      <c r="F5133" s="16">
        <f t="shared" si="1119"/>
        <v>-780.80889942970975</v>
      </c>
      <c r="G5133" s="16">
        <f t="shared" si="1119"/>
        <v>29686.405256776849</v>
      </c>
      <c r="H5133" s="16">
        <f t="shared" si="1119"/>
        <v>5588.8044444306433</v>
      </c>
      <c r="I5133" s="16">
        <f t="shared" si="1119"/>
        <v>-3323.0641092071419</v>
      </c>
      <c r="J5133" s="16">
        <f t="shared" si="1119"/>
        <v>5588.8044444306433</v>
      </c>
      <c r="K5133" s="16">
        <f t="shared" si="1119"/>
        <v>29686.405256776849</v>
      </c>
      <c r="L5133" s="16">
        <f t="shared" si="1119"/>
        <v>5588.8044444306433</v>
      </c>
      <c r="M5133" s="16">
        <f t="shared" si="1119"/>
        <v>-3323.0641092071419</v>
      </c>
    </row>
    <row r="5134" spans="2:13" ht="15" customHeight="1" x14ac:dyDescent="0.2">
      <c r="B5134" s="10" t="s">
        <v>909</v>
      </c>
      <c r="C5134" s="10" t="s">
        <v>110</v>
      </c>
      <c r="D5134" s="16">
        <f>D5133/(Inputs!$D$7+$D$5140)^D5114</f>
        <v>-22762.452904599224</v>
      </c>
      <c r="E5134" s="16">
        <f>E5133/(Inputs!$D$7+$D$5140)^E5114</f>
        <v>-18029.517682165817</v>
      </c>
      <c r="F5134" s="16">
        <f>F5133/(Inputs!$D$7+$D$5140)^F5114</f>
        <v>-602.73217418263744</v>
      </c>
      <c r="G5134" s="16">
        <f>G5133/(Inputs!$D$7+$D$5140)^G5114</f>
        <v>20834.01050153192</v>
      </c>
      <c r="H5134" s="16">
        <f>H5133/(Inputs!$D$7+$D$5140)^H5114</f>
        <v>3565.9054786890983</v>
      </c>
      <c r="I5134" s="16">
        <f>I5133/(Inputs!$D$7+$D$5140)^I5114</f>
        <v>-1927.1341744643241</v>
      </c>
      <c r="J5134" s="16">
        <f>J5133/(Inputs!$D$7+$D$5140)^J5114</f>
        <v>2946.6448399553592</v>
      </c>
      <c r="K5134" s="16">
        <f>K5133/(Inputs!$D$7+$D$5140)^K5114</f>
        <v>14229.909501763483</v>
      </c>
      <c r="L5134" s="16">
        <f>L5133/(Inputs!$D$7+$D$5140)^L5114</f>
        <v>2435.561422504677</v>
      </c>
      <c r="M5134" s="16">
        <f>M5133/(Inputs!$D$7+$D$5140)^M5114</f>
        <v>-1316.2585714529907</v>
      </c>
    </row>
    <row r="5135" spans="2:13" ht="15" customHeight="1" x14ac:dyDescent="0.2">
      <c r="B5135" s="3" t="s">
        <v>910</v>
      </c>
      <c r="C5135" s="10" t="s">
        <v>896</v>
      </c>
      <c r="D5135" s="28">
        <f>(D5121*$D$5139-D5125)/(Inputs!$D$7+$D$5140)^D5114</f>
        <v>100.89722489537324</v>
      </c>
      <c r="E5135" s="28">
        <f>(E5121*$D$5139-E5125)/(Inputs!$D$7+$D$5140)^E5114</f>
        <v>406.07666459070981</v>
      </c>
      <c r="F5135" s="28">
        <f>(F5121*$D$5139-F5125)/(Inputs!$D$7+$D$5140)^F5114</f>
        <v>624.09627016286015</v>
      </c>
      <c r="G5135" s="28">
        <f>(G5121*$D$5139-G5125)/(Inputs!$D$7+$D$5140)^G5114</f>
        <v>673.73095221439348</v>
      </c>
      <c r="H5135" s="28">
        <f>(H5121*$D$5139-H5125)/(Inputs!$D$7+$D$5140)^H5114</f>
        <v>612.52264121584926</v>
      </c>
      <c r="I5135" s="28">
        <f>(I5121*$D$5139-I5125)/(Inputs!$D$7+$D$5140)^I5114</f>
        <v>556.72979716517079</v>
      </c>
      <c r="J5135" s="28">
        <f>(J5121*$D$5139-J5125)/(Inputs!$D$7+$D$5140)^J5114</f>
        <v>506.15101574650379</v>
      </c>
      <c r="K5135" s="28">
        <f>(K5121*$D$5139-K5125)/(Inputs!$D$7+$D$5140)^K5114</f>
        <v>460.16730565835212</v>
      </c>
      <c r="L5135" s="28">
        <f>(L5121*$D$5139-L5125)/(Inputs!$D$7+$D$5140)^L5114</f>
        <v>418.36120566617655</v>
      </c>
      <c r="M5135" s="28">
        <f>(M5121*$D$5139-M5125)/(Inputs!$D$7+$D$5140)^M5114</f>
        <v>380.25394246647818</v>
      </c>
    </row>
    <row r="5136" spans="2:13" ht="15" customHeight="1" x14ac:dyDescent="0.2">
      <c r="B5136" s="10" t="s">
        <v>911</v>
      </c>
      <c r="C5136" s="10" t="s">
        <v>110</v>
      </c>
      <c r="D5136" s="16">
        <f>(-D5123-D5124)/(Inputs!$D$7+$D$5140)^D5114</f>
        <v>-26115.189891048693</v>
      </c>
      <c r="E5136" s="16">
        <f>(-E5123-E5124)/(Inputs!$D$7+$D$5140)^E5114</f>
        <v>-31648.581113918288</v>
      </c>
      <c r="F5136" s="16">
        <f>(-F5123-F5124)/(Inputs!$D$7+$D$5140)^F5114</f>
        <v>-21579.985783919947</v>
      </c>
      <c r="G5136" s="16">
        <f>(-G5123-G5124)/(Inputs!$D$7+$D$5140)^G5114</f>
        <v>-1851.359915178487</v>
      </c>
      <c r="H5136" s="16">
        <f>(-H5123-H5124)/(Inputs!$D$7+$D$5140)^H5114</f>
        <v>-17058.50395200841</v>
      </c>
      <c r="I5136" s="16">
        <f>(-I5123-I5124)/(Inputs!$D$7+$D$5140)^I5114</f>
        <v>-20672.92821762263</v>
      </c>
      <c r="J5136" s="16">
        <f>(-J5123-J5124)/(Inputs!$D$7+$D$5140)^J5114</f>
        <v>-14096.097876947169</v>
      </c>
      <c r="K5136" s="16">
        <f>(-K5123-K5124)/(Inputs!$D$7+$D$5140)^K5114</f>
        <v>-1264.5037327904422</v>
      </c>
      <c r="L5136" s="16">
        <f>(-L5123-L5124)/(Inputs!$D$7+$D$5140)^L5114</f>
        <v>-11651.187727619976</v>
      </c>
      <c r="M5136" s="16">
        <f>(-M5123-M5124)/(Inputs!$D$7+$D$5140)^M5114</f>
        <v>-14119.888134432502</v>
      </c>
    </row>
    <row r="5137" spans="2:13" ht="15" customHeight="1" x14ac:dyDescent="0.2">
      <c r="B5137" s="10" t="s">
        <v>912</v>
      </c>
      <c r="C5137" s="10" t="s">
        <v>110</v>
      </c>
      <c r="D5137" s="16">
        <f>Prices!K9</f>
        <v>36178.700386874909</v>
      </c>
    </row>
    <row r="5138" spans="2:13" ht="15" customHeight="1" x14ac:dyDescent="0.2">
      <c r="B5138" s="3" t="s">
        <v>913</v>
      </c>
      <c r="C5138" s="10" t="s">
        <v>914</v>
      </c>
      <c r="D5138" s="28">
        <f>IF(J5145&gt;=J5141,J5145,(D5137-J5144)/J5143)</f>
        <v>37.767624932101974</v>
      </c>
      <c r="G5138" s="99" t="s">
        <v>915</v>
      </c>
      <c r="H5138" s="91"/>
      <c r="I5138" s="91"/>
      <c r="J5138" s="28">
        <f>D5138*Inputs!$D$15</f>
        <v>26.358025440113966</v>
      </c>
      <c r="K5138" s="99" t="s">
        <v>916</v>
      </c>
      <c r="L5138" s="91"/>
      <c r="M5138" s="91"/>
    </row>
    <row r="5139" spans="2:13" ht="15" customHeight="1" x14ac:dyDescent="0.2">
      <c r="B5139" s="10" t="s">
        <v>917</v>
      </c>
      <c r="C5139" s="10" t="s">
        <v>104</v>
      </c>
      <c r="D5139" s="30">
        <f>Inputs!$D$81</f>
        <v>0.6</v>
      </c>
      <c r="G5139" s="99" t="s">
        <v>918</v>
      </c>
      <c r="H5139" s="91"/>
      <c r="I5139" s="91"/>
      <c r="J5139" s="28">
        <f>IF(-D5150/D5149&gt;=J5141,-D5150/D5149,-J5144/J5143)</f>
        <v>32.55444198319757</v>
      </c>
      <c r="K5139" s="99" t="s">
        <v>919</v>
      </c>
      <c r="L5139" s="91"/>
      <c r="M5139" s="91"/>
    </row>
    <row r="5140" spans="2:13" ht="15" customHeight="1" x14ac:dyDescent="0.2">
      <c r="B5140" s="10" t="s">
        <v>920</v>
      </c>
      <c r="C5140" s="10" t="s">
        <v>104</v>
      </c>
      <c r="D5140" s="30">
        <f>Inputs!$D$82</f>
        <v>0.1</v>
      </c>
      <c r="G5140" s="99" t="s">
        <v>918</v>
      </c>
      <c r="H5140" s="91"/>
      <c r="I5140" s="91"/>
      <c r="J5140" s="28">
        <f>J5139*Inputs!$D$15</f>
        <v>22.719745060073585</v>
      </c>
      <c r="K5140" s="99" t="s">
        <v>916</v>
      </c>
      <c r="L5140" s="91"/>
      <c r="M5140" s="91"/>
    </row>
    <row r="5141" spans="2:13" ht="15" customHeight="1" x14ac:dyDescent="0.2">
      <c r="B5141" s="3" t="s">
        <v>921</v>
      </c>
      <c r="C5141" s="10" t="s">
        <v>848</v>
      </c>
      <c r="D5141" s="28">
        <f>Capital!$D$13</f>
        <v>57.347931490590682</v>
      </c>
      <c r="G5141" s="99" t="s">
        <v>922</v>
      </c>
      <c r="H5141" s="91"/>
      <c r="I5141" s="91"/>
      <c r="J5141" s="28">
        <f>($D$5141/Inputs!$D$21+$D$5142/Inputs!$D$22)/$D$5139</f>
        <v>24.113076913095469</v>
      </c>
      <c r="K5141" s="99" t="s">
        <v>919</v>
      </c>
      <c r="L5141" s="91"/>
      <c r="M5141" s="91"/>
    </row>
    <row r="5142" spans="2:13" ht="15" customHeight="1" x14ac:dyDescent="0.2">
      <c r="B5142" s="3" t="s">
        <v>923</v>
      </c>
      <c r="C5142" s="10" t="s">
        <v>848</v>
      </c>
      <c r="D5142" s="28">
        <f>Capital!$D$14</f>
        <v>2.6172655041921802</v>
      </c>
    </row>
    <row r="5143" spans="2:13" ht="15" customHeight="1" x14ac:dyDescent="0.2">
      <c r="B5143" s="10" t="s">
        <v>924</v>
      </c>
      <c r="C5143" s="10" t="s">
        <v>896</v>
      </c>
      <c r="D5143" s="28">
        <f>(M5116*(Inputs!$D$7+Inputs!$D$20)*$D$5139*(Inputs!$D$7-Inputs!$D$19)-M5116*Inputs!$D$20*Inputs!$D$23)/($D$5140-Inputs!$D$20)/(Inputs!$D$7+$D$5140)^M5114</f>
        <v>3632.4814115061608</v>
      </c>
      <c r="G5143" s="92" t="s">
        <v>910</v>
      </c>
      <c r="H5143" s="91"/>
      <c r="I5143" s="91"/>
      <c r="J5143" s="28">
        <f>SUM(D5135:M5135)+(M5116*(Inputs!$D$7+Inputs!$D$20)*$D$5139-M5116*Inputs!$D$20*Inputs!$D$23)/($D$5140-Inputs!$D$20)/(Inputs!$D$7+$D$5140)^M5114</f>
        <v>9930.5095954005883</v>
      </c>
      <c r="K5143" s="99" t="s">
        <v>896</v>
      </c>
      <c r="L5143" s="91"/>
      <c r="M5143" s="91"/>
    </row>
    <row r="5144" spans="2:13" ht="15" customHeight="1" x14ac:dyDescent="0.2">
      <c r="B5144" s="10" t="s">
        <v>925</v>
      </c>
      <c r="C5144" s="10" t="s">
        <v>110</v>
      </c>
      <c r="D5144" s="16">
        <f>(D5147*Inputs!$D$19-D5147-D5148)/($D$5140-Inputs!$D$20)/(Inputs!$D$7+$D$5140)^M5114</f>
        <v>-100385.43137330168</v>
      </c>
      <c r="G5144" s="92" t="s">
        <v>926</v>
      </c>
      <c r="H5144" s="91"/>
      <c r="I5144" s="91"/>
      <c r="J5144" s="16">
        <f>SUM(D5136:M5136)-(D5147+D5148)/($D$5140-Inputs!$D$20)/(Inputs!$D$7+$D$5140)^M5114</f>
        <v>-298036.93721971626</v>
      </c>
      <c r="K5144" s="99" t="s">
        <v>110</v>
      </c>
      <c r="L5144" s="91"/>
      <c r="M5144" s="91"/>
    </row>
    <row r="5145" spans="2:13" ht="15" customHeight="1" x14ac:dyDescent="0.2">
      <c r="B5145" s="10" t="s">
        <v>927</v>
      </c>
      <c r="C5145" s="10" t="s">
        <v>928</v>
      </c>
      <c r="D5145" s="16">
        <f>(M5116*(Inputs!$D$7+Inputs!$D$20)*$D$5138*$D$5139-D5147)-MAX((M5116*(Inputs!$D$7+Inputs!$D$20)*$D$5138*$D$5139-D5147),Inputs!$D$6)*Inputs!$D$19-D5148-M5116*Inputs!$D$20*$D$5138*Inputs!$D$23</f>
        <v>6968.8771707682636</v>
      </c>
      <c r="G5145" s="99" t="s">
        <v>929</v>
      </c>
      <c r="H5145" s="91"/>
      <c r="I5145" s="91"/>
      <c r="J5145" s="28">
        <f>(D5137-D5150)/D5149</f>
        <v>37.767624932101974</v>
      </c>
      <c r="K5145" s="99" t="s">
        <v>919</v>
      </c>
      <c r="L5145" s="91"/>
      <c r="M5145" s="91"/>
    </row>
    <row r="5146" spans="2:13" ht="15" customHeight="1" x14ac:dyDescent="0.2">
      <c r="B5146" s="10" t="s">
        <v>930</v>
      </c>
      <c r="C5146" s="10" t="s">
        <v>110</v>
      </c>
      <c r="D5146" s="16">
        <f>D5145/($D$5140-Inputs!$D$20)</f>
        <v>92918.362276910164</v>
      </c>
      <c r="G5146" s="99" t="s">
        <v>931</v>
      </c>
      <c r="H5146" s="91"/>
      <c r="I5146" s="91"/>
      <c r="J5146" s="16">
        <f>MIN(D5130:M5130,(M5116*(Inputs!$D$7+Inputs!$D$20)*$D$5138*$D$5139-D5147))</f>
        <v>1633.9497591775457</v>
      </c>
      <c r="K5146" s="99" t="s">
        <v>110</v>
      </c>
      <c r="L5146" s="91"/>
      <c r="M5146" s="91"/>
    </row>
    <row r="5147" spans="2:13" ht="15" customHeight="1" x14ac:dyDescent="0.2">
      <c r="B5147" s="10" t="s">
        <v>932</v>
      </c>
      <c r="C5147" s="10" t="s">
        <v>928</v>
      </c>
      <c r="D5147" s="16">
        <f>M5116*(Inputs!$D$7+Inputs!$D$20)*($D$5141/Inputs!$D$21+$D$5142/Inputs!$D$22)</f>
        <v>23727.267682485937</v>
      </c>
      <c r="G5147" s="99" t="s">
        <v>933</v>
      </c>
      <c r="H5147" s="91"/>
      <c r="I5147" s="91"/>
      <c r="J5147" s="31" t="str">
        <f>IF(J5146&lt;Inputs!$D$6,"breached","satisfied")</f>
        <v>satisfied</v>
      </c>
      <c r="K5147" s="99" t="s">
        <v>934</v>
      </c>
      <c r="L5147" s="91"/>
      <c r="M5147" s="91"/>
    </row>
    <row r="5148" spans="2:13" ht="15" customHeight="1" x14ac:dyDescent="0.2">
      <c r="B5148" s="10" t="s">
        <v>935</v>
      </c>
      <c r="C5148" s="10" t="s">
        <v>928</v>
      </c>
      <c r="D5148" s="16">
        <f>M5116*Inputs!$D$20*($D$5141+$D$5142)</f>
        <v>2398.6078797913146</v>
      </c>
    </row>
    <row r="5149" spans="2:13" ht="15" customHeight="1" x14ac:dyDescent="0.2">
      <c r="B5149" s="10" t="s">
        <v>936</v>
      </c>
      <c r="C5149" s="10" t="s">
        <v>896</v>
      </c>
      <c r="D5149" s="28">
        <f>SUM(D5126:M5126)+D5143</f>
        <v>6939.8485994968105</v>
      </c>
      <c r="G5149" s="99" t="s">
        <v>937</v>
      </c>
      <c r="H5149" s="91"/>
      <c r="I5149" s="91"/>
      <c r="J5149" s="16">
        <f>D5151-D5137</f>
        <v>0</v>
      </c>
      <c r="K5149" s="99" t="s">
        <v>110</v>
      </c>
      <c r="L5149" s="91"/>
      <c r="M5149" s="91"/>
    </row>
    <row r="5150" spans="2:13" ht="15" customHeight="1" x14ac:dyDescent="0.2">
      <c r="B5150" s="10" t="s">
        <v>938</v>
      </c>
      <c r="C5150" s="10" t="s">
        <v>110</v>
      </c>
      <c r="D5150" s="16">
        <f>SUM(D5127:M5127)+D5144</f>
        <v>-225922.89860449382</v>
      </c>
    </row>
    <row r="5151" spans="2:13" ht="15" customHeight="1" x14ac:dyDescent="0.2">
      <c r="B5151" s="10" t="s">
        <v>939</v>
      </c>
      <c r="C5151" s="10" t="s">
        <v>110</v>
      </c>
      <c r="D5151" s="16">
        <f>SUM(D5134:M5134)+D5146/(Inputs!$D$7+$D$5140)^M5114</f>
        <v>36178.700386874938</v>
      </c>
    </row>
    <row r="5152" spans="2:13" ht="15" customHeight="1" x14ac:dyDescent="0.2">
      <c r="B5152" s="10" t="s">
        <v>940</v>
      </c>
      <c r="C5152" s="10" t="s">
        <v>104</v>
      </c>
      <c r="D5152" s="30">
        <f>IF(ABS(D5137)&gt;Inputs!$D$6,D5151/D5137-Inputs!$D$7,Inputs!$D$6)</f>
        <v>8.8817841970012523E-16</v>
      </c>
    </row>
    <row r="5153" spans="2:4" ht="15" customHeight="1" x14ac:dyDescent="0.2">
      <c r="B5153" s="10" t="s">
        <v>941</v>
      </c>
      <c r="C5153" s="10" t="s">
        <v>104</v>
      </c>
      <c r="D5153" s="30">
        <f>IF(ABS(D5151)&gt;Inputs!$D$119,D5146/(Inputs!$D$7+$D$5140)^M5114/D5151,Inputs!$D$6)</f>
        <v>1.0173047609705621</v>
      </c>
    </row>
    <row r="5154" spans="2:4" ht="15" customHeight="1" x14ac:dyDescent="0.2">
      <c r="B5154" s="10" t="s">
        <v>942</v>
      </c>
      <c r="C5154" s="10" t="s">
        <v>943</v>
      </c>
      <c r="D5154" s="26">
        <f>$D$5138*Inputs!$D$8/Prices!$P$6/(Inputs!$D$26/Inputs!$D$25)/Inputs!$D$11/Inputs!$D$56</f>
        <v>6.8681573139070045</v>
      </c>
    </row>
  </sheetData>
  <mergeCells count="2354">
    <mergeCell ref="K5093:M5093"/>
    <mergeCell ref="G2197:I2197"/>
    <mergeCell ref="K4036:M4036"/>
    <mergeCell ref="G4816:I4816"/>
    <mergeCell ref="G3169:I3169"/>
    <mergeCell ref="G2110:I2110"/>
    <mergeCell ref="G4359:I4359"/>
    <mergeCell ref="K3120:M3120"/>
    <mergeCell ref="G3625:I3625"/>
    <mergeCell ref="K907:M907"/>
    <mergeCell ref="G3896:I3896"/>
    <mergeCell ref="G3171:I3171"/>
    <mergeCell ref="K906:M906"/>
    <mergeCell ref="G4361:I4361"/>
    <mergeCell ref="K4175:M4175"/>
    <mergeCell ref="G3627:I3627"/>
    <mergeCell ref="K1511:M1511"/>
    <mergeCell ref="G4870:I4870"/>
    <mergeCell ref="K3631:M3631"/>
    <mergeCell ref="K908:M908"/>
    <mergeCell ref="K4183:M4183"/>
    <mergeCell ref="K4177:M4177"/>
    <mergeCell ref="K3720:M3720"/>
    <mergeCell ref="K1506:M1506"/>
    <mergeCell ref="K4089:M4089"/>
    <mergeCell ref="K4220:M4220"/>
    <mergeCell ref="K4543:M4543"/>
    <mergeCell ref="K2433:M2433"/>
    <mergeCell ref="K2427:M2427"/>
    <mergeCell ref="K1699:M1699"/>
    <mergeCell ref="K1970:M1970"/>
    <mergeCell ref="G3809:I3809"/>
    <mergeCell ref="G1097:I1097"/>
    <mergeCell ref="K173:M173"/>
    <mergeCell ref="G5046:I5046"/>
    <mergeCell ref="K3807:M3807"/>
    <mergeCell ref="G3945:I3945"/>
    <mergeCell ref="K1653:M1653"/>
    <mergeCell ref="K3344:M3344"/>
    <mergeCell ref="G1099:I1099"/>
    <mergeCell ref="K1234:M1234"/>
    <mergeCell ref="G1826:I1826"/>
    <mergeCell ref="K219:M219"/>
    <mergeCell ref="G538:I538"/>
    <mergeCell ref="K546:M546"/>
    <mergeCell ref="G1143:I1143"/>
    <mergeCell ref="G2656:I2656"/>
    <mergeCell ref="G3263:I3263"/>
    <mergeCell ref="G449:I449"/>
    <mergeCell ref="G2611:I2611"/>
    <mergeCell ref="K2431:M2431"/>
    <mergeCell ref="K1372:M1372"/>
    <mergeCell ref="K2425:M2425"/>
    <mergeCell ref="G178:I178"/>
    <mergeCell ref="K5139:M5139"/>
    <mergeCell ref="G2610:I2610"/>
    <mergeCell ref="K4229:M4229"/>
    <mergeCell ref="K4862:M4862"/>
    <mergeCell ref="G823:I823"/>
    <mergeCell ref="K3346:M3346"/>
    <mergeCell ref="K4405:M4405"/>
    <mergeCell ref="K1559:M1559"/>
    <mergeCell ref="A1110:A1115"/>
    <mergeCell ref="G825:I825"/>
    <mergeCell ref="G2155:I2155"/>
    <mergeCell ref="K4407:M4407"/>
    <mergeCell ref="A2628:A2633"/>
    <mergeCell ref="K4863:M4863"/>
    <mergeCell ref="K3347:M3347"/>
    <mergeCell ref="G3996:I3996"/>
    <mergeCell ref="G2937:I2937"/>
    <mergeCell ref="K3947:M3947"/>
    <mergeCell ref="G1423:I1423"/>
    <mergeCell ref="G2516:I2516"/>
    <mergeCell ref="G5057:I5057"/>
    <mergeCell ref="K3949:M3949"/>
    <mergeCell ref="G4454:I4454"/>
    <mergeCell ref="G4725:I4725"/>
    <mergeCell ref="K2338:M2338"/>
    <mergeCell ref="G2938:I2938"/>
    <mergeCell ref="K4135:M4135"/>
    <mergeCell ref="K1735:M1735"/>
    <mergeCell ref="K4547:M4547"/>
    <mergeCell ref="K2333:M2333"/>
    <mergeCell ref="A1708:A1713"/>
    <mergeCell ref="K544:M544"/>
    <mergeCell ref="G3717:I3717"/>
    <mergeCell ref="G1049:I1049"/>
    <mergeCell ref="K2059:M2059"/>
    <mergeCell ref="K1000:M1000"/>
    <mergeCell ref="G2195:I2195"/>
    <mergeCell ref="G408:I408"/>
    <mergeCell ref="K1605:M1605"/>
    <mergeCell ref="G4357:I4357"/>
    <mergeCell ref="K871:M871"/>
    <mergeCell ref="K2061:M2061"/>
    <mergeCell ref="K3391:M3391"/>
    <mergeCell ref="K2017:M2017"/>
    <mergeCell ref="K1604:M1604"/>
    <mergeCell ref="K1598:M1598"/>
    <mergeCell ref="K4179:M4179"/>
    <mergeCell ref="K4173:M4173"/>
    <mergeCell ref="K3445:M3445"/>
    <mergeCell ref="K2386:M2386"/>
    <mergeCell ref="K2659:M2659"/>
    <mergeCell ref="K4172:M4172"/>
    <mergeCell ref="G3439:I3439"/>
    <mergeCell ref="G2982:I2982"/>
    <mergeCell ref="K3447:M3447"/>
    <mergeCell ref="K4174:M4174"/>
    <mergeCell ref="K587:M587"/>
    <mergeCell ref="G454:I454"/>
    <mergeCell ref="G3345:I3345"/>
    <mergeCell ref="G2286:I2286"/>
    <mergeCell ref="G1829:I1829"/>
    <mergeCell ref="G3258:I3258"/>
    <mergeCell ref="K1233:M1233"/>
    <mergeCell ref="G5138:I5138"/>
    <mergeCell ref="G768:I768"/>
    <mergeCell ref="G2984:I2984"/>
    <mergeCell ref="G3307:I3307"/>
    <mergeCell ref="G1191:I1191"/>
    <mergeCell ref="A2904:A2909"/>
    <mergeCell ref="G770:I770"/>
    <mergeCell ref="K4960:M4960"/>
    <mergeCell ref="G4362:I4362"/>
    <mergeCell ref="K592:M592"/>
    <mergeCell ref="K4505:M4505"/>
    <mergeCell ref="A4836:A4841"/>
    <mergeCell ref="G909:I909"/>
    <mergeCell ref="K3763:M3763"/>
    <mergeCell ref="K2291:M2291"/>
    <mergeCell ref="G3211:I3211"/>
    <mergeCell ref="K1644:M1644"/>
    <mergeCell ref="G2608:I2608"/>
    <mergeCell ref="G3667:I3667"/>
    <mergeCell ref="K1458:M1458"/>
    <mergeCell ref="G3669:I3669"/>
    <mergeCell ref="K2430:M2430"/>
    <mergeCell ref="G2153:I2153"/>
    <mergeCell ref="G3206:I3206"/>
    <mergeCell ref="G3028:I3028"/>
    <mergeCell ref="A4376:A4381"/>
    <mergeCell ref="G2609:I2609"/>
    <mergeCell ref="G912:I912"/>
    <mergeCell ref="G1550:I1550"/>
    <mergeCell ref="K1975:M1975"/>
    <mergeCell ref="G1421:I1421"/>
    <mergeCell ref="K4218:M4218"/>
    <mergeCell ref="G79:I79"/>
    <mergeCell ref="G4864:I4864"/>
    <mergeCell ref="G3077:I3077"/>
    <mergeCell ref="G1561:I1561"/>
    <mergeCell ref="G1597:I1597"/>
    <mergeCell ref="G4776:I4776"/>
    <mergeCell ref="G3079:I3079"/>
    <mergeCell ref="K2057:M2057"/>
    <mergeCell ref="K360:M360"/>
    <mergeCell ref="K2567:M2567"/>
    <mergeCell ref="K4869:M4869"/>
    <mergeCell ref="G4321:I4321"/>
    <mergeCell ref="K2655:M2655"/>
    <mergeCell ref="K1596:M1596"/>
    <mergeCell ref="K3858:M3858"/>
    <mergeCell ref="K2799:M2799"/>
    <mergeCell ref="G4822:I4822"/>
    <mergeCell ref="G906:I906"/>
    <mergeCell ref="G4175:I4175"/>
    <mergeCell ref="G181:I181"/>
    <mergeCell ref="G3075:I3075"/>
    <mergeCell ref="K1513:M1513"/>
    <mergeCell ref="G4405:I4405"/>
    <mergeCell ref="K3166:M3166"/>
    <mergeCell ref="G1559:I1559"/>
    <mergeCell ref="K4684:M4684"/>
    <mergeCell ref="G4407:I4407"/>
    <mergeCell ref="G4863:I4863"/>
    <mergeCell ref="K4273:M4273"/>
    <mergeCell ref="G83:I83"/>
    <mergeCell ref="G1136:I1136"/>
    <mergeCell ref="G2527:I2527"/>
    <mergeCell ref="G547:I547"/>
    <mergeCell ref="K2657:M2657"/>
    <mergeCell ref="G1274:I1274"/>
    <mergeCell ref="G2246:I2246"/>
    <mergeCell ref="K684:M684"/>
    <mergeCell ref="G1187:I1187"/>
    <mergeCell ref="G2335:I2335"/>
    <mergeCell ref="G1276:I1276"/>
    <mergeCell ref="G5094:I5094"/>
    <mergeCell ref="G4035:I4035"/>
    <mergeCell ref="K3855:M3855"/>
    <mergeCell ref="G2248:I2248"/>
    <mergeCell ref="G3438:I3438"/>
    <mergeCell ref="G1791:I1791"/>
    <mergeCell ref="K2199:M2199"/>
    <mergeCell ref="G4034:I4034"/>
    <mergeCell ref="G3309:I3309"/>
    <mergeCell ref="K3260:M3260"/>
    <mergeCell ref="K4313:M4313"/>
    <mergeCell ref="K3254:M3254"/>
    <mergeCell ref="K1467:M1467"/>
    <mergeCell ref="K2797:M2797"/>
    <mergeCell ref="G5008:I5008"/>
    <mergeCell ref="K3769:M3769"/>
    <mergeCell ref="K4315:M4315"/>
    <mergeCell ref="G1139:I1139"/>
    <mergeCell ref="K3488:M3488"/>
    <mergeCell ref="G3811:I3811"/>
    <mergeCell ref="K1603:M1603"/>
    <mergeCell ref="K4549:M4549"/>
    <mergeCell ref="G4588:I4588"/>
    <mergeCell ref="K3805:M3805"/>
    <mergeCell ref="G5147:I5147"/>
    <mergeCell ref="G1967:I1967"/>
    <mergeCell ref="G908:I908"/>
    <mergeCell ref="G4177:I4177"/>
    <mergeCell ref="G1504:I1504"/>
    <mergeCell ref="K3997:M3997"/>
    <mergeCell ref="G779:I779"/>
    <mergeCell ref="K730:M730"/>
    <mergeCell ref="K1783:M1783"/>
    <mergeCell ref="K311:M311"/>
    <mergeCell ref="G4089:I4089"/>
    <mergeCell ref="K267:M267"/>
    <mergeCell ref="K2429:M2429"/>
    <mergeCell ref="K3482:M3482"/>
    <mergeCell ref="K1328:M1328"/>
    <mergeCell ref="K269:M269"/>
    <mergeCell ref="G1233:I1233"/>
    <mergeCell ref="G2292:I2292"/>
    <mergeCell ref="G3805:I3805"/>
    <mergeCell ref="K725:M725"/>
    <mergeCell ref="G1689:I1689"/>
    <mergeCell ref="K3484:M3484"/>
    <mergeCell ref="K1697:M1697"/>
    <mergeCell ref="G3807:I3807"/>
    <mergeCell ref="G4080:I4080"/>
    <mergeCell ref="G2293:I2293"/>
    <mergeCell ref="G1234:I1234"/>
    <mergeCell ref="K4545:M4545"/>
    <mergeCell ref="G2287:I2287"/>
    <mergeCell ref="G4862:I4862"/>
    <mergeCell ref="G4494:I4494"/>
    <mergeCell ref="K1414:M1414"/>
    <mergeCell ref="K4685:M4685"/>
    <mergeCell ref="K3626:M3626"/>
    <mergeCell ref="K4871:M4871"/>
    <mergeCell ref="G3530:I3530"/>
    <mergeCell ref="A1846:A1851"/>
    <mergeCell ref="G1919:I1919"/>
    <mergeCell ref="G222:I222"/>
    <mergeCell ref="G4135:I4135"/>
    <mergeCell ref="G1735:I1735"/>
    <mergeCell ref="G3401:I3401"/>
    <mergeCell ref="K769:M769"/>
    <mergeCell ref="K3352:M3352"/>
    <mergeCell ref="G4128:I4128"/>
    <mergeCell ref="K1741:M1741"/>
    <mergeCell ref="K682:M682"/>
    <mergeCell ref="K1138:M1138"/>
    <mergeCell ref="G2333:I2333"/>
    <mergeCell ref="G861:I861"/>
    <mergeCell ref="G546:I546"/>
    <mergeCell ref="K681:M681"/>
    <mergeCell ref="K4409:M4409"/>
    <mergeCell ref="G4547:I4547"/>
    <mergeCell ref="G4543:I4543"/>
    <mergeCell ref="K2981:M2981"/>
    <mergeCell ref="G3484:I3484"/>
    <mergeCell ref="G1697:I1697"/>
    <mergeCell ref="K3029:M3029"/>
    <mergeCell ref="G769:I769"/>
    <mergeCell ref="K815:M815"/>
    <mergeCell ref="G1741:I1741"/>
    <mergeCell ref="G682:I682"/>
    <mergeCell ref="A3824:A3829"/>
    <mergeCell ref="K37:M37"/>
    <mergeCell ref="K3950:M3950"/>
    <mergeCell ref="K1743:M1743"/>
    <mergeCell ref="K2470:M2470"/>
    <mergeCell ref="K683:M683"/>
    <mergeCell ref="K1736:M1736"/>
    <mergeCell ref="G1603:I1603"/>
    <mergeCell ref="K3258:M3258"/>
    <mergeCell ref="G2059:I2059"/>
    <mergeCell ref="G362:I362"/>
    <mergeCell ref="G1000:I1000"/>
    <mergeCell ref="K4311:M4311"/>
    <mergeCell ref="A3686:A3691"/>
    <mergeCell ref="G1605:I1605"/>
    <mergeCell ref="G871:I871"/>
    <mergeCell ref="G3120:I3120"/>
    <mergeCell ref="G2061:I2061"/>
    <mergeCell ref="G3114:I3114"/>
    <mergeCell ref="K822:M822"/>
    <mergeCell ref="G1327:I1327"/>
    <mergeCell ref="G1598:I1598"/>
    <mergeCell ref="G498:I498"/>
    <mergeCell ref="K409:M409"/>
    <mergeCell ref="G314:I314"/>
    <mergeCell ref="K2247:M2247"/>
    <mergeCell ref="G1699:I1699"/>
    <mergeCell ref="K3350:M3350"/>
    <mergeCell ref="K1920:M1920"/>
    <mergeCell ref="G1372:I1372"/>
    <mergeCell ref="K133:M133"/>
    <mergeCell ref="A2536:A2541"/>
    <mergeCell ref="K860:M860"/>
    <mergeCell ref="K823:M823"/>
    <mergeCell ref="K4039:M4039"/>
    <mergeCell ref="K3995:M3995"/>
    <mergeCell ref="G3447:I3447"/>
    <mergeCell ref="G4500:I4500"/>
    <mergeCell ref="K4635:M4635"/>
    <mergeCell ref="A1156:A1161"/>
    <mergeCell ref="K4643:M4643"/>
    <mergeCell ref="K2565:M2565"/>
    <mergeCell ref="K2108:M2108"/>
    <mergeCell ref="K1049:M1049"/>
    <mergeCell ref="G3947:I3947"/>
    <mergeCell ref="G4218:I4218"/>
    <mergeCell ref="G2431:I2431"/>
    <mergeCell ref="K4683:M4683"/>
    <mergeCell ref="G2425:I2425"/>
    <mergeCell ref="G3397:I3397"/>
    <mergeCell ref="G3943:I3943"/>
    <mergeCell ref="G2433:I2433"/>
    <mergeCell ref="G2156:I2156"/>
    <mergeCell ref="G2427:I2427"/>
    <mergeCell ref="A3778:A3783"/>
    <mergeCell ref="A1248:A1253"/>
    <mergeCell ref="A2030:A2035"/>
    <mergeCell ref="G2978:I2978"/>
    <mergeCell ref="G1281:I1281"/>
    <mergeCell ref="G862:I862"/>
    <mergeCell ref="A1018:A1023"/>
    <mergeCell ref="A3640:A3645"/>
    <mergeCell ref="G3528:I3528"/>
    <mergeCell ref="G1831:I1831"/>
    <mergeCell ref="G2884:I2884"/>
    <mergeCell ref="K33:M33"/>
    <mergeCell ref="G3488:I3488"/>
    <mergeCell ref="K4411:M4411"/>
    <mergeCell ref="K35:M35"/>
    <mergeCell ref="K3677:M3677"/>
    <mergeCell ref="K3948:M3948"/>
    <mergeCell ref="K5007:M5007"/>
    <mergeCell ref="K4404:M4404"/>
    <mergeCell ref="A2168:A2173"/>
    <mergeCell ref="K1734:M1734"/>
    <mergeCell ref="K5009:M5009"/>
    <mergeCell ref="G1419:I1419"/>
    <mergeCell ref="G360:I360"/>
    <mergeCell ref="G2057:I2057"/>
    <mergeCell ref="G3539:I3539"/>
    <mergeCell ref="G1412:I1412"/>
    <mergeCell ref="K1879:M1879"/>
    <mergeCell ref="G1325:I1325"/>
    <mergeCell ref="G2017:I2017"/>
    <mergeCell ref="G2655:I2655"/>
    <mergeCell ref="K359:M359"/>
    <mergeCell ref="G4173:I4173"/>
    <mergeCell ref="K1881:M1881"/>
    <mergeCell ref="G2657:I2657"/>
    <mergeCell ref="K1147:M1147"/>
    <mergeCell ref="K2477:M2477"/>
    <mergeCell ref="K3667:M3667"/>
    <mergeCell ref="K1874:M1874"/>
    <mergeCell ref="K4776:M4776"/>
    <mergeCell ref="G311:I311"/>
    <mergeCell ref="K2706:M2706"/>
    <mergeCell ref="G3482:I3482"/>
    <mergeCell ref="A98:A103"/>
    <mergeCell ref="G1467:I1467"/>
    <mergeCell ref="K1602:M1602"/>
    <mergeCell ref="G3253:I3253"/>
    <mergeCell ref="G4315:I4315"/>
    <mergeCell ref="A1478:A1483"/>
    <mergeCell ref="G3255:I3255"/>
    <mergeCell ref="G4824:I4824"/>
    <mergeCell ref="K868:M868"/>
    <mergeCell ref="K4775:M4775"/>
    <mergeCell ref="K405:M405"/>
    <mergeCell ref="G1369:I1369"/>
    <mergeCell ref="K2202:M2202"/>
    <mergeCell ref="G1458:I1458"/>
    <mergeCell ref="K3077:M3077"/>
    <mergeCell ref="K407:M407"/>
    <mergeCell ref="G1371:I1371"/>
    <mergeCell ref="G730:I730"/>
    <mergeCell ref="K4637:M4637"/>
    <mergeCell ref="G1047:I1047"/>
    <mergeCell ref="G584:I584"/>
    <mergeCell ref="A1754:A1759"/>
    <mergeCell ref="K1782:M1782"/>
    <mergeCell ref="G2746:I2746"/>
    <mergeCell ref="A3916:A3921"/>
    <mergeCell ref="G592:I592"/>
    <mergeCell ref="G1230:I1230"/>
    <mergeCell ref="K2568:M2568"/>
    <mergeCell ref="K1509:M1509"/>
    <mergeCell ref="K2839:M2839"/>
    <mergeCell ref="G3344:I3344"/>
    <mergeCell ref="K1052:M1052"/>
    <mergeCell ref="K357:M357"/>
    <mergeCell ref="G2471:I2471"/>
    <mergeCell ref="K909:M909"/>
    <mergeCell ref="K4822:M4822"/>
    <mergeCell ref="K5149:M5149"/>
    <mergeCell ref="K4633:M4633"/>
    <mergeCell ref="G684:I684"/>
    <mergeCell ref="A4008:A4013"/>
    <mergeCell ref="K2479:M2479"/>
    <mergeCell ref="K3392:M3392"/>
    <mergeCell ref="K2935:M2935"/>
    <mergeCell ref="G3855:I3855"/>
    <mergeCell ref="G1745:I1745"/>
    <mergeCell ref="K4634:M4634"/>
    <mergeCell ref="K2937:M2937"/>
    <mergeCell ref="G3260:I3260"/>
    <mergeCell ref="G4313:I4313"/>
    <mergeCell ref="G3254:I3254"/>
    <mergeCell ref="A4974:A4979"/>
    <mergeCell ref="G4960:I4960"/>
    <mergeCell ref="G4955:I4955"/>
    <mergeCell ref="K2105:M2105"/>
    <mergeCell ref="A4514:A4519"/>
    <mergeCell ref="G587:I587"/>
    <mergeCell ref="K4777:M4777"/>
    <mergeCell ref="K2113:M2113"/>
    <mergeCell ref="G3346:I3346"/>
    <mergeCell ref="K2107:M2107"/>
    <mergeCell ref="K4356:M4356"/>
    <mergeCell ref="K1650:M1650"/>
    <mergeCell ref="K1510:M1510"/>
    <mergeCell ref="K2563:M2563"/>
    <mergeCell ref="G5001:I5001"/>
    <mergeCell ref="G451:I451"/>
    <mergeCell ref="K2703:M2703"/>
    <mergeCell ref="K2246:M2246"/>
    <mergeCell ref="K4367:M4367"/>
    <mergeCell ref="A3226:A3231"/>
    <mergeCell ref="K3764:M3764"/>
    <mergeCell ref="G4684:I4684"/>
    <mergeCell ref="G4271:I4271"/>
    <mergeCell ref="G4273:I4273"/>
    <mergeCell ref="K4362:M4362"/>
    <mergeCell ref="G1051:I1051"/>
    <mergeCell ref="G3810:I3810"/>
    <mergeCell ref="G5000:I5000"/>
    <mergeCell ref="G4685:I4685"/>
    <mergeCell ref="G3213:I3213"/>
    <mergeCell ref="K3027:M3027"/>
    <mergeCell ref="K820:M820"/>
    <mergeCell ref="G1596:I1596"/>
    <mergeCell ref="K1966:M1966"/>
    <mergeCell ref="G2430:I2430"/>
    <mergeCell ref="K4779:M4779"/>
    <mergeCell ref="G2886:I2886"/>
    <mergeCell ref="K4681:M4681"/>
    <mergeCell ref="K4909:M4909"/>
    <mergeCell ref="A4284:A4289"/>
    <mergeCell ref="K4312:M4312"/>
    <mergeCell ref="G3122:I3122"/>
    <mergeCell ref="G3445:I3445"/>
    <mergeCell ref="K1883:M1883"/>
    <mergeCell ref="G3116:I3116"/>
    <mergeCell ref="K2936:M2936"/>
    <mergeCell ref="G37:I37"/>
    <mergeCell ref="G1743:I1743"/>
    <mergeCell ref="K2747:M2747"/>
    <mergeCell ref="G2199:I2199"/>
    <mergeCell ref="K960:M960"/>
    <mergeCell ref="A4422:A4427"/>
    <mergeCell ref="G1098:I1098"/>
    <mergeCell ref="G1736:I1736"/>
    <mergeCell ref="G4319:I4319"/>
    <mergeCell ref="K497:M497"/>
    <mergeCell ref="G4311:I4311"/>
    <mergeCell ref="K2021:M2021"/>
    <mergeCell ref="K2292:M2292"/>
    <mergeCell ref="G2797:I2797"/>
    <mergeCell ref="K1558:M1558"/>
    <mergeCell ref="K499:M499"/>
    <mergeCell ref="K955:M955"/>
    <mergeCell ref="K4133:M4133"/>
    <mergeCell ref="K2661:M2661"/>
    <mergeCell ref="K3714:M3714"/>
    <mergeCell ref="K131:M131"/>
    <mergeCell ref="K3856:M3856"/>
    <mergeCell ref="K3399:M3399"/>
    <mergeCell ref="G2568:I2568"/>
    <mergeCell ref="G1509:I1509"/>
    <mergeCell ref="K3401:M3401"/>
    <mergeCell ref="G2105:I2105"/>
    <mergeCell ref="A3732:A3737"/>
    <mergeCell ref="A4146:A4151"/>
    <mergeCell ref="K135:M135"/>
    <mergeCell ref="K1188:M1188"/>
    <mergeCell ref="K731:M731"/>
    <mergeCell ref="G4909:I4909"/>
    <mergeCell ref="K2619:M2619"/>
    <mergeCell ref="G4312:I4312"/>
    <mergeCell ref="K3073:M3073"/>
    <mergeCell ref="A1294:A1299"/>
    <mergeCell ref="K957:M957"/>
    <mergeCell ref="G1883:I1883"/>
    <mergeCell ref="K2287:M2287"/>
    <mergeCell ref="G2936:I2936"/>
    <mergeCell ref="G1280:I1280"/>
    <mergeCell ref="K4134:M4134"/>
    <mergeCell ref="K3075:M3075"/>
    <mergeCell ref="G4039:I4039"/>
    <mergeCell ref="K217:M217"/>
    <mergeCell ref="G5098:I5098"/>
    <mergeCell ref="G3582:I3582"/>
    <mergeCell ref="G3997:I3997"/>
    <mergeCell ref="G4635:I4635"/>
    <mergeCell ref="A1892:A1897"/>
    <mergeCell ref="G1789:I1789"/>
    <mergeCell ref="K861:M861"/>
    <mergeCell ref="G1878:I1878"/>
    <mergeCell ref="G4637:I4637"/>
    <mergeCell ref="G267:I267"/>
    <mergeCell ref="G5093:I5093"/>
    <mergeCell ref="K2977:M2977"/>
    <mergeCell ref="K1918:M1918"/>
    <mergeCell ref="G1880:I1880"/>
    <mergeCell ref="K1190:M1190"/>
    <mergeCell ref="K1184:M1184"/>
    <mergeCell ref="K4459:M4459"/>
    <mergeCell ref="K4915:M4915"/>
    <mergeCell ref="G4777:I4777"/>
    <mergeCell ref="K1187:M1187"/>
    <mergeCell ref="G3166:I3166"/>
    <mergeCell ref="G2107:I2107"/>
    <mergeCell ref="G4356:I4356"/>
    <mergeCell ref="K4821:M4821"/>
    <mergeCell ref="G1510:I1510"/>
    <mergeCell ref="G2563:I2563"/>
    <mergeCell ref="G4269:I4269"/>
    <mergeCell ref="G409:I409"/>
    <mergeCell ref="G2565:I2565"/>
    <mergeCell ref="K2385:M2385"/>
    <mergeCell ref="K1326:M1326"/>
    <mergeCell ref="K3575:M3575"/>
    <mergeCell ref="K2516:M2516"/>
    <mergeCell ref="K869:M869"/>
    <mergeCell ref="K4818:M4818"/>
    <mergeCell ref="G3626:I3626"/>
    <mergeCell ref="K2387:M2387"/>
    <mergeCell ref="K3025:M3025"/>
    <mergeCell ref="G1147:I1147"/>
    <mergeCell ref="K1045:M1045"/>
    <mergeCell ref="G1052:I1052"/>
    <mergeCell ref="G1323:I1323"/>
    <mergeCell ref="K1375:M1375"/>
    <mergeCell ref="G963:I963"/>
    <mergeCell ref="K1098:M1098"/>
    <mergeCell ref="K958:M958"/>
    <mergeCell ref="K501:M501"/>
    <mergeCell ref="K495:M495"/>
    <mergeCell ref="K733:M733"/>
    <mergeCell ref="K4551:M4551"/>
    <mergeCell ref="K5146:M5146"/>
    <mergeCell ref="K4689:M4689"/>
    <mergeCell ref="K3114:M3114"/>
    <mergeCell ref="K1327:M1327"/>
    <mergeCell ref="K5145:M5145"/>
    <mergeCell ref="K4086:M4086"/>
    <mergeCell ref="K3116:M3116"/>
    <mergeCell ref="G4409:I4409"/>
    <mergeCell ref="K1329:M1329"/>
    <mergeCell ref="G33:I33"/>
    <mergeCell ref="K5147:M5147"/>
    <mergeCell ref="G2705:I2705"/>
    <mergeCell ref="G4411:I4411"/>
    <mergeCell ref="K589:M589"/>
    <mergeCell ref="G35:I35"/>
    <mergeCell ref="G3677:I3677"/>
    <mergeCell ref="G5007:I5007"/>
    <mergeCell ref="G4404:I4404"/>
    <mergeCell ref="G2793:I2793"/>
    <mergeCell ref="G1096:I1096"/>
    <mergeCell ref="K172:M172"/>
    <mergeCell ref="K1231:M1231"/>
    <mergeCell ref="G5009:I5009"/>
    <mergeCell ref="K584:M584"/>
    <mergeCell ref="K4226:M4226"/>
    <mergeCell ref="K2019:M2019"/>
    <mergeCell ref="K2746:M2746"/>
    <mergeCell ref="K2012:M2012"/>
    <mergeCell ref="K953:M953"/>
    <mergeCell ref="G822:I822"/>
    <mergeCell ref="K2617:M2617"/>
    <mergeCell ref="G359:I359"/>
    <mergeCell ref="A4744:A4749"/>
    <mergeCell ref="G3390:I3390"/>
    <mergeCell ref="G1874:I1874"/>
    <mergeCell ref="G3995:I3995"/>
    <mergeCell ref="K2159:M2159"/>
    <mergeCell ref="G3392:I3392"/>
    <mergeCell ref="G2935:I2935"/>
    <mergeCell ref="K1696:M1696"/>
    <mergeCell ref="K4911:M4911"/>
    <mergeCell ref="G4634:I4634"/>
    <mergeCell ref="K3395:M3395"/>
    <mergeCell ref="G3721:I3721"/>
    <mergeCell ref="G3990:I3990"/>
    <mergeCell ref="A1616:A1621"/>
    <mergeCell ref="G3393:I3393"/>
    <mergeCell ref="K2154:M2154"/>
    <mergeCell ref="G4448:I4448"/>
    <mergeCell ref="G3024:I3024"/>
    <mergeCell ref="K4679:M4679"/>
    <mergeCell ref="K3162:M3162"/>
    <mergeCell ref="K2102:M2102"/>
    <mergeCell ref="G2751:I2751"/>
    <mergeCell ref="A3962:A3967"/>
    <mergeCell ref="G3850:I3850"/>
    <mergeCell ref="K2288:M2288"/>
    <mergeCell ref="G1734:I1734"/>
    <mergeCell ref="K4732:M4732"/>
    <mergeCell ref="G3125:I3125"/>
    <mergeCell ref="G4178:I4178"/>
    <mergeCell ref="K4129:M4129"/>
    <mergeCell ref="G3852:I3852"/>
    <mergeCell ref="K4867:M4867"/>
    <mergeCell ref="K4913:M4913"/>
    <mergeCell ref="G448:I448"/>
    <mergeCell ref="K4456:M4456"/>
    <mergeCell ref="K2340:M2340"/>
    <mergeCell ref="G860:I860"/>
    <mergeCell ref="G4450:I4450"/>
    <mergeCell ref="G2663:I2663"/>
    <mergeCell ref="G1929:I1929"/>
    <mergeCell ref="G868:I868"/>
    <mergeCell ref="G2665:I2665"/>
    <mergeCell ref="G3261:I3261"/>
    <mergeCell ref="G3620:I3620"/>
    <mergeCell ref="K2058:M2058"/>
    <mergeCell ref="K999:M999"/>
    <mergeCell ref="K4641:M4641"/>
    <mergeCell ref="A4790:A4795"/>
    <mergeCell ref="K271:M271"/>
    <mergeCell ref="A2674:A2679"/>
    <mergeCell ref="K998:M998"/>
    <mergeCell ref="K2478:M2478"/>
    <mergeCell ref="G4540:I4540"/>
    <mergeCell ref="K3812:M3812"/>
    <mergeCell ref="G4265:I4265"/>
    <mergeCell ref="K636:M636"/>
    <mergeCell ref="K4873:M4873"/>
    <mergeCell ref="K3483:M3483"/>
    <mergeCell ref="G2386:I2386"/>
    <mergeCell ref="G2562:I2562"/>
    <mergeCell ref="K1648:M1648"/>
    <mergeCell ref="K4310:M4310"/>
    <mergeCell ref="G2297:I2297"/>
    <mergeCell ref="K2104:M2104"/>
    <mergeCell ref="K5053:M5053"/>
    <mergeCell ref="G3622:I3622"/>
    <mergeCell ref="K273:M273"/>
    <mergeCell ref="K1780:M1780"/>
    <mergeCell ref="K5055:M5055"/>
    <mergeCell ref="G1649:I1649"/>
    <mergeCell ref="G590:I590"/>
    <mergeCell ref="G1920:I1920"/>
    <mergeCell ref="K3444:M3444"/>
    <mergeCell ref="G133:I133"/>
    <mergeCell ref="K2841:M2841"/>
    <mergeCell ref="K2384:M2384"/>
    <mergeCell ref="K1325:M1325"/>
    <mergeCell ref="G135:I135"/>
    <mergeCell ref="G2247:I2247"/>
    <mergeCell ref="G1188:I1188"/>
    <mergeCell ref="G731:I731"/>
    <mergeCell ref="G2701:I2701"/>
    <mergeCell ref="K1139:M1139"/>
    <mergeCell ref="G591:I591"/>
    <mergeCell ref="G3350:I3350"/>
    <mergeCell ref="K2111:M2111"/>
    <mergeCell ref="K2056:M2056"/>
    <mergeCell ref="G2018:I2018"/>
    <mergeCell ref="G3715:I3715"/>
    <mergeCell ref="K2476:M2476"/>
    <mergeCell ref="K779:M779"/>
    <mergeCell ref="K4597:M4597"/>
    <mergeCell ref="G1645:I1645"/>
    <mergeCell ref="K3994:M3994"/>
    <mergeCell ref="K4265:M4265"/>
    <mergeCell ref="K3537:M3537"/>
    <mergeCell ref="A144:A149"/>
    <mergeCell ref="G2703:I2703"/>
    <mergeCell ref="G1189:I1189"/>
    <mergeCell ref="G3948:I3948"/>
    <mergeCell ref="K2709:M2709"/>
    <mergeCell ref="G4823:I4823"/>
    <mergeCell ref="K3899:M3899"/>
    <mergeCell ref="K3165:M3165"/>
    <mergeCell ref="K3436:M3436"/>
    <mergeCell ref="K2711:M2711"/>
    <mergeCell ref="K4224:M4224"/>
    <mergeCell ref="K4954:M4954"/>
    <mergeCell ref="G1328:I1328"/>
    <mergeCell ref="K3167:M3167"/>
    <mergeCell ref="K4497:M4497"/>
    <mergeCell ref="K1651:M1651"/>
    <mergeCell ref="G3490:I3490"/>
    <mergeCell ref="G3027:I3027"/>
    <mergeCell ref="G820:I820"/>
    <mergeCell ref="G4088:I4088"/>
    <mergeCell ref="G1881:I1881"/>
    <mergeCell ref="K4824:M4824"/>
    <mergeCell ref="G1418:I1418"/>
    <mergeCell ref="A4882:A4887"/>
    <mergeCell ref="G2016:I2016"/>
    <mergeCell ref="G957:I957"/>
    <mergeCell ref="K777:M777"/>
    <mergeCell ref="G4775:I4775"/>
    <mergeCell ref="K3536:M3536"/>
    <mergeCell ref="G3259:I3259"/>
    <mergeCell ref="K4726:M4726"/>
    <mergeCell ref="G4134:I4134"/>
    <mergeCell ref="K39:M39"/>
    <mergeCell ref="K1369:M1369"/>
    <mergeCell ref="G815:I815"/>
    <mergeCell ref="K635:M635"/>
    <mergeCell ref="G4449:I4449"/>
    <mergeCell ref="K1371:M1371"/>
    <mergeCell ref="K637:M637"/>
    <mergeCell ref="K1827:M1827"/>
    <mergeCell ref="K3396:M3396"/>
    <mergeCell ref="K4586:M4586"/>
    <mergeCell ref="K4271:M4271"/>
    <mergeCell ref="G960:I960"/>
    <mergeCell ref="G5047:I5047"/>
    <mergeCell ref="G497:I497"/>
    <mergeCell ref="K1095:M1095"/>
    <mergeCell ref="G2021:I2021"/>
    <mergeCell ref="G2015:I2015"/>
    <mergeCell ref="G1558:I1558"/>
    <mergeCell ref="K3397:M3397"/>
    <mergeCell ref="G2748:I2748"/>
    <mergeCell ref="G4317:I4317"/>
    <mergeCell ref="K3213:M3213"/>
    <mergeCell ref="K355:M355"/>
    <mergeCell ref="G955:I955"/>
    <mergeCell ref="G2661:I2661"/>
    <mergeCell ref="G4773:I4773"/>
    <mergeCell ref="K2481:M2481"/>
    <mergeCell ref="G3076:I3076"/>
    <mergeCell ref="G3714:I3714"/>
    <mergeCell ref="K1837:M1837"/>
    <mergeCell ref="G2619:I2619"/>
    <mergeCell ref="K181:M181"/>
    <mergeCell ref="A236:A241"/>
    <mergeCell ref="G1647:I1647"/>
    <mergeCell ref="G2977:I2977"/>
    <mergeCell ref="G1190:I1190"/>
    <mergeCell ref="K3539:M3539"/>
    <mergeCell ref="G2243:I2243"/>
    <mergeCell ref="A3870:A3875"/>
    <mergeCell ref="G4459:I4459"/>
    <mergeCell ref="G4915:I4915"/>
    <mergeCell ref="G3856:I3856"/>
    <mergeCell ref="G676:I676"/>
    <mergeCell ref="G2245:I2245"/>
    <mergeCell ref="K2196:M2196"/>
    <mergeCell ref="G1642:I1642"/>
    <mergeCell ref="G4917:I4917"/>
    <mergeCell ref="A2812:A2817"/>
    <mergeCell ref="G126:I126"/>
    <mergeCell ref="G2159:I2159"/>
    <mergeCell ref="G3212:I3212"/>
    <mergeCell ref="A4192:A4197"/>
    <mergeCell ref="G998:I998"/>
    <mergeCell ref="G3899:I3899"/>
    <mergeCell ref="G273:I273"/>
    <mergeCell ref="K4037:M4037"/>
    <mergeCell ref="K3574:M3574"/>
    <mergeCell ref="A742:A747"/>
    <mergeCell ref="K3576:M3576"/>
    <mergeCell ref="G4225:I4225"/>
    <mergeCell ref="G3165:I3165"/>
    <mergeCell ref="G4227:I4227"/>
    <mergeCell ref="K3721:M3721"/>
    <mergeCell ref="G4364:I4364"/>
    <mergeCell ref="A3:M3"/>
    <mergeCell ref="K2067:M2067"/>
    <mergeCell ref="K411:M411"/>
    <mergeCell ref="K1464:M1464"/>
    <mergeCell ref="K2794:M2794"/>
    <mergeCell ref="K2654:M2654"/>
    <mergeCell ref="K1007:M1007"/>
    <mergeCell ref="A4928:A4933"/>
    <mergeCell ref="G1787:I1787"/>
    <mergeCell ref="K4956:M4956"/>
    <mergeCell ref="K3897:M3897"/>
    <mergeCell ref="K3163:M3163"/>
    <mergeCell ref="K1009:M1009"/>
    <mergeCell ref="K3252:M3252"/>
    <mergeCell ref="K1465:M1465"/>
    <mergeCell ref="K406:M406"/>
    <mergeCell ref="G2385:I2385"/>
    <mergeCell ref="G1326:I1326"/>
    <mergeCell ref="K4495:M4495"/>
    <mergeCell ref="G3575:I3575"/>
    <mergeCell ref="A2122:A2127"/>
    <mergeCell ref="A2858:A2863"/>
    <mergeCell ref="K3621:M3621"/>
    <mergeCell ref="K2562:M2562"/>
    <mergeCell ref="G3073:I3073"/>
    <mergeCell ref="K452:M452"/>
    <mergeCell ref="K775:M775"/>
    <mergeCell ref="G1828:I1828"/>
    <mergeCell ref="G41:I41"/>
    <mergeCell ref="K3623:M3623"/>
    <mergeCell ref="K2889:M2889"/>
    <mergeCell ref="K1417:M1417"/>
    <mergeCell ref="G5144:I5144"/>
    <mergeCell ref="G1782:I1782"/>
    <mergeCell ref="G2387:I2387"/>
    <mergeCell ref="G3577:I3577"/>
    <mergeCell ref="G5146:I5146"/>
    <mergeCell ref="G173:I173"/>
    <mergeCell ref="G5145:I5145"/>
    <mergeCell ref="G4086:I4086"/>
    <mergeCell ref="K2524:M2524"/>
    <mergeCell ref="G5139:I5139"/>
    <mergeCell ref="K2847:M2847"/>
    <mergeCell ref="K124:M124"/>
    <mergeCell ref="K3303:M3303"/>
    <mergeCell ref="K310:M310"/>
    <mergeCell ref="G2113:I2113"/>
    <mergeCell ref="K4365:M4365"/>
    <mergeCell ref="K4961:M4961"/>
    <mergeCell ref="K5098:M5098"/>
    <mergeCell ref="K5092:M5092"/>
    <mergeCell ref="K722:M722"/>
    <mergeCell ref="K4364:M4364"/>
    <mergeCell ref="K3305:M3305"/>
    <mergeCell ref="G170:I170"/>
    <mergeCell ref="K1694:M1694"/>
    <mergeCell ref="G3070:I3070"/>
    <mergeCell ref="G1231:I1231"/>
    <mergeCell ref="G172:I172"/>
    <mergeCell ref="K1053:M1053"/>
    <mergeCell ref="G499:I499"/>
    <mergeCell ref="G2012:I2012"/>
    <mergeCell ref="G953:I953"/>
    <mergeCell ref="K773:M773"/>
    <mergeCell ref="G43:I43"/>
    <mergeCell ref="K3535:M3535"/>
    <mergeCell ref="G639:I639"/>
    <mergeCell ref="G3398:I3398"/>
    <mergeCell ref="G4911:I4911"/>
    <mergeCell ref="K3349:M3349"/>
    <mergeCell ref="G2795:I2795"/>
    <mergeCell ref="K503:M503"/>
    <mergeCell ref="G1918:I1918"/>
    <mergeCell ref="K679:M679"/>
    <mergeCell ref="G641:I641"/>
    <mergeCell ref="G1279:I1279"/>
    <mergeCell ref="G2338:I2338"/>
    <mergeCell ref="G4913:I4913"/>
    <mergeCell ref="G543:I543"/>
    <mergeCell ref="G2803:I2803"/>
    <mergeCell ref="G4456:I4456"/>
    <mergeCell ref="G3399:I3399"/>
    <mergeCell ref="G2340:I2340"/>
    <mergeCell ref="K1101:M1101"/>
    <mergeCell ref="K1137:M1137"/>
    <mergeCell ref="K4735:M4735"/>
    <mergeCell ref="G4181:I4181"/>
    <mergeCell ref="K4272:M4272"/>
    <mergeCell ref="G728:I728"/>
    <mergeCell ref="G999:I999"/>
    <mergeCell ref="G2058:I2058"/>
    <mergeCell ref="K819:M819"/>
    <mergeCell ref="G271:I271"/>
    <mergeCell ref="K2523:M2523"/>
    <mergeCell ref="G4641:I4641"/>
    <mergeCell ref="G265:I265"/>
    <mergeCell ref="K814:M814"/>
    <mergeCell ref="K2249:M2249"/>
    <mergeCell ref="G3025:I3025"/>
    <mergeCell ref="K1786:M1786"/>
    <mergeCell ref="K89:M89"/>
    <mergeCell ref="G2841:I2841"/>
    <mergeCell ref="K1279:M1279"/>
    <mergeCell ref="K2976:M2976"/>
    <mergeCell ref="K2332:M2332"/>
    <mergeCell ref="K545:M545"/>
    <mergeCell ref="K1875:M1875"/>
    <mergeCell ref="G268:I268"/>
    <mergeCell ref="K1788:M1788"/>
    <mergeCell ref="G2111:I2111"/>
    <mergeCell ref="K2849:M2849"/>
    <mergeCell ref="G2200:I2200"/>
    <mergeCell ref="G1466:I1466"/>
    <mergeCell ref="G407:I407"/>
    <mergeCell ref="K1789:M1789"/>
    <mergeCell ref="G2709:I2709"/>
    <mergeCell ref="G495:I495"/>
    <mergeCell ref="G2711:I2711"/>
    <mergeCell ref="K446:M446"/>
    <mergeCell ref="G264:I264"/>
    <mergeCell ref="G308:I308"/>
    <mergeCell ref="G310:I310"/>
    <mergeCell ref="K130:M130"/>
    <mergeCell ref="G500:I500"/>
    <mergeCell ref="G1138:I1138"/>
    <mergeCell ref="G681:I681"/>
    <mergeCell ref="K2701:M2701"/>
    <mergeCell ref="G1511:I1511"/>
    <mergeCell ref="K317:M317"/>
    <mergeCell ref="K1507:M1507"/>
    <mergeCell ref="K448:M448"/>
    <mergeCell ref="K1044:M1044"/>
    <mergeCell ref="K4042:M4042"/>
    <mergeCell ref="K319:M319"/>
    <mergeCell ref="K1046:M1046"/>
    <mergeCell ref="K5101:M5101"/>
    <mergeCell ref="G1695:I1695"/>
    <mergeCell ref="G39:I39"/>
    <mergeCell ref="G4367:I4367"/>
    <mergeCell ref="G635:I635"/>
    <mergeCell ref="A5020:A5025"/>
    <mergeCell ref="G1696:I1696"/>
    <mergeCell ref="G637:I637"/>
    <mergeCell ref="G1827:I1827"/>
    <mergeCell ref="G1093:I1093"/>
    <mergeCell ref="G4457:I4457"/>
    <mergeCell ref="K1649:M1649"/>
    <mergeCell ref="K2702:M2702"/>
    <mergeCell ref="K1643:M1643"/>
    <mergeCell ref="G1095:I1095"/>
    <mergeCell ref="K915:M915"/>
    <mergeCell ref="K2615:M2615"/>
    <mergeCell ref="K3945:M3945"/>
    <mergeCell ref="K917:M917"/>
    <mergeCell ref="K1555:M1555"/>
    <mergeCell ref="G1837:I1837"/>
    <mergeCell ref="K87:M87"/>
    <mergeCell ref="G869:I869"/>
    <mergeCell ref="K1277:M1277"/>
    <mergeCell ref="K218:M218"/>
    <mergeCell ref="K5006:M5006"/>
    <mergeCell ref="G365:I365"/>
    <mergeCell ref="K4403:M4403"/>
    <mergeCell ref="G777:I777"/>
    <mergeCell ref="K2616:M2616"/>
    <mergeCell ref="G3536:I3536"/>
    <mergeCell ref="G4726:I4726"/>
    <mergeCell ref="A374:A379"/>
    <mergeCell ref="G3115:I3115"/>
    <mergeCell ref="G5054:I5054"/>
    <mergeCell ref="G4597:I4597"/>
    <mergeCell ref="G5053:I5053"/>
    <mergeCell ref="G3994:I3994"/>
    <mergeCell ref="G3537:I3537"/>
    <mergeCell ref="K2334:M2334"/>
    <mergeCell ref="K1275:M1275"/>
    <mergeCell ref="G5055:I5055"/>
    <mergeCell ref="A2950:A2955"/>
    <mergeCell ref="K2757:M2757"/>
    <mergeCell ref="K3074:M3074"/>
    <mergeCell ref="G2251:I2251"/>
    <mergeCell ref="K2987:M2987"/>
    <mergeCell ref="K4040:M4040"/>
    <mergeCell ref="K4773:M4773"/>
    <mergeCell ref="G3583:I3583"/>
    <mergeCell ref="K3585:M3585"/>
    <mergeCell ref="G3303:I3303"/>
    <mergeCell ref="A2996:A3001"/>
    <mergeCell ref="G4365:I4365"/>
    <mergeCell ref="G4961:I4961"/>
    <mergeCell ref="G4821:I4821"/>
    <mergeCell ref="G722:I722"/>
    <mergeCell ref="K84:M84"/>
    <mergeCell ref="G78:I78"/>
    <mergeCell ref="K2932:M2932"/>
    <mergeCell ref="K1873:M1873"/>
    <mergeCell ref="K86:M86"/>
    <mergeCell ref="A5066:A5071"/>
    <mergeCell ref="G80:I80"/>
    <mergeCell ref="G2524:I2524"/>
    <mergeCell ref="A6:A11"/>
    <mergeCell ref="G4310:I4310"/>
    <mergeCell ref="G411:I411"/>
    <mergeCell ref="G1464:I1464"/>
    <mergeCell ref="G2794:I2794"/>
    <mergeCell ref="G2654:I2654"/>
    <mergeCell ref="G1007:I1007"/>
    <mergeCell ref="G1045:I1045"/>
    <mergeCell ref="G4956:I4956"/>
    <mergeCell ref="G2525:I2525"/>
    <mergeCell ref="K1601:M1601"/>
    <mergeCell ref="K2660:M2660"/>
    <mergeCell ref="G3163:I3163"/>
    <mergeCell ref="K227:M227"/>
    <mergeCell ref="K867:M867"/>
    <mergeCell ref="G3252:I3252"/>
    <mergeCell ref="K2013:M2013"/>
    <mergeCell ref="G1465:I1465"/>
    <mergeCell ref="G406:I406"/>
    <mergeCell ref="K4772:M4772"/>
    <mergeCell ref="G4224:I4224"/>
    <mergeCell ref="K2662:M2662"/>
    <mergeCell ref="K2985:M2985"/>
    <mergeCell ref="K1926:M1926"/>
    <mergeCell ref="K132:M132"/>
    <mergeCell ref="K1645:M1645"/>
    <mergeCell ref="K125:M125"/>
    <mergeCell ref="K2708:M2708"/>
    <mergeCell ref="K1647:M1647"/>
    <mergeCell ref="K3759:M3759"/>
    <mergeCell ref="K2700:M2700"/>
    <mergeCell ref="K590:M590"/>
    <mergeCell ref="K913:M913"/>
    <mergeCell ref="K2243:M2243"/>
    <mergeCell ref="K127:M127"/>
    <mergeCell ref="G1053:I1053"/>
    <mergeCell ref="K3761:M3761"/>
    <mergeCell ref="A466:A471"/>
    <mergeCell ref="G2475:I2475"/>
    <mergeCell ref="K1642:M1642"/>
    <mergeCell ref="G3621:I3621"/>
    <mergeCell ref="G452:I452"/>
    <mergeCell ref="A3042:A3047"/>
    <mergeCell ref="K3487:M3487"/>
    <mergeCell ref="G3623:I3623"/>
    <mergeCell ref="K1971:M1971"/>
    <mergeCell ref="G2889:I2889"/>
    <mergeCell ref="G2476:I2476"/>
    <mergeCell ref="G1417:I1417"/>
    <mergeCell ref="K3024:M3024"/>
    <mergeCell ref="K178:M178"/>
    <mergeCell ref="G3535:I3535"/>
    <mergeCell ref="K1973:M1973"/>
    <mergeCell ref="G2478:I2478"/>
    <mergeCell ref="K1239:M1239"/>
    <mergeCell ref="G3349:I3349"/>
    <mergeCell ref="K5144:M5144"/>
    <mergeCell ref="K4087:M4087"/>
    <mergeCell ref="K4410:M4410"/>
    <mergeCell ref="G2617:I2617"/>
    <mergeCell ref="A512:A517"/>
    <mergeCell ref="G2196:I2196"/>
    <mergeCell ref="G1137:I1137"/>
    <mergeCell ref="K4868:M4868"/>
    <mergeCell ref="G1557:I1557"/>
    <mergeCell ref="G4735:I4735"/>
    <mergeCell ref="K354:M354"/>
    <mergeCell ref="K4870:M4870"/>
    <mergeCell ref="A3272:A3277"/>
    <mergeCell ref="K1415:M1415"/>
    <mergeCell ref="K356:M356"/>
    <mergeCell ref="K952:M952"/>
    <mergeCell ref="G4730:I4730"/>
    <mergeCell ref="K1688:M1688"/>
    <mergeCell ref="K3070:M3070"/>
    <mergeCell ref="K954:M954"/>
    <mergeCell ref="A3088:A3093"/>
    <mergeCell ref="G5092:I5092"/>
    <mergeCell ref="A558:A563"/>
    <mergeCell ref="K4825:M4825"/>
    <mergeCell ref="K4914:M4914"/>
    <mergeCell ref="K4916:M4916"/>
    <mergeCell ref="G1507:I1507"/>
    <mergeCell ref="A3134:A3139"/>
    <mergeCell ref="G4505:I4505"/>
    <mergeCell ref="G773:I773"/>
    <mergeCell ref="G1044:I1044"/>
    <mergeCell ref="G4042:I4042"/>
    <mergeCell ref="G87:I87"/>
    <mergeCell ref="G1277:I1277"/>
    <mergeCell ref="K3712:M3712"/>
    <mergeCell ref="K1285:M1285"/>
    <mergeCell ref="K2015:M2015"/>
    <mergeCell ref="G2249:I2249"/>
    <mergeCell ref="G1786:I1786"/>
    <mergeCell ref="G89:I89"/>
    <mergeCell ref="G2976:I2976"/>
    <mergeCell ref="G3391:I3391"/>
    <mergeCell ref="G2332:I2332"/>
    <mergeCell ref="G545:I545"/>
    <mergeCell ref="G1875:I1875"/>
    <mergeCell ref="G3304:I3304"/>
    <mergeCell ref="G2847:I2847"/>
    <mergeCell ref="G1788:I1788"/>
    <mergeCell ref="G4037:I4037"/>
    <mergeCell ref="K2798:M2798"/>
    <mergeCell ref="G3574:I3574"/>
    <mergeCell ref="G2849:I2849"/>
    <mergeCell ref="K3859:M3859"/>
    <mergeCell ref="K2800:M2800"/>
    <mergeCell ref="K3853:M3853"/>
    <mergeCell ref="G3305:I3305"/>
    <mergeCell ref="G3576:I3576"/>
    <mergeCell ref="K2793:M2793"/>
    <mergeCell ref="K586:M586"/>
    <mergeCell ref="K1182:M1182"/>
    <mergeCell ref="K3398:M3398"/>
    <mergeCell ref="G446:I446"/>
    <mergeCell ref="K2795:M2795"/>
    <mergeCell ref="G2384:I2384"/>
    <mergeCell ref="G775:I775"/>
    <mergeCell ref="G1046:I1046"/>
    <mergeCell ref="K263:M263"/>
    <mergeCell ref="K3022:M3022"/>
    <mergeCell ref="K1235:M1235"/>
    <mergeCell ref="K1787:M1787"/>
    <mergeCell ref="K728:M728"/>
    <mergeCell ref="K1781:M1781"/>
    <mergeCell ref="K265:M265"/>
    <mergeCell ref="K4083:M4083"/>
    <mergeCell ref="K1237:M1237"/>
    <mergeCell ref="K3023:M3023"/>
    <mergeCell ref="G1975:I1975"/>
    <mergeCell ref="K4962:M4962"/>
    <mergeCell ref="G503:I503"/>
    <mergeCell ref="K4085:M4085"/>
    <mergeCell ref="G2702:I2702"/>
    <mergeCell ref="K4541:M4541"/>
    <mergeCell ref="G915:I915"/>
    <mergeCell ref="G3674:I3674"/>
    <mergeCell ref="G2615:I2615"/>
    <mergeCell ref="K3625:M3625"/>
    <mergeCell ref="G3763:I3763"/>
    <mergeCell ref="G917:I917"/>
    <mergeCell ref="G1555:I1555"/>
    <mergeCell ref="G2987:I2987"/>
    <mergeCell ref="K1050:M1050"/>
    <mergeCell ref="K2103:M2103"/>
    <mergeCell ref="K316:M316"/>
    <mergeCell ref="G4954:I4954"/>
    <mergeCell ref="G4226:I4226"/>
    <mergeCell ref="G3167:I3167"/>
    <mergeCell ref="G5006:I5006"/>
    <mergeCell ref="G4272:I4272"/>
    <mergeCell ref="G4403:I4403"/>
    <mergeCell ref="G2616:I2616"/>
    <mergeCell ref="K1377:M1377"/>
    <mergeCell ref="K3620:M3620"/>
    <mergeCell ref="K2895:M2895"/>
    <mergeCell ref="K4225:M4225"/>
    <mergeCell ref="K493:M493"/>
    <mergeCell ref="G819:I819"/>
    <mergeCell ref="K3491:M3491"/>
    <mergeCell ref="K2432:M2432"/>
    <mergeCell ref="K3622:M3622"/>
    <mergeCell ref="G216:I216"/>
    <mergeCell ref="K2011:M2011"/>
    <mergeCell ref="A1386:A1391"/>
    <mergeCell ref="K4227:M4227"/>
    <mergeCell ref="K3493:M3493"/>
    <mergeCell ref="G2334:I2334"/>
    <mergeCell ref="G1275:I1275"/>
    <mergeCell ref="G218:I218"/>
    <mergeCell ref="K4910:M4910"/>
    <mergeCell ref="K3851:M3851"/>
    <mergeCell ref="K3850:M3850"/>
    <mergeCell ref="G3713:I3713"/>
    <mergeCell ref="K3852:M3852"/>
    <mergeCell ref="G4501:I4501"/>
    <mergeCell ref="G4772:I4772"/>
    <mergeCell ref="G2662:I2662"/>
    <mergeCell ref="G3074:I3074"/>
    <mergeCell ref="G4503:I4503"/>
    <mergeCell ref="K4594:M4594"/>
    <mergeCell ref="K38:M38"/>
    <mergeCell ref="G541:I541"/>
    <mergeCell ref="G84:I84"/>
    <mergeCell ref="G814:I814"/>
    <mergeCell ref="A1984:A1989"/>
    <mergeCell ref="G3353:I3353"/>
    <mergeCell ref="G1602:I1602"/>
    <mergeCell ref="K678:M678"/>
    <mergeCell ref="G1873:I1873"/>
    <mergeCell ref="K363:M363"/>
    <mergeCell ref="G2932:I2932"/>
    <mergeCell ref="G86:I86"/>
    <mergeCell ref="K1090:M1090"/>
    <mergeCell ref="K3211:M3211"/>
    <mergeCell ref="K1739:M1739"/>
    <mergeCell ref="K365:M365"/>
    <mergeCell ref="K1695:M1695"/>
    <mergeCell ref="G1141:I1141"/>
    <mergeCell ref="K961:M961"/>
    <mergeCell ref="K2151:M2151"/>
    <mergeCell ref="K1092:M1092"/>
    <mergeCell ref="K3123:M3123"/>
    <mergeCell ref="K2064:M2064"/>
    <mergeCell ref="G2202:I2202"/>
    <mergeCell ref="K2337:M2337"/>
    <mergeCell ref="K963:M963"/>
    <mergeCell ref="K3212:M3212"/>
    <mergeCell ref="K2153:M2153"/>
    <mergeCell ref="G2660:I2660"/>
    <mergeCell ref="K3125:M3125"/>
    <mergeCell ref="G867:I867"/>
    <mergeCell ref="K1093:M1093"/>
    <mergeCell ref="G5099:I5099"/>
    <mergeCell ref="G4040:I4040"/>
    <mergeCell ref="G4496:I4496"/>
    <mergeCell ref="K1418:M1418"/>
    <mergeCell ref="G5101:I5101"/>
    <mergeCell ref="G3585:I3585"/>
    <mergeCell ref="K5052:M5052"/>
    <mergeCell ref="G130:I130"/>
    <mergeCell ref="K2838:M2838"/>
    <mergeCell ref="K5054:M5054"/>
    <mergeCell ref="K1322:M1322"/>
    <mergeCell ref="G1009:I1009"/>
    <mergeCell ref="G132:I132"/>
    <mergeCell ref="A3456:A3461"/>
    <mergeCell ref="G4827:I4827"/>
    <mergeCell ref="K5047:M5047"/>
    <mergeCell ref="G125:I125"/>
    <mergeCell ref="G3767:I3767"/>
    <mergeCell ref="G2708:I2708"/>
    <mergeCell ref="A4054:A4059"/>
    <mergeCell ref="K2564:M2564"/>
    <mergeCell ref="G2700:I2700"/>
    <mergeCell ref="G3759:I3759"/>
    <mergeCell ref="G913:I913"/>
    <mergeCell ref="G1643:I1643"/>
    <mergeCell ref="G1966:I1966"/>
    <mergeCell ref="G127:I127"/>
    <mergeCell ref="G3769:I3769"/>
    <mergeCell ref="G3761:I3761"/>
    <mergeCell ref="K3896:M3896"/>
    <mergeCell ref="K2522:M2522"/>
    <mergeCell ref="K2109:M2109"/>
    <mergeCell ref="K34:M34"/>
    <mergeCell ref="G4542:I4542"/>
    <mergeCell ref="G2755:I2755"/>
    <mergeCell ref="A650:A655"/>
    <mergeCell ref="G1239:I1239"/>
    <mergeCell ref="G2429:I2429"/>
    <mergeCell ref="K1366:M1366"/>
    <mergeCell ref="G636:I636"/>
    <mergeCell ref="G4873:I4873"/>
    <mergeCell ref="G2757:I2757"/>
    <mergeCell ref="G4087:I4087"/>
    <mergeCell ref="K2251:M2251"/>
    <mergeCell ref="K2245:M2245"/>
    <mergeCell ref="K3217:M3217"/>
    <mergeCell ref="G4868:I4868"/>
    <mergeCell ref="K3944:M3944"/>
    <mergeCell ref="K5003:M5003"/>
    <mergeCell ref="K3629:M3629"/>
    <mergeCell ref="G354:I354"/>
    <mergeCell ref="A696:A701"/>
    <mergeCell ref="G3121:I3121"/>
    <mergeCell ref="K408:M408"/>
    <mergeCell ref="K4319:M4319"/>
    <mergeCell ref="K1461:M1461"/>
    <mergeCell ref="K402:M402"/>
    <mergeCell ref="G4916:I4916"/>
    <mergeCell ref="K401:M401"/>
    <mergeCell ref="K3160:M3160"/>
    <mergeCell ref="K1463:M1463"/>
    <mergeCell ref="G3483:I3483"/>
    <mergeCell ref="K403:M403"/>
    <mergeCell ref="G1367:I1367"/>
    <mergeCell ref="K5005:M5005"/>
    <mergeCell ref="G225:I225"/>
    <mergeCell ref="G1415:I1415"/>
    <mergeCell ref="G356:I356"/>
    <mergeCell ref="K176:M176"/>
    <mergeCell ref="G952:I952"/>
    <mergeCell ref="G1924:I1924"/>
    <mergeCell ref="G227:I227"/>
    <mergeCell ref="G2470:I2470"/>
    <mergeCell ref="G2013:I2013"/>
    <mergeCell ref="G954:I954"/>
    <mergeCell ref="K1412:M1412"/>
    <mergeCell ref="K3533:M3533"/>
    <mergeCell ref="G1926:I1926"/>
    <mergeCell ref="K171:M171"/>
    <mergeCell ref="K687:M687"/>
    <mergeCell ref="K1877:M1877"/>
    <mergeCell ref="G3712:I3712"/>
    <mergeCell ref="K776:M776"/>
    <mergeCell ref="K3991:M3991"/>
    <mergeCell ref="K1145:M1145"/>
    <mergeCell ref="K2475:M2475"/>
    <mergeCell ref="K2931:M2931"/>
    <mergeCell ref="K1872:M1872"/>
    <mergeCell ref="K3993:M3993"/>
    <mergeCell ref="K2933:M2933"/>
    <mergeCell ref="G3853:I3853"/>
    <mergeCell ref="G4825:I4825"/>
    <mergeCell ref="G586:I586"/>
    <mergeCell ref="G4914:I4914"/>
    <mergeCell ref="G1182:I1182"/>
    <mergeCell ref="K3675:M3675"/>
    <mergeCell ref="K5100:M5100"/>
    <mergeCell ref="G1965:I1965"/>
    <mergeCell ref="G2840:I2840"/>
    <mergeCell ref="G1781:I1781"/>
    <mergeCell ref="K129:M129"/>
    <mergeCell ref="G2753:I2753"/>
    <mergeCell ref="G4083:I4083"/>
    <mergeCell ref="K2573:M2573"/>
    <mergeCell ref="G1055:I1055"/>
    <mergeCell ref="G3023:I3023"/>
    <mergeCell ref="G907:I907"/>
    <mergeCell ref="G4085:I4085"/>
    <mergeCell ref="G4962:I4962"/>
    <mergeCell ref="K3905:M3905"/>
    <mergeCell ref="G3351:I3351"/>
    <mergeCell ref="K543:M543"/>
    <mergeCell ref="G4541:I4541"/>
    <mergeCell ref="K729:M729"/>
    <mergeCell ref="K3907:M3907"/>
    <mergeCell ref="K4363:M4363"/>
    <mergeCell ref="K3304:M3304"/>
    <mergeCell ref="K5001:M5001"/>
    <mergeCell ref="K2570:M2570"/>
    <mergeCell ref="K3760:M3760"/>
    <mergeCell ref="K4587:M4587"/>
    <mergeCell ref="G961:I961"/>
    <mergeCell ref="G2151:I2151"/>
    <mergeCell ref="G3580:I3580"/>
    <mergeCell ref="G4910:I4910"/>
    <mergeCell ref="G3123:I3123"/>
    <mergeCell ref="K2614:M2614"/>
    <mergeCell ref="G2337:I2337"/>
    <mergeCell ref="A1524:A1529"/>
    <mergeCell ref="G2893:I2893"/>
    <mergeCell ref="G1650:I1650"/>
    <mergeCell ref="K447:M447"/>
    <mergeCell ref="G2895:I2895"/>
    <mergeCell ref="K3030:M3030"/>
    <mergeCell ref="G3491:I3491"/>
    <mergeCell ref="G2432:I2432"/>
    <mergeCell ref="G4681:I4681"/>
    <mergeCell ref="K816:M816"/>
    <mergeCell ref="G2011:I2011"/>
    <mergeCell ref="G3493:I3493"/>
    <mergeCell ref="K1228:M1228"/>
    <mergeCell ref="G4683:I4683"/>
    <mergeCell ref="G38:I38"/>
    <mergeCell ref="G3949:I3949"/>
    <mergeCell ref="K1833:M1833"/>
    <mergeCell ref="K774:M774"/>
    <mergeCell ref="K40:M40"/>
    <mergeCell ref="K2289:M2289"/>
    <mergeCell ref="K1230:M1230"/>
    <mergeCell ref="K3953:M3953"/>
    <mergeCell ref="G1737:I1737"/>
    <mergeCell ref="G678:I678"/>
    <mergeCell ref="K3989:M3989"/>
    <mergeCell ref="G363:I363"/>
    <mergeCell ref="A3364:A3369"/>
    <mergeCell ref="G549:I549"/>
    <mergeCell ref="G2798:I2798"/>
    <mergeCell ref="G1739:I1739"/>
    <mergeCell ref="G2792:I2792"/>
    <mergeCell ref="K500:M500"/>
    <mergeCell ref="A834:A839"/>
    <mergeCell ref="K1556:M1556"/>
    <mergeCell ref="K2941:M2941"/>
    <mergeCell ref="G1879:I1879"/>
    <mergeCell ref="K4131:M4131"/>
    <mergeCell ref="K3674:M3674"/>
    <mergeCell ref="K4727:M4727"/>
    <mergeCell ref="K3668:M3668"/>
    <mergeCell ref="G262:I262"/>
    <mergeCell ref="A1432:A1437"/>
    <mergeCell ref="G2477:I2477"/>
    <mergeCell ref="K4729:M4729"/>
    <mergeCell ref="A3594:A3599"/>
    <mergeCell ref="G4633:I4633"/>
    <mergeCell ref="G263:I263"/>
    <mergeCell ref="G4318:I4318"/>
    <mergeCell ref="G2479:I2479"/>
    <mergeCell ref="G2838:I2838"/>
    <mergeCell ref="K4455:M4455"/>
    <mergeCell ref="A282:A287"/>
    <mergeCell ref="A4100:A4105"/>
    <mergeCell ref="K2892:M2892"/>
    <mergeCell ref="K3530:M3530"/>
    <mergeCell ref="K2435:M2435"/>
    <mergeCell ref="G3668:I3668"/>
    <mergeCell ref="K1832:M1832"/>
    <mergeCell ref="K2885:M2885"/>
    <mergeCell ref="K4591:M4591"/>
    <mergeCell ref="K4128:M4128"/>
    <mergeCell ref="A2352:A2357"/>
    <mergeCell ref="A420:A425"/>
    <mergeCell ref="A3548:A3553"/>
    <mergeCell ref="K216:M216"/>
    <mergeCell ref="K1785:M1785"/>
    <mergeCell ref="K4034:M4034"/>
    <mergeCell ref="G3436:I3436"/>
    <mergeCell ref="K4457:M4457"/>
    <mergeCell ref="K3723:M3723"/>
    <mergeCell ref="G2564:I2564"/>
    <mergeCell ref="K4816:M4816"/>
    <mergeCell ref="K1183:M1183"/>
    <mergeCell ref="G2109:I2109"/>
    <mergeCell ref="G2103:I2103"/>
    <mergeCell ref="G316:I316"/>
    <mergeCell ref="G405:I405"/>
    <mergeCell ref="K1925:M1925"/>
    <mergeCell ref="G1377:I1377"/>
    <mergeCell ref="K3115:M3115"/>
    <mergeCell ref="K1504:M1504"/>
    <mergeCell ref="G2104:I2104"/>
    <mergeCell ref="K865:M865"/>
    <mergeCell ref="K3443:M3443"/>
    <mergeCell ref="K1927:M1927"/>
    <mergeCell ref="G4679:I4679"/>
    <mergeCell ref="K1193:M1193"/>
    <mergeCell ref="K2613:M2613"/>
    <mergeCell ref="G3533:I3533"/>
    <mergeCell ref="K631:M631"/>
    <mergeCell ref="G1101:I1101"/>
    <mergeCell ref="K3534:M3534"/>
    <mergeCell ref="G4729:I4729"/>
    <mergeCell ref="K1374:M1374"/>
    <mergeCell ref="K771:M771"/>
    <mergeCell ref="K4589:M4589"/>
    <mergeCell ref="G34:I34"/>
    <mergeCell ref="K2383:M2383"/>
    <mergeCell ref="K3713:M3713"/>
    <mergeCell ref="G2706:I2706"/>
    <mergeCell ref="K4501:M4501"/>
    <mergeCell ref="G1366:I1366"/>
    <mergeCell ref="K4082:M4082"/>
    <mergeCell ref="K3767:M3767"/>
    <mergeCell ref="K4687:M4687"/>
    <mergeCell ref="K4503:M4503"/>
    <mergeCell ref="K5143:M5143"/>
    <mergeCell ref="G1091:I1091"/>
    <mergeCell ref="K5099:M5099"/>
    <mergeCell ref="G3217:I3217"/>
    <mergeCell ref="K585:M585"/>
    <mergeCell ref="G1090:I1090"/>
    <mergeCell ref="G5003:I5003"/>
    <mergeCell ref="G3306:I3306"/>
    <mergeCell ref="K1557:M1557"/>
    <mergeCell ref="G1003:I1003"/>
    <mergeCell ref="G1513:I1513"/>
    <mergeCell ref="G3815:I3815"/>
    <mergeCell ref="G1092:I1092"/>
    <mergeCell ref="G5005:I5005"/>
    <mergeCell ref="K309:M309"/>
    <mergeCell ref="K825:M825"/>
    <mergeCell ref="G176:I176"/>
    <mergeCell ref="K3345:M3345"/>
    <mergeCell ref="K914:M914"/>
    <mergeCell ref="K1552:M1552"/>
    <mergeCell ref="K4827:M4827"/>
    <mergeCell ref="K2157:M2157"/>
    <mergeCell ref="G171:I171"/>
    <mergeCell ref="G776:I776"/>
    <mergeCell ref="G357:I357"/>
    <mergeCell ref="G4594:I4594"/>
    <mergeCell ref="G2801:I2801"/>
    <mergeCell ref="G3991:I3991"/>
    <mergeCell ref="G1145:I1145"/>
    <mergeCell ref="K179:M179"/>
    <mergeCell ref="G2931:I2931"/>
    <mergeCell ref="G5052:I5052"/>
    <mergeCell ref="G3993:I3993"/>
    <mergeCell ref="K3813:M3813"/>
    <mergeCell ref="K2754:M2754"/>
    <mergeCell ref="K4451:M4451"/>
    <mergeCell ref="K2297:M2297"/>
    <mergeCell ref="K4540:M4540"/>
    <mergeCell ref="G2933:I2933"/>
    <mergeCell ref="K540:M540"/>
    <mergeCell ref="K3815:M3815"/>
    <mergeCell ref="K4453:M4453"/>
    <mergeCell ref="K3442:M3442"/>
    <mergeCell ref="K3121:M3121"/>
    <mergeCell ref="G3628:I3628"/>
    <mergeCell ref="G1228:I1228"/>
    <mergeCell ref="G1877:I1877"/>
    <mergeCell ref="K638:M638"/>
    <mergeCell ref="G1833:I1833"/>
    <mergeCell ref="G1414:I1414"/>
    <mergeCell ref="G4689:I4689"/>
    <mergeCell ref="K175:M175"/>
    <mergeCell ref="G2289:I2289"/>
    <mergeCell ref="G5048:I5048"/>
    <mergeCell ref="K83:M83"/>
    <mergeCell ref="K3990:M3990"/>
    <mergeCell ref="K4542:M4542"/>
    <mergeCell ref="K2755:M2755"/>
    <mergeCell ref="K2749:M2749"/>
    <mergeCell ref="K5051:M5051"/>
    <mergeCell ref="K541:M541"/>
    <mergeCell ref="G1285:I1285"/>
    <mergeCell ref="K4454:M4454"/>
    <mergeCell ref="G1461:I1461"/>
    <mergeCell ref="K3810:M3810"/>
    <mergeCell ref="G5103:I5103"/>
    <mergeCell ref="G4133:I4133"/>
    <mergeCell ref="G401:I401"/>
    <mergeCell ref="G2522:I2522"/>
    <mergeCell ref="G1463:I1463"/>
    <mergeCell ref="A2214:A2219"/>
    <mergeCell ref="G403:I403"/>
    <mergeCell ref="G4221:I4221"/>
    <mergeCell ref="G3162:I3162"/>
    <mergeCell ref="K866:M866"/>
    <mergeCell ref="K2379:M2379"/>
    <mergeCell ref="G2102:I2102"/>
    <mergeCell ref="G2517:I2517"/>
    <mergeCell ref="K225:M225"/>
    <mergeCell ref="G5100:I5100"/>
    <mergeCell ref="K4043:M4043"/>
    <mergeCell ref="K2984:M2984"/>
    <mergeCell ref="G129:I129"/>
    <mergeCell ref="K2381:M2381"/>
    <mergeCell ref="K1924:M1924"/>
    <mergeCell ref="G2573:I2573"/>
    <mergeCell ref="G131:I131"/>
    <mergeCell ref="G1184:I1184"/>
    <mergeCell ref="G727:I727"/>
    <mergeCell ref="K2979:M2979"/>
    <mergeCell ref="G4818:I4818"/>
    <mergeCell ref="K1006:M1006"/>
    <mergeCell ref="G729:I729"/>
    <mergeCell ref="G3907:I3907"/>
    <mergeCell ref="K4640:M4640"/>
    <mergeCell ref="K3168:M3168"/>
    <mergeCell ref="G4363:I4363"/>
    <mergeCell ref="G3629:I3629"/>
    <mergeCell ref="G2570:I2570"/>
    <mergeCell ref="G3760:I3760"/>
    <mergeCell ref="A926:A931"/>
    <mergeCell ref="K2521:M2521"/>
    <mergeCell ref="K4823:M4823"/>
    <mergeCell ref="G3631:I3631"/>
    <mergeCell ref="K2707:M2707"/>
    <mergeCell ref="K3582:M3582"/>
    <mergeCell ref="K3758:M3758"/>
    <mergeCell ref="G447:I447"/>
    <mergeCell ref="G4358:I4358"/>
    <mergeCell ref="K3119:M3119"/>
    <mergeCell ref="K912:M912"/>
    <mergeCell ref="A1340:A1345"/>
    <mergeCell ref="G1413:I1413"/>
    <mergeCell ref="K4091:M4091"/>
    <mergeCell ref="G2288:I2288"/>
    <mergeCell ref="G816:I816"/>
    <mergeCell ref="G501:I501"/>
    <mergeCell ref="K4180:M4180"/>
    <mergeCell ref="K177:M177"/>
    <mergeCell ref="K1236:M1236"/>
    <mergeCell ref="K2426:M2426"/>
    <mergeCell ref="K1367:M1367"/>
    <mergeCell ref="G1872:I1872"/>
    <mergeCell ref="K633:M633"/>
    <mergeCell ref="K4267:M4267"/>
    <mergeCell ref="K3208:M3208"/>
    <mergeCell ref="K2751:M2751"/>
    <mergeCell ref="K3804:M3804"/>
    <mergeCell ref="A972:A977"/>
    <mergeCell ref="K1965:M1965"/>
    <mergeCell ref="G2614:I2614"/>
    <mergeCell ref="K4269:M4269"/>
    <mergeCell ref="G958:I958"/>
    <mergeCell ref="K2753:M2753"/>
    <mergeCell ref="K4865:M4865"/>
    <mergeCell ref="K3806:M3806"/>
    <mergeCell ref="G3675:I3675"/>
    <mergeCell ref="A1570:A1575"/>
    <mergeCell ref="G4129:I4129"/>
    <mergeCell ref="K4264:M4264"/>
    <mergeCell ref="G1556:I1556"/>
    <mergeCell ref="K3076:M3076"/>
    <mergeCell ref="G4131:I4131"/>
    <mergeCell ref="K3951:M3951"/>
    <mergeCell ref="G4771:I4771"/>
    <mergeCell ref="G4727:I4727"/>
    <mergeCell ref="K1835:M1835"/>
    <mergeCell ref="K862:M862"/>
    <mergeCell ref="K4137:M4137"/>
    <mergeCell ref="K4593:M4593"/>
    <mergeCell ref="K4864:M4864"/>
    <mergeCell ref="K4595:M4595"/>
    <mergeCell ref="K863:M863"/>
    <mergeCell ref="K3079:M3079"/>
    <mergeCell ref="A3410:A3415"/>
    <mergeCell ref="K4132:M4132"/>
    <mergeCell ref="G4455:I4455"/>
    <mergeCell ref="G2844:I2844"/>
    <mergeCell ref="G1785:I1785"/>
    <mergeCell ref="G2241:I2241"/>
    <mergeCell ref="G544:I544"/>
    <mergeCell ref="G725:I725"/>
    <mergeCell ref="G3723:I3723"/>
    <mergeCell ref="G2846:I2846"/>
    <mergeCell ref="K2063:M2063"/>
    <mergeCell ref="K1004:M1004"/>
    <mergeCell ref="K3253:M3253"/>
    <mergeCell ref="K2194:M2194"/>
    <mergeCell ref="K547:M547"/>
    <mergeCell ref="K1460:M1460"/>
    <mergeCell ref="G1183:I1183"/>
    <mergeCell ref="K2065:M2065"/>
    <mergeCell ref="K549:M549"/>
    <mergeCell ref="K2792:M2792"/>
    <mergeCell ref="K1005:M1005"/>
    <mergeCell ref="G1925:I1925"/>
    <mergeCell ref="K3580:M3580"/>
    <mergeCell ref="K2890:M2890"/>
    <mergeCell ref="K3161:M3161"/>
    <mergeCell ref="G2613:I2613"/>
    <mergeCell ref="K1051:M1051"/>
    <mergeCell ref="G3666:I3666"/>
    <mergeCell ref="G5140:I5140"/>
    <mergeCell ref="G1193:I1193"/>
    <mergeCell ref="G2383:I2383"/>
    <mergeCell ref="K4178:M4178"/>
    <mergeCell ref="A4606:A4611"/>
    <mergeCell ref="G3355:I3355"/>
    <mergeCell ref="K723:M723"/>
    <mergeCell ref="G3444:I3444"/>
    <mergeCell ref="G4082:I4082"/>
    <mergeCell ref="K2205:M2205"/>
    <mergeCell ref="G1651:I1651"/>
    <mergeCell ref="G2981:I2981"/>
    <mergeCell ref="G4687:I4687"/>
    <mergeCell ref="G3953:I3953"/>
    <mergeCell ref="G5143:I5143"/>
    <mergeCell ref="K262:M262"/>
    <mergeCell ref="K3904:M3904"/>
    <mergeCell ref="K4080:M4080"/>
    <mergeCell ref="A1662:A1667"/>
    <mergeCell ref="K2424:M2424"/>
    <mergeCell ref="K1690:M1690"/>
    <mergeCell ref="K4965:M4965"/>
    <mergeCell ref="K4959:M4959"/>
    <mergeCell ref="G493:I493"/>
    <mergeCell ref="G3671:I3671"/>
    <mergeCell ref="G309:I309"/>
    <mergeCell ref="G3068:I3068"/>
    <mergeCell ref="G1229:I1229"/>
    <mergeCell ref="A4238:A4243"/>
    <mergeCell ref="G914:I914"/>
    <mergeCell ref="G1552:I1552"/>
    <mergeCell ref="G3673:I3673"/>
    <mergeCell ref="G179:I179"/>
    <mergeCell ref="K4680:M4680"/>
    <mergeCell ref="K2893:M2893"/>
    <mergeCell ref="K1834:M1834"/>
    <mergeCell ref="K2887:M2887"/>
    <mergeCell ref="G3813:I3813"/>
    <mergeCell ref="G2754:I2754"/>
    <mergeCell ref="G4451:I4451"/>
    <mergeCell ref="G540:I540"/>
    <mergeCell ref="G3396:I3396"/>
    <mergeCell ref="G4778:I4778"/>
    <mergeCell ref="G5049:I5049"/>
    <mergeCell ref="G1601:I1601"/>
    <mergeCell ref="G2749:I2749"/>
    <mergeCell ref="K362:M362"/>
    <mergeCell ref="K1097:M1097"/>
    <mergeCell ref="K4275:M4275"/>
    <mergeCell ref="K315:M315"/>
    <mergeCell ref="G224:I224"/>
    <mergeCell ref="G4137:I4137"/>
    <mergeCell ref="K4724:M4724"/>
    <mergeCell ref="G4593:I4593"/>
    <mergeCell ref="G3534:I3534"/>
    <mergeCell ref="G1923:I1923"/>
    <mergeCell ref="G4595:I4595"/>
    <mergeCell ref="G863:I863"/>
    <mergeCell ref="G4219:I4219"/>
    <mergeCell ref="G4817:I4817"/>
    <mergeCell ref="K4639:M4639"/>
    <mergeCell ref="K4770:M4770"/>
    <mergeCell ref="G723:I723"/>
    <mergeCell ref="K5000:M5000"/>
    <mergeCell ref="G5051:I5051"/>
    <mergeCell ref="K4731:M4731"/>
    <mergeCell ref="G4869:I4869"/>
    <mergeCell ref="G3300:I3300"/>
    <mergeCell ref="K2150:M2150"/>
    <mergeCell ref="K1091:M1091"/>
    <mergeCell ref="K4733:M4733"/>
    <mergeCell ref="K3122:M3122"/>
    <mergeCell ref="K4270:M4270"/>
    <mergeCell ref="K2519:M2519"/>
    <mergeCell ref="K1003:M1003"/>
    <mergeCell ref="G866:I866"/>
    <mergeCell ref="G2056:I2056"/>
    <mergeCell ref="G2379:I2379"/>
    <mergeCell ref="K817:M817"/>
    <mergeCell ref="G1322:I1322"/>
    <mergeCell ref="G865:I865"/>
    <mergeCell ref="K3117:M3117"/>
    <mergeCell ref="G4043:I4043"/>
    <mergeCell ref="G1927:I1927"/>
    <mergeCell ref="G3897:I3897"/>
    <mergeCell ref="K3988:M3988"/>
    <mergeCell ref="G2381:I2381"/>
    <mergeCell ref="K2201:M2201"/>
    <mergeCell ref="G4127:I4127"/>
    <mergeCell ref="G4180:I4180"/>
    <mergeCell ref="K1505:M1505"/>
    <mergeCell ref="K3215:M3215"/>
    <mergeCell ref="K2156:M2156"/>
    <mergeCell ref="K5002:M5002"/>
    <mergeCell ref="G1835:I1835"/>
    <mergeCell ref="G1921:I1921"/>
    <mergeCell ref="K85:M85"/>
    <mergeCell ref="K5049:M5049"/>
    <mergeCell ref="G3442:I3442"/>
    <mergeCell ref="G4495:I4495"/>
    <mergeCell ref="K2203:M2203"/>
    <mergeCell ref="G2979:I2979"/>
    <mergeCell ref="K1469:M1469"/>
    <mergeCell ref="K3902:M3902"/>
    <mergeCell ref="K4632:M4632"/>
    <mergeCell ref="K4317:M4317"/>
    <mergeCell ref="G1006:I1006"/>
    <mergeCell ref="K2845:M2845"/>
    <mergeCell ref="K4955:M4955"/>
    <mergeCell ref="K2801:M2801"/>
    <mergeCell ref="G3765:I3765"/>
    <mergeCell ref="G585:I585"/>
    <mergeCell ref="G3168:I3168"/>
    <mergeCell ref="K3257:M3257"/>
    <mergeCell ref="K4963:M4963"/>
    <mergeCell ref="G2067:I2067"/>
    <mergeCell ref="K4500:M4500"/>
    <mergeCell ref="K4318:M4318"/>
    <mergeCell ref="K3259:M3259"/>
    <mergeCell ref="G4223:I4223"/>
    <mergeCell ref="G3766:I3766"/>
    <mergeCell ref="G2707:I2707"/>
    <mergeCell ref="G4819:I4819"/>
    <mergeCell ref="K2527:M2527"/>
    <mergeCell ref="K1047:M1047"/>
    <mergeCell ref="K4045:M4045"/>
    <mergeCell ref="K313:M313"/>
    <mergeCell ref="G4091:I4091"/>
    <mergeCell ref="K5103:M5103"/>
    <mergeCell ref="G638:I638"/>
    <mergeCell ref="K727:M727"/>
    <mergeCell ref="G175:I175"/>
    <mergeCell ref="G631:I631"/>
    <mergeCell ref="G1693:I1693"/>
    <mergeCell ref="A4560:A4565"/>
    <mergeCell ref="G1236:I1236"/>
    <mergeCell ref="G177:I177"/>
    <mergeCell ref="G2426:I2426"/>
    <mergeCell ref="K4678:M4678"/>
    <mergeCell ref="G633:I633"/>
    <mergeCell ref="A2260:A2265"/>
    <mergeCell ref="K1515:M1515"/>
    <mergeCell ref="G4267:I4267"/>
    <mergeCell ref="G3208:I3208"/>
    <mergeCell ref="K4402:M4402"/>
    <mergeCell ref="G3804:I3804"/>
    <mergeCell ref="K2242:M2242"/>
    <mergeCell ref="G1694:I1694"/>
    <mergeCell ref="K455:M455"/>
    <mergeCell ref="G1688:I1688"/>
    <mergeCell ref="G4453:I4453"/>
    <mergeCell ref="K3214:M3214"/>
    <mergeCell ref="G4865:I4865"/>
    <mergeCell ref="G3806:I3806"/>
    <mergeCell ref="G2019:I2019"/>
    <mergeCell ref="K457:M457"/>
    <mergeCell ref="K3672:M3672"/>
    <mergeCell ref="K3943:M3943"/>
    <mergeCell ref="G4867:I4867"/>
    <mergeCell ref="K3628:M3628"/>
    <mergeCell ref="A2490:A2495"/>
    <mergeCell ref="G4132:I4132"/>
    <mergeCell ref="K1745:M1745"/>
    <mergeCell ref="K170:M170"/>
    <mergeCell ref="G677:I677"/>
    <mergeCell ref="K1142:M1142"/>
    <mergeCell ref="K1413:M1413"/>
    <mergeCell ref="K2472:M2472"/>
    <mergeCell ref="K685:M685"/>
    <mergeCell ref="K3351:M3351"/>
    <mergeCell ref="K1740:M1740"/>
    <mergeCell ref="K2930:M2930"/>
    <mergeCell ref="G733:I733"/>
    <mergeCell ref="G1004:I1004"/>
    <mergeCell ref="G2063:I2063"/>
    <mergeCell ref="G1460:I1460"/>
    <mergeCell ref="K3255:M3255"/>
    <mergeCell ref="G2065:I2065"/>
    <mergeCell ref="K3069:M3069"/>
    <mergeCell ref="G2521:I2521"/>
    <mergeCell ref="K1282:M1282"/>
    <mergeCell ref="G1005:I1005"/>
    <mergeCell ref="G3764:I3764"/>
    <mergeCell ref="K2525:M2525"/>
    <mergeCell ref="K3071:M3071"/>
    <mergeCell ref="G2523:I2523"/>
    <mergeCell ref="K2343:M2343"/>
    <mergeCell ref="A1202:A1207"/>
    <mergeCell ref="G3119:I3119"/>
    <mergeCell ref="K821:M821"/>
    <mergeCell ref="K400:M400"/>
    <mergeCell ref="K2983:M2983"/>
    <mergeCell ref="A1800:A1805"/>
    <mergeCell ref="G2205:I2205"/>
    <mergeCell ref="K3581:M3581"/>
    <mergeCell ref="K4771:M4771"/>
    <mergeCell ref="K539:M539"/>
    <mergeCell ref="G4957:I4957"/>
    <mergeCell ref="G2839:I2839"/>
    <mergeCell ref="G1690:I1690"/>
    <mergeCell ref="G4965:I4965"/>
    <mergeCell ref="K451:M451"/>
    <mergeCell ref="G4959:I4959"/>
    <mergeCell ref="G589:I589"/>
    <mergeCell ref="G4502:I4502"/>
    <mergeCell ref="K1969:M1969"/>
    <mergeCell ref="K2240:M2240"/>
    <mergeCell ref="K3299:M3299"/>
    <mergeCell ref="K1512:M1512"/>
    <mergeCell ref="K453:M453"/>
    <mergeCell ref="K4781:M4781"/>
    <mergeCell ref="K3301:M3301"/>
    <mergeCell ref="K2241:M2241"/>
    <mergeCell ref="K1964:M1964"/>
    <mergeCell ref="G2890:I2890"/>
    <mergeCell ref="G774:I774"/>
    <mergeCell ref="K4266:M4266"/>
    <mergeCell ref="K4908:M4908"/>
    <mergeCell ref="G4639:I4639"/>
    <mergeCell ref="G4499:I4499"/>
    <mergeCell ref="K677:M677"/>
    <mergeCell ref="G2983:I2983"/>
    <mergeCell ref="K2389:M2389"/>
    <mergeCell ref="K3579:M3579"/>
    <mergeCell ref="G4680:I4680"/>
    <mergeCell ref="K3441:M3441"/>
    <mergeCell ref="G1834:I1834"/>
    <mergeCell ref="G2887:I2887"/>
    <mergeCell ref="K4413:M4413"/>
    <mergeCell ref="K4502:M4502"/>
    <mergeCell ref="G4586:I4586"/>
    <mergeCell ref="G2157:I2157"/>
    <mergeCell ref="K2149:M2149"/>
    <mergeCell ref="K2665:M2665"/>
    <mergeCell ref="K3718:M3718"/>
    <mergeCell ref="G3069:I3069"/>
    <mergeCell ref="K3261:M3261"/>
    <mergeCell ref="G1282:I1282"/>
    <mergeCell ref="G4041:I4041"/>
    <mergeCell ref="K3263:M3263"/>
    <mergeCell ref="G2343:I2343"/>
    <mergeCell ref="K1419:M1419"/>
    <mergeCell ref="K3719:M3719"/>
    <mergeCell ref="K4181:M4181"/>
    <mergeCell ref="K1323:M1323"/>
    <mergeCell ref="G4497:I4497"/>
    <mergeCell ref="G1780:I1780"/>
    <mergeCell ref="K4494:M4494"/>
    <mergeCell ref="K3306:M3306"/>
    <mergeCell ref="K4496:M4496"/>
    <mergeCell ref="G1329:I1329"/>
    <mergeCell ref="G2659:I2659"/>
    <mergeCell ref="G4172:I4172"/>
    <mergeCell ref="K4126:M4126"/>
    <mergeCell ref="G2519:I2519"/>
    <mergeCell ref="K2339:M2339"/>
    <mergeCell ref="K1280:M1280"/>
    <mergeCell ref="K2010:M2010"/>
    <mergeCell ref="K1553:M1553"/>
    <mergeCell ref="K494:M494"/>
    <mergeCell ref="K4548:M4548"/>
    <mergeCell ref="K2341:M2341"/>
    <mergeCell ref="G3117:I3117"/>
    <mergeCell ref="K1878:M1878"/>
    <mergeCell ref="K3068:M3068"/>
    <mergeCell ref="A4468:A4473"/>
    <mergeCell ref="G1144:I1144"/>
    <mergeCell ref="A1938:A1943"/>
    <mergeCell ref="A4698:A4703"/>
    <mergeCell ref="A2398:A2403"/>
    <mergeCell ref="K2380:M2380"/>
    <mergeCell ref="K1321:M1321"/>
    <mergeCell ref="K3390:M3390"/>
    <mergeCell ref="K959:M959"/>
    <mergeCell ref="K2569:M2569"/>
    <mergeCell ref="A2582:A2587"/>
    <mergeCell ref="G3951:I3951"/>
    <mergeCell ref="G2892:I2892"/>
    <mergeCell ref="G4589:I4589"/>
    <mergeCell ref="G2435:I2435"/>
    <mergeCell ref="G2473:I2473"/>
    <mergeCell ref="G1832:I1832"/>
    <mergeCell ref="G2885:I2885"/>
    <mergeCell ref="G4591:I4591"/>
    <mergeCell ref="K2295:M2295"/>
    <mergeCell ref="G85:I85"/>
    <mergeCell ref="K2939:M2939"/>
    <mergeCell ref="K1880:M1880"/>
    <mergeCell ref="G3903:I3903"/>
    <mergeCell ref="K3666:M3666"/>
    <mergeCell ref="G2843:I2843"/>
    <mergeCell ref="G1469:I1469"/>
    <mergeCell ref="K4638:M4638"/>
    <mergeCell ref="G4632:I4632"/>
    <mergeCell ref="G3904:I3904"/>
    <mergeCell ref="G2845:I2845"/>
    <mergeCell ref="G3898:I3898"/>
    <mergeCell ref="G3257:I3257"/>
    <mergeCell ref="K1185:M1185"/>
    <mergeCell ref="K126:M126"/>
    <mergeCell ref="G4963:I4963"/>
    <mergeCell ref="G4229:I4229"/>
    <mergeCell ref="K538:M538"/>
    <mergeCell ref="G3443:I3443"/>
    <mergeCell ref="K1607:M1607"/>
    <mergeCell ref="G1373:I1373"/>
    <mergeCell ref="K4778:M4778"/>
    <mergeCell ref="G4045:I4045"/>
    <mergeCell ref="G313:I313"/>
    <mergeCell ref="G2985:I2985"/>
    <mergeCell ref="G3161:I3161"/>
    <mergeCell ref="G1374:I1374"/>
    <mergeCell ref="G315:I315"/>
    <mergeCell ref="G1368:I1368"/>
    <mergeCell ref="G1505:I1505"/>
    <mergeCell ref="G771:I771"/>
    <mergeCell ref="G3942:I3942"/>
    <mergeCell ref="A5112:A5117"/>
    <mergeCell ref="K593:M593"/>
    <mergeCell ref="K1320:M1320"/>
    <mergeCell ref="G3944:I3944"/>
    <mergeCell ref="K2705:M2705"/>
    <mergeCell ref="K595:M595"/>
    <mergeCell ref="G1515:I1515"/>
    <mergeCell ref="G4402:I4402"/>
    <mergeCell ref="G3758:I3758"/>
    <mergeCell ref="K2891:M2891"/>
    <mergeCell ref="G1971:I1971"/>
    <mergeCell ref="K5140:M5140"/>
    <mergeCell ref="K4081:M4081"/>
    <mergeCell ref="K3766:M3766"/>
    <mergeCell ref="G455:I455"/>
    <mergeCell ref="K2294:M2294"/>
    <mergeCell ref="G3214:I3214"/>
    <mergeCell ref="K4448:M4448"/>
    <mergeCell ref="G4410:I4410"/>
    <mergeCell ref="G2203:I2203"/>
    <mergeCell ref="G1740:I1740"/>
    <mergeCell ref="K3207:M3207"/>
    <mergeCell ref="K2148:M2148"/>
    <mergeCell ref="G2930:I2930"/>
    <mergeCell ref="K1420:M1420"/>
    <mergeCell ref="K1691:M1691"/>
    <mergeCell ref="K4450:M4450"/>
    <mergeCell ref="G3902:I3902"/>
    <mergeCell ref="K2663:M2663"/>
    <mergeCell ref="K3209:M3209"/>
    <mergeCell ref="K2752:M2752"/>
    <mergeCell ref="K1693:M1693"/>
    <mergeCell ref="A52:A57"/>
    <mergeCell ref="G1973:I1973"/>
    <mergeCell ref="G2154:I2154"/>
    <mergeCell ref="G457:I457"/>
    <mergeCell ref="G4275:I4275"/>
    <mergeCell ref="G3672:I3672"/>
    <mergeCell ref="G5002:I5002"/>
    <mergeCell ref="G3215:I3215"/>
    <mergeCell ref="G3209:I3209"/>
    <mergeCell ref="G4733:I4733"/>
    <mergeCell ref="K911:M911"/>
    <mergeCell ref="G4270:I4270"/>
    <mergeCell ref="K3031:M3031"/>
    <mergeCell ref="K308:M308"/>
    <mergeCell ref="K1972:M1972"/>
    <mergeCell ref="K4221:M4221"/>
    <mergeCell ref="K2610:M2610"/>
    <mergeCell ref="K1551:M1551"/>
    <mergeCell ref="K3033:M3033"/>
    <mergeCell ref="K4223:M4223"/>
    <mergeCell ref="G81:I81"/>
    <mergeCell ref="K3489:M3489"/>
    <mergeCell ref="K4819:M4819"/>
    <mergeCell ref="G3812:I3812"/>
    <mergeCell ref="G3988:I3988"/>
    <mergeCell ref="G2201:I2201"/>
    <mergeCell ref="G1142:I1142"/>
    <mergeCell ref="G2472:I2472"/>
    <mergeCell ref="G685:I685"/>
    <mergeCell ref="G679:I679"/>
    <mergeCell ref="A2306:A2311"/>
    <mergeCell ref="K3393:M3393"/>
    <mergeCell ref="K5048:M5048"/>
    <mergeCell ref="K3437:M3437"/>
    <mergeCell ref="K2378:M2378"/>
    <mergeCell ref="K591:M591"/>
    <mergeCell ref="K4919:M4919"/>
    <mergeCell ref="K4316:M4316"/>
    <mergeCell ref="K3439:M3439"/>
    <mergeCell ref="K1189:M1189"/>
    <mergeCell ref="G1969:I1969"/>
    <mergeCell ref="G3299:I3299"/>
    <mergeCell ref="G1512:I1512"/>
    <mergeCell ref="G2242:I2242"/>
    <mergeCell ref="K3861:M3861"/>
    <mergeCell ref="G1506:I1506"/>
    <mergeCell ref="A2720:A2725"/>
    <mergeCell ref="G4781:I4781"/>
    <mergeCell ref="G3030:I3030"/>
    <mergeCell ref="G3301:I3301"/>
    <mergeCell ref="K1791:M1791"/>
    <mergeCell ref="G2567:I2567"/>
    <mergeCell ref="K2518:M2518"/>
    <mergeCell ref="G1964:I1964"/>
    <mergeCell ref="K3490:M3490"/>
    <mergeCell ref="G4266:I4266"/>
    <mergeCell ref="G2569:I2569"/>
    <mergeCell ref="K5011:M5011"/>
    <mergeCell ref="K1229:M1229"/>
    <mergeCell ref="A604:A609"/>
    <mergeCell ref="K3355:M3355"/>
    <mergeCell ref="K4408:M4408"/>
    <mergeCell ref="G4731:I4731"/>
    <mergeCell ref="G2150:I2150"/>
    <mergeCell ref="G5141:I5141"/>
    <mergeCell ref="K1331:M1331"/>
    <mergeCell ref="G2295:I2295"/>
    <mergeCell ref="A190:A195"/>
    <mergeCell ref="G3022:I3022"/>
    <mergeCell ref="K4546:M4546"/>
    <mergeCell ref="G1235:I1235"/>
    <mergeCell ref="G4413:I4413"/>
    <mergeCell ref="K4817:M4817"/>
    <mergeCell ref="K32:M32"/>
    <mergeCell ref="K2844:M2844"/>
    <mergeCell ref="G1237:I1237"/>
    <mergeCell ref="G5011:I5011"/>
    <mergeCell ref="K630:M630"/>
    <mergeCell ref="G4408:I4408"/>
    <mergeCell ref="K2846:M2846"/>
    <mergeCell ref="K2748:M2748"/>
    <mergeCell ref="G2194:I2194"/>
    <mergeCell ref="K632:M632"/>
    <mergeCell ref="K4686:M4686"/>
    <mergeCell ref="K3627:M3627"/>
    <mergeCell ref="G221:I221"/>
    <mergeCell ref="G492:I492"/>
    <mergeCell ref="K2016:M2016"/>
    <mergeCell ref="G4126:I4126"/>
    <mergeCell ref="G2339:I2339"/>
    <mergeCell ref="G5095:I5095"/>
    <mergeCell ref="G4036:I4036"/>
    <mergeCell ref="A880:A885"/>
    <mergeCell ref="K4321:M4321"/>
    <mergeCell ref="G5097:I5097"/>
    <mergeCell ref="G4640:I4640"/>
    <mergeCell ref="A3180:A3185"/>
    <mergeCell ref="K2018:M2018"/>
    <mergeCell ref="G2341:I2341"/>
    <mergeCell ref="G3071:I3071"/>
    <mergeCell ref="K3529:M3529"/>
    <mergeCell ref="G1607:I1607"/>
    <mergeCell ref="K1742:M1742"/>
    <mergeCell ref="G821:I821"/>
    <mergeCell ref="G4770:I4770"/>
    <mergeCell ref="K3531:M3531"/>
    <mergeCell ref="G2939:I2939"/>
    <mergeCell ref="G3395:I3395"/>
    <mergeCell ref="K2471:M2471"/>
    <mergeCell ref="K264:M264"/>
    <mergeCell ref="K4592:M4592"/>
    <mergeCell ref="G1604:I1604"/>
    <mergeCell ref="G361:I361"/>
    <mergeCell ref="G4179:I4179"/>
    <mergeCell ref="K1099:M1099"/>
    <mergeCell ref="K3942:M3942"/>
    <mergeCell ref="K1826:M1826"/>
    <mergeCell ref="G2481:I2481"/>
    <mergeCell ref="K498:M498"/>
    <mergeCell ref="G2752:I2752"/>
    <mergeCell ref="G959:I959"/>
    <mergeCell ref="G2149:I2149"/>
    <mergeCell ref="G3718:I3718"/>
    <mergeCell ref="A2766:A2771"/>
    <mergeCell ref="A3318:A3323"/>
    <mergeCell ref="K3765:M3765"/>
    <mergeCell ref="G2424:I2424"/>
    <mergeCell ref="K4088:M4088"/>
    <mergeCell ref="K5046:M5046"/>
    <mergeCell ref="K676:M676"/>
    <mergeCell ref="K1283:M1283"/>
    <mergeCell ref="G124:I124"/>
    <mergeCell ref="K2473:M2473"/>
    <mergeCell ref="G539:I539"/>
    <mergeCell ref="A2076:A2081"/>
    <mergeCell ref="K4917:M4917"/>
    <mergeCell ref="K3857:M3857"/>
    <mergeCell ref="G4183:I4183"/>
    <mergeCell ref="G3720:I3720"/>
    <mergeCell ref="G3851:I3851"/>
    <mergeCell ref="K3671:M3671"/>
    <mergeCell ref="G2064:I2064"/>
    <mergeCell ref="G2240:I2240"/>
    <mergeCell ref="K1001:M1001"/>
    <mergeCell ref="G453:I453"/>
    <mergeCell ref="K3673:M3673"/>
    <mergeCell ref="K2062:M2062"/>
    <mergeCell ref="K1423:M1423"/>
    <mergeCell ref="K1459:M1459"/>
    <mergeCell ref="K3169:M3169"/>
    <mergeCell ref="K2110:M2110"/>
    <mergeCell ref="K4359:M4359"/>
    <mergeCell ref="K3300:M3300"/>
    <mergeCell ref="K1689:M1689"/>
    <mergeCell ref="A1064:A1069"/>
    <mergeCell ref="K3171:M3171"/>
    <mergeCell ref="K4361:M4361"/>
    <mergeCell ref="G219:I219"/>
    <mergeCell ref="G911:I911"/>
    <mergeCell ref="K3898:M3898"/>
    <mergeCell ref="K5057:M5057"/>
    <mergeCell ref="K3577:M3577"/>
    <mergeCell ref="K2843:M2843"/>
    <mergeCell ref="G1653:I1653"/>
    <mergeCell ref="G2291:I2291"/>
    <mergeCell ref="G1050:I1050"/>
    <mergeCell ref="G1321:I1321"/>
    <mergeCell ref="G2380:I2380"/>
    <mergeCell ref="G593:I593"/>
    <mergeCell ref="G3352:I3352"/>
    <mergeCell ref="G1320:I1320"/>
    <mergeCell ref="G3441:I3441"/>
    <mergeCell ref="K2840:M2840"/>
    <mergeCell ref="K1143:M1143"/>
    <mergeCell ref="G595:I595"/>
    <mergeCell ref="G1648:I1648"/>
    <mergeCell ref="K724:M724"/>
    <mergeCell ref="K1599:M1599"/>
    <mergeCell ref="G3950:I3950"/>
    <mergeCell ref="G2891:I2891"/>
    <mergeCell ref="K4358:M4358"/>
    <mergeCell ref="K1136:M1136"/>
    <mergeCell ref="G4081:I4081"/>
    <mergeCell ref="K2571:M2571"/>
    <mergeCell ref="K3901:M3901"/>
    <mergeCell ref="G2294:I2294"/>
    <mergeCell ref="G3347:I3347"/>
    <mergeCell ref="K1055:M1055"/>
    <mergeCell ref="K3298:M3298"/>
    <mergeCell ref="K1144:M1144"/>
    <mergeCell ref="K2197:M2197"/>
    <mergeCell ref="K3903:M3903"/>
    <mergeCell ref="K4957:M4957"/>
    <mergeCell ref="G4678:I4678"/>
    <mergeCell ref="G3031:I3031"/>
    <mergeCell ref="K1828:M1828"/>
    <mergeCell ref="G3487:I3487"/>
    <mergeCell ref="G1551:I1551"/>
    <mergeCell ref="K41:M41"/>
    <mergeCell ref="G494:I494"/>
    <mergeCell ref="G4549:I4549"/>
    <mergeCell ref="G817:I817"/>
    <mergeCell ref="A2444:A2449"/>
    <mergeCell ref="G3033:I3033"/>
    <mergeCell ref="K768:M768"/>
    <mergeCell ref="G4548:I4548"/>
    <mergeCell ref="G3489:I3489"/>
    <mergeCell ref="K43:M43"/>
    <mergeCell ref="K1373:M1373"/>
    <mergeCell ref="K2286:M2286"/>
    <mergeCell ref="K639:M639"/>
    <mergeCell ref="K1829:M1829"/>
    <mergeCell ref="K770:M770"/>
    <mergeCell ref="K4588:M4588"/>
    <mergeCell ref="K641:M641"/>
    <mergeCell ref="K3528:M3528"/>
    <mergeCell ref="K1831:M1831"/>
    <mergeCell ref="K2884:M2884"/>
    <mergeCell ref="K1368:M1368"/>
    <mergeCell ref="K2803:M2803"/>
    <mergeCell ref="A3502:A3507"/>
    <mergeCell ref="G3207:I3207"/>
    <mergeCell ref="G2148:I2148"/>
    <mergeCell ref="G1420:I1420"/>
    <mergeCell ref="G4908:I4908"/>
    <mergeCell ref="K3669:M3669"/>
    <mergeCell ref="G4174:I4174"/>
    <mergeCell ref="K2155:M2155"/>
    <mergeCell ref="K1096:M1096"/>
    <mergeCell ref="G4779:I4779"/>
    <mergeCell ref="G2747:I2747"/>
    <mergeCell ref="K4730:M4730"/>
    <mergeCell ref="K3996:M3996"/>
    <mergeCell ref="G3719:I3719"/>
    <mergeCell ref="K4127:M4127"/>
    <mergeCell ref="G687:I687"/>
    <mergeCell ref="K4725:M4725"/>
    <mergeCell ref="K2938:M2938"/>
    <mergeCell ref="G3858:I3858"/>
    <mergeCell ref="K268:M268"/>
    <mergeCell ref="G3437:I3437"/>
    <mergeCell ref="G2378:I2378"/>
    <mergeCell ref="K3999:M3999"/>
    <mergeCell ref="G1644:I1644"/>
    <mergeCell ref="G1331:I1331"/>
    <mergeCell ref="K1421:M1421"/>
    <mergeCell ref="K2611:M2611"/>
    <mergeCell ref="G3531:I3531"/>
    <mergeCell ref="K2978:M2978"/>
    <mergeCell ref="K1281:M1281"/>
    <mergeCell ref="G2010:I2010"/>
    <mergeCell ref="G1553:I1553"/>
    <mergeCell ref="K4219:M4219"/>
    <mergeCell ref="G4724:I4724"/>
    <mergeCell ref="K3485:M3485"/>
    <mergeCell ref="G3581:I3581"/>
    <mergeCell ref="G4919:I4919"/>
    <mergeCell ref="G4316:I4316"/>
    <mergeCell ref="G217:I217"/>
    <mergeCell ref="K2200:M2200"/>
    <mergeCell ref="G3859:I3859"/>
    <mergeCell ref="K1466:M1466"/>
    <mergeCell ref="K2656:M2656"/>
    <mergeCell ref="K1597:M1597"/>
    <mergeCell ref="G3861:I3861"/>
    <mergeCell ref="K3717:M3717"/>
    <mergeCell ref="G400:I400"/>
    <mergeCell ref="K2195:M2195"/>
    <mergeCell ref="K4357:M4357"/>
    <mergeCell ref="A2:M2"/>
    <mergeCell ref="G402:I402"/>
    <mergeCell ref="G4220:I4220"/>
    <mergeCell ref="A328:A333"/>
    <mergeCell ref="G2389:I2389"/>
    <mergeCell ref="G3579:I3579"/>
    <mergeCell ref="G1970:I1970"/>
    <mergeCell ref="G3160:I3160"/>
    <mergeCell ref="K1921:M1921"/>
    <mergeCell ref="K224:M224"/>
    <mergeCell ref="G4551:I4551"/>
    <mergeCell ref="A4330:A4335"/>
    <mergeCell ref="G4545:I4545"/>
    <mergeCell ref="G1972:I1972"/>
    <mergeCell ref="K1929:M1929"/>
    <mergeCell ref="K2982:M2982"/>
    <mergeCell ref="K1923:M1923"/>
    <mergeCell ref="G1375:I1375"/>
    <mergeCell ref="G3485:I3485"/>
    <mergeCell ref="G5149:I5149"/>
    <mergeCell ref="K5138:M5138"/>
    <mergeCell ref="K5094:M5094"/>
    <mergeCell ref="G4546:I4546"/>
    <mergeCell ref="K3307:M3307"/>
    <mergeCell ref="K1191:M1191"/>
    <mergeCell ref="K314:M314"/>
    <mergeCell ref="G32:I32"/>
    <mergeCell ref="K2886:M2886"/>
    <mergeCell ref="K3309:M3309"/>
    <mergeCell ref="K4499:M4499"/>
    <mergeCell ref="K5095:M5095"/>
    <mergeCell ref="G630:I630"/>
    <mergeCell ref="G3905:I3905"/>
    <mergeCell ref="K5008:M5008"/>
    <mergeCell ref="G4264:I4264"/>
    <mergeCell ref="G4871:I4871"/>
    <mergeCell ref="K5097:M5097"/>
    <mergeCell ref="G1691:I1691"/>
    <mergeCell ref="G632:I632"/>
    <mergeCell ref="G4686:I4686"/>
    <mergeCell ref="K2608:M2608"/>
    <mergeCell ref="K454:M454"/>
    <mergeCell ref="K1967:M1967"/>
    <mergeCell ref="K3206:M3206"/>
    <mergeCell ref="K3028:M3028"/>
    <mergeCell ref="K2609:M2609"/>
    <mergeCell ref="K1550:M1550"/>
    <mergeCell ref="G3529:I3529"/>
    <mergeCell ref="K449:M449"/>
    <mergeCell ref="G683:I683"/>
    <mergeCell ref="G1742:I1742"/>
    <mergeCell ref="A788:A793"/>
    <mergeCell ref="G4592:I4592"/>
    <mergeCell ref="K78:M78"/>
    <mergeCell ref="G40:I40"/>
    <mergeCell ref="K3353:M3353"/>
    <mergeCell ref="G2799:I2799"/>
    <mergeCell ref="G3989:I3989"/>
    <mergeCell ref="G1283:I1283"/>
    <mergeCell ref="K3809:M3809"/>
    <mergeCell ref="K2293:M2293"/>
    <mergeCell ref="K80:M80"/>
    <mergeCell ref="K3811:M3811"/>
    <mergeCell ref="K4449:M4449"/>
    <mergeCell ref="K79:M79"/>
    <mergeCell ref="K5141:M5141"/>
    <mergeCell ref="G3857:I3857"/>
    <mergeCell ref="G4587:I4587"/>
    <mergeCell ref="K1141:M1141"/>
    <mergeCell ref="G2800:I2800"/>
    <mergeCell ref="K1561:M1561"/>
    <mergeCell ref="K81:M81"/>
    <mergeCell ref="G1001:I1001"/>
    <mergeCell ref="G4643:I4643"/>
    <mergeCell ref="K3715:M3715"/>
    <mergeCell ref="G4732:I4732"/>
    <mergeCell ref="G2062:I2062"/>
    <mergeCell ref="A4652:A4657"/>
    <mergeCell ref="G269:I269"/>
    <mergeCell ref="G2518:I2518"/>
    <mergeCell ref="G1459:I1459"/>
    <mergeCell ref="G4638:I4638"/>
    <mergeCell ref="G2941:I2941"/>
    <mergeCell ref="K222:M222"/>
    <mergeCell ref="K1919:M1919"/>
    <mergeCell ref="G270:I270"/>
    <mergeCell ref="K1737:M1737"/>
    <mergeCell ref="K3583:M3583"/>
    <mergeCell ref="G3029:I3029"/>
    <mergeCell ref="K221:M221"/>
    <mergeCell ref="G1185:I1185"/>
    <mergeCell ref="K1274:M1274"/>
    <mergeCell ref="K2517:M2517"/>
    <mergeCell ref="K223:M223"/>
    <mergeCell ref="K2335:M2335"/>
    <mergeCell ref="K1276:M1276"/>
    <mergeCell ref="K4041:M4041"/>
    <mergeCell ref="G1783:I1783"/>
    <mergeCell ref="G724:I724"/>
    <mergeCell ref="K4035:M4035"/>
    <mergeCell ref="K2248:M2248"/>
    <mergeCell ref="G1599:I1599"/>
    <mergeCell ref="K3438:M3438"/>
    <mergeCell ref="G2571:I2571"/>
    <mergeCell ref="G3901:I3901"/>
    <mergeCell ref="G2108:I2108"/>
    <mergeCell ref="G3298:I3298"/>
    <mergeCell ref="G223:I223"/>
    <mergeCell ref="G355:I355"/>
    <mergeCell ref="K492:M492"/>
    <mergeCell ref="G3999:I3999"/>
    <mergeCell ref="K361:M361"/>
    <mergeCell ref="G317:I317"/>
    <mergeCell ref="G319:I319"/>
    <mergeCell ref="K270:M270"/>
  </mergeCells>
  <printOptions horizontalCentered="1"/>
  <pageMargins left="0.2" right="0.2" top="0.25" bottom="0.55000000000000004" header="0.5" footer="0.5"/>
  <pageSetup paperSize="8" scale="67"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rowBreaks count="112" manualBreakCount="112">
    <brk id="51" max="16383" man="1"/>
    <brk id="97" max="16383" man="1"/>
    <brk id="143" max="16383" man="1"/>
    <brk id="189" max="16383" man="1"/>
    <brk id="235" max="16383" man="1"/>
    <brk id="281" max="16383" man="1"/>
    <brk id="327" max="16383" man="1"/>
    <brk id="373" max="16383" man="1"/>
    <brk id="419" max="16383" man="1"/>
    <brk id="465" max="16383" man="1"/>
    <brk id="511" max="16383" man="1"/>
    <brk id="557" max="16383" man="1"/>
    <brk id="603" max="16383" man="1"/>
    <brk id="649" max="16383" man="1"/>
    <brk id="695" max="16383" man="1"/>
    <brk id="741" max="16383" man="1"/>
    <brk id="787" max="16383" man="1"/>
    <brk id="833" max="16383" man="1"/>
    <brk id="879" max="16383" man="1"/>
    <brk id="925" max="16383" man="1"/>
    <brk id="971" max="16383" man="1"/>
    <brk id="1017" max="16383" man="1"/>
    <brk id="1063" max="16383" man="1"/>
    <brk id="1109" max="16383" man="1"/>
    <brk id="1155" max="16383" man="1"/>
    <brk id="1201" max="16383" man="1"/>
    <brk id="1247" max="16383" man="1"/>
    <brk id="1293" max="16383" man="1"/>
    <brk id="1339" max="16383" man="1"/>
    <brk id="1385" max="16383" man="1"/>
    <brk id="1431" max="16383" man="1"/>
    <brk id="1477" max="16383" man="1"/>
    <brk id="1523" max="16383" man="1"/>
    <brk id="1569" max="16383" man="1"/>
    <brk id="1615" max="16383" man="1"/>
    <brk id="1661" max="16383" man="1"/>
    <brk id="1707" max="16383" man="1"/>
    <brk id="1753" max="16383" man="1"/>
    <brk id="1799" max="16383" man="1"/>
    <brk id="1845" max="16383" man="1"/>
    <brk id="1891" max="16383" man="1"/>
    <brk id="1937" max="16383" man="1"/>
    <brk id="1983" max="16383" man="1"/>
    <brk id="2029" max="16383" man="1"/>
    <brk id="2075" max="16383" man="1"/>
    <brk id="2121" max="16383" man="1"/>
    <brk id="2167" max="16383" man="1"/>
    <brk id="2213" max="16383" man="1"/>
    <brk id="2259" max="16383" man="1"/>
    <brk id="2305" max="16383" man="1"/>
    <brk id="2351" max="16383" man="1"/>
    <brk id="2397" max="16383" man="1"/>
    <brk id="2443" max="16383" man="1"/>
    <brk id="2489" max="16383" man="1"/>
    <brk id="2535" max="16383" man="1"/>
    <brk id="2581" max="16383" man="1"/>
    <brk id="2627" max="16383" man="1"/>
    <brk id="2673" max="16383" man="1"/>
    <brk id="2719" max="16383" man="1"/>
    <brk id="2765" max="16383" man="1"/>
    <brk id="2811" max="16383" man="1"/>
    <brk id="2857" max="16383" man="1"/>
    <brk id="2903" max="16383" man="1"/>
    <brk id="2949" max="16383" man="1"/>
    <brk id="2995" max="16383" man="1"/>
    <brk id="3041" max="16383" man="1"/>
    <brk id="3087" max="16383" man="1"/>
    <brk id="3133" max="16383" man="1"/>
    <brk id="3179" max="16383" man="1"/>
    <brk id="3225" max="16383" man="1"/>
    <brk id="3271" max="16383" man="1"/>
    <brk id="3317" max="16383" man="1"/>
    <brk id="3363" max="16383" man="1"/>
    <brk id="3409" max="16383" man="1"/>
    <brk id="3455" max="16383" man="1"/>
    <brk id="3501" max="16383" man="1"/>
    <brk id="3547" max="16383" man="1"/>
    <brk id="3593" max="16383" man="1"/>
    <brk id="3639" max="16383" man="1"/>
    <brk id="3685" max="16383" man="1"/>
    <brk id="3731" max="16383" man="1"/>
    <brk id="3777" max="16383" man="1"/>
    <brk id="3823" max="16383" man="1"/>
    <brk id="3869" max="16383" man="1"/>
    <brk id="3915" max="16383" man="1"/>
    <brk id="3961" max="16383" man="1"/>
    <brk id="4007" max="16383" man="1"/>
    <brk id="4053" max="16383" man="1"/>
    <brk id="4099" max="16383" man="1"/>
    <brk id="4145" max="16383" man="1"/>
    <brk id="4191" max="16383" man="1"/>
    <brk id="4237" max="16383" man="1"/>
    <brk id="4283" max="16383" man="1"/>
    <brk id="4329" max="16383" man="1"/>
    <brk id="4375" max="16383" man="1"/>
    <brk id="4421" max="16383" man="1"/>
    <brk id="4467" max="16383" man="1"/>
    <brk id="4513" max="16383" man="1"/>
    <brk id="4559" max="16383" man="1"/>
    <brk id="4605" max="16383" man="1"/>
    <brk id="4651" max="16383" man="1"/>
    <brk id="4697" max="16383" man="1"/>
    <brk id="4743" max="16383" man="1"/>
    <brk id="4789" max="16383" man="1"/>
    <brk id="4835" max="16383" man="1"/>
    <brk id="4881" max="16383" man="1"/>
    <brk id="4927" max="16383" man="1"/>
    <brk id="4973" max="16383" man="1"/>
    <brk id="5019" max="16383" man="1"/>
    <brk id="5065" max="16383" man="1"/>
    <brk id="5111" max="16383" man="1"/>
    <brk id="51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E68"/>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18" customWidth="1"/>
    <col min="2" max="2" width="72" customWidth="1"/>
    <col min="3" max="3" width="16" customWidth="1"/>
    <col min="4" max="4" width="35" customWidth="1"/>
    <col min="5" max="5" width="30" customWidth="1"/>
    <col min="6" max="17" width="19" customWidth="1"/>
  </cols>
  <sheetData>
    <row r="2" spans="1:5" ht="21" customHeight="1" x14ac:dyDescent="0.2">
      <c r="A2" s="103" t="s">
        <v>1055</v>
      </c>
      <c r="B2" s="91"/>
      <c r="C2" s="91"/>
      <c r="D2" s="91"/>
      <c r="E2" s="91"/>
    </row>
    <row r="3" spans="1:5"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row>
    <row r="5" spans="1:5" ht="27" customHeight="1" x14ac:dyDescent="0.2">
      <c r="A5" s="4" t="s">
        <v>1056</v>
      </c>
      <c r="B5" s="4" t="s">
        <v>801</v>
      </c>
      <c r="C5" s="4" t="s">
        <v>94</v>
      </c>
      <c r="D5" s="4" t="s">
        <v>95</v>
      </c>
    </row>
    <row r="6" spans="1:5" ht="27" customHeight="1" x14ac:dyDescent="0.2">
      <c r="A6" s="3" t="s">
        <v>1057</v>
      </c>
      <c r="B6" s="2" t="s">
        <v>1058</v>
      </c>
      <c r="C6" s="28">
        <f>Inputs!$D$26/Inputs!$D$25</f>
        <v>438.09523809523807</v>
      </c>
      <c r="D6" s="10" t="s">
        <v>1059</v>
      </c>
    </row>
    <row r="7" spans="1:5" ht="15" customHeight="1" x14ac:dyDescent="0.2">
      <c r="A7" s="10"/>
      <c r="B7" s="2" t="s">
        <v>1060</v>
      </c>
      <c r="C7" s="16">
        <f>Inputs!$D$33/Inputs!$D$8</f>
        <v>14150</v>
      </c>
      <c r="D7" s="10" t="s">
        <v>97</v>
      </c>
    </row>
    <row r="8" spans="1:5" ht="15" customHeight="1" x14ac:dyDescent="0.2">
      <c r="A8" s="10"/>
      <c r="B8" s="2" t="s">
        <v>1061</v>
      </c>
      <c r="C8" s="16">
        <f>Inputs!$D$34/Inputs!$D$8</f>
        <v>12900</v>
      </c>
      <c r="D8" s="10" t="s">
        <v>97</v>
      </c>
    </row>
    <row r="9" spans="1:5" ht="15" customHeight="1" x14ac:dyDescent="0.2">
      <c r="A9" s="10"/>
      <c r="B9" s="2" t="s">
        <v>1062</v>
      </c>
      <c r="C9" s="16">
        <f>Capital!$D$30/Inputs!$D$8</f>
        <v>5750</v>
      </c>
      <c r="D9" s="10" t="s">
        <v>97</v>
      </c>
    </row>
    <row r="10" spans="1:5" ht="15" customHeight="1" x14ac:dyDescent="0.2">
      <c r="A10" s="10"/>
      <c r="B10" s="2" t="s">
        <v>103</v>
      </c>
      <c r="C10" s="30">
        <f>C8/C7</f>
        <v>0.91166077738515905</v>
      </c>
      <c r="D10" s="10" t="s">
        <v>104</v>
      </c>
    </row>
    <row r="11" spans="1:5" ht="15" customHeight="1" x14ac:dyDescent="0.2">
      <c r="A11" s="10"/>
      <c r="B11" s="2" t="s">
        <v>1063</v>
      </c>
      <c r="C11" s="28">
        <f>Inputs!$D$27*Inputs!$D$28</f>
        <v>912</v>
      </c>
      <c r="D11" s="10" t="s">
        <v>195</v>
      </c>
    </row>
    <row r="12" spans="1:5" ht="15" customHeight="1" x14ac:dyDescent="0.2">
      <c r="A12" s="10"/>
      <c r="B12" s="2" t="s">
        <v>1064</v>
      </c>
      <c r="C12" s="28">
        <f>C7/C11</f>
        <v>15.515350877192983</v>
      </c>
      <c r="D12" s="10" t="s">
        <v>858</v>
      </c>
    </row>
    <row r="13" spans="1:5" ht="15" customHeight="1" x14ac:dyDescent="0.2">
      <c r="A13" s="10"/>
      <c r="B13" s="2" t="s">
        <v>1065</v>
      </c>
      <c r="C13" s="16">
        <f>C6*C11</f>
        <v>399542.8571428571</v>
      </c>
      <c r="D13" s="10" t="s">
        <v>204</v>
      </c>
    </row>
    <row r="14" spans="1:5" ht="15" customHeight="1" x14ac:dyDescent="0.2">
      <c r="A14" s="10"/>
      <c r="B14" s="2" t="s">
        <v>1066</v>
      </c>
      <c r="C14" s="26">
        <f>C7*Inputs!$D$8/C13/Inputs!$D$11/Inputs!$D$56</f>
        <v>4.0428624233305133</v>
      </c>
      <c r="D14" s="10" t="s">
        <v>1067</v>
      </c>
    </row>
    <row r="15" spans="1:5" ht="15" customHeight="1" x14ac:dyDescent="0.2">
      <c r="A15" s="10"/>
      <c r="B15" s="2" t="s">
        <v>1068</v>
      </c>
      <c r="C15" s="16">
        <f>Inputs!$D$31*Inputs!$D$29/Inputs!$D$8</f>
        <v>35970</v>
      </c>
      <c r="D15" s="10" t="s">
        <v>97</v>
      </c>
    </row>
    <row r="16" spans="1:5" ht="15" customHeight="1" x14ac:dyDescent="0.2">
      <c r="A16" s="10"/>
      <c r="B16" s="2" t="s">
        <v>1069</v>
      </c>
      <c r="C16" s="16">
        <f>Inputs!$D$32*Inputs!$D$29/Inputs!$D$8</f>
        <v>630</v>
      </c>
      <c r="D16" s="10" t="s">
        <v>97</v>
      </c>
    </row>
    <row r="17" spans="1:5" ht="15" customHeight="1" x14ac:dyDescent="0.2">
      <c r="A17" s="10"/>
      <c r="B17" s="2" t="s">
        <v>1070</v>
      </c>
      <c r="C17" s="16">
        <f>C16/Inputs!$D$22</f>
        <v>31.5</v>
      </c>
      <c r="D17" s="10" t="s">
        <v>1071</v>
      </c>
    </row>
    <row r="18" spans="1:5" ht="15" customHeight="1" x14ac:dyDescent="0.2">
      <c r="A18" s="10"/>
      <c r="B18" s="2" t="s">
        <v>1072</v>
      </c>
      <c r="C18" s="16">
        <f>C8-C9</f>
        <v>7150</v>
      </c>
      <c r="D18" s="10" t="s">
        <v>1071</v>
      </c>
    </row>
    <row r="19" spans="1:5" ht="15" customHeight="1" x14ac:dyDescent="0.2">
      <c r="A19" s="10"/>
      <c r="B19" s="2" t="s">
        <v>1073</v>
      </c>
      <c r="C19" s="28">
        <f>C15/(C18-C30-C17)</f>
        <v>5.0530308351478546</v>
      </c>
      <c r="D19" s="10" t="s">
        <v>107</v>
      </c>
    </row>
    <row r="20" spans="1:5" ht="15" customHeight="1" x14ac:dyDescent="0.2">
      <c r="A20" s="10"/>
      <c r="B20" s="2" t="s">
        <v>1074</v>
      </c>
      <c r="C20" s="16">
        <f>C11*Inputs!$D$59*Inputs!$D$11*Inputs!$D$57*Inputs!$D$58/Prices!$P$6/Inputs!$D$8</f>
        <v>512.95583001599994</v>
      </c>
      <c r="D20" s="10" t="s">
        <v>1071</v>
      </c>
    </row>
    <row r="21" spans="1:5" ht="15" customHeight="1" x14ac:dyDescent="0.2">
      <c r="A21" s="10"/>
      <c r="B21" s="2" t="s">
        <v>1075</v>
      </c>
      <c r="C21" s="16">
        <f>C7-C8-C20</f>
        <v>737.04416998400006</v>
      </c>
      <c r="D21" s="10" t="s">
        <v>1071</v>
      </c>
    </row>
    <row r="22" spans="1:5" ht="15" customHeight="1" x14ac:dyDescent="0.2">
      <c r="A22" s="10"/>
      <c r="B22" s="2" t="s">
        <v>1076</v>
      </c>
      <c r="C22" s="16">
        <f>C15/Inputs!$D$21+C17</f>
        <v>9024</v>
      </c>
      <c r="D22" s="10" t="s">
        <v>1071</v>
      </c>
    </row>
    <row r="23" spans="1:5" ht="15" customHeight="1" x14ac:dyDescent="0.2">
      <c r="A23" s="10"/>
      <c r="B23" s="2" t="s">
        <v>1077</v>
      </c>
      <c r="C23" s="16">
        <f>C8-C30-C22</f>
        <v>3876</v>
      </c>
      <c r="D23" s="10" t="s">
        <v>1071</v>
      </c>
    </row>
    <row r="24" spans="1:5" ht="15" customHeight="1" x14ac:dyDescent="0.2">
      <c r="A24" s="10"/>
      <c r="B24" s="2" t="s">
        <v>1078</v>
      </c>
      <c r="C24" s="30">
        <f>(C9+C22+C30)/C7</f>
        <v>1.0440989399293286</v>
      </c>
      <c r="D24" s="10" t="s">
        <v>104</v>
      </c>
      <c r="E24" s="32" t="str">
        <f>IF(C24&gt;Inputs!$D$7,"above 100%: not achievable","")</f>
        <v>above 100%: not achievable</v>
      </c>
    </row>
    <row r="25" spans="1:5" ht="15" customHeight="1" x14ac:dyDescent="0.2">
      <c r="A25" s="10"/>
      <c r="B25" s="2" t="s">
        <v>1079</v>
      </c>
      <c r="C25" s="30">
        <f>Inputs!$D$37</f>
        <v>0.6</v>
      </c>
      <c r="D25" s="10" t="s">
        <v>104</v>
      </c>
    </row>
    <row r="26" spans="1:5" ht="15" customHeight="1" x14ac:dyDescent="0.2">
      <c r="A26" s="10"/>
      <c r="B26" s="2" t="s">
        <v>1080</v>
      </c>
      <c r="C26" s="16">
        <f>(C9+C22+C30)/C25</f>
        <v>24623.333333333336</v>
      </c>
      <c r="D26" s="10" t="s">
        <v>1071</v>
      </c>
    </row>
    <row r="27" spans="1:5" ht="15" customHeight="1" x14ac:dyDescent="0.2">
      <c r="A27" s="10"/>
      <c r="B27" s="2" t="s">
        <v>1081</v>
      </c>
      <c r="C27" s="26">
        <f>C26*Inputs!$D$8/C13/Inputs!$D$11/Inputs!$D$56</f>
        <v>7.0352472841325087</v>
      </c>
      <c r="D27" s="10" t="s">
        <v>1067</v>
      </c>
    </row>
    <row r="28" spans="1:5" ht="15" customHeight="1" x14ac:dyDescent="0.2">
      <c r="A28" s="10"/>
      <c r="B28" s="2" t="s">
        <v>1082</v>
      </c>
      <c r="C28" s="28">
        <f>(C9+C30)/(C12*C10-C22/C11)</f>
        <v>1352.9411764705883</v>
      </c>
      <c r="D28" s="10" t="s">
        <v>195</v>
      </c>
    </row>
    <row r="30" spans="1:5" ht="15" customHeight="1" x14ac:dyDescent="0.2">
      <c r="B30" s="2" t="s">
        <v>1083</v>
      </c>
      <c r="C30" s="16">
        <f>Inputs!$D$30/Inputs!$D$8</f>
        <v>0</v>
      </c>
      <c r="D30" s="10" t="s">
        <v>1071</v>
      </c>
    </row>
    <row r="31" spans="1:5" ht="15" customHeight="1" x14ac:dyDescent="0.2">
      <c r="B31" s="2" t="s">
        <v>1084</v>
      </c>
      <c r="C31" s="28">
        <f>Inputs!$D$150</f>
        <v>1600</v>
      </c>
      <c r="D31" s="33" t="s">
        <v>195</v>
      </c>
    </row>
    <row r="32" spans="1:5" ht="24" customHeight="1" x14ac:dyDescent="0.2">
      <c r="B32" s="2" t="s">
        <v>1085</v>
      </c>
      <c r="C32" s="28">
        <f>C7/C31</f>
        <v>8.84375</v>
      </c>
      <c r="D32" s="33" t="s">
        <v>1086</v>
      </c>
    </row>
    <row r="33" spans="1:4" ht="15" customHeight="1" x14ac:dyDescent="0.2">
      <c r="B33" s="2" t="s">
        <v>1087</v>
      </c>
      <c r="C33" s="26">
        <f>C7*Inputs!$D$8/C31/C6/Inputs!$D$11/Inputs!$D$56</f>
        <v>2.3044315812983922</v>
      </c>
      <c r="D33" s="33" t="s">
        <v>1067</v>
      </c>
    </row>
    <row r="36" spans="1:4" ht="39" customHeight="1" x14ac:dyDescent="0.2">
      <c r="A36" s="5" t="s">
        <v>1088</v>
      </c>
      <c r="B36" s="4" t="s">
        <v>801</v>
      </c>
      <c r="C36" s="4" t="s">
        <v>94</v>
      </c>
      <c r="D36" s="4" t="s">
        <v>95</v>
      </c>
    </row>
    <row r="37" spans="1:4" ht="15" customHeight="1" x14ac:dyDescent="0.2">
      <c r="A37" s="3" t="s">
        <v>1089</v>
      </c>
      <c r="B37" s="2" t="s">
        <v>1090</v>
      </c>
      <c r="C37" s="16">
        <f>Inputs!$D$155/Inputs!$D$8</f>
        <v>50.8</v>
      </c>
      <c r="D37" s="10" t="s">
        <v>97</v>
      </c>
    </row>
    <row r="38" spans="1:4" ht="15" customHeight="1" x14ac:dyDescent="0.2">
      <c r="A38" s="10"/>
      <c r="B38" s="2" t="s">
        <v>1091</v>
      </c>
      <c r="C38" s="16">
        <f>Inputs!$D$156/Inputs!$D$8</f>
        <v>68.2</v>
      </c>
      <c r="D38" s="10" t="s">
        <v>1092</v>
      </c>
    </row>
    <row r="39" spans="1:4" ht="15" customHeight="1" x14ac:dyDescent="0.2">
      <c r="A39" s="10"/>
      <c r="B39" s="2" t="s">
        <v>96</v>
      </c>
      <c r="C39" s="16">
        <f>Inputs!$D$158/Inputs!$D$8</f>
        <v>12900</v>
      </c>
      <c r="D39" s="10" t="s">
        <v>97</v>
      </c>
    </row>
    <row r="40" spans="1:4" ht="15" customHeight="1" x14ac:dyDescent="0.2">
      <c r="A40" s="10"/>
      <c r="B40" s="2" t="s">
        <v>99</v>
      </c>
      <c r="C40" s="16">
        <f>Inputs!$D$157/Inputs!$D$8</f>
        <v>5800</v>
      </c>
      <c r="D40" s="10" t="s">
        <v>97</v>
      </c>
    </row>
    <row r="41" spans="1:4" ht="15" customHeight="1" x14ac:dyDescent="0.2">
      <c r="A41" s="10"/>
      <c r="B41" s="2" t="s">
        <v>1060</v>
      </c>
      <c r="C41" s="16">
        <f>Inputs!$D$33/Inputs!$D$8</f>
        <v>14150</v>
      </c>
      <c r="D41" s="10" t="s">
        <v>97</v>
      </c>
    </row>
    <row r="42" spans="1:4" ht="15" customHeight="1" x14ac:dyDescent="0.2">
      <c r="A42" s="10"/>
      <c r="B42" s="2" t="s">
        <v>1061</v>
      </c>
      <c r="C42" s="16">
        <f>Inputs!$D$34/Inputs!$D$8</f>
        <v>12900</v>
      </c>
      <c r="D42" s="10" t="s">
        <v>97</v>
      </c>
    </row>
    <row r="43" spans="1:4" ht="15" customHeight="1" x14ac:dyDescent="0.2">
      <c r="A43" s="10"/>
      <c r="B43" s="2" t="s">
        <v>1093</v>
      </c>
      <c r="C43" s="16">
        <f>Inputs!$D$159/Inputs!$D$8</f>
        <v>5820</v>
      </c>
      <c r="D43" s="10" t="s">
        <v>97</v>
      </c>
    </row>
    <row r="44" spans="1:4" ht="15" customHeight="1" x14ac:dyDescent="0.2">
      <c r="A44" s="3" t="s">
        <v>1094</v>
      </c>
      <c r="B44" s="2" t="s">
        <v>103</v>
      </c>
      <c r="C44" s="30">
        <f>C42/C41</f>
        <v>0.91166077738515905</v>
      </c>
      <c r="D44" s="10" t="s">
        <v>104</v>
      </c>
    </row>
    <row r="45" spans="1:4" ht="15" customHeight="1" x14ac:dyDescent="0.2">
      <c r="A45" s="10"/>
      <c r="B45" s="2" t="s">
        <v>1095</v>
      </c>
      <c r="C45" s="28">
        <f>Capital!D15*Inputs!$D$28</f>
        <v>911</v>
      </c>
      <c r="D45" s="10" t="s">
        <v>195</v>
      </c>
    </row>
    <row r="46" spans="1:4" ht="15" customHeight="1" x14ac:dyDescent="0.2">
      <c r="A46" s="10"/>
      <c r="B46" s="2" t="s">
        <v>1096</v>
      </c>
      <c r="C46" s="28">
        <f>C39/C45</f>
        <v>14.1602634467618</v>
      </c>
      <c r="D46" s="10" t="s">
        <v>1097</v>
      </c>
    </row>
    <row r="47" spans="1:4" ht="15" customHeight="1" x14ac:dyDescent="0.2">
      <c r="A47" s="10"/>
      <c r="B47" s="2" t="s">
        <v>1098</v>
      </c>
      <c r="C47" s="26">
        <f>C46*Inputs!$D$8/C6/Inputs!$D$11/Inputs!$D$56</f>
        <v>3.6897648945552639</v>
      </c>
      <c r="D47" s="10" t="s">
        <v>943</v>
      </c>
    </row>
    <row r="48" spans="1:4" ht="15" customHeight="1" x14ac:dyDescent="0.2">
      <c r="A48" s="10"/>
      <c r="B48" s="2" t="s">
        <v>1099</v>
      </c>
      <c r="C48" s="26">
        <f>C41*Inputs!$D$8/C45/C6/Inputs!$D$11/Inputs!$D$56</f>
        <v>4.0473002525548045</v>
      </c>
      <c r="D48" s="10" t="s">
        <v>943</v>
      </c>
    </row>
    <row r="49" spans="1:5" ht="15" customHeight="1" x14ac:dyDescent="0.2">
      <c r="A49" s="10"/>
      <c r="B49" s="2" t="s">
        <v>1100</v>
      </c>
      <c r="C49" s="16">
        <f>Capital!D7*Inputs!$D$29</f>
        <v>35970</v>
      </c>
      <c r="D49" s="10" t="s">
        <v>97</v>
      </c>
    </row>
    <row r="50" spans="1:5" ht="15" customHeight="1" x14ac:dyDescent="0.2">
      <c r="A50" s="10"/>
      <c r="B50" s="2" t="s">
        <v>1101</v>
      </c>
      <c r="C50" s="16">
        <f>Capital!D10*Inputs!$D$29</f>
        <v>1580</v>
      </c>
      <c r="D50" s="10" t="s">
        <v>97</v>
      </c>
    </row>
    <row r="51" spans="1:5" ht="15" customHeight="1" x14ac:dyDescent="0.2">
      <c r="A51" s="10"/>
      <c r="B51" s="2" t="s">
        <v>1102</v>
      </c>
      <c r="C51" s="16">
        <f>C50/Inputs!$D$22</f>
        <v>79</v>
      </c>
      <c r="D51" s="10" t="s">
        <v>1071</v>
      </c>
    </row>
    <row r="52" spans="1:5" ht="15" customHeight="1" x14ac:dyDescent="0.2">
      <c r="A52" s="10"/>
      <c r="B52" s="2" t="s">
        <v>1103</v>
      </c>
      <c r="C52" s="16">
        <f>C42-C43</f>
        <v>7080</v>
      </c>
      <c r="D52" s="10" t="s">
        <v>1071</v>
      </c>
    </row>
    <row r="53" spans="1:5" ht="15" customHeight="1" x14ac:dyDescent="0.2">
      <c r="A53" s="10"/>
      <c r="B53" s="2" t="s">
        <v>106</v>
      </c>
      <c r="C53" s="34">
        <f>C49/(C52-C30-C51)</f>
        <v>5.1378374517926009</v>
      </c>
      <c r="D53" s="10" t="s">
        <v>107</v>
      </c>
    </row>
    <row r="54" spans="1:5" ht="15" customHeight="1" x14ac:dyDescent="0.2">
      <c r="A54" s="10"/>
      <c r="B54" s="2" t="s">
        <v>1104</v>
      </c>
      <c r="C54" s="35">
        <f>C42-C30-C49/Inputs!$D$21-C51</f>
        <v>3828.5</v>
      </c>
      <c r="D54" s="10" t="s">
        <v>1071</v>
      </c>
    </row>
    <row r="55" spans="1:5" ht="15" customHeight="1" x14ac:dyDescent="0.2">
      <c r="A55" s="10"/>
      <c r="B55" s="2" t="s">
        <v>1105</v>
      </c>
      <c r="C55" s="30">
        <f>(C43+C30+C49/Inputs!$D$21+C51)/C41</f>
        <v>1.0524028268551238</v>
      </c>
      <c r="D55" s="10" t="s">
        <v>104</v>
      </c>
      <c r="E55" s="32" t="str">
        <f>IF(C55&gt;Inputs!$D$7,"above 100%: not achievable","")</f>
        <v>above 100%: not achievable</v>
      </c>
    </row>
    <row r="56" spans="1:5" ht="15" customHeight="1" x14ac:dyDescent="0.2">
      <c r="A56" s="10"/>
      <c r="B56" s="2" t="s">
        <v>1106</v>
      </c>
      <c r="C56" s="16">
        <f>C39/C37</f>
        <v>253.93700787401576</v>
      </c>
      <c r="D56" s="10" t="s">
        <v>1107</v>
      </c>
    </row>
    <row r="57" spans="1:5" ht="15" customHeight="1" x14ac:dyDescent="0.2">
      <c r="A57" s="10"/>
      <c r="B57" s="2" t="s">
        <v>1108</v>
      </c>
      <c r="C57" s="28">
        <f>DCF!E12</f>
        <v>478.5</v>
      </c>
      <c r="D57" s="10" t="s">
        <v>195</v>
      </c>
    </row>
    <row r="58" spans="1:5" ht="15" customHeight="1" x14ac:dyDescent="0.2">
      <c r="A58" s="10"/>
      <c r="B58" s="2" t="s">
        <v>1109</v>
      </c>
      <c r="C58" s="26">
        <f>C7*Inputs!$D$8/C57/C6/Inputs!$D$11/Inputs!$D$56</f>
        <v>7.7055183491691253</v>
      </c>
      <c r="D58" s="10" t="s">
        <v>943</v>
      </c>
    </row>
    <row r="59" spans="1:5" ht="15" customHeight="1" x14ac:dyDescent="0.2">
      <c r="B59" s="105" t="s">
        <v>1110</v>
      </c>
      <c r="C59" s="91"/>
      <c r="D59" s="91"/>
      <c r="E59" s="91"/>
    </row>
    <row r="61" spans="1:5" ht="27" customHeight="1" x14ac:dyDescent="0.2">
      <c r="A61" s="4" t="s">
        <v>1111</v>
      </c>
      <c r="B61" s="4" t="s">
        <v>801</v>
      </c>
      <c r="C61" s="4" t="s">
        <v>1112</v>
      </c>
      <c r="D61" s="4" t="s">
        <v>1113</v>
      </c>
      <c r="E61" s="4" t="s">
        <v>1114</v>
      </c>
    </row>
    <row r="62" spans="1:5" ht="15" customHeight="1" x14ac:dyDescent="0.2">
      <c r="A62" s="3" t="s">
        <v>1115</v>
      </c>
      <c r="B62" s="3" t="s">
        <v>1116</v>
      </c>
      <c r="C62" s="30">
        <f>Inputs!$D$161</f>
        <v>0.4</v>
      </c>
      <c r="D62" s="16">
        <f>C20*C62/Inputs!$D$57</f>
        <v>256.47791500799997</v>
      </c>
      <c r="E62" s="16">
        <f>C41-D62-C21-C30-C49/Inputs!$D$21-C51</f>
        <v>4084.9779150080012</v>
      </c>
    </row>
    <row r="63" spans="1:5" ht="15" customHeight="1" x14ac:dyDescent="0.2">
      <c r="A63" s="10"/>
      <c r="B63" s="3" t="s">
        <v>1116</v>
      </c>
      <c r="C63" s="30">
        <f>Inputs!$D$162</f>
        <v>0.6</v>
      </c>
      <c r="D63" s="16">
        <f>C20*C63/Inputs!$D$57</f>
        <v>384.71687251199995</v>
      </c>
      <c r="E63" s="16">
        <f>C41-D63-C21-C30-C49/Inputs!$D$21-C51</f>
        <v>3956.7389575040015</v>
      </c>
    </row>
    <row r="64" spans="1:5" ht="15" customHeight="1" x14ac:dyDescent="0.2">
      <c r="A64" s="10"/>
      <c r="B64" s="3" t="s">
        <v>1116</v>
      </c>
      <c r="C64" s="30">
        <f>Inputs!$D$163</f>
        <v>0.8</v>
      </c>
      <c r="D64" s="16">
        <f>C20*C64/Inputs!$D$57</f>
        <v>512.95583001599994</v>
      </c>
      <c r="E64" s="16">
        <f>C41-D64-C21-C30-C49/Inputs!$D$21-C51</f>
        <v>3828.5</v>
      </c>
    </row>
    <row r="65" spans="1:5" ht="15" customHeight="1" x14ac:dyDescent="0.2">
      <c r="A65" s="10"/>
      <c r="B65" s="3" t="s">
        <v>1116</v>
      </c>
      <c r="C65" s="30">
        <f>Inputs!$D$164</f>
        <v>1</v>
      </c>
      <c r="D65" s="16">
        <f>C20*C65/Inputs!$D$57</f>
        <v>641.19478751999986</v>
      </c>
      <c r="E65" s="16">
        <f>C41-D65-C21-C30-C49/Inputs!$D$21-C51</f>
        <v>3700.2610424960003</v>
      </c>
    </row>
    <row r="66" spans="1:5" ht="27" customHeight="1" x14ac:dyDescent="0.2">
      <c r="A66" s="4" t="s">
        <v>1117</v>
      </c>
      <c r="B66" s="4" t="s">
        <v>801</v>
      </c>
      <c r="C66" s="4" t="s">
        <v>94</v>
      </c>
      <c r="D66" s="4" t="s">
        <v>95</v>
      </c>
    </row>
    <row r="67" spans="1:5" ht="15" customHeight="1" x14ac:dyDescent="0.2">
      <c r="A67" s="10" t="s">
        <v>1118</v>
      </c>
      <c r="B67" s="2" t="s">
        <v>1119</v>
      </c>
      <c r="C67" s="34">
        <f>C41/Inputs!$D$27</f>
        <v>15.515350877192983</v>
      </c>
      <c r="D67" s="10" t="s">
        <v>1120</v>
      </c>
    </row>
    <row r="68" spans="1:5" ht="15" customHeight="1" x14ac:dyDescent="0.2">
      <c r="A68" s="10" t="s">
        <v>1121</v>
      </c>
      <c r="B68" s="2" t="s">
        <v>1122</v>
      </c>
      <c r="C68" s="35">
        <f>C42-C30-C49/Inputs!$D$176-C51</f>
        <v>3828.5</v>
      </c>
      <c r="D68" s="10" t="s">
        <v>1071</v>
      </c>
    </row>
  </sheetData>
  <mergeCells count="3">
    <mergeCell ref="A2:E2"/>
    <mergeCell ref="B59:E59"/>
    <mergeCell ref="A3:E3"/>
  </mergeCells>
  <printOptions horizontalCentered="1"/>
  <pageMargins left="0.2" right="0.2" top="0.25" bottom="0.55000000000000004" header="0.5" footer="0.5"/>
  <pageSetup paperSize="9" scale="94"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rowBreaks count="1" manualBreakCount="1">
    <brk id="3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M68"/>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4" customWidth="1"/>
    <col min="2" max="2" width="12" customWidth="1"/>
    <col min="3" max="3" width="15" customWidth="1"/>
    <col min="4" max="4" width="14" customWidth="1"/>
    <col min="5" max="5" width="18" customWidth="1"/>
    <col min="6" max="6" width="19" customWidth="1"/>
    <col min="7" max="8" width="18" customWidth="1"/>
    <col min="9" max="11" width="19" customWidth="1"/>
    <col min="12" max="12" width="15" customWidth="1"/>
    <col min="13" max="13" width="17" customWidth="1"/>
    <col min="14" max="17" width="19" customWidth="1"/>
  </cols>
  <sheetData>
    <row r="2" spans="1:13" ht="21" customHeight="1" x14ac:dyDescent="0.2">
      <c r="A2" s="103" t="s">
        <v>1123</v>
      </c>
      <c r="B2" s="91"/>
      <c r="C2" s="91"/>
      <c r="D2" s="91"/>
      <c r="E2" s="91"/>
      <c r="F2" s="91"/>
      <c r="G2" s="91"/>
      <c r="H2" s="91"/>
      <c r="I2" s="91"/>
      <c r="J2" s="91"/>
      <c r="K2" s="91"/>
      <c r="L2" s="91"/>
      <c r="M2" s="91"/>
    </row>
    <row r="3" spans="1:13"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c r="L3" s="91"/>
      <c r="M3" s="91"/>
    </row>
    <row r="5" spans="1:13" ht="39" customHeight="1" x14ac:dyDescent="0.2">
      <c r="A5" s="4" t="s">
        <v>1124</v>
      </c>
      <c r="B5" s="5" t="s">
        <v>1125</v>
      </c>
      <c r="C5" s="5" t="s">
        <v>1126</v>
      </c>
      <c r="D5" s="4" t="s">
        <v>1127</v>
      </c>
      <c r="E5" s="4" t="s">
        <v>1128</v>
      </c>
      <c r="F5" s="4" t="s">
        <v>1129</v>
      </c>
      <c r="G5" s="4" t="s">
        <v>1130</v>
      </c>
      <c r="H5" s="4" t="s">
        <v>1131</v>
      </c>
      <c r="I5" s="4" t="s">
        <v>1132</v>
      </c>
      <c r="J5" s="5" t="s">
        <v>1133</v>
      </c>
      <c r="K5" s="4" t="s">
        <v>1134</v>
      </c>
      <c r="L5" s="5" t="s">
        <v>1135</v>
      </c>
      <c r="M5" s="5" t="s">
        <v>1136</v>
      </c>
    </row>
    <row r="6" spans="1:13" ht="15" customHeight="1" x14ac:dyDescent="0.2">
      <c r="A6" s="10" t="s">
        <v>1137</v>
      </c>
      <c r="B6" s="30">
        <f>Inputs!$D$165</f>
        <v>0.6</v>
      </c>
      <c r="C6" s="30">
        <f>Inputs!$D$169</f>
        <v>0.6</v>
      </c>
      <c r="D6" s="28">
        <f>Inputs!$D$172</f>
        <v>3</v>
      </c>
      <c r="E6" s="26">
        <f>Profitability!$C$14*B6</f>
        <v>2.425717453998308</v>
      </c>
      <c r="F6" s="16">
        <f>Profitability!$C$7*B6*C6/Inputs!$D$56</f>
        <v>5094</v>
      </c>
      <c r="G6" s="16">
        <f>Profitability!$C$20</f>
        <v>512.95583001599994</v>
      </c>
      <c r="H6" s="16">
        <f>Profitability!$C$21</f>
        <v>737.04416998400006</v>
      </c>
      <c r="I6" s="16">
        <f>F6-G6-H6-Profitability!$C$30</f>
        <v>3844</v>
      </c>
      <c r="J6" s="16">
        <f>Profitability!$C$49/D6+Profitability!$C$51</f>
        <v>12069</v>
      </c>
      <c r="K6" s="16">
        <f t="shared" ref="K6:K53" si="0">I6-J6</f>
        <v>-8225</v>
      </c>
      <c r="L6" s="30">
        <f t="shared" ref="L6:L53" si="1">I6/F6</f>
        <v>0.75461327051433058</v>
      </c>
      <c r="M6" s="30">
        <f>K6/Profitability!$C$43</f>
        <v>-1.4132302405498283</v>
      </c>
    </row>
    <row r="7" spans="1:13" ht="15" customHeight="1" x14ac:dyDescent="0.2">
      <c r="A7" s="10" t="s">
        <v>1137</v>
      </c>
      <c r="B7" s="30">
        <f>Inputs!$D$165</f>
        <v>0.6</v>
      </c>
      <c r="C7" s="30">
        <f>Inputs!$D$169</f>
        <v>0.6</v>
      </c>
      <c r="D7" s="28">
        <f>Inputs!$D$173</f>
        <v>4</v>
      </c>
      <c r="E7" s="26">
        <f>Profitability!$C$14*B7</f>
        <v>2.425717453998308</v>
      </c>
      <c r="F7" s="16">
        <f>Profitability!$C$7*B7*C7/Inputs!$D$56</f>
        <v>5094</v>
      </c>
      <c r="G7" s="16">
        <f>Profitability!$C$20</f>
        <v>512.95583001599994</v>
      </c>
      <c r="H7" s="16">
        <f>Profitability!$C$21</f>
        <v>737.04416998400006</v>
      </c>
      <c r="I7" s="16">
        <f>F7-G7-H7-Profitability!$C$30</f>
        <v>3844</v>
      </c>
      <c r="J7" s="16">
        <f>Profitability!$C$49/D7+Profitability!$C$51</f>
        <v>9071.5</v>
      </c>
      <c r="K7" s="16">
        <f t="shared" si="0"/>
        <v>-5227.5</v>
      </c>
      <c r="L7" s="30">
        <f t="shared" si="1"/>
        <v>0.75461327051433058</v>
      </c>
      <c r="M7" s="30">
        <f>K7/Profitability!$C$43</f>
        <v>-0.89819587628865982</v>
      </c>
    </row>
    <row r="8" spans="1:13" ht="15" customHeight="1" x14ac:dyDescent="0.2">
      <c r="A8" s="10" t="s">
        <v>1137</v>
      </c>
      <c r="B8" s="30">
        <f>Inputs!$D$165</f>
        <v>0.6</v>
      </c>
      <c r="C8" s="30">
        <f>Inputs!$D$169</f>
        <v>0.6</v>
      </c>
      <c r="D8" s="28">
        <f>Inputs!$D$174</f>
        <v>5</v>
      </c>
      <c r="E8" s="26">
        <f>Profitability!$C$14*B8</f>
        <v>2.425717453998308</v>
      </c>
      <c r="F8" s="16">
        <f>Profitability!$C$7*B8*C8/Inputs!$D$56</f>
        <v>5094</v>
      </c>
      <c r="G8" s="16">
        <f>Profitability!$C$20</f>
        <v>512.95583001599994</v>
      </c>
      <c r="H8" s="16">
        <f>Profitability!$C$21</f>
        <v>737.04416998400006</v>
      </c>
      <c r="I8" s="16">
        <f>F8-G8-H8-Profitability!$C$30</f>
        <v>3844</v>
      </c>
      <c r="J8" s="16">
        <f>Profitability!$C$49/D8+Profitability!$C$51</f>
        <v>7273</v>
      </c>
      <c r="K8" s="16">
        <f t="shared" si="0"/>
        <v>-3429</v>
      </c>
      <c r="L8" s="30">
        <f t="shared" si="1"/>
        <v>0.75461327051433058</v>
      </c>
      <c r="M8" s="30">
        <f>K8/Profitability!$C$43</f>
        <v>-0.58917525773195878</v>
      </c>
    </row>
    <row r="9" spans="1:13" ht="15" customHeight="1" x14ac:dyDescent="0.2">
      <c r="A9" s="10" t="s">
        <v>1137</v>
      </c>
      <c r="B9" s="30">
        <f>Inputs!$D$165</f>
        <v>0.6</v>
      </c>
      <c r="C9" s="30">
        <f>Inputs!$D$169</f>
        <v>0.6</v>
      </c>
      <c r="D9" s="28">
        <f>Inputs!$D$175</f>
        <v>6</v>
      </c>
      <c r="E9" s="26">
        <f>Profitability!$C$14*B9</f>
        <v>2.425717453998308</v>
      </c>
      <c r="F9" s="16">
        <f>Profitability!$C$7*B9*C9/Inputs!$D$56</f>
        <v>5094</v>
      </c>
      <c r="G9" s="16">
        <f>Profitability!$C$20</f>
        <v>512.95583001599994</v>
      </c>
      <c r="H9" s="16">
        <f>Profitability!$C$21</f>
        <v>737.04416998400006</v>
      </c>
      <c r="I9" s="16">
        <f>F9-G9-H9-Profitability!$C$30</f>
        <v>3844</v>
      </c>
      <c r="J9" s="16">
        <f>Profitability!$C$49/D9+Profitability!$C$51</f>
        <v>6074</v>
      </c>
      <c r="K9" s="16">
        <f t="shared" si="0"/>
        <v>-2230</v>
      </c>
      <c r="L9" s="30">
        <f t="shared" si="1"/>
        <v>0.75461327051433058</v>
      </c>
      <c r="M9" s="30">
        <f>K9/Profitability!$C$43</f>
        <v>-0.38316151202749144</v>
      </c>
    </row>
    <row r="10" spans="1:13" ht="15" customHeight="1" x14ac:dyDescent="0.2">
      <c r="A10" s="10" t="s">
        <v>1137</v>
      </c>
      <c r="B10" s="30">
        <f>Inputs!$D$165</f>
        <v>0.6</v>
      </c>
      <c r="C10" s="30">
        <f>Inputs!$D$170</f>
        <v>0.8</v>
      </c>
      <c r="D10" s="28">
        <f>Inputs!$D$172</f>
        <v>3</v>
      </c>
      <c r="E10" s="26">
        <f>Profitability!$C$14*B10</f>
        <v>2.425717453998308</v>
      </c>
      <c r="F10" s="16">
        <f>Profitability!$C$7*B10*C10/Inputs!$D$56</f>
        <v>6792</v>
      </c>
      <c r="G10" s="16">
        <f>Profitability!$C$20</f>
        <v>512.95583001599994</v>
      </c>
      <c r="H10" s="16">
        <f>Profitability!$C$21</f>
        <v>737.04416998400006</v>
      </c>
      <c r="I10" s="16">
        <f>F10-G10-H10-Profitability!$C$30</f>
        <v>5542</v>
      </c>
      <c r="J10" s="16">
        <f>Profitability!$C$49/D10+Profitability!$C$51</f>
        <v>12069</v>
      </c>
      <c r="K10" s="16">
        <f t="shared" si="0"/>
        <v>-6527</v>
      </c>
      <c r="L10" s="30">
        <f t="shared" si="1"/>
        <v>0.81595995288574796</v>
      </c>
      <c r="M10" s="30">
        <f>K10/Profitability!$C$43</f>
        <v>-1.1214776632302406</v>
      </c>
    </row>
    <row r="11" spans="1:13" ht="15" customHeight="1" x14ac:dyDescent="0.2">
      <c r="A11" s="10" t="s">
        <v>1137</v>
      </c>
      <c r="B11" s="30">
        <f>Inputs!$D$165</f>
        <v>0.6</v>
      </c>
      <c r="C11" s="30">
        <f>Inputs!$D$170</f>
        <v>0.8</v>
      </c>
      <c r="D11" s="28">
        <f>Inputs!$D$173</f>
        <v>4</v>
      </c>
      <c r="E11" s="26">
        <f>Profitability!$C$14*B11</f>
        <v>2.425717453998308</v>
      </c>
      <c r="F11" s="16">
        <f>Profitability!$C$7*B11*C11/Inputs!$D$56</f>
        <v>6792</v>
      </c>
      <c r="G11" s="16">
        <f>Profitability!$C$20</f>
        <v>512.95583001599994</v>
      </c>
      <c r="H11" s="16">
        <f>Profitability!$C$21</f>
        <v>737.04416998400006</v>
      </c>
      <c r="I11" s="16">
        <f>F11-G11-H11-Profitability!$C$30</f>
        <v>5542</v>
      </c>
      <c r="J11" s="16">
        <f>Profitability!$C$49/D11+Profitability!$C$51</f>
        <v>9071.5</v>
      </c>
      <c r="K11" s="16">
        <f t="shared" si="0"/>
        <v>-3529.5</v>
      </c>
      <c r="L11" s="30">
        <f t="shared" si="1"/>
        <v>0.81595995288574796</v>
      </c>
      <c r="M11" s="30">
        <f>K11/Profitability!$C$43</f>
        <v>-0.60644329896907212</v>
      </c>
    </row>
    <row r="12" spans="1:13" ht="15" customHeight="1" x14ac:dyDescent="0.2">
      <c r="A12" s="10" t="s">
        <v>1137</v>
      </c>
      <c r="B12" s="30">
        <f>Inputs!$D$165</f>
        <v>0.6</v>
      </c>
      <c r="C12" s="30">
        <f>Inputs!$D$170</f>
        <v>0.8</v>
      </c>
      <c r="D12" s="28">
        <f>Inputs!$D$174</f>
        <v>5</v>
      </c>
      <c r="E12" s="26">
        <f>Profitability!$C$14*B12</f>
        <v>2.425717453998308</v>
      </c>
      <c r="F12" s="16">
        <f>Profitability!$C$7*B12*C12/Inputs!$D$56</f>
        <v>6792</v>
      </c>
      <c r="G12" s="16">
        <f>Profitability!$C$20</f>
        <v>512.95583001599994</v>
      </c>
      <c r="H12" s="16">
        <f>Profitability!$C$21</f>
        <v>737.04416998400006</v>
      </c>
      <c r="I12" s="16">
        <f>F12-G12-H12-Profitability!$C$30</f>
        <v>5542</v>
      </c>
      <c r="J12" s="16">
        <f>Profitability!$C$49/D12+Profitability!$C$51</f>
        <v>7273</v>
      </c>
      <c r="K12" s="16">
        <f t="shared" si="0"/>
        <v>-1731</v>
      </c>
      <c r="L12" s="30">
        <f t="shared" si="1"/>
        <v>0.81595995288574796</v>
      </c>
      <c r="M12" s="30">
        <f>K12/Profitability!$C$43</f>
        <v>-0.29742268041237113</v>
      </c>
    </row>
    <row r="13" spans="1:13" ht="15" customHeight="1" x14ac:dyDescent="0.2">
      <c r="A13" s="10" t="s">
        <v>1137</v>
      </c>
      <c r="B13" s="30">
        <f>Inputs!$D$165</f>
        <v>0.6</v>
      </c>
      <c r="C13" s="30">
        <f>Inputs!$D$170</f>
        <v>0.8</v>
      </c>
      <c r="D13" s="28">
        <f>Inputs!$D$175</f>
        <v>6</v>
      </c>
      <c r="E13" s="26">
        <f>Profitability!$C$14*B13</f>
        <v>2.425717453998308</v>
      </c>
      <c r="F13" s="16">
        <f>Profitability!$C$7*B13*C13/Inputs!$D$56</f>
        <v>6792</v>
      </c>
      <c r="G13" s="16">
        <f>Profitability!$C$20</f>
        <v>512.95583001599994</v>
      </c>
      <c r="H13" s="16">
        <f>Profitability!$C$21</f>
        <v>737.04416998400006</v>
      </c>
      <c r="I13" s="16">
        <f>F13-G13-H13-Profitability!$C$30</f>
        <v>5542</v>
      </c>
      <c r="J13" s="16">
        <f>Profitability!$C$49/D13+Profitability!$C$51</f>
        <v>6074</v>
      </c>
      <c r="K13" s="16">
        <f t="shared" si="0"/>
        <v>-532</v>
      </c>
      <c r="L13" s="30">
        <f t="shared" si="1"/>
        <v>0.81595995288574796</v>
      </c>
      <c r="M13" s="30">
        <f>K13/Profitability!$C$43</f>
        <v>-9.1408934707903775E-2</v>
      </c>
    </row>
    <row r="14" spans="1:13" ht="15" customHeight="1" x14ac:dyDescent="0.2">
      <c r="A14" s="10" t="s">
        <v>1137</v>
      </c>
      <c r="B14" s="30">
        <f>Inputs!$D$165</f>
        <v>0.6</v>
      </c>
      <c r="C14" s="30">
        <f>Inputs!$D$171</f>
        <v>1</v>
      </c>
      <c r="D14" s="28">
        <f>Inputs!$D$172</f>
        <v>3</v>
      </c>
      <c r="E14" s="26">
        <f>Profitability!$C$14*B14</f>
        <v>2.425717453998308</v>
      </c>
      <c r="F14" s="16">
        <f>Profitability!$C$7*B14*C14/Inputs!$D$56</f>
        <v>8490</v>
      </c>
      <c r="G14" s="16">
        <f>Profitability!$C$20</f>
        <v>512.95583001599994</v>
      </c>
      <c r="H14" s="16">
        <f>Profitability!$C$21</f>
        <v>737.04416998400006</v>
      </c>
      <c r="I14" s="16">
        <f>F14-G14-H14-Profitability!$C$30</f>
        <v>7240</v>
      </c>
      <c r="J14" s="16">
        <f>Profitability!$C$49/D14+Profitability!$C$51</f>
        <v>12069</v>
      </c>
      <c r="K14" s="16">
        <f t="shared" si="0"/>
        <v>-4829</v>
      </c>
      <c r="L14" s="30">
        <f t="shared" si="1"/>
        <v>0.8527679623085983</v>
      </c>
      <c r="M14" s="30">
        <f>K14/Profitability!$C$43</f>
        <v>-0.82972508591065297</v>
      </c>
    </row>
    <row r="15" spans="1:13" ht="15" customHeight="1" x14ac:dyDescent="0.2">
      <c r="A15" s="10" t="s">
        <v>1137</v>
      </c>
      <c r="B15" s="30">
        <f>Inputs!$D$165</f>
        <v>0.6</v>
      </c>
      <c r="C15" s="30">
        <f>Inputs!$D$171</f>
        <v>1</v>
      </c>
      <c r="D15" s="28">
        <f>Inputs!$D$173</f>
        <v>4</v>
      </c>
      <c r="E15" s="26">
        <f>Profitability!$C$14*B15</f>
        <v>2.425717453998308</v>
      </c>
      <c r="F15" s="16">
        <f>Profitability!$C$7*B15*C15/Inputs!$D$56</f>
        <v>8490</v>
      </c>
      <c r="G15" s="16">
        <f>Profitability!$C$20</f>
        <v>512.95583001599994</v>
      </c>
      <c r="H15" s="16">
        <f>Profitability!$C$21</f>
        <v>737.04416998400006</v>
      </c>
      <c r="I15" s="16">
        <f>F15-G15-H15-Profitability!$C$30</f>
        <v>7240</v>
      </c>
      <c r="J15" s="16">
        <f>Profitability!$C$49/D15+Profitability!$C$51</f>
        <v>9071.5</v>
      </c>
      <c r="K15" s="16">
        <f t="shared" si="0"/>
        <v>-1831.5</v>
      </c>
      <c r="L15" s="30">
        <f t="shared" si="1"/>
        <v>0.8527679623085983</v>
      </c>
      <c r="M15" s="30">
        <f>K15/Profitability!$C$43</f>
        <v>-0.31469072164948453</v>
      </c>
    </row>
    <row r="16" spans="1:13" ht="15" customHeight="1" x14ac:dyDescent="0.2">
      <c r="A16" s="10" t="s">
        <v>1137</v>
      </c>
      <c r="B16" s="30">
        <f>Inputs!$D$165</f>
        <v>0.6</v>
      </c>
      <c r="C16" s="30">
        <f>Inputs!$D$171</f>
        <v>1</v>
      </c>
      <c r="D16" s="28">
        <f>Inputs!$D$174</f>
        <v>5</v>
      </c>
      <c r="E16" s="26">
        <f>Profitability!$C$14*B16</f>
        <v>2.425717453998308</v>
      </c>
      <c r="F16" s="16">
        <f>Profitability!$C$7*B16*C16/Inputs!$D$56</f>
        <v>8490</v>
      </c>
      <c r="G16" s="16">
        <f>Profitability!$C$20</f>
        <v>512.95583001599994</v>
      </c>
      <c r="H16" s="16">
        <f>Profitability!$C$21</f>
        <v>737.04416998400006</v>
      </c>
      <c r="I16" s="16">
        <f>F16-G16-H16-Profitability!$C$30</f>
        <v>7240</v>
      </c>
      <c r="J16" s="16">
        <f>Profitability!$C$49/D16+Profitability!$C$51</f>
        <v>7273</v>
      </c>
      <c r="K16" s="16">
        <f t="shared" si="0"/>
        <v>-33</v>
      </c>
      <c r="L16" s="30">
        <f t="shared" si="1"/>
        <v>0.8527679623085983</v>
      </c>
      <c r="M16" s="30">
        <f>K16/Profitability!$C$43</f>
        <v>-5.670103092783505E-3</v>
      </c>
    </row>
    <row r="17" spans="1:13" ht="15" customHeight="1" x14ac:dyDescent="0.2">
      <c r="A17" s="10" t="s">
        <v>1137</v>
      </c>
      <c r="B17" s="30">
        <f>Inputs!$D$165</f>
        <v>0.6</v>
      </c>
      <c r="C17" s="30">
        <f>Inputs!$D$171</f>
        <v>1</v>
      </c>
      <c r="D17" s="28">
        <f>Inputs!$D$175</f>
        <v>6</v>
      </c>
      <c r="E17" s="26">
        <f>Profitability!$C$14*B17</f>
        <v>2.425717453998308</v>
      </c>
      <c r="F17" s="16">
        <f>Profitability!$C$7*B17*C17/Inputs!$D$56</f>
        <v>8490</v>
      </c>
      <c r="G17" s="16">
        <f>Profitability!$C$20</f>
        <v>512.95583001599994</v>
      </c>
      <c r="H17" s="16">
        <f>Profitability!$C$21</f>
        <v>737.04416998400006</v>
      </c>
      <c r="I17" s="16">
        <f>F17-G17-H17-Profitability!$C$30</f>
        <v>7240</v>
      </c>
      <c r="J17" s="16">
        <f>Profitability!$C$49/D17+Profitability!$C$51</f>
        <v>6074</v>
      </c>
      <c r="K17" s="16">
        <f t="shared" si="0"/>
        <v>1166</v>
      </c>
      <c r="L17" s="30">
        <f t="shared" si="1"/>
        <v>0.8527679623085983</v>
      </c>
      <c r="M17" s="30">
        <f>K17/Profitability!$C$43</f>
        <v>0.20034364261168386</v>
      </c>
    </row>
    <row r="18" spans="1:13" ht="15" customHeight="1" x14ac:dyDescent="0.2">
      <c r="A18" s="10" t="s">
        <v>1137</v>
      </c>
      <c r="B18" s="30">
        <f>Inputs!$D$166</f>
        <v>0.8</v>
      </c>
      <c r="C18" s="30">
        <f>Inputs!$D$169</f>
        <v>0.6</v>
      </c>
      <c r="D18" s="28">
        <f>Inputs!$D$172</f>
        <v>3</v>
      </c>
      <c r="E18" s="26">
        <f>Profitability!$C$14*B18</f>
        <v>3.2342899386644106</v>
      </c>
      <c r="F18" s="16">
        <f>Profitability!$C$7*B18*C18/Inputs!$D$56</f>
        <v>6792</v>
      </c>
      <c r="G18" s="16">
        <f>Profitability!$C$20</f>
        <v>512.95583001599994</v>
      </c>
      <c r="H18" s="16">
        <f>Profitability!$C$21</f>
        <v>737.04416998400006</v>
      </c>
      <c r="I18" s="16">
        <f>F18-G18-H18-Profitability!$C$30</f>
        <v>5542</v>
      </c>
      <c r="J18" s="16">
        <f>Profitability!$C$49/D18+Profitability!$C$51</f>
        <v>12069</v>
      </c>
      <c r="K18" s="16">
        <f t="shared" si="0"/>
        <v>-6527</v>
      </c>
      <c r="L18" s="30">
        <f t="shared" si="1"/>
        <v>0.81595995288574796</v>
      </c>
      <c r="M18" s="30">
        <f>K18/Profitability!$C$43</f>
        <v>-1.1214776632302406</v>
      </c>
    </row>
    <row r="19" spans="1:13" ht="15" customHeight="1" x14ac:dyDescent="0.2">
      <c r="A19" s="10" t="s">
        <v>1137</v>
      </c>
      <c r="B19" s="30">
        <f>Inputs!$D$166</f>
        <v>0.8</v>
      </c>
      <c r="C19" s="30">
        <f>Inputs!$D$169</f>
        <v>0.6</v>
      </c>
      <c r="D19" s="28">
        <f>Inputs!$D$173</f>
        <v>4</v>
      </c>
      <c r="E19" s="26">
        <f>Profitability!$C$14*B19</f>
        <v>3.2342899386644106</v>
      </c>
      <c r="F19" s="16">
        <f>Profitability!$C$7*B19*C19/Inputs!$D$56</f>
        <v>6792</v>
      </c>
      <c r="G19" s="16">
        <f>Profitability!$C$20</f>
        <v>512.95583001599994</v>
      </c>
      <c r="H19" s="16">
        <f>Profitability!$C$21</f>
        <v>737.04416998400006</v>
      </c>
      <c r="I19" s="16">
        <f>F19-G19-H19-Profitability!$C$30</f>
        <v>5542</v>
      </c>
      <c r="J19" s="16">
        <f>Profitability!$C$49/D19+Profitability!$C$51</f>
        <v>9071.5</v>
      </c>
      <c r="K19" s="16">
        <f t="shared" si="0"/>
        <v>-3529.5</v>
      </c>
      <c r="L19" s="30">
        <f t="shared" si="1"/>
        <v>0.81595995288574796</v>
      </c>
      <c r="M19" s="30">
        <f>K19/Profitability!$C$43</f>
        <v>-0.60644329896907212</v>
      </c>
    </row>
    <row r="20" spans="1:13" ht="15" customHeight="1" x14ac:dyDescent="0.2">
      <c r="A20" s="10" t="s">
        <v>1137</v>
      </c>
      <c r="B20" s="30">
        <f>Inputs!$D$166</f>
        <v>0.8</v>
      </c>
      <c r="C20" s="30">
        <f>Inputs!$D$169</f>
        <v>0.6</v>
      </c>
      <c r="D20" s="28">
        <f>Inputs!$D$174</f>
        <v>5</v>
      </c>
      <c r="E20" s="26">
        <f>Profitability!$C$14*B20</f>
        <v>3.2342899386644106</v>
      </c>
      <c r="F20" s="16">
        <f>Profitability!$C$7*B20*C20/Inputs!$D$56</f>
        <v>6792</v>
      </c>
      <c r="G20" s="16">
        <f>Profitability!$C$20</f>
        <v>512.95583001599994</v>
      </c>
      <c r="H20" s="16">
        <f>Profitability!$C$21</f>
        <v>737.04416998400006</v>
      </c>
      <c r="I20" s="16">
        <f>F20-G20-H20-Profitability!$C$30</f>
        <v>5542</v>
      </c>
      <c r="J20" s="16">
        <f>Profitability!$C$49/D20+Profitability!$C$51</f>
        <v>7273</v>
      </c>
      <c r="K20" s="16">
        <f t="shared" si="0"/>
        <v>-1731</v>
      </c>
      <c r="L20" s="30">
        <f t="shared" si="1"/>
        <v>0.81595995288574796</v>
      </c>
      <c r="M20" s="30">
        <f>K20/Profitability!$C$43</f>
        <v>-0.29742268041237113</v>
      </c>
    </row>
    <row r="21" spans="1:13" ht="15" customHeight="1" x14ac:dyDescent="0.2">
      <c r="A21" s="10" t="s">
        <v>1137</v>
      </c>
      <c r="B21" s="30">
        <f>Inputs!$D$166</f>
        <v>0.8</v>
      </c>
      <c r="C21" s="30">
        <f>Inputs!$D$169</f>
        <v>0.6</v>
      </c>
      <c r="D21" s="28">
        <f>Inputs!$D$175</f>
        <v>6</v>
      </c>
      <c r="E21" s="26">
        <f>Profitability!$C$14*B21</f>
        <v>3.2342899386644106</v>
      </c>
      <c r="F21" s="16">
        <f>Profitability!$C$7*B21*C21/Inputs!$D$56</f>
        <v>6792</v>
      </c>
      <c r="G21" s="16">
        <f>Profitability!$C$20</f>
        <v>512.95583001599994</v>
      </c>
      <c r="H21" s="16">
        <f>Profitability!$C$21</f>
        <v>737.04416998400006</v>
      </c>
      <c r="I21" s="16">
        <f>F21-G21-H21-Profitability!$C$30</f>
        <v>5542</v>
      </c>
      <c r="J21" s="16">
        <f>Profitability!$C$49/D21+Profitability!$C$51</f>
        <v>6074</v>
      </c>
      <c r="K21" s="16">
        <f t="shared" si="0"/>
        <v>-532</v>
      </c>
      <c r="L21" s="30">
        <f t="shared" si="1"/>
        <v>0.81595995288574796</v>
      </c>
      <c r="M21" s="30">
        <f>K21/Profitability!$C$43</f>
        <v>-9.1408934707903775E-2</v>
      </c>
    </row>
    <row r="22" spans="1:13" ht="15" customHeight="1" x14ac:dyDescent="0.2">
      <c r="A22" s="10" t="s">
        <v>1137</v>
      </c>
      <c r="B22" s="30">
        <f>Inputs!$D$166</f>
        <v>0.8</v>
      </c>
      <c r="C22" s="30">
        <f>Inputs!$D$170</f>
        <v>0.8</v>
      </c>
      <c r="D22" s="28">
        <f>Inputs!$D$172</f>
        <v>3</v>
      </c>
      <c r="E22" s="26">
        <f>Profitability!$C$14*B22</f>
        <v>3.2342899386644106</v>
      </c>
      <c r="F22" s="16">
        <f>Profitability!$C$7*B22*C22/Inputs!$D$56</f>
        <v>9056</v>
      </c>
      <c r="G22" s="16">
        <f>Profitability!$C$20</f>
        <v>512.95583001599994</v>
      </c>
      <c r="H22" s="16">
        <f>Profitability!$C$21</f>
        <v>737.04416998400006</v>
      </c>
      <c r="I22" s="16">
        <f>F22-G22-H22-Profitability!$C$30</f>
        <v>7805.9999999999991</v>
      </c>
      <c r="J22" s="16">
        <f>Profitability!$C$49/D22+Profitability!$C$51</f>
        <v>12069</v>
      </c>
      <c r="K22" s="16">
        <f t="shared" si="0"/>
        <v>-4263.0000000000009</v>
      </c>
      <c r="L22" s="30">
        <f t="shared" si="1"/>
        <v>0.86196996466431086</v>
      </c>
      <c r="M22" s="30">
        <f>K22/Profitability!$C$43</f>
        <v>-0.73247422680412388</v>
      </c>
    </row>
    <row r="23" spans="1:13" ht="15" customHeight="1" x14ac:dyDescent="0.2">
      <c r="A23" s="10" t="s">
        <v>1137</v>
      </c>
      <c r="B23" s="30">
        <f>Inputs!$D$166</f>
        <v>0.8</v>
      </c>
      <c r="C23" s="30">
        <f>Inputs!$D$170</f>
        <v>0.8</v>
      </c>
      <c r="D23" s="28">
        <f>Inputs!$D$173</f>
        <v>4</v>
      </c>
      <c r="E23" s="26">
        <f>Profitability!$C$14*B23</f>
        <v>3.2342899386644106</v>
      </c>
      <c r="F23" s="16">
        <f>Profitability!$C$7*B23*C23/Inputs!$D$56</f>
        <v>9056</v>
      </c>
      <c r="G23" s="16">
        <f>Profitability!$C$20</f>
        <v>512.95583001599994</v>
      </c>
      <c r="H23" s="16">
        <f>Profitability!$C$21</f>
        <v>737.04416998400006</v>
      </c>
      <c r="I23" s="16">
        <f>F23-G23-H23-Profitability!$C$30</f>
        <v>7805.9999999999991</v>
      </c>
      <c r="J23" s="16">
        <f>Profitability!$C$49/D23+Profitability!$C$51</f>
        <v>9071.5</v>
      </c>
      <c r="K23" s="16">
        <f t="shared" si="0"/>
        <v>-1265.5000000000009</v>
      </c>
      <c r="L23" s="30">
        <f t="shared" si="1"/>
        <v>0.86196996466431086</v>
      </c>
      <c r="M23" s="30">
        <f>K23/Profitability!$C$43</f>
        <v>-0.21743986254295547</v>
      </c>
    </row>
    <row r="24" spans="1:13" ht="15" customHeight="1" x14ac:dyDescent="0.2">
      <c r="A24" s="10" t="s">
        <v>1137</v>
      </c>
      <c r="B24" s="30">
        <f>Inputs!$D$166</f>
        <v>0.8</v>
      </c>
      <c r="C24" s="30">
        <f>Inputs!$D$170</f>
        <v>0.8</v>
      </c>
      <c r="D24" s="28">
        <f>Inputs!$D$174</f>
        <v>5</v>
      </c>
      <c r="E24" s="26">
        <f>Profitability!$C$14*B24</f>
        <v>3.2342899386644106</v>
      </c>
      <c r="F24" s="16">
        <f>Profitability!$C$7*B24*C24/Inputs!$D$56</f>
        <v>9056</v>
      </c>
      <c r="G24" s="16">
        <f>Profitability!$C$20</f>
        <v>512.95583001599994</v>
      </c>
      <c r="H24" s="16">
        <f>Profitability!$C$21</f>
        <v>737.04416998400006</v>
      </c>
      <c r="I24" s="16">
        <f>F24-G24-H24-Profitability!$C$30</f>
        <v>7805.9999999999991</v>
      </c>
      <c r="J24" s="16">
        <f>Profitability!$C$49/D24+Profitability!$C$51</f>
        <v>7273</v>
      </c>
      <c r="K24" s="16">
        <f t="shared" si="0"/>
        <v>532.99999999999909</v>
      </c>
      <c r="L24" s="30">
        <f t="shared" si="1"/>
        <v>0.86196996466431086</v>
      </c>
      <c r="M24" s="30">
        <f>K24/Profitability!$C$43</f>
        <v>9.1580756013745546E-2</v>
      </c>
    </row>
    <row r="25" spans="1:13" ht="15" customHeight="1" x14ac:dyDescent="0.2">
      <c r="A25" s="10" t="s">
        <v>1137</v>
      </c>
      <c r="B25" s="30">
        <f>Inputs!$D$166</f>
        <v>0.8</v>
      </c>
      <c r="C25" s="30">
        <f>Inputs!$D$170</f>
        <v>0.8</v>
      </c>
      <c r="D25" s="28">
        <f>Inputs!$D$175</f>
        <v>6</v>
      </c>
      <c r="E25" s="26">
        <f>Profitability!$C$14*B25</f>
        <v>3.2342899386644106</v>
      </c>
      <c r="F25" s="16">
        <f>Profitability!$C$7*B25*C25/Inputs!$D$56</f>
        <v>9056</v>
      </c>
      <c r="G25" s="16">
        <f>Profitability!$C$20</f>
        <v>512.95583001599994</v>
      </c>
      <c r="H25" s="16">
        <f>Profitability!$C$21</f>
        <v>737.04416998400006</v>
      </c>
      <c r="I25" s="16">
        <f>F25-G25-H25-Profitability!$C$30</f>
        <v>7805.9999999999991</v>
      </c>
      <c r="J25" s="16">
        <f>Profitability!$C$49/D25+Profitability!$C$51</f>
        <v>6074</v>
      </c>
      <c r="K25" s="16">
        <f t="shared" si="0"/>
        <v>1731.9999999999991</v>
      </c>
      <c r="L25" s="30">
        <f t="shared" si="1"/>
        <v>0.86196996466431086</v>
      </c>
      <c r="M25" s="30">
        <f>K25/Profitability!$C$43</f>
        <v>0.29759450171821289</v>
      </c>
    </row>
    <row r="26" spans="1:13" ht="15" customHeight="1" x14ac:dyDescent="0.2">
      <c r="A26" s="10" t="s">
        <v>1137</v>
      </c>
      <c r="B26" s="30">
        <f>Inputs!$D$166</f>
        <v>0.8</v>
      </c>
      <c r="C26" s="30">
        <f>Inputs!$D$171</f>
        <v>1</v>
      </c>
      <c r="D26" s="28">
        <f>Inputs!$D$172</f>
        <v>3</v>
      </c>
      <c r="E26" s="26">
        <f>Profitability!$C$14*B26</f>
        <v>3.2342899386644106</v>
      </c>
      <c r="F26" s="16">
        <f>Profitability!$C$7*B26*C26/Inputs!$D$56</f>
        <v>11320</v>
      </c>
      <c r="G26" s="16">
        <f>Profitability!$C$20</f>
        <v>512.95583001599994</v>
      </c>
      <c r="H26" s="16">
        <f>Profitability!$C$21</f>
        <v>737.04416998400006</v>
      </c>
      <c r="I26" s="16">
        <f>F26-G26-H26-Profitability!$C$30</f>
        <v>10070</v>
      </c>
      <c r="J26" s="16">
        <f>Profitability!$C$49/D26+Profitability!$C$51</f>
        <v>12069</v>
      </c>
      <c r="K26" s="16">
        <f t="shared" si="0"/>
        <v>-1999</v>
      </c>
      <c r="L26" s="30">
        <f t="shared" si="1"/>
        <v>0.88957597173144876</v>
      </c>
      <c r="M26" s="30">
        <f>K26/Profitability!$C$43</f>
        <v>-0.34347079037800687</v>
      </c>
    </row>
    <row r="27" spans="1:13" ht="15" customHeight="1" x14ac:dyDescent="0.2">
      <c r="A27" s="10" t="s">
        <v>1137</v>
      </c>
      <c r="B27" s="30">
        <f>Inputs!$D$166</f>
        <v>0.8</v>
      </c>
      <c r="C27" s="30">
        <f>Inputs!$D$171</f>
        <v>1</v>
      </c>
      <c r="D27" s="28">
        <f>Inputs!$D$173</f>
        <v>4</v>
      </c>
      <c r="E27" s="26">
        <f>Profitability!$C$14*B27</f>
        <v>3.2342899386644106</v>
      </c>
      <c r="F27" s="16">
        <f>Profitability!$C$7*B27*C27/Inputs!$D$56</f>
        <v>11320</v>
      </c>
      <c r="G27" s="16">
        <f>Profitability!$C$20</f>
        <v>512.95583001599994</v>
      </c>
      <c r="H27" s="16">
        <f>Profitability!$C$21</f>
        <v>737.04416998400006</v>
      </c>
      <c r="I27" s="16">
        <f>F27-G27-H27-Profitability!$C$30</f>
        <v>10070</v>
      </c>
      <c r="J27" s="16">
        <f>Profitability!$C$49/D27+Profitability!$C$51</f>
        <v>9071.5</v>
      </c>
      <c r="K27" s="16">
        <f t="shared" si="0"/>
        <v>998.5</v>
      </c>
      <c r="L27" s="30">
        <f t="shared" si="1"/>
        <v>0.88957597173144876</v>
      </c>
      <c r="M27" s="30">
        <f>K27/Profitability!$C$43</f>
        <v>0.17156357388316151</v>
      </c>
    </row>
    <row r="28" spans="1:13" ht="15" customHeight="1" x14ac:dyDescent="0.2">
      <c r="A28" s="10" t="s">
        <v>1137</v>
      </c>
      <c r="B28" s="30">
        <f>Inputs!$D$166</f>
        <v>0.8</v>
      </c>
      <c r="C28" s="30">
        <f>Inputs!$D$171</f>
        <v>1</v>
      </c>
      <c r="D28" s="28">
        <f>Inputs!$D$174</f>
        <v>5</v>
      </c>
      <c r="E28" s="26">
        <f>Profitability!$C$14*B28</f>
        <v>3.2342899386644106</v>
      </c>
      <c r="F28" s="16">
        <f>Profitability!$C$7*B28*C28/Inputs!$D$56</f>
        <v>11320</v>
      </c>
      <c r="G28" s="16">
        <f>Profitability!$C$20</f>
        <v>512.95583001599994</v>
      </c>
      <c r="H28" s="16">
        <f>Profitability!$C$21</f>
        <v>737.04416998400006</v>
      </c>
      <c r="I28" s="16">
        <f>F28-G28-H28-Profitability!$C$30</f>
        <v>10070</v>
      </c>
      <c r="J28" s="16">
        <f>Profitability!$C$49/D28+Profitability!$C$51</f>
        <v>7273</v>
      </c>
      <c r="K28" s="16">
        <f t="shared" si="0"/>
        <v>2797</v>
      </c>
      <c r="L28" s="30">
        <f t="shared" si="1"/>
        <v>0.88957597173144876</v>
      </c>
      <c r="M28" s="30">
        <f>K28/Profitability!$C$43</f>
        <v>0.48058419243986256</v>
      </c>
    </row>
    <row r="29" spans="1:13" ht="15" customHeight="1" x14ac:dyDescent="0.2">
      <c r="A29" s="10" t="s">
        <v>1137</v>
      </c>
      <c r="B29" s="30">
        <f>Inputs!$D$166</f>
        <v>0.8</v>
      </c>
      <c r="C29" s="30">
        <f>Inputs!$D$171</f>
        <v>1</v>
      </c>
      <c r="D29" s="28">
        <f>Inputs!$D$175</f>
        <v>6</v>
      </c>
      <c r="E29" s="26">
        <f>Profitability!$C$14*B29</f>
        <v>3.2342899386644106</v>
      </c>
      <c r="F29" s="16">
        <f>Profitability!$C$7*B29*C29/Inputs!$D$56</f>
        <v>11320</v>
      </c>
      <c r="G29" s="16">
        <f>Profitability!$C$20</f>
        <v>512.95583001599994</v>
      </c>
      <c r="H29" s="16">
        <f>Profitability!$C$21</f>
        <v>737.04416998400006</v>
      </c>
      <c r="I29" s="16">
        <f>F29-G29-H29-Profitability!$C$30</f>
        <v>10070</v>
      </c>
      <c r="J29" s="16">
        <f>Profitability!$C$49/D29+Profitability!$C$51</f>
        <v>6074</v>
      </c>
      <c r="K29" s="16">
        <f t="shared" si="0"/>
        <v>3996</v>
      </c>
      <c r="L29" s="30">
        <f t="shared" si="1"/>
        <v>0.88957597173144876</v>
      </c>
      <c r="M29" s="30">
        <f>K29/Profitability!$C$43</f>
        <v>0.6865979381443299</v>
      </c>
    </row>
    <row r="30" spans="1:13" ht="15" customHeight="1" x14ac:dyDescent="0.2">
      <c r="A30" s="10" t="s">
        <v>1137</v>
      </c>
      <c r="B30" s="30">
        <f>Inputs!$D$167</f>
        <v>1</v>
      </c>
      <c r="C30" s="30">
        <f>Inputs!$D$169</f>
        <v>0.6</v>
      </c>
      <c r="D30" s="28">
        <f>Inputs!$D$172</f>
        <v>3</v>
      </c>
      <c r="E30" s="26">
        <f>Profitability!$C$14*B30</f>
        <v>4.0428624233305133</v>
      </c>
      <c r="F30" s="16">
        <f>Profitability!$C$7*B30*C30/Inputs!$D$56</f>
        <v>8490</v>
      </c>
      <c r="G30" s="16">
        <f>Profitability!$C$20</f>
        <v>512.95583001599994</v>
      </c>
      <c r="H30" s="16">
        <f>Profitability!$C$21</f>
        <v>737.04416998400006</v>
      </c>
      <c r="I30" s="16">
        <f>F30-G30-H30-Profitability!$C$30</f>
        <v>7240</v>
      </c>
      <c r="J30" s="16">
        <f>Profitability!$C$49/D30+Profitability!$C$51</f>
        <v>12069</v>
      </c>
      <c r="K30" s="16">
        <f t="shared" si="0"/>
        <v>-4829</v>
      </c>
      <c r="L30" s="30">
        <f t="shared" si="1"/>
        <v>0.8527679623085983</v>
      </c>
      <c r="M30" s="30">
        <f>K30/Profitability!$C$43</f>
        <v>-0.82972508591065297</v>
      </c>
    </row>
    <row r="31" spans="1:13" ht="15" customHeight="1" x14ac:dyDescent="0.2">
      <c r="A31" s="10" t="s">
        <v>1137</v>
      </c>
      <c r="B31" s="30">
        <f>Inputs!$D$167</f>
        <v>1</v>
      </c>
      <c r="C31" s="30">
        <f>Inputs!$D$169</f>
        <v>0.6</v>
      </c>
      <c r="D31" s="28">
        <f>Inputs!$D$173</f>
        <v>4</v>
      </c>
      <c r="E31" s="26">
        <f>Profitability!$C$14*B31</f>
        <v>4.0428624233305133</v>
      </c>
      <c r="F31" s="16">
        <f>Profitability!$C$7*B31*C31/Inputs!$D$56</f>
        <v>8490</v>
      </c>
      <c r="G31" s="16">
        <f>Profitability!$C$20</f>
        <v>512.95583001599994</v>
      </c>
      <c r="H31" s="16">
        <f>Profitability!$C$21</f>
        <v>737.04416998400006</v>
      </c>
      <c r="I31" s="16">
        <f>F31-G31-H31-Profitability!$C$30</f>
        <v>7240</v>
      </c>
      <c r="J31" s="16">
        <f>Profitability!$C$49/D31+Profitability!$C$51</f>
        <v>9071.5</v>
      </c>
      <c r="K31" s="16">
        <f t="shared" si="0"/>
        <v>-1831.5</v>
      </c>
      <c r="L31" s="30">
        <f t="shared" si="1"/>
        <v>0.8527679623085983</v>
      </c>
      <c r="M31" s="30">
        <f>K31/Profitability!$C$43</f>
        <v>-0.31469072164948453</v>
      </c>
    </row>
    <row r="32" spans="1:13" ht="15" customHeight="1" x14ac:dyDescent="0.2">
      <c r="A32" s="10" t="s">
        <v>1137</v>
      </c>
      <c r="B32" s="30">
        <f>Inputs!$D$167</f>
        <v>1</v>
      </c>
      <c r="C32" s="30">
        <f>Inputs!$D$169</f>
        <v>0.6</v>
      </c>
      <c r="D32" s="28">
        <f>Inputs!$D$174</f>
        <v>5</v>
      </c>
      <c r="E32" s="26">
        <f>Profitability!$C$14*B32</f>
        <v>4.0428624233305133</v>
      </c>
      <c r="F32" s="16">
        <f>Profitability!$C$7*B32*C32/Inputs!$D$56</f>
        <v>8490</v>
      </c>
      <c r="G32" s="16">
        <f>Profitability!$C$20</f>
        <v>512.95583001599994</v>
      </c>
      <c r="H32" s="16">
        <f>Profitability!$C$21</f>
        <v>737.04416998400006</v>
      </c>
      <c r="I32" s="16">
        <f>F32-G32-H32-Profitability!$C$30</f>
        <v>7240</v>
      </c>
      <c r="J32" s="16">
        <f>Profitability!$C$49/D32+Profitability!$C$51</f>
        <v>7273</v>
      </c>
      <c r="K32" s="16">
        <f t="shared" si="0"/>
        <v>-33</v>
      </c>
      <c r="L32" s="30">
        <f t="shared" si="1"/>
        <v>0.8527679623085983</v>
      </c>
      <c r="M32" s="30">
        <f>K32/Profitability!$C$43</f>
        <v>-5.670103092783505E-3</v>
      </c>
    </row>
    <row r="33" spans="1:13" ht="15" customHeight="1" x14ac:dyDescent="0.2">
      <c r="A33" s="10" t="s">
        <v>1137</v>
      </c>
      <c r="B33" s="30">
        <f>Inputs!$D$167</f>
        <v>1</v>
      </c>
      <c r="C33" s="30">
        <f>Inputs!$D$169</f>
        <v>0.6</v>
      </c>
      <c r="D33" s="28">
        <f>Inputs!$D$175</f>
        <v>6</v>
      </c>
      <c r="E33" s="26">
        <f>Profitability!$C$14*B33</f>
        <v>4.0428624233305133</v>
      </c>
      <c r="F33" s="16">
        <f>Profitability!$C$7*B33*C33/Inputs!$D$56</f>
        <v>8490</v>
      </c>
      <c r="G33" s="16">
        <f>Profitability!$C$20</f>
        <v>512.95583001599994</v>
      </c>
      <c r="H33" s="16">
        <f>Profitability!$C$21</f>
        <v>737.04416998400006</v>
      </c>
      <c r="I33" s="16">
        <f>F33-G33-H33-Profitability!$C$30</f>
        <v>7240</v>
      </c>
      <c r="J33" s="16">
        <f>Profitability!$C$49/D33+Profitability!$C$51</f>
        <v>6074</v>
      </c>
      <c r="K33" s="16">
        <f t="shared" si="0"/>
        <v>1166</v>
      </c>
      <c r="L33" s="30">
        <f t="shared" si="1"/>
        <v>0.8527679623085983</v>
      </c>
      <c r="M33" s="30">
        <f>K33/Profitability!$C$43</f>
        <v>0.20034364261168386</v>
      </c>
    </row>
    <row r="34" spans="1:13" ht="15" customHeight="1" x14ac:dyDescent="0.2">
      <c r="A34" s="10" t="s">
        <v>1137</v>
      </c>
      <c r="B34" s="30">
        <f>Inputs!$D$167</f>
        <v>1</v>
      </c>
      <c r="C34" s="30">
        <f>Inputs!$D$170</f>
        <v>0.8</v>
      </c>
      <c r="D34" s="28">
        <f>Inputs!$D$172</f>
        <v>3</v>
      </c>
      <c r="E34" s="26">
        <f>Profitability!$C$14*B34</f>
        <v>4.0428624233305133</v>
      </c>
      <c r="F34" s="16">
        <f>Profitability!$C$7*B34*C34/Inputs!$D$56</f>
        <v>11320</v>
      </c>
      <c r="G34" s="16">
        <f>Profitability!$C$20</f>
        <v>512.95583001599994</v>
      </c>
      <c r="H34" s="16">
        <f>Profitability!$C$21</f>
        <v>737.04416998400006</v>
      </c>
      <c r="I34" s="16">
        <f>F34-G34-H34-Profitability!$C$30</f>
        <v>10070</v>
      </c>
      <c r="J34" s="16">
        <f>Profitability!$C$49/D34+Profitability!$C$51</f>
        <v>12069</v>
      </c>
      <c r="K34" s="16">
        <f t="shared" si="0"/>
        <v>-1999</v>
      </c>
      <c r="L34" s="30">
        <f t="shared" si="1"/>
        <v>0.88957597173144876</v>
      </c>
      <c r="M34" s="30">
        <f>K34/Profitability!$C$43</f>
        <v>-0.34347079037800687</v>
      </c>
    </row>
    <row r="35" spans="1:13" ht="15" customHeight="1" x14ac:dyDescent="0.2">
      <c r="A35" s="10" t="s">
        <v>1137</v>
      </c>
      <c r="B35" s="30">
        <f>Inputs!$D$167</f>
        <v>1</v>
      </c>
      <c r="C35" s="30">
        <f>Inputs!$D$170</f>
        <v>0.8</v>
      </c>
      <c r="D35" s="28">
        <f>Inputs!$D$173</f>
        <v>4</v>
      </c>
      <c r="E35" s="26">
        <f>Profitability!$C$14*B35</f>
        <v>4.0428624233305133</v>
      </c>
      <c r="F35" s="16">
        <f>Profitability!$C$7*B35*C35/Inputs!$D$56</f>
        <v>11320</v>
      </c>
      <c r="G35" s="16">
        <f>Profitability!$C$20</f>
        <v>512.95583001599994</v>
      </c>
      <c r="H35" s="16">
        <f>Profitability!$C$21</f>
        <v>737.04416998400006</v>
      </c>
      <c r="I35" s="16">
        <f>F35-G35-H35-Profitability!$C$30</f>
        <v>10070</v>
      </c>
      <c r="J35" s="16">
        <f>Profitability!$C$49/D35+Profitability!$C$51</f>
        <v>9071.5</v>
      </c>
      <c r="K35" s="16">
        <f t="shared" si="0"/>
        <v>998.5</v>
      </c>
      <c r="L35" s="30">
        <f t="shared" si="1"/>
        <v>0.88957597173144876</v>
      </c>
      <c r="M35" s="30">
        <f>K35/Profitability!$C$43</f>
        <v>0.17156357388316151</v>
      </c>
    </row>
    <row r="36" spans="1:13" ht="15" customHeight="1" x14ac:dyDescent="0.2">
      <c r="A36" s="10" t="s">
        <v>1137</v>
      </c>
      <c r="B36" s="30">
        <f>Inputs!$D$167</f>
        <v>1</v>
      </c>
      <c r="C36" s="30">
        <f>Inputs!$D$170</f>
        <v>0.8</v>
      </c>
      <c r="D36" s="28">
        <f>Inputs!$D$174</f>
        <v>5</v>
      </c>
      <c r="E36" s="26">
        <f>Profitability!$C$14*B36</f>
        <v>4.0428624233305133</v>
      </c>
      <c r="F36" s="16">
        <f>Profitability!$C$7*B36*C36/Inputs!$D$56</f>
        <v>11320</v>
      </c>
      <c r="G36" s="16">
        <f>Profitability!$C$20</f>
        <v>512.95583001599994</v>
      </c>
      <c r="H36" s="16">
        <f>Profitability!$C$21</f>
        <v>737.04416998400006</v>
      </c>
      <c r="I36" s="16">
        <f>F36-G36-H36-Profitability!$C$30</f>
        <v>10070</v>
      </c>
      <c r="J36" s="16">
        <f>Profitability!$C$49/D36+Profitability!$C$51</f>
        <v>7273</v>
      </c>
      <c r="K36" s="16">
        <f t="shared" si="0"/>
        <v>2797</v>
      </c>
      <c r="L36" s="30">
        <f t="shared" si="1"/>
        <v>0.88957597173144876</v>
      </c>
      <c r="M36" s="30">
        <f>K36/Profitability!$C$43</f>
        <v>0.48058419243986256</v>
      </c>
    </row>
    <row r="37" spans="1:13" ht="15" customHeight="1" x14ac:dyDescent="0.2">
      <c r="A37" s="10" t="s">
        <v>1137</v>
      </c>
      <c r="B37" s="30">
        <f>Inputs!$D$167</f>
        <v>1</v>
      </c>
      <c r="C37" s="30">
        <f>Inputs!$D$170</f>
        <v>0.8</v>
      </c>
      <c r="D37" s="28">
        <f>Inputs!$D$175</f>
        <v>6</v>
      </c>
      <c r="E37" s="26">
        <f>Profitability!$C$14*B37</f>
        <v>4.0428624233305133</v>
      </c>
      <c r="F37" s="16">
        <f>Profitability!$C$7*B37*C37/Inputs!$D$56</f>
        <v>11320</v>
      </c>
      <c r="G37" s="16">
        <f>Profitability!$C$20</f>
        <v>512.95583001599994</v>
      </c>
      <c r="H37" s="16">
        <f>Profitability!$C$21</f>
        <v>737.04416998400006</v>
      </c>
      <c r="I37" s="16">
        <f>F37-G37-H37-Profitability!$C$30</f>
        <v>10070</v>
      </c>
      <c r="J37" s="16">
        <f>Profitability!$C$49/D37+Profitability!$C$51</f>
        <v>6074</v>
      </c>
      <c r="K37" s="16">
        <f t="shared" si="0"/>
        <v>3996</v>
      </c>
      <c r="L37" s="30">
        <f t="shared" si="1"/>
        <v>0.88957597173144876</v>
      </c>
      <c r="M37" s="30">
        <f>K37/Profitability!$C$43</f>
        <v>0.6865979381443299</v>
      </c>
    </row>
    <row r="38" spans="1:13" ht="15" customHeight="1" x14ac:dyDescent="0.2">
      <c r="A38" s="10" t="s">
        <v>1137</v>
      </c>
      <c r="B38" s="30">
        <f>Inputs!$D$167</f>
        <v>1</v>
      </c>
      <c r="C38" s="30">
        <f>Inputs!$D$171</f>
        <v>1</v>
      </c>
      <c r="D38" s="28">
        <f>Inputs!$D$172</f>
        <v>3</v>
      </c>
      <c r="E38" s="26">
        <f>Profitability!$C$14*B38</f>
        <v>4.0428624233305133</v>
      </c>
      <c r="F38" s="16">
        <f>Profitability!$C$7*B38*C38/Inputs!$D$56</f>
        <v>14150</v>
      </c>
      <c r="G38" s="16">
        <f>Profitability!$C$20</f>
        <v>512.95583001599994</v>
      </c>
      <c r="H38" s="16">
        <f>Profitability!$C$21</f>
        <v>737.04416998400006</v>
      </c>
      <c r="I38" s="16">
        <f>F38-G38-H38-Profitability!$C$30</f>
        <v>12900</v>
      </c>
      <c r="J38" s="16">
        <f>Profitability!$C$49/D38+Profitability!$C$51</f>
        <v>12069</v>
      </c>
      <c r="K38" s="16">
        <f t="shared" si="0"/>
        <v>831</v>
      </c>
      <c r="L38" s="30">
        <f t="shared" si="1"/>
        <v>0.91166077738515905</v>
      </c>
      <c r="M38" s="30">
        <f>K38/Profitability!$C$43</f>
        <v>0.14278350515463917</v>
      </c>
    </row>
    <row r="39" spans="1:13" ht="15" customHeight="1" x14ac:dyDescent="0.2">
      <c r="A39" s="10" t="s">
        <v>1137</v>
      </c>
      <c r="B39" s="30">
        <f>Inputs!$D$167</f>
        <v>1</v>
      </c>
      <c r="C39" s="30">
        <f>Inputs!$D$171</f>
        <v>1</v>
      </c>
      <c r="D39" s="28">
        <f>Inputs!$D$173</f>
        <v>4</v>
      </c>
      <c r="E39" s="26">
        <f>Profitability!$C$14*B39</f>
        <v>4.0428624233305133</v>
      </c>
      <c r="F39" s="16">
        <f>Profitability!$C$7*B39*C39/Inputs!$D$56</f>
        <v>14150</v>
      </c>
      <c r="G39" s="16">
        <f>Profitability!$C$20</f>
        <v>512.95583001599994</v>
      </c>
      <c r="H39" s="16">
        <f>Profitability!$C$21</f>
        <v>737.04416998400006</v>
      </c>
      <c r="I39" s="16">
        <f>F39-G39-H39-Profitability!$C$30</f>
        <v>12900</v>
      </c>
      <c r="J39" s="16">
        <f>Profitability!$C$49/D39+Profitability!$C$51</f>
        <v>9071.5</v>
      </c>
      <c r="K39" s="16">
        <f t="shared" si="0"/>
        <v>3828.5</v>
      </c>
      <c r="L39" s="30">
        <f t="shared" si="1"/>
        <v>0.91166077738515905</v>
      </c>
      <c r="M39" s="30">
        <f>K39/Profitability!$C$43</f>
        <v>0.65781786941580755</v>
      </c>
    </row>
    <row r="40" spans="1:13" ht="15" customHeight="1" x14ac:dyDescent="0.2">
      <c r="A40" s="10" t="s">
        <v>1137</v>
      </c>
      <c r="B40" s="30">
        <f>Inputs!$D$167</f>
        <v>1</v>
      </c>
      <c r="C40" s="30">
        <f>Inputs!$D$171</f>
        <v>1</v>
      </c>
      <c r="D40" s="28">
        <f>Inputs!$D$174</f>
        <v>5</v>
      </c>
      <c r="E40" s="26">
        <f>Profitability!$C$14*B40</f>
        <v>4.0428624233305133</v>
      </c>
      <c r="F40" s="16">
        <f>Profitability!$C$7*B40*C40/Inputs!$D$56</f>
        <v>14150</v>
      </c>
      <c r="G40" s="16">
        <f>Profitability!$C$20</f>
        <v>512.95583001599994</v>
      </c>
      <c r="H40" s="16">
        <f>Profitability!$C$21</f>
        <v>737.04416998400006</v>
      </c>
      <c r="I40" s="16">
        <f>F40-G40-H40-Profitability!$C$30</f>
        <v>12900</v>
      </c>
      <c r="J40" s="16">
        <f>Profitability!$C$49/D40+Profitability!$C$51</f>
        <v>7273</v>
      </c>
      <c r="K40" s="16">
        <f t="shared" si="0"/>
        <v>5627</v>
      </c>
      <c r="L40" s="30">
        <f t="shared" si="1"/>
        <v>0.91166077738515905</v>
      </c>
      <c r="M40" s="30">
        <f>K40/Profitability!$C$43</f>
        <v>0.9668384879725086</v>
      </c>
    </row>
    <row r="41" spans="1:13" ht="15" customHeight="1" x14ac:dyDescent="0.2">
      <c r="A41" s="10" t="s">
        <v>1137</v>
      </c>
      <c r="B41" s="30">
        <f>Inputs!$D$167</f>
        <v>1</v>
      </c>
      <c r="C41" s="30">
        <f>Inputs!$D$171</f>
        <v>1</v>
      </c>
      <c r="D41" s="28">
        <f>Inputs!$D$175</f>
        <v>6</v>
      </c>
      <c r="E41" s="26">
        <f>Profitability!$C$14*B41</f>
        <v>4.0428624233305133</v>
      </c>
      <c r="F41" s="16">
        <f>Profitability!$C$7*B41*C41/Inputs!$D$56</f>
        <v>14150</v>
      </c>
      <c r="G41" s="16">
        <f>Profitability!$C$20</f>
        <v>512.95583001599994</v>
      </c>
      <c r="H41" s="16">
        <f>Profitability!$C$21</f>
        <v>737.04416998400006</v>
      </c>
      <c r="I41" s="16">
        <f>F41-G41-H41-Profitability!$C$30</f>
        <v>12900</v>
      </c>
      <c r="J41" s="16">
        <f>Profitability!$C$49/D41+Profitability!$C$51</f>
        <v>6074</v>
      </c>
      <c r="K41" s="16">
        <f t="shared" si="0"/>
        <v>6826</v>
      </c>
      <c r="L41" s="30">
        <f t="shared" si="1"/>
        <v>0.91166077738515905</v>
      </c>
      <c r="M41" s="30">
        <f>K41/Profitability!$C$43</f>
        <v>1.172852233676976</v>
      </c>
    </row>
    <row r="42" spans="1:13" ht="15" customHeight="1" x14ac:dyDescent="0.2">
      <c r="A42" s="10" t="s">
        <v>1137</v>
      </c>
      <c r="B42" s="30">
        <f>Inputs!$D$168</f>
        <v>1.2</v>
      </c>
      <c r="C42" s="30">
        <f>Inputs!$D$169</f>
        <v>0.6</v>
      </c>
      <c r="D42" s="28">
        <f>Inputs!$D$172</f>
        <v>3</v>
      </c>
      <c r="E42" s="26">
        <f>Profitability!$C$14*B42</f>
        <v>4.8514349079966159</v>
      </c>
      <c r="F42" s="16">
        <f>Profitability!$C$7*B42*C42/Inputs!$D$56</f>
        <v>10188</v>
      </c>
      <c r="G42" s="16">
        <f>Profitability!$C$20</f>
        <v>512.95583001599994</v>
      </c>
      <c r="H42" s="16">
        <f>Profitability!$C$21</f>
        <v>737.04416998400006</v>
      </c>
      <c r="I42" s="16">
        <f>F42-G42-H42-Profitability!$C$30</f>
        <v>8938</v>
      </c>
      <c r="J42" s="16">
        <f>Profitability!$C$49/D42+Profitability!$C$51</f>
        <v>12069</v>
      </c>
      <c r="K42" s="16">
        <f t="shared" si="0"/>
        <v>-3131</v>
      </c>
      <c r="L42" s="30">
        <f t="shared" si="1"/>
        <v>0.87730663525716535</v>
      </c>
      <c r="M42" s="30">
        <f>K42/Profitability!$C$43</f>
        <v>-0.53797250859106527</v>
      </c>
    </row>
    <row r="43" spans="1:13" ht="15" customHeight="1" x14ac:dyDescent="0.2">
      <c r="A43" s="10" t="s">
        <v>1137</v>
      </c>
      <c r="B43" s="30">
        <f>Inputs!$D$168</f>
        <v>1.2</v>
      </c>
      <c r="C43" s="30">
        <f>Inputs!$D$169</f>
        <v>0.6</v>
      </c>
      <c r="D43" s="28">
        <f>Inputs!$D$173</f>
        <v>4</v>
      </c>
      <c r="E43" s="26">
        <f>Profitability!$C$14*B43</f>
        <v>4.8514349079966159</v>
      </c>
      <c r="F43" s="16">
        <f>Profitability!$C$7*B43*C43/Inputs!$D$56</f>
        <v>10188</v>
      </c>
      <c r="G43" s="16">
        <f>Profitability!$C$20</f>
        <v>512.95583001599994</v>
      </c>
      <c r="H43" s="16">
        <f>Profitability!$C$21</f>
        <v>737.04416998400006</v>
      </c>
      <c r="I43" s="16">
        <f>F43-G43-H43-Profitability!$C$30</f>
        <v>8938</v>
      </c>
      <c r="J43" s="16">
        <f>Profitability!$C$49/D43+Profitability!$C$51</f>
        <v>9071.5</v>
      </c>
      <c r="K43" s="16">
        <f t="shared" si="0"/>
        <v>-133.5</v>
      </c>
      <c r="L43" s="30">
        <f t="shared" si="1"/>
        <v>0.87730663525716535</v>
      </c>
      <c r="M43" s="30">
        <f>K43/Profitability!$C$43</f>
        <v>-2.2938144329896906E-2</v>
      </c>
    </row>
    <row r="44" spans="1:13" ht="15" customHeight="1" x14ac:dyDescent="0.2">
      <c r="A44" s="10" t="s">
        <v>1137</v>
      </c>
      <c r="B44" s="30">
        <f>Inputs!$D$168</f>
        <v>1.2</v>
      </c>
      <c r="C44" s="30">
        <f>Inputs!$D$169</f>
        <v>0.6</v>
      </c>
      <c r="D44" s="28">
        <f>Inputs!$D$174</f>
        <v>5</v>
      </c>
      <c r="E44" s="26">
        <f>Profitability!$C$14*B44</f>
        <v>4.8514349079966159</v>
      </c>
      <c r="F44" s="16">
        <f>Profitability!$C$7*B44*C44/Inputs!$D$56</f>
        <v>10188</v>
      </c>
      <c r="G44" s="16">
        <f>Profitability!$C$20</f>
        <v>512.95583001599994</v>
      </c>
      <c r="H44" s="16">
        <f>Profitability!$C$21</f>
        <v>737.04416998400006</v>
      </c>
      <c r="I44" s="16">
        <f>F44-G44-H44-Profitability!$C$30</f>
        <v>8938</v>
      </c>
      <c r="J44" s="16">
        <f>Profitability!$C$49/D44+Profitability!$C$51</f>
        <v>7273</v>
      </c>
      <c r="K44" s="16">
        <f t="shared" si="0"/>
        <v>1665</v>
      </c>
      <c r="L44" s="30">
        <f t="shared" si="1"/>
        <v>0.87730663525716535</v>
      </c>
      <c r="M44" s="30">
        <f>K44/Profitability!$C$43</f>
        <v>0.28608247422680411</v>
      </c>
    </row>
    <row r="45" spans="1:13" ht="15" customHeight="1" x14ac:dyDescent="0.2">
      <c r="A45" s="10" t="s">
        <v>1137</v>
      </c>
      <c r="B45" s="30">
        <f>Inputs!$D$168</f>
        <v>1.2</v>
      </c>
      <c r="C45" s="30">
        <f>Inputs!$D$169</f>
        <v>0.6</v>
      </c>
      <c r="D45" s="28">
        <f>Inputs!$D$175</f>
        <v>6</v>
      </c>
      <c r="E45" s="26">
        <f>Profitability!$C$14*B45</f>
        <v>4.8514349079966159</v>
      </c>
      <c r="F45" s="16">
        <f>Profitability!$C$7*B45*C45/Inputs!$D$56</f>
        <v>10188</v>
      </c>
      <c r="G45" s="16">
        <f>Profitability!$C$20</f>
        <v>512.95583001599994</v>
      </c>
      <c r="H45" s="16">
        <f>Profitability!$C$21</f>
        <v>737.04416998400006</v>
      </c>
      <c r="I45" s="16">
        <f>F45-G45-H45-Profitability!$C$30</f>
        <v>8938</v>
      </c>
      <c r="J45" s="16">
        <f>Profitability!$C$49/D45+Profitability!$C$51</f>
        <v>6074</v>
      </c>
      <c r="K45" s="16">
        <f t="shared" si="0"/>
        <v>2864</v>
      </c>
      <c r="L45" s="30">
        <f t="shared" si="1"/>
        <v>0.87730663525716535</v>
      </c>
      <c r="M45" s="30">
        <f>K45/Profitability!$C$43</f>
        <v>0.49209621993127145</v>
      </c>
    </row>
    <row r="46" spans="1:13" ht="15" customHeight="1" x14ac:dyDescent="0.2">
      <c r="A46" s="10" t="s">
        <v>1137</v>
      </c>
      <c r="B46" s="30">
        <f>Inputs!$D$168</f>
        <v>1.2</v>
      </c>
      <c r="C46" s="30">
        <f>Inputs!$D$170</f>
        <v>0.8</v>
      </c>
      <c r="D46" s="28">
        <f>Inputs!$D$172</f>
        <v>3</v>
      </c>
      <c r="E46" s="26">
        <f>Profitability!$C$14*B46</f>
        <v>4.8514349079966159</v>
      </c>
      <c r="F46" s="16">
        <f>Profitability!$C$7*B46*C46/Inputs!$D$56</f>
        <v>13584</v>
      </c>
      <c r="G46" s="16">
        <f>Profitability!$C$20</f>
        <v>512.95583001599994</v>
      </c>
      <c r="H46" s="16">
        <f>Profitability!$C$21</f>
        <v>737.04416998400006</v>
      </c>
      <c r="I46" s="16">
        <f>F46-G46-H46-Profitability!$C$30</f>
        <v>12334</v>
      </c>
      <c r="J46" s="16">
        <f>Profitability!$C$49/D46+Profitability!$C$51</f>
        <v>12069</v>
      </c>
      <c r="K46" s="16">
        <f t="shared" si="0"/>
        <v>265</v>
      </c>
      <c r="L46" s="30">
        <f t="shared" si="1"/>
        <v>0.90797997644287398</v>
      </c>
      <c r="M46" s="30">
        <f>K46/Profitability!$C$43</f>
        <v>4.5532646048109963E-2</v>
      </c>
    </row>
    <row r="47" spans="1:13" ht="15" customHeight="1" x14ac:dyDescent="0.2">
      <c r="A47" s="10" t="s">
        <v>1137</v>
      </c>
      <c r="B47" s="30">
        <f>Inputs!$D$168</f>
        <v>1.2</v>
      </c>
      <c r="C47" s="30">
        <f>Inputs!$D$170</f>
        <v>0.8</v>
      </c>
      <c r="D47" s="28">
        <f>Inputs!$D$173</f>
        <v>4</v>
      </c>
      <c r="E47" s="26">
        <f>Profitability!$C$14*B47</f>
        <v>4.8514349079966159</v>
      </c>
      <c r="F47" s="16">
        <f>Profitability!$C$7*B47*C47/Inputs!$D$56</f>
        <v>13584</v>
      </c>
      <c r="G47" s="16">
        <f>Profitability!$C$20</f>
        <v>512.95583001599994</v>
      </c>
      <c r="H47" s="16">
        <f>Profitability!$C$21</f>
        <v>737.04416998400006</v>
      </c>
      <c r="I47" s="16">
        <f>F47-G47-H47-Profitability!$C$30</f>
        <v>12334</v>
      </c>
      <c r="J47" s="16">
        <f>Profitability!$C$49/D47+Profitability!$C$51</f>
        <v>9071.5</v>
      </c>
      <c r="K47" s="16">
        <f t="shared" si="0"/>
        <v>3262.5</v>
      </c>
      <c r="L47" s="30">
        <f t="shared" si="1"/>
        <v>0.90797997644287398</v>
      </c>
      <c r="M47" s="30">
        <f>K47/Profitability!$C$43</f>
        <v>0.56056701030927836</v>
      </c>
    </row>
    <row r="48" spans="1:13" ht="15" customHeight="1" x14ac:dyDescent="0.2">
      <c r="A48" s="10" t="s">
        <v>1137</v>
      </c>
      <c r="B48" s="30">
        <f>Inputs!$D$168</f>
        <v>1.2</v>
      </c>
      <c r="C48" s="30">
        <f>Inputs!$D$170</f>
        <v>0.8</v>
      </c>
      <c r="D48" s="28">
        <f>Inputs!$D$174</f>
        <v>5</v>
      </c>
      <c r="E48" s="26">
        <f>Profitability!$C$14*B48</f>
        <v>4.8514349079966159</v>
      </c>
      <c r="F48" s="16">
        <f>Profitability!$C$7*B48*C48/Inputs!$D$56</f>
        <v>13584</v>
      </c>
      <c r="G48" s="16">
        <f>Profitability!$C$20</f>
        <v>512.95583001599994</v>
      </c>
      <c r="H48" s="16">
        <f>Profitability!$C$21</f>
        <v>737.04416998400006</v>
      </c>
      <c r="I48" s="16">
        <f>F48-G48-H48-Profitability!$C$30</f>
        <v>12334</v>
      </c>
      <c r="J48" s="16">
        <f>Profitability!$C$49/D48+Profitability!$C$51</f>
        <v>7273</v>
      </c>
      <c r="K48" s="16">
        <f t="shared" si="0"/>
        <v>5061</v>
      </c>
      <c r="L48" s="30">
        <f t="shared" si="1"/>
        <v>0.90797997644287398</v>
      </c>
      <c r="M48" s="30">
        <f>K48/Profitability!$C$43</f>
        <v>0.8695876288659794</v>
      </c>
    </row>
    <row r="49" spans="1:13" ht="15" customHeight="1" x14ac:dyDescent="0.2">
      <c r="A49" s="10" t="s">
        <v>1137</v>
      </c>
      <c r="B49" s="30">
        <f>Inputs!$D$168</f>
        <v>1.2</v>
      </c>
      <c r="C49" s="30">
        <f>Inputs!$D$170</f>
        <v>0.8</v>
      </c>
      <c r="D49" s="28">
        <f>Inputs!$D$175</f>
        <v>6</v>
      </c>
      <c r="E49" s="26">
        <f>Profitability!$C$14*B49</f>
        <v>4.8514349079966159</v>
      </c>
      <c r="F49" s="16">
        <f>Profitability!$C$7*B49*C49/Inputs!$D$56</f>
        <v>13584</v>
      </c>
      <c r="G49" s="16">
        <f>Profitability!$C$20</f>
        <v>512.95583001599994</v>
      </c>
      <c r="H49" s="16">
        <f>Profitability!$C$21</f>
        <v>737.04416998400006</v>
      </c>
      <c r="I49" s="16">
        <f>F49-G49-H49-Profitability!$C$30</f>
        <v>12334</v>
      </c>
      <c r="J49" s="16">
        <f>Profitability!$C$49/D49+Profitability!$C$51</f>
        <v>6074</v>
      </c>
      <c r="K49" s="16">
        <f t="shared" si="0"/>
        <v>6260</v>
      </c>
      <c r="L49" s="30">
        <f t="shared" si="1"/>
        <v>0.90797997644287398</v>
      </c>
      <c r="M49" s="30">
        <f>K49/Profitability!$C$43</f>
        <v>1.0756013745704467</v>
      </c>
    </row>
    <row r="50" spans="1:13" ht="15" customHeight="1" x14ac:dyDescent="0.2">
      <c r="A50" s="10" t="s">
        <v>1137</v>
      </c>
      <c r="B50" s="30">
        <f>Inputs!$D$168</f>
        <v>1.2</v>
      </c>
      <c r="C50" s="30">
        <f>Inputs!$D$171</f>
        <v>1</v>
      </c>
      <c r="D50" s="28">
        <f>Inputs!$D$172</f>
        <v>3</v>
      </c>
      <c r="E50" s="26">
        <f>Profitability!$C$14*B50</f>
        <v>4.8514349079966159</v>
      </c>
      <c r="F50" s="16">
        <f>Profitability!$C$7*B50*C50/Inputs!$D$56</f>
        <v>16980</v>
      </c>
      <c r="G50" s="16">
        <f>Profitability!$C$20</f>
        <v>512.95583001599994</v>
      </c>
      <c r="H50" s="16">
        <f>Profitability!$C$21</f>
        <v>737.04416998400006</v>
      </c>
      <c r="I50" s="16">
        <f>F50-G50-H50-Profitability!$C$30</f>
        <v>15730.000000000002</v>
      </c>
      <c r="J50" s="16">
        <f>Profitability!$C$49/D50+Profitability!$C$51</f>
        <v>12069</v>
      </c>
      <c r="K50" s="16">
        <f t="shared" si="0"/>
        <v>3661.0000000000018</v>
      </c>
      <c r="L50" s="30">
        <f t="shared" si="1"/>
        <v>0.92638398115429932</v>
      </c>
      <c r="M50" s="30">
        <f>K50/Profitability!$C$43</f>
        <v>0.62903780068728554</v>
      </c>
    </row>
    <row r="51" spans="1:13" ht="15" customHeight="1" x14ac:dyDescent="0.2">
      <c r="A51" s="10" t="s">
        <v>1137</v>
      </c>
      <c r="B51" s="30">
        <f>Inputs!$D$168</f>
        <v>1.2</v>
      </c>
      <c r="C51" s="30">
        <f>Inputs!$D$171</f>
        <v>1</v>
      </c>
      <c r="D51" s="28">
        <f>Inputs!$D$173</f>
        <v>4</v>
      </c>
      <c r="E51" s="26">
        <f>Profitability!$C$14*B51</f>
        <v>4.8514349079966159</v>
      </c>
      <c r="F51" s="16">
        <f>Profitability!$C$7*B51*C51/Inputs!$D$56</f>
        <v>16980</v>
      </c>
      <c r="G51" s="16">
        <f>Profitability!$C$20</f>
        <v>512.95583001599994</v>
      </c>
      <c r="H51" s="16">
        <f>Profitability!$C$21</f>
        <v>737.04416998400006</v>
      </c>
      <c r="I51" s="16">
        <f>F51-G51-H51-Profitability!$C$30</f>
        <v>15730.000000000002</v>
      </c>
      <c r="J51" s="16">
        <f>Profitability!$C$49/D51+Profitability!$C$51</f>
        <v>9071.5</v>
      </c>
      <c r="K51" s="16">
        <f t="shared" si="0"/>
        <v>6658.5000000000018</v>
      </c>
      <c r="L51" s="30">
        <f t="shared" si="1"/>
        <v>0.92638398115429932</v>
      </c>
      <c r="M51" s="30">
        <f>K51/Profitability!$C$43</f>
        <v>1.144072164948454</v>
      </c>
    </row>
    <row r="52" spans="1:13" ht="15" customHeight="1" x14ac:dyDescent="0.2">
      <c r="A52" s="10" t="s">
        <v>1137</v>
      </c>
      <c r="B52" s="30">
        <f>Inputs!$D$168</f>
        <v>1.2</v>
      </c>
      <c r="C52" s="30">
        <f>Inputs!$D$171</f>
        <v>1</v>
      </c>
      <c r="D52" s="28">
        <f>Inputs!$D$174</f>
        <v>5</v>
      </c>
      <c r="E52" s="26">
        <f>Profitability!$C$14*B52</f>
        <v>4.8514349079966159</v>
      </c>
      <c r="F52" s="16">
        <f>Profitability!$C$7*B52*C52/Inputs!$D$56</f>
        <v>16980</v>
      </c>
      <c r="G52" s="16">
        <f>Profitability!$C$20</f>
        <v>512.95583001599994</v>
      </c>
      <c r="H52" s="16">
        <f>Profitability!$C$21</f>
        <v>737.04416998400006</v>
      </c>
      <c r="I52" s="16">
        <f>F52-G52-H52-Profitability!$C$30</f>
        <v>15730.000000000002</v>
      </c>
      <c r="J52" s="16">
        <f>Profitability!$C$49/D52+Profitability!$C$51</f>
        <v>7273</v>
      </c>
      <c r="K52" s="16">
        <f t="shared" si="0"/>
        <v>8457.0000000000018</v>
      </c>
      <c r="L52" s="30">
        <f t="shared" si="1"/>
        <v>0.92638398115429932</v>
      </c>
      <c r="M52" s="30">
        <f>K52/Profitability!$C$43</f>
        <v>1.453092783505155</v>
      </c>
    </row>
    <row r="53" spans="1:13" ht="15" customHeight="1" x14ac:dyDescent="0.2">
      <c r="A53" s="10" t="s">
        <v>1137</v>
      </c>
      <c r="B53" s="30">
        <f>Inputs!$D$168</f>
        <v>1.2</v>
      </c>
      <c r="C53" s="30">
        <f>Inputs!$D$171</f>
        <v>1</v>
      </c>
      <c r="D53" s="28">
        <f>Inputs!$D$175</f>
        <v>6</v>
      </c>
      <c r="E53" s="26">
        <f>Profitability!$C$14*B53</f>
        <v>4.8514349079966159</v>
      </c>
      <c r="F53" s="16">
        <f>Profitability!$C$7*B53*C53/Inputs!$D$56</f>
        <v>16980</v>
      </c>
      <c r="G53" s="16">
        <f>Profitability!$C$20</f>
        <v>512.95583001599994</v>
      </c>
      <c r="H53" s="16">
        <f>Profitability!$C$21</f>
        <v>737.04416998400006</v>
      </c>
      <c r="I53" s="16">
        <f>F53-G53-H53-Profitability!$C$30</f>
        <v>15730.000000000002</v>
      </c>
      <c r="J53" s="16">
        <f>Profitability!$C$49/D53+Profitability!$C$51</f>
        <v>6074</v>
      </c>
      <c r="K53" s="16">
        <f t="shared" si="0"/>
        <v>9656.0000000000018</v>
      </c>
      <c r="L53" s="30">
        <f t="shared" si="1"/>
        <v>0.92638398115429932</v>
      </c>
      <c r="M53" s="30">
        <f>K53/Profitability!$C$43</f>
        <v>1.6591065292096223</v>
      </c>
    </row>
    <row r="56" spans="1:13" ht="39" customHeight="1" x14ac:dyDescent="0.2">
      <c r="A56" s="4" t="s">
        <v>1124</v>
      </c>
      <c r="B56" s="5" t="s">
        <v>1125</v>
      </c>
      <c r="C56" s="5" t="s">
        <v>1126</v>
      </c>
      <c r="D56" s="4" t="s">
        <v>1127</v>
      </c>
      <c r="E56" s="4" t="s">
        <v>1128</v>
      </c>
      <c r="F56" s="4" t="s">
        <v>1129</v>
      </c>
      <c r="G56" s="4" t="s">
        <v>1130</v>
      </c>
      <c r="H56" s="4" t="s">
        <v>1131</v>
      </c>
      <c r="I56" s="4" t="s">
        <v>1132</v>
      </c>
      <c r="J56" s="5" t="s">
        <v>1133</v>
      </c>
      <c r="K56" s="4" t="s">
        <v>1134</v>
      </c>
      <c r="L56" s="5" t="s">
        <v>1135</v>
      </c>
      <c r="M56" s="5" t="s">
        <v>1136</v>
      </c>
    </row>
    <row r="57" spans="1:13" ht="15" customHeight="1" x14ac:dyDescent="0.2">
      <c r="A57" s="3" t="s">
        <v>1138</v>
      </c>
      <c r="B57" s="30">
        <f>Inputs!$D$165</f>
        <v>0.6</v>
      </c>
      <c r="C57" s="30">
        <f>Inputs!$D$7</f>
        <v>1</v>
      </c>
      <c r="D57" s="28">
        <f>Inputs!$D$176</f>
        <v>4</v>
      </c>
      <c r="E57" s="26">
        <f>Profitability!$C$14*B57</f>
        <v>2.425717453998308</v>
      </c>
      <c r="F57" s="16">
        <f>Profitability!$C$7*B57*C57/Inputs!$D$56</f>
        <v>8490</v>
      </c>
      <c r="G57" s="16">
        <f>Profitability!$C$20</f>
        <v>512.95583001599994</v>
      </c>
      <c r="H57" s="16">
        <f>Profitability!$C$21</f>
        <v>737.04416998400006</v>
      </c>
      <c r="I57" s="16">
        <f>F57-G57-H57-Profitability!$C$30</f>
        <v>7240</v>
      </c>
      <c r="J57" s="16">
        <f>Profitability!$C$49/D57+Profitability!$C$51</f>
        <v>9071.5</v>
      </c>
      <c r="K57" s="16">
        <f t="shared" ref="K57:K68" si="2">I57-J57</f>
        <v>-1831.5</v>
      </c>
      <c r="L57" s="30">
        <f t="shared" ref="L57:L68" si="3">I57/F57</f>
        <v>0.8527679623085983</v>
      </c>
      <c r="M57" s="30">
        <f>K57/Profitability!$C$43</f>
        <v>-0.31469072164948453</v>
      </c>
    </row>
    <row r="58" spans="1:13" ht="15" customHeight="1" x14ac:dyDescent="0.2">
      <c r="A58" s="3" t="s">
        <v>1139</v>
      </c>
      <c r="B58" s="30">
        <f>Inputs!$D$165</f>
        <v>0.6</v>
      </c>
      <c r="C58" s="30">
        <f>Inputs!$D$7</f>
        <v>1</v>
      </c>
      <c r="D58" s="28">
        <f>Inputs!$D$177</f>
        <v>5</v>
      </c>
      <c r="E58" s="26">
        <f>Profitability!$C$14*B58</f>
        <v>2.425717453998308</v>
      </c>
      <c r="F58" s="16">
        <f>Profitability!$C$7*B58*C58/Inputs!$D$56</f>
        <v>8490</v>
      </c>
      <c r="G58" s="16">
        <f>Profitability!$C$20</f>
        <v>512.95583001599994</v>
      </c>
      <c r="H58" s="16">
        <f>Profitability!$C$21</f>
        <v>737.04416998400006</v>
      </c>
      <c r="I58" s="16">
        <f>F58-G58-H58-Profitability!$C$30</f>
        <v>7240</v>
      </c>
      <c r="J58" s="16">
        <f>Profitability!$C$49/D58+Profitability!$C$51</f>
        <v>7273</v>
      </c>
      <c r="K58" s="16">
        <f t="shared" si="2"/>
        <v>-33</v>
      </c>
      <c r="L58" s="30">
        <f t="shared" si="3"/>
        <v>0.8527679623085983</v>
      </c>
      <c r="M58" s="30">
        <f>K58/Profitability!$C$43</f>
        <v>-5.670103092783505E-3</v>
      </c>
    </row>
    <row r="59" spans="1:13" ht="15" customHeight="1" x14ac:dyDescent="0.2">
      <c r="A59" s="3" t="s">
        <v>1140</v>
      </c>
      <c r="B59" s="30">
        <f>Inputs!$D$165</f>
        <v>0.6</v>
      </c>
      <c r="C59" s="30">
        <f>Inputs!$D$7</f>
        <v>1</v>
      </c>
      <c r="D59" s="28">
        <f>Inputs!$D$178</f>
        <v>6</v>
      </c>
      <c r="E59" s="26">
        <f>Profitability!$C$14*B59</f>
        <v>2.425717453998308</v>
      </c>
      <c r="F59" s="16">
        <f>Profitability!$C$7*B59*C59/Inputs!$D$56</f>
        <v>8490</v>
      </c>
      <c r="G59" s="16">
        <f>Profitability!$C$20</f>
        <v>512.95583001599994</v>
      </c>
      <c r="H59" s="16">
        <f>Profitability!$C$21</f>
        <v>737.04416998400006</v>
      </c>
      <c r="I59" s="16">
        <f>F59-G59-H59-Profitability!$C$30</f>
        <v>7240</v>
      </c>
      <c r="J59" s="16">
        <f>Profitability!$C$49/D59+Profitability!$C$51</f>
        <v>6074</v>
      </c>
      <c r="K59" s="16">
        <f t="shared" si="2"/>
        <v>1166</v>
      </c>
      <c r="L59" s="30">
        <f t="shared" si="3"/>
        <v>0.8527679623085983</v>
      </c>
      <c r="M59" s="30">
        <f>K59/Profitability!$C$43</f>
        <v>0.20034364261168386</v>
      </c>
    </row>
    <row r="60" spans="1:13" ht="15" customHeight="1" x14ac:dyDescent="0.2">
      <c r="A60" s="3" t="s">
        <v>1138</v>
      </c>
      <c r="B60" s="30">
        <f>Inputs!$D$166</f>
        <v>0.8</v>
      </c>
      <c r="C60" s="30">
        <f>Inputs!$D$7</f>
        <v>1</v>
      </c>
      <c r="D60" s="28">
        <f>Inputs!$D$176</f>
        <v>4</v>
      </c>
      <c r="E60" s="26">
        <f>Profitability!$C$14*B60</f>
        <v>3.2342899386644106</v>
      </c>
      <c r="F60" s="16">
        <f>Profitability!$C$7*B60*C60/Inputs!$D$56</f>
        <v>11320</v>
      </c>
      <c r="G60" s="16">
        <f>Profitability!$C$20</f>
        <v>512.95583001599994</v>
      </c>
      <c r="H60" s="16">
        <f>Profitability!$C$21</f>
        <v>737.04416998400006</v>
      </c>
      <c r="I60" s="16">
        <f>F60-G60-H60-Profitability!$C$30</f>
        <v>10070</v>
      </c>
      <c r="J60" s="16">
        <f>Profitability!$C$49/D60+Profitability!$C$51</f>
        <v>9071.5</v>
      </c>
      <c r="K60" s="16">
        <f t="shared" si="2"/>
        <v>998.5</v>
      </c>
      <c r="L60" s="30">
        <f t="shared" si="3"/>
        <v>0.88957597173144876</v>
      </c>
      <c r="M60" s="30">
        <f>K60/Profitability!$C$43</f>
        <v>0.17156357388316151</v>
      </c>
    </row>
    <row r="61" spans="1:13" ht="15" customHeight="1" x14ac:dyDescent="0.2">
      <c r="A61" s="3" t="s">
        <v>1139</v>
      </c>
      <c r="B61" s="30">
        <f>Inputs!$D$166</f>
        <v>0.8</v>
      </c>
      <c r="C61" s="30">
        <f>Inputs!$D$7</f>
        <v>1</v>
      </c>
      <c r="D61" s="28">
        <f>Inputs!$D$177</f>
        <v>5</v>
      </c>
      <c r="E61" s="26">
        <f>Profitability!$C$14*B61</f>
        <v>3.2342899386644106</v>
      </c>
      <c r="F61" s="16">
        <f>Profitability!$C$7*B61*C61/Inputs!$D$56</f>
        <v>11320</v>
      </c>
      <c r="G61" s="16">
        <f>Profitability!$C$20</f>
        <v>512.95583001599994</v>
      </c>
      <c r="H61" s="16">
        <f>Profitability!$C$21</f>
        <v>737.04416998400006</v>
      </c>
      <c r="I61" s="16">
        <f>F61-G61-H61-Profitability!$C$30</f>
        <v>10070</v>
      </c>
      <c r="J61" s="16">
        <f>Profitability!$C$49/D61+Profitability!$C$51</f>
        <v>7273</v>
      </c>
      <c r="K61" s="16">
        <f t="shared" si="2"/>
        <v>2797</v>
      </c>
      <c r="L61" s="30">
        <f t="shared" si="3"/>
        <v>0.88957597173144876</v>
      </c>
      <c r="M61" s="30">
        <f>K61/Profitability!$C$43</f>
        <v>0.48058419243986256</v>
      </c>
    </row>
    <row r="62" spans="1:13" ht="15" customHeight="1" x14ac:dyDescent="0.2">
      <c r="A62" s="3" t="s">
        <v>1140</v>
      </c>
      <c r="B62" s="30">
        <f>Inputs!$D$166</f>
        <v>0.8</v>
      </c>
      <c r="C62" s="30">
        <f>Inputs!$D$7</f>
        <v>1</v>
      </c>
      <c r="D62" s="28">
        <f>Inputs!$D$178</f>
        <v>6</v>
      </c>
      <c r="E62" s="26">
        <f>Profitability!$C$14*B62</f>
        <v>3.2342899386644106</v>
      </c>
      <c r="F62" s="16">
        <f>Profitability!$C$7*B62*C62/Inputs!$D$56</f>
        <v>11320</v>
      </c>
      <c r="G62" s="16">
        <f>Profitability!$C$20</f>
        <v>512.95583001599994</v>
      </c>
      <c r="H62" s="16">
        <f>Profitability!$C$21</f>
        <v>737.04416998400006</v>
      </c>
      <c r="I62" s="16">
        <f>F62-G62-H62-Profitability!$C$30</f>
        <v>10070</v>
      </c>
      <c r="J62" s="16">
        <f>Profitability!$C$49/D62+Profitability!$C$51</f>
        <v>6074</v>
      </c>
      <c r="K62" s="16">
        <f t="shared" si="2"/>
        <v>3996</v>
      </c>
      <c r="L62" s="30">
        <f t="shared" si="3"/>
        <v>0.88957597173144876</v>
      </c>
      <c r="M62" s="30">
        <f>K62/Profitability!$C$43</f>
        <v>0.6865979381443299</v>
      </c>
    </row>
    <row r="63" spans="1:13" ht="15" customHeight="1" x14ac:dyDescent="0.2">
      <c r="A63" s="3" t="s">
        <v>1138</v>
      </c>
      <c r="B63" s="30">
        <f>Inputs!$D$167</f>
        <v>1</v>
      </c>
      <c r="C63" s="30">
        <f>Inputs!$D$7</f>
        <v>1</v>
      </c>
      <c r="D63" s="28">
        <f>Inputs!$D$176</f>
        <v>4</v>
      </c>
      <c r="E63" s="26">
        <f>Profitability!$C$14*B63</f>
        <v>4.0428624233305133</v>
      </c>
      <c r="F63" s="16">
        <f>Profitability!$C$7*B63*C63/Inputs!$D$56</f>
        <v>14150</v>
      </c>
      <c r="G63" s="16">
        <f>Profitability!$C$20</f>
        <v>512.95583001599994</v>
      </c>
      <c r="H63" s="16">
        <f>Profitability!$C$21</f>
        <v>737.04416998400006</v>
      </c>
      <c r="I63" s="16">
        <f>F63-G63-H63-Profitability!$C$30</f>
        <v>12900</v>
      </c>
      <c r="J63" s="16">
        <f>Profitability!$C$49/D63+Profitability!$C$51</f>
        <v>9071.5</v>
      </c>
      <c r="K63" s="16">
        <f t="shared" si="2"/>
        <v>3828.5</v>
      </c>
      <c r="L63" s="30">
        <f t="shared" si="3"/>
        <v>0.91166077738515905</v>
      </c>
      <c r="M63" s="30">
        <f>K63/Profitability!$C$43</f>
        <v>0.65781786941580755</v>
      </c>
    </row>
    <row r="64" spans="1:13" ht="15" customHeight="1" x14ac:dyDescent="0.2">
      <c r="A64" s="3" t="s">
        <v>1139</v>
      </c>
      <c r="B64" s="30">
        <f>Inputs!$D$167</f>
        <v>1</v>
      </c>
      <c r="C64" s="30">
        <f>Inputs!$D$7</f>
        <v>1</v>
      </c>
      <c r="D64" s="28">
        <f>Inputs!$D$177</f>
        <v>5</v>
      </c>
      <c r="E64" s="26">
        <f>Profitability!$C$14*B64</f>
        <v>4.0428624233305133</v>
      </c>
      <c r="F64" s="16">
        <f>Profitability!$C$7*B64*C64/Inputs!$D$56</f>
        <v>14150</v>
      </c>
      <c r="G64" s="16">
        <f>Profitability!$C$20</f>
        <v>512.95583001599994</v>
      </c>
      <c r="H64" s="16">
        <f>Profitability!$C$21</f>
        <v>737.04416998400006</v>
      </c>
      <c r="I64" s="16">
        <f>F64-G64-H64-Profitability!$C$30</f>
        <v>12900</v>
      </c>
      <c r="J64" s="16">
        <f>Profitability!$C$49/D64+Profitability!$C$51</f>
        <v>7273</v>
      </c>
      <c r="K64" s="16">
        <f t="shared" si="2"/>
        <v>5627</v>
      </c>
      <c r="L64" s="30">
        <f t="shared" si="3"/>
        <v>0.91166077738515905</v>
      </c>
      <c r="M64" s="30">
        <f>K64/Profitability!$C$43</f>
        <v>0.9668384879725086</v>
      </c>
    </row>
    <row r="65" spans="1:13" ht="15" customHeight="1" x14ac:dyDescent="0.2">
      <c r="A65" s="3" t="s">
        <v>1140</v>
      </c>
      <c r="B65" s="30">
        <f>Inputs!$D$167</f>
        <v>1</v>
      </c>
      <c r="C65" s="30">
        <f>Inputs!$D$7</f>
        <v>1</v>
      </c>
      <c r="D65" s="28">
        <f>Inputs!$D$178</f>
        <v>6</v>
      </c>
      <c r="E65" s="26">
        <f>Profitability!$C$14*B65</f>
        <v>4.0428624233305133</v>
      </c>
      <c r="F65" s="16">
        <f>Profitability!$C$7*B65*C65/Inputs!$D$56</f>
        <v>14150</v>
      </c>
      <c r="G65" s="16">
        <f>Profitability!$C$20</f>
        <v>512.95583001599994</v>
      </c>
      <c r="H65" s="16">
        <f>Profitability!$C$21</f>
        <v>737.04416998400006</v>
      </c>
      <c r="I65" s="16">
        <f>F65-G65-H65-Profitability!$C$30</f>
        <v>12900</v>
      </c>
      <c r="J65" s="16">
        <f>Profitability!$C$49/D65+Profitability!$C$51</f>
        <v>6074</v>
      </c>
      <c r="K65" s="16">
        <f t="shared" si="2"/>
        <v>6826</v>
      </c>
      <c r="L65" s="30">
        <f t="shared" si="3"/>
        <v>0.91166077738515905</v>
      </c>
      <c r="M65" s="30">
        <f>K65/Profitability!$C$43</f>
        <v>1.172852233676976</v>
      </c>
    </row>
    <row r="66" spans="1:13" ht="15" customHeight="1" x14ac:dyDescent="0.2">
      <c r="A66" s="3" t="s">
        <v>1138</v>
      </c>
      <c r="B66" s="30">
        <f>Inputs!$D$168</f>
        <v>1.2</v>
      </c>
      <c r="C66" s="30">
        <f>Inputs!$D$7</f>
        <v>1</v>
      </c>
      <c r="D66" s="28">
        <f>Inputs!$D$176</f>
        <v>4</v>
      </c>
      <c r="E66" s="26">
        <f>Profitability!$C$14*B66</f>
        <v>4.8514349079966159</v>
      </c>
      <c r="F66" s="16">
        <f>Profitability!$C$7*B66*C66/Inputs!$D$56</f>
        <v>16980</v>
      </c>
      <c r="G66" s="16">
        <f>Profitability!$C$20</f>
        <v>512.95583001599994</v>
      </c>
      <c r="H66" s="16">
        <f>Profitability!$C$21</f>
        <v>737.04416998400006</v>
      </c>
      <c r="I66" s="16">
        <f>F66-G66-H66-Profitability!$C$30</f>
        <v>15730.000000000002</v>
      </c>
      <c r="J66" s="16">
        <f>Profitability!$C$49/D66+Profitability!$C$51</f>
        <v>9071.5</v>
      </c>
      <c r="K66" s="16">
        <f t="shared" si="2"/>
        <v>6658.5000000000018</v>
      </c>
      <c r="L66" s="30">
        <f t="shared" si="3"/>
        <v>0.92638398115429932</v>
      </c>
      <c r="M66" s="30">
        <f>K66/Profitability!$C$43</f>
        <v>1.144072164948454</v>
      </c>
    </row>
    <row r="67" spans="1:13" ht="15" customHeight="1" x14ac:dyDescent="0.2">
      <c r="A67" s="3" t="s">
        <v>1139</v>
      </c>
      <c r="B67" s="30">
        <f>Inputs!$D$168</f>
        <v>1.2</v>
      </c>
      <c r="C67" s="30">
        <f>Inputs!$D$7</f>
        <v>1</v>
      </c>
      <c r="D67" s="28">
        <f>Inputs!$D$177</f>
        <v>5</v>
      </c>
      <c r="E67" s="26">
        <f>Profitability!$C$14*B67</f>
        <v>4.8514349079966159</v>
      </c>
      <c r="F67" s="16">
        <f>Profitability!$C$7*B67*C67/Inputs!$D$56</f>
        <v>16980</v>
      </c>
      <c r="G67" s="16">
        <f>Profitability!$C$20</f>
        <v>512.95583001599994</v>
      </c>
      <c r="H67" s="16">
        <f>Profitability!$C$21</f>
        <v>737.04416998400006</v>
      </c>
      <c r="I67" s="16">
        <f>F67-G67-H67-Profitability!$C$30</f>
        <v>15730.000000000002</v>
      </c>
      <c r="J67" s="16">
        <f>Profitability!$C$49/D67+Profitability!$C$51</f>
        <v>7273</v>
      </c>
      <c r="K67" s="16">
        <f t="shared" si="2"/>
        <v>8457.0000000000018</v>
      </c>
      <c r="L67" s="30">
        <f t="shared" si="3"/>
        <v>0.92638398115429932</v>
      </c>
      <c r="M67" s="30">
        <f>K67/Profitability!$C$43</f>
        <v>1.453092783505155</v>
      </c>
    </row>
    <row r="68" spans="1:13" ht="15" customHeight="1" x14ac:dyDescent="0.2">
      <c r="A68" s="3" t="s">
        <v>1140</v>
      </c>
      <c r="B68" s="30">
        <f>Inputs!$D$168</f>
        <v>1.2</v>
      </c>
      <c r="C68" s="30">
        <f>Inputs!$D$7</f>
        <v>1</v>
      </c>
      <c r="D68" s="28">
        <f>Inputs!$D$178</f>
        <v>6</v>
      </c>
      <c r="E68" s="26">
        <f>Profitability!$C$14*B68</f>
        <v>4.8514349079966159</v>
      </c>
      <c r="F68" s="16">
        <f>Profitability!$C$7*B68*C68/Inputs!$D$56</f>
        <v>16980</v>
      </c>
      <c r="G68" s="16">
        <f>Profitability!$C$20</f>
        <v>512.95583001599994</v>
      </c>
      <c r="H68" s="16">
        <f>Profitability!$C$21</f>
        <v>737.04416998400006</v>
      </c>
      <c r="I68" s="16">
        <f>F68-G68-H68-Profitability!$C$30</f>
        <v>15730.000000000002</v>
      </c>
      <c r="J68" s="16">
        <f>Profitability!$C$49/D68+Profitability!$C$51</f>
        <v>6074</v>
      </c>
      <c r="K68" s="16">
        <f t="shared" si="2"/>
        <v>9656.0000000000018</v>
      </c>
      <c r="L68" s="30">
        <f t="shared" si="3"/>
        <v>0.92638398115429932</v>
      </c>
      <c r="M68" s="30">
        <f>K68/Profitability!$C$43</f>
        <v>1.6591065292096223</v>
      </c>
    </row>
  </sheetData>
  <mergeCells count="2">
    <mergeCell ref="A3:M3"/>
    <mergeCell ref="A2:M2"/>
  </mergeCells>
  <printOptions horizontalCentered="1"/>
  <pageMargins left="0.2" right="0.2" top="0.25" bottom="0.55000000000000004" header="0.5" footer="0.5"/>
  <pageSetup paperSize="8" scale="66"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rowBreaks count="1" manualBreakCount="1">
    <brk id="5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G17"/>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45" customWidth="1"/>
    <col min="2" max="2" width="18" customWidth="1"/>
    <col min="3" max="4" width="20" customWidth="1"/>
    <col min="5" max="5" width="17" customWidth="1"/>
    <col min="6" max="6" width="21" customWidth="1"/>
    <col min="7" max="7" width="48" customWidth="1"/>
    <col min="8" max="17" width="19" customWidth="1"/>
  </cols>
  <sheetData>
    <row r="2" spans="1:7" ht="21" customHeight="1" x14ac:dyDescent="0.2">
      <c r="A2" s="103" t="s">
        <v>1141</v>
      </c>
      <c r="B2" s="91"/>
      <c r="C2" s="91"/>
      <c r="D2" s="91"/>
      <c r="E2" s="91"/>
      <c r="F2" s="91"/>
      <c r="G2" s="91"/>
    </row>
    <row r="3" spans="1:7"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row>
    <row r="5" spans="1:7" ht="27" customHeight="1" x14ac:dyDescent="0.2">
      <c r="A5" s="4" t="s">
        <v>1124</v>
      </c>
      <c r="B5" s="14" t="s">
        <v>1142</v>
      </c>
      <c r="C5" s="14" t="s">
        <v>1143</v>
      </c>
      <c r="D5" s="14" t="s">
        <v>1144</v>
      </c>
      <c r="E5" s="4" t="s">
        <v>1145</v>
      </c>
      <c r="F5" s="14" t="s">
        <v>1146</v>
      </c>
      <c r="G5" s="4" t="s">
        <v>801</v>
      </c>
    </row>
    <row r="6" spans="1:7" ht="15" customHeight="1" x14ac:dyDescent="0.2">
      <c r="A6" s="3" t="s">
        <v>1147</v>
      </c>
      <c r="B6" s="16">
        <f>(Capital!$D$6*Prices!$P$6*Inputs!$D$8)/Inputs!$D$8</f>
        <v>51869.895400487178</v>
      </c>
      <c r="C6" s="16">
        <f>(Inputs!$D$179+Inputs!$D$180+Inputs!$D$181+(Inputs!$D$182+Inputs!$D$183)*Prices!$P$6)/Inputs!$D$8</f>
        <v>4529.3394469121649</v>
      </c>
      <c r="D6" s="16">
        <f>Inputs!$D$6</f>
        <v>0</v>
      </c>
      <c r="E6" s="16">
        <f>Inputs!$D$6</f>
        <v>0</v>
      </c>
      <c r="F6" s="16">
        <f t="shared" ref="F6:F17" si="0">B6-C6-D6-E6</f>
        <v>47340.555953575014</v>
      </c>
      <c r="G6" s="3" t="s">
        <v>1148</v>
      </c>
    </row>
    <row r="7" spans="1:7" ht="27" customHeight="1" x14ac:dyDescent="0.2">
      <c r="A7" s="3" t="s">
        <v>1149</v>
      </c>
      <c r="B7" s="16">
        <f>(Capital!$D$6*Prices!$P$6*Inputs!$D$8)/Inputs!$D$8</f>
        <v>51869.895400487178</v>
      </c>
      <c r="C7" s="16">
        <f>(Inputs!$D$179+Inputs!$D$180+Inputs!$D$181+(Inputs!$D$182+Inputs!$D$183)*Prices!$P$6)/Inputs!$D$8</f>
        <v>4529.3394469121649</v>
      </c>
      <c r="D7" s="16">
        <f>Inputs!$D$18*Prices!$P$6/Inputs!$D$8</f>
        <v>14328.700386874911</v>
      </c>
      <c r="E7" s="16">
        <f>Inputs!$D$6</f>
        <v>0</v>
      </c>
      <c r="F7" s="16">
        <f t="shared" si="0"/>
        <v>33011.855566700106</v>
      </c>
      <c r="G7" s="3" t="s">
        <v>1148</v>
      </c>
    </row>
    <row r="8" spans="1:7" ht="27" customHeight="1" x14ac:dyDescent="0.2">
      <c r="A8" s="3" t="s">
        <v>1150</v>
      </c>
      <c r="B8" s="16">
        <f>(Capital!$D$6*Prices!$P$6*Inputs!$D$8)/Inputs!$D$8</f>
        <v>51869.895400487178</v>
      </c>
      <c r="C8" s="16">
        <f>(Inputs!$D$184+Inputs!$D$183)*Prices!$P$6/Inputs!$D$8</f>
        <v>4800.1146296030947</v>
      </c>
      <c r="D8" s="16">
        <f>Inputs!$D$6</f>
        <v>0</v>
      </c>
      <c r="E8" s="16">
        <f>Inputs!$D$6</f>
        <v>0</v>
      </c>
      <c r="F8" s="16">
        <f t="shared" si="0"/>
        <v>47069.780770884085</v>
      </c>
      <c r="G8" s="3" t="s">
        <v>1148</v>
      </c>
    </row>
    <row r="9" spans="1:7" ht="27" customHeight="1" x14ac:dyDescent="0.2">
      <c r="A9" s="3" t="s">
        <v>1151</v>
      </c>
      <c r="B9" s="16">
        <f>(Capital!$D$6*Prices!$P$6*Inputs!$D$8)/Inputs!$D$8</f>
        <v>51869.895400487178</v>
      </c>
      <c r="C9" s="16">
        <f>(Inputs!$D$184+Inputs!$D$183)*Prices!$P$6/Inputs!$D$8</f>
        <v>4800.1146296030947</v>
      </c>
      <c r="D9" s="16">
        <f>Inputs!$D$18*Prices!$P$6/Inputs!$D$8</f>
        <v>14328.700386874911</v>
      </c>
      <c r="E9" s="16">
        <f>Inputs!$D$6</f>
        <v>0</v>
      </c>
      <c r="F9" s="16">
        <f t="shared" si="0"/>
        <v>32741.080384009176</v>
      </c>
      <c r="G9" s="3" t="s">
        <v>1148</v>
      </c>
    </row>
    <row r="10" spans="1:7" ht="15" customHeight="1" x14ac:dyDescent="0.2">
      <c r="A10" s="3" t="s">
        <v>1147</v>
      </c>
      <c r="B10" s="16">
        <f>(Inputs!$D$38*Prices!$P$6)/Inputs!$D$8</f>
        <v>54019.200458518419</v>
      </c>
      <c r="C10" s="16">
        <f>(Inputs!$D$179+Inputs!$D$180+Inputs!$D$181+(Inputs!$D$182+Inputs!$D$183)*Prices!$P$6)/Inputs!$D$8</f>
        <v>4529.3394469121649</v>
      </c>
      <c r="D10" s="16">
        <f>Inputs!$D$6</f>
        <v>0</v>
      </c>
      <c r="E10" s="16">
        <f>Inputs!$D$6</f>
        <v>0</v>
      </c>
      <c r="F10" s="16">
        <f t="shared" si="0"/>
        <v>49489.861011606255</v>
      </c>
      <c r="G10" s="3" t="s">
        <v>1152</v>
      </c>
    </row>
    <row r="11" spans="1:7" ht="27" customHeight="1" x14ac:dyDescent="0.2">
      <c r="A11" s="3" t="s">
        <v>1149</v>
      </c>
      <c r="B11" s="16">
        <f>(Inputs!$D$38*Prices!$P$6)/Inputs!$D$8</f>
        <v>54019.200458518419</v>
      </c>
      <c r="C11" s="16">
        <f>(Inputs!$D$179+Inputs!$D$180+Inputs!$D$181+(Inputs!$D$182+Inputs!$D$183)*Prices!$P$6)/Inputs!$D$8</f>
        <v>4529.3394469121649</v>
      </c>
      <c r="D11" s="16">
        <f>Inputs!$D$18*Prices!$P$6/Inputs!$D$8</f>
        <v>14328.700386874911</v>
      </c>
      <c r="E11" s="16">
        <f>Inputs!$D$6</f>
        <v>0</v>
      </c>
      <c r="F11" s="16">
        <f t="shared" si="0"/>
        <v>35161.160624731347</v>
      </c>
      <c r="G11" s="3" t="s">
        <v>1152</v>
      </c>
    </row>
    <row r="12" spans="1:7" ht="27" customHeight="1" x14ac:dyDescent="0.2">
      <c r="A12" s="3" t="s">
        <v>1150</v>
      </c>
      <c r="B12" s="16">
        <f>(Inputs!$D$38*Prices!$P$6)/Inputs!$D$8</f>
        <v>54019.200458518419</v>
      </c>
      <c r="C12" s="16">
        <f>(Inputs!$D$184+Inputs!$D$183)*Prices!$P$6/Inputs!$D$8</f>
        <v>4800.1146296030947</v>
      </c>
      <c r="D12" s="16">
        <f>Inputs!$D$6</f>
        <v>0</v>
      </c>
      <c r="E12" s="16">
        <f>Inputs!$D$6</f>
        <v>0</v>
      </c>
      <c r="F12" s="35">
        <f t="shared" si="0"/>
        <v>49219.085828915326</v>
      </c>
      <c r="G12" s="3" t="s">
        <v>1152</v>
      </c>
    </row>
    <row r="13" spans="1:7" ht="27" customHeight="1" x14ac:dyDescent="0.2">
      <c r="A13" s="3" t="s">
        <v>1151</v>
      </c>
      <c r="B13" s="16">
        <f>(Inputs!$D$38*Prices!$P$6)/Inputs!$D$8</f>
        <v>54019.200458518419</v>
      </c>
      <c r="C13" s="16">
        <f>(Inputs!$D$184+Inputs!$D$183)*Prices!$P$6/Inputs!$D$8</f>
        <v>4800.1146296030947</v>
      </c>
      <c r="D13" s="16">
        <f>Inputs!$D$18*Prices!$P$6/Inputs!$D$8</f>
        <v>14328.700386874911</v>
      </c>
      <c r="E13" s="16">
        <f>Inputs!$D$6</f>
        <v>0</v>
      </c>
      <c r="F13" s="35">
        <f t="shared" si="0"/>
        <v>34890.385442040417</v>
      </c>
      <c r="G13" s="3" t="s">
        <v>1152</v>
      </c>
    </row>
    <row r="14" spans="1:7" ht="27" customHeight="1" x14ac:dyDescent="0.2">
      <c r="A14" s="3" t="s">
        <v>1147</v>
      </c>
      <c r="B14" s="16">
        <f>(Inputs!$D$185)/Inputs!$D$8</f>
        <v>73300</v>
      </c>
      <c r="C14" s="16">
        <f>(Inputs!$D$179+Inputs!$D$180+Inputs!$D$181+(Inputs!$D$182+Inputs!$D$183)*Prices!$P$6)/Inputs!$D$8</f>
        <v>4529.3394469121649</v>
      </c>
      <c r="D14" s="16">
        <f>Inputs!$D$6</f>
        <v>0</v>
      </c>
      <c r="E14" s="16">
        <f>Inputs!$D$6</f>
        <v>0</v>
      </c>
      <c r="F14" s="16">
        <f t="shared" si="0"/>
        <v>68770.66055308783</v>
      </c>
      <c r="G14" s="3" t="s">
        <v>1153</v>
      </c>
    </row>
    <row r="15" spans="1:7" ht="27" customHeight="1" x14ac:dyDescent="0.2">
      <c r="A15" s="3" t="s">
        <v>1149</v>
      </c>
      <c r="B15" s="16">
        <f>(Inputs!$D$185)/Inputs!$D$8</f>
        <v>73300</v>
      </c>
      <c r="C15" s="16">
        <f>(Inputs!$D$179+Inputs!$D$180+Inputs!$D$181+(Inputs!$D$182+Inputs!$D$183)*Prices!$P$6)/Inputs!$D$8</f>
        <v>4529.3394469121649</v>
      </c>
      <c r="D15" s="16">
        <f>Inputs!$D$18*Prices!$P$6/Inputs!$D$8</f>
        <v>14328.700386874911</v>
      </c>
      <c r="E15" s="16">
        <f>Inputs!$D$6</f>
        <v>0</v>
      </c>
      <c r="F15" s="16">
        <f t="shared" si="0"/>
        <v>54441.960166212921</v>
      </c>
      <c r="G15" s="3" t="s">
        <v>1153</v>
      </c>
    </row>
    <row r="16" spans="1:7" ht="27" customHeight="1" x14ac:dyDescent="0.2">
      <c r="A16" s="3" t="s">
        <v>1150</v>
      </c>
      <c r="B16" s="16">
        <f>(Inputs!$D$185)/Inputs!$D$8</f>
        <v>73300</v>
      </c>
      <c r="C16" s="16">
        <f>(Inputs!$D$184+Inputs!$D$183)*Prices!$P$6/Inputs!$D$8</f>
        <v>4800.1146296030947</v>
      </c>
      <c r="D16" s="16">
        <f>Inputs!$D$6</f>
        <v>0</v>
      </c>
      <c r="E16" s="16">
        <f>Inputs!$D$6</f>
        <v>0</v>
      </c>
      <c r="F16" s="16">
        <f t="shared" si="0"/>
        <v>68499.885370396907</v>
      </c>
      <c r="G16" s="3" t="s">
        <v>1153</v>
      </c>
    </row>
    <row r="17" spans="1:7" ht="27" customHeight="1" x14ac:dyDescent="0.2">
      <c r="A17" s="3" t="s">
        <v>1151</v>
      </c>
      <c r="B17" s="16">
        <f>(Inputs!$D$185)/Inputs!$D$8</f>
        <v>73300</v>
      </c>
      <c r="C17" s="16">
        <f>(Inputs!$D$184+Inputs!$D$183)*Prices!$P$6/Inputs!$D$8</f>
        <v>4800.1146296030947</v>
      </c>
      <c r="D17" s="16">
        <f>Inputs!$D$18*Prices!$P$6/Inputs!$D$8</f>
        <v>14328.700386874911</v>
      </c>
      <c r="E17" s="16">
        <f>Inputs!$D$6</f>
        <v>0</v>
      </c>
      <c r="F17" s="16">
        <f t="shared" si="0"/>
        <v>54171.184983521998</v>
      </c>
      <c r="G17" s="3" t="s">
        <v>1153</v>
      </c>
    </row>
  </sheetData>
  <mergeCells count="2">
    <mergeCell ref="A3:G3"/>
    <mergeCell ref="A2:G2"/>
  </mergeCells>
  <printOptions horizontalCentered="1"/>
  <pageMargins left="0.2" right="0.2" top="0.25" bottom="0.55000000000000004" header="0.5" footer="0.5"/>
  <pageSetup paperSize="8" scale="79"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G21"/>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4" customWidth="1"/>
    <col min="2" max="2" width="31" customWidth="1"/>
    <col min="3" max="3" width="20" customWidth="1"/>
    <col min="4" max="4" width="19" customWidth="1"/>
    <col min="5" max="5" width="42" customWidth="1"/>
    <col min="6" max="6" width="19" customWidth="1"/>
    <col min="7" max="7" width="58" customWidth="1"/>
    <col min="8" max="17" width="19" customWidth="1"/>
  </cols>
  <sheetData>
    <row r="2" spans="1:7" ht="21" customHeight="1" x14ac:dyDescent="0.2">
      <c r="A2" s="103" t="s">
        <v>1154</v>
      </c>
      <c r="B2" s="91"/>
      <c r="C2" s="91"/>
      <c r="D2" s="91"/>
      <c r="E2" s="91"/>
      <c r="F2" s="91"/>
      <c r="G2" s="91"/>
    </row>
    <row r="3" spans="1:7"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row>
    <row r="5" spans="1:7" ht="15" customHeight="1" x14ac:dyDescent="0.2">
      <c r="A5" s="4" t="s">
        <v>1155</v>
      </c>
      <c r="B5" s="4" t="s">
        <v>1156</v>
      </c>
      <c r="C5" s="4" t="s">
        <v>94</v>
      </c>
      <c r="D5" s="4" t="s">
        <v>95</v>
      </c>
      <c r="E5" s="4" t="s">
        <v>801</v>
      </c>
      <c r="F5" s="14" t="s">
        <v>66</v>
      </c>
      <c r="G5" s="14" t="s">
        <v>1157</v>
      </c>
    </row>
    <row r="6" spans="1:7" ht="27" customHeight="1" x14ac:dyDescent="0.2">
      <c r="A6" s="10" t="s">
        <v>1158</v>
      </c>
      <c r="B6" s="2" t="s">
        <v>1159</v>
      </c>
      <c r="C6" s="28">
        <f>Inputs!D39</f>
        <v>46</v>
      </c>
      <c r="D6" s="10" t="s">
        <v>199</v>
      </c>
      <c r="E6" s="3" t="s">
        <v>1160</v>
      </c>
      <c r="F6" s="10" t="s">
        <v>196</v>
      </c>
      <c r="G6" s="3" t="s">
        <v>1161</v>
      </c>
    </row>
    <row r="7" spans="1:7" ht="15" customHeight="1" x14ac:dyDescent="0.2">
      <c r="A7" s="10" t="s">
        <v>1162</v>
      </c>
      <c r="B7" s="2" t="s">
        <v>1163</v>
      </c>
      <c r="C7" s="28">
        <f>Inputs!D40</f>
        <v>865</v>
      </c>
      <c r="D7" s="10" t="s">
        <v>199</v>
      </c>
      <c r="E7" s="3" t="s">
        <v>1164</v>
      </c>
      <c r="F7" s="10" t="s">
        <v>249</v>
      </c>
      <c r="G7" s="3" t="s">
        <v>1165</v>
      </c>
    </row>
    <row r="8" spans="1:7" ht="27" customHeight="1" x14ac:dyDescent="0.2">
      <c r="A8" s="10" t="s">
        <v>839</v>
      </c>
      <c r="B8" s="2" t="s">
        <v>1166</v>
      </c>
      <c r="C8" s="28">
        <f>Inputs!D187</f>
        <v>40</v>
      </c>
      <c r="D8" s="10" t="s">
        <v>199</v>
      </c>
      <c r="E8" s="3" t="s">
        <v>1167</v>
      </c>
      <c r="F8" s="10" t="s">
        <v>587</v>
      </c>
      <c r="G8" s="3" t="s">
        <v>1168</v>
      </c>
    </row>
    <row r="9" spans="1:7" ht="15" customHeight="1" x14ac:dyDescent="0.2">
      <c r="A9" s="10" t="s">
        <v>839</v>
      </c>
      <c r="B9" s="2" t="s">
        <v>1169</v>
      </c>
      <c r="C9" s="28">
        <f>Inputs!D188</f>
        <v>42</v>
      </c>
      <c r="D9" s="10" t="s">
        <v>199</v>
      </c>
      <c r="E9" s="10" t="s">
        <v>1170</v>
      </c>
      <c r="F9" s="10" t="s">
        <v>590</v>
      </c>
      <c r="G9" s="3" t="s">
        <v>1171</v>
      </c>
    </row>
    <row r="10" spans="1:7" ht="15" customHeight="1" x14ac:dyDescent="0.2">
      <c r="A10" s="10" t="s">
        <v>1172</v>
      </c>
      <c r="B10" s="2" t="s">
        <v>1173</v>
      </c>
      <c r="C10" s="28">
        <f>Inputs!D189</f>
        <v>3</v>
      </c>
      <c r="D10" s="10" t="s">
        <v>199</v>
      </c>
      <c r="E10" s="10" t="s">
        <v>1170</v>
      </c>
      <c r="F10" s="10" t="s">
        <v>593</v>
      </c>
      <c r="G10" s="3" t="s">
        <v>1174</v>
      </c>
    </row>
    <row r="11" spans="1:7" ht="27" customHeight="1" x14ac:dyDescent="0.2">
      <c r="A11" s="10" t="s">
        <v>1158</v>
      </c>
      <c r="B11" s="10" t="s">
        <v>1175</v>
      </c>
      <c r="C11" s="28">
        <f>Inputs!D190</f>
        <v>900</v>
      </c>
      <c r="D11" s="10" t="s">
        <v>199</v>
      </c>
      <c r="E11" s="3" t="s">
        <v>1176</v>
      </c>
      <c r="F11" s="10" t="s">
        <v>595</v>
      </c>
      <c r="G11" s="3" t="s">
        <v>1177</v>
      </c>
    </row>
    <row r="12" spans="1:7" ht="15" customHeight="1" x14ac:dyDescent="0.2">
      <c r="A12" s="10" t="s">
        <v>1158</v>
      </c>
      <c r="B12" s="2" t="s">
        <v>1178</v>
      </c>
      <c r="C12" s="28">
        <f>Inputs!D27</f>
        <v>912</v>
      </c>
      <c r="D12" s="10" t="s">
        <v>199</v>
      </c>
      <c r="E12" s="3" t="s">
        <v>1179</v>
      </c>
      <c r="F12" s="10" t="s">
        <v>209</v>
      </c>
      <c r="G12" s="3" t="s">
        <v>1180</v>
      </c>
    </row>
    <row r="13" spans="1:7" ht="15" customHeight="1" x14ac:dyDescent="0.2">
      <c r="A13" s="10" t="s">
        <v>1181</v>
      </c>
      <c r="B13" s="10" t="s">
        <v>1182</v>
      </c>
      <c r="C13" s="28">
        <f>Inputs!D25</f>
        <v>84</v>
      </c>
      <c r="D13" s="10" t="s">
        <v>199</v>
      </c>
      <c r="E13" s="10" t="s">
        <v>1183</v>
      </c>
      <c r="F13" s="10" t="s">
        <v>200</v>
      </c>
      <c r="G13" s="3" t="s">
        <v>1184</v>
      </c>
    </row>
    <row r="14" spans="1:7" ht="15" customHeight="1" x14ac:dyDescent="0.2">
      <c r="A14" s="10" t="s">
        <v>1181</v>
      </c>
      <c r="B14" s="2" t="s">
        <v>1185</v>
      </c>
      <c r="C14" s="28">
        <f>Inputs!D191</f>
        <v>104</v>
      </c>
      <c r="D14" s="10" t="s">
        <v>199</v>
      </c>
      <c r="E14" s="10" t="s">
        <v>1186</v>
      </c>
      <c r="F14" s="10" t="s">
        <v>598</v>
      </c>
      <c r="G14" s="3" t="s">
        <v>1187</v>
      </c>
    </row>
    <row r="15" spans="1:7" ht="15" customHeight="1" x14ac:dyDescent="0.2">
      <c r="A15" s="10" t="s">
        <v>1188</v>
      </c>
      <c r="B15" s="2" t="s">
        <v>1189</v>
      </c>
      <c r="C15" s="28">
        <f>Inputs!D45</f>
        <v>23</v>
      </c>
      <c r="D15" s="10" t="s">
        <v>199</v>
      </c>
      <c r="E15" s="3" t="s">
        <v>1190</v>
      </c>
      <c r="F15" s="10" t="s">
        <v>264</v>
      </c>
      <c r="G15" s="3" t="s">
        <v>1191</v>
      </c>
    </row>
    <row r="16" spans="1:7" ht="15" customHeight="1" x14ac:dyDescent="0.2">
      <c r="A16" s="10" t="s">
        <v>1192</v>
      </c>
      <c r="B16" s="10" t="s">
        <v>1193</v>
      </c>
      <c r="C16" s="28">
        <f>Inputs!D47</f>
        <v>192</v>
      </c>
      <c r="D16" s="10" t="s">
        <v>199</v>
      </c>
      <c r="E16" s="10" t="s">
        <v>1194</v>
      </c>
      <c r="F16" s="10" t="s">
        <v>270</v>
      </c>
      <c r="G16" s="3" t="s">
        <v>863</v>
      </c>
    </row>
    <row r="17" spans="1:7" ht="15" customHeight="1" x14ac:dyDescent="0.2">
      <c r="A17" s="10" t="s">
        <v>1195</v>
      </c>
      <c r="B17" s="10" t="s">
        <v>1196</v>
      </c>
      <c r="C17" s="28">
        <f>Inputs!D48</f>
        <v>206</v>
      </c>
      <c r="D17" s="10" t="s">
        <v>199</v>
      </c>
      <c r="E17" s="10" t="s">
        <v>1194</v>
      </c>
      <c r="F17" s="10" t="s">
        <v>273</v>
      </c>
      <c r="G17" s="3" t="s">
        <v>863</v>
      </c>
    </row>
    <row r="18" spans="1:7" ht="15" customHeight="1" x14ac:dyDescent="0.2">
      <c r="A18" s="10" t="s">
        <v>1197</v>
      </c>
      <c r="B18" s="2" t="s">
        <v>1198</v>
      </c>
      <c r="C18" s="28">
        <f>Inputs!D192</f>
        <v>600</v>
      </c>
      <c r="D18" s="10" t="s">
        <v>199</v>
      </c>
      <c r="E18" s="10" t="s">
        <v>1199</v>
      </c>
      <c r="F18" s="10" t="s">
        <v>601</v>
      </c>
      <c r="G18" s="3" t="s">
        <v>1200</v>
      </c>
    </row>
    <row r="19" spans="1:7" ht="15" customHeight="1" x14ac:dyDescent="0.2">
      <c r="A19" s="10" t="s">
        <v>861</v>
      </c>
      <c r="B19" s="2" t="s">
        <v>1201</v>
      </c>
      <c r="C19" s="28">
        <f>Inputs!D193</f>
        <v>360</v>
      </c>
      <c r="D19" s="10" t="s">
        <v>199</v>
      </c>
      <c r="E19" s="10" t="s">
        <v>1170</v>
      </c>
      <c r="F19" s="10" t="s">
        <v>604</v>
      </c>
      <c r="G19" s="3" t="s">
        <v>1202</v>
      </c>
    </row>
    <row r="20" spans="1:7" ht="27" customHeight="1" x14ac:dyDescent="0.2">
      <c r="A20" s="10" t="s">
        <v>1203</v>
      </c>
      <c r="B20" s="2" t="s">
        <v>1204</v>
      </c>
      <c r="C20" s="28">
        <f>Inputs!D194</f>
        <v>1600</v>
      </c>
      <c r="D20" s="10" t="s">
        <v>199</v>
      </c>
      <c r="E20" s="3" t="s">
        <v>1205</v>
      </c>
      <c r="F20" s="10" t="s">
        <v>501</v>
      </c>
      <c r="G20" s="3" t="s">
        <v>1206</v>
      </c>
    </row>
    <row r="21" spans="1:7" ht="15" customHeight="1" x14ac:dyDescent="0.2">
      <c r="A21" s="10" t="s">
        <v>1207</v>
      </c>
      <c r="B21" s="2" t="s">
        <v>1208</v>
      </c>
      <c r="C21" s="28">
        <f>Inputs!D195</f>
        <v>444</v>
      </c>
      <c r="D21" s="10" t="s">
        <v>199</v>
      </c>
      <c r="E21" s="10" t="s">
        <v>1209</v>
      </c>
      <c r="F21" s="10" t="s">
        <v>608</v>
      </c>
      <c r="G21" s="3" t="s">
        <v>1210</v>
      </c>
    </row>
  </sheetData>
  <mergeCells count="2">
    <mergeCell ref="A3:G3"/>
    <mergeCell ref="A2:G2"/>
  </mergeCells>
  <printOptions horizontalCentered="1"/>
  <pageMargins left="0.2" right="0.2" top="0.25" bottom="0.55000000000000004" header="0.5" footer="0.5"/>
  <pageSetup paperSize="8" scale="70"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O41"/>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1" customWidth="1"/>
    <col min="2" max="2" width="42" customWidth="1"/>
    <col min="3" max="3" width="10" customWidth="1"/>
    <col min="4" max="4" width="15" customWidth="1"/>
    <col min="5" max="5" width="16" customWidth="1"/>
    <col min="6" max="7" width="15" customWidth="1"/>
    <col min="8" max="8" width="13" customWidth="1"/>
    <col min="9" max="9" width="16" customWidth="1"/>
    <col min="10" max="10" width="17" customWidth="1"/>
    <col min="11" max="12" width="13" customWidth="1"/>
    <col min="13" max="13" width="17" customWidth="1"/>
    <col min="14" max="14" width="15" customWidth="1"/>
    <col min="15" max="15" width="16" customWidth="1"/>
    <col min="16" max="17" width="19" customWidth="1"/>
  </cols>
  <sheetData>
    <row r="2" spans="1:15" ht="21" customHeight="1" x14ac:dyDescent="0.2">
      <c r="A2" s="103" t="s">
        <v>1211</v>
      </c>
      <c r="B2" s="91"/>
      <c r="C2" s="91"/>
      <c r="D2" s="91"/>
      <c r="E2" s="91"/>
      <c r="F2" s="91"/>
      <c r="G2" s="91"/>
      <c r="H2" s="91"/>
      <c r="I2" s="91"/>
      <c r="J2" s="91"/>
      <c r="K2" s="91"/>
      <c r="L2" s="91"/>
      <c r="M2" s="91"/>
      <c r="N2" s="91"/>
      <c r="O2" s="91"/>
    </row>
    <row r="3" spans="1:15"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c r="L3" s="91"/>
      <c r="M3" s="91"/>
      <c r="N3" s="91"/>
      <c r="O3" s="91"/>
    </row>
    <row r="5" spans="1:15" ht="27" customHeight="1" x14ac:dyDescent="0.2">
      <c r="A5" s="4" t="s">
        <v>1212</v>
      </c>
      <c r="B5" s="4" t="s">
        <v>1213</v>
      </c>
      <c r="C5" s="4" t="s">
        <v>1214</v>
      </c>
      <c r="D5" s="4" t="s">
        <v>1215</v>
      </c>
      <c r="E5" s="4" t="s">
        <v>1216</v>
      </c>
      <c r="F5" s="4" t="s">
        <v>1217</v>
      </c>
      <c r="G5" s="4" t="s">
        <v>1218</v>
      </c>
      <c r="H5" s="4" t="s">
        <v>199</v>
      </c>
      <c r="I5" s="4" t="s">
        <v>1219</v>
      </c>
      <c r="J5" s="4" t="s">
        <v>1220</v>
      </c>
      <c r="K5" s="5" t="s">
        <v>1221</v>
      </c>
      <c r="L5" s="4" t="s">
        <v>1222</v>
      </c>
      <c r="M5" s="4" t="s">
        <v>1223</v>
      </c>
      <c r="N5" s="4" t="s">
        <v>1224</v>
      </c>
      <c r="O5" s="4" t="s">
        <v>1225</v>
      </c>
    </row>
    <row r="6" spans="1:15" ht="51" customHeight="1" x14ac:dyDescent="0.2">
      <c r="A6" s="10" t="s">
        <v>1226</v>
      </c>
      <c r="B6" s="3" t="s">
        <v>1227</v>
      </c>
      <c r="C6" s="10" t="s">
        <v>871</v>
      </c>
      <c r="D6" s="16">
        <f>Inputs!$D$202*Inputs!$D$203/Inputs!$D$8</f>
        <v>45270.124292159999</v>
      </c>
      <c r="E6" s="16">
        <f>(Inputs!$D$204+Inputs!$D$200)/Inputs!$D$8</f>
        <v>35289</v>
      </c>
      <c r="F6" s="16">
        <f>Inputs!$D$205/Inputs!$D$8</f>
        <v>5524</v>
      </c>
      <c r="G6" s="16">
        <f>D6+E6-F6</f>
        <v>75035.124292160006</v>
      </c>
      <c r="H6" s="16">
        <f>Inputs!$D$207</f>
        <v>1500</v>
      </c>
      <c r="I6" s="28">
        <f>G6/H6</f>
        <v>50.02341619477334</v>
      </c>
      <c r="J6" s="16">
        <f>Inputs!$D$206/Inputs!$D$8*Inputs!$D$199</f>
        <v>10300</v>
      </c>
      <c r="K6" s="16">
        <f>G6/J6</f>
        <v>7.2849635235106804</v>
      </c>
      <c r="L6" s="36" t="s">
        <v>1228</v>
      </c>
      <c r="M6" s="3" t="s">
        <v>1229</v>
      </c>
      <c r="N6" s="16">
        <f>E6-F6</f>
        <v>29765</v>
      </c>
    </row>
    <row r="7" spans="1:15" ht="51" customHeight="1" x14ac:dyDescent="0.2">
      <c r="A7" s="10" t="s">
        <v>1230</v>
      </c>
      <c r="B7" s="3" t="s">
        <v>1231</v>
      </c>
      <c r="C7" s="10" t="s">
        <v>871</v>
      </c>
      <c r="D7" s="16">
        <f>Inputs!$D$212*Inputs!$D$213/Inputs!$D$8</f>
        <v>60099.033043259995</v>
      </c>
      <c r="E7" s="16">
        <f>(Inputs!$D$214+Inputs!$D$6)/Inputs!$D$8</f>
        <v>8545.7000000000007</v>
      </c>
      <c r="F7" s="16">
        <f>Inputs!$D$215/Inputs!$D$8</f>
        <v>8042.1</v>
      </c>
      <c r="G7" s="16">
        <f>D7+E7-F7</f>
        <v>60602.633043260001</v>
      </c>
      <c r="H7" s="28">
        <f>Inputs!$D$217</f>
        <v>170</v>
      </c>
      <c r="I7" s="28">
        <f>G7/H7</f>
        <v>356.48607672505881</v>
      </c>
      <c r="J7" s="16">
        <f>Inputs!$D$216/Inputs!$D$8*Inputs!$D$199</f>
        <v>2329.1999999999998</v>
      </c>
      <c r="K7" s="16">
        <f>G7/J7</f>
        <v>26.018647193568608</v>
      </c>
      <c r="L7" s="37" t="s">
        <v>1232</v>
      </c>
      <c r="M7" s="3" t="s">
        <v>1229</v>
      </c>
      <c r="N7" s="16">
        <f>E7-F7</f>
        <v>503.60000000000036</v>
      </c>
    </row>
    <row r="8" spans="1:15" ht="51" customHeight="1" x14ac:dyDescent="0.2">
      <c r="A8" s="10" t="s">
        <v>1233</v>
      </c>
      <c r="B8" s="3" t="s">
        <v>1234</v>
      </c>
      <c r="C8" s="10" t="s">
        <v>871</v>
      </c>
      <c r="D8" s="16">
        <f>Inputs!$D$222*Inputs!$D$223/Inputs!$D$8</f>
        <v>13866.92382312</v>
      </c>
      <c r="E8" s="16">
        <f>(Inputs!$D$224+Inputs!$D$201)/Inputs!$D$8</f>
        <v>7836.8</v>
      </c>
      <c r="F8" s="16">
        <f>Inputs!$D$225/Inputs!$D$8</f>
        <v>5895.6</v>
      </c>
      <c r="G8" s="16">
        <f>D8+E8-F8</f>
        <v>15808.123823119999</v>
      </c>
      <c r="H8" s="10" t="s">
        <v>81</v>
      </c>
      <c r="I8" s="10" t="s">
        <v>81</v>
      </c>
      <c r="J8" s="16">
        <f>Inputs!$D$226/Inputs!$D$8</f>
        <v>707</v>
      </c>
      <c r="K8" s="16">
        <f>G8/J8</f>
        <v>22.35943963666195</v>
      </c>
      <c r="L8" s="10" t="s">
        <v>1235</v>
      </c>
      <c r="M8" s="3" t="s">
        <v>1236</v>
      </c>
      <c r="N8" s="16">
        <f>E8-F8</f>
        <v>1941.1999999999998</v>
      </c>
    </row>
    <row r="10" spans="1:15" ht="27" customHeight="1" x14ac:dyDescent="0.2">
      <c r="A10" s="10" t="s">
        <v>1226</v>
      </c>
      <c r="B10" s="3" t="s">
        <v>1237</v>
      </c>
      <c r="H10" s="28">
        <f>Inputs!$D$208</f>
        <v>3700</v>
      </c>
      <c r="I10" s="28">
        <f>G6/H10</f>
        <v>20.279763322205408</v>
      </c>
    </row>
    <row r="11" spans="1:15" ht="27" customHeight="1" x14ac:dyDescent="0.2">
      <c r="A11" s="10" t="s">
        <v>1226</v>
      </c>
      <c r="B11" s="3" t="s">
        <v>1238</v>
      </c>
      <c r="K11" s="30">
        <f>Inputs!$D$211/Inputs!$D$206</f>
        <v>0.58640776699029129</v>
      </c>
    </row>
    <row r="12" spans="1:15" ht="27" customHeight="1" x14ac:dyDescent="0.2">
      <c r="A12" s="10" t="s">
        <v>1239</v>
      </c>
      <c r="B12" s="3" t="s">
        <v>1240</v>
      </c>
      <c r="C12" s="10" t="s">
        <v>176</v>
      </c>
      <c r="D12" s="16">
        <f>Inputs!$D$232*Inputs!$D$233/Inputs!$D$8</f>
        <v>7886.2658590699994</v>
      </c>
      <c r="E12" s="10" t="s">
        <v>81</v>
      </c>
      <c r="F12" s="10" t="s">
        <v>81</v>
      </c>
      <c r="G12" s="10" t="s">
        <v>81</v>
      </c>
      <c r="I12" s="10" t="s">
        <v>81</v>
      </c>
      <c r="J12" s="16">
        <f>Inputs!$D$237/Inputs!$D$8</f>
        <v>405</v>
      </c>
      <c r="K12" s="10" t="s">
        <v>81</v>
      </c>
    </row>
    <row r="14" spans="1:15" ht="27" customHeight="1" x14ac:dyDescent="0.2">
      <c r="A14" s="10" t="s">
        <v>1241</v>
      </c>
      <c r="B14" s="3" t="s">
        <v>1242</v>
      </c>
      <c r="C14" s="10" t="s">
        <v>176</v>
      </c>
      <c r="D14" s="38" t="s">
        <v>81</v>
      </c>
      <c r="G14" s="16">
        <f>Inputs!$D$238/Inputs!$D$8</f>
        <v>24000</v>
      </c>
      <c r="H14" s="16">
        <f>Inputs!$D$239</f>
        <v>800</v>
      </c>
      <c r="I14" s="28">
        <f>G14/H14</f>
        <v>30</v>
      </c>
      <c r="L14" s="39" t="s">
        <v>1243</v>
      </c>
      <c r="M14" s="39" t="s">
        <v>1243</v>
      </c>
    </row>
    <row r="16" spans="1:15" ht="15" customHeight="1" x14ac:dyDescent="0.2">
      <c r="A16" s="10" t="s">
        <v>1244</v>
      </c>
      <c r="B16" s="3" t="s">
        <v>1245</v>
      </c>
      <c r="C16" s="10" t="s">
        <v>176</v>
      </c>
      <c r="D16" s="16">
        <f>Inputs!$D$240/Inputs!$D$8</f>
        <v>18450</v>
      </c>
      <c r="E16" s="10" t="s">
        <v>81</v>
      </c>
      <c r="F16" s="10" t="s">
        <v>81</v>
      </c>
      <c r="G16" s="10" t="s">
        <v>81</v>
      </c>
      <c r="H16" s="16">
        <f>Inputs!$D$241</f>
        <v>350</v>
      </c>
      <c r="I16" s="10" t="s">
        <v>81</v>
      </c>
      <c r="K16" s="10" t="s">
        <v>81</v>
      </c>
      <c r="L16" s="40" t="s">
        <v>1246</v>
      </c>
      <c r="M16" s="41" t="s">
        <v>1247</v>
      </c>
      <c r="N16" s="10" t="s">
        <v>81</v>
      </c>
      <c r="O16" s="28">
        <f>D16/H16</f>
        <v>52.714285714285715</v>
      </c>
    </row>
    <row r="17" spans="1:15" ht="15" customHeight="1" x14ac:dyDescent="0.2">
      <c r="A17" s="10" t="s">
        <v>1244</v>
      </c>
      <c r="B17" s="3" t="s">
        <v>1248</v>
      </c>
      <c r="C17" s="10" t="s">
        <v>176</v>
      </c>
      <c r="D17" s="16">
        <f>Inputs!$D$240/Inputs!$D$8</f>
        <v>18450</v>
      </c>
      <c r="E17" s="10" t="s">
        <v>81</v>
      </c>
      <c r="F17" s="10" t="s">
        <v>81</v>
      </c>
      <c r="G17" s="10" t="s">
        <v>81</v>
      </c>
      <c r="H17" s="16">
        <f>Inputs!$D$242</f>
        <v>1100</v>
      </c>
      <c r="I17" s="10" t="s">
        <v>81</v>
      </c>
      <c r="K17" s="10" t="s">
        <v>81</v>
      </c>
      <c r="L17" s="40" t="s">
        <v>1246</v>
      </c>
      <c r="M17" s="41" t="s">
        <v>1247</v>
      </c>
      <c r="N17" s="10" t="s">
        <v>81</v>
      </c>
      <c r="O17" s="28">
        <f>D17/H17</f>
        <v>16.772727272727273</v>
      </c>
    </row>
    <row r="20" spans="1:15" ht="15" customHeight="1" x14ac:dyDescent="0.2">
      <c r="A20" s="4" t="s">
        <v>1249</v>
      </c>
      <c r="B20" s="4" t="s">
        <v>801</v>
      </c>
      <c r="C20" s="4" t="s">
        <v>1214</v>
      </c>
      <c r="D20" s="4" t="s">
        <v>94</v>
      </c>
      <c r="E20" s="4" t="s">
        <v>95</v>
      </c>
    </row>
    <row r="21" spans="1:15" ht="27" customHeight="1" x14ac:dyDescent="0.2">
      <c r="A21" s="10" t="s">
        <v>1250</v>
      </c>
      <c r="B21" s="3" t="s">
        <v>1251</v>
      </c>
      <c r="C21" s="10" t="s">
        <v>871</v>
      </c>
      <c r="D21" s="28">
        <f>Inputs!$D$257/Inputs!$D$8/Inputs!$D$258</f>
        <v>29</v>
      </c>
      <c r="E21" s="3" t="s">
        <v>1252</v>
      </c>
    </row>
    <row r="22" spans="1:15" ht="27" customHeight="1" x14ac:dyDescent="0.2">
      <c r="A22" s="10" t="s">
        <v>1250</v>
      </c>
      <c r="B22" s="3" t="s">
        <v>1253</v>
      </c>
      <c r="C22" s="10" t="s">
        <v>871</v>
      </c>
      <c r="D22" s="28">
        <f>Inputs!$D$259/Inputs!$D$8/Inputs!$D$258</f>
        <v>9.6999999999999993</v>
      </c>
      <c r="E22" s="3" t="s">
        <v>1254</v>
      </c>
    </row>
    <row r="25" spans="1:15" ht="27" customHeight="1" x14ac:dyDescent="0.2">
      <c r="A25" s="4" t="s">
        <v>1212</v>
      </c>
      <c r="B25" s="4" t="s">
        <v>1213</v>
      </c>
      <c r="C25" s="4" t="s">
        <v>1214</v>
      </c>
      <c r="D25" s="4" t="s">
        <v>1215</v>
      </c>
      <c r="E25" s="4" t="s">
        <v>1216</v>
      </c>
      <c r="F25" s="4" t="s">
        <v>1217</v>
      </c>
      <c r="G25" s="4" t="s">
        <v>1218</v>
      </c>
      <c r="H25" s="4" t="s">
        <v>199</v>
      </c>
      <c r="I25" s="4" t="s">
        <v>1219</v>
      </c>
      <c r="J25" s="4" t="s">
        <v>1220</v>
      </c>
      <c r="K25" s="5" t="s">
        <v>1221</v>
      </c>
      <c r="L25" s="4" t="s">
        <v>1222</v>
      </c>
      <c r="M25" s="4" t="s">
        <v>1223</v>
      </c>
      <c r="N25" s="4" t="s">
        <v>1224</v>
      </c>
      <c r="O25" s="4" t="s">
        <v>1225</v>
      </c>
    </row>
    <row r="26" spans="1:15" ht="39" customHeight="1" x14ac:dyDescent="0.2">
      <c r="A26" s="10" t="s">
        <v>1255</v>
      </c>
      <c r="B26" s="3" t="s">
        <v>1256</v>
      </c>
      <c r="C26" s="10" t="s">
        <v>176</v>
      </c>
      <c r="D26" s="16">
        <f>Prices!I6</f>
        <v>43700</v>
      </c>
      <c r="G26" s="16">
        <f t="shared" ref="G26:G41" si="0">D26</f>
        <v>43700</v>
      </c>
      <c r="H26" s="16">
        <f>Inputs!$D$27</f>
        <v>912</v>
      </c>
      <c r="I26" s="28">
        <f>D26/Inputs!$D$27</f>
        <v>47.916666666666664</v>
      </c>
      <c r="J26" s="16">
        <f>Inputs!$D$155*Prices!$P$6/Inputs!$D$8</f>
        <v>72.789797965324553</v>
      </c>
      <c r="K26" s="16">
        <f>D26/(Inputs!$D$155*Prices!$P$6/Inputs!$D$8)</f>
        <v>600.35885826771653</v>
      </c>
      <c r="L26" s="42" t="s">
        <v>1257</v>
      </c>
      <c r="M26" s="3" t="s">
        <v>1258</v>
      </c>
    </row>
    <row r="27" spans="1:15" ht="39" customHeight="1" x14ac:dyDescent="0.2">
      <c r="A27" s="10" t="s">
        <v>1255</v>
      </c>
      <c r="B27" s="3" t="s">
        <v>1259</v>
      </c>
      <c r="C27" s="10" t="s">
        <v>176</v>
      </c>
      <c r="D27" s="16">
        <f>Prices!I7</f>
        <v>35754.545454545456</v>
      </c>
      <c r="G27" s="16">
        <f t="shared" si="0"/>
        <v>35754.545454545456</v>
      </c>
      <c r="H27" s="16">
        <f>Inputs!$D$27</f>
        <v>912</v>
      </c>
      <c r="I27" s="28">
        <f>D27/Inputs!$D$27</f>
        <v>39.204545454545453</v>
      </c>
      <c r="J27" s="16">
        <f>Inputs!$D$155*Prices!$P$6/Inputs!$D$8</f>
        <v>72.789797965324553</v>
      </c>
      <c r="K27" s="16">
        <f>D27/(Inputs!$D$155*Prices!$P$6/Inputs!$D$8)</f>
        <v>491.20270221904076</v>
      </c>
      <c r="L27" s="42" t="s">
        <v>1257</v>
      </c>
      <c r="M27" s="3" t="s">
        <v>1258</v>
      </c>
    </row>
    <row r="28" spans="1:15" ht="39" customHeight="1" x14ac:dyDescent="0.2">
      <c r="A28" s="10" t="s">
        <v>1255</v>
      </c>
      <c r="B28" s="3" t="s">
        <v>1260</v>
      </c>
      <c r="C28" s="10" t="s">
        <v>176</v>
      </c>
      <c r="D28" s="16">
        <f>Prices!I8</f>
        <v>32775</v>
      </c>
      <c r="G28" s="16">
        <f t="shared" si="0"/>
        <v>32775</v>
      </c>
      <c r="H28" s="16">
        <f>Inputs!$D$27</f>
        <v>912</v>
      </c>
      <c r="I28" s="28">
        <f>D28/Inputs!$D$27</f>
        <v>35.9375</v>
      </c>
      <c r="J28" s="16">
        <f>Inputs!$D$155*Prices!$P$6/Inputs!$D$8</f>
        <v>72.789797965324553</v>
      </c>
      <c r="K28" s="16">
        <f>D28/(Inputs!$D$155*Prices!$P$6/Inputs!$D$8)</f>
        <v>450.26914370078737</v>
      </c>
      <c r="L28" s="42" t="s">
        <v>1257</v>
      </c>
      <c r="M28" s="3" t="s">
        <v>1258</v>
      </c>
    </row>
    <row r="29" spans="1:15" ht="39" customHeight="1" x14ac:dyDescent="0.2">
      <c r="A29" s="10" t="s">
        <v>1255</v>
      </c>
      <c r="B29" s="3" t="s">
        <v>1261</v>
      </c>
      <c r="C29" s="10" t="s">
        <v>176</v>
      </c>
      <c r="D29" s="16">
        <f>Prices!I9</f>
        <v>21850</v>
      </c>
      <c r="G29" s="16">
        <f t="shared" si="0"/>
        <v>21850</v>
      </c>
      <c r="H29" s="16">
        <f>Inputs!$D$27</f>
        <v>912</v>
      </c>
      <c r="I29" s="28">
        <f>D29/Inputs!$D$27</f>
        <v>23.958333333333332</v>
      </c>
      <c r="J29" s="16">
        <f>Inputs!$D$155*Prices!$P$6/Inputs!$D$8</f>
        <v>72.789797965324553</v>
      </c>
      <c r="K29" s="16">
        <f>D29/(Inputs!$D$155*Prices!$P$6/Inputs!$D$8)</f>
        <v>300.17942913385826</v>
      </c>
      <c r="L29" s="42" t="s">
        <v>1257</v>
      </c>
      <c r="M29" s="3" t="s">
        <v>1258</v>
      </c>
    </row>
    <row r="30" spans="1:15" ht="39" customHeight="1" x14ac:dyDescent="0.2">
      <c r="A30" s="10" t="s">
        <v>1255</v>
      </c>
      <c r="B30" s="3" t="s">
        <v>1262</v>
      </c>
      <c r="C30" s="10" t="s">
        <v>176</v>
      </c>
      <c r="D30" s="16">
        <f>Prices!I10</f>
        <v>1850</v>
      </c>
      <c r="G30" s="16">
        <f t="shared" si="0"/>
        <v>1850</v>
      </c>
      <c r="H30" s="16">
        <f>Inputs!$D$27</f>
        <v>912</v>
      </c>
      <c r="I30" s="28">
        <f>D30/Inputs!$D$27</f>
        <v>2.0285087719298245</v>
      </c>
      <c r="J30" s="16">
        <f>Inputs!$D$155*Prices!$P$6/Inputs!$D$8</f>
        <v>72.789797965324553</v>
      </c>
      <c r="K30" s="16">
        <f>D30/(Inputs!$D$155*Prices!$P$6/Inputs!$D$8)</f>
        <v>25.415649606299208</v>
      </c>
      <c r="L30" s="42" t="s">
        <v>1257</v>
      </c>
      <c r="M30" s="3" t="s">
        <v>1258</v>
      </c>
    </row>
    <row r="31" spans="1:15" ht="39" customHeight="1" x14ac:dyDescent="0.2">
      <c r="A31" s="10" t="s">
        <v>1255</v>
      </c>
      <c r="B31" s="3" t="s">
        <v>1263</v>
      </c>
      <c r="C31" s="10" t="s">
        <v>176</v>
      </c>
      <c r="D31" s="16">
        <f>Prices!I11</f>
        <v>6000</v>
      </c>
      <c r="G31" s="16">
        <f t="shared" si="0"/>
        <v>6000</v>
      </c>
      <c r="H31" s="16">
        <f>Inputs!$D$27</f>
        <v>912</v>
      </c>
      <c r="I31" s="28">
        <f>D31/Inputs!$D$27</f>
        <v>6.5789473684210522</v>
      </c>
      <c r="J31" s="16">
        <f>Inputs!$D$155*Prices!$P$6/Inputs!$D$8</f>
        <v>72.789797965324553</v>
      </c>
      <c r="K31" s="16">
        <f>D31/(Inputs!$D$155*Prices!$P$6/Inputs!$D$8)</f>
        <v>82.429133858267704</v>
      </c>
      <c r="L31" s="42" t="s">
        <v>1257</v>
      </c>
      <c r="M31" s="3" t="s">
        <v>1258</v>
      </c>
    </row>
    <row r="32" spans="1:15" ht="39" customHeight="1" x14ac:dyDescent="0.2">
      <c r="A32" s="10" t="s">
        <v>1255</v>
      </c>
      <c r="B32" s="3" t="s">
        <v>1264</v>
      </c>
      <c r="C32" s="10" t="s">
        <v>176</v>
      </c>
      <c r="D32" s="16">
        <f>Prices!I12</f>
        <v>7880.7852127812012</v>
      </c>
      <c r="G32" s="16">
        <f t="shared" si="0"/>
        <v>7880.7852127812012</v>
      </c>
      <c r="H32" s="16">
        <f>Inputs!$D$27</f>
        <v>912</v>
      </c>
      <c r="I32" s="28">
        <f>D32/Inputs!$D$27</f>
        <v>8.6412118561197389</v>
      </c>
      <c r="J32" s="16">
        <f>Inputs!$D$155*Prices!$P$6/Inputs!$D$8</f>
        <v>72.789797965324553</v>
      </c>
      <c r="K32" s="16">
        <f>D32/(Inputs!$D$155*Prices!$P$6/Inputs!$D$8)</f>
        <v>108.26771653543307</v>
      </c>
      <c r="L32" s="42" t="s">
        <v>1257</v>
      </c>
      <c r="M32" s="3" t="s">
        <v>1258</v>
      </c>
    </row>
    <row r="33" spans="1:13" ht="39" customHeight="1" x14ac:dyDescent="0.2">
      <c r="A33" s="10" t="s">
        <v>1255</v>
      </c>
      <c r="B33" s="3" t="s">
        <v>1265</v>
      </c>
      <c r="C33" s="10" t="s">
        <v>176</v>
      </c>
      <c r="D33" s="16">
        <f>Prices!I13</f>
        <v>15045.135406218656</v>
      </c>
      <c r="G33" s="16">
        <f t="shared" si="0"/>
        <v>15045.135406218656</v>
      </c>
      <c r="H33" s="16">
        <f>Inputs!$D$27</f>
        <v>912</v>
      </c>
      <c r="I33" s="28">
        <f>D33/Inputs!$D$27</f>
        <v>16.496858998046772</v>
      </c>
      <c r="J33" s="16">
        <f>Inputs!$D$155*Prices!$P$6/Inputs!$D$8</f>
        <v>72.789797965324553</v>
      </c>
      <c r="K33" s="16">
        <f>D33/(Inputs!$D$155*Prices!$P$6/Inputs!$D$8)</f>
        <v>206.69291338582676</v>
      </c>
      <c r="L33" s="42" t="s">
        <v>1257</v>
      </c>
      <c r="M33" s="3" t="s">
        <v>1258</v>
      </c>
    </row>
    <row r="34" spans="1:13" ht="39" customHeight="1" x14ac:dyDescent="0.2">
      <c r="A34" s="10" t="s">
        <v>1255</v>
      </c>
      <c r="B34" s="3" t="s">
        <v>1266</v>
      </c>
      <c r="C34" s="10" t="s">
        <v>176</v>
      </c>
      <c r="D34" s="16">
        <f>Prices!I14</f>
        <v>15500</v>
      </c>
      <c r="G34" s="16">
        <f t="shared" si="0"/>
        <v>15500</v>
      </c>
      <c r="H34" s="16">
        <f>Inputs!$D$27</f>
        <v>912</v>
      </c>
      <c r="I34" s="28">
        <f>D34/Inputs!$D$27</f>
        <v>16.995614035087719</v>
      </c>
      <c r="J34" s="16">
        <f>Inputs!$D$155*Prices!$P$6/Inputs!$D$8</f>
        <v>72.789797965324553</v>
      </c>
      <c r="K34" s="16">
        <f>D34/(Inputs!$D$155*Prices!$P$6/Inputs!$D$8)</f>
        <v>212.94192913385825</v>
      </c>
      <c r="L34" s="42" t="s">
        <v>1257</v>
      </c>
      <c r="M34" s="3" t="s">
        <v>1258</v>
      </c>
    </row>
    <row r="35" spans="1:13" ht="39" customHeight="1" x14ac:dyDescent="0.2">
      <c r="A35" s="10" t="s">
        <v>1255</v>
      </c>
      <c r="B35" s="3" t="s">
        <v>1267</v>
      </c>
      <c r="C35" s="10" t="s">
        <v>176</v>
      </c>
      <c r="D35" s="16">
        <f>Prices!I15</f>
        <v>43845.82318383723</v>
      </c>
      <c r="G35" s="16">
        <f t="shared" si="0"/>
        <v>43845.82318383723</v>
      </c>
      <c r="H35" s="16">
        <f>Inputs!$D$27</f>
        <v>912</v>
      </c>
      <c r="I35" s="28">
        <f>D35/Inputs!$D$27</f>
        <v>48.076560508593452</v>
      </c>
      <c r="J35" s="16">
        <f>Inputs!$D$155*Prices!$P$6/Inputs!$D$8</f>
        <v>72.789797965324553</v>
      </c>
      <c r="K35" s="16">
        <f>D35/(Inputs!$D$155*Prices!$P$6/Inputs!$D$8)</f>
        <v>602.36220472440948</v>
      </c>
      <c r="L35" s="42" t="s">
        <v>1257</v>
      </c>
      <c r="M35" s="3" t="s">
        <v>1258</v>
      </c>
    </row>
    <row r="36" spans="1:13" ht="39" customHeight="1" x14ac:dyDescent="0.2">
      <c r="A36" s="10" t="s">
        <v>1255</v>
      </c>
      <c r="B36" s="3" t="s">
        <v>1268</v>
      </c>
      <c r="C36" s="10" t="s">
        <v>176</v>
      </c>
      <c r="D36" s="16">
        <f>Prices!I16</f>
        <v>43415.962172230982</v>
      </c>
      <c r="G36" s="16">
        <f t="shared" si="0"/>
        <v>43415.962172230982</v>
      </c>
      <c r="H36" s="16">
        <f>Inputs!$D$27</f>
        <v>912</v>
      </c>
      <c r="I36" s="28">
        <f>D36/Inputs!$D$27</f>
        <v>47.605221680077833</v>
      </c>
      <c r="J36" s="16">
        <f>Inputs!$D$155*Prices!$P$6/Inputs!$D$8</f>
        <v>72.789797965324553</v>
      </c>
      <c r="K36" s="16">
        <f>D36/(Inputs!$D$155*Prices!$P$6/Inputs!$D$8)</f>
        <v>596.45669291338584</v>
      </c>
      <c r="L36" s="42" t="s">
        <v>1257</v>
      </c>
      <c r="M36" s="3" t="s">
        <v>1258</v>
      </c>
    </row>
    <row r="37" spans="1:13" ht="39" customHeight="1" x14ac:dyDescent="0.2">
      <c r="A37" s="10" t="s">
        <v>1255</v>
      </c>
      <c r="B37" s="3" t="s">
        <v>1269</v>
      </c>
      <c r="C37" s="10" t="s">
        <v>176</v>
      </c>
      <c r="D37" s="16">
        <f>Prices!I17</f>
        <v>43559.249176099729</v>
      </c>
      <c r="G37" s="16">
        <f t="shared" si="0"/>
        <v>43559.249176099729</v>
      </c>
      <c r="H37" s="16">
        <f>Inputs!$D$27</f>
        <v>912</v>
      </c>
      <c r="I37" s="28">
        <f>D37/Inputs!$D$27</f>
        <v>47.76233462291637</v>
      </c>
      <c r="J37" s="16">
        <f>Inputs!$D$155*Prices!$P$6/Inputs!$D$8</f>
        <v>72.789797965324553</v>
      </c>
      <c r="K37" s="16">
        <f>D37/(Inputs!$D$155*Prices!$P$6/Inputs!$D$8)</f>
        <v>598.4251968503936</v>
      </c>
      <c r="L37" s="42" t="s">
        <v>1257</v>
      </c>
      <c r="M37" s="3" t="s">
        <v>1258</v>
      </c>
    </row>
    <row r="38" spans="1:13" ht="39" customHeight="1" x14ac:dyDescent="0.2">
      <c r="A38" s="10" t="s">
        <v>1255</v>
      </c>
      <c r="B38" s="3" t="s">
        <v>1270</v>
      </c>
      <c r="C38" s="10" t="s">
        <v>176</v>
      </c>
      <c r="D38" s="16">
        <f>Prices!I18</f>
        <v>43100</v>
      </c>
      <c r="G38" s="16">
        <f t="shared" si="0"/>
        <v>43100</v>
      </c>
      <c r="H38" s="16">
        <f>Inputs!$D$27</f>
        <v>912</v>
      </c>
      <c r="I38" s="28">
        <f>D38/Inputs!$D$27</f>
        <v>47.258771929824562</v>
      </c>
      <c r="J38" s="16">
        <f>Inputs!$D$155*Prices!$P$6/Inputs!$D$8</f>
        <v>72.789797965324553</v>
      </c>
      <c r="K38" s="16">
        <f>D38/(Inputs!$D$155*Prices!$P$6/Inputs!$D$8)</f>
        <v>592.11594488188973</v>
      </c>
      <c r="L38" s="42" t="s">
        <v>1257</v>
      </c>
      <c r="M38" s="3" t="s">
        <v>1258</v>
      </c>
    </row>
    <row r="39" spans="1:13" ht="39" customHeight="1" x14ac:dyDescent="0.2">
      <c r="A39" s="10" t="s">
        <v>1255</v>
      </c>
      <c r="B39" s="3" t="s">
        <v>1271</v>
      </c>
      <c r="C39" s="10" t="s">
        <v>176</v>
      </c>
      <c r="D39" s="16">
        <f>Prices!I19</f>
        <v>30000</v>
      </c>
      <c r="G39" s="16">
        <f t="shared" si="0"/>
        <v>30000</v>
      </c>
      <c r="H39" s="16">
        <f>Inputs!$D$27</f>
        <v>912</v>
      </c>
      <c r="I39" s="28">
        <f>D39/Inputs!$D$27</f>
        <v>32.89473684210526</v>
      </c>
      <c r="J39" s="16">
        <f>Inputs!$D$155*Prices!$P$6/Inputs!$D$8</f>
        <v>72.789797965324553</v>
      </c>
      <c r="K39" s="16">
        <f>D39/(Inputs!$D$155*Prices!$P$6/Inputs!$D$8)</f>
        <v>412.14566929133855</v>
      </c>
      <c r="L39" s="42" t="s">
        <v>1257</v>
      </c>
      <c r="M39" s="3" t="s">
        <v>1258</v>
      </c>
    </row>
    <row r="40" spans="1:13" ht="39" customHeight="1" x14ac:dyDescent="0.2">
      <c r="A40" s="10" t="s">
        <v>1255</v>
      </c>
      <c r="B40" s="3" t="s">
        <v>1272</v>
      </c>
      <c r="C40" s="10" t="s">
        <v>176</v>
      </c>
      <c r="D40" s="16">
        <f>Prices!I20</f>
        <v>28657.400773749821</v>
      </c>
      <c r="G40" s="16">
        <f t="shared" si="0"/>
        <v>28657.400773749821</v>
      </c>
      <c r="H40" s="16">
        <f>Inputs!$D$27</f>
        <v>912</v>
      </c>
      <c r="I40" s="28">
        <f>D40/Inputs!$D$27</f>
        <v>31.422588567708136</v>
      </c>
      <c r="J40" s="16">
        <f>Inputs!$D$155*Prices!$P$6/Inputs!$D$8</f>
        <v>72.789797965324553</v>
      </c>
      <c r="K40" s="16">
        <f>D40/(Inputs!$D$155*Prices!$P$6/Inputs!$D$8)</f>
        <v>393.70078740157476</v>
      </c>
      <c r="L40" s="42" t="s">
        <v>1257</v>
      </c>
      <c r="M40" s="3" t="s">
        <v>1258</v>
      </c>
    </row>
    <row r="41" spans="1:13" ht="39" customHeight="1" x14ac:dyDescent="0.2">
      <c r="A41" s="10" t="s">
        <v>1255</v>
      </c>
      <c r="B41" s="3" t="s">
        <v>1273</v>
      </c>
      <c r="C41" s="10" t="s">
        <v>176</v>
      </c>
      <c r="D41" s="16">
        <f>Prices!I21</f>
        <v>35821.750967187276</v>
      </c>
      <c r="G41" s="16">
        <f t="shared" si="0"/>
        <v>35821.750967187276</v>
      </c>
      <c r="H41" s="16">
        <f>Inputs!$D$27</f>
        <v>912</v>
      </c>
      <c r="I41" s="28">
        <f>D41/Inputs!$D$27</f>
        <v>39.278235709635169</v>
      </c>
      <c r="J41" s="16">
        <f>Inputs!$D$155*Prices!$P$6/Inputs!$D$8</f>
        <v>72.789797965324553</v>
      </c>
      <c r="K41" s="16">
        <f>D41/(Inputs!$D$155*Prices!$P$6/Inputs!$D$8)</f>
        <v>492.12598425196848</v>
      </c>
      <c r="L41" s="42" t="s">
        <v>1257</v>
      </c>
      <c r="M41" s="3" t="s">
        <v>1258</v>
      </c>
    </row>
  </sheetData>
  <mergeCells count="2">
    <mergeCell ref="A3:O3"/>
    <mergeCell ref="A2:O2"/>
  </mergeCells>
  <printOptions horizontalCentered="1"/>
  <pageMargins left="0.2" right="0.2" top="0.25" bottom="0.55000000000000004" header="0.5" footer="0.5"/>
  <pageSetup paperSize="8" scale="59"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F259"/>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3" customWidth="1"/>
    <col min="2" max="2" width="20" customWidth="1"/>
    <col min="3" max="3" width="28" customWidth="1"/>
    <col min="4" max="4" width="26" customWidth="1"/>
    <col min="5" max="5" width="21" customWidth="1"/>
    <col min="6" max="6" width="67" customWidth="1"/>
    <col min="7" max="17" width="19" customWidth="1"/>
  </cols>
  <sheetData>
    <row r="2" spans="1:6" ht="21" customHeight="1" x14ac:dyDescent="0.2">
      <c r="A2" s="103" t="s">
        <v>1274</v>
      </c>
      <c r="B2" s="91"/>
      <c r="C2" s="91"/>
      <c r="D2" s="91"/>
      <c r="E2" s="91"/>
      <c r="F2" s="91"/>
    </row>
    <row r="3" spans="1:6"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row>
    <row r="5" spans="1:6" ht="15" customHeight="1" x14ac:dyDescent="0.2">
      <c r="A5" s="4" t="s">
        <v>1275</v>
      </c>
      <c r="B5" s="4" t="s">
        <v>1276</v>
      </c>
      <c r="C5" s="4" t="s">
        <v>137</v>
      </c>
      <c r="D5" s="4" t="s">
        <v>1277</v>
      </c>
      <c r="E5" s="4" t="s">
        <v>138</v>
      </c>
      <c r="F5" s="4" t="s">
        <v>1278</v>
      </c>
    </row>
    <row r="6" spans="1:6" ht="15" customHeight="1" x14ac:dyDescent="0.2">
      <c r="A6" s="10" t="s">
        <v>140</v>
      </c>
      <c r="B6" s="10" t="s">
        <v>1279</v>
      </c>
      <c r="C6" s="10"/>
      <c r="D6" s="10" t="s">
        <v>1280</v>
      </c>
      <c r="E6" s="10" t="s">
        <v>144</v>
      </c>
      <c r="F6" s="3" t="s">
        <v>1281</v>
      </c>
    </row>
    <row r="7" spans="1:6" ht="15" customHeight="1" x14ac:dyDescent="0.2">
      <c r="A7" s="10" t="s">
        <v>145</v>
      </c>
      <c r="B7" s="10" t="s">
        <v>1282</v>
      </c>
      <c r="C7" s="10"/>
      <c r="D7" s="10" t="s">
        <v>1283</v>
      </c>
      <c r="E7" s="10" t="s">
        <v>144</v>
      </c>
      <c r="F7" s="3" t="s">
        <v>1281</v>
      </c>
    </row>
    <row r="8" spans="1:6" ht="15" customHeight="1" x14ac:dyDescent="0.2">
      <c r="A8" s="10" t="s">
        <v>147</v>
      </c>
      <c r="B8" s="10" t="s">
        <v>1284</v>
      </c>
      <c r="C8" s="10"/>
      <c r="D8" s="10" t="s">
        <v>1285</v>
      </c>
      <c r="E8" s="10" t="s">
        <v>144</v>
      </c>
      <c r="F8" s="3" t="s">
        <v>1281</v>
      </c>
    </row>
    <row r="9" spans="1:6" ht="15" customHeight="1" x14ac:dyDescent="0.2">
      <c r="A9" s="10" t="s">
        <v>149</v>
      </c>
      <c r="B9" s="10" t="s">
        <v>1286</v>
      </c>
      <c r="C9" s="10"/>
      <c r="D9" s="10" t="s">
        <v>1287</v>
      </c>
      <c r="E9" s="10" t="s">
        <v>144</v>
      </c>
      <c r="F9" s="3" t="s">
        <v>1281</v>
      </c>
    </row>
    <row r="10" spans="1:6" ht="15" customHeight="1" x14ac:dyDescent="0.2">
      <c r="A10" s="10" t="s">
        <v>151</v>
      </c>
      <c r="B10" s="10" t="s">
        <v>1288</v>
      </c>
      <c r="C10" s="10"/>
      <c r="D10" s="10" t="s">
        <v>1289</v>
      </c>
      <c r="E10" s="10" t="s">
        <v>144</v>
      </c>
      <c r="F10" s="3" t="s">
        <v>1281</v>
      </c>
    </row>
    <row r="11" spans="1:6" ht="15" customHeight="1" x14ac:dyDescent="0.2">
      <c r="A11" s="10" t="s">
        <v>154</v>
      </c>
      <c r="B11" s="10" t="s">
        <v>1290</v>
      </c>
      <c r="C11" s="10"/>
      <c r="D11" s="10" t="s">
        <v>1291</v>
      </c>
      <c r="E11" s="10" t="s">
        <v>144</v>
      </c>
      <c r="F11" s="3" t="s">
        <v>1281</v>
      </c>
    </row>
    <row r="12" spans="1:6" ht="15" customHeight="1" x14ac:dyDescent="0.2">
      <c r="A12" s="10" t="s">
        <v>157</v>
      </c>
      <c r="B12" s="10" t="s">
        <v>1292</v>
      </c>
      <c r="C12" s="10"/>
      <c r="D12" s="10" t="s">
        <v>1293</v>
      </c>
      <c r="E12" s="10" t="s">
        <v>144</v>
      </c>
      <c r="F12" s="3" t="s">
        <v>1281</v>
      </c>
    </row>
    <row r="13" spans="1:6" ht="15" customHeight="1" x14ac:dyDescent="0.2">
      <c r="A13" s="10" t="s">
        <v>159</v>
      </c>
      <c r="B13" s="10" t="s">
        <v>1294</v>
      </c>
      <c r="C13" s="10"/>
      <c r="D13" s="10" t="s">
        <v>1295</v>
      </c>
      <c r="E13" s="10" t="s">
        <v>162</v>
      </c>
      <c r="F13" s="10" t="s">
        <v>1296</v>
      </c>
    </row>
    <row r="14" spans="1:6" ht="15" customHeight="1" x14ac:dyDescent="0.2">
      <c r="A14" s="10" t="s">
        <v>163</v>
      </c>
      <c r="B14" s="10" t="s">
        <v>1297</v>
      </c>
      <c r="C14" s="10" t="s">
        <v>166</v>
      </c>
      <c r="D14" s="10"/>
      <c r="E14" s="10" t="s">
        <v>167</v>
      </c>
      <c r="F14" s="3" t="s">
        <v>1298</v>
      </c>
    </row>
    <row r="15" spans="1:6" ht="15" customHeight="1" x14ac:dyDescent="0.2">
      <c r="A15" s="10" t="s">
        <v>169</v>
      </c>
      <c r="B15" s="10" t="s">
        <v>1299</v>
      </c>
      <c r="C15" s="10" t="s">
        <v>172</v>
      </c>
      <c r="D15" s="10"/>
      <c r="E15" s="10" t="s">
        <v>167</v>
      </c>
      <c r="F15" s="3" t="s">
        <v>1298</v>
      </c>
    </row>
    <row r="16" spans="1:6" ht="27" customHeight="1" x14ac:dyDescent="0.2">
      <c r="A16" s="10" t="s">
        <v>174</v>
      </c>
      <c r="B16" s="10" t="s">
        <v>1300</v>
      </c>
      <c r="C16" s="10"/>
      <c r="D16" s="10" t="s">
        <v>1301</v>
      </c>
      <c r="E16" s="10" t="s">
        <v>162</v>
      </c>
      <c r="F16" s="3" t="s">
        <v>1302</v>
      </c>
    </row>
    <row r="17" spans="1:6" ht="27" customHeight="1" x14ac:dyDescent="0.2">
      <c r="A17" s="10" t="s">
        <v>177</v>
      </c>
      <c r="B17" s="10" t="s">
        <v>1303</v>
      </c>
      <c r="C17" s="10"/>
      <c r="D17" s="10" t="s">
        <v>1304</v>
      </c>
      <c r="E17" s="10" t="s">
        <v>162</v>
      </c>
      <c r="F17" s="3" t="s">
        <v>1305</v>
      </c>
    </row>
    <row r="18" spans="1:6" ht="15" customHeight="1" x14ac:dyDescent="0.2">
      <c r="A18" s="10" t="s">
        <v>179</v>
      </c>
      <c r="B18" s="10" t="s">
        <v>1306</v>
      </c>
      <c r="C18" s="10" t="s">
        <v>181</v>
      </c>
      <c r="D18" s="10"/>
      <c r="E18" s="10" t="s">
        <v>167</v>
      </c>
      <c r="F18" s="3" t="s">
        <v>1298</v>
      </c>
    </row>
    <row r="19" spans="1:6" ht="27" customHeight="1" x14ac:dyDescent="0.2">
      <c r="A19" s="10" t="s">
        <v>183</v>
      </c>
      <c r="B19" s="10" t="s">
        <v>1307</v>
      </c>
      <c r="C19" s="10"/>
      <c r="D19" s="10" t="s">
        <v>1308</v>
      </c>
      <c r="E19" s="10" t="s">
        <v>162</v>
      </c>
      <c r="F19" s="3" t="s">
        <v>1309</v>
      </c>
    </row>
    <row r="20" spans="1:6" ht="27" customHeight="1" x14ac:dyDescent="0.2">
      <c r="A20" s="10" t="s">
        <v>185</v>
      </c>
      <c r="B20" s="10" t="s">
        <v>1310</v>
      </c>
      <c r="C20" s="10"/>
      <c r="D20" s="10" t="s">
        <v>1311</v>
      </c>
      <c r="E20" s="10" t="s">
        <v>162</v>
      </c>
      <c r="F20" s="3" t="s">
        <v>1312</v>
      </c>
    </row>
    <row r="21" spans="1:6" ht="27" customHeight="1" x14ac:dyDescent="0.2">
      <c r="A21" s="10" t="s">
        <v>187</v>
      </c>
      <c r="B21" s="10" t="s">
        <v>1313</v>
      </c>
      <c r="C21" s="10"/>
      <c r="D21" s="10" t="s">
        <v>1314</v>
      </c>
      <c r="E21" s="10" t="s">
        <v>162</v>
      </c>
      <c r="F21" s="3" t="s">
        <v>1315</v>
      </c>
    </row>
    <row r="22" spans="1:6" ht="27" customHeight="1" x14ac:dyDescent="0.2">
      <c r="A22" s="10" t="s">
        <v>189</v>
      </c>
      <c r="B22" s="10" t="s">
        <v>1316</v>
      </c>
      <c r="C22" s="10"/>
      <c r="D22" s="10" t="s">
        <v>1317</v>
      </c>
      <c r="E22" s="10" t="s">
        <v>162</v>
      </c>
      <c r="F22" s="3" t="s">
        <v>1318</v>
      </c>
    </row>
    <row r="23" spans="1:6" ht="15" customHeight="1" x14ac:dyDescent="0.2">
      <c r="A23" s="10" t="s">
        <v>191</v>
      </c>
      <c r="B23" s="10" t="s">
        <v>1319</v>
      </c>
      <c r="C23" s="10"/>
      <c r="D23" s="10" t="s">
        <v>1320</v>
      </c>
      <c r="E23" s="10" t="s">
        <v>162</v>
      </c>
      <c r="F23" s="3" t="s">
        <v>1321</v>
      </c>
    </row>
    <row r="24" spans="1:6" ht="27" customHeight="1" x14ac:dyDescent="0.2">
      <c r="A24" s="10" t="s">
        <v>193</v>
      </c>
      <c r="B24" s="10" t="s">
        <v>1322</v>
      </c>
      <c r="C24" s="10" t="s">
        <v>196</v>
      </c>
      <c r="D24" s="10" t="s">
        <v>1323</v>
      </c>
      <c r="E24" s="10" t="s">
        <v>162</v>
      </c>
      <c r="F24" s="3" t="s">
        <v>1324</v>
      </c>
    </row>
    <row r="25" spans="1:6" ht="15" customHeight="1" x14ac:dyDescent="0.2">
      <c r="A25" s="10" t="s">
        <v>197</v>
      </c>
      <c r="B25" s="10" t="s">
        <v>1325</v>
      </c>
      <c r="C25" s="10" t="s">
        <v>200</v>
      </c>
      <c r="D25" s="10"/>
      <c r="E25" s="10" t="s">
        <v>167</v>
      </c>
      <c r="F25" s="3" t="s">
        <v>1298</v>
      </c>
    </row>
    <row r="26" spans="1:6" ht="15" customHeight="1" x14ac:dyDescent="0.2">
      <c r="A26" s="10" t="s">
        <v>202</v>
      </c>
      <c r="B26" s="10" t="s">
        <v>1326</v>
      </c>
      <c r="C26" s="10" t="s">
        <v>205</v>
      </c>
      <c r="D26" s="10"/>
      <c r="E26" s="10" t="s">
        <v>167</v>
      </c>
      <c r="F26" s="3" t="s">
        <v>1298</v>
      </c>
    </row>
    <row r="27" spans="1:6" ht="15" customHeight="1" x14ac:dyDescent="0.2">
      <c r="A27" s="10" t="s">
        <v>207</v>
      </c>
      <c r="B27" s="10" t="s">
        <v>1327</v>
      </c>
      <c r="C27" s="10" t="s">
        <v>209</v>
      </c>
      <c r="D27" s="10"/>
      <c r="E27" s="10" t="s">
        <v>167</v>
      </c>
      <c r="F27" s="3" t="s">
        <v>1298</v>
      </c>
    </row>
    <row r="28" spans="1:6" ht="27" customHeight="1" x14ac:dyDescent="0.2">
      <c r="A28" s="10" t="s">
        <v>211</v>
      </c>
      <c r="B28" s="10" t="s">
        <v>1328</v>
      </c>
      <c r="C28" s="10"/>
      <c r="D28" s="10" t="s">
        <v>1329</v>
      </c>
      <c r="E28" s="10" t="s">
        <v>162</v>
      </c>
      <c r="F28" s="3" t="s">
        <v>1330</v>
      </c>
    </row>
    <row r="29" spans="1:6" ht="27" customHeight="1" x14ac:dyDescent="0.2">
      <c r="A29" s="10" t="s">
        <v>214</v>
      </c>
      <c r="B29" s="10" t="s">
        <v>1331</v>
      </c>
      <c r="C29" s="10"/>
      <c r="D29" s="10" t="s">
        <v>1332</v>
      </c>
      <c r="E29" s="10" t="s">
        <v>162</v>
      </c>
      <c r="F29" s="3" t="s">
        <v>1333</v>
      </c>
    </row>
    <row r="30" spans="1:6" ht="27" customHeight="1" x14ac:dyDescent="0.2">
      <c r="A30" s="10" t="s">
        <v>216</v>
      </c>
      <c r="B30" s="10" t="s">
        <v>1334</v>
      </c>
      <c r="C30" s="10"/>
      <c r="D30" s="10" t="s">
        <v>1335</v>
      </c>
      <c r="E30" s="10" t="s">
        <v>162</v>
      </c>
      <c r="F30" s="3" t="s">
        <v>1336</v>
      </c>
    </row>
    <row r="31" spans="1:6" ht="15" customHeight="1" x14ac:dyDescent="0.2">
      <c r="A31" s="10" t="s">
        <v>219</v>
      </c>
      <c r="B31" s="10" t="s">
        <v>1337</v>
      </c>
      <c r="C31" s="10" t="s">
        <v>221</v>
      </c>
      <c r="D31" s="10"/>
      <c r="E31" s="10" t="s">
        <v>167</v>
      </c>
      <c r="F31" s="3" t="s">
        <v>1298</v>
      </c>
    </row>
    <row r="32" spans="1:6" ht="15" customHeight="1" x14ac:dyDescent="0.2">
      <c r="A32" s="10" t="s">
        <v>223</v>
      </c>
      <c r="B32" s="10" t="s">
        <v>1338</v>
      </c>
      <c r="C32" s="10" t="s">
        <v>225</v>
      </c>
      <c r="D32" s="10"/>
      <c r="E32" s="10" t="s">
        <v>167</v>
      </c>
      <c r="F32" s="3" t="s">
        <v>1298</v>
      </c>
    </row>
    <row r="33" spans="1:6" ht="15" customHeight="1" x14ac:dyDescent="0.2">
      <c r="A33" s="10" t="s">
        <v>227</v>
      </c>
      <c r="B33" s="10" t="s">
        <v>1339</v>
      </c>
      <c r="C33" s="10" t="s">
        <v>105</v>
      </c>
      <c r="D33" s="10"/>
      <c r="E33" s="10" t="s">
        <v>167</v>
      </c>
      <c r="F33" s="3" t="s">
        <v>1298</v>
      </c>
    </row>
    <row r="34" spans="1:6" ht="15" customHeight="1" x14ac:dyDescent="0.2">
      <c r="A34" s="10" t="s">
        <v>230</v>
      </c>
      <c r="B34" s="10" t="s">
        <v>1340</v>
      </c>
      <c r="C34" s="10" t="s">
        <v>105</v>
      </c>
      <c r="D34" s="10"/>
      <c r="E34" s="10" t="s">
        <v>167</v>
      </c>
      <c r="F34" s="3" t="s">
        <v>1298</v>
      </c>
    </row>
    <row r="35" spans="1:6" ht="15" customHeight="1" x14ac:dyDescent="0.2">
      <c r="A35" s="10" t="s">
        <v>233</v>
      </c>
      <c r="B35" s="10" t="s">
        <v>1341</v>
      </c>
      <c r="C35" s="10" t="s">
        <v>235</v>
      </c>
      <c r="D35" s="10"/>
      <c r="E35" s="10" t="s">
        <v>167</v>
      </c>
      <c r="F35" s="3" t="s">
        <v>1298</v>
      </c>
    </row>
    <row r="36" spans="1:6" ht="15" customHeight="1" x14ac:dyDescent="0.2">
      <c r="A36" s="10" t="s">
        <v>237</v>
      </c>
      <c r="B36" s="10" t="s">
        <v>1342</v>
      </c>
      <c r="C36" s="10" t="s">
        <v>239</v>
      </c>
      <c r="D36" s="10"/>
      <c r="E36" s="10" t="s">
        <v>167</v>
      </c>
      <c r="F36" s="3" t="s">
        <v>1298</v>
      </c>
    </row>
    <row r="37" spans="1:6" ht="27" customHeight="1" x14ac:dyDescent="0.2">
      <c r="A37" s="10" t="s">
        <v>241</v>
      </c>
      <c r="B37" s="10" t="s">
        <v>1343</v>
      </c>
      <c r="C37" s="10" t="s">
        <v>243</v>
      </c>
      <c r="D37" s="10" t="s">
        <v>1344</v>
      </c>
      <c r="E37" s="10" t="s">
        <v>162</v>
      </c>
      <c r="F37" s="3" t="s">
        <v>1345</v>
      </c>
    </row>
    <row r="38" spans="1:6" ht="15" customHeight="1" x14ac:dyDescent="0.2">
      <c r="A38" s="10" t="s">
        <v>244</v>
      </c>
      <c r="B38" s="10" t="s">
        <v>1346</v>
      </c>
      <c r="C38" s="10" t="s">
        <v>244</v>
      </c>
      <c r="D38" s="10"/>
      <c r="E38" s="10" t="s">
        <v>167</v>
      </c>
      <c r="F38" s="3" t="s">
        <v>1298</v>
      </c>
    </row>
    <row r="39" spans="1:6" ht="15" customHeight="1" x14ac:dyDescent="0.2">
      <c r="A39" s="10" t="s">
        <v>196</v>
      </c>
      <c r="B39" s="10" t="s">
        <v>1347</v>
      </c>
      <c r="C39" s="10" t="s">
        <v>196</v>
      </c>
      <c r="D39" s="10"/>
      <c r="E39" s="10" t="s">
        <v>167</v>
      </c>
      <c r="F39" s="3" t="s">
        <v>1298</v>
      </c>
    </row>
    <row r="40" spans="1:6" ht="15" customHeight="1" x14ac:dyDescent="0.2">
      <c r="A40" s="10" t="s">
        <v>249</v>
      </c>
      <c r="B40" s="10" t="s">
        <v>1348</v>
      </c>
      <c r="C40" s="10" t="s">
        <v>249</v>
      </c>
      <c r="D40" s="10"/>
      <c r="E40" s="10" t="s">
        <v>167</v>
      </c>
      <c r="F40" s="3" t="s">
        <v>1298</v>
      </c>
    </row>
    <row r="41" spans="1:6" ht="15" customHeight="1" x14ac:dyDescent="0.2">
      <c r="A41" s="10" t="s">
        <v>252</v>
      </c>
      <c r="B41" s="10" t="s">
        <v>1349</v>
      </c>
      <c r="C41" s="10" t="s">
        <v>252</v>
      </c>
      <c r="D41" s="10"/>
      <c r="E41" s="10" t="s">
        <v>167</v>
      </c>
      <c r="F41" s="3" t="s">
        <v>1298</v>
      </c>
    </row>
    <row r="42" spans="1:6" ht="15" customHeight="1" x14ac:dyDescent="0.2">
      <c r="A42" s="10" t="s">
        <v>255</v>
      </c>
      <c r="B42" s="10" t="s">
        <v>1350</v>
      </c>
      <c r="C42" s="10" t="s">
        <v>255</v>
      </c>
      <c r="D42" s="10"/>
      <c r="E42" s="10" t="s">
        <v>167</v>
      </c>
      <c r="F42" s="3" t="s">
        <v>1298</v>
      </c>
    </row>
    <row r="43" spans="1:6" ht="15" customHeight="1" x14ac:dyDescent="0.2">
      <c r="A43" s="10" t="s">
        <v>258</v>
      </c>
      <c r="B43" s="10" t="s">
        <v>1351</v>
      </c>
      <c r="C43" s="10" t="s">
        <v>258</v>
      </c>
      <c r="D43" s="10"/>
      <c r="E43" s="10" t="s">
        <v>167</v>
      </c>
      <c r="F43" s="3" t="s">
        <v>1298</v>
      </c>
    </row>
    <row r="44" spans="1:6" ht="15" customHeight="1" x14ac:dyDescent="0.2">
      <c r="A44" s="10" t="s">
        <v>261</v>
      </c>
      <c r="B44" s="10" t="s">
        <v>1352</v>
      </c>
      <c r="C44" s="10" t="s">
        <v>261</v>
      </c>
      <c r="D44" s="10"/>
      <c r="E44" s="10" t="s">
        <v>167</v>
      </c>
      <c r="F44" s="3" t="s">
        <v>1298</v>
      </c>
    </row>
    <row r="45" spans="1:6" ht="15" customHeight="1" x14ac:dyDescent="0.2">
      <c r="A45" s="10" t="s">
        <v>264</v>
      </c>
      <c r="B45" s="10" t="s">
        <v>1353</v>
      </c>
      <c r="C45" s="10" t="s">
        <v>264</v>
      </c>
      <c r="D45" s="10"/>
      <c r="E45" s="10" t="s">
        <v>167</v>
      </c>
      <c r="F45" s="3" t="s">
        <v>1298</v>
      </c>
    </row>
    <row r="46" spans="1:6" ht="15" customHeight="1" x14ac:dyDescent="0.2">
      <c r="A46" s="10" t="s">
        <v>267</v>
      </c>
      <c r="B46" s="10" t="s">
        <v>1354</v>
      </c>
      <c r="C46" s="10" t="s">
        <v>267</v>
      </c>
      <c r="D46" s="10"/>
      <c r="E46" s="10" t="s">
        <v>167</v>
      </c>
      <c r="F46" s="3" t="s">
        <v>1298</v>
      </c>
    </row>
    <row r="47" spans="1:6" ht="15" customHeight="1" x14ac:dyDescent="0.2">
      <c r="A47" s="10" t="s">
        <v>270</v>
      </c>
      <c r="B47" s="10" t="s">
        <v>1355</v>
      </c>
      <c r="C47" s="10" t="s">
        <v>270</v>
      </c>
      <c r="D47" s="10"/>
      <c r="E47" s="10" t="s">
        <v>167</v>
      </c>
      <c r="F47" s="3" t="s">
        <v>1298</v>
      </c>
    </row>
    <row r="48" spans="1:6" ht="15" customHeight="1" x14ac:dyDescent="0.2">
      <c r="A48" s="10" t="s">
        <v>273</v>
      </c>
      <c r="B48" s="10" t="s">
        <v>1356</v>
      </c>
      <c r="C48" s="10" t="s">
        <v>273</v>
      </c>
      <c r="D48" s="10"/>
      <c r="E48" s="10" t="s">
        <v>167</v>
      </c>
      <c r="F48" s="3" t="s">
        <v>1298</v>
      </c>
    </row>
    <row r="49" spans="1:6" ht="15" customHeight="1" x14ac:dyDescent="0.2">
      <c r="A49" s="10" t="s">
        <v>275</v>
      </c>
      <c r="B49" s="10" t="s">
        <v>1357</v>
      </c>
      <c r="C49" s="10" t="s">
        <v>275</v>
      </c>
      <c r="D49" s="10"/>
      <c r="E49" s="10" t="s">
        <v>167</v>
      </c>
      <c r="F49" s="3" t="s">
        <v>1298</v>
      </c>
    </row>
    <row r="50" spans="1:6" ht="15" customHeight="1" x14ac:dyDescent="0.2">
      <c r="A50" s="10" t="s">
        <v>278</v>
      </c>
      <c r="B50" s="10" t="s">
        <v>1358</v>
      </c>
      <c r="C50" s="10" t="s">
        <v>278</v>
      </c>
      <c r="D50" s="10"/>
      <c r="E50" s="10" t="s">
        <v>167</v>
      </c>
      <c r="F50" s="3" t="s">
        <v>1298</v>
      </c>
    </row>
    <row r="51" spans="1:6" ht="15" customHeight="1" x14ac:dyDescent="0.2">
      <c r="A51" s="10" t="s">
        <v>281</v>
      </c>
      <c r="B51" s="10" t="s">
        <v>1359</v>
      </c>
      <c r="C51" s="10" t="s">
        <v>281</v>
      </c>
      <c r="D51" s="10"/>
      <c r="E51" s="10" t="s">
        <v>167</v>
      </c>
      <c r="F51" s="3" t="s">
        <v>1298</v>
      </c>
    </row>
    <row r="52" spans="1:6" ht="15" customHeight="1" x14ac:dyDescent="0.2">
      <c r="A52" s="10" t="s">
        <v>284</v>
      </c>
      <c r="B52" s="10" t="s">
        <v>1360</v>
      </c>
      <c r="C52" s="10" t="s">
        <v>284</v>
      </c>
      <c r="D52" s="10"/>
      <c r="E52" s="10" t="s">
        <v>167</v>
      </c>
      <c r="F52" s="3" t="s">
        <v>1298</v>
      </c>
    </row>
    <row r="53" spans="1:6" ht="15" customHeight="1" x14ac:dyDescent="0.2">
      <c r="A53" s="10" t="s">
        <v>286</v>
      </c>
      <c r="B53" s="10" t="s">
        <v>1361</v>
      </c>
      <c r="C53" s="10" t="s">
        <v>286</v>
      </c>
      <c r="D53" s="10"/>
      <c r="E53" s="10" t="s">
        <v>167</v>
      </c>
      <c r="F53" s="3" t="s">
        <v>1298</v>
      </c>
    </row>
    <row r="54" spans="1:6" ht="15" customHeight="1" x14ac:dyDescent="0.2">
      <c r="A54" s="10" t="s">
        <v>288</v>
      </c>
      <c r="B54" s="10" t="s">
        <v>1362</v>
      </c>
      <c r="C54" s="10" t="s">
        <v>288</v>
      </c>
      <c r="D54" s="10"/>
      <c r="E54" s="10" t="s">
        <v>167</v>
      </c>
      <c r="F54" s="3" t="s">
        <v>1298</v>
      </c>
    </row>
    <row r="55" spans="1:6" ht="15" customHeight="1" x14ac:dyDescent="0.2">
      <c r="A55" s="10" t="s">
        <v>290</v>
      </c>
      <c r="B55" s="10" t="s">
        <v>1363</v>
      </c>
      <c r="C55" s="10" t="s">
        <v>290</v>
      </c>
      <c r="D55" s="10"/>
      <c r="E55" s="10" t="s">
        <v>167</v>
      </c>
      <c r="F55" s="3" t="s">
        <v>1298</v>
      </c>
    </row>
    <row r="56" spans="1:6" ht="39" customHeight="1" x14ac:dyDescent="0.2">
      <c r="A56" s="10" t="s">
        <v>292</v>
      </c>
      <c r="B56" s="10" t="s">
        <v>1364</v>
      </c>
      <c r="C56" s="10" t="s">
        <v>294</v>
      </c>
      <c r="D56" s="10" t="s">
        <v>1365</v>
      </c>
      <c r="E56" s="10" t="s">
        <v>162</v>
      </c>
      <c r="F56" s="3" t="s">
        <v>1366</v>
      </c>
    </row>
    <row r="57" spans="1:6" ht="27" customHeight="1" x14ac:dyDescent="0.2">
      <c r="A57" s="10" t="s">
        <v>295</v>
      </c>
      <c r="B57" s="10" t="s">
        <v>1367</v>
      </c>
      <c r="C57" s="10"/>
      <c r="D57" s="10" t="s">
        <v>1368</v>
      </c>
      <c r="E57" s="10" t="s">
        <v>162</v>
      </c>
      <c r="F57" s="3" t="s">
        <v>1369</v>
      </c>
    </row>
    <row r="58" spans="1:6" ht="27" customHeight="1" x14ac:dyDescent="0.2">
      <c r="A58" s="10" t="s">
        <v>297</v>
      </c>
      <c r="B58" s="10" t="s">
        <v>1370</v>
      </c>
      <c r="C58" s="10" t="s">
        <v>300</v>
      </c>
      <c r="D58" s="10" t="s">
        <v>1371</v>
      </c>
      <c r="E58" s="10" t="s">
        <v>162</v>
      </c>
      <c r="F58" s="3" t="s">
        <v>1372</v>
      </c>
    </row>
    <row r="59" spans="1:6" ht="27" customHeight="1" x14ac:dyDescent="0.2">
      <c r="A59" s="10" t="s">
        <v>301</v>
      </c>
      <c r="B59" s="10" t="s">
        <v>1373</v>
      </c>
      <c r="C59" s="10" t="s">
        <v>304</v>
      </c>
      <c r="D59" s="10" t="s">
        <v>1374</v>
      </c>
      <c r="E59" s="10" t="s">
        <v>162</v>
      </c>
      <c r="F59" s="3" t="s">
        <v>1375</v>
      </c>
    </row>
    <row r="60" spans="1:6" ht="15" customHeight="1" x14ac:dyDescent="0.2">
      <c r="A60" s="10" t="s">
        <v>305</v>
      </c>
      <c r="B60" s="10" t="s">
        <v>1376</v>
      </c>
      <c r="C60" s="10"/>
      <c r="D60" s="10" t="s">
        <v>1377</v>
      </c>
      <c r="E60" s="10" t="s">
        <v>144</v>
      </c>
      <c r="F60" s="10" t="s">
        <v>1378</v>
      </c>
    </row>
    <row r="61" spans="1:6" ht="27" customHeight="1" x14ac:dyDescent="0.2">
      <c r="A61" s="10" t="s">
        <v>307</v>
      </c>
      <c r="B61" s="10" t="s">
        <v>1379</v>
      </c>
      <c r="C61" s="10"/>
      <c r="D61" s="10" t="s">
        <v>1380</v>
      </c>
      <c r="E61" s="10" t="s">
        <v>162</v>
      </c>
      <c r="F61" s="3" t="s">
        <v>1381</v>
      </c>
    </row>
    <row r="62" spans="1:6" ht="15" customHeight="1" x14ac:dyDescent="0.2">
      <c r="A62" s="10" t="s">
        <v>309</v>
      </c>
      <c r="B62" s="10" t="s">
        <v>1382</v>
      </c>
      <c r="C62" s="10"/>
      <c r="D62" s="10" t="s">
        <v>1383</v>
      </c>
      <c r="E62" s="10" t="s">
        <v>144</v>
      </c>
      <c r="F62" s="10" t="s">
        <v>1378</v>
      </c>
    </row>
    <row r="63" spans="1:6" ht="27" customHeight="1" x14ac:dyDescent="0.2">
      <c r="A63" s="10" t="s">
        <v>311</v>
      </c>
      <c r="B63" s="10" t="s">
        <v>1384</v>
      </c>
      <c r="C63" s="10"/>
      <c r="D63" s="10" t="s">
        <v>1385</v>
      </c>
      <c r="E63" s="10" t="s">
        <v>162</v>
      </c>
      <c r="F63" s="3" t="s">
        <v>1381</v>
      </c>
    </row>
    <row r="64" spans="1:6" ht="15" customHeight="1" x14ac:dyDescent="0.2">
      <c r="A64" s="10" t="s">
        <v>313</v>
      </c>
      <c r="B64" s="10" t="s">
        <v>1386</v>
      </c>
      <c r="C64" s="10"/>
      <c r="D64" s="10" t="s">
        <v>1387</v>
      </c>
      <c r="E64" s="10" t="s">
        <v>144</v>
      </c>
      <c r="F64" s="10" t="s">
        <v>1378</v>
      </c>
    </row>
    <row r="65" spans="1:6" ht="27" customHeight="1" x14ac:dyDescent="0.2">
      <c r="A65" s="10" t="s">
        <v>315</v>
      </c>
      <c r="B65" s="10" t="s">
        <v>1388</v>
      </c>
      <c r="C65" s="10"/>
      <c r="D65" s="10" t="s">
        <v>1389</v>
      </c>
      <c r="E65" s="10" t="s">
        <v>162</v>
      </c>
      <c r="F65" s="3" t="s">
        <v>1381</v>
      </c>
    </row>
    <row r="66" spans="1:6" ht="15" customHeight="1" x14ac:dyDescent="0.2">
      <c r="A66" s="10" t="s">
        <v>317</v>
      </c>
      <c r="B66" s="10" t="s">
        <v>1390</v>
      </c>
      <c r="C66" s="10"/>
      <c r="D66" s="10" t="s">
        <v>1391</v>
      </c>
      <c r="E66" s="10" t="s">
        <v>144</v>
      </c>
      <c r="F66" s="10" t="s">
        <v>1378</v>
      </c>
    </row>
    <row r="67" spans="1:6" ht="27" customHeight="1" x14ac:dyDescent="0.2">
      <c r="A67" s="10" t="s">
        <v>319</v>
      </c>
      <c r="B67" s="10" t="s">
        <v>1392</v>
      </c>
      <c r="C67" s="10"/>
      <c r="D67" s="10" t="s">
        <v>1393</v>
      </c>
      <c r="E67" s="10" t="s">
        <v>162</v>
      </c>
      <c r="F67" s="3" t="s">
        <v>1381</v>
      </c>
    </row>
    <row r="68" spans="1:6" ht="15" customHeight="1" x14ac:dyDescent="0.2">
      <c r="A68" s="10" t="s">
        <v>321</v>
      </c>
      <c r="B68" s="10" t="s">
        <v>1394</v>
      </c>
      <c r="C68" s="10"/>
      <c r="D68" s="10" t="s">
        <v>1395</v>
      </c>
      <c r="E68" s="10" t="s">
        <v>144</v>
      </c>
      <c r="F68" s="10" t="s">
        <v>1378</v>
      </c>
    </row>
    <row r="69" spans="1:6" ht="27" customHeight="1" x14ac:dyDescent="0.2">
      <c r="A69" s="10" t="s">
        <v>323</v>
      </c>
      <c r="B69" s="10" t="s">
        <v>1396</v>
      </c>
      <c r="C69" s="10"/>
      <c r="D69" s="10" t="s">
        <v>1397</v>
      </c>
      <c r="E69" s="10" t="s">
        <v>162</v>
      </c>
      <c r="F69" s="3" t="s">
        <v>1381</v>
      </c>
    </row>
    <row r="70" spans="1:6" ht="15" customHeight="1" x14ac:dyDescent="0.2">
      <c r="A70" s="10" t="s">
        <v>325</v>
      </c>
      <c r="B70" s="10" t="s">
        <v>1398</v>
      </c>
      <c r="C70" s="10"/>
      <c r="D70" s="10" t="s">
        <v>1399</v>
      </c>
      <c r="E70" s="10" t="s">
        <v>144</v>
      </c>
      <c r="F70" s="10" t="s">
        <v>1378</v>
      </c>
    </row>
    <row r="71" spans="1:6" ht="27" customHeight="1" x14ac:dyDescent="0.2">
      <c r="A71" s="10" t="s">
        <v>327</v>
      </c>
      <c r="B71" s="10" t="s">
        <v>1400</v>
      </c>
      <c r="C71" s="10"/>
      <c r="D71" s="10" t="s">
        <v>1401</v>
      </c>
      <c r="E71" s="10" t="s">
        <v>162</v>
      </c>
      <c r="F71" s="3" t="s">
        <v>1381</v>
      </c>
    </row>
    <row r="72" spans="1:6" ht="15" customHeight="1" x14ac:dyDescent="0.2">
      <c r="A72" s="10" t="s">
        <v>329</v>
      </c>
      <c r="B72" s="10" t="s">
        <v>1402</v>
      </c>
      <c r="C72" s="10"/>
      <c r="D72" s="10" t="s">
        <v>1403</v>
      </c>
      <c r="E72" s="10" t="s">
        <v>144</v>
      </c>
      <c r="F72" s="10" t="s">
        <v>1378</v>
      </c>
    </row>
    <row r="73" spans="1:6" ht="27" customHeight="1" x14ac:dyDescent="0.2">
      <c r="A73" s="10" t="s">
        <v>331</v>
      </c>
      <c r="B73" s="10" t="s">
        <v>1404</v>
      </c>
      <c r="C73" s="10"/>
      <c r="D73" s="10" t="s">
        <v>1405</v>
      </c>
      <c r="E73" s="10" t="s">
        <v>162</v>
      </c>
      <c r="F73" s="3" t="s">
        <v>1381</v>
      </c>
    </row>
    <row r="74" spans="1:6" ht="15" customHeight="1" x14ac:dyDescent="0.2">
      <c r="A74" s="10" t="s">
        <v>333</v>
      </c>
      <c r="B74" s="10" t="s">
        <v>1406</v>
      </c>
      <c r="C74" s="10"/>
      <c r="D74" s="10" t="s">
        <v>1407</v>
      </c>
      <c r="E74" s="10" t="s">
        <v>144</v>
      </c>
      <c r="F74" s="10" t="s">
        <v>1378</v>
      </c>
    </row>
    <row r="75" spans="1:6" ht="27" customHeight="1" x14ac:dyDescent="0.2">
      <c r="A75" s="10" t="s">
        <v>335</v>
      </c>
      <c r="B75" s="10" t="s">
        <v>1408</v>
      </c>
      <c r="C75" s="10"/>
      <c r="D75" s="10" t="s">
        <v>1409</v>
      </c>
      <c r="E75" s="10" t="s">
        <v>162</v>
      </c>
      <c r="F75" s="3" t="s">
        <v>1381</v>
      </c>
    </row>
    <row r="76" spans="1:6" ht="15" customHeight="1" x14ac:dyDescent="0.2">
      <c r="A76" s="10" t="s">
        <v>337</v>
      </c>
      <c r="B76" s="10" t="s">
        <v>1410</v>
      </c>
      <c r="C76" s="10"/>
      <c r="D76" s="10" t="s">
        <v>1411</v>
      </c>
      <c r="E76" s="10" t="s">
        <v>144</v>
      </c>
      <c r="F76" s="10" t="s">
        <v>1378</v>
      </c>
    </row>
    <row r="77" spans="1:6" ht="27" customHeight="1" x14ac:dyDescent="0.2">
      <c r="A77" s="10" t="s">
        <v>339</v>
      </c>
      <c r="B77" s="10" t="s">
        <v>1412</v>
      </c>
      <c r="C77" s="10"/>
      <c r="D77" s="10" t="s">
        <v>1413</v>
      </c>
      <c r="E77" s="10" t="s">
        <v>162</v>
      </c>
      <c r="F77" s="3" t="s">
        <v>1381</v>
      </c>
    </row>
    <row r="78" spans="1:6" ht="15" customHeight="1" x14ac:dyDescent="0.2">
      <c r="A78" s="10" t="s">
        <v>341</v>
      </c>
      <c r="B78" s="10" t="s">
        <v>1414</v>
      </c>
      <c r="C78" s="10"/>
      <c r="D78" s="10" t="s">
        <v>1415</v>
      </c>
      <c r="E78" s="10" t="s">
        <v>144</v>
      </c>
      <c r="F78" s="10" t="s">
        <v>1378</v>
      </c>
    </row>
    <row r="79" spans="1:6" ht="27" customHeight="1" x14ac:dyDescent="0.2">
      <c r="A79" s="10" t="s">
        <v>343</v>
      </c>
      <c r="B79" s="10" t="s">
        <v>1416</v>
      </c>
      <c r="C79" s="10"/>
      <c r="D79" s="10" t="s">
        <v>1417</v>
      </c>
      <c r="E79" s="10" t="s">
        <v>162</v>
      </c>
      <c r="F79" s="3" t="s">
        <v>1381</v>
      </c>
    </row>
    <row r="80" spans="1:6" ht="51" customHeight="1" x14ac:dyDescent="0.2">
      <c r="A80" s="10" t="s">
        <v>345</v>
      </c>
      <c r="B80" s="10" t="s">
        <v>1418</v>
      </c>
      <c r="C80" s="10" t="s">
        <v>347</v>
      </c>
      <c r="D80" s="10" t="s">
        <v>1419</v>
      </c>
      <c r="E80" s="10" t="s">
        <v>162</v>
      </c>
      <c r="F80" s="3" t="s">
        <v>1420</v>
      </c>
    </row>
    <row r="81" spans="1:6" ht="27" customHeight="1" x14ac:dyDescent="0.2">
      <c r="A81" s="10" t="s">
        <v>348</v>
      </c>
      <c r="B81" s="10" t="s">
        <v>1421</v>
      </c>
      <c r="C81" s="10"/>
      <c r="D81" s="10" t="s">
        <v>1422</v>
      </c>
      <c r="E81" s="10" t="s">
        <v>162</v>
      </c>
      <c r="F81" s="3" t="s">
        <v>1423</v>
      </c>
    </row>
    <row r="82" spans="1:6" ht="27" customHeight="1" x14ac:dyDescent="0.2">
      <c r="A82" s="10" t="s">
        <v>350</v>
      </c>
      <c r="B82" s="10" t="s">
        <v>1424</v>
      </c>
      <c r="C82" s="10"/>
      <c r="D82" s="10" t="s">
        <v>1425</v>
      </c>
      <c r="E82" s="10" t="s">
        <v>162</v>
      </c>
      <c r="F82" s="3" t="s">
        <v>1426</v>
      </c>
    </row>
    <row r="83" spans="1:6" ht="27" customHeight="1" x14ac:dyDescent="0.2">
      <c r="A83" s="10" t="s">
        <v>352</v>
      </c>
      <c r="B83" s="10" t="s">
        <v>1427</v>
      </c>
      <c r="C83" s="10"/>
      <c r="D83" s="10" t="s">
        <v>1428</v>
      </c>
      <c r="E83" s="10" t="s">
        <v>162</v>
      </c>
      <c r="F83" s="3" t="s">
        <v>1429</v>
      </c>
    </row>
    <row r="84" spans="1:6" ht="27" customHeight="1" x14ac:dyDescent="0.2">
      <c r="A84" s="10" t="s">
        <v>355</v>
      </c>
      <c r="B84" s="10" t="s">
        <v>1430</v>
      </c>
      <c r="C84" s="10"/>
      <c r="D84" s="10" t="s">
        <v>1431</v>
      </c>
      <c r="E84" s="10" t="s">
        <v>162</v>
      </c>
      <c r="F84" s="3" t="s">
        <v>1429</v>
      </c>
    </row>
    <row r="85" spans="1:6" ht="27" customHeight="1" x14ac:dyDescent="0.2">
      <c r="A85" s="10" t="s">
        <v>357</v>
      </c>
      <c r="B85" s="10" t="s">
        <v>1432</v>
      </c>
      <c r="C85" s="10"/>
      <c r="D85" s="10" t="s">
        <v>1433</v>
      </c>
      <c r="E85" s="10" t="s">
        <v>162</v>
      </c>
      <c r="F85" s="3" t="s">
        <v>1429</v>
      </c>
    </row>
    <row r="86" spans="1:6" ht="27" customHeight="1" x14ac:dyDescent="0.2">
      <c r="A86" s="10" t="s">
        <v>359</v>
      </c>
      <c r="B86" s="10" t="s">
        <v>1434</v>
      </c>
      <c r="C86" s="10"/>
      <c r="D86" s="10" t="s">
        <v>1435</v>
      </c>
      <c r="E86" s="10" t="s">
        <v>162</v>
      </c>
      <c r="F86" s="3" t="s">
        <v>1429</v>
      </c>
    </row>
    <row r="87" spans="1:6" ht="27" customHeight="1" x14ac:dyDescent="0.2">
      <c r="A87" s="10" t="s">
        <v>361</v>
      </c>
      <c r="B87" s="10" t="s">
        <v>1436</v>
      </c>
      <c r="C87" s="10"/>
      <c r="D87" s="10" t="s">
        <v>1437</v>
      </c>
      <c r="E87" s="10" t="s">
        <v>162</v>
      </c>
      <c r="F87" s="3" t="s">
        <v>1429</v>
      </c>
    </row>
    <row r="88" spans="1:6" ht="27" customHeight="1" x14ac:dyDescent="0.2">
      <c r="A88" s="10" t="s">
        <v>363</v>
      </c>
      <c r="B88" s="10" t="s">
        <v>1438</v>
      </c>
      <c r="C88" s="10"/>
      <c r="D88" s="10" t="s">
        <v>1439</v>
      </c>
      <c r="E88" s="10" t="s">
        <v>162</v>
      </c>
      <c r="F88" s="3" t="s">
        <v>1429</v>
      </c>
    </row>
    <row r="89" spans="1:6" ht="27" customHeight="1" x14ac:dyDescent="0.2">
      <c r="A89" s="10" t="s">
        <v>365</v>
      </c>
      <c r="B89" s="10" t="s">
        <v>1440</v>
      </c>
      <c r="C89" s="10"/>
      <c r="D89" s="10" t="s">
        <v>1441</v>
      </c>
      <c r="E89" s="10" t="s">
        <v>162</v>
      </c>
      <c r="F89" s="3" t="s">
        <v>1429</v>
      </c>
    </row>
    <row r="90" spans="1:6" ht="27" customHeight="1" x14ac:dyDescent="0.2">
      <c r="A90" s="10" t="s">
        <v>367</v>
      </c>
      <c r="B90" s="10" t="s">
        <v>1442</v>
      </c>
      <c r="C90" s="10"/>
      <c r="D90" s="10" t="s">
        <v>1443</v>
      </c>
      <c r="E90" s="10" t="s">
        <v>162</v>
      </c>
      <c r="F90" s="3" t="s">
        <v>1429</v>
      </c>
    </row>
    <row r="91" spans="1:6" ht="27" customHeight="1" x14ac:dyDescent="0.2">
      <c r="A91" s="10" t="s">
        <v>369</v>
      </c>
      <c r="B91" s="10" t="s">
        <v>1444</v>
      </c>
      <c r="C91" s="10"/>
      <c r="D91" s="10" t="s">
        <v>1445</v>
      </c>
      <c r="E91" s="10" t="s">
        <v>162</v>
      </c>
      <c r="F91" s="3" t="s">
        <v>1429</v>
      </c>
    </row>
    <row r="92" spans="1:6" ht="27" customHeight="1" x14ac:dyDescent="0.2">
      <c r="A92" s="10" t="s">
        <v>371</v>
      </c>
      <c r="B92" s="10" t="s">
        <v>1446</v>
      </c>
      <c r="C92" s="10"/>
      <c r="D92" s="10" t="s">
        <v>1447</v>
      </c>
      <c r="E92" s="10" t="s">
        <v>162</v>
      </c>
      <c r="F92" s="3" t="s">
        <v>1429</v>
      </c>
    </row>
    <row r="93" spans="1:6" ht="51" customHeight="1" x14ac:dyDescent="0.2">
      <c r="A93" s="10" t="s">
        <v>373</v>
      </c>
      <c r="B93" s="10" t="s">
        <v>1448</v>
      </c>
      <c r="C93" s="10" t="s">
        <v>375</v>
      </c>
      <c r="D93" s="10" t="s">
        <v>1449</v>
      </c>
      <c r="E93" s="10" t="s">
        <v>162</v>
      </c>
      <c r="F93" s="3" t="s">
        <v>1420</v>
      </c>
    </row>
    <row r="94" spans="1:6" ht="27" customHeight="1" x14ac:dyDescent="0.2">
      <c r="A94" s="10" t="s">
        <v>376</v>
      </c>
      <c r="B94" s="10" t="s">
        <v>1450</v>
      </c>
      <c r="C94" s="10"/>
      <c r="D94" s="10" t="s">
        <v>1451</v>
      </c>
      <c r="E94" s="10" t="s">
        <v>162</v>
      </c>
      <c r="F94" s="3" t="s">
        <v>1423</v>
      </c>
    </row>
    <row r="95" spans="1:6" ht="27" customHeight="1" x14ac:dyDescent="0.2">
      <c r="A95" s="10" t="s">
        <v>378</v>
      </c>
      <c r="B95" s="10" t="s">
        <v>1452</v>
      </c>
      <c r="C95" s="10"/>
      <c r="D95" s="10" t="s">
        <v>1453</v>
      </c>
      <c r="E95" s="10" t="s">
        <v>162</v>
      </c>
      <c r="F95" s="3" t="s">
        <v>1426</v>
      </c>
    </row>
    <row r="96" spans="1:6" ht="27" customHeight="1" x14ac:dyDescent="0.2">
      <c r="A96" s="10" t="s">
        <v>380</v>
      </c>
      <c r="B96" s="10" t="s">
        <v>1454</v>
      </c>
      <c r="C96" s="10"/>
      <c r="D96" s="10" t="s">
        <v>1455</v>
      </c>
      <c r="E96" s="10" t="s">
        <v>162</v>
      </c>
      <c r="F96" s="3" t="s">
        <v>1429</v>
      </c>
    </row>
    <row r="97" spans="1:6" ht="27" customHeight="1" x14ac:dyDescent="0.2">
      <c r="A97" s="10" t="s">
        <v>382</v>
      </c>
      <c r="B97" s="10" t="s">
        <v>1456</v>
      </c>
      <c r="C97" s="10"/>
      <c r="D97" s="10" t="s">
        <v>1457</v>
      </c>
      <c r="E97" s="10" t="s">
        <v>162</v>
      </c>
      <c r="F97" s="3" t="s">
        <v>1429</v>
      </c>
    </row>
    <row r="98" spans="1:6" ht="27" customHeight="1" x14ac:dyDescent="0.2">
      <c r="A98" s="10" t="s">
        <v>384</v>
      </c>
      <c r="B98" s="10" t="s">
        <v>1458</v>
      </c>
      <c r="C98" s="10"/>
      <c r="D98" s="10" t="s">
        <v>1459</v>
      </c>
      <c r="E98" s="10" t="s">
        <v>162</v>
      </c>
      <c r="F98" s="3" t="s">
        <v>1429</v>
      </c>
    </row>
    <row r="99" spans="1:6" ht="27" customHeight="1" x14ac:dyDescent="0.2">
      <c r="A99" s="10" t="s">
        <v>386</v>
      </c>
      <c r="B99" s="10" t="s">
        <v>1460</v>
      </c>
      <c r="C99" s="10"/>
      <c r="D99" s="10" t="s">
        <v>1461</v>
      </c>
      <c r="E99" s="10" t="s">
        <v>162</v>
      </c>
      <c r="F99" s="3" t="s">
        <v>1429</v>
      </c>
    </row>
    <row r="100" spans="1:6" ht="27" customHeight="1" x14ac:dyDescent="0.2">
      <c r="A100" s="10" t="s">
        <v>388</v>
      </c>
      <c r="B100" s="10" t="s">
        <v>1462</v>
      </c>
      <c r="C100" s="10"/>
      <c r="D100" s="10" t="s">
        <v>1463</v>
      </c>
      <c r="E100" s="10" t="s">
        <v>162</v>
      </c>
      <c r="F100" s="3" t="s">
        <v>1429</v>
      </c>
    </row>
    <row r="101" spans="1:6" ht="27" customHeight="1" x14ac:dyDescent="0.2">
      <c r="A101" s="10" t="s">
        <v>390</v>
      </c>
      <c r="B101" s="10" t="s">
        <v>1464</v>
      </c>
      <c r="C101" s="10"/>
      <c r="D101" s="10" t="s">
        <v>1465</v>
      </c>
      <c r="E101" s="10" t="s">
        <v>162</v>
      </c>
      <c r="F101" s="3" t="s">
        <v>1429</v>
      </c>
    </row>
    <row r="102" spans="1:6" ht="27" customHeight="1" x14ac:dyDescent="0.2">
      <c r="A102" s="10" t="s">
        <v>392</v>
      </c>
      <c r="B102" s="10" t="s">
        <v>1466</v>
      </c>
      <c r="C102" s="10"/>
      <c r="D102" s="10" t="s">
        <v>1467</v>
      </c>
      <c r="E102" s="10" t="s">
        <v>162</v>
      </c>
      <c r="F102" s="3" t="s">
        <v>1429</v>
      </c>
    </row>
    <row r="103" spans="1:6" ht="27" customHeight="1" x14ac:dyDescent="0.2">
      <c r="A103" s="10" t="s">
        <v>394</v>
      </c>
      <c r="B103" s="10" t="s">
        <v>1468</v>
      </c>
      <c r="C103" s="10"/>
      <c r="D103" s="10" t="s">
        <v>1469</v>
      </c>
      <c r="E103" s="10" t="s">
        <v>162</v>
      </c>
      <c r="F103" s="3" t="s">
        <v>1429</v>
      </c>
    </row>
    <row r="104" spans="1:6" ht="27" customHeight="1" x14ac:dyDescent="0.2">
      <c r="A104" s="10" t="s">
        <v>396</v>
      </c>
      <c r="B104" s="10" t="s">
        <v>1470</v>
      </c>
      <c r="C104" s="10"/>
      <c r="D104" s="10" t="s">
        <v>1471</v>
      </c>
      <c r="E104" s="10" t="s">
        <v>162</v>
      </c>
      <c r="F104" s="3" t="s">
        <v>1429</v>
      </c>
    </row>
    <row r="105" spans="1:6" ht="27" customHeight="1" x14ac:dyDescent="0.2">
      <c r="A105" s="10" t="s">
        <v>398</v>
      </c>
      <c r="B105" s="10" t="s">
        <v>1472</v>
      </c>
      <c r="C105" s="10"/>
      <c r="D105" s="10" t="s">
        <v>1473</v>
      </c>
      <c r="E105" s="10" t="s">
        <v>162</v>
      </c>
      <c r="F105" s="3" t="s">
        <v>1429</v>
      </c>
    </row>
    <row r="106" spans="1:6" ht="51" customHeight="1" x14ac:dyDescent="0.2">
      <c r="A106" s="10" t="s">
        <v>400</v>
      </c>
      <c r="B106" s="10" t="s">
        <v>1474</v>
      </c>
      <c r="C106" s="10" t="s">
        <v>375</v>
      </c>
      <c r="D106" s="10" t="s">
        <v>1475</v>
      </c>
      <c r="E106" s="10" t="s">
        <v>162</v>
      </c>
      <c r="F106" s="3" t="s">
        <v>1420</v>
      </c>
    </row>
    <row r="107" spans="1:6" ht="27" customHeight="1" x14ac:dyDescent="0.2">
      <c r="A107" s="10" t="s">
        <v>402</v>
      </c>
      <c r="B107" s="10" t="s">
        <v>1476</v>
      </c>
      <c r="C107" s="10"/>
      <c r="D107" s="10" t="s">
        <v>1477</v>
      </c>
      <c r="E107" s="10" t="s">
        <v>162</v>
      </c>
      <c r="F107" s="3" t="s">
        <v>1423</v>
      </c>
    </row>
    <row r="108" spans="1:6" ht="27" customHeight="1" x14ac:dyDescent="0.2">
      <c r="A108" s="10" t="s">
        <v>404</v>
      </c>
      <c r="B108" s="10" t="s">
        <v>1478</v>
      </c>
      <c r="C108" s="10"/>
      <c r="D108" s="10" t="s">
        <v>1479</v>
      </c>
      <c r="E108" s="10" t="s">
        <v>162</v>
      </c>
      <c r="F108" s="3" t="s">
        <v>1426</v>
      </c>
    </row>
    <row r="109" spans="1:6" ht="27" customHeight="1" x14ac:dyDescent="0.2">
      <c r="A109" s="10" t="s">
        <v>406</v>
      </c>
      <c r="B109" s="10" t="s">
        <v>1480</v>
      </c>
      <c r="C109" s="10"/>
      <c r="D109" s="10" t="s">
        <v>1481</v>
      </c>
      <c r="E109" s="10" t="s">
        <v>162</v>
      </c>
      <c r="F109" s="3" t="s">
        <v>1429</v>
      </c>
    </row>
    <row r="110" spans="1:6" ht="27" customHeight="1" x14ac:dyDescent="0.2">
      <c r="A110" s="10" t="s">
        <v>408</v>
      </c>
      <c r="B110" s="10" t="s">
        <v>1482</v>
      </c>
      <c r="C110" s="10"/>
      <c r="D110" s="10" t="s">
        <v>1483</v>
      </c>
      <c r="E110" s="10" t="s">
        <v>162</v>
      </c>
      <c r="F110" s="3" t="s">
        <v>1429</v>
      </c>
    </row>
    <row r="111" spans="1:6" ht="27" customHeight="1" x14ac:dyDescent="0.2">
      <c r="A111" s="10" t="s">
        <v>410</v>
      </c>
      <c r="B111" s="10" t="s">
        <v>1484</v>
      </c>
      <c r="C111" s="10"/>
      <c r="D111" s="10" t="s">
        <v>1485</v>
      </c>
      <c r="E111" s="10" t="s">
        <v>162</v>
      </c>
      <c r="F111" s="3" t="s">
        <v>1429</v>
      </c>
    </row>
    <row r="112" spans="1:6" ht="27" customHeight="1" x14ac:dyDescent="0.2">
      <c r="A112" s="10" t="s">
        <v>412</v>
      </c>
      <c r="B112" s="10" t="s">
        <v>1486</v>
      </c>
      <c r="C112" s="10"/>
      <c r="D112" s="10" t="s">
        <v>1487</v>
      </c>
      <c r="E112" s="10" t="s">
        <v>162</v>
      </c>
      <c r="F112" s="3" t="s">
        <v>1429</v>
      </c>
    </row>
    <row r="113" spans="1:6" ht="27" customHeight="1" x14ac:dyDescent="0.2">
      <c r="A113" s="10" t="s">
        <v>414</v>
      </c>
      <c r="B113" s="10" t="s">
        <v>1488</v>
      </c>
      <c r="C113" s="10"/>
      <c r="D113" s="10" t="s">
        <v>1489</v>
      </c>
      <c r="E113" s="10" t="s">
        <v>162</v>
      </c>
      <c r="F113" s="3" t="s">
        <v>1429</v>
      </c>
    </row>
    <row r="114" spans="1:6" ht="27" customHeight="1" x14ac:dyDescent="0.2">
      <c r="A114" s="10" t="s">
        <v>416</v>
      </c>
      <c r="B114" s="10" t="s">
        <v>1490</v>
      </c>
      <c r="C114" s="10"/>
      <c r="D114" s="10" t="s">
        <v>1491</v>
      </c>
      <c r="E114" s="10" t="s">
        <v>162</v>
      </c>
      <c r="F114" s="3" t="s">
        <v>1429</v>
      </c>
    </row>
    <row r="115" spans="1:6" ht="27" customHeight="1" x14ac:dyDescent="0.2">
      <c r="A115" s="10" t="s">
        <v>418</v>
      </c>
      <c r="B115" s="10" t="s">
        <v>1492</v>
      </c>
      <c r="C115" s="10"/>
      <c r="D115" s="10" t="s">
        <v>1493</v>
      </c>
      <c r="E115" s="10" t="s">
        <v>162</v>
      </c>
      <c r="F115" s="3" t="s">
        <v>1429</v>
      </c>
    </row>
    <row r="116" spans="1:6" ht="27" customHeight="1" x14ac:dyDescent="0.2">
      <c r="A116" s="10" t="s">
        <v>420</v>
      </c>
      <c r="B116" s="10" t="s">
        <v>1494</v>
      </c>
      <c r="C116" s="10"/>
      <c r="D116" s="10" t="s">
        <v>1495</v>
      </c>
      <c r="E116" s="10" t="s">
        <v>162</v>
      </c>
      <c r="F116" s="3" t="s">
        <v>1429</v>
      </c>
    </row>
    <row r="117" spans="1:6" ht="27" customHeight="1" x14ac:dyDescent="0.2">
      <c r="A117" s="10" t="s">
        <v>422</v>
      </c>
      <c r="B117" s="10" t="s">
        <v>1496</v>
      </c>
      <c r="C117" s="10"/>
      <c r="D117" s="10" t="s">
        <v>1497</v>
      </c>
      <c r="E117" s="10" t="s">
        <v>162</v>
      </c>
      <c r="F117" s="3" t="s">
        <v>1429</v>
      </c>
    </row>
    <row r="118" spans="1:6" ht="27" customHeight="1" x14ac:dyDescent="0.2">
      <c r="A118" s="10" t="s">
        <v>424</v>
      </c>
      <c r="B118" s="10" t="s">
        <v>1498</v>
      </c>
      <c r="C118" s="10"/>
      <c r="D118" s="10" t="s">
        <v>1499</v>
      </c>
      <c r="E118" s="10" t="s">
        <v>162</v>
      </c>
      <c r="F118" s="3" t="s">
        <v>1429</v>
      </c>
    </row>
    <row r="119" spans="1:6" ht="27" customHeight="1" x14ac:dyDescent="0.2">
      <c r="A119" s="10" t="s">
        <v>426</v>
      </c>
      <c r="B119" s="10" t="s">
        <v>1500</v>
      </c>
      <c r="C119" s="10"/>
      <c r="D119" s="10" t="s">
        <v>1501</v>
      </c>
      <c r="E119" s="10" t="s">
        <v>144</v>
      </c>
      <c r="F119" s="3" t="s">
        <v>1502</v>
      </c>
    </row>
    <row r="120" spans="1:6" ht="15" customHeight="1" x14ac:dyDescent="0.2">
      <c r="A120" s="10" t="s">
        <v>428</v>
      </c>
      <c r="B120" s="10" t="s">
        <v>1503</v>
      </c>
      <c r="C120" s="10" t="s">
        <v>166</v>
      </c>
      <c r="D120" s="10"/>
      <c r="E120" s="10" t="s">
        <v>167</v>
      </c>
      <c r="F120" s="3" t="s">
        <v>1298</v>
      </c>
    </row>
    <row r="121" spans="1:6" ht="15" customHeight="1" x14ac:dyDescent="0.2">
      <c r="A121" s="10" t="s">
        <v>432</v>
      </c>
      <c r="B121" s="10" t="s">
        <v>1504</v>
      </c>
      <c r="C121" s="10" t="s">
        <v>434</v>
      </c>
      <c r="D121" s="10"/>
      <c r="E121" s="10" t="s">
        <v>167</v>
      </c>
      <c r="F121" s="3" t="s">
        <v>1298</v>
      </c>
    </row>
    <row r="122" spans="1:6" ht="15" customHeight="1" x14ac:dyDescent="0.2">
      <c r="A122" s="10" t="s">
        <v>436</v>
      </c>
      <c r="B122" s="10" t="s">
        <v>1505</v>
      </c>
      <c r="C122" s="10" t="s">
        <v>74</v>
      </c>
      <c r="D122" s="10"/>
      <c r="E122" s="10" t="s">
        <v>167</v>
      </c>
      <c r="F122" s="3" t="s">
        <v>1298</v>
      </c>
    </row>
    <row r="123" spans="1:6" ht="15" customHeight="1" x14ac:dyDescent="0.2">
      <c r="A123" s="10" t="s">
        <v>439</v>
      </c>
      <c r="B123" s="10" t="s">
        <v>1506</v>
      </c>
      <c r="C123" s="10" t="s">
        <v>76</v>
      </c>
      <c r="D123" s="10"/>
      <c r="E123" s="10" t="s">
        <v>167</v>
      </c>
      <c r="F123" s="3" t="s">
        <v>1298</v>
      </c>
    </row>
    <row r="124" spans="1:6" ht="15" customHeight="1" x14ac:dyDescent="0.2">
      <c r="A124" s="10" t="s">
        <v>441</v>
      </c>
      <c r="B124" s="10" t="s">
        <v>1507</v>
      </c>
      <c r="C124" s="10" t="s">
        <v>78</v>
      </c>
      <c r="D124" s="10"/>
      <c r="E124" s="10" t="s">
        <v>167</v>
      </c>
      <c r="F124" s="3" t="s">
        <v>1298</v>
      </c>
    </row>
    <row r="125" spans="1:6" ht="15" customHeight="1" x14ac:dyDescent="0.2">
      <c r="A125" s="10" t="s">
        <v>443</v>
      </c>
      <c r="B125" s="10" t="s">
        <v>1508</v>
      </c>
      <c r="C125" s="10" t="s">
        <v>443</v>
      </c>
      <c r="D125" s="10"/>
      <c r="E125" s="10" t="s">
        <v>167</v>
      </c>
      <c r="F125" s="3" t="s">
        <v>1298</v>
      </c>
    </row>
    <row r="126" spans="1:6" ht="15" customHeight="1" x14ac:dyDescent="0.2">
      <c r="A126" s="10" t="s">
        <v>446</v>
      </c>
      <c r="B126" s="10" t="s">
        <v>1509</v>
      </c>
      <c r="C126" s="10" t="s">
        <v>446</v>
      </c>
      <c r="D126" s="10"/>
      <c r="E126" s="10" t="s">
        <v>167</v>
      </c>
      <c r="F126" s="3" t="s">
        <v>1298</v>
      </c>
    </row>
    <row r="127" spans="1:6" ht="15" customHeight="1" x14ac:dyDescent="0.2">
      <c r="A127" s="10" t="s">
        <v>80</v>
      </c>
      <c r="B127" s="10" t="s">
        <v>1510</v>
      </c>
      <c r="C127" s="10" t="s">
        <v>80</v>
      </c>
      <c r="D127" s="10"/>
      <c r="E127" s="10" t="s">
        <v>167</v>
      </c>
      <c r="F127" s="3" t="s">
        <v>1298</v>
      </c>
    </row>
    <row r="128" spans="1:6" ht="15" customHeight="1" x14ac:dyDescent="0.2">
      <c r="A128" s="10" t="s">
        <v>83</v>
      </c>
      <c r="B128" s="10" t="s">
        <v>1511</v>
      </c>
      <c r="C128" s="10" t="s">
        <v>83</v>
      </c>
      <c r="D128" s="10"/>
      <c r="E128" s="10" t="s">
        <v>167</v>
      </c>
      <c r="F128" s="3" t="s">
        <v>1298</v>
      </c>
    </row>
    <row r="129" spans="1:6" ht="15" customHeight="1" x14ac:dyDescent="0.2">
      <c r="A129" s="10" t="s">
        <v>85</v>
      </c>
      <c r="B129" s="10" t="s">
        <v>1512</v>
      </c>
      <c r="C129" s="10" t="s">
        <v>85</v>
      </c>
      <c r="D129" s="10"/>
      <c r="E129" s="10" t="s">
        <v>167</v>
      </c>
      <c r="F129" s="3" t="s">
        <v>1298</v>
      </c>
    </row>
    <row r="130" spans="1:6" ht="15" customHeight="1" x14ac:dyDescent="0.2">
      <c r="A130" s="10" t="s">
        <v>454</v>
      </c>
      <c r="B130" s="10" t="s">
        <v>1513</v>
      </c>
      <c r="C130" s="10" t="s">
        <v>454</v>
      </c>
      <c r="D130" s="10"/>
      <c r="E130" s="10" t="s">
        <v>167</v>
      </c>
      <c r="F130" s="3" t="s">
        <v>1298</v>
      </c>
    </row>
    <row r="131" spans="1:6" ht="15" customHeight="1" x14ac:dyDescent="0.2">
      <c r="A131" s="10" t="s">
        <v>457</v>
      </c>
      <c r="B131" s="10" t="s">
        <v>1514</v>
      </c>
      <c r="C131" s="10" t="s">
        <v>457</v>
      </c>
      <c r="D131" s="10"/>
      <c r="E131" s="10" t="s">
        <v>167</v>
      </c>
      <c r="F131" s="3" t="s">
        <v>1298</v>
      </c>
    </row>
    <row r="132" spans="1:6" ht="15" customHeight="1" x14ac:dyDescent="0.2">
      <c r="A132" s="10" t="s">
        <v>459</v>
      </c>
      <c r="B132" s="10" t="s">
        <v>1515</v>
      </c>
      <c r="C132" s="10" t="s">
        <v>461</v>
      </c>
      <c r="D132" s="10"/>
      <c r="E132" s="10" t="s">
        <v>167</v>
      </c>
      <c r="F132" s="3" t="s">
        <v>1298</v>
      </c>
    </row>
    <row r="133" spans="1:6" ht="15" customHeight="1" x14ac:dyDescent="0.2">
      <c r="A133" s="10" t="s">
        <v>463</v>
      </c>
      <c r="B133" s="10" t="s">
        <v>1516</v>
      </c>
      <c r="C133" s="10" t="s">
        <v>463</v>
      </c>
      <c r="D133" s="10"/>
      <c r="E133" s="10" t="s">
        <v>167</v>
      </c>
      <c r="F133" s="3" t="s">
        <v>1298</v>
      </c>
    </row>
    <row r="134" spans="1:6" ht="15" customHeight="1" x14ac:dyDescent="0.2">
      <c r="A134" s="10" t="s">
        <v>466</v>
      </c>
      <c r="B134" s="10" t="s">
        <v>1517</v>
      </c>
      <c r="C134" s="10" t="s">
        <v>466</v>
      </c>
      <c r="D134" s="10"/>
      <c r="E134" s="10" t="s">
        <v>167</v>
      </c>
      <c r="F134" s="3" t="s">
        <v>1298</v>
      </c>
    </row>
    <row r="135" spans="1:6" ht="15" customHeight="1" x14ac:dyDescent="0.2">
      <c r="A135" s="10" t="s">
        <v>469</v>
      </c>
      <c r="B135" s="10" t="s">
        <v>1518</v>
      </c>
      <c r="C135" s="10" t="s">
        <v>469</v>
      </c>
      <c r="D135" s="10"/>
      <c r="E135" s="10" t="s">
        <v>167</v>
      </c>
      <c r="F135" s="3" t="s">
        <v>1298</v>
      </c>
    </row>
    <row r="136" spans="1:6" ht="15" customHeight="1" x14ac:dyDescent="0.2">
      <c r="A136" s="10" t="s">
        <v>472</v>
      </c>
      <c r="B136" s="10" t="s">
        <v>1519</v>
      </c>
      <c r="C136" s="10" t="s">
        <v>469</v>
      </c>
      <c r="D136" s="10"/>
      <c r="E136" s="10" t="s">
        <v>167</v>
      </c>
      <c r="F136" s="3" t="s">
        <v>1298</v>
      </c>
    </row>
    <row r="137" spans="1:6" ht="15" customHeight="1" x14ac:dyDescent="0.2">
      <c r="A137" s="10" t="s">
        <v>475</v>
      </c>
      <c r="B137" s="10" t="s">
        <v>1520</v>
      </c>
      <c r="C137" s="10" t="s">
        <v>478</v>
      </c>
      <c r="D137" s="10"/>
      <c r="E137" s="10" t="s">
        <v>167</v>
      </c>
      <c r="F137" s="3" t="s">
        <v>1298</v>
      </c>
    </row>
    <row r="138" spans="1:6" ht="15" customHeight="1" x14ac:dyDescent="0.2">
      <c r="A138" s="10" t="s">
        <v>480</v>
      </c>
      <c r="B138" s="10" t="s">
        <v>1521</v>
      </c>
      <c r="C138" s="10" t="s">
        <v>482</v>
      </c>
      <c r="D138" s="10"/>
      <c r="E138" s="10" t="s">
        <v>167</v>
      </c>
      <c r="F138" s="3" t="s">
        <v>1298</v>
      </c>
    </row>
    <row r="139" spans="1:6" ht="15" customHeight="1" x14ac:dyDescent="0.2">
      <c r="A139" s="10" t="s">
        <v>484</v>
      </c>
      <c r="B139" s="10" t="s">
        <v>1522</v>
      </c>
      <c r="C139" s="10" t="s">
        <v>484</v>
      </c>
      <c r="D139" s="10"/>
      <c r="E139" s="10" t="s">
        <v>167</v>
      </c>
      <c r="F139" s="3" t="s">
        <v>1298</v>
      </c>
    </row>
    <row r="140" spans="1:6" ht="27" customHeight="1" x14ac:dyDescent="0.2">
      <c r="A140" s="10" t="s">
        <v>487</v>
      </c>
      <c r="B140" s="10" t="s">
        <v>1523</v>
      </c>
      <c r="C140" s="10"/>
      <c r="D140" s="10" t="s">
        <v>1524</v>
      </c>
      <c r="E140" s="10" t="s">
        <v>162</v>
      </c>
      <c r="F140" s="3" t="s">
        <v>1525</v>
      </c>
    </row>
    <row r="141" spans="1:6" ht="27" customHeight="1" x14ac:dyDescent="0.2">
      <c r="A141" s="10" t="s">
        <v>489</v>
      </c>
      <c r="B141" s="10" t="s">
        <v>1526</v>
      </c>
      <c r="C141" s="10"/>
      <c r="D141" s="10" t="s">
        <v>1527</v>
      </c>
      <c r="E141" s="10" t="s">
        <v>162</v>
      </c>
      <c r="F141" s="3" t="s">
        <v>1525</v>
      </c>
    </row>
    <row r="142" spans="1:6" ht="27" customHeight="1" x14ac:dyDescent="0.2">
      <c r="A142" s="10" t="s">
        <v>490</v>
      </c>
      <c r="B142" s="10" t="s">
        <v>1528</v>
      </c>
      <c r="C142" s="10"/>
      <c r="D142" s="10" t="s">
        <v>1529</v>
      </c>
      <c r="E142" s="10" t="s">
        <v>162</v>
      </c>
      <c r="F142" s="3" t="s">
        <v>1525</v>
      </c>
    </row>
    <row r="143" spans="1:6" ht="27" customHeight="1" x14ac:dyDescent="0.2">
      <c r="A143" s="10" t="s">
        <v>491</v>
      </c>
      <c r="B143" s="10" t="s">
        <v>1530</v>
      </c>
      <c r="C143" s="10"/>
      <c r="D143" s="10" t="s">
        <v>1531</v>
      </c>
      <c r="E143" s="10" t="s">
        <v>162</v>
      </c>
      <c r="F143" s="3" t="s">
        <v>1525</v>
      </c>
    </row>
    <row r="144" spans="1:6" ht="27" customHeight="1" x14ac:dyDescent="0.2">
      <c r="A144" s="10" t="s">
        <v>492</v>
      </c>
      <c r="B144" s="10" t="s">
        <v>1532</v>
      </c>
      <c r="C144" s="10"/>
      <c r="D144" s="10" t="s">
        <v>1533</v>
      </c>
      <c r="E144" s="10" t="s">
        <v>162</v>
      </c>
      <c r="F144" s="3" t="s">
        <v>1525</v>
      </c>
    </row>
    <row r="145" spans="1:6" ht="27" customHeight="1" x14ac:dyDescent="0.2">
      <c r="A145" s="10" t="s">
        <v>493</v>
      </c>
      <c r="B145" s="10" t="s">
        <v>1534</v>
      </c>
      <c r="C145" s="10"/>
      <c r="D145" s="10" t="s">
        <v>1535</v>
      </c>
      <c r="E145" s="10" t="s">
        <v>162</v>
      </c>
      <c r="F145" s="3" t="s">
        <v>1525</v>
      </c>
    </row>
    <row r="146" spans="1:6" ht="27" customHeight="1" x14ac:dyDescent="0.2">
      <c r="A146" s="10" t="s">
        <v>494</v>
      </c>
      <c r="B146" s="10" t="s">
        <v>1536</v>
      </c>
      <c r="C146" s="10"/>
      <c r="D146" s="10" t="s">
        <v>1537</v>
      </c>
      <c r="E146" s="10" t="s">
        <v>162</v>
      </c>
      <c r="F146" s="3" t="s">
        <v>1538</v>
      </c>
    </row>
    <row r="147" spans="1:6" ht="27" customHeight="1" x14ac:dyDescent="0.2">
      <c r="A147" s="10" t="s">
        <v>496</v>
      </c>
      <c r="B147" s="10" t="s">
        <v>1539</v>
      </c>
      <c r="C147" s="10"/>
      <c r="D147" s="10" t="s">
        <v>1540</v>
      </c>
      <c r="E147" s="10" t="s">
        <v>162</v>
      </c>
      <c r="F147" s="3" t="s">
        <v>1538</v>
      </c>
    </row>
    <row r="148" spans="1:6" ht="27" customHeight="1" x14ac:dyDescent="0.2">
      <c r="A148" s="10" t="s">
        <v>497</v>
      </c>
      <c r="B148" s="10" t="s">
        <v>1541</v>
      </c>
      <c r="C148" s="10"/>
      <c r="D148" s="10" t="s">
        <v>1542</v>
      </c>
      <c r="E148" s="10" t="s">
        <v>162</v>
      </c>
      <c r="F148" s="3" t="s">
        <v>1538</v>
      </c>
    </row>
    <row r="149" spans="1:6" ht="27" customHeight="1" x14ac:dyDescent="0.2">
      <c r="A149" s="10" t="s">
        <v>498</v>
      </c>
      <c r="B149" s="10" t="s">
        <v>1543</v>
      </c>
      <c r="C149" s="10"/>
      <c r="D149" s="10" t="s">
        <v>1544</v>
      </c>
      <c r="E149" s="10" t="s">
        <v>162</v>
      </c>
      <c r="F149" s="3" t="s">
        <v>1538</v>
      </c>
    </row>
    <row r="150" spans="1:6" ht="27" customHeight="1" x14ac:dyDescent="0.2">
      <c r="A150" s="10" t="s">
        <v>499</v>
      </c>
      <c r="B150" s="10" t="s">
        <v>1545</v>
      </c>
      <c r="C150" s="10" t="s">
        <v>501</v>
      </c>
      <c r="D150" s="10" t="s">
        <v>1546</v>
      </c>
      <c r="E150" s="10" t="s">
        <v>162</v>
      </c>
      <c r="F150" s="3" t="s">
        <v>1547</v>
      </c>
    </row>
    <row r="151" spans="1:6" ht="15" customHeight="1" x14ac:dyDescent="0.2">
      <c r="A151" s="10" t="s">
        <v>502</v>
      </c>
      <c r="B151" s="10" t="s">
        <v>1548</v>
      </c>
      <c r="C151" s="10" t="s">
        <v>502</v>
      </c>
      <c r="D151" s="10"/>
      <c r="E151" s="10" t="s">
        <v>167</v>
      </c>
      <c r="F151" s="3" t="s">
        <v>1298</v>
      </c>
    </row>
    <row r="152" spans="1:6" ht="15" customHeight="1" x14ac:dyDescent="0.2">
      <c r="A152" s="10" t="s">
        <v>506</v>
      </c>
      <c r="B152" s="10" t="s">
        <v>1549</v>
      </c>
      <c r="C152" s="10" t="s">
        <v>506</v>
      </c>
      <c r="D152" s="10"/>
      <c r="E152" s="10" t="s">
        <v>167</v>
      </c>
      <c r="F152" s="3" t="s">
        <v>1298</v>
      </c>
    </row>
    <row r="153" spans="1:6" ht="15" customHeight="1" x14ac:dyDescent="0.2">
      <c r="A153" s="10" t="s">
        <v>510</v>
      </c>
      <c r="B153" s="10" t="s">
        <v>1550</v>
      </c>
      <c r="C153" s="10" t="s">
        <v>510</v>
      </c>
      <c r="D153" s="10"/>
      <c r="E153" s="10" t="s">
        <v>167</v>
      </c>
      <c r="F153" s="3" t="s">
        <v>1298</v>
      </c>
    </row>
    <row r="154" spans="1:6" ht="15" customHeight="1" x14ac:dyDescent="0.2">
      <c r="A154" s="10" t="s">
        <v>514</v>
      </c>
      <c r="B154" s="10" t="s">
        <v>1551</v>
      </c>
      <c r="C154" s="10" t="s">
        <v>514</v>
      </c>
      <c r="D154" s="10"/>
      <c r="E154" s="10" t="s">
        <v>167</v>
      </c>
      <c r="F154" s="3" t="s">
        <v>1298</v>
      </c>
    </row>
    <row r="155" spans="1:6" ht="15" customHeight="1" x14ac:dyDescent="0.2">
      <c r="A155" s="10" t="s">
        <v>102</v>
      </c>
      <c r="B155" s="10" t="s">
        <v>1552</v>
      </c>
      <c r="C155" s="10" t="s">
        <v>102</v>
      </c>
      <c r="D155" s="10"/>
      <c r="E155" s="10" t="s">
        <v>167</v>
      </c>
      <c r="F155" s="3" t="s">
        <v>1298</v>
      </c>
    </row>
    <row r="156" spans="1:6" ht="15" customHeight="1" x14ac:dyDescent="0.2">
      <c r="A156" s="10" t="s">
        <v>519</v>
      </c>
      <c r="B156" s="10" t="s">
        <v>1553</v>
      </c>
      <c r="C156" s="10" t="s">
        <v>519</v>
      </c>
      <c r="D156" s="10"/>
      <c r="E156" s="10" t="s">
        <v>167</v>
      </c>
      <c r="F156" s="3" t="s">
        <v>1298</v>
      </c>
    </row>
    <row r="157" spans="1:6" ht="15" customHeight="1" x14ac:dyDescent="0.2">
      <c r="A157" s="10" t="s">
        <v>100</v>
      </c>
      <c r="B157" s="10" t="s">
        <v>1554</v>
      </c>
      <c r="C157" s="10" t="s">
        <v>100</v>
      </c>
      <c r="D157" s="10"/>
      <c r="E157" s="10" t="s">
        <v>167</v>
      </c>
      <c r="F157" s="3" t="s">
        <v>1298</v>
      </c>
    </row>
    <row r="158" spans="1:6" ht="15" customHeight="1" x14ac:dyDescent="0.2">
      <c r="A158" s="10" t="s">
        <v>98</v>
      </c>
      <c r="B158" s="10" t="s">
        <v>1555</v>
      </c>
      <c r="C158" s="10" t="s">
        <v>98</v>
      </c>
      <c r="D158" s="10"/>
      <c r="E158" s="10" t="s">
        <v>167</v>
      </c>
      <c r="F158" s="3" t="s">
        <v>1298</v>
      </c>
    </row>
    <row r="159" spans="1:6" ht="15" customHeight="1" x14ac:dyDescent="0.2">
      <c r="A159" s="10" t="s">
        <v>526</v>
      </c>
      <c r="B159" s="10" t="s">
        <v>1556</v>
      </c>
      <c r="C159" s="10" t="s">
        <v>526</v>
      </c>
      <c r="D159" s="10"/>
      <c r="E159" s="10" t="s">
        <v>167</v>
      </c>
      <c r="F159" s="3" t="s">
        <v>1298</v>
      </c>
    </row>
    <row r="160" spans="1:6" ht="15" customHeight="1" x14ac:dyDescent="0.2">
      <c r="A160" s="10" t="s">
        <v>529</v>
      </c>
      <c r="B160" s="10" t="s">
        <v>1557</v>
      </c>
      <c r="C160" s="10" t="s">
        <v>529</v>
      </c>
      <c r="D160" s="10"/>
      <c r="E160" s="10" t="s">
        <v>167</v>
      </c>
      <c r="F160" s="3" t="s">
        <v>1298</v>
      </c>
    </row>
    <row r="161" spans="1:6" ht="27" customHeight="1" x14ac:dyDescent="0.2">
      <c r="A161" s="10" t="s">
        <v>532</v>
      </c>
      <c r="B161" s="10" t="s">
        <v>1558</v>
      </c>
      <c r="C161" s="10"/>
      <c r="D161" s="10" t="s">
        <v>1559</v>
      </c>
      <c r="E161" s="10" t="s">
        <v>162</v>
      </c>
      <c r="F161" s="3" t="s">
        <v>1560</v>
      </c>
    </row>
    <row r="162" spans="1:6" ht="27" customHeight="1" x14ac:dyDescent="0.2">
      <c r="A162" s="10" t="s">
        <v>534</v>
      </c>
      <c r="B162" s="10" t="s">
        <v>1561</v>
      </c>
      <c r="C162" s="10"/>
      <c r="D162" s="10" t="s">
        <v>1562</v>
      </c>
      <c r="E162" s="10" t="s">
        <v>162</v>
      </c>
      <c r="F162" s="3" t="s">
        <v>1560</v>
      </c>
    </row>
    <row r="163" spans="1:6" ht="27" customHeight="1" x14ac:dyDescent="0.2">
      <c r="A163" s="10" t="s">
        <v>535</v>
      </c>
      <c r="B163" s="10" t="s">
        <v>1563</v>
      </c>
      <c r="C163" s="10"/>
      <c r="D163" s="10" t="s">
        <v>1564</v>
      </c>
      <c r="E163" s="10" t="s">
        <v>162</v>
      </c>
      <c r="F163" s="3" t="s">
        <v>1560</v>
      </c>
    </row>
    <row r="164" spans="1:6" ht="27" customHeight="1" x14ac:dyDescent="0.2">
      <c r="A164" s="10" t="s">
        <v>536</v>
      </c>
      <c r="B164" s="10" t="s">
        <v>1565</v>
      </c>
      <c r="C164" s="10"/>
      <c r="D164" s="10" t="s">
        <v>1566</v>
      </c>
      <c r="E164" s="10" t="s">
        <v>162</v>
      </c>
      <c r="F164" s="3" t="s">
        <v>1560</v>
      </c>
    </row>
    <row r="165" spans="1:6" ht="27" customHeight="1" x14ac:dyDescent="0.2">
      <c r="A165" s="10" t="s">
        <v>537</v>
      </c>
      <c r="B165" s="10" t="s">
        <v>1567</v>
      </c>
      <c r="C165" s="10"/>
      <c r="D165" s="10" t="s">
        <v>1568</v>
      </c>
      <c r="E165" s="10" t="s">
        <v>162</v>
      </c>
      <c r="F165" s="3" t="s">
        <v>1569</v>
      </c>
    </row>
    <row r="166" spans="1:6" ht="27" customHeight="1" x14ac:dyDescent="0.2">
      <c r="A166" s="10" t="s">
        <v>540</v>
      </c>
      <c r="B166" s="10" t="s">
        <v>1570</v>
      </c>
      <c r="C166" s="10"/>
      <c r="D166" s="10" t="s">
        <v>1571</v>
      </c>
      <c r="E166" s="10" t="s">
        <v>162</v>
      </c>
      <c r="F166" s="3" t="s">
        <v>1569</v>
      </c>
    </row>
    <row r="167" spans="1:6" ht="27" customHeight="1" x14ac:dyDescent="0.2">
      <c r="A167" s="10" t="s">
        <v>541</v>
      </c>
      <c r="B167" s="10" t="s">
        <v>1572</v>
      </c>
      <c r="C167" s="10"/>
      <c r="D167" s="10" t="s">
        <v>1573</v>
      </c>
      <c r="E167" s="10" t="s">
        <v>162</v>
      </c>
      <c r="F167" s="3" t="s">
        <v>1569</v>
      </c>
    </row>
    <row r="168" spans="1:6" ht="27" customHeight="1" x14ac:dyDescent="0.2">
      <c r="A168" s="10" t="s">
        <v>542</v>
      </c>
      <c r="B168" s="10" t="s">
        <v>1574</v>
      </c>
      <c r="C168" s="10"/>
      <c r="D168" s="10" t="s">
        <v>1575</v>
      </c>
      <c r="E168" s="10" t="s">
        <v>162</v>
      </c>
      <c r="F168" s="3" t="s">
        <v>1569</v>
      </c>
    </row>
    <row r="169" spans="1:6" ht="27" customHeight="1" x14ac:dyDescent="0.2">
      <c r="A169" s="10" t="s">
        <v>543</v>
      </c>
      <c r="B169" s="10" t="s">
        <v>1576</v>
      </c>
      <c r="C169" s="10"/>
      <c r="D169" s="10" t="s">
        <v>1577</v>
      </c>
      <c r="E169" s="10" t="s">
        <v>162</v>
      </c>
      <c r="F169" s="3" t="s">
        <v>1578</v>
      </c>
    </row>
    <row r="170" spans="1:6" ht="27" customHeight="1" x14ac:dyDescent="0.2">
      <c r="A170" s="10" t="s">
        <v>545</v>
      </c>
      <c r="B170" s="10" t="s">
        <v>1579</v>
      </c>
      <c r="C170" s="10"/>
      <c r="D170" s="10" t="s">
        <v>1580</v>
      </c>
      <c r="E170" s="10" t="s">
        <v>162</v>
      </c>
      <c r="F170" s="3" t="s">
        <v>1578</v>
      </c>
    </row>
    <row r="171" spans="1:6" ht="27" customHeight="1" x14ac:dyDescent="0.2">
      <c r="A171" s="10" t="s">
        <v>546</v>
      </c>
      <c r="B171" s="10" t="s">
        <v>1581</v>
      </c>
      <c r="C171" s="10"/>
      <c r="D171" s="10" t="s">
        <v>1582</v>
      </c>
      <c r="E171" s="10" t="s">
        <v>162</v>
      </c>
      <c r="F171" s="3" t="s">
        <v>1578</v>
      </c>
    </row>
    <row r="172" spans="1:6" ht="27" customHeight="1" x14ac:dyDescent="0.2">
      <c r="A172" s="10" t="s">
        <v>547</v>
      </c>
      <c r="B172" s="10" t="s">
        <v>1583</v>
      </c>
      <c r="C172" s="10"/>
      <c r="D172" s="10" t="s">
        <v>1584</v>
      </c>
      <c r="E172" s="10" t="s">
        <v>162</v>
      </c>
      <c r="F172" s="3" t="s">
        <v>1585</v>
      </c>
    </row>
    <row r="173" spans="1:6" ht="27" customHeight="1" x14ac:dyDescent="0.2">
      <c r="A173" s="10" t="s">
        <v>549</v>
      </c>
      <c r="B173" s="10" t="s">
        <v>1586</v>
      </c>
      <c r="C173" s="10"/>
      <c r="D173" s="10" t="s">
        <v>1587</v>
      </c>
      <c r="E173" s="10" t="s">
        <v>162</v>
      </c>
      <c r="F173" s="3" t="s">
        <v>1585</v>
      </c>
    </row>
    <row r="174" spans="1:6" ht="27" customHeight="1" x14ac:dyDescent="0.2">
      <c r="A174" s="10" t="s">
        <v>550</v>
      </c>
      <c r="B174" s="10" t="s">
        <v>1588</v>
      </c>
      <c r="C174" s="10"/>
      <c r="D174" s="10" t="s">
        <v>1589</v>
      </c>
      <c r="E174" s="10" t="s">
        <v>162</v>
      </c>
      <c r="F174" s="3" t="s">
        <v>1585</v>
      </c>
    </row>
    <row r="175" spans="1:6" ht="27" customHeight="1" x14ac:dyDescent="0.2">
      <c r="A175" s="10" t="s">
        <v>551</v>
      </c>
      <c r="B175" s="10" t="s">
        <v>1590</v>
      </c>
      <c r="C175" s="10"/>
      <c r="D175" s="10" t="s">
        <v>1591</v>
      </c>
      <c r="E175" s="10" t="s">
        <v>162</v>
      </c>
      <c r="F175" s="3" t="s">
        <v>1585</v>
      </c>
    </row>
    <row r="176" spans="1:6" ht="39" customHeight="1" x14ac:dyDescent="0.2">
      <c r="A176" s="10" t="s">
        <v>552</v>
      </c>
      <c r="B176" s="10" t="s">
        <v>1592</v>
      </c>
      <c r="C176" s="10"/>
      <c r="D176" s="10" t="s">
        <v>1593</v>
      </c>
      <c r="E176" s="10" t="s">
        <v>144</v>
      </c>
      <c r="F176" s="3" t="s">
        <v>1594</v>
      </c>
    </row>
    <row r="177" spans="1:6" ht="39" customHeight="1" x14ac:dyDescent="0.2">
      <c r="A177" s="10" t="s">
        <v>554</v>
      </c>
      <c r="B177" s="10" t="s">
        <v>1595</v>
      </c>
      <c r="C177" s="10"/>
      <c r="D177" s="10" t="s">
        <v>1596</v>
      </c>
      <c r="E177" s="10" t="s">
        <v>144</v>
      </c>
      <c r="F177" s="3" t="s">
        <v>1594</v>
      </c>
    </row>
    <row r="178" spans="1:6" ht="39" customHeight="1" x14ac:dyDescent="0.2">
      <c r="A178" s="10" t="s">
        <v>556</v>
      </c>
      <c r="B178" s="10" t="s">
        <v>1597</v>
      </c>
      <c r="C178" s="10"/>
      <c r="D178" s="10" t="s">
        <v>1598</v>
      </c>
      <c r="E178" s="10" t="s">
        <v>144</v>
      </c>
      <c r="F178" s="3" t="s">
        <v>1594</v>
      </c>
    </row>
    <row r="179" spans="1:6" ht="15" customHeight="1" x14ac:dyDescent="0.2">
      <c r="A179" s="10" t="s">
        <v>558</v>
      </c>
      <c r="B179" s="10" t="s">
        <v>1599</v>
      </c>
      <c r="C179" s="10" t="s">
        <v>560</v>
      </c>
      <c r="D179" s="10"/>
      <c r="E179" s="10" t="s">
        <v>167</v>
      </c>
      <c r="F179" s="3" t="s">
        <v>1298</v>
      </c>
    </row>
    <row r="180" spans="1:6" ht="15" customHeight="1" x14ac:dyDescent="0.2">
      <c r="A180" s="10" t="s">
        <v>562</v>
      </c>
      <c r="B180" s="10" t="s">
        <v>1600</v>
      </c>
      <c r="C180" s="10" t="s">
        <v>564</v>
      </c>
      <c r="D180" s="10"/>
      <c r="E180" s="10" t="s">
        <v>167</v>
      </c>
      <c r="F180" s="3" t="s">
        <v>1298</v>
      </c>
    </row>
    <row r="181" spans="1:6" ht="15" customHeight="1" x14ac:dyDescent="0.2">
      <c r="A181" s="10" t="s">
        <v>566</v>
      </c>
      <c r="B181" s="10" t="s">
        <v>1601</v>
      </c>
      <c r="C181" s="10" t="s">
        <v>568</v>
      </c>
      <c r="D181" s="10"/>
      <c r="E181" s="10" t="s">
        <v>167</v>
      </c>
      <c r="F181" s="3" t="s">
        <v>1298</v>
      </c>
    </row>
    <row r="182" spans="1:6" ht="15" customHeight="1" x14ac:dyDescent="0.2">
      <c r="A182" s="10" t="s">
        <v>570</v>
      </c>
      <c r="B182" s="10" t="s">
        <v>1602</v>
      </c>
      <c r="C182" s="10" t="s">
        <v>572</v>
      </c>
      <c r="D182" s="10"/>
      <c r="E182" s="10" t="s">
        <v>167</v>
      </c>
      <c r="F182" s="3" t="s">
        <v>1298</v>
      </c>
    </row>
    <row r="183" spans="1:6" ht="15" customHeight="1" x14ac:dyDescent="0.2">
      <c r="A183" s="10" t="s">
        <v>574</v>
      </c>
      <c r="B183" s="10" t="s">
        <v>1603</v>
      </c>
      <c r="C183" s="10" t="s">
        <v>576</v>
      </c>
      <c r="D183" s="10"/>
      <c r="E183" s="10" t="s">
        <v>167</v>
      </c>
      <c r="F183" s="3" t="s">
        <v>1298</v>
      </c>
    </row>
    <row r="184" spans="1:6" ht="15" customHeight="1" x14ac:dyDescent="0.2">
      <c r="A184" s="10" t="s">
        <v>578</v>
      </c>
      <c r="B184" s="10" t="s">
        <v>1604</v>
      </c>
      <c r="C184" s="10" t="s">
        <v>572</v>
      </c>
      <c r="D184" s="10"/>
      <c r="E184" s="10" t="s">
        <v>167</v>
      </c>
      <c r="F184" s="3" t="s">
        <v>1605</v>
      </c>
    </row>
    <row r="185" spans="1:6" ht="39" customHeight="1" x14ac:dyDescent="0.2">
      <c r="A185" s="10" t="s">
        <v>581</v>
      </c>
      <c r="B185" s="10" t="s">
        <v>1606</v>
      </c>
      <c r="C185" s="10" t="s">
        <v>501</v>
      </c>
      <c r="D185" s="10"/>
      <c r="E185" s="10" t="s">
        <v>167</v>
      </c>
      <c r="F185" s="3" t="s">
        <v>1607</v>
      </c>
    </row>
    <row r="186" spans="1:6" ht="15" customHeight="1" x14ac:dyDescent="0.2">
      <c r="A186" s="10" t="s">
        <v>584</v>
      </c>
      <c r="B186" s="10" t="s">
        <v>1608</v>
      </c>
      <c r="C186" s="10" t="s">
        <v>584</v>
      </c>
      <c r="D186" s="10"/>
      <c r="E186" s="10" t="s">
        <v>167</v>
      </c>
      <c r="F186" s="3" t="s">
        <v>1298</v>
      </c>
    </row>
    <row r="187" spans="1:6" ht="15" customHeight="1" x14ac:dyDescent="0.2">
      <c r="A187" s="10" t="s">
        <v>587</v>
      </c>
      <c r="B187" s="10" t="s">
        <v>1609</v>
      </c>
      <c r="C187" s="10" t="s">
        <v>587</v>
      </c>
      <c r="D187" s="10"/>
      <c r="E187" s="10" t="s">
        <v>167</v>
      </c>
      <c r="F187" s="3" t="s">
        <v>1298</v>
      </c>
    </row>
    <row r="188" spans="1:6" ht="15" customHeight="1" x14ac:dyDescent="0.2">
      <c r="A188" s="10" t="s">
        <v>590</v>
      </c>
      <c r="B188" s="10" t="s">
        <v>1610</v>
      </c>
      <c r="C188" s="10" t="s">
        <v>590</v>
      </c>
      <c r="D188" s="10"/>
      <c r="E188" s="10" t="s">
        <v>167</v>
      </c>
      <c r="F188" s="3" t="s">
        <v>1298</v>
      </c>
    </row>
    <row r="189" spans="1:6" ht="15" customHeight="1" x14ac:dyDescent="0.2">
      <c r="A189" s="10" t="s">
        <v>593</v>
      </c>
      <c r="B189" s="10" t="s">
        <v>1611</v>
      </c>
      <c r="C189" s="10" t="s">
        <v>593</v>
      </c>
      <c r="D189" s="10"/>
      <c r="E189" s="10" t="s">
        <v>167</v>
      </c>
      <c r="F189" s="3" t="s">
        <v>1298</v>
      </c>
    </row>
    <row r="190" spans="1:6" ht="15" customHeight="1" x14ac:dyDescent="0.2">
      <c r="A190" s="10" t="s">
        <v>595</v>
      </c>
      <c r="B190" s="10" t="s">
        <v>1612</v>
      </c>
      <c r="C190" s="10" t="s">
        <v>595</v>
      </c>
      <c r="D190" s="10"/>
      <c r="E190" s="10" t="s">
        <v>167</v>
      </c>
      <c r="F190" s="3" t="s">
        <v>1298</v>
      </c>
    </row>
    <row r="191" spans="1:6" ht="15" customHeight="1" x14ac:dyDescent="0.2">
      <c r="A191" s="10" t="s">
        <v>598</v>
      </c>
      <c r="B191" s="10" t="s">
        <v>1613</v>
      </c>
      <c r="C191" s="10" t="s">
        <v>598</v>
      </c>
      <c r="D191" s="10"/>
      <c r="E191" s="10" t="s">
        <v>167</v>
      </c>
      <c r="F191" s="3" t="s">
        <v>1298</v>
      </c>
    </row>
    <row r="192" spans="1:6" ht="15" customHeight="1" x14ac:dyDescent="0.2">
      <c r="A192" s="10" t="s">
        <v>601</v>
      </c>
      <c r="B192" s="10" t="s">
        <v>1614</v>
      </c>
      <c r="C192" s="10" t="s">
        <v>601</v>
      </c>
      <c r="D192" s="10"/>
      <c r="E192" s="10" t="s">
        <v>167</v>
      </c>
      <c r="F192" s="3" t="s">
        <v>1298</v>
      </c>
    </row>
    <row r="193" spans="1:6" ht="15" customHeight="1" x14ac:dyDescent="0.2">
      <c r="A193" s="10" t="s">
        <v>604</v>
      </c>
      <c r="B193" s="10" t="s">
        <v>1615</v>
      </c>
      <c r="C193" s="10" t="s">
        <v>604</v>
      </c>
      <c r="D193" s="10"/>
      <c r="E193" s="10" t="s">
        <v>167</v>
      </c>
      <c r="F193" s="3" t="s">
        <v>1298</v>
      </c>
    </row>
    <row r="194" spans="1:6" ht="15" customHeight="1" x14ac:dyDescent="0.2">
      <c r="A194" s="10" t="s">
        <v>501</v>
      </c>
      <c r="B194" s="10" t="s">
        <v>1616</v>
      </c>
      <c r="C194" s="10" t="s">
        <v>501</v>
      </c>
      <c r="D194" s="10"/>
      <c r="E194" s="10" t="s">
        <v>167</v>
      </c>
      <c r="F194" s="3" t="s">
        <v>1298</v>
      </c>
    </row>
    <row r="195" spans="1:6" ht="15" customHeight="1" x14ac:dyDescent="0.2">
      <c r="A195" s="10" t="s">
        <v>608</v>
      </c>
      <c r="B195" s="10" t="s">
        <v>1617</v>
      </c>
      <c r="C195" s="10" t="s">
        <v>608</v>
      </c>
      <c r="D195" s="10"/>
      <c r="E195" s="10" t="s">
        <v>167</v>
      </c>
      <c r="F195" s="3" t="s">
        <v>1298</v>
      </c>
    </row>
    <row r="196" spans="1:6" ht="15" customHeight="1" x14ac:dyDescent="0.2">
      <c r="A196" s="10" t="s">
        <v>611</v>
      </c>
      <c r="B196" s="10" t="s">
        <v>1618</v>
      </c>
      <c r="C196" s="10" t="s">
        <v>611</v>
      </c>
      <c r="D196" s="10"/>
      <c r="E196" s="10" t="s">
        <v>167</v>
      </c>
      <c r="F196" s="3" t="s">
        <v>1298</v>
      </c>
    </row>
    <row r="197" spans="1:6" ht="15" customHeight="1" x14ac:dyDescent="0.2">
      <c r="A197" s="10" t="s">
        <v>614</v>
      </c>
      <c r="B197" s="10" t="s">
        <v>1619</v>
      </c>
      <c r="C197" s="10" t="s">
        <v>614</v>
      </c>
      <c r="D197" s="10"/>
      <c r="E197" s="10" t="s">
        <v>167</v>
      </c>
      <c r="F197" s="3" t="s">
        <v>1298</v>
      </c>
    </row>
    <row r="198" spans="1:6" ht="15" customHeight="1" x14ac:dyDescent="0.2">
      <c r="A198" s="10" t="s">
        <v>617</v>
      </c>
      <c r="B198" s="10" t="s">
        <v>1620</v>
      </c>
      <c r="C198" s="10" t="s">
        <v>617</v>
      </c>
      <c r="D198" s="10"/>
      <c r="E198" s="10" t="s">
        <v>167</v>
      </c>
      <c r="F198" s="3" t="s">
        <v>1298</v>
      </c>
    </row>
    <row r="199" spans="1:6" ht="27" customHeight="1" x14ac:dyDescent="0.2">
      <c r="A199" s="10" t="s">
        <v>620</v>
      </c>
      <c r="B199" s="10" t="s">
        <v>1621</v>
      </c>
      <c r="C199" s="10"/>
      <c r="D199" s="10" t="s">
        <v>1622</v>
      </c>
      <c r="E199" s="10" t="s">
        <v>144</v>
      </c>
      <c r="F199" s="3" t="s">
        <v>1623</v>
      </c>
    </row>
    <row r="200" spans="1:6" ht="15" customHeight="1" x14ac:dyDescent="0.2">
      <c r="A200" s="10" t="s">
        <v>622</v>
      </c>
      <c r="B200" s="10" t="s">
        <v>1624</v>
      </c>
      <c r="C200" s="10" t="s">
        <v>624</v>
      </c>
      <c r="D200" s="10"/>
      <c r="E200" s="10" t="s">
        <v>167</v>
      </c>
      <c r="F200" s="3" t="s">
        <v>1298</v>
      </c>
    </row>
    <row r="201" spans="1:6" ht="15" customHeight="1" x14ac:dyDescent="0.2">
      <c r="A201" s="10" t="s">
        <v>626</v>
      </c>
      <c r="B201" s="10" t="s">
        <v>1625</v>
      </c>
      <c r="C201" s="10" t="s">
        <v>628</v>
      </c>
      <c r="D201" s="10"/>
      <c r="E201" s="10" t="s">
        <v>167</v>
      </c>
      <c r="F201" s="3" t="s">
        <v>1298</v>
      </c>
    </row>
    <row r="202" spans="1:6" ht="15" customHeight="1" x14ac:dyDescent="0.2">
      <c r="A202" s="10" t="s">
        <v>630</v>
      </c>
      <c r="B202" s="10" t="s">
        <v>1626</v>
      </c>
      <c r="C202" s="10" t="s">
        <v>630</v>
      </c>
      <c r="D202" s="10"/>
      <c r="E202" s="10" t="s">
        <v>167</v>
      </c>
      <c r="F202" s="3" t="s">
        <v>1298</v>
      </c>
    </row>
    <row r="203" spans="1:6" ht="15" customHeight="1" x14ac:dyDescent="0.2">
      <c r="A203" s="10" t="s">
        <v>634</v>
      </c>
      <c r="B203" s="10" t="s">
        <v>1627</v>
      </c>
      <c r="C203" s="10" t="s">
        <v>634</v>
      </c>
      <c r="D203" s="10"/>
      <c r="E203" s="10" t="s">
        <v>167</v>
      </c>
      <c r="F203" s="3" t="s">
        <v>1298</v>
      </c>
    </row>
    <row r="204" spans="1:6" ht="15" customHeight="1" x14ac:dyDescent="0.2">
      <c r="A204" s="10" t="s">
        <v>624</v>
      </c>
      <c r="B204" s="10" t="s">
        <v>1628</v>
      </c>
      <c r="C204" s="10" t="s">
        <v>624</v>
      </c>
      <c r="D204" s="10"/>
      <c r="E204" s="10" t="s">
        <v>167</v>
      </c>
      <c r="F204" s="3" t="s">
        <v>1298</v>
      </c>
    </row>
    <row r="205" spans="1:6" ht="15" customHeight="1" x14ac:dyDescent="0.2">
      <c r="A205" s="10" t="s">
        <v>640</v>
      </c>
      <c r="B205" s="10" t="s">
        <v>1629</v>
      </c>
      <c r="C205" s="10" t="s">
        <v>640</v>
      </c>
      <c r="D205" s="10"/>
      <c r="E205" s="10" t="s">
        <v>167</v>
      </c>
      <c r="F205" s="3" t="s">
        <v>1298</v>
      </c>
    </row>
    <row r="206" spans="1:6" ht="15" customHeight="1" x14ac:dyDescent="0.2">
      <c r="A206" s="10" t="s">
        <v>643</v>
      </c>
      <c r="B206" s="10" t="s">
        <v>1630</v>
      </c>
      <c r="C206" s="10" t="s">
        <v>643</v>
      </c>
      <c r="D206" s="10"/>
      <c r="E206" s="10" t="s">
        <v>167</v>
      </c>
      <c r="F206" s="3" t="s">
        <v>1298</v>
      </c>
    </row>
    <row r="207" spans="1:6" ht="15" customHeight="1" x14ac:dyDescent="0.2">
      <c r="A207" s="10" t="s">
        <v>646</v>
      </c>
      <c r="B207" s="10" t="s">
        <v>1631</v>
      </c>
      <c r="C207" s="10" t="s">
        <v>646</v>
      </c>
      <c r="D207" s="10"/>
      <c r="E207" s="10" t="s">
        <v>167</v>
      </c>
      <c r="F207" s="3" t="s">
        <v>1298</v>
      </c>
    </row>
    <row r="208" spans="1:6" ht="15" customHeight="1" x14ac:dyDescent="0.2">
      <c r="A208" s="10" t="s">
        <v>649</v>
      </c>
      <c r="B208" s="10" t="s">
        <v>1632</v>
      </c>
      <c r="C208" s="10" t="s">
        <v>649</v>
      </c>
      <c r="D208" s="10"/>
      <c r="E208" s="10" t="s">
        <v>167</v>
      </c>
      <c r="F208" s="3" t="s">
        <v>1298</v>
      </c>
    </row>
    <row r="209" spans="1:6" ht="15" customHeight="1" x14ac:dyDescent="0.2">
      <c r="A209" s="10" t="s">
        <v>652</v>
      </c>
      <c r="B209" s="10" t="s">
        <v>1633</v>
      </c>
      <c r="C209" s="10" t="s">
        <v>652</v>
      </c>
      <c r="D209" s="10"/>
      <c r="E209" s="10" t="s">
        <v>167</v>
      </c>
      <c r="F209" s="3" t="s">
        <v>1298</v>
      </c>
    </row>
    <row r="210" spans="1:6" ht="15" customHeight="1" x14ac:dyDescent="0.2">
      <c r="A210" s="10" t="s">
        <v>655</v>
      </c>
      <c r="B210" s="10" t="s">
        <v>1634</v>
      </c>
      <c r="C210" s="10" t="s">
        <v>655</v>
      </c>
      <c r="D210" s="10"/>
      <c r="E210" s="10" t="s">
        <v>167</v>
      </c>
      <c r="F210" s="3" t="s">
        <v>1298</v>
      </c>
    </row>
    <row r="211" spans="1:6" ht="15" customHeight="1" x14ac:dyDescent="0.2">
      <c r="A211" s="10" t="s">
        <v>658</v>
      </c>
      <c r="B211" s="10" t="s">
        <v>1635</v>
      </c>
      <c r="C211" s="10" t="s">
        <v>658</v>
      </c>
      <c r="D211" s="10"/>
      <c r="E211" s="10" t="s">
        <v>167</v>
      </c>
      <c r="F211" s="3" t="s">
        <v>1298</v>
      </c>
    </row>
    <row r="212" spans="1:6" ht="15" customHeight="1" x14ac:dyDescent="0.2">
      <c r="A212" s="10" t="s">
        <v>661</v>
      </c>
      <c r="B212" s="10" t="s">
        <v>1636</v>
      </c>
      <c r="C212" s="10" t="s">
        <v>661</v>
      </c>
      <c r="D212" s="10"/>
      <c r="E212" s="10" t="s">
        <v>167</v>
      </c>
      <c r="F212" s="3" t="s">
        <v>1298</v>
      </c>
    </row>
    <row r="213" spans="1:6" ht="15" customHeight="1" x14ac:dyDescent="0.2">
      <c r="A213" s="10" t="s">
        <v>664</v>
      </c>
      <c r="B213" s="10" t="s">
        <v>1637</v>
      </c>
      <c r="C213" s="10" t="s">
        <v>664</v>
      </c>
      <c r="D213" s="10"/>
      <c r="E213" s="10" t="s">
        <v>167</v>
      </c>
      <c r="F213" s="3" t="s">
        <v>1298</v>
      </c>
    </row>
    <row r="214" spans="1:6" ht="15" customHeight="1" x14ac:dyDescent="0.2">
      <c r="A214" s="10" t="s">
        <v>666</v>
      </c>
      <c r="B214" s="10" t="s">
        <v>1638</v>
      </c>
      <c r="C214" s="10" t="s">
        <v>666</v>
      </c>
      <c r="D214" s="10"/>
      <c r="E214" s="10" t="s">
        <v>167</v>
      </c>
      <c r="F214" s="3" t="s">
        <v>1298</v>
      </c>
    </row>
    <row r="215" spans="1:6" ht="15" customHeight="1" x14ac:dyDescent="0.2">
      <c r="A215" s="10" t="s">
        <v>669</v>
      </c>
      <c r="B215" s="10" t="s">
        <v>1639</v>
      </c>
      <c r="C215" s="10" t="s">
        <v>669</v>
      </c>
      <c r="D215" s="10"/>
      <c r="E215" s="10" t="s">
        <v>167</v>
      </c>
      <c r="F215" s="3" t="s">
        <v>1298</v>
      </c>
    </row>
    <row r="216" spans="1:6" ht="15" customHeight="1" x14ac:dyDescent="0.2">
      <c r="A216" s="10" t="s">
        <v>671</v>
      </c>
      <c r="B216" s="10" t="s">
        <v>1640</v>
      </c>
      <c r="C216" s="10" t="s">
        <v>671</v>
      </c>
      <c r="D216" s="10"/>
      <c r="E216" s="10" t="s">
        <v>167</v>
      </c>
      <c r="F216" s="3" t="s">
        <v>1298</v>
      </c>
    </row>
    <row r="217" spans="1:6" ht="15" customHeight="1" x14ac:dyDescent="0.2">
      <c r="A217" s="10" t="s">
        <v>673</v>
      </c>
      <c r="B217" s="10" t="s">
        <v>1641</v>
      </c>
      <c r="C217" s="10" t="s">
        <v>673</v>
      </c>
      <c r="D217" s="10"/>
      <c r="E217" s="10" t="s">
        <v>167</v>
      </c>
      <c r="F217" s="3" t="s">
        <v>1298</v>
      </c>
    </row>
    <row r="218" spans="1:6" ht="15" customHeight="1" x14ac:dyDescent="0.2">
      <c r="A218" s="10" t="s">
        <v>675</v>
      </c>
      <c r="B218" s="10" t="s">
        <v>1642</v>
      </c>
      <c r="C218" s="10" t="s">
        <v>675</v>
      </c>
      <c r="D218" s="10"/>
      <c r="E218" s="10" t="s">
        <v>167</v>
      </c>
      <c r="F218" s="3" t="s">
        <v>1298</v>
      </c>
    </row>
    <row r="219" spans="1:6" ht="15" customHeight="1" x14ac:dyDescent="0.2">
      <c r="A219" s="10" t="s">
        <v>678</v>
      </c>
      <c r="B219" s="10" t="s">
        <v>1643</v>
      </c>
      <c r="C219" s="10" t="s">
        <v>678</v>
      </c>
      <c r="D219" s="10"/>
      <c r="E219" s="10" t="s">
        <v>167</v>
      </c>
      <c r="F219" s="3" t="s">
        <v>1298</v>
      </c>
    </row>
    <row r="220" spans="1:6" ht="15" customHeight="1" x14ac:dyDescent="0.2">
      <c r="A220" s="10" t="s">
        <v>681</v>
      </c>
      <c r="B220" s="10" t="s">
        <v>1644</v>
      </c>
      <c r="C220" s="10" t="s">
        <v>681</v>
      </c>
      <c r="D220" s="10"/>
      <c r="E220" s="10" t="s">
        <v>167</v>
      </c>
      <c r="F220" s="3" t="s">
        <v>1298</v>
      </c>
    </row>
    <row r="221" spans="1:6" ht="15" customHeight="1" x14ac:dyDescent="0.2">
      <c r="A221" s="10" t="s">
        <v>684</v>
      </c>
      <c r="B221" s="10" t="s">
        <v>1645</v>
      </c>
      <c r="C221" s="10" t="s">
        <v>684</v>
      </c>
      <c r="D221" s="10"/>
      <c r="E221" s="10" t="s">
        <v>167</v>
      </c>
      <c r="F221" s="3" t="s">
        <v>1298</v>
      </c>
    </row>
    <row r="222" spans="1:6" ht="15" customHeight="1" x14ac:dyDescent="0.2">
      <c r="A222" s="10" t="s">
        <v>687</v>
      </c>
      <c r="B222" s="10" t="s">
        <v>1646</v>
      </c>
      <c r="C222" s="10" t="s">
        <v>687</v>
      </c>
      <c r="D222" s="10"/>
      <c r="E222" s="10" t="s">
        <v>167</v>
      </c>
      <c r="F222" s="3" t="s">
        <v>1298</v>
      </c>
    </row>
    <row r="223" spans="1:6" ht="15" customHeight="1" x14ac:dyDescent="0.2">
      <c r="A223" s="10" t="s">
        <v>690</v>
      </c>
      <c r="B223" s="10" t="s">
        <v>1647</v>
      </c>
      <c r="C223" s="10" t="s">
        <v>690</v>
      </c>
      <c r="D223" s="10"/>
      <c r="E223" s="10" t="s">
        <v>167</v>
      </c>
      <c r="F223" s="3" t="s">
        <v>1298</v>
      </c>
    </row>
    <row r="224" spans="1:6" ht="15" customHeight="1" x14ac:dyDescent="0.2">
      <c r="A224" s="10" t="s">
        <v>628</v>
      </c>
      <c r="B224" s="10" t="s">
        <v>1648</v>
      </c>
      <c r="C224" s="10" t="s">
        <v>628</v>
      </c>
      <c r="D224" s="10"/>
      <c r="E224" s="10" t="s">
        <v>167</v>
      </c>
      <c r="F224" s="3" t="s">
        <v>1298</v>
      </c>
    </row>
    <row r="225" spans="1:6" ht="15" customHeight="1" x14ac:dyDescent="0.2">
      <c r="A225" s="10" t="s">
        <v>693</v>
      </c>
      <c r="B225" s="10" t="s">
        <v>1649</v>
      </c>
      <c r="C225" s="10" t="s">
        <v>693</v>
      </c>
      <c r="D225" s="10"/>
      <c r="E225" s="10" t="s">
        <v>167</v>
      </c>
      <c r="F225" s="3" t="s">
        <v>1298</v>
      </c>
    </row>
    <row r="226" spans="1:6" ht="15" customHeight="1" x14ac:dyDescent="0.2">
      <c r="A226" s="10" t="s">
        <v>695</v>
      </c>
      <c r="B226" s="10" t="s">
        <v>1650</v>
      </c>
      <c r="C226" s="10" t="s">
        <v>695</v>
      </c>
      <c r="D226" s="10"/>
      <c r="E226" s="10" t="s">
        <v>167</v>
      </c>
      <c r="F226" s="3" t="s">
        <v>1298</v>
      </c>
    </row>
    <row r="227" spans="1:6" ht="15" customHeight="1" x14ac:dyDescent="0.2">
      <c r="A227" s="10" t="s">
        <v>698</v>
      </c>
      <c r="B227" s="10" t="s">
        <v>1651</v>
      </c>
      <c r="C227" s="10" t="s">
        <v>698</v>
      </c>
      <c r="D227" s="10"/>
      <c r="E227" s="10" t="s">
        <v>167</v>
      </c>
      <c r="F227" s="3" t="s">
        <v>1298</v>
      </c>
    </row>
    <row r="228" spans="1:6" ht="15" customHeight="1" x14ac:dyDescent="0.2">
      <c r="A228" s="10" t="s">
        <v>701</v>
      </c>
      <c r="B228" s="10" t="s">
        <v>1652</v>
      </c>
      <c r="C228" s="10" t="s">
        <v>701</v>
      </c>
      <c r="D228" s="10"/>
      <c r="E228" s="10" t="s">
        <v>167</v>
      </c>
      <c r="F228" s="3" t="s">
        <v>1298</v>
      </c>
    </row>
    <row r="229" spans="1:6" ht="15" customHeight="1" x14ac:dyDescent="0.2">
      <c r="A229" s="10" t="s">
        <v>704</v>
      </c>
      <c r="B229" s="10" t="s">
        <v>1653</v>
      </c>
      <c r="C229" s="10" t="s">
        <v>704</v>
      </c>
      <c r="D229" s="10"/>
      <c r="E229" s="10" t="s">
        <v>167</v>
      </c>
      <c r="F229" s="3" t="s">
        <v>1298</v>
      </c>
    </row>
    <row r="230" spans="1:6" ht="15" customHeight="1" x14ac:dyDescent="0.2">
      <c r="A230" s="10" t="s">
        <v>707</v>
      </c>
      <c r="B230" s="10" t="s">
        <v>1654</v>
      </c>
      <c r="C230" s="10" t="s">
        <v>707</v>
      </c>
      <c r="D230" s="10"/>
      <c r="E230" s="10" t="s">
        <v>167</v>
      </c>
      <c r="F230" s="3" t="s">
        <v>1298</v>
      </c>
    </row>
    <row r="231" spans="1:6" ht="15" customHeight="1" x14ac:dyDescent="0.2">
      <c r="A231" s="10" t="s">
        <v>710</v>
      </c>
      <c r="B231" s="10" t="s">
        <v>1655</v>
      </c>
      <c r="C231" s="10" t="s">
        <v>710</v>
      </c>
      <c r="D231" s="10"/>
      <c r="E231" s="10" t="s">
        <v>167</v>
      </c>
      <c r="F231" s="3" t="s">
        <v>1298</v>
      </c>
    </row>
    <row r="232" spans="1:6" ht="15" customHeight="1" x14ac:dyDescent="0.2">
      <c r="A232" s="10" t="s">
        <v>713</v>
      </c>
      <c r="B232" s="10" t="s">
        <v>1656</v>
      </c>
      <c r="C232" s="10" t="s">
        <v>713</v>
      </c>
      <c r="D232" s="10"/>
      <c r="E232" s="10" t="s">
        <v>167</v>
      </c>
      <c r="F232" s="3" t="s">
        <v>1298</v>
      </c>
    </row>
    <row r="233" spans="1:6" ht="15" customHeight="1" x14ac:dyDescent="0.2">
      <c r="A233" s="10" t="s">
        <v>716</v>
      </c>
      <c r="B233" s="10" t="s">
        <v>1657</v>
      </c>
      <c r="C233" s="10" t="s">
        <v>716</v>
      </c>
      <c r="D233" s="10"/>
      <c r="E233" s="10" t="s">
        <v>167</v>
      </c>
      <c r="F233" s="3" t="s">
        <v>1298</v>
      </c>
    </row>
    <row r="234" spans="1:6" ht="15" customHeight="1" x14ac:dyDescent="0.2">
      <c r="A234" s="10" t="s">
        <v>718</v>
      </c>
      <c r="B234" s="10" t="s">
        <v>1658</v>
      </c>
      <c r="C234" s="10" t="s">
        <v>718</v>
      </c>
      <c r="D234" s="10"/>
      <c r="E234" s="10" t="s">
        <v>167</v>
      </c>
      <c r="F234" s="3" t="s">
        <v>1298</v>
      </c>
    </row>
    <row r="235" spans="1:6" ht="15" customHeight="1" x14ac:dyDescent="0.2">
      <c r="A235" s="10" t="s">
        <v>721</v>
      </c>
      <c r="B235" s="10" t="s">
        <v>1659</v>
      </c>
      <c r="C235" s="10" t="s">
        <v>721</v>
      </c>
      <c r="D235" s="10"/>
      <c r="E235" s="10" t="s">
        <v>167</v>
      </c>
      <c r="F235" s="3" t="s">
        <v>1298</v>
      </c>
    </row>
    <row r="236" spans="1:6" ht="15" customHeight="1" x14ac:dyDescent="0.2">
      <c r="A236" s="10" t="s">
        <v>724</v>
      </c>
      <c r="B236" s="10" t="s">
        <v>1660</v>
      </c>
      <c r="C236" s="10" t="s">
        <v>724</v>
      </c>
      <c r="D236" s="10"/>
      <c r="E236" s="10" t="s">
        <v>167</v>
      </c>
      <c r="F236" s="3" t="s">
        <v>1298</v>
      </c>
    </row>
    <row r="237" spans="1:6" ht="15" customHeight="1" x14ac:dyDescent="0.2">
      <c r="A237" s="10" t="s">
        <v>727</v>
      </c>
      <c r="B237" s="10" t="s">
        <v>1661</v>
      </c>
      <c r="C237" s="10" t="s">
        <v>727</v>
      </c>
      <c r="D237" s="10"/>
      <c r="E237" s="10" t="s">
        <v>167</v>
      </c>
      <c r="F237" s="3" t="s">
        <v>1298</v>
      </c>
    </row>
    <row r="238" spans="1:6" ht="15" customHeight="1" x14ac:dyDescent="0.2">
      <c r="A238" s="10" t="s">
        <v>730</v>
      </c>
      <c r="B238" s="10" t="s">
        <v>1662</v>
      </c>
      <c r="C238" s="10" t="s">
        <v>730</v>
      </c>
      <c r="D238" s="10"/>
      <c r="E238" s="10" t="s">
        <v>167</v>
      </c>
      <c r="F238" s="3" t="s">
        <v>1298</v>
      </c>
    </row>
    <row r="239" spans="1:6" ht="15" customHeight="1" x14ac:dyDescent="0.2">
      <c r="A239" s="10" t="s">
        <v>733</v>
      </c>
      <c r="B239" s="10" t="s">
        <v>1663</v>
      </c>
      <c r="C239" s="10" t="s">
        <v>733</v>
      </c>
      <c r="D239" s="10"/>
      <c r="E239" s="10" t="s">
        <v>167</v>
      </c>
      <c r="F239" s="3" t="s">
        <v>1298</v>
      </c>
    </row>
    <row r="240" spans="1:6" ht="15" customHeight="1" x14ac:dyDescent="0.2">
      <c r="A240" s="10" t="s">
        <v>736</v>
      </c>
      <c r="B240" s="10" t="s">
        <v>1664</v>
      </c>
      <c r="C240" s="10" t="s">
        <v>736</v>
      </c>
      <c r="D240" s="10"/>
      <c r="E240" s="10" t="s">
        <v>167</v>
      </c>
      <c r="F240" s="3" t="s">
        <v>1298</v>
      </c>
    </row>
    <row r="241" spans="1:6" ht="15" customHeight="1" x14ac:dyDescent="0.2">
      <c r="A241" s="10" t="s">
        <v>739</v>
      </c>
      <c r="B241" s="10" t="s">
        <v>1665</v>
      </c>
      <c r="C241" s="10" t="s">
        <v>739</v>
      </c>
      <c r="D241" s="10"/>
      <c r="E241" s="10" t="s">
        <v>167</v>
      </c>
      <c r="F241" s="3" t="s">
        <v>1298</v>
      </c>
    </row>
    <row r="242" spans="1:6" ht="15" customHeight="1" x14ac:dyDescent="0.2">
      <c r="A242" s="10" t="s">
        <v>742</v>
      </c>
      <c r="B242" s="10" t="s">
        <v>1666</v>
      </c>
      <c r="C242" s="10" t="s">
        <v>742</v>
      </c>
      <c r="D242" s="10"/>
      <c r="E242" s="10" t="s">
        <v>167</v>
      </c>
      <c r="F242" s="3" t="s">
        <v>1298</v>
      </c>
    </row>
    <row r="243" spans="1:6" ht="15" customHeight="1" x14ac:dyDescent="0.2">
      <c r="A243" s="10" t="s">
        <v>745</v>
      </c>
      <c r="B243" s="10" t="s">
        <v>1667</v>
      </c>
      <c r="C243" s="10" t="s">
        <v>745</v>
      </c>
      <c r="D243" s="10"/>
      <c r="E243" s="10" t="s">
        <v>167</v>
      </c>
      <c r="F243" s="3" t="s">
        <v>1298</v>
      </c>
    </row>
    <row r="244" spans="1:6" ht="15" customHeight="1" x14ac:dyDescent="0.2">
      <c r="A244" s="10" t="s">
        <v>749</v>
      </c>
      <c r="B244" s="10" t="s">
        <v>1668</v>
      </c>
      <c r="C244" s="10" t="s">
        <v>749</v>
      </c>
      <c r="D244" s="10"/>
      <c r="E244" s="10" t="s">
        <v>167</v>
      </c>
      <c r="F244" s="3" t="s">
        <v>1298</v>
      </c>
    </row>
    <row r="245" spans="1:6" ht="15" customHeight="1" x14ac:dyDescent="0.2">
      <c r="A245" s="10" t="s">
        <v>752</v>
      </c>
      <c r="B245" s="10" t="s">
        <v>1669</v>
      </c>
      <c r="C245" s="10" t="s">
        <v>752</v>
      </c>
      <c r="D245" s="10"/>
      <c r="E245" s="10" t="s">
        <v>167</v>
      </c>
      <c r="F245" s="3" t="s">
        <v>1298</v>
      </c>
    </row>
    <row r="246" spans="1:6" ht="15" customHeight="1" x14ac:dyDescent="0.2">
      <c r="A246" s="10" t="s">
        <v>756</v>
      </c>
      <c r="B246" s="10" t="s">
        <v>1670</v>
      </c>
      <c r="C246" s="10" t="s">
        <v>756</v>
      </c>
      <c r="D246" s="10"/>
      <c r="E246" s="10" t="s">
        <v>167</v>
      </c>
      <c r="F246" s="3" t="s">
        <v>1298</v>
      </c>
    </row>
    <row r="247" spans="1:6" ht="15" customHeight="1" x14ac:dyDescent="0.2">
      <c r="A247" s="10" t="s">
        <v>759</v>
      </c>
      <c r="B247" s="10" t="s">
        <v>1671</v>
      </c>
      <c r="C247" s="10" t="s">
        <v>759</v>
      </c>
      <c r="D247" s="10"/>
      <c r="E247" s="10" t="s">
        <v>167</v>
      </c>
      <c r="F247" s="3" t="s">
        <v>1298</v>
      </c>
    </row>
    <row r="248" spans="1:6" ht="15" customHeight="1" x14ac:dyDescent="0.2">
      <c r="A248" s="10" t="s">
        <v>762</v>
      </c>
      <c r="B248" s="10" t="s">
        <v>1672</v>
      </c>
      <c r="C248" s="10" t="s">
        <v>762</v>
      </c>
      <c r="D248" s="10"/>
      <c r="E248" s="10" t="s">
        <v>167</v>
      </c>
      <c r="F248" s="3" t="s">
        <v>1298</v>
      </c>
    </row>
    <row r="249" spans="1:6" ht="15" customHeight="1" x14ac:dyDescent="0.2">
      <c r="A249" s="10" t="s">
        <v>765</v>
      </c>
      <c r="B249" s="10" t="s">
        <v>1673</v>
      </c>
      <c r="C249" s="10" t="s">
        <v>765</v>
      </c>
      <c r="D249" s="10"/>
      <c r="E249" s="10" t="s">
        <v>167</v>
      </c>
      <c r="F249" s="3" t="s">
        <v>1298</v>
      </c>
    </row>
    <row r="250" spans="1:6" ht="15" customHeight="1" x14ac:dyDescent="0.2">
      <c r="A250" s="10" t="s">
        <v>768</v>
      </c>
      <c r="B250" s="10" t="s">
        <v>1674</v>
      </c>
      <c r="C250" s="10" t="s">
        <v>768</v>
      </c>
      <c r="D250" s="10"/>
      <c r="E250" s="10" t="s">
        <v>167</v>
      </c>
      <c r="F250" s="3" t="s">
        <v>1298</v>
      </c>
    </row>
    <row r="251" spans="1:6" ht="15" customHeight="1" x14ac:dyDescent="0.2">
      <c r="A251" s="10" t="s">
        <v>770</v>
      </c>
      <c r="B251" s="10" t="s">
        <v>1675</v>
      </c>
      <c r="C251" s="10" t="s">
        <v>770</v>
      </c>
      <c r="D251" s="10"/>
      <c r="E251" s="10" t="s">
        <v>167</v>
      </c>
      <c r="F251" s="3" t="s">
        <v>1298</v>
      </c>
    </row>
    <row r="252" spans="1:6" ht="15" customHeight="1" x14ac:dyDescent="0.2">
      <c r="A252" s="10" t="s">
        <v>772</v>
      </c>
      <c r="B252" s="10" t="s">
        <v>1676</v>
      </c>
      <c r="C252" s="10" t="s">
        <v>772</v>
      </c>
      <c r="D252" s="10"/>
      <c r="E252" s="10" t="s">
        <v>167</v>
      </c>
      <c r="F252" s="3" t="s">
        <v>1298</v>
      </c>
    </row>
    <row r="253" spans="1:6" ht="15" customHeight="1" x14ac:dyDescent="0.2">
      <c r="A253" s="10" t="s">
        <v>774</v>
      </c>
      <c r="B253" s="10" t="s">
        <v>1677</v>
      </c>
      <c r="C253" s="10" t="s">
        <v>774</v>
      </c>
      <c r="D253" s="10"/>
      <c r="E253" s="10" t="s">
        <v>167</v>
      </c>
      <c r="F253" s="3" t="s">
        <v>1298</v>
      </c>
    </row>
    <row r="254" spans="1:6" ht="15" customHeight="1" x14ac:dyDescent="0.2">
      <c r="A254" s="10" t="s">
        <v>777</v>
      </c>
      <c r="B254" s="10" t="s">
        <v>1678</v>
      </c>
      <c r="C254" s="10" t="s">
        <v>777</v>
      </c>
      <c r="D254" s="10"/>
      <c r="E254" s="10" t="s">
        <v>167</v>
      </c>
      <c r="F254" s="3" t="s">
        <v>1298</v>
      </c>
    </row>
    <row r="255" spans="1:6" ht="15" customHeight="1" x14ac:dyDescent="0.2">
      <c r="A255" s="10" t="s">
        <v>780</v>
      </c>
      <c r="B255" s="10" t="s">
        <v>1679</v>
      </c>
      <c r="C255" s="10" t="s">
        <v>780</v>
      </c>
      <c r="D255" s="10"/>
      <c r="E255" s="10" t="s">
        <v>167</v>
      </c>
      <c r="F255" s="3" t="s">
        <v>1298</v>
      </c>
    </row>
    <row r="256" spans="1:6" ht="15" customHeight="1" x14ac:dyDescent="0.2">
      <c r="A256" s="10" t="s">
        <v>784</v>
      </c>
      <c r="B256" s="10" t="s">
        <v>1680</v>
      </c>
      <c r="C256" s="10" t="s">
        <v>784</v>
      </c>
      <c r="D256" s="10"/>
      <c r="E256" s="10" t="s">
        <v>167</v>
      </c>
      <c r="F256" s="3" t="s">
        <v>1298</v>
      </c>
    </row>
    <row r="257" spans="1:6" ht="15" customHeight="1" x14ac:dyDescent="0.2">
      <c r="A257" s="10" t="s">
        <v>788</v>
      </c>
      <c r="B257" s="10" t="s">
        <v>1681</v>
      </c>
      <c r="C257" s="10" t="s">
        <v>788</v>
      </c>
      <c r="D257" s="10"/>
      <c r="E257" s="10" t="s">
        <v>167</v>
      </c>
      <c r="F257" s="3" t="s">
        <v>1298</v>
      </c>
    </row>
    <row r="258" spans="1:6" ht="15" customHeight="1" x14ac:dyDescent="0.2">
      <c r="A258" s="10" t="s">
        <v>791</v>
      </c>
      <c r="B258" s="10" t="s">
        <v>1682</v>
      </c>
      <c r="C258" s="10" t="s">
        <v>794</v>
      </c>
      <c r="D258" s="10"/>
      <c r="E258" s="10" t="s">
        <v>167</v>
      </c>
      <c r="F258" s="3" t="s">
        <v>1298</v>
      </c>
    </row>
    <row r="259" spans="1:6" ht="15" customHeight="1" x14ac:dyDescent="0.2">
      <c r="A259" s="10" t="s">
        <v>796</v>
      </c>
      <c r="B259" s="10" t="s">
        <v>1683</v>
      </c>
      <c r="C259" s="10" t="s">
        <v>796</v>
      </c>
      <c r="D259" s="10"/>
      <c r="E259" s="10" t="s">
        <v>167</v>
      </c>
      <c r="F259" s="3" t="s">
        <v>1298</v>
      </c>
    </row>
  </sheetData>
  <mergeCells count="2">
    <mergeCell ref="A3:F3"/>
    <mergeCell ref="A2:F2"/>
  </mergeCells>
  <printOptions horizontalCentered="1"/>
  <pageMargins left="0.2" right="0.2" top="0.25" bottom="0.55000000000000004" header="0.5" footer="0.5"/>
  <pageSetup paperSize="8" scale="81"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I168"/>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9" customWidth="1"/>
    <col min="2" max="2" width="20" customWidth="1"/>
    <col min="3" max="4" width="16" customWidth="1"/>
    <col min="5" max="5" width="13" customWidth="1"/>
    <col min="6" max="6" width="25" customWidth="1"/>
    <col min="7" max="7" width="24" customWidth="1"/>
    <col min="8" max="8" width="35" customWidth="1"/>
    <col min="9" max="9" width="48" customWidth="1"/>
    <col min="10" max="17" width="19" customWidth="1"/>
  </cols>
  <sheetData>
    <row r="2" spans="1:9" ht="21" customHeight="1" x14ac:dyDescent="0.2">
      <c r="A2" s="103" t="s">
        <v>1684</v>
      </c>
      <c r="B2" s="91"/>
      <c r="C2" s="91"/>
      <c r="D2" s="91"/>
      <c r="E2" s="91"/>
      <c r="F2" s="91"/>
      <c r="G2" s="91"/>
      <c r="H2" s="91"/>
      <c r="I2" s="91"/>
    </row>
    <row r="3" spans="1:9"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row>
    <row r="5" spans="1:9" ht="15" customHeight="1" x14ac:dyDescent="0.2">
      <c r="A5" s="4" t="s">
        <v>1685</v>
      </c>
      <c r="B5" s="4" t="s">
        <v>1686</v>
      </c>
      <c r="C5" s="4" t="s">
        <v>1687</v>
      </c>
      <c r="D5" s="4" t="s">
        <v>1688</v>
      </c>
      <c r="E5" s="4" t="s">
        <v>1689</v>
      </c>
      <c r="F5" s="4" t="s">
        <v>801</v>
      </c>
      <c r="G5" s="4" t="s">
        <v>1690</v>
      </c>
      <c r="H5" s="4" t="s">
        <v>1691</v>
      </c>
      <c r="I5" s="4" t="s">
        <v>1692</v>
      </c>
    </row>
    <row r="6" spans="1:9" ht="39" customHeight="1" x14ac:dyDescent="0.2">
      <c r="A6" s="10" t="s">
        <v>643</v>
      </c>
      <c r="B6" s="10" t="s">
        <v>1693</v>
      </c>
      <c r="C6" s="43" t="s">
        <v>1694</v>
      </c>
      <c r="D6" s="36" t="s">
        <v>1228</v>
      </c>
      <c r="E6" s="10" t="s">
        <v>1695</v>
      </c>
      <c r="F6" s="3" t="s">
        <v>1696</v>
      </c>
      <c r="G6" s="3" t="s">
        <v>1697</v>
      </c>
      <c r="H6" s="3" t="s">
        <v>1698</v>
      </c>
      <c r="I6" s="3" t="s">
        <v>644</v>
      </c>
    </row>
    <row r="7" spans="1:9" ht="39" customHeight="1" x14ac:dyDescent="0.2">
      <c r="A7" s="10" t="s">
        <v>658</v>
      </c>
      <c r="B7" s="10" t="s">
        <v>1693</v>
      </c>
      <c r="C7" s="43" t="s">
        <v>1694</v>
      </c>
      <c r="D7" s="36" t="s">
        <v>1228</v>
      </c>
      <c r="E7" s="10" t="s">
        <v>1695</v>
      </c>
      <c r="F7" s="3" t="s">
        <v>1699</v>
      </c>
      <c r="G7" s="3" t="s">
        <v>1700</v>
      </c>
      <c r="H7" s="3" t="s">
        <v>1698</v>
      </c>
      <c r="I7" s="3" t="s">
        <v>659</v>
      </c>
    </row>
    <row r="8" spans="1:9" ht="39" customHeight="1" x14ac:dyDescent="0.2">
      <c r="A8" s="10" t="s">
        <v>652</v>
      </c>
      <c r="B8" s="10" t="s">
        <v>1693</v>
      </c>
      <c r="C8" s="43" t="s">
        <v>1694</v>
      </c>
      <c r="D8" s="36" t="s">
        <v>1228</v>
      </c>
      <c r="E8" s="10" t="s">
        <v>1695</v>
      </c>
      <c r="F8" s="3" t="s">
        <v>1701</v>
      </c>
      <c r="G8" s="3" t="s">
        <v>1702</v>
      </c>
      <c r="H8" s="3" t="s">
        <v>1698</v>
      </c>
      <c r="I8" s="3" t="s">
        <v>653</v>
      </c>
    </row>
    <row r="9" spans="1:9" ht="51" customHeight="1" x14ac:dyDescent="0.2">
      <c r="A9" s="10" t="s">
        <v>655</v>
      </c>
      <c r="B9" s="3" t="s">
        <v>1703</v>
      </c>
      <c r="C9" s="44" t="s">
        <v>1704</v>
      </c>
      <c r="D9" s="36" t="s">
        <v>1228</v>
      </c>
      <c r="E9" s="10" t="s">
        <v>1695</v>
      </c>
      <c r="F9" s="10" t="s">
        <v>1705</v>
      </c>
      <c r="G9" s="3" t="s">
        <v>1706</v>
      </c>
      <c r="H9" s="3" t="s">
        <v>1707</v>
      </c>
      <c r="I9" s="3" t="s">
        <v>656</v>
      </c>
    </row>
    <row r="10" spans="1:9" ht="39" customHeight="1" x14ac:dyDescent="0.2">
      <c r="A10" s="10" t="s">
        <v>646</v>
      </c>
      <c r="B10" s="10" t="s">
        <v>1693</v>
      </c>
      <c r="C10" s="43" t="s">
        <v>1694</v>
      </c>
      <c r="D10" s="36" t="s">
        <v>1228</v>
      </c>
      <c r="E10" s="10" t="s">
        <v>1695</v>
      </c>
      <c r="F10" s="10" t="s">
        <v>1708</v>
      </c>
      <c r="G10" s="10" t="s">
        <v>1709</v>
      </c>
      <c r="H10" s="3" t="s">
        <v>1698</v>
      </c>
      <c r="I10" s="3" t="s">
        <v>647</v>
      </c>
    </row>
    <row r="11" spans="1:9" ht="39" customHeight="1" x14ac:dyDescent="0.2">
      <c r="A11" s="10" t="s">
        <v>649</v>
      </c>
      <c r="B11" s="10" t="s">
        <v>1693</v>
      </c>
      <c r="C11" s="43" t="s">
        <v>1694</v>
      </c>
      <c r="D11" s="36" t="s">
        <v>1228</v>
      </c>
      <c r="E11" s="10" t="s">
        <v>1695</v>
      </c>
      <c r="F11" s="10" t="s">
        <v>1710</v>
      </c>
      <c r="G11" s="10" t="s">
        <v>1709</v>
      </c>
      <c r="H11" s="3" t="s">
        <v>1698</v>
      </c>
      <c r="I11" s="3" t="s">
        <v>650</v>
      </c>
    </row>
    <row r="12" spans="1:9" ht="51" customHeight="1" x14ac:dyDescent="0.2">
      <c r="A12" s="10" t="s">
        <v>640</v>
      </c>
      <c r="B12" s="10" t="s">
        <v>1693</v>
      </c>
      <c r="C12" s="43" t="s">
        <v>1694</v>
      </c>
      <c r="D12" s="36" t="s">
        <v>1228</v>
      </c>
      <c r="E12" s="10" t="s">
        <v>1695</v>
      </c>
      <c r="F12" s="10" t="s">
        <v>1711</v>
      </c>
      <c r="G12" s="10" t="s">
        <v>1712</v>
      </c>
      <c r="H12" s="3" t="s">
        <v>1698</v>
      </c>
      <c r="I12" s="3" t="s">
        <v>641</v>
      </c>
    </row>
    <row r="13" spans="1:9" ht="51" customHeight="1" x14ac:dyDescent="0.2">
      <c r="A13" s="10" t="s">
        <v>624</v>
      </c>
      <c r="B13" s="10" t="s">
        <v>1693</v>
      </c>
      <c r="C13" s="43" t="s">
        <v>1694</v>
      </c>
      <c r="D13" s="36" t="s">
        <v>1228</v>
      </c>
      <c r="E13" s="10" t="s">
        <v>1695</v>
      </c>
      <c r="F13" s="3" t="s">
        <v>1713</v>
      </c>
      <c r="G13" s="10" t="s">
        <v>1712</v>
      </c>
      <c r="H13" s="3" t="s">
        <v>1698</v>
      </c>
      <c r="I13" s="3" t="s">
        <v>638</v>
      </c>
    </row>
    <row r="14" spans="1:9" ht="39" customHeight="1" x14ac:dyDescent="0.2">
      <c r="A14" s="10" t="s">
        <v>630</v>
      </c>
      <c r="B14" s="3" t="s">
        <v>1703</v>
      </c>
      <c r="C14" s="44" t="s">
        <v>1704</v>
      </c>
      <c r="D14" s="45" t="s">
        <v>1714</v>
      </c>
      <c r="E14" s="10" t="s">
        <v>1695</v>
      </c>
      <c r="F14" s="10" t="s">
        <v>1715</v>
      </c>
      <c r="G14" s="10" t="s">
        <v>1716</v>
      </c>
      <c r="H14" s="3" t="s">
        <v>1707</v>
      </c>
      <c r="I14" s="3" t="s">
        <v>631</v>
      </c>
    </row>
    <row r="15" spans="1:9" ht="27" customHeight="1" x14ac:dyDescent="0.2">
      <c r="A15" s="10" t="s">
        <v>634</v>
      </c>
      <c r="B15" s="10" t="s">
        <v>1717</v>
      </c>
      <c r="C15" s="46" t="s">
        <v>143</v>
      </c>
      <c r="D15" s="47" t="s">
        <v>1718</v>
      </c>
      <c r="E15" s="10" t="s">
        <v>1719</v>
      </c>
      <c r="F15" s="10" t="s">
        <v>1720</v>
      </c>
      <c r="G15" s="10" t="s">
        <v>1721</v>
      </c>
      <c r="H15" s="3" t="s">
        <v>1722</v>
      </c>
      <c r="I15" s="3" t="s">
        <v>635</v>
      </c>
    </row>
    <row r="16" spans="1:9" ht="39" customHeight="1" x14ac:dyDescent="0.2">
      <c r="A16" s="10" t="s">
        <v>671</v>
      </c>
      <c r="B16" s="10" t="s">
        <v>1723</v>
      </c>
      <c r="C16" s="44" t="s">
        <v>1704</v>
      </c>
      <c r="D16" s="36" t="s">
        <v>1228</v>
      </c>
      <c r="E16" s="10" t="s">
        <v>1695</v>
      </c>
      <c r="F16" s="3" t="s">
        <v>1696</v>
      </c>
      <c r="G16" s="10" t="s">
        <v>1724</v>
      </c>
      <c r="H16" s="3" t="s">
        <v>1725</v>
      </c>
      <c r="I16" s="3" t="s">
        <v>672</v>
      </c>
    </row>
    <row r="17" spans="1:9" ht="39" customHeight="1" x14ac:dyDescent="0.2">
      <c r="A17" s="10" t="s">
        <v>678</v>
      </c>
      <c r="B17" s="10" t="s">
        <v>1723</v>
      </c>
      <c r="C17" s="44" t="s">
        <v>1704</v>
      </c>
      <c r="D17" s="36" t="s">
        <v>1228</v>
      </c>
      <c r="E17" s="10" t="s">
        <v>1695</v>
      </c>
      <c r="F17" s="3" t="s">
        <v>1726</v>
      </c>
      <c r="G17" s="10" t="s">
        <v>1727</v>
      </c>
      <c r="H17" s="3" t="s">
        <v>1725</v>
      </c>
      <c r="I17" s="3" t="s">
        <v>679</v>
      </c>
    </row>
    <row r="18" spans="1:9" ht="39" customHeight="1" x14ac:dyDescent="0.2">
      <c r="A18" s="10" t="s">
        <v>675</v>
      </c>
      <c r="B18" s="10" t="s">
        <v>1723</v>
      </c>
      <c r="C18" s="44" t="s">
        <v>1704</v>
      </c>
      <c r="D18" s="44" t="s">
        <v>1704</v>
      </c>
      <c r="E18" s="10" t="s">
        <v>1695</v>
      </c>
      <c r="F18" s="3" t="s">
        <v>1728</v>
      </c>
      <c r="G18" s="10" t="s">
        <v>1729</v>
      </c>
      <c r="H18" s="3" t="s">
        <v>1725</v>
      </c>
      <c r="I18" s="3" t="s">
        <v>676</v>
      </c>
    </row>
    <row r="19" spans="1:9" ht="51" customHeight="1" x14ac:dyDescent="0.2">
      <c r="A19" s="10" t="s">
        <v>681</v>
      </c>
      <c r="B19" s="10" t="s">
        <v>1723</v>
      </c>
      <c r="C19" s="44" t="s">
        <v>1704</v>
      </c>
      <c r="D19" s="10" t="s">
        <v>1730</v>
      </c>
      <c r="E19" s="10" t="s">
        <v>1695</v>
      </c>
      <c r="F19" s="3" t="s">
        <v>1731</v>
      </c>
      <c r="G19" s="10" t="s">
        <v>1732</v>
      </c>
      <c r="H19" s="3" t="s">
        <v>1725</v>
      </c>
      <c r="I19" s="3" t="s">
        <v>682</v>
      </c>
    </row>
    <row r="20" spans="1:9" ht="51" customHeight="1" x14ac:dyDescent="0.2">
      <c r="A20" s="10" t="s">
        <v>673</v>
      </c>
      <c r="B20" s="10" t="s">
        <v>1723</v>
      </c>
      <c r="C20" s="48" t="s">
        <v>1733</v>
      </c>
      <c r="D20" s="37" t="s">
        <v>1232</v>
      </c>
      <c r="E20" s="10" t="s">
        <v>1695</v>
      </c>
      <c r="F20" s="10" t="s">
        <v>1708</v>
      </c>
      <c r="G20" s="10" t="s">
        <v>1734</v>
      </c>
      <c r="H20" s="3" t="s">
        <v>1735</v>
      </c>
      <c r="I20" s="3" t="s">
        <v>674</v>
      </c>
    </row>
    <row r="21" spans="1:9" ht="51" customHeight="1" x14ac:dyDescent="0.2">
      <c r="A21" s="10" t="s">
        <v>684</v>
      </c>
      <c r="B21" s="10" t="s">
        <v>1723</v>
      </c>
      <c r="C21" s="48" t="s">
        <v>1733</v>
      </c>
      <c r="D21" s="10" t="s">
        <v>1730</v>
      </c>
      <c r="E21" s="10" t="s">
        <v>1695</v>
      </c>
      <c r="F21" s="3" t="s">
        <v>1736</v>
      </c>
      <c r="G21" s="10" t="s">
        <v>1737</v>
      </c>
      <c r="H21" s="3" t="s">
        <v>1735</v>
      </c>
      <c r="I21" s="3" t="s">
        <v>685</v>
      </c>
    </row>
    <row r="22" spans="1:9" ht="39" customHeight="1" x14ac:dyDescent="0.2">
      <c r="A22" s="10" t="s">
        <v>745</v>
      </c>
      <c r="B22" s="10" t="s">
        <v>1723</v>
      </c>
      <c r="C22" s="44" t="s">
        <v>1704</v>
      </c>
      <c r="D22" s="44" t="s">
        <v>1704</v>
      </c>
      <c r="E22" s="10" t="s">
        <v>1695</v>
      </c>
      <c r="F22" s="10" t="s">
        <v>1738</v>
      </c>
      <c r="G22" s="3" t="s">
        <v>1739</v>
      </c>
      <c r="H22" s="3" t="s">
        <v>1725</v>
      </c>
      <c r="I22" s="3" t="s">
        <v>746</v>
      </c>
    </row>
    <row r="23" spans="1:9" ht="63" customHeight="1" x14ac:dyDescent="0.2">
      <c r="A23" s="10" t="s">
        <v>749</v>
      </c>
      <c r="B23" s="10" t="s">
        <v>1723</v>
      </c>
      <c r="C23" s="44" t="s">
        <v>1704</v>
      </c>
      <c r="D23" s="36" t="s">
        <v>1228</v>
      </c>
      <c r="E23" s="10" t="s">
        <v>1695</v>
      </c>
      <c r="F23" s="3" t="s">
        <v>1740</v>
      </c>
      <c r="G23" s="10" t="s">
        <v>1741</v>
      </c>
      <c r="H23" s="3" t="s">
        <v>1725</v>
      </c>
      <c r="I23" s="3" t="s">
        <v>750</v>
      </c>
    </row>
    <row r="24" spans="1:9" ht="39" customHeight="1" x14ac:dyDescent="0.2">
      <c r="A24" s="10" t="s">
        <v>669</v>
      </c>
      <c r="B24" s="3" t="s">
        <v>1742</v>
      </c>
      <c r="C24" s="44" t="s">
        <v>1704</v>
      </c>
      <c r="D24" s="36" t="s">
        <v>1228</v>
      </c>
      <c r="E24" s="10" t="s">
        <v>1695</v>
      </c>
      <c r="F24" s="10" t="s">
        <v>1711</v>
      </c>
      <c r="G24" s="3" t="s">
        <v>1743</v>
      </c>
      <c r="H24" s="3" t="s">
        <v>1744</v>
      </c>
      <c r="I24" s="3" t="s">
        <v>670</v>
      </c>
    </row>
    <row r="25" spans="1:9" ht="39" customHeight="1" x14ac:dyDescent="0.2">
      <c r="A25" s="10" t="s">
        <v>666</v>
      </c>
      <c r="B25" s="3" t="s">
        <v>1742</v>
      </c>
      <c r="C25" s="44" t="s">
        <v>1704</v>
      </c>
      <c r="D25" s="36" t="s">
        <v>1228</v>
      </c>
      <c r="E25" s="10" t="s">
        <v>1695</v>
      </c>
      <c r="F25" s="3" t="s">
        <v>1745</v>
      </c>
      <c r="G25" s="3" t="s">
        <v>1743</v>
      </c>
      <c r="H25" s="3" t="s">
        <v>1744</v>
      </c>
      <c r="I25" s="3" t="s">
        <v>667</v>
      </c>
    </row>
    <row r="26" spans="1:9" ht="39" customHeight="1" x14ac:dyDescent="0.2">
      <c r="A26" s="10" t="s">
        <v>661</v>
      </c>
      <c r="B26" s="3" t="s">
        <v>1742</v>
      </c>
      <c r="C26" s="44" t="s">
        <v>1704</v>
      </c>
      <c r="D26" s="36" t="s">
        <v>1228</v>
      </c>
      <c r="E26" s="10" t="s">
        <v>1695</v>
      </c>
      <c r="F26" s="10" t="s">
        <v>1746</v>
      </c>
      <c r="G26" s="10" t="s">
        <v>1747</v>
      </c>
      <c r="H26" s="3" t="s">
        <v>1744</v>
      </c>
      <c r="I26" s="3" t="s">
        <v>662</v>
      </c>
    </row>
    <row r="27" spans="1:9" ht="27" customHeight="1" x14ac:dyDescent="0.2">
      <c r="A27" s="10" t="s">
        <v>664</v>
      </c>
      <c r="B27" s="10" t="s">
        <v>1748</v>
      </c>
      <c r="C27" s="46" t="s">
        <v>143</v>
      </c>
      <c r="D27" s="47" t="s">
        <v>1718</v>
      </c>
      <c r="E27" s="10" t="s">
        <v>1719</v>
      </c>
      <c r="F27" s="10" t="s">
        <v>1720</v>
      </c>
      <c r="G27" s="10" t="s">
        <v>1721</v>
      </c>
      <c r="H27" s="3" t="s">
        <v>1749</v>
      </c>
      <c r="I27" s="3" t="s">
        <v>665</v>
      </c>
    </row>
    <row r="28" spans="1:9" ht="39" customHeight="1" x14ac:dyDescent="0.2">
      <c r="A28" s="10" t="s">
        <v>695</v>
      </c>
      <c r="B28" s="3" t="s">
        <v>1750</v>
      </c>
      <c r="C28" s="49" t="s">
        <v>1751</v>
      </c>
      <c r="D28" s="36" t="s">
        <v>1228</v>
      </c>
      <c r="E28" s="10" t="s">
        <v>1695</v>
      </c>
      <c r="F28" s="10" t="s">
        <v>1752</v>
      </c>
      <c r="G28" s="10" t="s">
        <v>1753</v>
      </c>
      <c r="H28" s="3" t="s">
        <v>1754</v>
      </c>
      <c r="I28" s="3" t="s">
        <v>696</v>
      </c>
    </row>
    <row r="29" spans="1:9" ht="39" customHeight="1" x14ac:dyDescent="0.2">
      <c r="A29" s="10" t="s">
        <v>704</v>
      </c>
      <c r="B29" s="3" t="s">
        <v>1750</v>
      </c>
      <c r="C29" s="49" t="s">
        <v>1751</v>
      </c>
      <c r="D29" s="36" t="s">
        <v>1228</v>
      </c>
      <c r="E29" s="10" t="s">
        <v>1695</v>
      </c>
      <c r="F29" s="10" t="s">
        <v>1755</v>
      </c>
      <c r="G29" s="10" t="s">
        <v>1753</v>
      </c>
      <c r="H29" s="3" t="s">
        <v>1754</v>
      </c>
      <c r="I29" s="3" t="s">
        <v>705</v>
      </c>
    </row>
    <row r="30" spans="1:9" ht="39" customHeight="1" x14ac:dyDescent="0.2">
      <c r="A30" s="10" t="s">
        <v>707</v>
      </c>
      <c r="B30" s="3" t="s">
        <v>1750</v>
      </c>
      <c r="C30" s="49" t="s">
        <v>1751</v>
      </c>
      <c r="D30" s="50" t="s">
        <v>1756</v>
      </c>
      <c r="E30" s="10" t="s">
        <v>1695</v>
      </c>
      <c r="F30" s="3" t="s">
        <v>1757</v>
      </c>
      <c r="G30" s="10" t="s">
        <v>1758</v>
      </c>
      <c r="H30" s="3" t="s">
        <v>1754</v>
      </c>
      <c r="I30" s="3" t="s">
        <v>708</v>
      </c>
    </row>
    <row r="31" spans="1:9" ht="39" customHeight="1" x14ac:dyDescent="0.2">
      <c r="A31" s="10" t="s">
        <v>710</v>
      </c>
      <c r="B31" s="3" t="s">
        <v>1750</v>
      </c>
      <c r="C31" s="49" t="s">
        <v>1751</v>
      </c>
      <c r="D31" s="51" t="s">
        <v>1759</v>
      </c>
      <c r="E31" s="10" t="s">
        <v>1695</v>
      </c>
      <c r="F31" s="3" t="s">
        <v>1760</v>
      </c>
      <c r="G31" s="10" t="s">
        <v>1758</v>
      </c>
      <c r="H31" s="3" t="s">
        <v>1754</v>
      </c>
      <c r="I31" s="3" t="s">
        <v>711</v>
      </c>
    </row>
    <row r="32" spans="1:9" ht="63" customHeight="1" x14ac:dyDescent="0.2">
      <c r="A32" s="10" t="s">
        <v>794</v>
      </c>
      <c r="B32" s="3" t="s">
        <v>1750</v>
      </c>
      <c r="C32" s="52" t="s">
        <v>1761</v>
      </c>
      <c r="D32" s="52" t="s">
        <v>1761</v>
      </c>
      <c r="E32" s="10" t="s">
        <v>1695</v>
      </c>
      <c r="F32" s="10" t="s">
        <v>1762</v>
      </c>
      <c r="G32" s="10" t="s">
        <v>1763</v>
      </c>
      <c r="H32" s="3" t="s">
        <v>1764</v>
      </c>
      <c r="I32" s="3" t="s">
        <v>1765</v>
      </c>
    </row>
    <row r="33" spans="1:9" ht="39" customHeight="1" x14ac:dyDescent="0.2">
      <c r="A33" s="10" t="s">
        <v>796</v>
      </c>
      <c r="B33" s="3" t="s">
        <v>1766</v>
      </c>
      <c r="C33" s="52" t="s">
        <v>1761</v>
      </c>
      <c r="D33" s="52" t="s">
        <v>1761</v>
      </c>
      <c r="E33" s="10" t="s">
        <v>1695</v>
      </c>
      <c r="F33" s="3" t="s">
        <v>1767</v>
      </c>
      <c r="G33" s="10" t="s">
        <v>1768</v>
      </c>
      <c r="H33" s="3" t="s">
        <v>1769</v>
      </c>
      <c r="I33" s="3" t="s">
        <v>797</v>
      </c>
    </row>
    <row r="34" spans="1:9" ht="39" customHeight="1" x14ac:dyDescent="0.2">
      <c r="A34" s="10" t="s">
        <v>698</v>
      </c>
      <c r="B34" s="10" t="s">
        <v>1770</v>
      </c>
      <c r="C34" s="49" t="s">
        <v>1751</v>
      </c>
      <c r="D34" s="36" t="s">
        <v>1228</v>
      </c>
      <c r="E34" s="10" t="s">
        <v>1695</v>
      </c>
      <c r="F34" s="3" t="s">
        <v>1771</v>
      </c>
      <c r="G34" s="10" t="s">
        <v>1772</v>
      </c>
      <c r="H34" s="3" t="s">
        <v>1773</v>
      </c>
      <c r="I34" s="3" t="s">
        <v>699</v>
      </c>
    </row>
    <row r="35" spans="1:9" ht="39" customHeight="1" x14ac:dyDescent="0.2">
      <c r="A35" s="10" t="s">
        <v>701</v>
      </c>
      <c r="B35" s="10" t="s">
        <v>1770</v>
      </c>
      <c r="C35" s="49" t="s">
        <v>1751</v>
      </c>
      <c r="D35" s="36" t="s">
        <v>1228</v>
      </c>
      <c r="E35" s="10" t="s">
        <v>1695</v>
      </c>
      <c r="F35" s="3" t="s">
        <v>1774</v>
      </c>
      <c r="G35" s="10" t="s">
        <v>1772</v>
      </c>
      <c r="H35" s="3" t="s">
        <v>1773</v>
      </c>
      <c r="I35" s="3" t="s">
        <v>702</v>
      </c>
    </row>
    <row r="36" spans="1:9" ht="39" customHeight="1" x14ac:dyDescent="0.2">
      <c r="A36" s="10" t="s">
        <v>752</v>
      </c>
      <c r="B36" s="3" t="s">
        <v>1750</v>
      </c>
      <c r="C36" s="49" t="s">
        <v>1751</v>
      </c>
      <c r="D36" s="49" t="s">
        <v>1751</v>
      </c>
      <c r="E36" s="10" t="s">
        <v>1695</v>
      </c>
      <c r="F36" s="10" t="s">
        <v>1775</v>
      </c>
      <c r="G36" s="10" t="s">
        <v>1776</v>
      </c>
      <c r="H36" s="3" t="s">
        <v>1754</v>
      </c>
      <c r="I36" s="3" t="s">
        <v>753</v>
      </c>
    </row>
    <row r="37" spans="1:9" ht="39" customHeight="1" x14ac:dyDescent="0.2">
      <c r="A37" s="10" t="s">
        <v>693</v>
      </c>
      <c r="B37" s="3" t="s">
        <v>1750</v>
      </c>
      <c r="C37" s="49" t="s">
        <v>1751</v>
      </c>
      <c r="D37" s="36" t="s">
        <v>1228</v>
      </c>
      <c r="E37" s="10" t="s">
        <v>1695</v>
      </c>
      <c r="F37" s="10" t="s">
        <v>1711</v>
      </c>
      <c r="G37" s="10" t="s">
        <v>1777</v>
      </c>
      <c r="H37" s="3" t="s">
        <v>1754</v>
      </c>
      <c r="I37" s="3" t="s">
        <v>694</v>
      </c>
    </row>
    <row r="38" spans="1:9" ht="39" customHeight="1" x14ac:dyDescent="0.2">
      <c r="A38" s="10" t="s">
        <v>628</v>
      </c>
      <c r="B38" s="3" t="s">
        <v>1750</v>
      </c>
      <c r="C38" s="49" t="s">
        <v>1751</v>
      </c>
      <c r="D38" s="36" t="s">
        <v>1228</v>
      </c>
      <c r="E38" s="10" t="s">
        <v>1695</v>
      </c>
      <c r="F38" s="3" t="s">
        <v>1745</v>
      </c>
      <c r="G38" s="10" t="s">
        <v>1777</v>
      </c>
      <c r="H38" s="3" t="s">
        <v>1754</v>
      </c>
      <c r="I38" s="3" t="s">
        <v>692</v>
      </c>
    </row>
    <row r="39" spans="1:9" ht="39" customHeight="1" x14ac:dyDescent="0.2">
      <c r="A39" s="10" t="s">
        <v>687</v>
      </c>
      <c r="B39" s="10" t="s">
        <v>1770</v>
      </c>
      <c r="C39" s="49" t="s">
        <v>1751</v>
      </c>
      <c r="D39" s="53" t="s">
        <v>1778</v>
      </c>
      <c r="E39" s="10" t="s">
        <v>1695</v>
      </c>
      <c r="F39" s="3" t="s">
        <v>1779</v>
      </c>
      <c r="G39" s="10" t="s">
        <v>1716</v>
      </c>
      <c r="H39" s="3" t="s">
        <v>1773</v>
      </c>
      <c r="I39" s="3" t="s">
        <v>688</v>
      </c>
    </row>
    <row r="40" spans="1:9" ht="27" customHeight="1" x14ac:dyDescent="0.2">
      <c r="A40" s="10" t="s">
        <v>690</v>
      </c>
      <c r="B40" s="10" t="s">
        <v>1780</v>
      </c>
      <c r="C40" s="46" t="s">
        <v>143</v>
      </c>
      <c r="D40" s="47" t="s">
        <v>1718</v>
      </c>
      <c r="E40" s="10" t="s">
        <v>1719</v>
      </c>
      <c r="F40" s="10" t="s">
        <v>1720</v>
      </c>
      <c r="G40" s="10" t="s">
        <v>1721</v>
      </c>
      <c r="H40" s="3" t="s">
        <v>1781</v>
      </c>
      <c r="I40" s="3" t="s">
        <v>691</v>
      </c>
    </row>
    <row r="41" spans="1:9" ht="39" customHeight="1" x14ac:dyDescent="0.2">
      <c r="A41" s="10" t="s">
        <v>718</v>
      </c>
      <c r="B41" s="10" t="s">
        <v>1782</v>
      </c>
      <c r="C41" s="46" t="s">
        <v>143</v>
      </c>
      <c r="D41" s="36" t="s">
        <v>1228</v>
      </c>
      <c r="E41" s="10" t="s">
        <v>1695</v>
      </c>
      <c r="F41" s="3" t="s">
        <v>1783</v>
      </c>
      <c r="G41" s="10" t="s">
        <v>1784</v>
      </c>
      <c r="H41" s="3" t="s">
        <v>1785</v>
      </c>
      <c r="I41" s="3" t="s">
        <v>719</v>
      </c>
    </row>
    <row r="42" spans="1:9" ht="15" customHeight="1" x14ac:dyDescent="0.2">
      <c r="A42" s="10" t="s">
        <v>721</v>
      </c>
      <c r="B42" s="10" t="s">
        <v>1782</v>
      </c>
      <c r="C42" s="46" t="s">
        <v>143</v>
      </c>
      <c r="D42" s="36" t="s">
        <v>1228</v>
      </c>
      <c r="E42" s="10" t="s">
        <v>1695</v>
      </c>
      <c r="F42" s="10" t="s">
        <v>1786</v>
      </c>
      <c r="G42" s="10" t="s">
        <v>1784</v>
      </c>
      <c r="H42" s="3" t="s">
        <v>1785</v>
      </c>
      <c r="I42" s="3" t="s">
        <v>722</v>
      </c>
    </row>
    <row r="43" spans="1:9" ht="27" customHeight="1" x14ac:dyDescent="0.2">
      <c r="A43" s="10" t="s">
        <v>724</v>
      </c>
      <c r="B43" s="10" t="s">
        <v>1787</v>
      </c>
      <c r="C43" s="49" t="s">
        <v>1751</v>
      </c>
      <c r="D43" s="36" t="s">
        <v>1228</v>
      </c>
      <c r="E43" s="10" t="s">
        <v>1719</v>
      </c>
      <c r="F43" s="10" t="s">
        <v>1788</v>
      </c>
      <c r="G43" s="3" t="s">
        <v>1789</v>
      </c>
      <c r="H43" s="3" t="s">
        <v>1790</v>
      </c>
      <c r="I43" s="3" t="s">
        <v>725</v>
      </c>
    </row>
    <row r="44" spans="1:9" ht="15" customHeight="1" x14ac:dyDescent="0.2">
      <c r="A44" s="10" t="s">
        <v>727</v>
      </c>
      <c r="B44" s="10" t="s">
        <v>1782</v>
      </c>
      <c r="C44" s="46" t="s">
        <v>143</v>
      </c>
      <c r="D44" s="36" t="s">
        <v>1228</v>
      </c>
      <c r="E44" s="10" t="s">
        <v>1695</v>
      </c>
      <c r="F44" s="10" t="s">
        <v>1791</v>
      </c>
      <c r="G44" s="10" t="s">
        <v>1784</v>
      </c>
      <c r="H44" s="3" t="s">
        <v>1785</v>
      </c>
      <c r="I44" s="3" t="s">
        <v>728</v>
      </c>
    </row>
    <row r="45" spans="1:9" ht="51" customHeight="1" x14ac:dyDescent="0.2">
      <c r="A45" s="10" t="s">
        <v>713</v>
      </c>
      <c r="B45" s="3" t="s">
        <v>1792</v>
      </c>
      <c r="C45" s="46" t="s">
        <v>143</v>
      </c>
      <c r="D45" s="46" t="s">
        <v>143</v>
      </c>
      <c r="E45" s="10" t="s">
        <v>1793</v>
      </c>
      <c r="F45" s="10" t="s">
        <v>1794</v>
      </c>
      <c r="G45" s="10" t="s">
        <v>1795</v>
      </c>
      <c r="H45" s="3" t="s">
        <v>1796</v>
      </c>
      <c r="I45" s="3" t="s">
        <v>714</v>
      </c>
    </row>
    <row r="46" spans="1:9" ht="27" customHeight="1" x14ac:dyDescent="0.2">
      <c r="A46" s="10" t="s">
        <v>716</v>
      </c>
      <c r="B46" s="3" t="s">
        <v>1797</v>
      </c>
      <c r="C46" s="46" t="s">
        <v>143</v>
      </c>
      <c r="D46" s="47" t="s">
        <v>1718</v>
      </c>
      <c r="E46" s="10" t="s">
        <v>1719</v>
      </c>
      <c r="F46" s="10" t="s">
        <v>1720</v>
      </c>
      <c r="G46" s="10" t="s">
        <v>1721</v>
      </c>
      <c r="H46" s="3" t="s">
        <v>1798</v>
      </c>
      <c r="I46" s="3" t="s">
        <v>717</v>
      </c>
    </row>
    <row r="47" spans="1:9" ht="51" customHeight="1" x14ac:dyDescent="0.2">
      <c r="A47" s="10" t="s">
        <v>730</v>
      </c>
      <c r="B47" s="3" t="s">
        <v>1799</v>
      </c>
      <c r="C47" s="39" t="s">
        <v>1243</v>
      </c>
      <c r="D47" s="39" t="s">
        <v>1243</v>
      </c>
      <c r="E47" s="10" t="s">
        <v>1695</v>
      </c>
      <c r="F47" s="3" t="s">
        <v>1800</v>
      </c>
      <c r="G47" s="10" t="s">
        <v>1801</v>
      </c>
      <c r="H47" s="10" t="s">
        <v>1802</v>
      </c>
      <c r="I47" s="3" t="s">
        <v>731</v>
      </c>
    </row>
    <row r="48" spans="1:9" ht="27" customHeight="1" x14ac:dyDescent="0.2">
      <c r="A48" s="10" t="s">
        <v>733</v>
      </c>
      <c r="B48" s="3" t="s">
        <v>1799</v>
      </c>
      <c r="C48" s="39" t="s">
        <v>1243</v>
      </c>
      <c r="D48" s="39" t="s">
        <v>1243</v>
      </c>
      <c r="E48" s="10" t="s">
        <v>1695</v>
      </c>
      <c r="F48" s="3" t="s">
        <v>1803</v>
      </c>
      <c r="G48" s="10" t="s">
        <v>1804</v>
      </c>
      <c r="H48" s="10" t="s">
        <v>1802</v>
      </c>
      <c r="I48" s="3" t="s">
        <v>734</v>
      </c>
    </row>
    <row r="49" spans="1:9" ht="39" customHeight="1" x14ac:dyDescent="0.2">
      <c r="A49" s="10" t="s">
        <v>736</v>
      </c>
      <c r="B49" s="10" t="s">
        <v>1805</v>
      </c>
      <c r="C49" s="54" t="s">
        <v>1806</v>
      </c>
      <c r="D49" s="41" t="s">
        <v>1247</v>
      </c>
      <c r="E49" s="10" t="s">
        <v>1695</v>
      </c>
      <c r="F49" s="3" t="s">
        <v>1807</v>
      </c>
      <c r="G49" s="10" t="s">
        <v>1808</v>
      </c>
      <c r="H49" s="3" t="s">
        <v>1809</v>
      </c>
      <c r="I49" s="3" t="s">
        <v>737</v>
      </c>
    </row>
    <row r="50" spans="1:9" ht="27" customHeight="1" x14ac:dyDescent="0.2">
      <c r="A50" s="10" t="s">
        <v>739</v>
      </c>
      <c r="B50" s="10" t="s">
        <v>1805</v>
      </c>
      <c r="C50" s="40" t="s">
        <v>1246</v>
      </c>
      <c r="D50" s="40" t="s">
        <v>1246</v>
      </c>
      <c r="E50" s="10" t="s">
        <v>1695</v>
      </c>
      <c r="F50" s="10" t="s">
        <v>1810</v>
      </c>
      <c r="G50" s="10" t="s">
        <v>1811</v>
      </c>
      <c r="H50" s="3" t="s">
        <v>1812</v>
      </c>
      <c r="I50" s="3" t="s">
        <v>740</v>
      </c>
    </row>
    <row r="51" spans="1:9" ht="39" customHeight="1" x14ac:dyDescent="0.2">
      <c r="A51" s="10" t="s">
        <v>742</v>
      </c>
      <c r="B51" s="10" t="s">
        <v>1805</v>
      </c>
      <c r="C51" s="40" t="s">
        <v>1246</v>
      </c>
      <c r="D51" s="40" t="s">
        <v>1246</v>
      </c>
      <c r="E51" s="10" t="s">
        <v>1695</v>
      </c>
      <c r="F51" s="10" t="s">
        <v>1813</v>
      </c>
      <c r="G51" s="10" t="s">
        <v>1811</v>
      </c>
      <c r="H51" s="3" t="s">
        <v>1812</v>
      </c>
      <c r="I51" s="3" t="s">
        <v>743</v>
      </c>
    </row>
    <row r="52" spans="1:9" ht="39" customHeight="1" x14ac:dyDescent="0.2">
      <c r="A52" s="10" t="s">
        <v>756</v>
      </c>
      <c r="B52" s="10" t="s">
        <v>1814</v>
      </c>
      <c r="C52" s="55" t="s">
        <v>1815</v>
      </c>
      <c r="D52" s="55" t="s">
        <v>1815</v>
      </c>
      <c r="E52" s="10" t="s">
        <v>1719</v>
      </c>
      <c r="F52" s="3" t="s">
        <v>1816</v>
      </c>
      <c r="G52" s="10" t="s">
        <v>1817</v>
      </c>
      <c r="H52" s="3" t="s">
        <v>1818</v>
      </c>
      <c r="I52" s="3" t="s">
        <v>757</v>
      </c>
    </row>
    <row r="53" spans="1:9" ht="39" customHeight="1" x14ac:dyDescent="0.2">
      <c r="A53" s="10" t="s">
        <v>759</v>
      </c>
      <c r="B53" s="10" t="s">
        <v>1814</v>
      </c>
      <c r="C53" s="55" t="s">
        <v>1815</v>
      </c>
      <c r="D53" s="55" t="s">
        <v>1815</v>
      </c>
      <c r="E53" s="10" t="s">
        <v>1719</v>
      </c>
      <c r="F53" s="3" t="s">
        <v>1819</v>
      </c>
      <c r="G53" s="10" t="s">
        <v>1817</v>
      </c>
      <c r="H53" s="10" t="s">
        <v>1820</v>
      </c>
      <c r="I53" s="3" t="s">
        <v>760</v>
      </c>
    </row>
    <row r="54" spans="1:9" ht="39" customHeight="1" x14ac:dyDescent="0.2">
      <c r="A54" s="10" t="s">
        <v>762</v>
      </c>
      <c r="B54" s="10" t="s">
        <v>1821</v>
      </c>
      <c r="C54" s="55" t="s">
        <v>1815</v>
      </c>
      <c r="D54" s="55" t="s">
        <v>1815</v>
      </c>
      <c r="E54" s="10" t="s">
        <v>1719</v>
      </c>
      <c r="F54" s="3" t="s">
        <v>1822</v>
      </c>
      <c r="G54" s="10" t="s">
        <v>1823</v>
      </c>
      <c r="H54" s="3" t="s">
        <v>1824</v>
      </c>
      <c r="I54" s="3" t="s">
        <v>763</v>
      </c>
    </row>
    <row r="55" spans="1:9" ht="39" customHeight="1" x14ac:dyDescent="0.2">
      <c r="A55" s="10" t="s">
        <v>765</v>
      </c>
      <c r="B55" s="10" t="s">
        <v>1821</v>
      </c>
      <c r="C55" s="55" t="s">
        <v>1815</v>
      </c>
      <c r="D55" s="55" t="s">
        <v>1815</v>
      </c>
      <c r="E55" s="10" t="s">
        <v>1719</v>
      </c>
      <c r="F55" s="10" t="s">
        <v>1825</v>
      </c>
      <c r="G55" s="10" t="s">
        <v>1823</v>
      </c>
      <c r="H55" s="3" t="s">
        <v>1826</v>
      </c>
      <c r="I55" s="3" t="s">
        <v>766</v>
      </c>
    </row>
    <row r="56" spans="1:9" ht="39" customHeight="1" x14ac:dyDescent="0.2">
      <c r="A56" s="10" t="s">
        <v>768</v>
      </c>
      <c r="B56" s="10" t="s">
        <v>1827</v>
      </c>
      <c r="C56" s="46" t="s">
        <v>143</v>
      </c>
      <c r="D56" s="46" t="s">
        <v>143</v>
      </c>
      <c r="E56" s="10" t="s">
        <v>1719</v>
      </c>
      <c r="F56" s="10" t="s">
        <v>1828</v>
      </c>
      <c r="G56" s="10" t="s">
        <v>1829</v>
      </c>
      <c r="H56" s="3" t="s">
        <v>1830</v>
      </c>
      <c r="I56" s="3" t="s">
        <v>769</v>
      </c>
    </row>
    <row r="57" spans="1:9" ht="39" customHeight="1" x14ac:dyDescent="0.2">
      <c r="A57" s="10" t="s">
        <v>770</v>
      </c>
      <c r="B57" s="10" t="s">
        <v>1827</v>
      </c>
      <c r="C57" s="46" t="s">
        <v>143</v>
      </c>
      <c r="D57" s="46" t="s">
        <v>143</v>
      </c>
      <c r="E57" s="10" t="s">
        <v>1719</v>
      </c>
      <c r="F57" s="10" t="s">
        <v>1828</v>
      </c>
      <c r="G57" s="10" t="s">
        <v>1829</v>
      </c>
      <c r="H57" s="3" t="s">
        <v>1831</v>
      </c>
      <c r="I57" s="3" t="s">
        <v>771</v>
      </c>
    </row>
    <row r="58" spans="1:9" ht="39" customHeight="1" x14ac:dyDescent="0.2">
      <c r="A58" s="10" t="s">
        <v>772</v>
      </c>
      <c r="B58" s="10" t="s">
        <v>1827</v>
      </c>
      <c r="C58" s="46" t="s">
        <v>143</v>
      </c>
      <c r="D58" s="46" t="s">
        <v>143</v>
      </c>
      <c r="E58" s="10" t="s">
        <v>1719</v>
      </c>
      <c r="F58" s="10" t="s">
        <v>1828</v>
      </c>
      <c r="G58" s="10" t="s">
        <v>1829</v>
      </c>
      <c r="H58" s="3" t="s">
        <v>1832</v>
      </c>
      <c r="I58" s="3" t="s">
        <v>773</v>
      </c>
    </row>
    <row r="59" spans="1:9" ht="51" customHeight="1" x14ac:dyDescent="0.2">
      <c r="A59" s="10" t="s">
        <v>774</v>
      </c>
      <c r="B59" s="10" t="s">
        <v>1827</v>
      </c>
      <c r="C59" s="46" t="s">
        <v>143</v>
      </c>
      <c r="D59" s="46" t="s">
        <v>143</v>
      </c>
      <c r="E59" s="10" t="s">
        <v>1719</v>
      </c>
      <c r="F59" s="3" t="s">
        <v>1833</v>
      </c>
      <c r="G59" s="10" t="s">
        <v>1829</v>
      </c>
      <c r="H59" s="3" t="s">
        <v>1834</v>
      </c>
      <c r="I59" s="3" t="s">
        <v>775</v>
      </c>
    </row>
    <row r="60" spans="1:9" ht="51" customHeight="1" x14ac:dyDescent="0.2">
      <c r="A60" s="10" t="s">
        <v>777</v>
      </c>
      <c r="B60" s="10" t="s">
        <v>1827</v>
      </c>
      <c r="C60" s="46" t="s">
        <v>143</v>
      </c>
      <c r="D60" s="46" t="s">
        <v>143</v>
      </c>
      <c r="E60" s="10" t="s">
        <v>1719</v>
      </c>
      <c r="F60" s="10" t="s">
        <v>1835</v>
      </c>
      <c r="G60" s="3" t="s">
        <v>1836</v>
      </c>
      <c r="H60" s="3" t="s">
        <v>1837</v>
      </c>
      <c r="I60" s="3" t="s">
        <v>778</v>
      </c>
    </row>
    <row r="61" spans="1:9" ht="39" customHeight="1" x14ac:dyDescent="0.2">
      <c r="A61" s="10" t="s">
        <v>780</v>
      </c>
      <c r="B61" s="10" t="s">
        <v>1827</v>
      </c>
      <c r="C61" s="56" t="s">
        <v>1838</v>
      </c>
      <c r="D61" s="56" t="s">
        <v>1838</v>
      </c>
      <c r="E61" s="10" t="s">
        <v>1719</v>
      </c>
      <c r="F61" s="3" t="s">
        <v>1839</v>
      </c>
      <c r="G61" s="3" t="s">
        <v>1840</v>
      </c>
      <c r="H61" s="3" t="s">
        <v>1841</v>
      </c>
      <c r="I61" s="3" t="s">
        <v>781</v>
      </c>
    </row>
    <row r="62" spans="1:9" ht="75" customHeight="1" x14ac:dyDescent="0.2">
      <c r="A62" s="10" t="s">
        <v>784</v>
      </c>
      <c r="B62" s="3" t="s">
        <v>1766</v>
      </c>
      <c r="C62" s="52" t="s">
        <v>1761</v>
      </c>
      <c r="D62" s="52" t="s">
        <v>1761</v>
      </c>
      <c r="E62" s="10" t="s">
        <v>1695</v>
      </c>
      <c r="F62" s="3" t="s">
        <v>1842</v>
      </c>
      <c r="G62" s="10" t="s">
        <v>1843</v>
      </c>
      <c r="H62" s="3" t="s">
        <v>1769</v>
      </c>
      <c r="I62" s="3" t="s">
        <v>785</v>
      </c>
    </row>
    <row r="63" spans="1:9" ht="51" customHeight="1" x14ac:dyDescent="0.2">
      <c r="A63" s="10" t="s">
        <v>788</v>
      </c>
      <c r="B63" s="3" t="s">
        <v>1766</v>
      </c>
      <c r="C63" s="52" t="s">
        <v>1761</v>
      </c>
      <c r="D63" s="52" t="s">
        <v>1761</v>
      </c>
      <c r="E63" s="10" t="s">
        <v>1695</v>
      </c>
      <c r="F63" s="3" t="s">
        <v>1844</v>
      </c>
      <c r="G63" s="10" t="s">
        <v>1768</v>
      </c>
      <c r="H63" s="3" t="s">
        <v>1769</v>
      </c>
      <c r="I63" s="3" t="s">
        <v>789</v>
      </c>
    </row>
    <row r="64" spans="1:9" ht="39" customHeight="1" x14ac:dyDescent="0.2">
      <c r="A64" s="10" t="s">
        <v>611</v>
      </c>
      <c r="B64" s="10" t="s">
        <v>1845</v>
      </c>
      <c r="C64" s="57" t="s">
        <v>1846</v>
      </c>
      <c r="D64" s="57" t="s">
        <v>1846</v>
      </c>
      <c r="E64" s="10" t="s">
        <v>1719</v>
      </c>
      <c r="F64" s="3" t="s">
        <v>1847</v>
      </c>
      <c r="G64" s="10" t="s">
        <v>1848</v>
      </c>
      <c r="H64" s="3" t="s">
        <v>1849</v>
      </c>
      <c r="I64" s="3" t="s">
        <v>612</v>
      </c>
    </row>
    <row r="65" spans="1:9" ht="39" customHeight="1" x14ac:dyDescent="0.2">
      <c r="A65" s="10" t="s">
        <v>560</v>
      </c>
      <c r="B65" s="10" t="s">
        <v>1850</v>
      </c>
      <c r="C65" s="58" t="s">
        <v>1851</v>
      </c>
      <c r="D65" s="58" t="s">
        <v>1851</v>
      </c>
      <c r="E65" s="10" t="s">
        <v>1695</v>
      </c>
      <c r="F65" s="10" t="s">
        <v>1852</v>
      </c>
      <c r="G65" s="10" t="s">
        <v>1853</v>
      </c>
      <c r="H65" s="3" t="s">
        <v>1854</v>
      </c>
      <c r="I65" s="3" t="s">
        <v>559</v>
      </c>
    </row>
    <row r="66" spans="1:9" ht="39" customHeight="1" x14ac:dyDescent="0.2">
      <c r="A66" s="10" t="s">
        <v>443</v>
      </c>
      <c r="B66" s="10" t="s">
        <v>1850</v>
      </c>
      <c r="C66" s="58" t="s">
        <v>1851</v>
      </c>
      <c r="D66" s="58" t="s">
        <v>1851</v>
      </c>
      <c r="E66" s="10" t="s">
        <v>1695</v>
      </c>
      <c r="F66" s="10" t="s">
        <v>1855</v>
      </c>
      <c r="G66" s="10" t="s">
        <v>1856</v>
      </c>
      <c r="H66" s="3" t="s">
        <v>1854</v>
      </c>
      <c r="I66" s="3" t="s">
        <v>444</v>
      </c>
    </row>
    <row r="67" spans="1:9" ht="39" customHeight="1" x14ac:dyDescent="0.2">
      <c r="A67" s="10" t="s">
        <v>564</v>
      </c>
      <c r="B67" s="10" t="s">
        <v>1850</v>
      </c>
      <c r="C67" s="59" t="s">
        <v>1857</v>
      </c>
      <c r="D67" s="59" t="s">
        <v>1857</v>
      </c>
      <c r="E67" s="10" t="s">
        <v>1695</v>
      </c>
      <c r="F67" s="10" t="s">
        <v>1858</v>
      </c>
      <c r="G67" s="10" t="s">
        <v>1853</v>
      </c>
      <c r="H67" s="3" t="s">
        <v>1859</v>
      </c>
      <c r="I67" s="3" t="s">
        <v>563</v>
      </c>
    </row>
    <row r="68" spans="1:9" ht="27" customHeight="1" x14ac:dyDescent="0.2">
      <c r="A68" s="10" t="s">
        <v>446</v>
      </c>
      <c r="B68" s="10" t="s">
        <v>1850</v>
      </c>
      <c r="C68" s="59" t="s">
        <v>1857</v>
      </c>
      <c r="D68" s="59" t="s">
        <v>1857</v>
      </c>
      <c r="E68" s="10" t="s">
        <v>1695</v>
      </c>
      <c r="F68" s="10" t="s">
        <v>1855</v>
      </c>
      <c r="G68" s="10" t="s">
        <v>1853</v>
      </c>
      <c r="H68" s="3" t="s">
        <v>1859</v>
      </c>
      <c r="I68" s="3" t="s">
        <v>447</v>
      </c>
    </row>
    <row r="69" spans="1:9" ht="39" customHeight="1" x14ac:dyDescent="0.2">
      <c r="A69" s="10" t="s">
        <v>572</v>
      </c>
      <c r="B69" s="10" t="s">
        <v>1850</v>
      </c>
      <c r="C69" s="60" t="s">
        <v>1860</v>
      </c>
      <c r="D69" s="60" t="s">
        <v>1860</v>
      </c>
      <c r="E69" s="10" t="s">
        <v>1695</v>
      </c>
      <c r="F69" s="3" t="s">
        <v>1861</v>
      </c>
      <c r="G69" s="10" t="s">
        <v>1853</v>
      </c>
      <c r="H69" s="3" t="s">
        <v>1862</v>
      </c>
      <c r="I69" s="3" t="s">
        <v>571</v>
      </c>
    </row>
    <row r="70" spans="1:9" ht="39" customHeight="1" x14ac:dyDescent="0.2">
      <c r="A70" s="10" t="s">
        <v>80</v>
      </c>
      <c r="B70" s="10" t="s">
        <v>1850</v>
      </c>
      <c r="C70" s="60" t="s">
        <v>1860</v>
      </c>
      <c r="D70" s="60" t="s">
        <v>1860</v>
      </c>
      <c r="E70" s="10" t="s">
        <v>1695</v>
      </c>
      <c r="F70" s="10" t="s">
        <v>1855</v>
      </c>
      <c r="G70" s="10" t="s">
        <v>1856</v>
      </c>
      <c r="H70" s="3" t="s">
        <v>1862</v>
      </c>
      <c r="I70" s="3" t="s">
        <v>449</v>
      </c>
    </row>
    <row r="71" spans="1:9" ht="63" customHeight="1" x14ac:dyDescent="0.2">
      <c r="A71" s="10" t="s">
        <v>576</v>
      </c>
      <c r="B71" s="10" t="s">
        <v>1850</v>
      </c>
      <c r="C71" s="61" t="s">
        <v>1863</v>
      </c>
      <c r="D71" s="61" t="s">
        <v>1863</v>
      </c>
      <c r="E71" s="10" t="s">
        <v>1695</v>
      </c>
      <c r="F71" s="3" t="s">
        <v>1864</v>
      </c>
      <c r="G71" s="10" t="s">
        <v>1853</v>
      </c>
      <c r="H71" s="3" t="s">
        <v>1865</v>
      </c>
      <c r="I71" s="3" t="s">
        <v>575</v>
      </c>
    </row>
    <row r="72" spans="1:9" ht="63" customHeight="1" x14ac:dyDescent="0.2">
      <c r="A72" s="10" t="s">
        <v>83</v>
      </c>
      <c r="B72" s="10" t="s">
        <v>1850</v>
      </c>
      <c r="C72" s="61" t="s">
        <v>1863</v>
      </c>
      <c r="D72" s="61" t="s">
        <v>1863</v>
      </c>
      <c r="E72" s="10" t="s">
        <v>1695</v>
      </c>
      <c r="F72" s="10" t="s">
        <v>1855</v>
      </c>
      <c r="G72" s="10" t="s">
        <v>1856</v>
      </c>
      <c r="H72" s="3" t="s">
        <v>1865</v>
      </c>
      <c r="I72" s="3" t="s">
        <v>450</v>
      </c>
    </row>
    <row r="73" spans="1:9" ht="39" customHeight="1" x14ac:dyDescent="0.2">
      <c r="A73" s="10" t="s">
        <v>482</v>
      </c>
      <c r="B73" s="10" t="s">
        <v>1866</v>
      </c>
      <c r="C73" s="62" t="s">
        <v>1867</v>
      </c>
      <c r="D73" s="62" t="s">
        <v>1867</v>
      </c>
      <c r="E73" s="10" t="s">
        <v>1719</v>
      </c>
      <c r="F73" s="10" t="s">
        <v>1868</v>
      </c>
      <c r="G73" s="10" t="s">
        <v>1869</v>
      </c>
      <c r="H73" s="3" t="s">
        <v>1870</v>
      </c>
      <c r="I73" s="3" t="s">
        <v>1871</v>
      </c>
    </row>
    <row r="74" spans="1:9" ht="51" customHeight="1" x14ac:dyDescent="0.2">
      <c r="A74" s="10" t="s">
        <v>484</v>
      </c>
      <c r="B74" s="3" t="s">
        <v>1872</v>
      </c>
      <c r="C74" s="63" t="s">
        <v>1873</v>
      </c>
      <c r="D74" s="63" t="s">
        <v>1873</v>
      </c>
      <c r="E74" s="10" t="s">
        <v>1719</v>
      </c>
      <c r="F74" s="10" t="s">
        <v>1874</v>
      </c>
      <c r="G74" s="10" t="s">
        <v>1875</v>
      </c>
      <c r="H74" s="3" t="s">
        <v>1876</v>
      </c>
      <c r="I74" s="3" t="s">
        <v>485</v>
      </c>
    </row>
    <row r="75" spans="1:9" ht="39" customHeight="1" x14ac:dyDescent="0.2">
      <c r="A75" s="10" t="s">
        <v>166</v>
      </c>
      <c r="B75" s="10" t="s">
        <v>1877</v>
      </c>
      <c r="C75" s="64" t="s">
        <v>1878</v>
      </c>
      <c r="D75" s="64" t="s">
        <v>1878</v>
      </c>
      <c r="E75" s="10" t="s">
        <v>1719</v>
      </c>
      <c r="F75" s="10" t="s">
        <v>1879</v>
      </c>
      <c r="G75" s="10" t="s">
        <v>1848</v>
      </c>
      <c r="H75" s="3" t="s">
        <v>1880</v>
      </c>
      <c r="I75" s="3" t="s">
        <v>1881</v>
      </c>
    </row>
    <row r="76" spans="1:9" ht="39" customHeight="1" x14ac:dyDescent="0.2">
      <c r="A76" s="10" t="s">
        <v>454</v>
      </c>
      <c r="B76" s="10" t="s">
        <v>1877</v>
      </c>
      <c r="C76" s="64" t="s">
        <v>1878</v>
      </c>
      <c r="D76" s="64" t="s">
        <v>1878</v>
      </c>
      <c r="E76" s="10" t="s">
        <v>1719</v>
      </c>
      <c r="F76" s="10" t="s">
        <v>1882</v>
      </c>
      <c r="G76" s="10" t="s">
        <v>1883</v>
      </c>
      <c r="H76" s="3" t="s">
        <v>1880</v>
      </c>
      <c r="I76" s="3" t="s">
        <v>455</v>
      </c>
    </row>
    <row r="77" spans="1:9" ht="39" customHeight="1" x14ac:dyDescent="0.2">
      <c r="A77" s="10" t="s">
        <v>434</v>
      </c>
      <c r="B77" s="10" t="s">
        <v>1884</v>
      </c>
      <c r="C77" s="64" t="s">
        <v>1878</v>
      </c>
      <c r="D77" s="64" t="s">
        <v>1878</v>
      </c>
      <c r="E77" s="10" t="s">
        <v>1719</v>
      </c>
      <c r="F77" s="3" t="s">
        <v>1885</v>
      </c>
      <c r="G77" s="10" t="s">
        <v>1848</v>
      </c>
      <c r="H77" s="3" t="s">
        <v>1886</v>
      </c>
      <c r="I77" s="3" t="s">
        <v>1887</v>
      </c>
    </row>
    <row r="78" spans="1:9" ht="39" customHeight="1" x14ac:dyDescent="0.2">
      <c r="A78" s="10" t="s">
        <v>502</v>
      </c>
      <c r="B78" s="10" t="s">
        <v>1888</v>
      </c>
      <c r="C78" s="65" t="s">
        <v>1889</v>
      </c>
      <c r="D78" s="10" t="s">
        <v>1730</v>
      </c>
      <c r="E78" s="10" t="s">
        <v>1719</v>
      </c>
      <c r="F78" s="10" t="s">
        <v>1890</v>
      </c>
      <c r="G78" s="10" t="s">
        <v>1891</v>
      </c>
      <c r="H78" s="3" t="s">
        <v>1892</v>
      </c>
      <c r="I78" s="3" t="s">
        <v>503</v>
      </c>
    </row>
    <row r="79" spans="1:9" ht="51" customHeight="1" x14ac:dyDescent="0.2">
      <c r="A79" s="10" t="s">
        <v>595</v>
      </c>
      <c r="B79" s="10" t="s">
        <v>1850</v>
      </c>
      <c r="C79" s="66" t="s">
        <v>1893</v>
      </c>
      <c r="D79" s="66" t="s">
        <v>1893</v>
      </c>
      <c r="E79" s="10" t="s">
        <v>1695</v>
      </c>
      <c r="F79" s="3" t="s">
        <v>1894</v>
      </c>
      <c r="G79" s="10" t="s">
        <v>1895</v>
      </c>
      <c r="H79" s="3" t="s">
        <v>1896</v>
      </c>
      <c r="I79" s="3" t="s">
        <v>596</v>
      </c>
    </row>
    <row r="80" spans="1:9" ht="51" customHeight="1" x14ac:dyDescent="0.2">
      <c r="A80" s="10" t="s">
        <v>1897</v>
      </c>
      <c r="B80" s="10" t="s">
        <v>1850</v>
      </c>
      <c r="C80" s="66" t="s">
        <v>1893</v>
      </c>
      <c r="D80" s="10" t="s">
        <v>1898</v>
      </c>
      <c r="E80" s="10" t="s">
        <v>1695</v>
      </c>
      <c r="F80" s="10"/>
      <c r="G80" s="10" t="s">
        <v>1899</v>
      </c>
      <c r="H80" s="3" t="s">
        <v>1896</v>
      </c>
      <c r="I80" s="3" t="s">
        <v>1900</v>
      </c>
    </row>
    <row r="81" spans="1:9" ht="27" customHeight="1" x14ac:dyDescent="0.2">
      <c r="A81" s="10" t="s">
        <v>501</v>
      </c>
      <c r="B81" s="10" t="s">
        <v>1850</v>
      </c>
      <c r="C81" s="67" t="s">
        <v>1901</v>
      </c>
      <c r="D81" s="10" t="s">
        <v>1902</v>
      </c>
      <c r="E81" s="10" t="s">
        <v>1695</v>
      </c>
      <c r="F81" s="3" t="s">
        <v>1205</v>
      </c>
      <c r="G81" s="10" t="s">
        <v>1903</v>
      </c>
      <c r="H81" s="3" t="s">
        <v>1904</v>
      </c>
      <c r="I81" s="3" t="s">
        <v>606</v>
      </c>
    </row>
    <row r="82" spans="1:9" ht="27" customHeight="1" x14ac:dyDescent="0.2">
      <c r="A82" s="10" t="s">
        <v>200</v>
      </c>
      <c r="B82" s="10" t="s">
        <v>1850</v>
      </c>
      <c r="C82" s="68" t="s">
        <v>1905</v>
      </c>
      <c r="D82" s="68" t="s">
        <v>1905</v>
      </c>
      <c r="E82" s="10" t="s">
        <v>1695</v>
      </c>
      <c r="F82" s="10" t="s">
        <v>1183</v>
      </c>
      <c r="G82" s="10" t="s">
        <v>1906</v>
      </c>
      <c r="H82" s="3" t="s">
        <v>1907</v>
      </c>
      <c r="I82" s="3" t="s">
        <v>1908</v>
      </c>
    </row>
    <row r="83" spans="1:9" ht="51" customHeight="1" x14ac:dyDescent="0.2">
      <c r="A83" s="10" t="s">
        <v>598</v>
      </c>
      <c r="B83" s="3" t="s">
        <v>1909</v>
      </c>
      <c r="C83" s="69" t="s">
        <v>1910</v>
      </c>
      <c r="D83" s="70" t="s">
        <v>1911</v>
      </c>
      <c r="E83" s="10" t="s">
        <v>1695</v>
      </c>
      <c r="F83" s="10" t="s">
        <v>1186</v>
      </c>
      <c r="G83" s="10" t="s">
        <v>1912</v>
      </c>
      <c r="H83" s="3" t="s">
        <v>1913</v>
      </c>
      <c r="I83" s="3" t="s">
        <v>599</v>
      </c>
    </row>
    <row r="84" spans="1:9" ht="39" customHeight="1" x14ac:dyDescent="0.2">
      <c r="A84" s="10" t="s">
        <v>205</v>
      </c>
      <c r="B84" s="10" t="s">
        <v>1850</v>
      </c>
      <c r="C84" s="71" t="s">
        <v>1914</v>
      </c>
      <c r="D84" s="10" t="s">
        <v>1730</v>
      </c>
      <c r="E84" s="10" t="s">
        <v>1695</v>
      </c>
      <c r="F84" s="10" t="s">
        <v>1915</v>
      </c>
      <c r="G84" s="10" t="s">
        <v>1856</v>
      </c>
      <c r="H84" s="3" t="s">
        <v>1916</v>
      </c>
      <c r="I84" s="3" t="s">
        <v>1917</v>
      </c>
    </row>
    <row r="85" spans="1:9" ht="39" customHeight="1" x14ac:dyDescent="0.2">
      <c r="A85" s="10" t="s">
        <v>587</v>
      </c>
      <c r="B85" s="10" t="s">
        <v>1805</v>
      </c>
      <c r="C85" s="72" t="s">
        <v>1918</v>
      </c>
      <c r="D85" s="10" t="s">
        <v>1919</v>
      </c>
      <c r="E85" s="10" t="s">
        <v>1695</v>
      </c>
      <c r="F85" s="3" t="s">
        <v>1167</v>
      </c>
      <c r="G85" s="10" t="s">
        <v>1920</v>
      </c>
      <c r="H85" s="3" t="s">
        <v>1921</v>
      </c>
      <c r="I85" s="3" t="s">
        <v>588</v>
      </c>
    </row>
    <row r="86" spans="1:9" ht="51" customHeight="1" x14ac:dyDescent="0.2">
      <c r="A86" s="10" t="s">
        <v>590</v>
      </c>
      <c r="B86" s="3" t="s">
        <v>1909</v>
      </c>
      <c r="C86" s="69" t="s">
        <v>1910</v>
      </c>
      <c r="D86" s="73" t="s">
        <v>1922</v>
      </c>
      <c r="E86" s="10" t="s">
        <v>1695</v>
      </c>
      <c r="F86" s="10" t="s">
        <v>1170</v>
      </c>
      <c r="G86" s="10" t="s">
        <v>1923</v>
      </c>
      <c r="H86" s="3" t="s">
        <v>1913</v>
      </c>
      <c r="I86" s="3" t="s">
        <v>591</v>
      </c>
    </row>
    <row r="87" spans="1:9" ht="39" customHeight="1" x14ac:dyDescent="0.2">
      <c r="A87" s="10" t="s">
        <v>593</v>
      </c>
      <c r="B87" s="10" t="s">
        <v>1850</v>
      </c>
      <c r="C87" s="68" t="s">
        <v>1905</v>
      </c>
      <c r="D87" s="68" t="s">
        <v>1905</v>
      </c>
      <c r="E87" s="10" t="s">
        <v>1695</v>
      </c>
      <c r="F87" s="10" t="s">
        <v>1170</v>
      </c>
      <c r="G87" s="10" t="s">
        <v>1924</v>
      </c>
      <c r="H87" s="10" t="s">
        <v>1925</v>
      </c>
      <c r="I87" s="3" t="s">
        <v>594</v>
      </c>
    </row>
    <row r="88" spans="1:9" ht="39" customHeight="1" x14ac:dyDescent="0.2">
      <c r="A88" s="10" t="s">
        <v>604</v>
      </c>
      <c r="B88" s="10" t="s">
        <v>1850</v>
      </c>
      <c r="C88" s="74" t="s">
        <v>1926</v>
      </c>
      <c r="D88" s="74" t="s">
        <v>1926</v>
      </c>
      <c r="E88" s="10" t="s">
        <v>1695</v>
      </c>
      <c r="F88" s="10" t="s">
        <v>1170</v>
      </c>
      <c r="G88" s="10" t="s">
        <v>1927</v>
      </c>
      <c r="H88" s="3" t="s">
        <v>1928</v>
      </c>
      <c r="I88" s="3" t="s">
        <v>605</v>
      </c>
    </row>
    <row r="89" spans="1:9" ht="39" customHeight="1" x14ac:dyDescent="0.2">
      <c r="A89" s="10" t="s">
        <v>1929</v>
      </c>
      <c r="B89" s="10" t="s">
        <v>1930</v>
      </c>
      <c r="C89" s="75" t="s">
        <v>1931</v>
      </c>
      <c r="D89" s="10" t="s">
        <v>1932</v>
      </c>
      <c r="E89" s="10" t="s">
        <v>1719</v>
      </c>
      <c r="F89" s="10"/>
      <c r="G89" s="10" t="s">
        <v>1933</v>
      </c>
      <c r="H89" s="3" t="s">
        <v>1934</v>
      </c>
      <c r="I89" s="3" t="s">
        <v>1935</v>
      </c>
    </row>
    <row r="90" spans="1:9" ht="39" customHeight="1" x14ac:dyDescent="0.2">
      <c r="A90" s="10" t="s">
        <v>608</v>
      </c>
      <c r="B90" s="10" t="s">
        <v>1936</v>
      </c>
      <c r="C90" s="76" t="s">
        <v>1937</v>
      </c>
      <c r="D90" s="10" t="s">
        <v>1730</v>
      </c>
      <c r="E90" s="10" t="s">
        <v>1793</v>
      </c>
      <c r="F90" s="10" t="s">
        <v>1209</v>
      </c>
      <c r="G90" s="3" t="s">
        <v>1938</v>
      </c>
      <c r="H90" s="3" t="s">
        <v>1939</v>
      </c>
      <c r="I90" s="3" t="s">
        <v>609</v>
      </c>
    </row>
    <row r="91" spans="1:9" ht="51" customHeight="1" x14ac:dyDescent="0.2">
      <c r="A91" s="10" t="s">
        <v>300</v>
      </c>
      <c r="B91" s="3" t="s">
        <v>1909</v>
      </c>
      <c r="C91" s="69" t="s">
        <v>1910</v>
      </c>
      <c r="D91" s="73" t="s">
        <v>1922</v>
      </c>
      <c r="E91" s="10" t="s">
        <v>1695</v>
      </c>
      <c r="F91" s="10" t="s">
        <v>1940</v>
      </c>
      <c r="G91" s="10" t="s">
        <v>1941</v>
      </c>
      <c r="H91" s="3" t="s">
        <v>1913</v>
      </c>
      <c r="I91" s="3" t="s">
        <v>1942</v>
      </c>
    </row>
    <row r="92" spans="1:9" ht="51" customHeight="1" x14ac:dyDescent="0.2">
      <c r="A92" s="10" t="s">
        <v>601</v>
      </c>
      <c r="B92" s="10" t="s">
        <v>1850</v>
      </c>
      <c r="C92" s="75" t="s">
        <v>1931</v>
      </c>
      <c r="D92" s="36" t="s">
        <v>1228</v>
      </c>
      <c r="E92" s="10" t="s">
        <v>1695</v>
      </c>
      <c r="F92" s="10" t="s">
        <v>1199</v>
      </c>
      <c r="G92" s="10" t="s">
        <v>1943</v>
      </c>
      <c r="H92" s="3" t="s">
        <v>1944</v>
      </c>
      <c r="I92" s="3" t="s">
        <v>602</v>
      </c>
    </row>
    <row r="93" spans="1:9" ht="39" customHeight="1" x14ac:dyDescent="0.2">
      <c r="A93" s="10" t="s">
        <v>304</v>
      </c>
      <c r="B93" s="10" t="s">
        <v>1850</v>
      </c>
      <c r="C93" s="75" t="s">
        <v>1931</v>
      </c>
      <c r="D93" s="75" t="s">
        <v>1931</v>
      </c>
      <c r="E93" s="10" t="s">
        <v>1695</v>
      </c>
      <c r="F93" s="3" t="s">
        <v>1945</v>
      </c>
      <c r="G93" s="10" t="s">
        <v>1946</v>
      </c>
      <c r="H93" s="3" t="s">
        <v>1947</v>
      </c>
      <c r="I93" s="3" t="s">
        <v>1948</v>
      </c>
    </row>
    <row r="94" spans="1:9" ht="51" customHeight="1" x14ac:dyDescent="0.2">
      <c r="A94" s="10" t="s">
        <v>1949</v>
      </c>
      <c r="B94" s="10" t="s">
        <v>1850</v>
      </c>
      <c r="C94" s="66" t="s">
        <v>1893</v>
      </c>
      <c r="D94" s="66" t="s">
        <v>1893</v>
      </c>
      <c r="E94" s="10" t="s">
        <v>1695</v>
      </c>
      <c r="F94" s="10"/>
      <c r="G94" s="10" t="s">
        <v>1950</v>
      </c>
      <c r="H94" s="3" t="s">
        <v>1896</v>
      </c>
      <c r="I94" s="3" t="s">
        <v>1951</v>
      </c>
    </row>
    <row r="95" spans="1:9" ht="39" customHeight="1" x14ac:dyDescent="0.2">
      <c r="A95" s="10" t="s">
        <v>1952</v>
      </c>
      <c r="B95" s="10" t="s">
        <v>1850</v>
      </c>
      <c r="C95" s="74" t="s">
        <v>1926</v>
      </c>
      <c r="D95" s="74" t="s">
        <v>1926</v>
      </c>
      <c r="E95" s="10" t="s">
        <v>1695</v>
      </c>
      <c r="F95" s="3" t="s">
        <v>1953</v>
      </c>
      <c r="G95" s="10" t="s">
        <v>1954</v>
      </c>
      <c r="H95" s="3" t="s">
        <v>1928</v>
      </c>
      <c r="I95" s="3" t="s">
        <v>1955</v>
      </c>
    </row>
    <row r="96" spans="1:9" ht="51" customHeight="1" x14ac:dyDescent="0.2">
      <c r="A96" s="10" t="s">
        <v>181</v>
      </c>
      <c r="B96" s="10" t="s">
        <v>1850</v>
      </c>
      <c r="C96" s="77" t="s">
        <v>1956</v>
      </c>
      <c r="D96" s="77" t="s">
        <v>1956</v>
      </c>
      <c r="E96" s="10" t="s">
        <v>1695</v>
      </c>
      <c r="F96" s="10" t="s">
        <v>1957</v>
      </c>
      <c r="G96" s="10" t="s">
        <v>1958</v>
      </c>
      <c r="H96" s="3" t="s">
        <v>1959</v>
      </c>
      <c r="I96" s="3" t="s">
        <v>1960</v>
      </c>
    </row>
    <row r="97" spans="1:9" ht="27" customHeight="1" x14ac:dyDescent="0.2">
      <c r="A97" s="10" t="s">
        <v>1961</v>
      </c>
      <c r="B97" s="10" t="s">
        <v>1850</v>
      </c>
      <c r="C97" s="78" t="s">
        <v>1962</v>
      </c>
      <c r="D97" s="10" t="s">
        <v>1963</v>
      </c>
      <c r="E97" s="10" t="s">
        <v>1695</v>
      </c>
      <c r="F97" s="10" t="s">
        <v>1915</v>
      </c>
      <c r="G97" s="10" t="s">
        <v>1964</v>
      </c>
      <c r="H97" s="3" t="s">
        <v>1965</v>
      </c>
      <c r="I97" s="3" t="s">
        <v>1966</v>
      </c>
    </row>
    <row r="98" spans="1:9" ht="51" customHeight="1" x14ac:dyDescent="0.2">
      <c r="A98" s="10" t="s">
        <v>275</v>
      </c>
      <c r="B98" s="3" t="s">
        <v>1909</v>
      </c>
      <c r="C98" s="69" t="s">
        <v>1910</v>
      </c>
      <c r="D98" s="73" t="s">
        <v>1922</v>
      </c>
      <c r="E98" s="10" t="s">
        <v>1695</v>
      </c>
      <c r="F98" s="10" t="s">
        <v>1170</v>
      </c>
      <c r="G98" s="10" t="s">
        <v>1923</v>
      </c>
      <c r="H98" s="3" t="s">
        <v>1913</v>
      </c>
      <c r="I98" s="3" t="s">
        <v>276</v>
      </c>
    </row>
    <row r="99" spans="1:9" ht="51" customHeight="1" x14ac:dyDescent="0.2">
      <c r="A99" s="10" t="s">
        <v>1967</v>
      </c>
      <c r="B99" s="10" t="s">
        <v>1850</v>
      </c>
      <c r="C99" s="66" t="s">
        <v>1893</v>
      </c>
      <c r="D99" s="66" t="s">
        <v>1893</v>
      </c>
      <c r="E99" s="10" t="s">
        <v>1695</v>
      </c>
      <c r="F99" s="10"/>
      <c r="G99" s="10" t="s">
        <v>1899</v>
      </c>
      <c r="H99" s="3" t="s">
        <v>1896</v>
      </c>
      <c r="I99" s="3" t="s">
        <v>1968</v>
      </c>
    </row>
    <row r="100" spans="1:9" ht="39" customHeight="1" x14ac:dyDescent="0.2">
      <c r="A100" s="10" t="s">
        <v>1969</v>
      </c>
      <c r="B100" s="10" t="s">
        <v>1850</v>
      </c>
      <c r="C100" s="79" t="s">
        <v>1970</v>
      </c>
      <c r="D100" s="80" t="s">
        <v>1971</v>
      </c>
      <c r="E100" s="10" t="s">
        <v>1695</v>
      </c>
      <c r="F100" s="10"/>
      <c r="G100" s="10" t="s">
        <v>1804</v>
      </c>
      <c r="H100" s="3" t="s">
        <v>1972</v>
      </c>
      <c r="I100" s="3" t="s">
        <v>1973</v>
      </c>
    </row>
    <row r="101" spans="1:9" ht="39" customHeight="1" x14ac:dyDescent="0.2">
      <c r="A101" s="10" t="s">
        <v>1974</v>
      </c>
      <c r="B101" s="10" t="s">
        <v>1975</v>
      </c>
      <c r="C101" s="81" t="s">
        <v>1976</v>
      </c>
      <c r="D101" s="10" t="s">
        <v>1977</v>
      </c>
      <c r="E101" s="10" t="s">
        <v>1719</v>
      </c>
      <c r="F101" s="10"/>
      <c r="G101" s="10" t="s">
        <v>1978</v>
      </c>
      <c r="H101" s="3" t="s">
        <v>1979</v>
      </c>
      <c r="I101" s="3" t="s">
        <v>1980</v>
      </c>
    </row>
    <row r="102" spans="1:9" ht="39" customHeight="1" x14ac:dyDescent="0.2">
      <c r="A102" s="10" t="s">
        <v>1981</v>
      </c>
      <c r="B102" s="10" t="s">
        <v>1982</v>
      </c>
      <c r="C102" s="82" t="s">
        <v>1983</v>
      </c>
      <c r="D102" s="10" t="s">
        <v>1977</v>
      </c>
      <c r="E102" s="10" t="s">
        <v>1719</v>
      </c>
      <c r="F102" s="10"/>
      <c r="G102" s="10" t="s">
        <v>1984</v>
      </c>
      <c r="H102" s="3" t="s">
        <v>1985</v>
      </c>
      <c r="I102" s="3" t="s">
        <v>1986</v>
      </c>
    </row>
    <row r="103" spans="1:9" ht="51" customHeight="1" x14ac:dyDescent="0.2">
      <c r="A103" s="10" t="s">
        <v>1987</v>
      </c>
      <c r="B103" s="3" t="s">
        <v>1909</v>
      </c>
      <c r="C103" s="69" t="s">
        <v>1910</v>
      </c>
      <c r="D103" s="10" t="s">
        <v>1932</v>
      </c>
      <c r="E103" s="10" t="s">
        <v>1695</v>
      </c>
      <c r="F103" s="10"/>
      <c r="G103" s="10" t="s">
        <v>1988</v>
      </c>
      <c r="H103" s="3" t="s">
        <v>1913</v>
      </c>
      <c r="I103" s="3" t="s">
        <v>1989</v>
      </c>
    </row>
    <row r="104" spans="1:9" ht="27" customHeight="1" x14ac:dyDescent="0.2">
      <c r="A104" s="10" t="s">
        <v>1990</v>
      </c>
      <c r="B104" s="10" t="s">
        <v>1850</v>
      </c>
      <c r="C104" s="68" t="s">
        <v>1905</v>
      </c>
      <c r="D104" s="10" t="s">
        <v>1991</v>
      </c>
      <c r="E104" s="10" t="s">
        <v>1695</v>
      </c>
      <c r="F104" s="10"/>
      <c r="G104" s="10" t="s">
        <v>1992</v>
      </c>
      <c r="H104" s="3" t="s">
        <v>1993</v>
      </c>
      <c r="I104" s="3" t="s">
        <v>1994</v>
      </c>
    </row>
    <row r="105" spans="1:9" ht="39" customHeight="1" x14ac:dyDescent="0.2">
      <c r="A105" s="10" t="s">
        <v>235</v>
      </c>
      <c r="B105" s="10" t="s">
        <v>1884</v>
      </c>
      <c r="C105" s="64" t="s">
        <v>1878</v>
      </c>
      <c r="D105" s="10" t="s">
        <v>1902</v>
      </c>
      <c r="E105" s="10" t="s">
        <v>1719</v>
      </c>
      <c r="F105" s="10" t="s">
        <v>1995</v>
      </c>
      <c r="G105" s="10" t="s">
        <v>1996</v>
      </c>
      <c r="H105" s="3" t="s">
        <v>1886</v>
      </c>
      <c r="I105" s="3" t="s">
        <v>1997</v>
      </c>
    </row>
    <row r="106" spans="1:9" ht="27" customHeight="1" x14ac:dyDescent="0.2">
      <c r="A106" s="10" t="s">
        <v>510</v>
      </c>
      <c r="B106" s="10" t="s">
        <v>1814</v>
      </c>
      <c r="C106" s="69" t="s">
        <v>1910</v>
      </c>
      <c r="D106" s="69" t="s">
        <v>1910</v>
      </c>
      <c r="E106" s="10" t="s">
        <v>1719</v>
      </c>
      <c r="F106" s="10" t="s">
        <v>1998</v>
      </c>
      <c r="G106" s="10" t="s">
        <v>1817</v>
      </c>
      <c r="H106" s="3" t="s">
        <v>1818</v>
      </c>
      <c r="I106" s="3" t="s">
        <v>511</v>
      </c>
    </row>
    <row r="107" spans="1:9" ht="39" customHeight="1" x14ac:dyDescent="0.2">
      <c r="A107" s="10" t="s">
        <v>514</v>
      </c>
      <c r="B107" s="10" t="s">
        <v>1827</v>
      </c>
      <c r="C107" s="56" t="s">
        <v>1838</v>
      </c>
      <c r="D107" s="56" t="s">
        <v>1838</v>
      </c>
      <c r="E107" s="10" t="s">
        <v>1719</v>
      </c>
      <c r="F107" s="10" t="s">
        <v>1828</v>
      </c>
      <c r="G107" s="3" t="s">
        <v>1999</v>
      </c>
      <c r="H107" s="3" t="s">
        <v>1841</v>
      </c>
      <c r="I107" s="3" t="s">
        <v>515</v>
      </c>
    </row>
    <row r="108" spans="1:9" ht="39" customHeight="1" x14ac:dyDescent="0.2">
      <c r="A108" s="10" t="s">
        <v>2000</v>
      </c>
      <c r="B108" s="3" t="s">
        <v>2001</v>
      </c>
      <c r="C108" s="42" t="s">
        <v>1257</v>
      </c>
      <c r="D108" s="42" t="s">
        <v>1257</v>
      </c>
      <c r="E108" s="10" t="s">
        <v>1719</v>
      </c>
      <c r="F108" s="10"/>
      <c r="G108" s="10" t="s">
        <v>1950</v>
      </c>
      <c r="H108" s="3" t="s">
        <v>2002</v>
      </c>
      <c r="I108" s="3" t="s">
        <v>2003</v>
      </c>
    </row>
    <row r="109" spans="1:9" ht="39" customHeight="1" x14ac:dyDescent="0.2">
      <c r="A109" s="10" t="s">
        <v>2004</v>
      </c>
      <c r="B109" s="3" t="s">
        <v>2005</v>
      </c>
      <c r="C109" s="47" t="s">
        <v>1718</v>
      </c>
      <c r="D109" s="47" t="s">
        <v>1718</v>
      </c>
      <c r="E109" s="10" t="s">
        <v>1695</v>
      </c>
      <c r="F109" s="10"/>
      <c r="G109" s="10" t="s">
        <v>2006</v>
      </c>
      <c r="H109" s="3" t="s">
        <v>2007</v>
      </c>
      <c r="I109" s="3" t="s">
        <v>2008</v>
      </c>
    </row>
    <row r="110" spans="1:9" ht="51" customHeight="1" x14ac:dyDescent="0.2">
      <c r="A110" s="10" t="s">
        <v>2009</v>
      </c>
      <c r="B110" s="3" t="s">
        <v>2010</v>
      </c>
      <c r="C110" s="47" t="s">
        <v>1718</v>
      </c>
      <c r="D110" s="47" t="s">
        <v>1718</v>
      </c>
      <c r="E110" s="10" t="s">
        <v>1719</v>
      </c>
      <c r="F110" s="10"/>
      <c r="G110" s="10" t="s">
        <v>2011</v>
      </c>
      <c r="H110" s="3" t="s">
        <v>2012</v>
      </c>
      <c r="I110" s="3" t="s">
        <v>2013</v>
      </c>
    </row>
    <row r="111" spans="1:9" ht="51" customHeight="1" x14ac:dyDescent="0.2">
      <c r="A111" s="10" t="s">
        <v>74</v>
      </c>
      <c r="B111" s="10" t="s">
        <v>2014</v>
      </c>
      <c r="C111" s="42" t="s">
        <v>1257</v>
      </c>
      <c r="D111" s="54" t="s">
        <v>1806</v>
      </c>
      <c r="E111" s="10" t="s">
        <v>1719</v>
      </c>
      <c r="F111" s="3" t="s">
        <v>2015</v>
      </c>
      <c r="G111" s="10" t="s">
        <v>1950</v>
      </c>
      <c r="H111" s="3" t="s">
        <v>2016</v>
      </c>
      <c r="I111" s="3" t="s">
        <v>2017</v>
      </c>
    </row>
    <row r="112" spans="1:9" ht="39" customHeight="1" x14ac:dyDescent="0.2">
      <c r="A112" s="10" t="s">
        <v>2018</v>
      </c>
      <c r="B112" s="10" t="s">
        <v>1884</v>
      </c>
      <c r="C112" s="42" t="s">
        <v>1257</v>
      </c>
      <c r="D112" s="42" t="s">
        <v>1257</v>
      </c>
      <c r="E112" s="10" t="s">
        <v>1719</v>
      </c>
      <c r="F112" s="3" t="s">
        <v>2019</v>
      </c>
      <c r="G112" s="10" t="s">
        <v>1933</v>
      </c>
      <c r="H112" s="3" t="s">
        <v>2020</v>
      </c>
      <c r="I112" s="3" t="s">
        <v>2021</v>
      </c>
    </row>
    <row r="113" spans="1:9" ht="51" customHeight="1" x14ac:dyDescent="0.2">
      <c r="A113" s="10" t="s">
        <v>2022</v>
      </c>
      <c r="B113" s="3" t="s">
        <v>2023</v>
      </c>
      <c r="C113" s="47" t="s">
        <v>1718</v>
      </c>
      <c r="D113" s="42" t="s">
        <v>1257</v>
      </c>
      <c r="E113" s="10" t="s">
        <v>1719</v>
      </c>
      <c r="F113" s="3" t="s">
        <v>2015</v>
      </c>
      <c r="G113" s="3" t="s">
        <v>2024</v>
      </c>
      <c r="H113" s="3" t="s">
        <v>2025</v>
      </c>
      <c r="I113" s="3" t="s">
        <v>2026</v>
      </c>
    </row>
    <row r="114" spans="1:9" ht="39" customHeight="1" x14ac:dyDescent="0.2">
      <c r="A114" s="10" t="s">
        <v>78</v>
      </c>
      <c r="B114" s="10" t="s">
        <v>2014</v>
      </c>
      <c r="C114" s="47" t="s">
        <v>1718</v>
      </c>
      <c r="D114" s="42" t="s">
        <v>1257</v>
      </c>
      <c r="E114" s="10" t="s">
        <v>1719</v>
      </c>
      <c r="F114" s="3" t="s">
        <v>2027</v>
      </c>
      <c r="G114" s="3" t="s">
        <v>2028</v>
      </c>
      <c r="H114" s="3" t="s">
        <v>2029</v>
      </c>
      <c r="I114" s="3" t="s">
        <v>2030</v>
      </c>
    </row>
    <row r="115" spans="1:9" ht="51" customHeight="1" x14ac:dyDescent="0.2">
      <c r="A115" s="10" t="s">
        <v>466</v>
      </c>
      <c r="B115" s="10" t="s">
        <v>2014</v>
      </c>
      <c r="C115" s="42" t="s">
        <v>1257</v>
      </c>
      <c r="D115" s="42" t="s">
        <v>1257</v>
      </c>
      <c r="E115" s="10" t="s">
        <v>1719</v>
      </c>
      <c r="F115" s="3" t="s">
        <v>2031</v>
      </c>
      <c r="G115" s="10" t="s">
        <v>1895</v>
      </c>
      <c r="H115" s="3" t="s">
        <v>2016</v>
      </c>
      <c r="I115" s="3" t="s">
        <v>467</v>
      </c>
    </row>
    <row r="116" spans="1:9" ht="39" customHeight="1" x14ac:dyDescent="0.2">
      <c r="A116" s="10" t="s">
        <v>469</v>
      </c>
      <c r="B116" s="3" t="s">
        <v>2032</v>
      </c>
      <c r="C116" s="47" t="s">
        <v>1718</v>
      </c>
      <c r="D116" s="54" t="s">
        <v>1806</v>
      </c>
      <c r="E116" s="10" t="s">
        <v>1719</v>
      </c>
      <c r="F116" s="3" t="s">
        <v>2031</v>
      </c>
      <c r="G116" s="3" t="s">
        <v>2033</v>
      </c>
      <c r="H116" s="3" t="s">
        <v>2034</v>
      </c>
      <c r="I116" s="3" t="s">
        <v>470</v>
      </c>
    </row>
    <row r="117" spans="1:9" ht="39" customHeight="1" x14ac:dyDescent="0.2">
      <c r="A117" s="10" t="s">
        <v>461</v>
      </c>
      <c r="B117" s="3" t="s">
        <v>2001</v>
      </c>
      <c r="C117" s="42" t="s">
        <v>1257</v>
      </c>
      <c r="D117" s="42" t="s">
        <v>1257</v>
      </c>
      <c r="E117" s="10" t="s">
        <v>1719</v>
      </c>
      <c r="F117" s="3" t="s">
        <v>1885</v>
      </c>
      <c r="G117" s="10" t="s">
        <v>1895</v>
      </c>
      <c r="H117" s="3" t="s">
        <v>2002</v>
      </c>
      <c r="I117" s="3" t="s">
        <v>2035</v>
      </c>
    </row>
    <row r="118" spans="1:9" ht="51" customHeight="1" x14ac:dyDescent="0.2">
      <c r="A118" s="10" t="s">
        <v>457</v>
      </c>
      <c r="B118" s="3" t="s">
        <v>2001</v>
      </c>
      <c r="C118" s="83" t="s">
        <v>2036</v>
      </c>
      <c r="D118" s="83" t="s">
        <v>2036</v>
      </c>
      <c r="E118" s="10" t="s">
        <v>1719</v>
      </c>
      <c r="F118" s="3" t="s">
        <v>1885</v>
      </c>
      <c r="G118" s="10" t="s">
        <v>1950</v>
      </c>
      <c r="H118" s="3" t="s">
        <v>2037</v>
      </c>
      <c r="I118" s="3" t="s">
        <v>458</v>
      </c>
    </row>
    <row r="119" spans="1:9" ht="51" customHeight="1" x14ac:dyDescent="0.2">
      <c r="A119" s="10" t="s">
        <v>463</v>
      </c>
      <c r="B119" s="10" t="s">
        <v>1884</v>
      </c>
      <c r="C119" s="54" t="s">
        <v>1806</v>
      </c>
      <c r="D119" s="54" t="s">
        <v>1806</v>
      </c>
      <c r="E119" s="10" t="s">
        <v>1719</v>
      </c>
      <c r="F119" s="3" t="s">
        <v>1885</v>
      </c>
      <c r="G119" s="10" t="s">
        <v>2038</v>
      </c>
      <c r="H119" s="3" t="s">
        <v>2039</v>
      </c>
      <c r="I119" s="3" t="s">
        <v>464</v>
      </c>
    </row>
    <row r="120" spans="1:9" ht="51" customHeight="1" x14ac:dyDescent="0.2">
      <c r="A120" s="10" t="s">
        <v>478</v>
      </c>
      <c r="B120" s="3" t="s">
        <v>2005</v>
      </c>
      <c r="C120" s="47" t="s">
        <v>1718</v>
      </c>
      <c r="D120" s="47" t="s">
        <v>1718</v>
      </c>
      <c r="E120" s="10" t="s">
        <v>1695</v>
      </c>
      <c r="F120" s="10" t="s">
        <v>2040</v>
      </c>
      <c r="G120" s="10" t="s">
        <v>2041</v>
      </c>
      <c r="H120" s="3" t="s">
        <v>2007</v>
      </c>
      <c r="I120" s="3" t="s">
        <v>476</v>
      </c>
    </row>
    <row r="121" spans="1:9" ht="51" customHeight="1" x14ac:dyDescent="0.2">
      <c r="A121" s="10" t="s">
        <v>102</v>
      </c>
      <c r="B121" s="10" t="s">
        <v>1884</v>
      </c>
      <c r="C121" s="54" t="s">
        <v>1806</v>
      </c>
      <c r="D121" s="36" t="s">
        <v>1228</v>
      </c>
      <c r="E121" s="10" t="s">
        <v>1719</v>
      </c>
      <c r="F121" s="3" t="s">
        <v>2042</v>
      </c>
      <c r="G121" s="3" t="s">
        <v>2043</v>
      </c>
      <c r="H121" s="3" t="s">
        <v>2039</v>
      </c>
      <c r="I121" s="3" t="s">
        <v>517</v>
      </c>
    </row>
    <row r="122" spans="1:9" ht="51" customHeight="1" x14ac:dyDescent="0.2">
      <c r="A122" s="10" t="s">
        <v>519</v>
      </c>
      <c r="B122" s="10" t="s">
        <v>1884</v>
      </c>
      <c r="C122" s="54" t="s">
        <v>1806</v>
      </c>
      <c r="D122" s="36" t="s">
        <v>1228</v>
      </c>
      <c r="E122" s="10" t="s">
        <v>1719</v>
      </c>
      <c r="F122" s="3" t="s">
        <v>2044</v>
      </c>
      <c r="G122" s="3" t="s">
        <v>2043</v>
      </c>
      <c r="H122" s="3" t="s">
        <v>2039</v>
      </c>
      <c r="I122" s="3" t="s">
        <v>520</v>
      </c>
    </row>
    <row r="123" spans="1:9" ht="51" customHeight="1" x14ac:dyDescent="0.2">
      <c r="A123" s="10" t="s">
        <v>506</v>
      </c>
      <c r="B123" s="10" t="s">
        <v>1884</v>
      </c>
      <c r="C123" s="54" t="s">
        <v>1806</v>
      </c>
      <c r="D123" s="10" t="s">
        <v>1730</v>
      </c>
      <c r="E123" s="10" t="s">
        <v>1719</v>
      </c>
      <c r="F123" s="3" t="s">
        <v>2045</v>
      </c>
      <c r="G123" s="3" t="s">
        <v>2046</v>
      </c>
      <c r="H123" s="3" t="s">
        <v>2039</v>
      </c>
      <c r="I123" s="3" t="s">
        <v>507</v>
      </c>
    </row>
    <row r="124" spans="1:9" ht="51" customHeight="1" x14ac:dyDescent="0.2">
      <c r="A124" s="10" t="s">
        <v>100</v>
      </c>
      <c r="B124" s="10" t="s">
        <v>1884</v>
      </c>
      <c r="C124" s="54" t="s">
        <v>1806</v>
      </c>
      <c r="D124" s="10" t="s">
        <v>2047</v>
      </c>
      <c r="E124" s="10" t="s">
        <v>1719</v>
      </c>
      <c r="F124" s="3" t="s">
        <v>2048</v>
      </c>
      <c r="G124" s="3" t="s">
        <v>2049</v>
      </c>
      <c r="H124" s="3" t="s">
        <v>2039</v>
      </c>
      <c r="I124" s="3" t="s">
        <v>522</v>
      </c>
    </row>
    <row r="125" spans="1:9" ht="51" customHeight="1" x14ac:dyDescent="0.2">
      <c r="A125" s="10" t="s">
        <v>98</v>
      </c>
      <c r="B125" s="10" t="s">
        <v>1884</v>
      </c>
      <c r="C125" s="54" t="s">
        <v>1806</v>
      </c>
      <c r="D125" s="10" t="s">
        <v>2047</v>
      </c>
      <c r="E125" s="10" t="s">
        <v>1719</v>
      </c>
      <c r="F125" s="3" t="s">
        <v>2050</v>
      </c>
      <c r="G125" s="3" t="s">
        <v>2049</v>
      </c>
      <c r="H125" s="3" t="s">
        <v>2039</v>
      </c>
      <c r="I125" s="3" t="s">
        <v>524</v>
      </c>
    </row>
    <row r="126" spans="1:9" ht="51" customHeight="1" x14ac:dyDescent="0.2">
      <c r="A126" s="10" t="s">
        <v>105</v>
      </c>
      <c r="B126" s="10" t="s">
        <v>2014</v>
      </c>
      <c r="C126" s="54" t="s">
        <v>1806</v>
      </c>
      <c r="D126" s="54" t="s">
        <v>1806</v>
      </c>
      <c r="E126" s="10" t="s">
        <v>1719</v>
      </c>
      <c r="F126" s="3" t="s">
        <v>2051</v>
      </c>
      <c r="G126" s="3" t="s">
        <v>2052</v>
      </c>
      <c r="H126" s="3" t="s">
        <v>2053</v>
      </c>
      <c r="I126" s="3" t="s">
        <v>2054</v>
      </c>
    </row>
    <row r="127" spans="1:9" ht="39" customHeight="1" x14ac:dyDescent="0.2">
      <c r="A127" s="10" t="s">
        <v>526</v>
      </c>
      <c r="B127" s="10" t="s">
        <v>2014</v>
      </c>
      <c r="C127" s="54" t="s">
        <v>1806</v>
      </c>
      <c r="D127" s="54" t="s">
        <v>1806</v>
      </c>
      <c r="E127" s="10" t="s">
        <v>1719</v>
      </c>
      <c r="F127" s="3" t="s">
        <v>2055</v>
      </c>
      <c r="G127" s="3" t="s">
        <v>2056</v>
      </c>
      <c r="H127" s="3" t="s">
        <v>2053</v>
      </c>
      <c r="I127" s="3" t="s">
        <v>527</v>
      </c>
    </row>
    <row r="128" spans="1:9" ht="51" customHeight="1" x14ac:dyDescent="0.2">
      <c r="A128" s="10" t="s">
        <v>529</v>
      </c>
      <c r="B128" s="10" t="s">
        <v>1884</v>
      </c>
      <c r="C128" s="54" t="s">
        <v>1806</v>
      </c>
      <c r="D128" s="56" t="s">
        <v>1838</v>
      </c>
      <c r="E128" s="10" t="s">
        <v>1719</v>
      </c>
      <c r="F128" s="3" t="s">
        <v>2057</v>
      </c>
      <c r="G128" s="3" t="s">
        <v>2058</v>
      </c>
      <c r="H128" s="3" t="s">
        <v>2039</v>
      </c>
      <c r="I128" s="3" t="s">
        <v>530</v>
      </c>
    </row>
    <row r="129" spans="1:9" ht="51" customHeight="1" x14ac:dyDescent="0.2">
      <c r="A129" s="10" t="s">
        <v>244</v>
      </c>
      <c r="B129" s="10" t="s">
        <v>1884</v>
      </c>
      <c r="C129" s="54" t="s">
        <v>1806</v>
      </c>
      <c r="D129" s="56" t="s">
        <v>1838</v>
      </c>
      <c r="E129" s="10" t="s">
        <v>1719</v>
      </c>
      <c r="F129" s="3" t="s">
        <v>2059</v>
      </c>
      <c r="G129" s="3" t="s">
        <v>2060</v>
      </c>
      <c r="H129" s="3" t="s">
        <v>2039</v>
      </c>
      <c r="I129" s="3" t="s">
        <v>245</v>
      </c>
    </row>
    <row r="130" spans="1:9" ht="39" customHeight="1" x14ac:dyDescent="0.2">
      <c r="A130" s="10" t="s">
        <v>196</v>
      </c>
      <c r="B130" s="10" t="s">
        <v>2014</v>
      </c>
      <c r="C130" s="54" t="s">
        <v>1806</v>
      </c>
      <c r="D130" s="54" t="s">
        <v>1806</v>
      </c>
      <c r="E130" s="10" t="s">
        <v>1719</v>
      </c>
      <c r="F130" s="3" t="s">
        <v>1160</v>
      </c>
      <c r="G130" s="3" t="s">
        <v>2061</v>
      </c>
      <c r="H130" s="3" t="s">
        <v>2053</v>
      </c>
      <c r="I130" s="3" t="s">
        <v>247</v>
      </c>
    </row>
    <row r="131" spans="1:9" ht="39" customHeight="1" x14ac:dyDescent="0.2">
      <c r="A131" s="10" t="s">
        <v>249</v>
      </c>
      <c r="B131" s="10" t="s">
        <v>2014</v>
      </c>
      <c r="C131" s="54" t="s">
        <v>1806</v>
      </c>
      <c r="D131" s="54" t="s">
        <v>1806</v>
      </c>
      <c r="E131" s="10" t="s">
        <v>1719</v>
      </c>
      <c r="F131" s="3" t="s">
        <v>1164</v>
      </c>
      <c r="G131" s="3" t="s">
        <v>2061</v>
      </c>
      <c r="H131" s="3" t="s">
        <v>2053</v>
      </c>
      <c r="I131" s="3" t="s">
        <v>250</v>
      </c>
    </row>
    <row r="132" spans="1:9" ht="39" customHeight="1" x14ac:dyDescent="0.2">
      <c r="A132" s="10" t="s">
        <v>261</v>
      </c>
      <c r="B132" s="10" t="s">
        <v>2014</v>
      </c>
      <c r="C132" s="54" t="s">
        <v>1806</v>
      </c>
      <c r="D132" s="10" t="s">
        <v>2062</v>
      </c>
      <c r="E132" s="10" t="s">
        <v>1719</v>
      </c>
      <c r="F132" s="10" t="s">
        <v>2063</v>
      </c>
      <c r="G132" s="3" t="s">
        <v>2064</v>
      </c>
      <c r="H132" s="3" t="s">
        <v>2053</v>
      </c>
      <c r="I132" s="3" t="s">
        <v>262</v>
      </c>
    </row>
    <row r="133" spans="1:9" ht="39" customHeight="1" x14ac:dyDescent="0.2">
      <c r="A133" s="10" t="s">
        <v>264</v>
      </c>
      <c r="B133" s="10" t="s">
        <v>2014</v>
      </c>
      <c r="C133" s="54" t="s">
        <v>1806</v>
      </c>
      <c r="D133" s="10" t="s">
        <v>2062</v>
      </c>
      <c r="E133" s="10" t="s">
        <v>1719</v>
      </c>
      <c r="F133" s="3" t="s">
        <v>1190</v>
      </c>
      <c r="G133" s="3" t="s">
        <v>2064</v>
      </c>
      <c r="H133" s="3" t="s">
        <v>2053</v>
      </c>
      <c r="I133" s="3" t="s">
        <v>265</v>
      </c>
    </row>
    <row r="134" spans="1:9" ht="39" customHeight="1" x14ac:dyDescent="0.2">
      <c r="A134" s="10" t="s">
        <v>267</v>
      </c>
      <c r="B134" s="10" t="s">
        <v>2014</v>
      </c>
      <c r="C134" s="54" t="s">
        <v>1806</v>
      </c>
      <c r="D134" s="10" t="s">
        <v>2062</v>
      </c>
      <c r="E134" s="10" t="s">
        <v>1719</v>
      </c>
      <c r="F134" s="3" t="s">
        <v>2065</v>
      </c>
      <c r="G134" s="3" t="s">
        <v>2066</v>
      </c>
      <c r="H134" s="3" t="s">
        <v>2053</v>
      </c>
      <c r="I134" s="3" t="s">
        <v>268</v>
      </c>
    </row>
    <row r="135" spans="1:9" ht="39" customHeight="1" x14ac:dyDescent="0.2">
      <c r="A135" s="10" t="s">
        <v>270</v>
      </c>
      <c r="B135" s="10" t="s">
        <v>2014</v>
      </c>
      <c r="C135" s="54" t="s">
        <v>1806</v>
      </c>
      <c r="D135" s="10" t="s">
        <v>2062</v>
      </c>
      <c r="E135" s="10" t="s">
        <v>1719</v>
      </c>
      <c r="F135" s="10" t="s">
        <v>1194</v>
      </c>
      <c r="G135" s="3" t="s">
        <v>2067</v>
      </c>
      <c r="H135" s="3" t="s">
        <v>2053</v>
      </c>
      <c r="I135" s="3" t="s">
        <v>271</v>
      </c>
    </row>
    <row r="136" spans="1:9" ht="39" customHeight="1" x14ac:dyDescent="0.2">
      <c r="A136" s="10" t="s">
        <v>273</v>
      </c>
      <c r="B136" s="10" t="s">
        <v>2014</v>
      </c>
      <c r="C136" s="54" t="s">
        <v>1806</v>
      </c>
      <c r="D136" s="10" t="s">
        <v>1902</v>
      </c>
      <c r="E136" s="10" t="s">
        <v>1719</v>
      </c>
      <c r="F136" s="10" t="s">
        <v>1194</v>
      </c>
      <c r="G136" s="3" t="s">
        <v>2067</v>
      </c>
      <c r="H136" s="3" t="s">
        <v>2053</v>
      </c>
      <c r="I136" s="3" t="s">
        <v>274</v>
      </c>
    </row>
    <row r="137" spans="1:9" ht="51" customHeight="1" x14ac:dyDescent="0.2">
      <c r="A137" s="10" t="s">
        <v>2068</v>
      </c>
      <c r="B137" s="10" t="s">
        <v>2014</v>
      </c>
      <c r="C137" s="54" t="s">
        <v>1806</v>
      </c>
      <c r="D137" s="54" t="s">
        <v>1806</v>
      </c>
      <c r="E137" s="10" t="s">
        <v>1719</v>
      </c>
      <c r="F137" s="10" t="s">
        <v>2069</v>
      </c>
      <c r="G137" s="10" t="s">
        <v>2070</v>
      </c>
      <c r="H137" s="3" t="s">
        <v>2053</v>
      </c>
      <c r="I137" s="3" t="s">
        <v>2071</v>
      </c>
    </row>
    <row r="138" spans="1:9" ht="39" customHeight="1" x14ac:dyDescent="0.2">
      <c r="A138" s="10" t="s">
        <v>2072</v>
      </c>
      <c r="B138" s="3" t="s">
        <v>2073</v>
      </c>
      <c r="C138" s="42" t="s">
        <v>1257</v>
      </c>
      <c r="D138" s="42" t="s">
        <v>1257</v>
      </c>
      <c r="E138" s="10" t="s">
        <v>1719</v>
      </c>
      <c r="F138" s="10" t="s">
        <v>2074</v>
      </c>
      <c r="G138" s="3" t="s">
        <v>2075</v>
      </c>
      <c r="H138" s="3" t="s">
        <v>2076</v>
      </c>
      <c r="I138" s="3" t="s">
        <v>2077</v>
      </c>
    </row>
    <row r="139" spans="1:9" ht="39" customHeight="1" x14ac:dyDescent="0.2">
      <c r="A139" s="10" t="s">
        <v>294</v>
      </c>
      <c r="B139" s="10" t="s">
        <v>2014</v>
      </c>
      <c r="C139" s="54" t="s">
        <v>1806</v>
      </c>
      <c r="D139" s="54" t="s">
        <v>1806</v>
      </c>
      <c r="E139" s="10" t="s">
        <v>1719</v>
      </c>
      <c r="F139" s="10"/>
      <c r="G139" s="3" t="s">
        <v>2078</v>
      </c>
      <c r="H139" s="3" t="s">
        <v>2053</v>
      </c>
      <c r="I139" s="3" t="s">
        <v>2079</v>
      </c>
    </row>
    <row r="140" spans="1:9" ht="39" customHeight="1" x14ac:dyDescent="0.2">
      <c r="A140" s="10" t="s">
        <v>225</v>
      </c>
      <c r="B140" s="10" t="s">
        <v>2014</v>
      </c>
      <c r="C140" s="54" t="s">
        <v>1806</v>
      </c>
      <c r="D140" s="54" t="s">
        <v>1806</v>
      </c>
      <c r="E140" s="10" t="s">
        <v>1719</v>
      </c>
      <c r="F140" s="3" t="s">
        <v>2080</v>
      </c>
      <c r="G140" s="3" t="s">
        <v>2081</v>
      </c>
      <c r="H140" s="3" t="s">
        <v>2053</v>
      </c>
      <c r="I140" s="3" t="s">
        <v>2082</v>
      </c>
    </row>
    <row r="141" spans="1:9" ht="39" customHeight="1" x14ac:dyDescent="0.2">
      <c r="A141" s="10" t="s">
        <v>258</v>
      </c>
      <c r="B141" s="10" t="s">
        <v>2014</v>
      </c>
      <c r="C141" s="54" t="s">
        <v>1806</v>
      </c>
      <c r="D141" s="54" t="s">
        <v>1806</v>
      </c>
      <c r="E141" s="10" t="s">
        <v>1719</v>
      </c>
      <c r="F141" s="3" t="s">
        <v>2083</v>
      </c>
      <c r="G141" s="3" t="s">
        <v>2081</v>
      </c>
      <c r="H141" s="3" t="s">
        <v>2053</v>
      </c>
      <c r="I141" s="3" t="s">
        <v>259</v>
      </c>
    </row>
    <row r="142" spans="1:9" ht="39" customHeight="1" x14ac:dyDescent="0.2">
      <c r="A142" s="10" t="s">
        <v>221</v>
      </c>
      <c r="B142" s="10" t="s">
        <v>2014</v>
      </c>
      <c r="C142" s="54" t="s">
        <v>1806</v>
      </c>
      <c r="D142" s="54" t="s">
        <v>1806</v>
      </c>
      <c r="E142" s="10" t="s">
        <v>1719</v>
      </c>
      <c r="F142" s="3" t="s">
        <v>2084</v>
      </c>
      <c r="G142" s="3" t="s">
        <v>2085</v>
      </c>
      <c r="H142" s="3" t="s">
        <v>2053</v>
      </c>
      <c r="I142" s="3" t="s">
        <v>2086</v>
      </c>
    </row>
    <row r="143" spans="1:9" ht="39" customHeight="1" x14ac:dyDescent="0.2">
      <c r="A143" s="10" t="s">
        <v>252</v>
      </c>
      <c r="B143" s="10" t="s">
        <v>2014</v>
      </c>
      <c r="C143" s="54" t="s">
        <v>1806</v>
      </c>
      <c r="D143" s="54" t="s">
        <v>1806</v>
      </c>
      <c r="E143" s="10" t="s">
        <v>1719</v>
      </c>
      <c r="F143" s="3" t="s">
        <v>2087</v>
      </c>
      <c r="G143" s="3" t="s">
        <v>2085</v>
      </c>
      <c r="H143" s="3" t="s">
        <v>2053</v>
      </c>
      <c r="I143" s="3" t="s">
        <v>253</v>
      </c>
    </row>
    <row r="144" spans="1:9" ht="39" customHeight="1" x14ac:dyDescent="0.2">
      <c r="A144" s="10" t="s">
        <v>255</v>
      </c>
      <c r="B144" s="10" t="s">
        <v>2014</v>
      </c>
      <c r="C144" s="54" t="s">
        <v>1806</v>
      </c>
      <c r="D144" s="54" t="s">
        <v>1806</v>
      </c>
      <c r="E144" s="10" t="s">
        <v>1719</v>
      </c>
      <c r="F144" s="3" t="s">
        <v>2088</v>
      </c>
      <c r="G144" s="3" t="s">
        <v>2085</v>
      </c>
      <c r="H144" s="3" t="s">
        <v>2053</v>
      </c>
      <c r="I144" s="3" t="s">
        <v>256</v>
      </c>
    </row>
    <row r="145" spans="1:9" ht="63" customHeight="1" x14ac:dyDescent="0.2">
      <c r="A145" s="10" t="s">
        <v>2089</v>
      </c>
      <c r="B145" s="10" t="s">
        <v>2090</v>
      </c>
      <c r="C145" s="54" t="s">
        <v>1806</v>
      </c>
      <c r="D145" s="56" t="s">
        <v>1838</v>
      </c>
      <c r="E145" s="10" t="s">
        <v>1719</v>
      </c>
      <c r="F145" s="10"/>
      <c r="G145" s="10" t="s">
        <v>2091</v>
      </c>
      <c r="H145" s="3" t="s">
        <v>2053</v>
      </c>
      <c r="I145" s="3" t="s">
        <v>2092</v>
      </c>
    </row>
    <row r="146" spans="1:9" ht="51" customHeight="1" x14ac:dyDescent="0.2">
      <c r="A146" s="10" t="s">
        <v>2093</v>
      </c>
      <c r="B146" s="10" t="s">
        <v>1982</v>
      </c>
      <c r="C146" s="68" t="s">
        <v>1905</v>
      </c>
      <c r="D146" s="68" t="s">
        <v>1905</v>
      </c>
      <c r="E146" s="10" t="s">
        <v>1719</v>
      </c>
      <c r="F146" s="10"/>
      <c r="G146" s="3" t="s">
        <v>2094</v>
      </c>
      <c r="H146" s="3" t="s">
        <v>2095</v>
      </c>
      <c r="I146" s="3" t="s">
        <v>2096</v>
      </c>
    </row>
    <row r="147" spans="1:9" ht="75" customHeight="1" x14ac:dyDescent="0.2">
      <c r="A147" s="10" t="s">
        <v>2097</v>
      </c>
      <c r="B147" s="10" t="s">
        <v>2098</v>
      </c>
      <c r="C147" s="47" t="s">
        <v>1718</v>
      </c>
      <c r="D147" s="47" t="s">
        <v>1718</v>
      </c>
      <c r="E147" s="10" t="s">
        <v>1719</v>
      </c>
      <c r="F147" s="10"/>
      <c r="G147" s="10" t="s">
        <v>2099</v>
      </c>
      <c r="H147" s="3" t="s">
        <v>2100</v>
      </c>
      <c r="I147" s="3" t="s">
        <v>2101</v>
      </c>
    </row>
    <row r="148" spans="1:9" ht="63" customHeight="1" x14ac:dyDescent="0.2">
      <c r="A148" s="10" t="s">
        <v>2102</v>
      </c>
      <c r="B148" s="10" t="s">
        <v>2014</v>
      </c>
      <c r="C148" s="68" t="s">
        <v>1905</v>
      </c>
      <c r="D148" s="68" t="s">
        <v>1905</v>
      </c>
      <c r="E148" s="10" t="s">
        <v>1719</v>
      </c>
      <c r="F148" s="10"/>
      <c r="G148" s="10" t="s">
        <v>2103</v>
      </c>
      <c r="H148" s="3" t="s">
        <v>2104</v>
      </c>
      <c r="I148" s="3" t="s">
        <v>2105</v>
      </c>
    </row>
    <row r="149" spans="1:9" ht="51" customHeight="1" x14ac:dyDescent="0.2">
      <c r="A149" s="10" t="s">
        <v>2106</v>
      </c>
      <c r="B149" s="10" t="s">
        <v>1850</v>
      </c>
      <c r="C149" s="46" t="s">
        <v>143</v>
      </c>
      <c r="D149" s="46" t="s">
        <v>143</v>
      </c>
      <c r="E149" s="10" t="s">
        <v>1695</v>
      </c>
      <c r="F149" s="10" t="s">
        <v>2107</v>
      </c>
      <c r="G149" s="10" t="s">
        <v>2108</v>
      </c>
      <c r="H149" s="3" t="s">
        <v>1907</v>
      </c>
      <c r="I149" s="3" t="s">
        <v>2109</v>
      </c>
    </row>
    <row r="150" spans="1:9" ht="51" customHeight="1" x14ac:dyDescent="0.2">
      <c r="A150" s="10" t="s">
        <v>617</v>
      </c>
      <c r="B150" s="3" t="s">
        <v>2005</v>
      </c>
      <c r="C150" s="47" t="s">
        <v>1718</v>
      </c>
      <c r="D150" s="47" t="s">
        <v>1718</v>
      </c>
      <c r="E150" s="10" t="s">
        <v>1695</v>
      </c>
      <c r="F150" s="10" t="s">
        <v>2110</v>
      </c>
      <c r="G150" s="10" t="s">
        <v>2111</v>
      </c>
      <c r="H150" s="3" t="s">
        <v>2007</v>
      </c>
      <c r="I150" s="3" t="s">
        <v>618</v>
      </c>
    </row>
    <row r="151" spans="1:9" ht="39" customHeight="1" x14ac:dyDescent="0.2">
      <c r="A151" s="10" t="s">
        <v>614</v>
      </c>
      <c r="B151" s="3" t="s">
        <v>2005</v>
      </c>
      <c r="C151" s="47" t="s">
        <v>1718</v>
      </c>
      <c r="D151" s="47" t="s">
        <v>1718</v>
      </c>
      <c r="E151" s="10" t="s">
        <v>1695</v>
      </c>
      <c r="F151" s="3" t="s">
        <v>2112</v>
      </c>
      <c r="G151" s="10" t="s">
        <v>2113</v>
      </c>
      <c r="H151" s="3" t="s">
        <v>2007</v>
      </c>
      <c r="I151" s="3" t="s">
        <v>615</v>
      </c>
    </row>
    <row r="152" spans="1:9" ht="27" customHeight="1" x14ac:dyDescent="0.2">
      <c r="A152" s="10" t="s">
        <v>172</v>
      </c>
      <c r="B152" s="10" t="s">
        <v>2114</v>
      </c>
      <c r="C152" s="46" t="s">
        <v>143</v>
      </c>
      <c r="D152" s="47" t="s">
        <v>1718</v>
      </c>
      <c r="E152" s="10" t="s">
        <v>1793</v>
      </c>
      <c r="F152" s="10" t="s">
        <v>2115</v>
      </c>
      <c r="G152" s="10" t="s">
        <v>2116</v>
      </c>
      <c r="H152" s="3" t="s">
        <v>2117</v>
      </c>
      <c r="I152" s="3" t="s">
        <v>2118</v>
      </c>
    </row>
    <row r="153" spans="1:9" ht="63" customHeight="1" x14ac:dyDescent="0.2">
      <c r="A153" s="10" t="s">
        <v>2119</v>
      </c>
      <c r="B153" s="10" t="s">
        <v>1850</v>
      </c>
      <c r="C153" s="46" t="s">
        <v>143</v>
      </c>
      <c r="D153" s="46" t="s">
        <v>143</v>
      </c>
      <c r="E153" s="10" t="s">
        <v>1695</v>
      </c>
      <c r="F153" s="3" t="s">
        <v>2120</v>
      </c>
      <c r="G153" s="3" t="s">
        <v>2121</v>
      </c>
      <c r="H153" s="3" t="s">
        <v>2122</v>
      </c>
      <c r="I153" s="3" t="s">
        <v>2123</v>
      </c>
    </row>
    <row r="154" spans="1:9" ht="51" customHeight="1" x14ac:dyDescent="0.2">
      <c r="A154" s="10" t="s">
        <v>2124</v>
      </c>
      <c r="B154" s="10" t="s">
        <v>1850</v>
      </c>
      <c r="C154" s="46" t="s">
        <v>143</v>
      </c>
      <c r="D154" s="46" t="s">
        <v>143</v>
      </c>
      <c r="E154" s="10" t="s">
        <v>1695</v>
      </c>
      <c r="F154" s="10"/>
      <c r="G154" s="10" t="s">
        <v>2125</v>
      </c>
      <c r="H154" s="3" t="s">
        <v>2126</v>
      </c>
      <c r="I154" s="3" t="s">
        <v>2127</v>
      </c>
    </row>
    <row r="155" spans="1:9" ht="51" customHeight="1" x14ac:dyDescent="0.2">
      <c r="A155" s="10" t="s">
        <v>2128</v>
      </c>
      <c r="B155" s="10" t="s">
        <v>1877</v>
      </c>
      <c r="C155" s="42" t="s">
        <v>1257</v>
      </c>
      <c r="D155" s="42" t="s">
        <v>1257</v>
      </c>
      <c r="E155" s="10" t="s">
        <v>1719</v>
      </c>
      <c r="F155" s="3" t="s">
        <v>2129</v>
      </c>
      <c r="G155" s="3" t="s">
        <v>2130</v>
      </c>
      <c r="H155" s="3" t="s">
        <v>2131</v>
      </c>
      <c r="I155" s="3" t="s">
        <v>2132</v>
      </c>
    </row>
    <row r="156" spans="1:9" ht="39" customHeight="1" x14ac:dyDescent="0.2">
      <c r="A156" s="10" t="s">
        <v>584</v>
      </c>
      <c r="B156" s="10" t="s">
        <v>2014</v>
      </c>
      <c r="C156" s="84" t="s">
        <v>2133</v>
      </c>
      <c r="D156" s="85" t="s">
        <v>2134</v>
      </c>
      <c r="E156" s="10" t="s">
        <v>1719</v>
      </c>
      <c r="F156" s="10" t="s">
        <v>1868</v>
      </c>
      <c r="G156" s="10" t="s">
        <v>2135</v>
      </c>
      <c r="H156" s="3" t="s">
        <v>2136</v>
      </c>
      <c r="I156" s="3" t="s">
        <v>585</v>
      </c>
    </row>
    <row r="157" spans="1:9" ht="51" customHeight="1" x14ac:dyDescent="0.2">
      <c r="A157" s="10" t="s">
        <v>568</v>
      </c>
      <c r="B157" s="3" t="s">
        <v>2137</v>
      </c>
      <c r="C157" s="86" t="s">
        <v>2138</v>
      </c>
      <c r="D157" s="36" t="s">
        <v>1228</v>
      </c>
      <c r="E157" s="10" t="s">
        <v>1695</v>
      </c>
      <c r="F157" s="3" t="s">
        <v>2139</v>
      </c>
      <c r="G157" s="3" t="s">
        <v>2140</v>
      </c>
      <c r="H157" s="3" t="s">
        <v>2141</v>
      </c>
      <c r="I157" s="3" t="s">
        <v>567</v>
      </c>
    </row>
    <row r="158" spans="1:9" ht="39" customHeight="1" x14ac:dyDescent="0.2">
      <c r="A158" s="10" t="s">
        <v>85</v>
      </c>
      <c r="B158" s="10" t="s">
        <v>2098</v>
      </c>
      <c r="C158" s="47" t="s">
        <v>1718</v>
      </c>
      <c r="D158" s="10" t="s">
        <v>2142</v>
      </c>
      <c r="E158" s="10" t="s">
        <v>1719</v>
      </c>
      <c r="F158" s="3" t="s">
        <v>2143</v>
      </c>
      <c r="G158" s="10" t="s">
        <v>1895</v>
      </c>
      <c r="H158" s="3" t="s">
        <v>2100</v>
      </c>
      <c r="I158" s="3" t="s">
        <v>452</v>
      </c>
    </row>
    <row r="159" spans="1:9" ht="39" customHeight="1" x14ac:dyDescent="0.2">
      <c r="A159" s="10" t="s">
        <v>209</v>
      </c>
      <c r="B159" s="3" t="s">
        <v>2073</v>
      </c>
      <c r="C159" s="42" t="s">
        <v>1257</v>
      </c>
      <c r="D159" s="42" t="s">
        <v>1257</v>
      </c>
      <c r="E159" s="10" t="s">
        <v>1719</v>
      </c>
      <c r="F159" s="3" t="s">
        <v>1179</v>
      </c>
      <c r="G159" s="3" t="s">
        <v>2075</v>
      </c>
      <c r="H159" s="3" t="s">
        <v>2076</v>
      </c>
      <c r="I159" s="3" t="s">
        <v>2144</v>
      </c>
    </row>
    <row r="160" spans="1:9" ht="51" customHeight="1" x14ac:dyDescent="0.2">
      <c r="A160" s="10" t="s">
        <v>239</v>
      </c>
      <c r="B160" s="10" t="s">
        <v>1930</v>
      </c>
      <c r="C160" s="80" t="s">
        <v>1971</v>
      </c>
      <c r="D160" s="80" t="s">
        <v>1971</v>
      </c>
      <c r="E160" s="10" t="s">
        <v>1719</v>
      </c>
      <c r="F160" s="3" t="s">
        <v>2145</v>
      </c>
      <c r="G160" s="3" t="s">
        <v>2146</v>
      </c>
      <c r="H160" s="3" t="s">
        <v>2147</v>
      </c>
      <c r="I160" s="3" t="s">
        <v>2148</v>
      </c>
    </row>
    <row r="161" spans="1:9" ht="51" customHeight="1" x14ac:dyDescent="0.2">
      <c r="A161" s="10" t="s">
        <v>2149</v>
      </c>
      <c r="B161" s="10" t="s">
        <v>1930</v>
      </c>
      <c r="C161" s="80" t="s">
        <v>1971</v>
      </c>
      <c r="D161" s="10" t="s">
        <v>1902</v>
      </c>
      <c r="E161" s="10" t="s">
        <v>1719</v>
      </c>
      <c r="F161" s="10" t="s">
        <v>2150</v>
      </c>
      <c r="G161" s="3" t="s">
        <v>2151</v>
      </c>
      <c r="H161" s="3" t="s">
        <v>2147</v>
      </c>
      <c r="I161" s="3" t="s">
        <v>2152</v>
      </c>
    </row>
    <row r="162" spans="1:9" ht="51" customHeight="1" x14ac:dyDescent="0.2">
      <c r="A162" s="10" t="s">
        <v>278</v>
      </c>
      <c r="B162" s="10" t="s">
        <v>2014</v>
      </c>
      <c r="C162" s="42" t="s">
        <v>1257</v>
      </c>
      <c r="D162" s="42" t="s">
        <v>1257</v>
      </c>
      <c r="E162" s="10" t="s">
        <v>1719</v>
      </c>
      <c r="F162" s="3" t="s">
        <v>2153</v>
      </c>
      <c r="G162" s="3" t="s">
        <v>2154</v>
      </c>
      <c r="H162" s="3" t="s">
        <v>2016</v>
      </c>
      <c r="I162" s="3" t="s">
        <v>279</v>
      </c>
    </row>
    <row r="163" spans="1:9" ht="51" customHeight="1" x14ac:dyDescent="0.2">
      <c r="A163" s="10" t="s">
        <v>281</v>
      </c>
      <c r="B163" s="10" t="s">
        <v>2014</v>
      </c>
      <c r="C163" s="42" t="s">
        <v>1257</v>
      </c>
      <c r="D163" s="10" t="s">
        <v>2062</v>
      </c>
      <c r="E163" s="10" t="s">
        <v>1719</v>
      </c>
      <c r="F163" s="3" t="s">
        <v>2155</v>
      </c>
      <c r="G163" s="3" t="s">
        <v>2156</v>
      </c>
      <c r="H163" s="3" t="s">
        <v>2016</v>
      </c>
      <c r="I163" s="3" t="s">
        <v>282</v>
      </c>
    </row>
    <row r="164" spans="1:9" ht="51" customHeight="1" x14ac:dyDescent="0.2">
      <c r="A164" s="10" t="s">
        <v>284</v>
      </c>
      <c r="B164" s="10" t="s">
        <v>2014</v>
      </c>
      <c r="C164" s="42" t="s">
        <v>1257</v>
      </c>
      <c r="D164" s="10" t="s">
        <v>2062</v>
      </c>
      <c r="E164" s="10" t="s">
        <v>1719</v>
      </c>
      <c r="F164" s="3" t="s">
        <v>2155</v>
      </c>
      <c r="G164" s="3" t="s">
        <v>2157</v>
      </c>
      <c r="H164" s="3" t="s">
        <v>2016</v>
      </c>
      <c r="I164" s="3" t="s">
        <v>285</v>
      </c>
    </row>
    <row r="165" spans="1:9" ht="51" customHeight="1" x14ac:dyDescent="0.2">
      <c r="A165" s="10" t="s">
        <v>286</v>
      </c>
      <c r="B165" s="10" t="s">
        <v>2014</v>
      </c>
      <c r="C165" s="42" t="s">
        <v>1257</v>
      </c>
      <c r="D165" s="10" t="s">
        <v>2062</v>
      </c>
      <c r="E165" s="10" t="s">
        <v>1719</v>
      </c>
      <c r="F165" s="3" t="s">
        <v>2155</v>
      </c>
      <c r="G165" s="3" t="s">
        <v>2158</v>
      </c>
      <c r="H165" s="3" t="s">
        <v>2016</v>
      </c>
      <c r="I165" s="3" t="s">
        <v>287</v>
      </c>
    </row>
    <row r="166" spans="1:9" ht="51" customHeight="1" x14ac:dyDescent="0.2">
      <c r="A166" s="10" t="s">
        <v>288</v>
      </c>
      <c r="B166" s="10" t="s">
        <v>2014</v>
      </c>
      <c r="C166" s="42" t="s">
        <v>1257</v>
      </c>
      <c r="D166" s="10" t="s">
        <v>2062</v>
      </c>
      <c r="E166" s="10" t="s">
        <v>1719</v>
      </c>
      <c r="F166" s="3" t="s">
        <v>2155</v>
      </c>
      <c r="G166" s="3" t="s">
        <v>2159</v>
      </c>
      <c r="H166" s="3" t="s">
        <v>2016</v>
      </c>
      <c r="I166" s="3" t="s">
        <v>289</v>
      </c>
    </row>
    <row r="167" spans="1:9" ht="51" customHeight="1" x14ac:dyDescent="0.2">
      <c r="A167" s="10" t="s">
        <v>290</v>
      </c>
      <c r="B167" s="10" t="s">
        <v>2014</v>
      </c>
      <c r="C167" s="42" t="s">
        <v>1257</v>
      </c>
      <c r="D167" s="10" t="s">
        <v>1902</v>
      </c>
      <c r="E167" s="10" t="s">
        <v>1719</v>
      </c>
      <c r="F167" s="3" t="s">
        <v>2155</v>
      </c>
      <c r="G167" s="3" t="s">
        <v>2160</v>
      </c>
      <c r="H167" s="3" t="s">
        <v>2016</v>
      </c>
      <c r="I167" s="3" t="s">
        <v>291</v>
      </c>
    </row>
    <row r="168" spans="1:9" ht="51" customHeight="1" x14ac:dyDescent="0.2">
      <c r="A168" s="10" t="s">
        <v>2161</v>
      </c>
      <c r="B168" s="10" t="s">
        <v>2014</v>
      </c>
      <c r="C168" s="42" t="s">
        <v>1257</v>
      </c>
      <c r="D168" s="10" t="s">
        <v>1902</v>
      </c>
      <c r="E168" s="10" t="s">
        <v>1719</v>
      </c>
      <c r="F168" s="10"/>
      <c r="G168" s="3" t="s">
        <v>2162</v>
      </c>
      <c r="H168" s="3" t="s">
        <v>2016</v>
      </c>
      <c r="I168" s="3" t="s">
        <v>2163</v>
      </c>
    </row>
  </sheetData>
  <mergeCells count="2">
    <mergeCell ref="A2:I2"/>
    <mergeCell ref="A3:I3"/>
  </mergeCells>
  <hyperlinks>
    <hyperlink ref="H6" r:id="rId1" xr:uid="{00000000-0004-0000-0C00-000000000000}"/>
    <hyperlink ref="H7" r:id="rId2" xr:uid="{00000000-0004-0000-0C00-000001000000}"/>
    <hyperlink ref="H8" r:id="rId3" xr:uid="{00000000-0004-0000-0C00-000002000000}"/>
    <hyperlink ref="H9" r:id="rId4" xr:uid="{00000000-0004-0000-0C00-000003000000}"/>
    <hyperlink ref="H10" r:id="rId5" xr:uid="{00000000-0004-0000-0C00-000004000000}"/>
    <hyperlink ref="H11" r:id="rId6" xr:uid="{00000000-0004-0000-0C00-000005000000}"/>
    <hyperlink ref="H12" r:id="rId7" xr:uid="{00000000-0004-0000-0C00-000006000000}"/>
    <hyperlink ref="H13" r:id="rId8" xr:uid="{00000000-0004-0000-0C00-000007000000}"/>
    <hyperlink ref="H14" r:id="rId9" xr:uid="{00000000-0004-0000-0C00-000008000000}"/>
    <hyperlink ref="H15" r:id="rId10" xr:uid="{00000000-0004-0000-0C00-000009000000}"/>
    <hyperlink ref="H16" r:id="rId11" xr:uid="{00000000-0004-0000-0C00-00000A000000}"/>
    <hyperlink ref="H17" r:id="rId12" xr:uid="{00000000-0004-0000-0C00-00000B000000}"/>
    <hyperlink ref="H18" r:id="rId13" xr:uid="{00000000-0004-0000-0C00-00000C000000}"/>
    <hyperlink ref="H19" r:id="rId14" xr:uid="{00000000-0004-0000-0C00-00000D000000}"/>
    <hyperlink ref="H20" r:id="rId15" xr:uid="{00000000-0004-0000-0C00-00000E000000}"/>
    <hyperlink ref="H21" r:id="rId16" xr:uid="{00000000-0004-0000-0C00-00000F000000}"/>
    <hyperlink ref="H22" r:id="rId17" xr:uid="{00000000-0004-0000-0C00-000010000000}"/>
    <hyperlink ref="H23" r:id="rId18" xr:uid="{00000000-0004-0000-0C00-000011000000}"/>
    <hyperlink ref="H24" r:id="rId19" xr:uid="{00000000-0004-0000-0C00-000012000000}"/>
    <hyperlink ref="H25" r:id="rId20" xr:uid="{00000000-0004-0000-0C00-000013000000}"/>
    <hyperlink ref="H26" r:id="rId21" xr:uid="{00000000-0004-0000-0C00-000014000000}"/>
    <hyperlink ref="H27" r:id="rId22" xr:uid="{00000000-0004-0000-0C00-000015000000}"/>
    <hyperlink ref="H28" r:id="rId23" xr:uid="{00000000-0004-0000-0C00-000016000000}"/>
    <hyperlink ref="H29" r:id="rId24" xr:uid="{00000000-0004-0000-0C00-000017000000}"/>
    <hyperlink ref="H30" r:id="rId25" xr:uid="{00000000-0004-0000-0C00-000018000000}"/>
    <hyperlink ref="H31" r:id="rId26" xr:uid="{00000000-0004-0000-0C00-000019000000}"/>
    <hyperlink ref="H32" r:id="rId27" xr:uid="{00000000-0004-0000-0C00-00001A000000}"/>
    <hyperlink ref="H33" r:id="rId28" xr:uid="{00000000-0004-0000-0C00-00001B000000}"/>
    <hyperlink ref="H34" r:id="rId29" xr:uid="{00000000-0004-0000-0C00-00001C000000}"/>
    <hyperlink ref="H35" r:id="rId30" xr:uid="{00000000-0004-0000-0C00-00001D000000}"/>
    <hyperlink ref="H36" r:id="rId31" xr:uid="{00000000-0004-0000-0C00-00001E000000}"/>
    <hyperlink ref="H37" r:id="rId32" xr:uid="{00000000-0004-0000-0C00-00001F000000}"/>
    <hyperlink ref="H38" r:id="rId33" xr:uid="{00000000-0004-0000-0C00-000020000000}"/>
    <hyperlink ref="H39" r:id="rId34" xr:uid="{00000000-0004-0000-0C00-000021000000}"/>
    <hyperlink ref="H40" r:id="rId35" xr:uid="{00000000-0004-0000-0C00-000022000000}"/>
    <hyperlink ref="H41" r:id="rId36" xr:uid="{00000000-0004-0000-0C00-000023000000}"/>
    <hyperlink ref="H42" r:id="rId37" xr:uid="{00000000-0004-0000-0C00-000024000000}"/>
    <hyperlink ref="H43" r:id="rId38" xr:uid="{00000000-0004-0000-0C00-000025000000}"/>
    <hyperlink ref="H44" r:id="rId39" xr:uid="{00000000-0004-0000-0C00-000026000000}"/>
    <hyperlink ref="H45" r:id="rId40" xr:uid="{00000000-0004-0000-0C00-000027000000}"/>
    <hyperlink ref="H46" r:id="rId41" xr:uid="{00000000-0004-0000-0C00-000028000000}"/>
    <hyperlink ref="H47" r:id="rId42" xr:uid="{00000000-0004-0000-0C00-000029000000}"/>
    <hyperlink ref="H48" r:id="rId43" xr:uid="{00000000-0004-0000-0C00-00002A000000}"/>
    <hyperlink ref="H49" r:id="rId44" xr:uid="{00000000-0004-0000-0C00-00002B000000}"/>
    <hyperlink ref="H50" r:id="rId45" xr:uid="{00000000-0004-0000-0C00-00002C000000}"/>
    <hyperlink ref="H51" r:id="rId46" xr:uid="{00000000-0004-0000-0C00-00002D000000}"/>
    <hyperlink ref="H52" r:id="rId47" xr:uid="{00000000-0004-0000-0C00-00002E000000}"/>
    <hyperlink ref="H53" r:id="rId48" xr:uid="{00000000-0004-0000-0C00-00002F000000}"/>
    <hyperlink ref="H54" r:id="rId49" xr:uid="{00000000-0004-0000-0C00-000030000000}"/>
    <hyperlink ref="H55" r:id="rId50" xr:uid="{00000000-0004-0000-0C00-000031000000}"/>
    <hyperlink ref="H56" r:id="rId51" xr:uid="{00000000-0004-0000-0C00-000032000000}"/>
    <hyperlink ref="H57" r:id="rId52" xr:uid="{00000000-0004-0000-0C00-000033000000}"/>
    <hyperlink ref="H58" r:id="rId53" xr:uid="{00000000-0004-0000-0C00-000034000000}"/>
    <hyperlink ref="H59" r:id="rId54" xr:uid="{00000000-0004-0000-0C00-000035000000}"/>
    <hyperlink ref="H60" r:id="rId55" xr:uid="{00000000-0004-0000-0C00-000036000000}"/>
    <hyperlink ref="H61" r:id="rId56" xr:uid="{00000000-0004-0000-0C00-000037000000}"/>
    <hyperlink ref="H62" r:id="rId57" xr:uid="{00000000-0004-0000-0C00-000038000000}"/>
    <hyperlink ref="H63" r:id="rId58" xr:uid="{00000000-0004-0000-0C00-000039000000}"/>
    <hyperlink ref="H64" r:id="rId59" xr:uid="{00000000-0004-0000-0C00-00003A000000}"/>
    <hyperlink ref="H65" r:id="rId60" xr:uid="{00000000-0004-0000-0C00-00003B000000}"/>
    <hyperlink ref="H66" r:id="rId61" xr:uid="{00000000-0004-0000-0C00-00003C000000}"/>
    <hyperlink ref="H67" r:id="rId62" xr:uid="{00000000-0004-0000-0C00-00003D000000}"/>
    <hyperlink ref="H68" r:id="rId63" xr:uid="{00000000-0004-0000-0C00-00003E000000}"/>
    <hyperlink ref="H69" r:id="rId64" xr:uid="{00000000-0004-0000-0C00-00003F000000}"/>
    <hyperlink ref="H70" r:id="rId65" xr:uid="{00000000-0004-0000-0C00-000040000000}"/>
    <hyperlink ref="H71" r:id="rId66" xr:uid="{00000000-0004-0000-0C00-000041000000}"/>
    <hyperlink ref="H72" r:id="rId67" xr:uid="{00000000-0004-0000-0C00-000042000000}"/>
    <hyperlink ref="H73" r:id="rId68" xr:uid="{00000000-0004-0000-0C00-000043000000}"/>
    <hyperlink ref="H74" r:id="rId69" xr:uid="{00000000-0004-0000-0C00-000044000000}"/>
    <hyperlink ref="H75" r:id="rId70" xr:uid="{00000000-0004-0000-0C00-000045000000}"/>
    <hyperlink ref="H76" r:id="rId71" xr:uid="{00000000-0004-0000-0C00-000046000000}"/>
    <hyperlink ref="H77" r:id="rId72" xr:uid="{00000000-0004-0000-0C00-000047000000}"/>
    <hyperlink ref="H78" r:id="rId73" xr:uid="{00000000-0004-0000-0C00-000048000000}"/>
    <hyperlink ref="H79" r:id="rId74" xr:uid="{00000000-0004-0000-0C00-000049000000}"/>
    <hyperlink ref="H80" r:id="rId75" xr:uid="{00000000-0004-0000-0C00-00004A000000}"/>
    <hyperlink ref="H81" r:id="rId76" xr:uid="{00000000-0004-0000-0C00-00004B000000}"/>
    <hyperlink ref="H82" r:id="rId77" xr:uid="{00000000-0004-0000-0C00-00004C000000}"/>
    <hyperlink ref="H83" r:id="rId78" xr:uid="{00000000-0004-0000-0C00-00004D000000}"/>
    <hyperlink ref="H84" r:id="rId79" xr:uid="{00000000-0004-0000-0C00-00004E000000}"/>
    <hyperlink ref="H85" r:id="rId80" xr:uid="{00000000-0004-0000-0C00-00004F000000}"/>
    <hyperlink ref="H86" r:id="rId81" xr:uid="{00000000-0004-0000-0C00-000050000000}"/>
    <hyperlink ref="H87" r:id="rId82" xr:uid="{00000000-0004-0000-0C00-000051000000}"/>
    <hyperlink ref="H88" r:id="rId83" xr:uid="{00000000-0004-0000-0C00-000052000000}"/>
    <hyperlink ref="H89" r:id="rId84" xr:uid="{00000000-0004-0000-0C00-000053000000}"/>
    <hyperlink ref="H90" r:id="rId85" xr:uid="{00000000-0004-0000-0C00-000054000000}"/>
    <hyperlink ref="H91" r:id="rId86" xr:uid="{00000000-0004-0000-0C00-000055000000}"/>
    <hyperlink ref="H92" r:id="rId87" xr:uid="{00000000-0004-0000-0C00-000056000000}"/>
    <hyperlink ref="H93" r:id="rId88" xr:uid="{00000000-0004-0000-0C00-000057000000}"/>
    <hyperlink ref="H94" r:id="rId89" xr:uid="{00000000-0004-0000-0C00-000058000000}"/>
    <hyperlink ref="H95" r:id="rId90" xr:uid="{00000000-0004-0000-0C00-000059000000}"/>
    <hyperlink ref="H96" r:id="rId91" xr:uid="{00000000-0004-0000-0C00-00005A000000}"/>
    <hyperlink ref="H97" r:id="rId92" xr:uid="{00000000-0004-0000-0C00-00005B000000}"/>
    <hyperlink ref="H98" r:id="rId93" xr:uid="{00000000-0004-0000-0C00-00005C000000}"/>
    <hyperlink ref="H99" r:id="rId94" xr:uid="{00000000-0004-0000-0C00-00005D000000}"/>
    <hyperlink ref="H100" r:id="rId95" xr:uid="{00000000-0004-0000-0C00-00005E000000}"/>
    <hyperlink ref="H101" r:id="rId96" xr:uid="{00000000-0004-0000-0C00-00005F000000}"/>
    <hyperlink ref="H102" r:id="rId97" xr:uid="{00000000-0004-0000-0C00-000060000000}"/>
    <hyperlink ref="H103" r:id="rId98" xr:uid="{00000000-0004-0000-0C00-000061000000}"/>
    <hyperlink ref="H104" r:id="rId99" xr:uid="{00000000-0004-0000-0C00-000062000000}"/>
    <hyperlink ref="H105" r:id="rId100" xr:uid="{00000000-0004-0000-0C00-000063000000}"/>
    <hyperlink ref="H106" r:id="rId101" xr:uid="{00000000-0004-0000-0C00-000064000000}"/>
    <hyperlink ref="H107" r:id="rId102" xr:uid="{00000000-0004-0000-0C00-000065000000}"/>
    <hyperlink ref="H108" r:id="rId103" xr:uid="{00000000-0004-0000-0C00-000066000000}"/>
    <hyperlink ref="H109" r:id="rId104" xr:uid="{00000000-0004-0000-0C00-000067000000}"/>
    <hyperlink ref="H110" r:id="rId105" xr:uid="{00000000-0004-0000-0C00-000068000000}"/>
    <hyperlink ref="H111" r:id="rId106" xr:uid="{00000000-0004-0000-0C00-000069000000}"/>
    <hyperlink ref="H112" r:id="rId107" xr:uid="{00000000-0004-0000-0C00-00006A000000}"/>
    <hyperlink ref="H113" r:id="rId108" xr:uid="{00000000-0004-0000-0C00-00006B000000}"/>
    <hyperlink ref="H114" r:id="rId109" xr:uid="{00000000-0004-0000-0C00-00006C000000}"/>
    <hyperlink ref="H115" r:id="rId110" xr:uid="{00000000-0004-0000-0C00-00006D000000}"/>
    <hyperlink ref="H116" r:id="rId111" xr:uid="{00000000-0004-0000-0C00-00006E000000}"/>
    <hyperlink ref="H117" r:id="rId112" xr:uid="{00000000-0004-0000-0C00-00006F000000}"/>
    <hyperlink ref="H118" r:id="rId113" xr:uid="{00000000-0004-0000-0C00-000070000000}"/>
    <hyperlink ref="H119" r:id="rId114" xr:uid="{00000000-0004-0000-0C00-000071000000}"/>
    <hyperlink ref="H120" r:id="rId115" xr:uid="{00000000-0004-0000-0C00-000072000000}"/>
    <hyperlink ref="H121" r:id="rId116" xr:uid="{00000000-0004-0000-0C00-000073000000}"/>
    <hyperlink ref="H122" r:id="rId117" xr:uid="{00000000-0004-0000-0C00-000074000000}"/>
    <hyperlink ref="H123" r:id="rId118" xr:uid="{00000000-0004-0000-0C00-000075000000}"/>
    <hyperlink ref="H124" r:id="rId119" xr:uid="{00000000-0004-0000-0C00-000076000000}"/>
    <hyperlink ref="H125" r:id="rId120" xr:uid="{00000000-0004-0000-0C00-000077000000}"/>
    <hyperlink ref="H126" r:id="rId121" xr:uid="{00000000-0004-0000-0C00-000078000000}"/>
    <hyperlink ref="H127" r:id="rId122" xr:uid="{00000000-0004-0000-0C00-000079000000}"/>
    <hyperlink ref="H128" r:id="rId123" xr:uid="{00000000-0004-0000-0C00-00007A000000}"/>
    <hyperlink ref="H129" r:id="rId124" xr:uid="{00000000-0004-0000-0C00-00007B000000}"/>
    <hyperlink ref="H130" r:id="rId125" xr:uid="{00000000-0004-0000-0C00-00007C000000}"/>
    <hyperlink ref="H131" r:id="rId126" xr:uid="{00000000-0004-0000-0C00-00007D000000}"/>
    <hyperlink ref="H132" r:id="rId127" xr:uid="{00000000-0004-0000-0C00-00007E000000}"/>
    <hyperlink ref="H133" r:id="rId128" xr:uid="{00000000-0004-0000-0C00-00007F000000}"/>
    <hyperlink ref="H134" r:id="rId129" xr:uid="{00000000-0004-0000-0C00-000080000000}"/>
    <hyperlink ref="H135" r:id="rId130" xr:uid="{00000000-0004-0000-0C00-000081000000}"/>
    <hyperlink ref="H136" r:id="rId131" xr:uid="{00000000-0004-0000-0C00-000082000000}"/>
    <hyperlink ref="H137" r:id="rId132" xr:uid="{00000000-0004-0000-0C00-000083000000}"/>
    <hyperlink ref="H138" r:id="rId133" xr:uid="{00000000-0004-0000-0C00-000084000000}"/>
    <hyperlink ref="H139" r:id="rId134" xr:uid="{00000000-0004-0000-0C00-000085000000}"/>
    <hyperlink ref="H140" r:id="rId135" xr:uid="{00000000-0004-0000-0C00-000086000000}"/>
    <hyperlink ref="H141" r:id="rId136" xr:uid="{00000000-0004-0000-0C00-000087000000}"/>
    <hyperlink ref="H142" r:id="rId137" xr:uid="{00000000-0004-0000-0C00-000088000000}"/>
    <hyperlink ref="H143" r:id="rId138" xr:uid="{00000000-0004-0000-0C00-000089000000}"/>
    <hyperlink ref="H144" r:id="rId139" xr:uid="{00000000-0004-0000-0C00-00008A000000}"/>
    <hyperlink ref="H145" r:id="rId140" xr:uid="{00000000-0004-0000-0C00-00008B000000}"/>
    <hyperlink ref="H146" r:id="rId141" xr:uid="{00000000-0004-0000-0C00-00008C000000}"/>
    <hyperlink ref="H147" r:id="rId142" xr:uid="{00000000-0004-0000-0C00-00008D000000}"/>
    <hyperlink ref="H148" r:id="rId143" xr:uid="{00000000-0004-0000-0C00-00008E000000}"/>
    <hyperlink ref="H149" r:id="rId144" xr:uid="{00000000-0004-0000-0C00-00008F000000}"/>
    <hyperlink ref="H150" r:id="rId145" xr:uid="{00000000-0004-0000-0C00-000090000000}"/>
    <hyperlink ref="H151" r:id="rId146" xr:uid="{00000000-0004-0000-0C00-000091000000}"/>
    <hyperlink ref="H152" r:id="rId147" xr:uid="{00000000-0004-0000-0C00-000092000000}"/>
    <hyperlink ref="H153" r:id="rId148" xr:uid="{00000000-0004-0000-0C00-000093000000}"/>
    <hyperlink ref="H154" r:id="rId149" xr:uid="{00000000-0004-0000-0C00-000094000000}"/>
    <hyperlink ref="H155" r:id="rId150" xr:uid="{00000000-0004-0000-0C00-000095000000}"/>
    <hyperlink ref="H156" r:id="rId151" xr:uid="{00000000-0004-0000-0C00-000096000000}"/>
    <hyperlink ref="H157" r:id="rId152" xr:uid="{00000000-0004-0000-0C00-000097000000}"/>
    <hyperlink ref="H158" r:id="rId153" xr:uid="{00000000-0004-0000-0C00-000098000000}"/>
    <hyperlink ref="H159" r:id="rId154" xr:uid="{00000000-0004-0000-0C00-000099000000}"/>
    <hyperlink ref="H160" r:id="rId155" xr:uid="{00000000-0004-0000-0C00-00009A000000}"/>
    <hyperlink ref="H161" r:id="rId156" xr:uid="{00000000-0004-0000-0C00-00009B000000}"/>
    <hyperlink ref="H162" r:id="rId157" xr:uid="{00000000-0004-0000-0C00-00009C000000}"/>
    <hyperlink ref="H163" r:id="rId158" xr:uid="{00000000-0004-0000-0C00-00009D000000}"/>
    <hyperlink ref="H164" r:id="rId159" xr:uid="{00000000-0004-0000-0C00-00009E000000}"/>
    <hyperlink ref="H165" r:id="rId160" xr:uid="{00000000-0004-0000-0C00-00009F000000}"/>
    <hyperlink ref="H166" r:id="rId161" xr:uid="{00000000-0004-0000-0C00-0000A0000000}"/>
    <hyperlink ref="H167" r:id="rId162" xr:uid="{00000000-0004-0000-0C00-0000A1000000}"/>
    <hyperlink ref="H168" r:id="rId163" xr:uid="{00000000-0004-0000-0C00-0000A2000000}"/>
  </hyperlinks>
  <printOptions horizontalCentered="1"/>
  <pageMargins left="0.2" right="0.2" top="0.25" bottom="0.55000000000000004" header="0.5" footer="0.5"/>
  <pageSetup paperSize="8" scale="73" fitToHeight="0" orientation="landscape" r:id="rId164"/>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M4418"/>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18" customWidth="1"/>
    <col min="2" max="2" width="50" customWidth="1"/>
    <col min="3" max="3" width="17" customWidth="1"/>
    <col min="4" max="13" width="14" customWidth="1"/>
    <col min="14" max="17" width="19" customWidth="1"/>
  </cols>
  <sheetData>
    <row r="2" spans="1:13" ht="21" customHeight="1" x14ac:dyDescent="0.2">
      <c r="A2" s="103" t="s">
        <v>2164</v>
      </c>
      <c r="B2" s="91"/>
      <c r="C2" s="91"/>
      <c r="D2" s="91"/>
      <c r="E2" s="91"/>
      <c r="F2" s="91"/>
      <c r="G2" s="91"/>
      <c r="H2" s="91"/>
      <c r="I2" s="91"/>
      <c r="J2" s="91"/>
      <c r="K2" s="91"/>
      <c r="L2" s="91"/>
      <c r="M2" s="91"/>
    </row>
    <row r="3" spans="1:13"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c r="L3" s="91"/>
      <c r="M3" s="91"/>
    </row>
    <row r="5" spans="1:13" ht="15" customHeight="1" x14ac:dyDescent="0.2">
      <c r="A5" s="4" t="s">
        <v>873</v>
      </c>
      <c r="B5" s="4" t="s">
        <v>874</v>
      </c>
      <c r="C5" s="4" t="s">
        <v>95</v>
      </c>
      <c r="D5" s="4" t="s">
        <v>875</v>
      </c>
      <c r="E5" s="4" t="s">
        <v>876</v>
      </c>
      <c r="F5" s="4" t="s">
        <v>877</v>
      </c>
      <c r="G5" s="4" t="s">
        <v>878</v>
      </c>
      <c r="H5" s="4" t="s">
        <v>879</v>
      </c>
      <c r="I5" s="4" t="s">
        <v>880</v>
      </c>
      <c r="J5" s="4" t="s">
        <v>881</v>
      </c>
      <c r="K5" s="4" t="s">
        <v>882</v>
      </c>
      <c r="L5" s="4" t="s">
        <v>883</v>
      </c>
      <c r="M5" s="4" t="s">
        <v>884</v>
      </c>
    </row>
    <row r="6" spans="1:13" ht="15" customHeight="1" x14ac:dyDescent="0.2">
      <c r="A6" s="104" t="s">
        <v>2165</v>
      </c>
      <c r="B6" s="10" t="s">
        <v>886</v>
      </c>
      <c r="C6" s="10" t="s">
        <v>107</v>
      </c>
      <c r="D6" s="28">
        <f>Inputs!$D$60</f>
        <v>1</v>
      </c>
      <c r="E6" s="28">
        <f>Inputs!$D$62</f>
        <v>2</v>
      </c>
      <c r="F6" s="28">
        <f>Inputs!$D$64</f>
        <v>3</v>
      </c>
      <c r="G6" s="28">
        <f>Inputs!$D$66</f>
        <v>4</v>
      </c>
      <c r="H6" s="28">
        <f>Inputs!$D$68</f>
        <v>5</v>
      </c>
      <c r="I6" s="28">
        <f>Inputs!$D$70</f>
        <v>6</v>
      </c>
      <c r="J6" s="28">
        <f>Inputs!$D$72</f>
        <v>7</v>
      </c>
      <c r="K6" s="28">
        <f>Inputs!$D$74</f>
        <v>8</v>
      </c>
      <c r="L6" s="28">
        <f>Inputs!$D$76</f>
        <v>9</v>
      </c>
      <c r="M6" s="28">
        <f>Inputs!$D$78</f>
        <v>10</v>
      </c>
    </row>
    <row r="7" spans="1:13" ht="15" customHeight="1" x14ac:dyDescent="0.2">
      <c r="A7" s="91"/>
      <c r="B7" s="10" t="s">
        <v>887</v>
      </c>
      <c r="C7" s="10" t="s">
        <v>161</v>
      </c>
      <c r="D7" s="29">
        <f>Inputs!$D$61</f>
        <v>46568</v>
      </c>
      <c r="E7" s="29">
        <f>Inputs!$D$63</f>
        <v>46934</v>
      </c>
      <c r="F7" s="29">
        <f>Inputs!$D$65</f>
        <v>47299</v>
      </c>
      <c r="G7" s="29">
        <f>Inputs!$D$67</f>
        <v>47664</v>
      </c>
      <c r="H7" s="29">
        <f>Inputs!$D$69</f>
        <v>48029</v>
      </c>
      <c r="I7" s="29">
        <f>Inputs!$D$71</f>
        <v>48395</v>
      </c>
      <c r="J7" s="29">
        <f>Inputs!$D$73</f>
        <v>48760</v>
      </c>
      <c r="K7" s="29">
        <f>Inputs!$D$75</f>
        <v>49125</v>
      </c>
      <c r="L7" s="29">
        <f>Inputs!$D$77</f>
        <v>49490</v>
      </c>
      <c r="M7" s="29">
        <f>Inputs!$D$79</f>
        <v>49856</v>
      </c>
    </row>
    <row r="8" spans="1:13" ht="15" customHeight="1" x14ac:dyDescent="0.2">
      <c r="A8" s="91"/>
      <c r="B8" s="10" t="s">
        <v>888</v>
      </c>
      <c r="C8" s="10" t="s">
        <v>107</v>
      </c>
      <c r="D8" s="28">
        <f>(D7-Inputs!$D$13)/Inputs!$D$10</f>
        <v>0.71457905544147848</v>
      </c>
      <c r="E8" s="28">
        <f>(E7-Inputs!$D$13)/Inputs!$D$10</f>
        <v>1.7166324435318274</v>
      </c>
      <c r="F8" s="28">
        <f>(F7-Inputs!$D$13)/Inputs!$D$10</f>
        <v>2.7159479808350446</v>
      </c>
      <c r="G8" s="28">
        <f>(G7-Inputs!$D$13)/Inputs!$D$10</f>
        <v>3.7152635181382614</v>
      </c>
      <c r="H8" s="28">
        <f>(H7-Inputs!$D$13)/Inputs!$D$10</f>
        <v>4.7145790554414786</v>
      </c>
      <c r="I8" s="28">
        <f>(I7-Inputs!$D$13)/Inputs!$D$10</f>
        <v>5.7166324435318279</v>
      </c>
      <c r="J8" s="28">
        <f>(J7-Inputs!$D$13)/Inputs!$D$10</f>
        <v>6.7159479808350442</v>
      </c>
      <c r="K8" s="28">
        <f>(K7-Inputs!$D$13)/Inputs!$D$10</f>
        <v>7.7152635181382614</v>
      </c>
      <c r="L8" s="28">
        <f>(L7-Inputs!$D$13)/Inputs!$D$10</f>
        <v>8.7145790554414777</v>
      </c>
      <c r="M8" s="28">
        <f>(M7-Inputs!$D$13)/Inputs!$D$10</f>
        <v>9.716632443531827</v>
      </c>
    </row>
    <row r="9" spans="1:13" ht="15" customHeight="1" x14ac:dyDescent="0.2">
      <c r="A9" s="91"/>
      <c r="B9" s="10" t="s">
        <v>889</v>
      </c>
      <c r="C9" s="10" t="s">
        <v>107</v>
      </c>
      <c r="D9" s="28">
        <f>D8</f>
        <v>0.71457905544147848</v>
      </c>
      <c r="E9" s="28">
        <f>Inputs!$D$7</f>
        <v>1</v>
      </c>
      <c r="F9" s="28">
        <f>Inputs!$D$7</f>
        <v>1</v>
      </c>
      <c r="G9" s="28">
        <f>Inputs!$D$7</f>
        <v>1</v>
      </c>
      <c r="H9" s="28">
        <f>Inputs!$D$7</f>
        <v>1</v>
      </c>
      <c r="I9" s="28">
        <f>Inputs!$D$7</f>
        <v>1</v>
      </c>
      <c r="J9" s="28">
        <f>Inputs!$D$7</f>
        <v>1</v>
      </c>
      <c r="K9" s="28">
        <f>Inputs!$D$7</f>
        <v>1</v>
      </c>
      <c r="L9" s="28">
        <f>Inputs!$D$7</f>
        <v>1</v>
      </c>
      <c r="M9" s="28">
        <f>Inputs!$D$7</f>
        <v>1</v>
      </c>
    </row>
    <row r="10" spans="1:13" ht="15" customHeight="1" x14ac:dyDescent="0.2">
      <c r="A10" s="91"/>
      <c r="B10" s="3" t="s">
        <v>890</v>
      </c>
      <c r="C10" s="10" t="s">
        <v>199</v>
      </c>
      <c r="D10" s="28">
        <f>Inputs!$D$24+(Inputs!$D$80-Inputs!$D$24)*Inputs!$D$83</f>
        <v>305.5</v>
      </c>
      <c r="E10" s="28">
        <f>Inputs!$D$24+(Inputs!$D$80-Inputs!$D$24)*Inputs!$D$84</f>
        <v>651.5</v>
      </c>
      <c r="F10" s="28">
        <f>Inputs!$D$24+(Inputs!$D$80-Inputs!$D$24)*Inputs!$D$85</f>
        <v>911</v>
      </c>
      <c r="G10" s="28">
        <f>Inputs!$D$24+(Inputs!$D$80-Inputs!$D$24)*Inputs!$D$86</f>
        <v>911</v>
      </c>
      <c r="H10" s="28">
        <f>Inputs!$D$24+(Inputs!$D$80-Inputs!$D$24)*Inputs!$D$87</f>
        <v>911</v>
      </c>
      <c r="I10" s="28">
        <f>Inputs!$D$24+(Inputs!$D$80-Inputs!$D$24)*Inputs!$D$88</f>
        <v>911</v>
      </c>
      <c r="J10" s="28">
        <f>Inputs!$D$24+(Inputs!$D$80-Inputs!$D$24)*Inputs!$D$89</f>
        <v>911</v>
      </c>
      <c r="K10" s="28">
        <f>Inputs!$D$24+(Inputs!$D$80-Inputs!$D$24)*Inputs!$D$90</f>
        <v>911</v>
      </c>
      <c r="L10" s="28">
        <f>Inputs!$D$24+(Inputs!$D$80-Inputs!$D$24)*Inputs!$D$91</f>
        <v>911</v>
      </c>
      <c r="M10" s="28">
        <f>Inputs!$D$24+(Inputs!$D$80-Inputs!$D$24)*Inputs!$D$92</f>
        <v>911</v>
      </c>
    </row>
    <row r="11" spans="1:13" ht="15" customHeight="1" x14ac:dyDescent="0.2">
      <c r="A11" s="91"/>
      <c r="B11" s="10" t="s">
        <v>891</v>
      </c>
      <c r="C11" s="10" t="s">
        <v>199</v>
      </c>
      <c r="D11" s="28">
        <f>Inputs!$D$24</f>
        <v>46</v>
      </c>
      <c r="E11" s="28">
        <f t="shared" ref="E11:M11" si="0">D10</f>
        <v>305.5</v>
      </c>
      <c r="F11" s="28">
        <f t="shared" si="0"/>
        <v>651.5</v>
      </c>
      <c r="G11" s="28">
        <f t="shared" si="0"/>
        <v>911</v>
      </c>
      <c r="H11" s="28">
        <f t="shared" si="0"/>
        <v>911</v>
      </c>
      <c r="I11" s="28">
        <f t="shared" si="0"/>
        <v>911</v>
      </c>
      <c r="J11" s="28">
        <f t="shared" si="0"/>
        <v>911</v>
      </c>
      <c r="K11" s="28">
        <f t="shared" si="0"/>
        <v>911</v>
      </c>
      <c r="L11" s="28">
        <f t="shared" si="0"/>
        <v>911</v>
      </c>
      <c r="M11" s="28">
        <f t="shared" si="0"/>
        <v>911</v>
      </c>
    </row>
    <row r="12" spans="1:13" ht="15" customHeight="1" x14ac:dyDescent="0.2">
      <c r="B12" s="10" t="s">
        <v>892</v>
      </c>
      <c r="C12" s="10" t="s">
        <v>199</v>
      </c>
      <c r="D12" s="28">
        <f>(D11+D10)*Inputs!$D$12</f>
        <v>175.75</v>
      </c>
      <c r="E12" s="28">
        <f>(E11+E10)*Inputs!$D$12</f>
        <v>478.5</v>
      </c>
      <c r="F12" s="28">
        <f>(F11+F10)*Inputs!$D$12</f>
        <v>781.25</v>
      </c>
      <c r="G12" s="28">
        <f>(G11+G10)*Inputs!$D$12</f>
        <v>911</v>
      </c>
      <c r="H12" s="28">
        <f>(H11+H10)*Inputs!$D$12</f>
        <v>911</v>
      </c>
      <c r="I12" s="28">
        <f>(I11+I10)*Inputs!$D$12</f>
        <v>911</v>
      </c>
      <c r="J12" s="28">
        <f>(J11+J10)*Inputs!$D$12</f>
        <v>911</v>
      </c>
      <c r="K12" s="28">
        <f>(K11+K10)*Inputs!$D$12</f>
        <v>911</v>
      </c>
      <c r="L12" s="28">
        <f>(L11+L10)*Inputs!$D$12</f>
        <v>911</v>
      </c>
      <c r="M12" s="28">
        <f>(M11+M10)*Inputs!$D$12</f>
        <v>911</v>
      </c>
    </row>
    <row r="13" spans="1:13" ht="15" customHeight="1" x14ac:dyDescent="0.2">
      <c r="B13" s="10" t="s">
        <v>893</v>
      </c>
      <c r="C13" s="10" t="s">
        <v>199</v>
      </c>
      <c r="D13" s="28">
        <f t="shared" ref="D13:M13" si="1">D10-D11</f>
        <v>259.5</v>
      </c>
      <c r="E13" s="28">
        <f t="shared" si="1"/>
        <v>346</v>
      </c>
      <c r="F13" s="28">
        <f t="shared" si="1"/>
        <v>259.5</v>
      </c>
      <c r="G13" s="28">
        <f t="shared" si="1"/>
        <v>0</v>
      </c>
      <c r="H13" s="28">
        <f t="shared" si="1"/>
        <v>0</v>
      </c>
      <c r="I13" s="28">
        <f t="shared" si="1"/>
        <v>0</v>
      </c>
      <c r="J13" s="28">
        <f t="shared" si="1"/>
        <v>0</v>
      </c>
      <c r="K13" s="28">
        <f t="shared" si="1"/>
        <v>0</v>
      </c>
      <c r="L13" s="28">
        <f t="shared" si="1"/>
        <v>0</v>
      </c>
      <c r="M13" s="28">
        <f t="shared" si="1"/>
        <v>0</v>
      </c>
    </row>
    <row r="14" spans="1:13" ht="15" customHeight="1" x14ac:dyDescent="0.2">
      <c r="B14" s="10" t="s">
        <v>894</v>
      </c>
      <c r="C14" s="10" t="s">
        <v>199</v>
      </c>
      <c r="D14" s="28">
        <f>IF(MOD(D6,Inputs!$D$21)=Inputs!$D$6,Inputs!$D$24,Inputs!$D$6)+SUMPRODUCT(--(D6&gt;$D$6:$M$6),--(MOD(D6-$D$6:$M$6,Inputs!$D$21)=Inputs!$D$6),$D$13:$M$13)</f>
        <v>0</v>
      </c>
      <c r="E14" s="28">
        <f>IF(MOD(E6,Inputs!$D$21)=Inputs!$D$6,Inputs!$D$24,Inputs!$D$6)+SUMPRODUCT(--(E6&gt;$D$6:$M$6),--(MOD(E6-$D$6:$M$6,Inputs!$D$21)=Inputs!$D$6),$D$13:$M$13)</f>
        <v>0</v>
      </c>
      <c r="F14" s="28">
        <f>IF(MOD(F6,Inputs!$D$21)=Inputs!$D$6,Inputs!$D$24,Inputs!$D$6)+SUMPRODUCT(--(F6&gt;$D$6:$M$6),--(MOD(F6-$D$6:$M$6,Inputs!$D$21)=Inputs!$D$6),$D$13:$M$13)</f>
        <v>0</v>
      </c>
      <c r="G14" s="28">
        <f>IF(MOD(G6,Inputs!$D$21)=Inputs!$D$6,Inputs!$D$24,Inputs!$D$6)+SUMPRODUCT(--(G6&gt;$D$6:$M$6),--(MOD(G6-$D$6:$M$6,Inputs!$D$21)=Inputs!$D$6),$D$13:$M$13)</f>
        <v>46</v>
      </c>
      <c r="H14" s="28">
        <f>IF(MOD(H6,Inputs!$D$21)=Inputs!$D$6,Inputs!$D$24,Inputs!$D$6)+SUMPRODUCT(--(H6&gt;$D$6:$M$6),--(MOD(H6-$D$6:$M$6,Inputs!$D$21)=Inputs!$D$6),$D$13:$M$13)</f>
        <v>259.5</v>
      </c>
      <c r="I14" s="28">
        <f>IF(MOD(I6,Inputs!$D$21)=Inputs!$D$6,Inputs!$D$24,Inputs!$D$6)+SUMPRODUCT(--(I6&gt;$D$6:$M$6),--(MOD(I6-$D$6:$M$6,Inputs!$D$21)=Inputs!$D$6),$D$13:$M$13)</f>
        <v>346</v>
      </c>
      <c r="J14" s="28">
        <f>IF(MOD(J6,Inputs!$D$21)=Inputs!$D$6,Inputs!$D$24,Inputs!$D$6)+SUMPRODUCT(--(J6&gt;$D$6:$M$6),--(MOD(J6-$D$6:$M$6,Inputs!$D$21)=Inputs!$D$6),$D$13:$M$13)</f>
        <v>259.5</v>
      </c>
      <c r="K14" s="28">
        <f>IF(MOD(K6,Inputs!$D$21)=Inputs!$D$6,Inputs!$D$24,Inputs!$D$6)+SUMPRODUCT(--(K6&gt;$D$6:$M$6),--(MOD(K6-$D$6:$M$6,Inputs!$D$21)=Inputs!$D$6),$D$13:$M$13)</f>
        <v>46</v>
      </c>
      <c r="L14" s="28">
        <f>IF(MOD(L6,Inputs!$D$21)=Inputs!$D$6,Inputs!$D$24,Inputs!$D$6)+SUMPRODUCT(--(L6&gt;$D$6:$M$6),--(MOD(L6-$D$6:$M$6,Inputs!$D$21)=Inputs!$D$6),$D$13:$M$13)</f>
        <v>259.5</v>
      </c>
      <c r="M14" s="28">
        <f>IF(MOD(M6,Inputs!$D$21)=Inputs!$D$6,Inputs!$D$24,Inputs!$D$6)+SUMPRODUCT(--(M6&gt;$D$6:$M$6),--(MOD(M6-$D$6:$M$6,Inputs!$D$21)=Inputs!$D$6),$D$13:$M$13)</f>
        <v>346</v>
      </c>
    </row>
    <row r="15" spans="1:13" ht="15" customHeight="1" x14ac:dyDescent="0.2">
      <c r="B15" s="10" t="s">
        <v>895</v>
      </c>
      <c r="C15" s="10" t="s">
        <v>896</v>
      </c>
      <c r="D15" s="28">
        <f t="shared" ref="D15:M15" si="2">D12*D9</f>
        <v>125.58726899383984</v>
      </c>
      <c r="E15" s="28">
        <f t="shared" si="2"/>
        <v>478.5</v>
      </c>
      <c r="F15" s="28">
        <f t="shared" si="2"/>
        <v>781.25</v>
      </c>
      <c r="G15" s="28">
        <f t="shared" si="2"/>
        <v>911</v>
      </c>
      <c r="H15" s="28">
        <f t="shared" si="2"/>
        <v>911</v>
      </c>
      <c r="I15" s="28">
        <f t="shared" si="2"/>
        <v>911</v>
      </c>
      <c r="J15" s="28">
        <f t="shared" si="2"/>
        <v>911</v>
      </c>
      <c r="K15" s="28">
        <f t="shared" si="2"/>
        <v>911</v>
      </c>
      <c r="L15" s="28">
        <f t="shared" si="2"/>
        <v>911</v>
      </c>
      <c r="M15" s="28">
        <f t="shared" si="2"/>
        <v>911</v>
      </c>
    </row>
    <row r="16" spans="1:13" ht="15" customHeight="1" x14ac:dyDescent="0.2">
      <c r="B16" s="10" t="s">
        <v>897</v>
      </c>
      <c r="C16" s="10" t="s">
        <v>110</v>
      </c>
      <c r="D16" s="16">
        <f>D15*($D$35/Inputs!$D$21+$D$36/Inputs!$D$22)</f>
        <v>1816.9772859324419</v>
      </c>
      <c r="E16" s="16">
        <f>E15*($D$35/Inputs!$D$21+$D$36/Inputs!$D$22)</f>
        <v>6922.8643817497086</v>
      </c>
      <c r="F16" s="16">
        <f>F15*($D$35/Inputs!$D$21+$D$36/Inputs!$D$22)</f>
        <v>11303.0048030135</v>
      </c>
      <c r="G16" s="16">
        <f>G15*($D$35/Inputs!$D$21+$D$36/Inputs!$D$22)</f>
        <v>13180.207840697982</v>
      </c>
      <c r="H16" s="16">
        <f>H15*($D$35/Inputs!$D$21+$D$36/Inputs!$D$22)</f>
        <v>13180.207840697982</v>
      </c>
      <c r="I16" s="16">
        <f>I15*($D$35/Inputs!$D$21+$D$36/Inputs!$D$22)</f>
        <v>13180.207840697982</v>
      </c>
      <c r="J16" s="16">
        <f>J15*($D$35/Inputs!$D$21+$D$36/Inputs!$D$22)</f>
        <v>13180.207840697982</v>
      </c>
      <c r="K16" s="16">
        <f>K15*($D$35/Inputs!$D$21+$D$36/Inputs!$D$22)</f>
        <v>13180.207840697982</v>
      </c>
      <c r="L16" s="16">
        <f>L15*($D$35/Inputs!$D$21+$D$36/Inputs!$D$22)</f>
        <v>13180.207840697982</v>
      </c>
      <c r="M16" s="16">
        <f>M15*($D$35/Inputs!$D$21+$D$36/Inputs!$D$22)</f>
        <v>13180.207840697982</v>
      </c>
    </row>
    <row r="17" spans="2:13" ht="15" customHeight="1" x14ac:dyDescent="0.2">
      <c r="B17" s="10" t="s">
        <v>898</v>
      </c>
      <c r="C17" s="10" t="s">
        <v>110</v>
      </c>
      <c r="D17" s="16">
        <f t="shared" ref="D17:M17" si="3">D13*($D$35+$D$36)</f>
        <v>15560.968620146154</v>
      </c>
      <c r="E17" s="16">
        <f t="shared" si="3"/>
        <v>20747.95816019487</v>
      </c>
      <c r="F17" s="16">
        <f t="shared" si="3"/>
        <v>15560.968620146154</v>
      </c>
      <c r="G17" s="16">
        <f t="shared" si="3"/>
        <v>0</v>
      </c>
      <c r="H17" s="16">
        <f t="shared" si="3"/>
        <v>0</v>
      </c>
      <c r="I17" s="16">
        <f t="shared" si="3"/>
        <v>0</v>
      </c>
      <c r="J17" s="16">
        <f t="shared" si="3"/>
        <v>0</v>
      </c>
      <c r="K17" s="16">
        <f t="shared" si="3"/>
        <v>0</v>
      </c>
      <c r="L17" s="16">
        <f t="shared" si="3"/>
        <v>0</v>
      </c>
      <c r="M17" s="16">
        <f t="shared" si="3"/>
        <v>0</v>
      </c>
    </row>
    <row r="18" spans="2:13" ht="15" customHeight="1" x14ac:dyDescent="0.2">
      <c r="B18" s="10" t="s">
        <v>899</v>
      </c>
      <c r="C18" s="10" t="s">
        <v>110</v>
      </c>
      <c r="D18" s="16">
        <f t="shared" ref="D18:M18" si="4">D14*$D$35</f>
        <v>0</v>
      </c>
      <c r="E18" s="16">
        <f t="shared" si="4"/>
        <v>0</v>
      </c>
      <c r="F18" s="16">
        <f t="shared" si="4"/>
        <v>0</v>
      </c>
      <c r="G18" s="16">
        <f t="shared" si="4"/>
        <v>2638.0048485671714</v>
      </c>
      <c r="H18" s="16">
        <f t="shared" si="4"/>
        <v>14881.788221808281</v>
      </c>
      <c r="I18" s="16">
        <f t="shared" si="4"/>
        <v>19842.384295744378</v>
      </c>
      <c r="J18" s="16">
        <f t="shared" si="4"/>
        <v>14881.788221808281</v>
      </c>
      <c r="K18" s="16">
        <f t="shared" si="4"/>
        <v>2638.0048485671714</v>
      </c>
      <c r="L18" s="16">
        <f t="shared" si="4"/>
        <v>14881.788221808281</v>
      </c>
      <c r="M18" s="16">
        <f t="shared" si="4"/>
        <v>19842.384295744378</v>
      </c>
    </row>
    <row r="19" spans="2:13" ht="15" customHeight="1" x14ac:dyDescent="0.2">
      <c r="B19" s="10" t="s">
        <v>900</v>
      </c>
      <c r="C19" s="10" t="s">
        <v>199</v>
      </c>
      <c r="D19" s="28">
        <f>D13*Inputs!$D$23</f>
        <v>6.4875000000000007</v>
      </c>
      <c r="E19" s="28">
        <f>E13*Inputs!$D$23</f>
        <v>8.65</v>
      </c>
      <c r="F19" s="28">
        <f>F13*Inputs!$D$23</f>
        <v>6.4875000000000007</v>
      </c>
      <c r="G19" s="28">
        <f>G13*Inputs!$D$23</f>
        <v>0</v>
      </c>
      <c r="H19" s="28">
        <f>H13*Inputs!$D$23</f>
        <v>0</v>
      </c>
      <c r="I19" s="28">
        <f>I13*Inputs!$D$23</f>
        <v>0</v>
      </c>
      <c r="J19" s="28">
        <f>J13*Inputs!$D$23</f>
        <v>0</v>
      </c>
      <c r="K19" s="28">
        <f>K13*Inputs!$D$23</f>
        <v>0</v>
      </c>
      <c r="L19" s="28">
        <f>L13*Inputs!$D$23</f>
        <v>0</v>
      </c>
      <c r="M19" s="28">
        <f>M13*Inputs!$D$23</f>
        <v>0</v>
      </c>
    </row>
    <row r="20" spans="2:13" ht="15" customHeight="1" x14ac:dyDescent="0.2">
      <c r="B20" s="3" t="s">
        <v>901</v>
      </c>
      <c r="C20" s="10" t="s">
        <v>896</v>
      </c>
      <c r="D20" s="28">
        <f>(D15*$D$33*(Inputs!$D$7-Inputs!$D$19)-D19)/(Inputs!$D$7+$D$34)^D8</f>
        <v>35.463133557820996</v>
      </c>
      <c r="E20" s="28">
        <f>(E15*$D$33*(Inputs!$D$7-Inputs!$D$19)-E19)/(Inputs!$D$7+$D$34)^E8</f>
        <v>139.16901741018501</v>
      </c>
      <c r="F20" s="28">
        <f>(F15*$D$33*(Inputs!$D$7-Inputs!$D$19)-F19)/(Inputs!$D$7+$D$34)^F8</f>
        <v>216.59715305054928</v>
      </c>
      <c r="G20" s="28">
        <f>(G15*$D$33*(Inputs!$D$7-Inputs!$D$19)-G19)/(Inputs!$D$7+$D$34)^G8</f>
        <v>239.55672210234928</v>
      </c>
      <c r="H20" s="28">
        <f>(H15*$D$33*(Inputs!$D$7-Inputs!$D$19)-H19)/(Inputs!$D$7+$D$34)^H8</f>
        <v>221.82346440279065</v>
      </c>
      <c r="I20" s="28">
        <f>(I15*$D$33*(Inputs!$D$7-Inputs!$D$19)-I19)/(Inputs!$D$7+$D$34)^I8</f>
        <v>205.35964093895382</v>
      </c>
      <c r="J20" s="28">
        <f>(J15*$D$33*(Inputs!$D$7-Inputs!$D$19)-J19)/(Inputs!$D$7+$D$34)^J8</f>
        <v>190.15783235725434</v>
      </c>
      <c r="K20" s="28">
        <f>(K15*$D$33*(Inputs!$D$7-Inputs!$D$19)-K19)/(Inputs!$D$7+$D$34)^K8</f>
        <v>176.08134218329064</v>
      </c>
      <c r="L20" s="28">
        <f>(L15*$D$33*(Inputs!$D$7-Inputs!$D$19)-L19)/(Inputs!$D$7+$D$34)^L8</f>
        <v>163.04686838678248</v>
      </c>
      <c r="M20" s="28">
        <f>(M15*$D$33*(Inputs!$D$7-Inputs!$D$19)-M19)/(Inputs!$D$7+$D$34)^M8</f>
        <v>150.94546664969172</v>
      </c>
    </row>
    <row r="21" spans="2:13" ht="15" customHeight="1" x14ac:dyDescent="0.2">
      <c r="B21" s="10" t="s">
        <v>902</v>
      </c>
      <c r="C21" s="10" t="s">
        <v>110</v>
      </c>
      <c r="D21" s="16">
        <f>(D16*Inputs!$D$19-D17-D18)/(Inputs!$D$7+$D$34)^D8</f>
        <v>-14212.377724210151</v>
      </c>
      <c r="E21" s="16">
        <f>(E16*Inputs!$D$19-E17-E18)/(Inputs!$D$7+$D$34)^E8</f>
        <v>-16360.387094728963</v>
      </c>
      <c r="F21" s="16">
        <f>(F16*Inputs!$D$19-F17-F18)/(Inputs!$D$7+$D$34)^F8</f>
        <v>-9874.5154652847668</v>
      </c>
      <c r="G21" s="16">
        <f>(G16*Inputs!$D$19-G17-G18)/(Inputs!$D$7+$D$34)^G8</f>
        <v>988.77347238742834</v>
      </c>
      <c r="H21" s="16">
        <f>(H16*Inputs!$D$19-H17-H18)/(Inputs!$D$7+$D$34)^H8</f>
        <v>-7602.4024163036647</v>
      </c>
      <c r="I21" s="16">
        <f>(I16*Inputs!$D$19-I17-I18)/(Inputs!$D$7+$D$34)^I8</f>
        <v>-10233.087939303265</v>
      </c>
      <c r="J21" s="16">
        <f>(J16*Inputs!$D$19-J17-J18)/(Inputs!$D$7+$D$34)^J8</f>
        <v>-6517.1480757635773</v>
      </c>
      <c r="K21" s="16">
        <f>(K16*Inputs!$D$19-K17-K18)/(Inputs!$D$7+$D$34)^K8</f>
        <v>726.77801985796941</v>
      </c>
      <c r="L21" s="16">
        <f>(L16*Inputs!$D$19-L17-L18)/(Inputs!$D$7+$D$34)^L8</f>
        <v>-5587.9927289550824</v>
      </c>
      <c r="M21" s="16">
        <f>(M16*Inputs!$D$19-M17-M18)/(Inputs!$D$7+$D$34)^M8</f>
        <v>-7521.6251216792398</v>
      </c>
    </row>
    <row r="22" spans="2:13" ht="15" customHeight="1" x14ac:dyDescent="0.2">
      <c r="B22" s="10" t="s">
        <v>903</v>
      </c>
      <c r="C22" s="10" t="s">
        <v>110</v>
      </c>
      <c r="D22" s="16">
        <f t="shared" ref="D22:M22" si="5">D15*$D$32</f>
        <v>5885.1382846412307</v>
      </c>
      <c r="E22" s="16">
        <f t="shared" si="5"/>
        <v>22422.962866872738</v>
      </c>
      <c r="F22" s="16">
        <f t="shared" si="5"/>
        <v>36610.114398629732</v>
      </c>
      <c r="G22" s="16">
        <f t="shared" si="5"/>
        <v>42690.322197954163</v>
      </c>
      <c r="H22" s="16">
        <f t="shared" si="5"/>
        <v>42690.322197954163</v>
      </c>
      <c r="I22" s="16">
        <f t="shared" si="5"/>
        <v>42690.322197954163</v>
      </c>
      <c r="J22" s="16">
        <f t="shared" si="5"/>
        <v>42690.322197954163</v>
      </c>
      <c r="K22" s="16">
        <f t="shared" si="5"/>
        <v>42690.322197954163</v>
      </c>
      <c r="L22" s="16">
        <f t="shared" si="5"/>
        <v>42690.322197954163</v>
      </c>
      <c r="M22" s="16">
        <f t="shared" si="5"/>
        <v>42690.322197954163</v>
      </c>
    </row>
    <row r="23" spans="2:13" ht="15" customHeight="1" x14ac:dyDescent="0.2">
      <c r="B23" s="10" t="s">
        <v>904</v>
      </c>
      <c r="C23" s="10" t="s">
        <v>110</v>
      </c>
      <c r="D23" s="16">
        <f t="shared" ref="D23:M23" si="6">D22*$D$33</f>
        <v>2942.5691423206154</v>
      </c>
      <c r="E23" s="16">
        <f t="shared" si="6"/>
        <v>11211.481433436369</v>
      </c>
      <c r="F23" s="16">
        <f t="shared" si="6"/>
        <v>18305.057199314866</v>
      </c>
      <c r="G23" s="16">
        <f t="shared" si="6"/>
        <v>21345.161098977082</v>
      </c>
      <c r="H23" s="16">
        <f t="shared" si="6"/>
        <v>21345.161098977082</v>
      </c>
      <c r="I23" s="16">
        <f t="shared" si="6"/>
        <v>21345.161098977082</v>
      </c>
      <c r="J23" s="16">
        <f t="shared" si="6"/>
        <v>21345.161098977082</v>
      </c>
      <c r="K23" s="16">
        <f t="shared" si="6"/>
        <v>21345.161098977082</v>
      </c>
      <c r="L23" s="16">
        <f t="shared" si="6"/>
        <v>21345.161098977082</v>
      </c>
      <c r="M23" s="16">
        <f t="shared" si="6"/>
        <v>21345.161098977082</v>
      </c>
    </row>
    <row r="24" spans="2:13" ht="15" customHeight="1" x14ac:dyDescent="0.2">
      <c r="B24" s="10" t="s">
        <v>905</v>
      </c>
      <c r="C24" s="10" t="s">
        <v>110</v>
      </c>
      <c r="D24" s="16">
        <f t="shared" ref="D24:M24" si="7">D23-D16</f>
        <v>1125.5918563881735</v>
      </c>
      <c r="E24" s="16">
        <f t="shared" si="7"/>
        <v>4288.6170516866605</v>
      </c>
      <c r="F24" s="16">
        <f t="shared" si="7"/>
        <v>7002.0523963013657</v>
      </c>
      <c r="G24" s="16">
        <f t="shared" si="7"/>
        <v>8164.9532582790998</v>
      </c>
      <c r="H24" s="16">
        <f t="shared" si="7"/>
        <v>8164.9532582790998</v>
      </c>
      <c r="I24" s="16">
        <f t="shared" si="7"/>
        <v>8164.9532582790998</v>
      </c>
      <c r="J24" s="16">
        <f t="shared" si="7"/>
        <v>8164.9532582790998</v>
      </c>
      <c r="K24" s="16">
        <f t="shared" si="7"/>
        <v>8164.9532582790998</v>
      </c>
      <c r="L24" s="16">
        <f t="shared" si="7"/>
        <v>8164.9532582790998</v>
      </c>
      <c r="M24" s="16">
        <f t="shared" si="7"/>
        <v>8164.9532582790998</v>
      </c>
    </row>
    <row r="25" spans="2:13" ht="15" customHeight="1" x14ac:dyDescent="0.2">
      <c r="B25" s="10" t="s">
        <v>906</v>
      </c>
      <c r="C25" s="10" t="s">
        <v>110</v>
      </c>
      <c r="D25" s="16">
        <f>MAX(D24,Inputs!$D$6)*Inputs!$D$19</f>
        <v>337.67755691645203</v>
      </c>
      <c r="E25" s="16">
        <f>MAX(E24,Inputs!$D$6)*Inputs!$D$19</f>
        <v>1286.5851155059981</v>
      </c>
      <c r="F25" s="16">
        <f>MAX(F24,Inputs!$D$6)*Inputs!$D$19</f>
        <v>2100.6157188904094</v>
      </c>
      <c r="G25" s="16">
        <f>MAX(G24,Inputs!$D$6)*Inputs!$D$19</f>
        <v>2449.48597748373</v>
      </c>
      <c r="H25" s="16">
        <f>MAX(H24,Inputs!$D$6)*Inputs!$D$19</f>
        <v>2449.48597748373</v>
      </c>
      <c r="I25" s="16">
        <f>MAX(I24,Inputs!$D$6)*Inputs!$D$19</f>
        <v>2449.48597748373</v>
      </c>
      <c r="J25" s="16">
        <f>MAX(J24,Inputs!$D$6)*Inputs!$D$19</f>
        <v>2449.48597748373</v>
      </c>
      <c r="K25" s="16">
        <f>MAX(K24,Inputs!$D$6)*Inputs!$D$19</f>
        <v>2449.48597748373</v>
      </c>
      <c r="L25" s="16">
        <f>MAX(L24,Inputs!$D$6)*Inputs!$D$19</f>
        <v>2449.48597748373</v>
      </c>
      <c r="M25" s="16">
        <f>MAX(M24,Inputs!$D$6)*Inputs!$D$19</f>
        <v>2449.48597748373</v>
      </c>
    </row>
    <row r="26" spans="2:13" ht="15" customHeight="1" x14ac:dyDescent="0.2">
      <c r="B26" s="10" t="s">
        <v>907</v>
      </c>
      <c r="C26" s="10" t="s">
        <v>110</v>
      </c>
      <c r="D26" s="16">
        <f t="shared" ref="D26:M26" si="8">D19*$D$32</f>
        <v>304.01038996622134</v>
      </c>
      <c r="E26" s="16">
        <f t="shared" si="8"/>
        <v>405.34718662162845</v>
      </c>
      <c r="F26" s="16">
        <f t="shared" si="8"/>
        <v>304.01038996622134</v>
      </c>
      <c r="G26" s="16">
        <f t="shared" si="8"/>
        <v>0</v>
      </c>
      <c r="H26" s="16">
        <f t="shared" si="8"/>
        <v>0</v>
      </c>
      <c r="I26" s="16">
        <f t="shared" si="8"/>
        <v>0</v>
      </c>
      <c r="J26" s="16">
        <f t="shared" si="8"/>
        <v>0</v>
      </c>
      <c r="K26" s="16">
        <f t="shared" si="8"/>
        <v>0</v>
      </c>
      <c r="L26" s="16">
        <f t="shared" si="8"/>
        <v>0</v>
      </c>
      <c r="M26" s="16">
        <f t="shared" si="8"/>
        <v>0</v>
      </c>
    </row>
    <row r="27" spans="2:13" ht="15" customHeight="1" x14ac:dyDescent="0.2">
      <c r="B27" s="10" t="s">
        <v>908</v>
      </c>
      <c r="C27" s="10" t="s">
        <v>110</v>
      </c>
      <c r="D27" s="16">
        <f t="shared" ref="D27:M27" si="9">D23-D25-D17-D18-D26</f>
        <v>-13260.08742470821</v>
      </c>
      <c r="E27" s="16">
        <f t="shared" si="9"/>
        <v>-11228.409028886126</v>
      </c>
      <c r="F27" s="16">
        <f t="shared" si="9"/>
        <v>339.46247031208208</v>
      </c>
      <c r="G27" s="16">
        <f t="shared" si="9"/>
        <v>16257.670272926178</v>
      </c>
      <c r="H27" s="16">
        <f t="shared" si="9"/>
        <v>4013.8868996850688</v>
      </c>
      <c r="I27" s="16">
        <f t="shared" si="9"/>
        <v>-946.70917425102743</v>
      </c>
      <c r="J27" s="16">
        <f t="shared" si="9"/>
        <v>4013.8868996850688</v>
      </c>
      <c r="K27" s="16">
        <f t="shared" si="9"/>
        <v>16257.670272926178</v>
      </c>
      <c r="L27" s="16">
        <f t="shared" si="9"/>
        <v>4013.8868996850688</v>
      </c>
      <c r="M27" s="16">
        <f t="shared" si="9"/>
        <v>-946.70917425102743</v>
      </c>
    </row>
    <row r="28" spans="2:13" ht="15" customHeight="1" x14ac:dyDescent="0.2">
      <c r="B28" s="10" t="s">
        <v>909</v>
      </c>
      <c r="C28" s="10" t="s">
        <v>110</v>
      </c>
      <c r="D28" s="16">
        <f>D27/(Inputs!$D$7+$D$34)^D8</f>
        <v>-12550.541722308439</v>
      </c>
      <c r="E28" s="16">
        <f>E27/(Inputs!$D$7+$D$34)^E8</f>
        <v>-9838.7952251203023</v>
      </c>
      <c r="F28" s="16">
        <f>F27/(Inputs!$D$7+$D$34)^F8</f>
        <v>275.43212076083006</v>
      </c>
      <c r="G28" s="16">
        <f>G27/(Inputs!$D$7+$D$34)^G8</f>
        <v>12214.62819383096</v>
      </c>
      <c r="H28" s="16">
        <f>H27/(Inputs!$D$7+$D$34)^H8</f>
        <v>2792.4550660471027</v>
      </c>
      <c r="I28" s="16">
        <f>I27/(Inputs!$D$7+$D$34)^I8</f>
        <v>-609.74080632838161</v>
      </c>
      <c r="J28" s="16">
        <f>J27/(Inputs!$D$7+$D$34)^J8</f>
        <v>2393.8279196214294</v>
      </c>
      <c r="K28" s="16">
        <f>K27/(Inputs!$D$7+$D$34)^K8</f>
        <v>8978.1163632749776</v>
      </c>
      <c r="L28" s="16">
        <f>L27/(Inputs!$D$7+$D$34)^L8</f>
        <v>2052.5378361373118</v>
      </c>
      <c r="M28" s="16">
        <f>M27/(Inputs!$D$7+$D$34)^M8</f>
        <v>-448.17769511954106</v>
      </c>
    </row>
    <row r="29" spans="2:13" ht="15" customHeight="1" x14ac:dyDescent="0.2">
      <c r="B29" s="3" t="s">
        <v>910</v>
      </c>
      <c r="C29" s="10" t="s">
        <v>896</v>
      </c>
      <c r="D29" s="28">
        <f>(D15*$D$33-D19)/(Inputs!$D$7+$D$34)^D8</f>
        <v>53.293199930848452</v>
      </c>
      <c r="E29" s="28">
        <f>(E15*$D$33-E19)/(Inputs!$D$7+$D$34)^E8</f>
        <v>202.06123352613673</v>
      </c>
      <c r="F29" s="28">
        <f>(F15*$D$33-F19)/(Inputs!$D$7+$D$34)^F8</f>
        <v>311.68042285055395</v>
      </c>
      <c r="G29" s="28">
        <f>(G15*$D$33-G19)/(Inputs!$D$7+$D$34)^G8</f>
        <v>342.22388871764184</v>
      </c>
      <c r="H29" s="28">
        <f>(H15*$D$33-H19)/(Inputs!$D$7+$D$34)^H8</f>
        <v>316.89066343255809</v>
      </c>
      <c r="I29" s="28">
        <f>(I15*$D$33-I19)/(Inputs!$D$7+$D$34)^I8</f>
        <v>293.37091562707695</v>
      </c>
      <c r="J29" s="28">
        <f>(J15*$D$33-J19)/(Inputs!$D$7+$D$34)^J8</f>
        <v>271.65404622464905</v>
      </c>
      <c r="K29" s="28">
        <f>(K15*$D$33-K19)/(Inputs!$D$7+$D$34)^K8</f>
        <v>251.54477454755809</v>
      </c>
      <c r="L29" s="28">
        <f>(L15*$D$33-L19)/(Inputs!$D$7+$D$34)^L8</f>
        <v>232.92409769540356</v>
      </c>
      <c r="M29" s="28">
        <f>(M15*$D$33-M19)/(Inputs!$D$7+$D$34)^M8</f>
        <v>215.63638092813108</v>
      </c>
    </row>
    <row r="30" spans="2:13" ht="15" customHeight="1" x14ac:dyDescent="0.2">
      <c r="B30" s="10" t="s">
        <v>911</v>
      </c>
      <c r="C30" s="10" t="s">
        <v>110</v>
      </c>
      <c r="D30" s="16">
        <f>(-D17-D18)/(Inputs!$D$7+$D$34)^D8</f>
        <v>-14728.303038392241</v>
      </c>
      <c r="E30" s="16">
        <f>(-E17-E18)/(Inputs!$D$7+$D$34)^E8</f>
        <v>-18180.216908055725</v>
      </c>
      <c r="F30" s="16">
        <f>(-F17-F18)/(Inputs!$D$7+$D$34)^F8</f>
        <v>-12625.815702688111</v>
      </c>
      <c r="G30" s="16">
        <f>(-G17-G18)/(Inputs!$D$7+$D$34)^G8</f>
        <v>-1981.9720696655354</v>
      </c>
      <c r="H30" s="16">
        <f>(-H17-H18)/(Inputs!$D$7+$D$34)^H8</f>
        <v>-10353.237634844469</v>
      </c>
      <c r="I30" s="16">
        <f>(-I17-I18)/(Inputs!$D$7+$D$34)^I8</f>
        <v>-12779.755102232404</v>
      </c>
      <c r="J30" s="16">
        <f>(-J17-J18)/(Inputs!$D$7+$D$34)^J8</f>
        <v>-8875.2974434962562</v>
      </c>
      <c r="K30" s="16">
        <f>(-K17-K18)/(Inputs!$D$7+$D$34)^K8</f>
        <v>-1456.8086386129401</v>
      </c>
      <c r="L30" s="16">
        <f>(-L17-L18)/(Inputs!$D$7+$D$34)^L8</f>
        <v>-7609.9387347064285</v>
      </c>
      <c r="M30" s="16">
        <f>(-M17-M18)/(Inputs!$D$7+$D$34)^M8</f>
        <v>-9393.5015115686074</v>
      </c>
    </row>
    <row r="31" spans="2:13" ht="15" customHeight="1" x14ac:dyDescent="0.2">
      <c r="B31" s="10" t="s">
        <v>912</v>
      </c>
      <c r="C31" s="10" t="s">
        <v>110</v>
      </c>
      <c r="D31" s="16">
        <f>Prices!I6</f>
        <v>43700</v>
      </c>
    </row>
    <row r="32" spans="2:13" ht="15" customHeight="1" x14ac:dyDescent="0.2">
      <c r="B32" s="3" t="s">
        <v>913</v>
      </c>
      <c r="C32" s="10" t="s">
        <v>914</v>
      </c>
      <c r="D32" s="28">
        <f>IF(J39&gt;=J35,J39,(D31-J38)/J37)</f>
        <v>46.860946430246059</v>
      </c>
      <c r="G32" s="99" t="s">
        <v>915</v>
      </c>
      <c r="H32" s="91"/>
      <c r="I32" s="91"/>
      <c r="J32" s="28">
        <f>D32*Inputs!$D$15</f>
        <v>32.704254513668722</v>
      </c>
      <c r="K32" s="99" t="s">
        <v>916</v>
      </c>
      <c r="L32" s="91"/>
      <c r="M32" s="91"/>
    </row>
    <row r="33" spans="2:13" ht="15" customHeight="1" x14ac:dyDescent="0.2">
      <c r="B33" s="10" t="s">
        <v>917</v>
      </c>
      <c r="C33" s="10" t="s">
        <v>104</v>
      </c>
      <c r="D33" s="30">
        <f>Inputs!$D$140</f>
        <v>0.5</v>
      </c>
      <c r="G33" s="99" t="s">
        <v>918</v>
      </c>
      <c r="H33" s="91"/>
      <c r="I33" s="91"/>
      <c r="J33" s="28">
        <f>IF(-D44/D43&gt;=J35,-D44/D43,-J38/J37)</f>
        <v>37.248891644724878</v>
      </c>
      <c r="K33" s="99" t="s">
        <v>919</v>
      </c>
      <c r="L33" s="91"/>
      <c r="M33" s="91"/>
    </row>
    <row r="34" spans="2:13" ht="15" customHeight="1" x14ac:dyDescent="0.2">
      <c r="B34" s="10" t="s">
        <v>920</v>
      </c>
      <c r="C34" s="10" t="s">
        <v>104</v>
      </c>
      <c r="D34" s="30">
        <f>Inputs!$D$146</f>
        <v>0.08</v>
      </c>
      <c r="G34" s="99" t="s">
        <v>918</v>
      </c>
      <c r="H34" s="91"/>
      <c r="I34" s="91"/>
      <c r="J34" s="28">
        <f>J33*Inputs!$D$15</f>
        <v>25.99600147885349</v>
      </c>
      <c r="K34" s="99" t="s">
        <v>916</v>
      </c>
      <c r="L34" s="91"/>
      <c r="M34" s="91"/>
    </row>
    <row r="35" spans="2:13" ht="15" customHeight="1" x14ac:dyDescent="0.2">
      <c r="B35" s="3" t="s">
        <v>921</v>
      </c>
      <c r="C35" s="10" t="s">
        <v>848</v>
      </c>
      <c r="D35" s="28">
        <f>Capital!$D$13</f>
        <v>57.347931490590682</v>
      </c>
      <c r="G35" s="99" t="s">
        <v>922</v>
      </c>
      <c r="H35" s="91"/>
      <c r="I35" s="91"/>
      <c r="J35" s="28">
        <f>($D$35/Inputs!$D$21+$D$36/Inputs!$D$22)/$D$33</f>
        <v>28.93569229571456</v>
      </c>
      <c r="K35" s="99" t="s">
        <v>919</v>
      </c>
      <c r="L35" s="91"/>
      <c r="M35" s="91"/>
    </row>
    <row r="36" spans="2:13" ht="15" customHeight="1" x14ac:dyDescent="0.2">
      <c r="B36" s="3" t="s">
        <v>923</v>
      </c>
      <c r="C36" s="10" t="s">
        <v>848</v>
      </c>
      <c r="D36" s="28">
        <f>Capital!$D$14</f>
        <v>2.6172655041921802</v>
      </c>
    </row>
    <row r="37" spans="2:13" ht="15" customHeight="1" x14ac:dyDescent="0.2">
      <c r="B37" s="10" t="s">
        <v>924</v>
      </c>
      <c r="C37" s="10" t="s">
        <v>896</v>
      </c>
      <c r="D37" s="28">
        <f>(M10*(Inputs!$D$7+Inputs!$D$20)*$D$33*(Inputs!$D$7-Inputs!$D$19)-M10*Inputs!$D$20*Inputs!$D$23)/($D$34-Inputs!$D$20)/(Inputs!$D$7+$D$34)^M8</f>
        <v>2808.1737789049789</v>
      </c>
      <c r="G37" s="92" t="s">
        <v>910</v>
      </c>
      <c r="H37" s="91"/>
      <c r="I37" s="91"/>
      <c r="J37" s="28">
        <f>SUM(D29:M29)+(M10*(Inputs!$D$7+Inputs!$D$20)*$D$33-M10*Inputs!$D$20*Inputs!$D$23)/($D$34-Inputs!$D$20)/(Inputs!$D$7+$D$34)^M8</f>
        <v>6505.0568048473606</v>
      </c>
      <c r="K37" s="99" t="s">
        <v>896</v>
      </c>
      <c r="L37" s="91"/>
      <c r="M37" s="91"/>
    </row>
    <row r="38" spans="2:13" ht="15" customHeight="1" x14ac:dyDescent="0.2">
      <c r="B38" s="10" t="s">
        <v>925</v>
      </c>
      <c r="C38" s="10" t="s">
        <v>110</v>
      </c>
      <c r="D38" s="16">
        <f>(D41*Inputs!$D$19-D41-D42)/($D$34-Inputs!$D$20)/(Inputs!$D$7+$D$34)^M8</f>
        <v>-93153.423070883771</v>
      </c>
      <c r="G38" s="92" t="s">
        <v>926</v>
      </c>
      <c r="H38" s="91"/>
      <c r="I38" s="91"/>
      <c r="J38" s="16">
        <f>SUM(D30:M30)-(D41+D42)/($D$34-Inputs!$D$20)/(Inputs!$D$7+$D$34)^M8</f>
        <v>-226023.23893944838</v>
      </c>
      <c r="K38" s="99" t="s">
        <v>110</v>
      </c>
      <c r="L38" s="91"/>
      <c r="M38" s="91"/>
    </row>
    <row r="39" spans="2:13" ht="15" customHeight="1" x14ac:dyDescent="0.2">
      <c r="B39" s="10" t="s">
        <v>927</v>
      </c>
      <c r="C39" s="10" t="s">
        <v>928</v>
      </c>
      <c r="D39" s="16">
        <f>(M10*(Inputs!$D$7+Inputs!$D$20)*$D$32*$D$33-D41)-MAX((M10*(Inputs!$D$7+Inputs!$D$20)*$D$32*$D$33-D41),Inputs!$D$6)*Inputs!$D$19-D42-M10*Inputs!$D$20*$D$32*Inputs!$D$23</f>
        <v>4465.9651498853482</v>
      </c>
      <c r="G39" s="99" t="s">
        <v>929</v>
      </c>
      <c r="H39" s="91"/>
      <c r="I39" s="91"/>
      <c r="J39" s="28">
        <f>(D31-D44)/D43</f>
        <v>46.860946430246059</v>
      </c>
      <c r="K39" s="99" t="s">
        <v>919</v>
      </c>
      <c r="L39" s="91"/>
      <c r="M39" s="91"/>
    </row>
    <row r="40" spans="2:13" ht="15" customHeight="1" x14ac:dyDescent="0.2">
      <c r="B40" s="10" t="s">
        <v>930</v>
      </c>
      <c r="C40" s="10" t="s">
        <v>110</v>
      </c>
      <c r="D40" s="16">
        <f>D39/($D$34-Inputs!$D$20)</f>
        <v>81199.366361551787</v>
      </c>
      <c r="G40" s="99" t="s">
        <v>931</v>
      </c>
      <c r="H40" s="91"/>
      <c r="I40" s="91"/>
      <c r="J40" s="16">
        <f>MIN(D24:M24,(M10*(Inputs!$D$7+Inputs!$D$20)*$D$32*$D$33-D41))</f>
        <v>1125.5918563881735</v>
      </c>
      <c r="K40" s="99" t="s">
        <v>110</v>
      </c>
      <c r="L40" s="91"/>
      <c r="M40" s="91"/>
    </row>
    <row r="41" spans="2:13" ht="15" customHeight="1" x14ac:dyDescent="0.2">
      <c r="B41" s="10" t="s">
        <v>932</v>
      </c>
      <c r="C41" s="10" t="s">
        <v>928</v>
      </c>
      <c r="D41" s="16">
        <f>M10*(Inputs!$D$7+Inputs!$D$20)*($D$35/Inputs!$D$21+$D$36/Inputs!$D$22)</f>
        <v>13509.71303671543</v>
      </c>
      <c r="G41" s="99" t="s">
        <v>933</v>
      </c>
      <c r="H41" s="91"/>
      <c r="I41" s="91"/>
      <c r="J41" s="31" t="str">
        <f>IF(J40&lt;Inputs!$D$6,"breached","satisfied")</f>
        <v>satisfied</v>
      </c>
      <c r="K41" s="99" t="s">
        <v>934</v>
      </c>
      <c r="L41" s="91"/>
      <c r="M41" s="91"/>
    </row>
    <row r="42" spans="2:13" ht="15" customHeight="1" x14ac:dyDescent="0.2">
      <c r="B42" s="10" t="s">
        <v>935</v>
      </c>
      <c r="C42" s="10" t="s">
        <v>928</v>
      </c>
      <c r="D42" s="16">
        <f>M10*Inputs!$D$20*($D$35+$D$36)</f>
        <v>1365.7073615561799</v>
      </c>
    </row>
    <row r="43" spans="2:13" ht="15" customHeight="1" x14ac:dyDescent="0.2">
      <c r="B43" s="10" t="s">
        <v>936</v>
      </c>
      <c r="C43" s="10" t="s">
        <v>896</v>
      </c>
      <c r="D43" s="28">
        <f>SUM(D20:M20)+D37</f>
        <v>4546.3744199446473</v>
      </c>
      <c r="G43" s="99" t="s">
        <v>937</v>
      </c>
      <c r="H43" s="91"/>
      <c r="I43" s="91"/>
      <c r="J43" s="16">
        <f>D45-D31</f>
        <v>0</v>
      </c>
      <c r="K43" s="99" t="s">
        <v>110</v>
      </c>
      <c r="L43" s="91"/>
      <c r="M43" s="91"/>
    </row>
    <row r="44" spans="2:13" ht="15" customHeight="1" x14ac:dyDescent="0.2">
      <c r="B44" s="10" t="s">
        <v>938</v>
      </c>
      <c r="C44" s="10" t="s">
        <v>110</v>
      </c>
      <c r="D44" s="16">
        <f>SUM(D21:M21)+D38</f>
        <v>-169347.40814486711</v>
      </c>
    </row>
    <row r="45" spans="2:13" ht="15" customHeight="1" x14ac:dyDescent="0.2">
      <c r="B45" s="10" t="s">
        <v>939</v>
      </c>
      <c r="C45" s="10" t="s">
        <v>110</v>
      </c>
      <c r="D45" s="16">
        <f>SUM(D28:M28)+D40/(Inputs!$D$7+$D$34)^M8</f>
        <v>43700.000000000015</v>
      </c>
    </row>
    <row r="46" spans="2:13" ht="15" customHeight="1" x14ac:dyDescent="0.2">
      <c r="B46" s="10" t="s">
        <v>940</v>
      </c>
      <c r="C46" s="10" t="s">
        <v>104</v>
      </c>
      <c r="D46" s="30">
        <f>IF(ABS(D31)&gt;Inputs!$D$6,D45/D31-Inputs!$D$7,Inputs!$D$6)</f>
        <v>2.2204460492503131E-16</v>
      </c>
    </row>
    <row r="47" spans="2:13" ht="15" customHeight="1" x14ac:dyDescent="0.2">
      <c r="B47" s="10" t="s">
        <v>941</v>
      </c>
      <c r="C47" s="10" t="s">
        <v>104</v>
      </c>
      <c r="D47" s="30">
        <f>IF(ABS(D45)&gt;Inputs!$D$119,D40/(Inputs!$D$7+$D$34)^M8/D45,Inputs!$D$6)</f>
        <v>0.87963977000466942</v>
      </c>
    </row>
    <row r="48" spans="2:13" ht="15" customHeight="1" x14ac:dyDescent="0.2">
      <c r="B48" s="10" t="s">
        <v>942</v>
      </c>
      <c r="C48" s="10" t="s">
        <v>943</v>
      </c>
      <c r="D48" s="26">
        <f>$D$32*Inputs!$D$8/Prices!$P$6/(Inputs!$D$26/Inputs!$D$25)/Inputs!$D$11/Inputs!$D$56</f>
        <v>8.5218054495116551</v>
      </c>
    </row>
    <row r="52" spans="1:13" ht="15" customHeight="1" x14ac:dyDescent="0.2">
      <c r="A52" s="104" t="s">
        <v>2166</v>
      </c>
      <c r="B52" s="10" t="s">
        <v>886</v>
      </c>
      <c r="C52" s="10" t="s">
        <v>107</v>
      </c>
      <c r="D52" s="28">
        <f>Inputs!$D$60</f>
        <v>1</v>
      </c>
      <c r="E52" s="28">
        <f>Inputs!$D$62</f>
        <v>2</v>
      </c>
      <c r="F52" s="28">
        <f>Inputs!$D$64</f>
        <v>3</v>
      </c>
      <c r="G52" s="28">
        <f>Inputs!$D$66</f>
        <v>4</v>
      </c>
      <c r="H52" s="28">
        <f>Inputs!$D$68</f>
        <v>5</v>
      </c>
      <c r="I52" s="28">
        <f>Inputs!$D$70</f>
        <v>6</v>
      </c>
      <c r="J52" s="28">
        <f>Inputs!$D$72</f>
        <v>7</v>
      </c>
      <c r="K52" s="28">
        <f>Inputs!$D$74</f>
        <v>8</v>
      </c>
      <c r="L52" s="28">
        <f>Inputs!$D$76</f>
        <v>9</v>
      </c>
      <c r="M52" s="28">
        <f>Inputs!$D$78</f>
        <v>10</v>
      </c>
    </row>
    <row r="53" spans="1:13" ht="15" customHeight="1" x14ac:dyDescent="0.2">
      <c r="A53" s="91"/>
      <c r="B53" s="10" t="s">
        <v>887</v>
      </c>
      <c r="C53" s="10" t="s">
        <v>161</v>
      </c>
      <c r="D53" s="29">
        <f>Inputs!$D$61</f>
        <v>46568</v>
      </c>
      <c r="E53" s="29">
        <f>Inputs!$D$63</f>
        <v>46934</v>
      </c>
      <c r="F53" s="29">
        <f>Inputs!$D$65</f>
        <v>47299</v>
      </c>
      <c r="G53" s="29">
        <f>Inputs!$D$67</f>
        <v>47664</v>
      </c>
      <c r="H53" s="29">
        <f>Inputs!$D$69</f>
        <v>48029</v>
      </c>
      <c r="I53" s="29">
        <f>Inputs!$D$71</f>
        <v>48395</v>
      </c>
      <c r="J53" s="29">
        <f>Inputs!$D$73</f>
        <v>48760</v>
      </c>
      <c r="K53" s="29">
        <f>Inputs!$D$75</f>
        <v>49125</v>
      </c>
      <c r="L53" s="29">
        <f>Inputs!$D$77</f>
        <v>49490</v>
      </c>
      <c r="M53" s="29">
        <f>Inputs!$D$79</f>
        <v>49856</v>
      </c>
    </row>
    <row r="54" spans="1:13" ht="15" customHeight="1" x14ac:dyDescent="0.2">
      <c r="A54" s="91"/>
      <c r="B54" s="10" t="s">
        <v>888</v>
      </c>
      <c r="C54" s="10" t="s">
        <v>107</v>
      </c>
      <c r="D54" s="28">
        <f>(D53-Inputs!$D$13)/Inputs!$D$10</f>
        <v>0.71457905544147848</v>
      </c>
      <c r="E54" s="28">
        <f>(E53-Inputs!$D$13)/Inputs!$D$10</f>
        <v>1.7166324435318274</v>
      </c>
      <c r="F54" s="28">
        <f>(F53-Inputs!$D$13)/Inputs!$D$10</f>
        <v>2.7159479808350446</v>
      </c>
      <c r="G54" s="28">
        <f>(G53-Inputs!$D$13)/Inputs!$D$10</f>
        <v>3.7152635181382614</v>
      </c>
      <c r="H54" s="28">
        <f>(H53-Inputs!$D$13)/Inputs!$D$10</f>
        <v>4.7145790554414786</v>
      </c>
      <c r="I54" s="28">
        <f>(I53-Inputs!$D$13)/Inputs!$D$10</f>
        <v>5.7166324435318279</v>
      </c>
      <c r="J54" s="28">
        <f>(J53-Inputs!$D$13)/Inputs!$D$10</f>
        <v>6.7159479808350442</v>
      </c>
      <c r="K54" s="28">
        <f>(K53-Inputs!$D$13)/Inputs!$D$10</f>
        <v>7.7152635181382614</v>
      </c>
      <c r="L54" s="28">
        <f>(L53-Inputs!$D$13)/Inputs!$D$10</f>
        <v>8.7145790554414777</v>
      </c>
      <c r="M54" s="28">
        <f>(M53-Inputs!$D$13)/Inputs!$D$10</f>
        <v>9.716632443531827</v>
      </c>
    </row>
    <row r="55" spans="1:13" ht="15" customHeight="1" x14ac:dyDescent="0.2">
      <c r="A55" s="91"/>
      <c r="B55" s="10" t="s">
        <v>889</v>
      </c>
      <c r="C55" s="10" t="s">
        <v>107</v>
      </c>
      <c r="D55" s="28">
        <f>D54</f>
        <v>0.71457905544147848</v>
      </c>
      <c r="E55" s="28">
        <f>Inputs!$D$7</f>
        <v>1</v>
      </c>
      <c r="F55" s="28">
        <f>Inputs!$D$7</f>
        <v>1</v>
      </c>
      <c r="G55" s="28">
        <f>Inputs!$D$7</f>
        <v>1</v>
      </c>
      <c r="H55" s="28">
        <f>Inputs!$D$7</f>
        <v>1</v>
      </c>
      <c r="I55" s="28">
        <f>Inputs!$D$7</f>
        <v>1</v>
      </c>
      <c r="J55" s="28">
        <f>Inputs!$D$7</f>
        <v>1</v>
      </c>
      <c r="K55" s="28">
        <f>Inputs!$D$7</f>
        <v>1</v>
      </c>
      <c r="L55" s="28">
        <f>Inputs!$D$7</f>
        <v>1</v>
      </c>
      <c r="M55" s="28">
        <f>Inputs!$D$7</f>
        <v>1</v>
      </c>
    </row>
    <row r="56" spans="1:13" ht="15" customHeight="1" x14ac:dyDescent="0.2">
      <c r="A56" s="91"/>
      <c r="B56" s="3" t="s">
        <v>890</v>
      </c>
      <c r="C56" s="10" t="s">
        <v>199</v>
      </c>
      <c r="D56" s="28">
        <f>Inputs!$D$24+(Inputs!$D$80-Inputs!$D$24)*Inputs!$D$83</f>
        <v>305.5</v>
      </c>
      <c r="E56" s="28">
        <f>Inputs!$D$24+(Inputs!$D$80-Inputs!$D$24)*Inputs!$D$84</f>
        <v>651.5</v>
      </c>
      <c r="F56" s="28">
        <f>Inputs!$D$24+(Inputs!$D$80-Inputs!$D$24)*Inputs!$D$85</f>
        <v>911</v>
      </c>
      <c r="G56" s="28">
        <f>Inputs!$D$24+(Inputs!$D$80-Inputs!$D$24)*Inputs!$D$86</f>
        <v>911</v>
      </c>
      <c r="H56" s="28">
        <f>Inputs!$D$24+(Inputs!$D$80-Inputs!$D$24)*Inputs!$D$87</f>
        <v>911</v>
      </c>
      <c r="I56" s="28">
        <f>Inputs!$D$24+(Inputs!$D$80-Inputs!$D$24)*Inputs!$D$88</f>
        <v>911</v>
      </c>
      <c r="J56" s="28">
        <f>Inputs!$D$24+(Inputs!$D$80-Inputs!$D$24)*Inputs!$D$89</f>
        <v>911</v>
      </c>
      <c r="K56" s="28">
        <f>Inputs!$D$24+(Inputs!$D$80-Inputs!$D$24)*Inputs!$D$90</f>
        <v>911</v>
      </c>
      <c r="L56" s="28">
        <f>Inputs!$D$24+(Inputs!$D$80-Inputs!$D$24)*Inputs!$D$91</f>
        <v>911</v>
      </c>
      <c r="M56" s="28">
        <f>Inputs!$D$24+(Inputs!$D$80-Inputs!$D$24)*Inputs!$D$92</f>
        <v>911</v>
      </c>
    </row>
    <row r="57" spans="1:13" ht="15" customHeight="1" x14ac:dyDescent="0.2">
      <c r="A57" s="91"/>
      <c r="B57" s="10" t="s">
        <v>891</v>
      </c>
      <c r="C57" s="10" t="s">
        <v>199</v>
      </c>
      <c r="D57" s="28">
        <f>Inputs!$D$24</f>
        <v>46</v>
      </c>
      <c r="E57" s="28">
        <f t="shared" ref="E57:M57" si="10">D56</f>
        <v>305.5</v>
      </c>
      <c r="F57" s="28">
        <f t="shared" si="10"/>
        <v>651.5</v>
      </c>
      <c r="G57" s="28">
        <f t="shared" si="10"/>
        <v>911</v>
      </c>
      <c r="H57" s="28">
        <f t="shared" si="10"/>
        <v>911</v>
      </c>
      <c r="I57" s="28">
        <f t="shared" si="10"/>
        <v>911</v>
      </c>
      <c r="J57" s="28">
        <f t="shared" si="10"/>
        <v>911</v>
      </c>
      <c r="K57" s="28">
        <f t="shared" si="10"/>
        <v>911</v>
      </c>
      <c r="L57" s="28">
        <f t="shared" si="10"/>
        <v>911</v>
      </c>
      <c r="M57" s="28">
        <f t="shared" si="10"/>
        <v>911</v>
      </c>
    </row>
    <row r="58" spans="1:13" ht="15" customHeight="1" x14ac:dyDescent="0.2">
      <c r="B58" s="10" t="s">
        <v>892</v>
      </c>
      <c r="C58" s="10" t="s">
        <v>199</v>
      </c>
      <c r="D58" s="28">
        <f>(D57+D56)*Inputs!$D$12</f>
        <v>175.75</v>
      </c>
      <c r="E58" s="28">
        <f>(E57+E56)*Inputs!$D$12</f>
        <v>478.5</v>
      </c>
      <c r="F58" s="28">
        <f>(F57+F56)*Inputs!$D$12</f>
        <v>781.25</v>
      </c>
      <c r="G58" s="28">
        <f>(G57+G56)*Inputs!$D$12</f>
        <v>911</v>
      </c>
      <c r="H58" s="28">
        <f>(H57+H56)*Inputs!$D$12</f>
        <v>911</v>
      </c>
      <c r="I58" s="28">
        <f>(I57+I56)*Inputs!$D$12</f>
        <v>911</v>
      </c>
      <c r="J58" s="28">
        <f>(J57+J56)*Inputs!$D$12</f>
        <v>911</v>
      </c>
      <c r="K58" s="28">
        <f>(K57+K56)*Inputs!$D$12</f>
        <v>911</v>
      </c>
      <c r="L58" s="28">
        <f>(L57+L56)*Inputs!$D$12</f>
        <v>911</v>
      </c>
      <c r="M58" s="28">
        <f>(M57+M56)*Inputs!$D$12</f>
        <v>911</v>
      </c>
    </row>
    <row r="59" spans="1:13" ht="15" customHeight="1" x14ac:dyDescent="0.2">
      <c r="B59" s="10" t="s">
        <v>893</v>
      </c>
      <c r="C59" s="10" t="s">
        <v>199</v>
      </c>
      <c r="D59" s="28">
        <f t="shared" ref="D59:M59" si="11">D56-D57</f>
        <v>259.5</v>
      </c>
      <c r="E59" s="28">
        <f t="shared" si="11"/>
        <v>346</v>
      </c>
      <c r="F59" s="28">
        <f t="shared" si="11"/>
        <v>259.5</v>
      </c>
      <c r="G59" s="28">
        <f t="shared" si="11"/>
        <v>0</v>
      </c>
      <c r="H59" s="28">
        <f t="shared" si="11"/>
        <v>0</v>
      </c>
      <c r="I59" s="28">
        <f t="shared" si="11"/>
        <v>0</v>
      </c>
      <c r="J59" s="28">
        <f t="shared" si="11"/>
        <v>0</v>
      </c>
      <c r="K59" s="28">
        <f t="shared" si="11"/>
        <v>0</v>
      </c>
      <c r="L59" s="28">
        <f t="shared" si="11"/>
        <v>0</v>
      </c>
      <c r="M59" s="28">
        <f t="shared" si="11"/>
        <v>0</v>
      </c>
    </row>
    <row r="60" spans="1:13" ht="15" customHeight="1" x14ac:dyDescent="0.2">
      <c r="B60" s="10" t="s">
        <v>894</v>
      </c>
      <c r="C60" s="10" t="s">
        <v>199</v>
      </c>
      <c r="D60" s="28">
        <f>IF(MOD(D52,Inputs!$D$21)=Inputs!$D$6,Inputs!$D$24,Inputs!$D$6)+SUMPRODUCT(--(D52&gt;$D$52:$M$52),--(MOD(D52-$D$52:$M$52,Inputs!$D$21)=Inputs!$D$6),$D$59:$M$59)</f>
        <v>0</v>
      </c>
      <c r="E60" s="28">
        <f>IF(MOD(E52,Inputs!$D$21)=Inputs!$D$6,Inputs!$D$24,Inputs!$D$6)+SUMPRODUCT(--(E52&gt;$D$52:$M$52),--(MOD(E52-$D$52:$M$52,Inputs!$D$21)=Inputs!$D$6),$D$59:$M$59)</f>
        <v>0</v>
      </c>
      <c r="F60" s="28">
        <f>IF(MOD(F52,Inputs!$D$21)=Inputs!$D$6,Inputs!$D$24,Inputs!$D$6)+SUMPRODUCT(--(F52&gt;$D$52:$M$52),--(MOD(F52-$D$52:$M$52,Inputs!$D$21)=Inputs!$D$6),$D$59:$M$59)</f>
        <v>0</v>
      </c>
      <c r="G60" s="28">
        <f>IF(MOD(G52,Inputs!$D$21)=Inputs!$D$6,Inputs!$D$24,Inputs!$D$6)+SUMPRODUCT(--(G52&gt;$D$52:$M$52),--(MOD(G52-$D$52:$M$52,Inputs!$D$21)=Inputs!$D$6),$D$59:$M$59)</f>
        <v>46</v>
      </c>
      <c r="H60" s="28">
        <f>IF(MOD(H52,Inputs!$D$21)=Inputs!$D$6,Inputs!$D$24,Inputs!$D$6)+SUMPRODUCT(--(H52&gt;$D$52:$M$52),--(MOD(H52-$D$52:$M$52,Inputs!$D$21)=Inputs!$D$6),$D$59:$M$59)</f>
        <v>259.5</v>
      </c>
      <c r="I60" s="28">
        <f>IF(MOD(I52,Inputs!$D$21)=Inputs!$D$6,Inputs!$D$24,Inputs!$D$6)+SUMPRODUCT(--(I52&gt;$D$52:$M$52),--(MOD(I52-$D$52:$M$52,Inputs!$D$21)=Inputs!$D$6),$D$59:$M$59)</f>
        <v>346</v>
      </c>
      <c r="J60" s="28">
        <f>IF(MOD(J52,Inputs!$D$21)=Inputs!$D$6,Inputs!$D$24,Inputs!$D$6)+SUMPRODUCT(--(J52&gt;$D$52:$M$52),--(MOD(J52-$D$52:$M$52,Inputs!$D$21)=Inputs!$D$6),$D$59:$M$59)</f>
        <v>259.5</v>
      </c>
      <c r="K60" s="28">
        <f>IF(MOD(K52,Inputs!$D$21)=Inputs!$D$6,Inputs!$D$24,Inputs!$D$6)+SUMPRODUCT(--(K52&gt;$D$52:$M$52),--(MOD(K52-$D$52:$M$52,Inputs!$D$21)=Inputs!$D$6),$D$59:$M$59)</f>
        <v>46</v>
      </c>
      <c r="L60" s="28">
        <f>IF(MOD(L52,Inputs!$D$21)=Inputs!$D$6,Inputs!$D$24,Inputs!$D$6)+SUMPRODUCT(--(L52&gt;$D$52:$M$52),--(MOD(L52-$D$52:$M$52,Inputs!$D$21)=Inputs!$D$6),$D$59:$M$59)</f>
        <v>259.5</v>
      </c>
      <c r="M60" s="28">
        <f>IF(MOD(M52,Inputs!$D$21)=Inputs!$D$6,Inputs!$D$24,Inputs!$D$6)+SUMPRODUCT(--(M52&gt;$D$52:$M$52),--(MOD(M52-$D$52:$M$52,Inputs!$D$21)=Inputs!$D$6),$D$59:$M$59)</f>
        <v>346</v>
      </c>
    </row>
    <row r="61" spans="1:13" ht="15" customHeight="1" x14ac:dyDescent="0.2">
      <c r="B61" s="10" t="s">
        <v>895</v>
      </c>
      <c r="C61" s="10" t="s">
        <v>896</v>
      </c>
      <c r="D61" s="28">
        <f t="shared" ref="D61:M61" si="12">D58*D55</f>
        <v>125.58726899383984</v>
      </c>
      <c r="E61" s="28">
        <f t="shared" si="12"/>
        <v>478.5</v>
      </c>
      <c r="F61" s="28">
        <f t="shared" si="12"/>
        <v>781.25</v>
      </c>
      <c r="G61" s="28">
        <f t="shared" si="12"/>
        <v>911</v>
      </c>
      <c r="H61" s="28">
        <f t="shared" si="12"/>
        <v>911</v>
      </c>
      <c r="I61" s="28">
        <f t="shared" si="12"/>
        <v>911</v>
      </c>
      <c r="J61" s="28">
        <f t="shared" si="12"/>
        <v>911</v>
      </c>
      <c r="K61" s="28">
        <f t="shared" si="12"/>
        <v>911</v>
      </c>
      <c r="L61" s="28">
        <f t="shared" si="12"/>
        <v>911</v>
      </c>
      <c r="M61" s="28">
        <f t="shared" si="12"/>
        <v>911</v>
      </c>
    </row>
    <row r="62" spans="1:13" ht="15" customHeight="1" x14ac:dyDescent="0.2">
      <c r="B62" s="10" t="s">
        <v>897</v>
      </c>
      <c r="C62" s="10" t="s">
        <v>110</v>
      </c>
      <c r="D62" s="16">
        <f>D61*($D$81/Inputs!$D$21+$D$82/Inputs!$D$22)</f>
        <v>1816.9772859324419</v>
      </c>
      <c r="E62" s="16">
        <f>E61*($D$81/Inputs!$D$21+$D$82/Inputs!$D$22)</f>
        <v>6922.8643817497086</v>
      </c>
      <c r="F62" s="16">
        <f>F61*($D$81/Inputs!$D$21+$D$82/Inputs!$D$22)</f>
        <v>11303.0048030135</v>
      </c>
      <c r="G62" s="16">
        <f>G61*($D$81/Inputs!$D$21+$D$82/Inputs!$D$22)</f>
        <v>13180.207840697982</v>
      </c>
      <c r="H62" s="16">
        <f>H61*($D$81/Inputs!$D$21+$D$82/Inputs!$D$22)</f>
        <v>13180.207840697982</v>
      </c>
      <c r="I62" s="16">
        <f>I61*($D$81/Inputs!$D$21+$D$82/Inputs!$D$22)</f>
        <v>13180.207840697982</v>
      </c>
      <c r="J62" s="16">
        <f>J61*($D$81/Inputs!$D$21+$D$82/Inputs!$D$22)</f>
        <v>13180.207840697982</v>
      </c>
      <c r="K62" s="16">
        <f>K61*($D$81/Inputs!$D$21+$D$82/Inputs!$D$22)</f>
        <v>13180.207840697982</v>
      </c>
      <c r="L62" s="16">
        <f>L61*($D$81/Inputs!$D$21+$D$82/Inputs!$D$22)</f>
        <v>13180.207840697982</v>
      </c>
      <c r="M62" s="16">
        <f>M61*($D$81/Inputs!$D$21+$D$82/Inputs!$D$22)</f>
        <v>13180.207840697982</v>
      </c>
    </row>
    <row r="63" spans="1:13" ht="15" customHeight="1" x14ac:dyDescent="0.2">
      <c r="B63" s="10" t="s">
        <v>898</v>
      </c>
      <c r="C63" s="10" t="s">
        <v>110</v>
      </c>
      <c r="D63" s="16">
        <f t="shared" ref="D63:M63" si="13">D59*($D$81+$D$82)</f>
        <v>15560.968620146154</v>
      </c>
      <c r="E63" s="16">
        <f t="shared" si="13"/>
        <v>20747.95816019487</v>
      </c>
      <c r="F63" s="16">
        <f t="shared" si="13"/>
        <v>15560.968620146154</v>
      </c>
      <c r="G63" s="16">
        <f t="shared" si="13"/>
        <v>0</v>
      </c>
      <c r="H63" s="16">
        <f t="shared" si="13"/>
        <v>0</v>
      </c>
      <c r="I63" s="16">
        <f t="shared" si="13"/>
        <v>0</v>
      </c>
      <c r="J63" s="16">
        <f t="shared" si="13"/>
        <v>0</v>
      </c>
      <c r="K63" s="16">
        <f t="shared" si="13"/>
        <v>0</v>
      </c>
      <c r="L63" s="16">
        <f t="shared" si="13"/>
        <v>0</v>
      </c>
      <c r="M63" s="16">
        <f t="shared" si="13"/>
        <v>0</v>
      </c>
    </row>
    <row r="64" spans="1:13" ht="15" customHeight="1" x14ac:dyDescent="0.2">
      <c r="B64" s="10" t="s">
        <v>899</v>
      </c>
      <c r="C64" s="10" t="s">
        <v>110</v>
      </c>
      <c r="D64" s="16">
        <f t="shared" ref="D64:M64" si="14">D60*$D$81</f>
        <v>0</v>
      </c>
      <c r="E64" s="16">
        <f t="shared" si="14"/>
        <v>0</v>
      </c>
      <c r="F64" s="16">
        <f t="shared" si="14"/>
        <v>0</v>
      </c>
      <c r="G64" s="16">
        <f t="shared" si="14"/>
        <v>2638.0048485671714</v>
      </c>
      <c r="H64" s="16">
        <f t="shared" si="14"/>
        <v>14881.788221808281</v>
      </c>
      <c r="I64" s="16">
        <f t="shared" si="14"/>
        <v>19842.384295744378</v>
      </c>
      <c r="J64" s="16">
        <f t="shared" si="14"/>
        <v>14881.788221808281</v>
      </c>
      <c r="K64" s="16">
        <f t="shared" si="14"/>
        <v>2638.0048485671714</v>
      </c>
      <c r="L64" s="16">
        <f t="shared" si="14"/>
        <v>14881.788221808281</v>
      </c>
      <c r="M64" s="16">
        <f t="shared" si="14"/>
        <v>19842.384295744378</v>
      </c>
    </row>
    <row r="65" spans="2:13" ht="15" customHeight="1" x14ac:dyDescent="0.2">
      <c r="B65" s="10" t="s">
        <v>900</v>
      </c>
      <c r="C65" s="10" t="s">
        <v>199</v>
      </c>
      <c r="D65" s="28">
        <f>D59*Inputs!$D$23</f>
        <v>6.4875000000000007</v>
      </c>
      <c r="E65" s="28">
        <f>E59*Inputs!$D$23</f>
        <v>8.65</v>
      </c>
      <c r="F65" s="28">
        <f>F59*Inputs!$D$23</f>
        <v>6.4875000000000007</v>
      </c>
      <c r="G65" s="28">
        <f>G59*Inputs!$D$23</f>
        <v>0</v>
      </c>
      <c r="H65" s="28">
        <f>H59*Inputs!$D$23</f>
        <v>0</v>
      </c>
      <c r="I65" s="28">
        <f>I59*Inputs!$D$23</f>
        <v>0</v>
      </c>
      <c r="J65" s="28">
        <f>J59*Inputs!$D$23</f>
        <v>0</v>
      </c>
      <c r="K65" s="28">
        <f>K59*Inputs!$D$23</f>
        <v>0</v>
      </c>
      <c r="L65" s="28">
        <f>L59*Inputs!$D$23</f>
        <v>0</v>
      </c>
      <c r="M65" s="28">
        <f>M59*Inputs!$D$23</f>
        <v>0</v>
      </c>
    </row>
    <row r="66" spans="2:13" ht="15" customHeight="1" x14ac:dyDescent="0.2">
      <c r="B66" s="3" t="s">
        <v>901</v>
      </c>
      <c r="C66" s="10" t="s">
        <v>896</v>
      </c>
      <c r="D66" s="28">
        <f>(D61*$D$79*(Inputs!$D$7-Inputs!$D$19)-D65)/(Inputs!$D$7+$D$80)^D54</f>
        <v>35.001179305651803</v>
      </c>
      <c r="E66" s="28">
        <f>(E61*$D$79*(Inputs!$D$7-Inputs!$D$19)-E65)/(Inputs!$D$7+$D$80)^E54</f>
        <v>134.85369099155164</v>
      </c>
      <c r="F66" s="28">
        <f>(F61*$D$79*(Inputs!$D$7-Inputs!$D$19)-F65)/(Inputs!$D$7+$D$80)^F54</f>
        <v>206.06752051055432</v>
      </c>
      <c r="G66" s="28">
        <f>(G61*$D$79*(Inputs!$D$7-Inputs!$D$19)-G65)/(Inputs!$D$7+$D$80)^G54</f>
        <v>223.76991053495766</v>
      </c>
      <c r="H66" s="28">
        <f>(H61*$D$79*(Inputs!$D$7-Inputs!$D$19)-H65)/(Inputs!$D$7+$D$80)^H54</f>
        <v>203.44046265799324</v>
      </c>
      <c r="I66" s="28">
        <f>(I61*$D$79*(Inputs!$D$7-Inputs!$D$19)-I65)/(Inputs!$D$7+$D$80)^I54</f>
        <v>184.9096831522028</v>
      </c>
      <c r="J66" s="28">
        <f>(J61*$D$79*(Inputs!$D$7-Inputs!$D$19)-J65)/(Inputs!$D$7+$D$80)^J54</f>
        <v>168.11067851122158</v>
      </c>
      <c r="K66" s="28">
        <f>(K61*$D$79*(Inputs!$D$7-Inputs!$D$19)-K65)/(Inputs!$D$7+$D$80)^K54</f>
        <v>152.83785980121411</v>
      </c>
      <c r="L66" s="28">
        <f>(L61*$D$79*(Inputs!$D$7-Inputs!$D$19)-L65)/(Inputs!$D$7+$D$80)^L54</f>
        <v>138.95257336110456</v>
      </c>
      <c r="M66" s="28">
        <f>(M61*$D$79*(Inputs!$D$7-Inputs!$D$19)-M65)/(Inputs!$D$7+$D$80)^M54</f>
        <v>126.29580162024641</v>
      </c>
    </row>
    <row r="67" spans="2:13" ht="15" customHeight="1" x14ac:dyDescent="0.2">
      <c r="B67" s="10" t="s">
        <v>902</v>
      </c>
      <c r="C67" s="10" t="s">
        <v>110</v>
      </c>
      <c r="D67" s="16">
        <f>(D62*Inputs!$D$19-D63-D64)/(Inputs!$D$7+$D$80)^D54</f>
        <v>-14027.24269342025</v>
      </c>
      <c r="E67" s="16">
        <f>(E62*Inputs!$D$19-E63-E64)/(Inputs!$D$7+$D$80)^E54</f>
        <v>-15853.087323826181</v>
      </c>
      <c r="F67" s="16">
        <f>(F62*Inputs!$D$19-F63-F64)/(Inputs!$D$7+$D$80)^F54</f>
        <v>-9394.4767487293357</v>
      </c>
      <c r="G67" s="16">
        <f>(G62*Inputs!$D$19-G63-G64)/(Inputs!$D$7+$D$80)^G54</f>
        <v>923.61320322684639</v>
      </c>
      <c r="H67" s="16">
        <f>(H62*Inputs!$D$19-H63-H64)/(Inputs!$D$7+$D$80)^H54</f>
        <v>-6972.3744918015345</v>
      </c>
      <c r="I67" s="16">
        <f>(I62*Inputs!$D$19-I63-I64)/(Inputs!$D$7+$D$80)^I54</f>
        <v>-9214.0648467907959</v>
      </c>
      <c r="J67" s="16">
        <f>(J62*Inputs!$D$19-J63-J64)/(Inputs!$D$7+$D$80)^J54</f>
        <v>-5761.5411965591911</v>
      </c>
      <c r="K67" s="16">
        <f>(K62*Inputs!$D$19-K63-K64)/(Inputs!$D$7+$D$80)^K54</f>
        <v>630.8402453567694</v>
      </c>
      <c r="L67" s="16">
        <f>(L62*Inputs!$D$19-L63-L64)/(Inputs!$D$7+$D$80)^L54</f>
        <v>-4762.2255937446444</v>
      </c>
      <c r="M67" s="16">
        <f>(M62*Inputs!$D$19-M63-M64)/(Inputs!$D$7+$D$80)^M54</f>
        <v>-6293.3302689644106</v>
      </c>
    </row>
    <row r="68" spans="2:13" ht="15" customHeight="1" x14ac:dyDescent="0.2">
      <c r="B68" s="10" t="s">
        <v>903</v>
      </c>
      <c r="C68" s="10" t="s">
        <v>110</v>
      </c>
      <c r="D68" s="16">
        <f t="shared" ref="D68:M68" si="15">D61*$D$78</f>
        <v>6535.2056143540703</v>
      </c>
      <c r="E68" s="16">
        <f t="shared" si="15"/>
        <v>24899.784122400251</v>
      </c>
      <c r="F68" s="16">
        <f t="shared" si="15"/>
        <v>40654.036250000405</v>
      </c>
      <c r="G68" s="16">
        <f t="shared" si="15"/>
        <v>47405.858590400479</v>
      </c>
      <c r="H68" s="16">
        <f t="shared" si="15"/>
        <v>47405.858590400479</v>
      </c>
      <c r="I68" s="16">
        <f t="shared" si="15"/>
        <v>47405.858590400479</v>
      </c>
      <c r="J68" s="16">
        <f t="shared" si="15"/>
        <v>47405.858590400479</v>
      </c>
      <c r="K68" s="16">
        <f t="shared" si="15"/>
        <v>47405.858590400479</v>
      </c>
      <c r="L68" s="16">
        <f t="shared" si="15"/>
        <v>47405.858590400479</v>
      </c>
      <c r="M68" s="16">
        <f t="shared" si="15"/>
        <v>47405.858590400479</v>
      </c>
    </row>
    <row r="69" spans="2:13" ht="15" customHeight="1" x14ac:dyDescent="0.2">
      <c r="B69" s="10" t="s">
        <v>904</v>
      </c>
      <c r="C69" s="10" t="s">
        <v>110</v>
      </c>
      <c r="D69" s="16">
        <f t="shared" ref="D69:M69" si="16">D68*$D$79</f>
        <v>3267.6028071770352</v>
      </c>
      <c r="E69" s="16">
        <f t="shared" si="16"/>
        <v>12449.892061200126</v>
      </c>
      <c r="F69" s="16">
        <f t="shared" si="16"/>
        <v>20327.018125000202</v>
      </c>
      <c r="G69" s="16">
        <f t="shared" si="16"/>
        <v>23702.92929520024</v>
      </c>
      <c r="H69" s="16">
        <f t="shared" si="16"/>
        <v>23702.92929520024</v>
      </c>
      <c r="I69" s="16">
        <f t="shared" si="16"/>
        <v>23702.92929520024</v>
      </c>
      <c r="J69" s="16">
        <f t="shared" si="16"/>
        <v>23702.92929520024</v>
      </c>
      <c r="K69" s="16">
        <f t="shared" si="16"/>
        <v>23702.92929520024</v>
      </c>
      <c r="L69" s="16">
        <f t="shared" si="16"/>
        <v>23702.92929520024</v>
      </c>
      <c r="M69" s="16">
        <f t="shared" si="16"/>
        <v>23702.92929520024</v>
      </c>
    </row>
    <row r="70" spans="2:13" ht="15" customHeight="1" x14ac:dyDescent="0.2">
      <c r="B70" s="10" t="s">
        <v>905</v>
      </c>
      <c r="C70" s="10" t="s">
        <v>110</v>
      </c>
      <c r="D70" s="16">
        <f t="shared" ref="D70:M70" si="17">D69-D62</f>
        <v>1450.6255212445933</v>
      </c>
      <c r="E70" s="16">
        <f t="shared" si="17"/>
        <v>5527.0276794504171</v>
      </c>
      <c r="F70" s="16">
        <f t="shared" si="17"/>
        <v>9024.0133219867021</v>
      </c>
      <c r="G70" s="16">
        <f t="shared" si="17"/>
        <v>10522.721454502258</v>
      </c>
      <c r="H70" s="16">
        <f t="shared" si="17"/>
        <v>10522.721454502258</v>
      </c>
      <c r="I70" s="16">
        <f t="shared" si="17"/>
        <v>10522.721454502258</v>
      </c>
      <c r="J70" s="16">
        <f t="shared" si="17"/>
        <v>10522.721454502258</v>
      </c>
      <c r="K70" s="16">
        <f t="shared" si="17"/>
        <v>10522.721454502258</v>
      </c>
      <c r="L70" s="16">
        <f t="shared" si="17"/>
        <v>10522.721454502258</v>
      </c>
      <c r="M70" s="16">
        <f t="shared" si="17"/>
        <v>10522.721454502258</v>
      </c>
    </row>
    <row r="71" spans="2:13" ht="15" customHeight="1" x14ac:dyDescent="0.2">
      <c r="B71" s="10" t="s">
        <v>906</v>
      </c>
      <c r="C71" s="10" t="s">
        <v>110</v>
      </c>
      <c r="D71" s="16">
        <f>MAX(D70,Inputs!$D$6)*Inputs!$D$19</f>
        <v>435.18765637337799</v>
      </c>
      <c r="E71" s="16">
        <f>MAX(E70,Inputs!$D$6)*Inputs!$D$19</f>
        <v>1658.1083038351251</v>
      </c>
      <c r="F71" s="16">
        <f>MAX(F70,Inputs!$D$6)*Inputs!$D$19</f>
        <v>2707.2039965960107</v>
      </c>
      <c r="G71" s="16">
        <f>MAX(G70,Inputs!$D$6)*Inputs!$D$19</f>
        <v>3156.8164363506771</v>
      </c>
      <c r="H71" s="16">
        <f>MAX(H70,Inputs!$D$6)*Inputs!$D$19</f>
        <v>3156.8164363506771</v>
      </c>
      <c r="I71" s="16">
        <f>MAX(I70,Inputs!$D$6)*Inputs!$D$19</f>
        <v>3156.8164363506771</v>
      </c>
      <c r="J71" s="16">
        <f>MAX(J70,Inputs!$D$6)*Inputs!$D$19</f>
        <v>3156.8164363506771</v>
      </c>
      <c r="K71" s="16">
        <f>MAX(K70,Inputs!$D$6)*Inputs!$D$19</f>
        <v>3156.8164363506771</v>
      </c>
      <c r="L71" s="16">
        <f>MAX(L70,Inputs!$D$6)*Inputs!$D$19</f>
        <v>3156.8164363506771</v>
      </c>
      <c r="M71" s="16">
        <f>MAX(M70,Inputs!$D$6)*Inputs!$D$19</f>
        <v>3156.8164363506771</v>
      </c>
    </row>
    <row r="72" spans="2:13" ht="15" customHeight="1" x14ac:dyDescent="0.2">
      <c r="B72" s="10" t="s">
        <v>907</v>
      </c>
      <c r="C72" s="10" t="s">
        <v>110</v>
      </c>
      <c r="D72" s="16">
        <f t="shared" ref="D72:M72" si="18">D65*$D$78</f>
        <v>337.59111702000342</v>
      </c>
      <c r="E72" s="16">
        <f t="shared" si="18"/>
        <v>450.12148936000455</v>
      </c>
      <c r="F72" s="16">
        <f t="shared" si="18"/>
        <v>337.59111702000342</v>
      </c>
      <c r="G72" s="16">
        <f t="shared" si="18"/>
        <v>0</v>
      </c>
      <c r="H72" s="16">
        <f t="shared" si="18"/>
        <v>0</v>
      </c>
      <c r="I72" s="16">
        <f t="shared" si="18"/>
        <v>0</v>
      </c>
      <c r="J72" s="16">
        <f t="shared" si="18"/>
        <v>0</v>
      </c>
      <c r="K72" s="16">
        <f t="shared" si="18"/>
        <v>0</v>
      </c>
      <c r="L72" s="16">
        <f t="shared" si="18"/>
        <v>0</v>
      </c>
      <c r="M72" s="16">
        <f t="shared" si="18"/>
        <v>0</v>
      </c>
    </row>
    <row r="73" spans="2:13" ht="15" customHeight="1" x14ac:dyDescent="0.2">
      <c r="B73" s="10" t="s">
        <v>908</v>
      </c>
      <c r="C73" s="10" t="s">
        <v>110</v>
      </c>
      <c r="D73" s="16">
        <f t="shared" ref="D73:M73" si="19">D69-D71-D63-D64-D72</f>
        <v>-13066.144586362499</v>
      </c>
      <c r="E73" s="16">
        <f t="shared" si="19"/>
        <v>-10406.295892189873</v>
      </c>
      <c r="F73" s="16">
        <f t="shared" si="19"/>
        <v>1721.2543912380352</v>
      </c>
      <c r="G73" s="16">
        <f t="shared" si="19"/>
        <v>17908.108010282391</v>
      </c>
      <c r="H73" s="16">
        <f t="shared" si="19"/>
        <v>5664.3246370412817</v>
      </c>
      <c r="I73" s="16">
        <f t="shared" si="19"/>
        <v>703.72856310518546</v>
      </c>
      <c r="J73" s="16">
        <f t="shared" si="19"/>
        <v>5664.3246370412817</v>
      </c>
      <c r="K73" s="16">
        <f t="shared" si="19"/>
        <v>17908.108010282391</v>
      </c>
      <c r="L73" s="16">
        <f t="shared" si="19"/>
        <v>5664.3246370412817</v>
      </c>
      <c r="M73" s="16">
        <f t="shared" si="19"/>
        <v>703.72856310518546</v>
      </c>
    </row>
    <row r="74" spans="2:13" ht="15" customHeight="1" x14ac:dyDescent="0.2">
      <c r="B74" s="10" t="s">
        <v>909</v>
      </c>
      <c r="C74" s="10" t="s">
        <v>110</v>
      </c>
      <c r="D74" s="16">
        <f>D73/(Inputs!$D$7+$D$80)^D54</f>
        <v>-12205.880501695792</v>
      </c>
      <c r="E74" s="16">
        <f>E73/(Inputs!$D$7+$D$80)^E54</f>
        <v>-8835.6833660445554</v>
      </c>
      <c r="F74" s="16">
        <f>F73/(Inputs!$D$7+$D$80)^F54</f>
        <v>1328.6931057138995</v>
      </c>
      <c r="G74" s="16">
        <f>G73/(Inputs!$D$7+$D$80)^G54</f>
        <v>12567.96527304767</v>
      </c>
      <c r="H74" s="16">
        <f>H73/(Inputs!$D$7+$D$80)^H54</f>
        <v>3614.0907160255547</v>
      </c>
      <c r="I74" s="16">
        <f>I73/(Inputs!$D$7+$D$80)^I54</f>
        <v>408.11110437175734</v>
      </c>
      <c r="J74" s="16">
        <f>J73/(Inputs!$D$7+$D$80)^J54</f>
        <v>2986.4621547462407</v>
      </c>
      <c r="K74" s="16">
        <f>K73/(Inputs!$D$7+$D$80)^K54</f>
        <v>8584.0893880525</v>
      </c>
      <c r="L74" s="16">
        <f>L73/(Inputs!$D$7+$D$80)^L54</f>
        <v>2468.4725879554358</v>
      </c>
      <c r="M74" s="16">
        <f>M73/(Inputs!$D$7+$D$80)^M54</f>
        <v>278.74537556980891</v>
      </c>
    </row>
    <row r="75" spans="2:13" ht="15" customHeight="1" x14ac:dyDescent="0.2">
      <c r="B75" s="3" t="s">
        <v>910</v>
      </c>
      <c r="C75" s="10" t="s">
        <v>896</v>
      </c>
      <c r="D75" s="28">
        <f>(D61*$D$79-D65)/(Inputs!$D$7+$D$80)^D54</f>
        <v>52.598985465011189</v>
      </c>
      <c r="E75" s="28">
        <f>(E61*$D$79-E65)/(Inputs!$D$7+$D$80)^E54</f>
        <v>195.79575723375925</v>
      </c>
      <c r="F75" s="28">
        <f>(F61*$D$79-F65)/(Inputs!$D$7+$D$80)^F54</f>
        <v>296.52842165245573</v>
      </c>
      <c r="G75" s="28">
        <f>(G61*$D$79-G65)/(Inputs!$D$7+$D$80)^G54</f>
        <v>319.67130076422529</v>
      </c>
      <c r="H75" s="28">
        <f>(H61*$D$79-H65)/(Inputs!$D$7+$D$80)^H54</f>
        <v>290.62923236856182</v>
      </c>
      <c r="I75" s="28">
        <f>(I61*$D$79-I65)/(Inputs!$D$7+$D$80)^I54</f>
        <v>264.15669021743264</v>
      </c>
      <c r="J75" s="28">
        <f>(J61*$D$79-J65)/(Inputs!$D$7+$D$80)^J54</f>
        <v>240.158112158888</v>
      </c>
      <c r="K75" s="28">
        <f>(K61*$D$79-K65)/(Inputs!$D$7+$D$80)^K54</f>
        <v>218.3397997160202</v>
      </c>
      <c r="L75" s="28">
        <f>(L61*$D$79-L65)/(Inputs!$D$7+$D$80)^L54</f>
        <v>198.50367623014941</v>
      </c>
      <c r="M75" s="28">
        <f>(M61*$D$79-M65)/(Inputs!$D$7+$D$80)^M54</f>
        <v>180.42257374320917</v>
      </c>
    </row>
    <row r="76" spans="2:13" ht="15" customHeight="1" x14ac:dyDescent="0.2">
      <c r="B76" s="10" t="s">
        <v>911</v>
      </c>
      <c r="C76" s="10" t="s">
        <v>110</v>
      </c>
      <c r="D76" s="16">
        <f>(-D63-D64)/(Inputs!$D$7+$D$80)^D54</f>
        <v>-14536.447397527105</v>
      </c>
      <c r="E76" s="16">
        <f>(-E63-E64)/(Inputs!$D$7+$D$80)^E54</f>
        <v>-17616.488200475756</v>
      </c>
      <c r="F76" s="16">
        <f>(-F63-F64)/(Inputs!$D$7+$D$80)^F54</f>
        <v>-12012.025548964448</v>
      </c>
      <c r="G76" s="16">
        <f>(-G63-G64)/(Inputs!$D$7+$D$80)^G54</f>
        <v>-1851.359915178487</v>
      </c>
      <c r="H76" s="16">
        <f>(-H63-H64)/(Inputs!$D$7+$D$80)^H54</f>
        <v>-9495.2419037884629</v>
      </c>
      <c r="I76" s="16">
        <f>(-I63-I64)/(Inputs!$D$7+$D$80)^I54</f>
        <v>-11507.131858586603</v>
      </c>
      <c r="J76" s="16">
        <f>(-J63-J64)/(Inputs!$D$7+$D$80)^J54</f>
        <v>-7846.2835672839774</v>
      </c>
      <c r="K76" s="16">
        <f>(-K63-K64)/(Inputs!$D$7+$D$80)^K54</f>
        <v>-1264.5037327904422</v>
      </c>
      <c r="L76" s="16">
        <f>(-L63-L64)/(Inputs!$D$7+$D$80)^L54</f>
        <v>-6485.3779822337692</v>
      </c>
      <c r="M76" s="16">
        <f>(-M63-M64)/(Inputs!$D$7+$D$80)^M54</f>
        <v>-7859.5258920747219</v>
      </c>
    </row>
    <row r="77" spans="2:13" ht="15" customHeight="1" x14ac:dyDescent="0.2">
      <c r="B77" s="10" t="s">
        <v>912</v>
      </c>
      <c r="C77" s="10" t="s">
        <v>110</v>
      </c>
      <c r="D77" s="16">
        <f>Prices!I6</f>
        <v>43700</v>
      </c>
    </row>
    <row r="78" spans="2:13" ht="15" customHeight="1" x14ac:dyDescent="0.2">
      <c r="B78" s="3" t="s">
        <v>913</v>
      </c>
      <c r="C78" s="10" t="s">
        <v>914</v>
      </c>
      <c r="D78" s="28">
        <f>IF(J85&gt;=J81,J85,(D77-J84)/J83)</f>
        <v>52.037166400000523</v>
      </c>
      <c r="G78" s="99" t="s">
        <v>915</v>
      </c>
      <c r="H78" s="91"/>
      <c r="I78" s="91"/>
      <c r="J78" s="28">
        <f>D78*Inputs!$D$15</f>
        <v>36.316738430560363</v>
      </c>
      <c r="K78" s="99" t="s">
        <v>916</v>
      </c>
      <c r="L78" s="91"/>
      <c r="M78" s="91"/>
    </row>
    <row r="79" spans="2:13" ht="15" customHeight="1" x14ac:dyDescent="0.2">
      <c r="B79" s="10" t="s">
        <v>917</v>
      </c>
      <c r="C79" s="10" t="s">
        <v>104</v>
      </c>
      <c r="D79" s="30">
        <f>Inputs!$D$140</f>
        <v>0.5</v>
      </c>
      <c r="G79" s="99" t="s">
        <v>918</v>
      </c>
      <c r="H79" s="91"/>
      <c r="I79" s="91"/>
      <c r="J79" s="28">
        <f>IF(-D90/D89&gt;=J81,-D90/D89,-J84/J83)</f>
        <v>38.783797845890525</v>
      </c>
      <c r="K79" s="99" t="s">
        <v>919</v>
      </c>
      <c r="L79" s="91"/>
      <c r="M79" s="91"/>
    </row>
    <row r="80" spans="2:13" ht="15" customHeight="1" x14ac:dyDescent="0.2">
      <c r="B80" s="10" t="s">
        <v>920</v>
      </c>
      <c r="C80" s="10" t="s">
        <v>104</v>
      </c>
      <c r="D80" s="30">
        <f>Inputs!$D$147</f>
        <v>0.1</v>
      </c>
      <c r="G80" s="99" t="s">
        <v>918</v>
      </c>
      <c r="H80" s="91"/>
      <c r="I80" s="91"/>
      <c r="J80" s="28">
        <f>J79*Inputs!$D$15</f>
        <v>27.067212516646997</v>
      </c>
      <c r="K80" s="99" t="s">
        <v>916</v>
      </c>
      <c r="L80" s="91"/>
      <c r="M80" s="91"/>
    </row>
    <row r="81" spans="2:13" ht="15" customHeight="1" x14ac:dyDescent="0.2">
      <c r="B81" s="3" t="s">
        <v>921</v>
      </c>
      <c r="C81" s="10" t="s">
        <v>848</v>
      </c>
      <c r="D81" s="28">
        <f>Capital!$D$13</f>
        <v>57.347931490590682</v>
      </c>
      <c r="G81" s="99" t="s">
        <v>922</v>
      </c>
      <c r="H81" s="91"/>
      <c r="I81" s="91"/>
      <c r="J81" s="28">
        <f>($D$81/Inputs!$D$21+$D$82/Inputs!$D$22)/$D$79</f>
        <v>28.93569229571456</v>
      </c>
      <c r="K81" s="99" t="s">
        <v>919</v>
      </c>
      <c r="L81" s="91"/>
      <c r="M81" s="91"/>
    </row>
    <row r="82" spans="2:13" ht="15" customHeight="1" x14ac:dyDescent="0.2">
      <c r="B82" s="3" t="s">
        <v>923</v>
      </c>
      <c r="C82" s="10" t="s">
        <v>848</v>
      </c>
      <c r="D82" s="28">
        <f>Capital!$D$14</f>
        <v>2.6172655041921802</v>
      </c>
    </row>
    <row r="83" spans="2:13" ht="15" customHeight="1" x14ac:dyDescent="0.2">
      <c r="B83" s="10" t="s">
        <v>924</v>
      </c>
      <c r="C83" s="10" t="s">
        <v>896</v>
      </c>
      <c r="D83" s="28">
        <f>(M56*(Inputs!$D$7+Inputs!$D$20)*$D$79*(Inputs!$D$7-Inputs!$D$19)-M56*Inputs!$D$20*Inputs!$D$23)/($D$80-Inputs!$D$20)/(Inputs!$D$7+$D$80)^M54</f>
        <v>1723.0355792476471</v>
      </c>
      <c r="G83" s="92" t="s">
        <v>910</v>
      </c>
      <c r="H83" s="91"/>
      <c r="I83" s="91"/>
      <c r="J83" s="28">
        <f>SUM(D75:M75)+(M56*(Inputs!$D$7+Inputs!$D$20)*$D$79-M56*Inputs!$D$20*Inputs!$D$23)/($D$80-Inputs!$D$20)/(Inputs!$D$7+$D$80)^M54</f>
        <v>4719.5726811445174</v>
      </c>
      <c r="K83" s="99" t="s">
        <v>896</v>
      </c>
      <c r="L83" s="91"/>
      <c r="M83" s="91"/>
    </row>
    <row r="84" spans="2:13" ht="15" customHeight="1" x14ac:dyDescent="0.2">
      <c r="B84" s="10" t="s">
        <v>925</v>
      </c>
      <c r="C84" s="10" t="s">
        <v>110</v>
      </c>
      <c r="D84" s="16">
        <f>(D87*Inputs!$D$19-D87-D88)/($D$80-Inputs!$D$20)/(Inputs!$D$7+$D$80)^M54</f>
        <v>-57156.954988173631</v>
      </c>
      <c r="G84" s="92" t="s">
        <v>926</v>
      </c>
      <c r="H84" s="91"/>
      <c r="I84" s="91"/>
      <c r="J84" s="16">
        <f>SUM(D76:M76)-(D87+D88)/($D$80-Inputs!$D$20)/(Inputs!$D$7+$D$80)^M54</f>
        <v>-169036.01450291832</v>
      </c>
      <c r="K84" s="99" t="s">
        <v>110</v>
      </c>
      <c r="L84" s="91"/>
      <c r="M84" s="91"/>
    </row>
    <row r="85" spans="2:13" ht="15" customHeight="1" x14ac:dyDescent="0.2">
      <c r="B85" s="10" t="s">
        <v>927</v>
      </c>
      <c r="C85" s="10" t="s">
        <v>928</v>
      </c>
      <c r="D85" s="16">
        <f>(M56*(Inputs!$D$7+Inputs!$D$20)*$D$78*$D$79-D87)-MAX((M56*(Inputs!$D$7+Inputs!$D$20)*$D$78*$D$79-D87),Inputs!$D$6)*Inputs!$D$19-D88-M56*Inputs!$D$20*$D$78*Inputs!$D$23</f>
        <v>6154.7166204301875</v>
      </c>
      <c r="G85" s="99" t="s">
        <v>929</v>
      </c>
      <c r="H85" s="91"/>
      <c r="I85" s="91"/>
      <c r="J85" s="28">
        <f>(D77-D90)/D89</f>
        <v>52.037166400000523</v>
      </c>
      <c r="K85" s="99" t="s">
        <v>919</v>
      </c>
      <c r="L85" s="91"/>
      <c r="M85" s="91"/>
    </row>
    <row r="86" spans="2:13" ht="15" customHeight="1" x14ac:dyDescent="0.2">
      <c r="B86" s="10" t="s">
        <v>930</v>
      </c>
      <c r="C86" s="10" t="s">
        <v>110</v>
      </c>
      <c r="D86" s="16">
        <f>D85/($D$80-Inputs!$D$20)</f>
        <v>82062.888272402488</v>
      </c>
      <c r="G86" s="99" t="s">
        <v>931</v>
      </c>
      <c r="H86" s="91"/>
      <c r="I86" s="91"/>
      <c r="J86" s="16">
        <f>MIN(D70:M70,(M56*(Inputs!$D$7+Inputs!$D$20)*$D$78*$D$79-D87))</f>
        <v>1450.6255212445933</v>
      </c>
      <c r="K86" s="99" t="s">
        <v>110</v>
      </c>
      <c r="L86" s="91"/>
      <c r="M86" s="91"/>
    </row>
    <row r="87" spans="2:13" ht="15" customHeight="1" x14ac:dyDescent="0.2">
      <c r="B87" s="10" t="s">
        <v>932</v>
      </c>
      <c r="C87" s="10" t="s">
        <v>928</v>
      </c>
      <c r="D87" s="16">
        <f>M56*(Inputs!$D$7+Inputs!$D$20)*($D$81/Inputs!$D$21+$D$82/Inputs!$D$22)</f>
        <v>13509.71303671543</v>
      </c>
      <c r="G87" s="99" t="s">
        <v>933</v>
      </c>
      <c r="H87" s="91"/>
      <c r="I87" s="91"/>
      <c r="J87" s="31" t="str">
        <f>IF(J86&lt;Inputs!$D$6,"breached","satisfied")</f>
        <v>satisfied</v>
      </c>
      <c r="K87" s="99" t="s">
        <v>934</v>
      </c>
      <c r="L87" s="91"/>
      <c r="M87" s="91"/>
    </row>
    <row r="88" spans="2:13" ht="15" customHeight="1" x14ac:dyDescent="0.2">
      <c r="B88" s="10" t="s">
        <v>935</v>
      </c>
      <c r="C88" s="10" t="s">
        <v>928</v>
      </c>
      <c r="D88" s="16">
        <f>M56*Inputs!$D$20*($D$81+$D$82)</f>
        <v>1365.7073615561799</v>
      </c>
    </row>
    <row r="89" spans="2:13" ht="15" customHeight="1" x14ac:dyDescent="0.2">
      <c r="B89" s="10" t="s">
        <v>936</v>
      </c>
      <c r="C89" s="10" t="s">
        <v>896</v>
      </c>
      <c r="D89" s="28">
        <f>SUM(D66:M66)+D83</f>
        <v>3297.2749396943454</v>
      </c>
      <c r="G89" s="99" t="s">
        <v>937</v>
      </c>
      <c r="H89" s="91"/>
      <c r="I89" s="91"/>
      <c r="J89" s="16">
        <f>D91-D77</f>
        <v>0</v>
      </c>
      <c r="K89" s="99" t="s">
        <v>110</v>
      </c>
      <c r="L89" s="91"/>
      <c r="M89" s="91"/>
    </row>
    <row r="90" spans="2:13" ht="15" customHeight="1" x14ac:dyDescent="0.2">
      <c r="B90" s="10" t="s">
        <v>938</v>
      </c>
      <c r="C90" s="10" t="s">
        <v>110</v>
      </c>
      <c r="D90" s="16">
        <f>SUM(D67:M67)+D84</f>
        <v>-127880.84470342637</v>
      </c>
    </row>
    <row r="91" spans="2:13" ht="15" customHeight="1" x14ac:dyDescent="0.2">
      <c r="B91" s="10" t="s">
        <v>939</v>
      </c>
      <c r="C91" s="10" t="s">
        <v>110</v>
      </c>
      <c r="D91" s="16">
        <f>SUM(D74:M74)+D86/(Inputs!$D$7+$D$80)^M54</f>
        <v>43699.999999999985</v>
      </c>
    </row>
    <row r="92" spans="2:13" ht="15" customHeight="1" x14ac:dyDescent="0.2">
      <c r="B92" s="10" t="s">
        <v>940</v>
      </c>
      <c r="C92" s="10" t="s">
        <v>104</v>
      </c>
      <c r="D92" s="30">
        <f>IF(ABS(D77)&gt;Inputs!$D$6,D91/D77-Inputs!$D$7,Inputs!$D$6)</f>
        <v>-3.3306690738754696E-16</v>
      </c>
    </row>
    <row r="93" spans="2:13" ht="15" customHeight="1" x14ac:dyDescent="0.2">
      <c r="B93" s="10" t="s">
        <v>941</v>
      </c>
      <c r="C93" s="10" t="s">
        <v>104</v>
      </c>
      <c r="D93" s="30">
        <f>IF(ABS(D91)&gt;Inputs!$D$119,D86/(Inputs!$D$7+$D$80)^M54/D91,Inputs!$D$6)</f>
        <v>0.74382000371298562</v>
      </c>
    </row>
    <row r="94" spans="2:13" ht="15" customHeight="1" x14ac:dyDescent="0.2">
      <c r="B94" s="10" t="s">
        <v>942</v>
      </c>
      <c r="C94" s="10" t="s">
        <v>943</v>
      </c>
      <c r="D94" s="26">
        <f>$D$78*Inputs!$D$8/Prices!$P$6/(Inputs!$D$26/Inputs!$D$25)/Inputs!$D$11/Inputs!$D$56</f>
        <v>9.4631167738952708</v>
      </c>
    </row>
    <row r="98" spans="1:13" ht="15" customHeight="1" x14ac:dyDescent="0.2">
      <c r="A98" s="104" t="s">
        <v>2167</v>
      </c>
      <c r="B98" s="10" t="s">
        <v>886</v>
      </c>
      <c r="C98" s="10" t="s">
        <v>107</v>
      </c>
      <c r="D98" s="28">
        <f>Inputs!$D$60</f>
        <v>1</v>
      </c>
      <c r="E98" s="28">
        <f>Inputs!$D$62</f>
        <v>2</v>
      </c>
      <c r="F98" s="28">
        <f>Inputs!$D$64</f>
        <v>3</v>
      </c>
      <c r="G98" s="28">
        <f>Inputs!$D$66</f>
        <v>4</v>
      </c>
      <c r="H98" s="28">
        <f>Inputs!$D$68</f>
        <v>5</v>
      </c>
      <c r="I98" s="28">
        <f>Inputs!$D$70</f>
        <v>6</v>
      </c>
      <c r="J98" s="28">
        <f>Inputs!$D$72</f>
        <v>7</v>
      </c>
      <c r="K98" s="28">
        <f>Inputs!$D$74</f>
        <v>8</v>
      </c>
      <c r="L98" s="28">
        <f>Inputs!$D$76</f>
        <v>9</v>
      </c>
      <c r="M98" s="28">
        <f>Inputs!$D$78</f>
        <v>10</v>
      </c>
    </row>
    <row r="99" spans="1:13" ht="15" customHeight="1" x14ac:dyDescent="0.2">
      <c r="A99" s="91"/>
      <c r="B99" s="10" t="s">
        <v>887</v>
      </c>
      <c r="C99" s="10" t="s">
        <v>161</v>
      </c>
      <c r="D99" s="29">
        <f>Inputs!$D$61</f>
        <v>46568</v>
      </c>
      <c r="E99" s="29">
        <f>Inputs!$D$63</f>
        <v>46934</v>
      </c>
      <c r="F99" s="29">
        <f>Inputs!$D$65</f>
        <v>47299</v>
      </c>
      <c r="G99" s="29">
        <f>Inputs!$D$67</f>
        <v>47664</v>
      </c>
      <c r="H99" s="29">
        <f>Inputs!$D$69</f>
        <v>48029</v>
      </c>
      <c r="I99" s="29">
        <f>Inputs!$D$71</f>
        <v>48395</v>
      </c>
      <c r="J99" s="29">
        <f>Inputs!$D$73</f>
        <v>48760</v>
      </c>
      <c r="K99" s="29">
        <f>Inputs!$D$75</f>
        <v>49125</v>
      </c>
      <c r="L99" s="29">
        <f>Inputs!$D$77</f>
        <v>49490</v>
      </c>
      <c r="M99" s="29">
        <f>Inputs!$D$79</f>
        <v>49856</v>
      </c>
    </row>
    <row r="100" spans="1:13" ht="15" customHeight="1" x14ac:dyDescent="0.2">
      <c r="A100" s="91"/>
      <c r="B100" s="10" t="s">
        <v>888</v>
      </c>
      <c r="C100" s="10" t="s">
        <v>107</v>
      </c>
      <c r="D100" s="28">
        <f>(D99-Inputs!$D$13)/Inputs!$D$10</f>
        <v>0.71457905544147848</v>
      </c>
      <c r="E100" s="28">
        <f>(E99-Inputs!$D$13)/Inputs!$D$10</f>
        <v>1.7166324435318274</v>
      </c>
      <c r="F100" s="28">
        <f>(F99-Inputs!$D$13)/Inputs!$D$10</f>
        <v>2.7159479808350446</v>
      </c>
      <c r="G100" s="28">
        <f>(G99-Inputs!$D$13)/Inputs!$D$10</f>
        <v>3.7152635181382614</v>
      </c>
      <c r="H100" s="28">
        <f>(H99-Inputs!$D$13)/Inputs!$D$10</f>
        <v>4.7145790554414786</v>
      </c>
      <c r="I100" s="28">
        <f>(I99-Inputs!$D$13)/Inputs!$D$10</f>
        <v>5.7166324435318279</v>
      </c>
      <c r="J100" s="28">
        <f>(J99-Inputs!$D$13)/Inputs!$D$10</f>
        <v>6.7159479808350442</v>
      </c>
      <c r="K100" s="28">
        <f>(K99-Inputs!$D$13)/Inputs!$D$10</f>
        <v>7.7152635181382614</v>
      </c>
      <c r="L100" s="28">
        <f>(L99-Inputs!$D$13)/Inputs!$D$10</f>
        <v>8.7145790554414777</v>
      </c>
      <c r="M100" s="28">
        <f>(M99-Inputs!$D$13)/Inputs!$D$10</f>
        <v>9.716632443531827</v>
      </c>
    </row>
    <row r="101" spans="1:13" ht="15" customHeight="1" x14ac:dyDescent="0.2">
      <c r="A101" s="91"/>
      <c r="B101" s="10" t="s">
        <v>889</v>
      </c>
      <c r="C101" s="10" t="s">
        <v>107</v>
      </c>
      <c r="D101" s="28">
        <f>D100</f>
        <v>0.71457905544147848</v>
      </c>
      <c r="E101" s="28">
        <f>Inputs!$D$7</f>
        <v>1</v>
      </c>
      <c r="F101" s="28">
        <f>Inputs!$D$7</f>
        <v>1</v>
      </c>
      <c r="G101" s="28">
        <f>Inputs!$D$7</f>
        <v>1</v>
      </c>
      <c r="H101" s="28">
        <f>Inputs!$D$7</f>
        <v>1</v>
      </c>
      <c r="I101" s="28">
        <f>Inputs!$D$7</f>
        <v>1</v>
      </c>
      <c r="J101" s="28">
        <f>Inputs!$D$7</f>
        <v>1</v>
      </c>
      <c r="K101" s="28">
        <f>Inputs!$D$7</f>
        <v>1</v>
      </c>
      <c r="L101" s="28">
        <f>Inputs!$D$7</f>
        <v>1</v>
      </c>
      <c r="M101" s="28">
        <f>Inputs!$D$7</f>
        <v>1</v>
      </c>
    </row>
    <row r="102" spans="1:13" ht="15" customHeight="1" x14ac:dyDescent="0.2">
      <c r="A102" s="91"/>
      <c r="B102" s="3" t="s">
        <v>890</v>
      </c>
      <c r="C102" s="10" t="s">
        <v>199</v>
      </c>
      <c r="D102" s="28">
        <f>Inputs!$D$24+(Inputs!$D$80-Inputs!$D$24)*Inputs!$D$83</f>
        <v>305.5</v>
      </c>
      <c r="E102" s="28">
        <f>Inputs!$D$24+(Inputs!$D$80-Inputs!$D$24)*Inputs!$D$84</f>
        <v>651.5</v>
      </c>
      <c r="F102" s="28">
        <f>Inputs!$D$24+(Inputs!$D$80-Inputs!$D$24)*Inputs!$D$85</f>
        <v>911</v>
      </c>
      <c r="G102" s="28">
        <f>Inputs!$D$24+(Inputs!$D$80-Inputs!$D$24)*Inputs!$D$86</f>
        <v>911</v>
      </c>
      <c r="H102" s="28">
        <f>Inputs!$D$24+(Inputs!$D$80-Inputs!$D$24)*Inputs!$D$87</f>
        <v>911</v>
      </c>
      <c r="I102" s="28">
        <f>Inputs!$D$24+(Inputs!$D$80-Inputs!$D$24)*Inputs!$D$88</f>
        <v>911</v>
      </c>
      <c r="J102" s="28">
        <f>Inputs!$D$24+(Inputs!$D$80-Inputs!$D$24)*Inputs!$D$89</f>
        <v>911</v>
      </c>
      <c r="K102" s="28">
        <f>Inputs!$D$24+(Inputs!$D$80-Inputs!$D$24)*Inputs!$D$90</f>
        <v>911</v>
      </c>
      <c r="L102" s="28">
        <f>Inputs!$D$24+(Inputs!$D$80-Inputs!$D$24)*Inputs!$D$91</f>
        <v>911</v>
      </c>
      <c r="M102" s="28">
        <f>Inputs!$D$24+(Inputs!$D$80-Inputs!$D$24)*Inputs!$D$92</f>
        <v>911</v>
      </c>
    </row>
    <row r="103" spans="1:13" ht="15" customHeight="1" x14ac:dyDescent="0.2">
      <c r="A103" s="91"/>
      <c r="B103" s="10" t="s">
        <v>891</v>
      </c>
      <c r="C103" s="10" t="s">
        <v>199</v>
      </c>
      <c r="D103" s="28">
        <f>Inputs!$D$24</f>
        <v>46</v>
      </c>
      <c r="E103" s="28">
        <f t="shared" ref="E103:M103" si="20">D102</f>
        <v>305.5</v>
      </c>
      <c r="F103" s="28">
        <f t="shared" si="20"/>
        <v>651.5</v>
      </c>
      <c r="G103" s="28">
        <f t="shared" si="20"/>
        <v>911</v>
      </c>
      <c r="H103" s="28">
        <f t="shared" si="20"/>
        <v>911</v>
      </c>
      <c r="I103" s="28">
        <f t="shared" si="20"/>
        <v>911</v>
      </c>
      <c r="J103" s="28">
        <f t="shared" si="20"/>
        <v>911</v>
      </c>
      <c r="K103" s="28">
        <f t="shared" si="20"/>
        <v>911</v>
      </c>
      <c r="L103" s="28">
        <f t="shared" si="20"/>
        <v>911</v>
      </c>
      <c r="M103" s="28">
        <f t="shared" si="20"/>
        <v>911</v>
      </c>
    </row>
    <row r="104" spans="1:13" ht="15" customHeight="1" x14ac:dyDescent="0.2">
      <c r="B104" s="10" t="s">
        <v>892</v>
      </c>
      <c r="C104" s="10" t="s">
        <v>199</v>
      </c>
      <c r="D104" s="28">
        <f>(D103+D102)*Inputs!$D$12</f>
        <v>175.75</v>
      </c>
      <c r="E104" s="28">
        <f>(E103+E102)*Inputs!$D$12</f>
        <v>478.5</v>
      </c>
      <c r="F104" s="28">
        <f>(F103+F102)*Inputs!$D$12</f>
        <v>781.25</v>
      </c>
      <c r="G104" s="28">
        <f>(G103+G102)*Inputs!$D$12</f>
        <v>911</v>
      </c>
      <c r="H104" s="28">
        <f>(H103+H102)*Inputs!$D$12</f>
        <v>911</v>
      </c>
      <c r="I104" s="28">
        <f>(I103+I102)*Inputs!$D$12</f>
        <v>911</v>
      </c>
      <c r="J104" s="28">
        <f>(J103+J102)*Inputs!$D$12</f>
        <v>911</v>
      </c>
      <c r="K104" s="28">
        <f>(K103+K102)*Inputs!$D$12</f>
        <v>911</v>
      </c>
      <c r="L104" s="28">
        <f>(L103+L102)*Inputs!$D$12</f>
        <v>911</v>
      </c>
      <c r="M104" s="28">
        <f>(M103+M102)*Inputs!$D$12</f>
        <v>911</v>
      </c>
    </row>
    <row r="105" spans="1:13" ht="15" customHeight="1" x14ac:dyDescent="0.2">
      <c r="B105" s="10" t="s">
        <v>893</v>
      </c>
      <c r="C105" s="10" t="s">
        <v>199</v>
      </c>
      <c r="D105" s="28">
        <f t="shared" ref="D105:M105" si="21">D102-D103</f>
        <v>259.5</v>
      </c>
      <c r="E105" s="28">
        <f t="shared" si="21"/>
        <v>346</v>
      </c>
      <c r="F105" s="28">
        <f t="shared" si="21"/>
        <v>259.5</v>
      </c>
      <c r="G105" s="28">
        <f t="shared" si="21"/>
        <v>0</v>
      </c>
      <c r="H105" s="28">
        <f t="shared" si="21"/>
        <v>0</v>
      </c>
      <c r="I105" s="28">
        <f t="shared" si="21"/>
        <v>0</v>
      </c>
      <c r="J105" s="28">
        <f t="shared" si="21"/>
        <v>0</v>
      </c>
      <c r="K105" s="28">
        <f t="shared" si="21"/>
        <v>0</v>
      </c>
      <c r="L105" s="28">
        <f t="shared" si="21"/>
        <v>0</v>
      </c>
      <c r="M105" s="28">
        <f t="shared" si="21"/>
        <v>0</v>
      </c>
    </row>
    <row r="106" spans="1:13" ht="15" customHeight="1" x14ac:dyDescent="0.2">
      <c r="B106" s="10" t="s">
        <v>894</v>
      </c>
      <c r="C106" s="10" t="s">
        <v>199</v>
      </c>
      <c r="D106" s="28">
        <f>IF(MOD(D98,Inputs!$D$21)=Inputs!$D$6,Inputs!$D$24,Inputs!$D$6)+SUMPRODUCT(--(D98&gt;$D$98:$M$98),--(MOD(D98-$D$98:$M$98,Inputs!$D$21)=Inputs!$D$6),$D$105:$M$105)</f>
        <v>0</v>
      </c>
      <c r="E106" s="28">
        <f>IF(MOD(E98,Inputs!$D$21)=Inputs!$D$6,Inputs!$D$24,Inputs!$D$6)+SUMPRODUCT(--(E98&gt;$D$98:$M$98),--(MOD(E98-$D$98:$M$98,Inputs!$D$21)=Inputs!$D$6),$D$105:$M$105)</f>
        <v>0</v>
      </c>
      <c r="F106" s="28">
        <f>IF(MOD(F98,Inputs!$D$21)=Inputs!$D$6,Inputs!$D$24,Inputs!$D$6)+SUMPRODUCT(--(F98&gt;$D$98:$M$98),--(MOD(F98-$D$98:$M$98,Inputs!$D$21)=Inputs!$D$6),$D$105:$M$105)</f>
        <v>0</v>
      </c>
      <c r="G106" s="28">
        <f>IF(MOD(G98,Inputs!$D$21)=Inputs!$D$6,Inputs!$D$24,Inputs!$D$6)+SUMPRODUCT(--(G98&gt;$D$98:$M$98),--(MOD(G98-$D$98:$M$98,Inputs!$D$21)=Inputs!$D$6),$D$105:$M$105)</f>
        <v>46</v>
      </c>
      <c r="H106" s="28">
        <f>IF(MOD(H98,Inputs!$D$21)=Inputs!$D$6,Inputs!$D$24,Inputs!$D$6)+SUMPRODUCT(--(H98&gt;$D$98:$M$98),--(MOD(H98-$D$98:$M$98,Inputs!$D$21)=Inputs!$D$6),$D$105:$M$105)</f>
        <v>259.5</v>
      </c>
      <c r="I106" s="28">
        <f>IF(MOD(I98,Inputs!$D$21)=Inputs!$D$6,Inputs!$D$24,Inputs!$D$6)+SUMPRODUCT(--(I98&gt;$D$98:$M$98),--(MOD(I98-$D$98:$M$98,Inputs!$D$21)=Inputs!$D$6),$D$105:$M$105)</f>
        <v>346</v>
      </c>
      <c r="J106" s="28">
        <f>IF(MOD(J98,Inputs!$D$21)=Inputs!$D$6,Inputs!$D$24,Inputs!$D$6)+SUMPRODUCT(--(J98&gt;$D$98:$M$98),--(MOD(J98-$D$98:$M$98,Inputs!$D$21)=Inputs!$D$6),$D$105:$M$105)</f>
        <v>259.5</v>
      </c>
      <c r="K106" s="28">
        <f>IF(MOD(K98,Inputs!$D$21)=Inputs!$D$6,Inputs!$D$24,Inputs!$D$6)+SUMPRODUCT(--(K98&gt;$D$98:$M$98),--(MOD(K98-$D$98:$M$98,Inputs!$D$21)=Inputs!$D$6),$D$105:$M$105)</f>
        <v>46</v>
      </c>
      <c r="L106" s="28">
        <f>IF(MOD(L98,Inputs!$D$21)=Inputs!$D$6,Inputs!$D$24,Inputs!$D$6)+SUMPRODUCT(--(L98&gt;$D$98:$M$98),--(MOD(L98-$D$98:$M$98,Inputs!$D$21)=Inputs!$D$6),$D$105:$M$105)</f>
        <v>259.5</v>
      </c>
      <c r="M106" s="28">
        <f>IF(MOD(M98,Inputs!$D$21)=Inputs!$D$6,Inputs!$D$24,Inputs!$D$6)+SUMPRODUCT(--(M98&gt;$D$98:$M$98),--(MOD(M98-$D$98:$M$98,Inputs!$D$21)=Inputs!$D$6),$D$105:$M$105)</f>
        <v>346</v>
      </c>
    </row>
    <row r="107" spans="1:13" ht="15" customHeight="1" x14ac:dyDescent="0.2">
      <c r="B107" s="10" t="s">
        <v>895</v>
      </c>
      <c r="C107" s="10" t="s">
        <v>896</v>
      </c>
      <c r="D107" s="28">
        <f t="shared" ref="D107:M107" si="22">D104*D101</f>
        <v>125.58726899383984</v>
      </c>
      <c r="E107" s="28">
        <f t="shared" si="22"/>
        <v>478.5</v>
      </c>
      <c r="F107" s="28">
        <f t="shared" si="22"/>
        <v>781.25</v>
      </c>
      <c r="G107" s="28">
        <f t="shared" si="22"/>
        <v>911</v>
      </c>
      <c r="H107" s="28">
        <f t="shared" si="22"/>
        <v>911</v>
      </c>
      <c r="I107" s="28">
        <f t="shared" si="22"/>
        <v>911</v>
      </c>
      <c r="J107" s="28">
        <f t="shared" si="22"/>
        <v>911</v>
      </c>
      <c r="K107" s="28">
        <f t="shared" si="22"/>
        <v>911</v>
      </c>
      <c r="L107" s="28">
        <f t="shared" si="22"/>
        <v>911</v>
      </c>
      <c r="M107" s="28">
        <f t="shared" si="22"/>
        <v>911</v>
      </c>
    </row>
    <row r="108" spans="1:13" ht="15" customHeight="1" x14ac:dyDescent="0.2">
      <c r="B108" s="10" t="s">
        <v>897</v>
      </c>
      <c r="C108" s="10" t="s">
        <v>110</v>
      </c>
      <c r="D108" s="16">
        <f>D107*($D$127/Inputs!$D$21+$D$128/Inputs!$D$22)</f>
        <v>1816.9772859324419</v>
      </c>
      <c r="E108" s="16">
        <f>E107*($D$127/Inputs!$D$21+$D$128/Inputs!$D$22)</f>
        <v>6922.8643817497086</v>
      </c>
      <c r="F108" s="16">
        <f>F107*($D$127/Inputs!$D$21+$D$128/Inputs!$D$22)</f>
        <v>11303.0048030135</v>
      </c>
      <c r="G108" s="16">
        <f>G107*($D$127/Inputs!$D$21+$D$128/Inputs!$D$22)</f>
        <v>13180.207840697982</v>
      </c>
      <c r="H108" s="16">
        <f>H107*($D$127/Inputs!$D$21+$D$128/Inputs!$D$22)</f>
        <v>13180.207840697982</v>
      </c>
      <c r="I108" s="16">
        <f>I107*($D$127/Inputs!$D$21+$D$128/Inputs!$D$22)</f>
        <v>13180.207840697982</v>
      </c>
      <c r="J108" s="16">
        <f>J107*($D$127/Inputs!$D$21+$D$128/Inputs!$D$22)</f>
        <v>13180.207840697982</v>
      </c>
      <c r="K108" s="16">
        <f>K107*($D$127/Inputs!$D$21+$D$128/Inputs!$D$22)</f>
        <v>13180.207840697982</v>
      </c>
      <c r="L108" s="16">
        <f>L107*($D$127/Inputs!$D$21+$D$128/Inputs!$D$22)</f>
        <v>13180.207840697982</v>
      </c>
      <c r="M108" s="16">
        <f>M107*($D$127/Inputs!$D$21+$D$128/Inputs!$D$22)</f>
        <v>13180.207840697982</v>
      </c>
    </row>
    <row r="109" spans="1:13" ht="15" customHeight="1" x14ac:dyDescent="0.2">
      <c r="B109" s="10" t="s">
        <v>898</v>
      </c>
      <c r="C109" s="10" t="s">
        <v>110</v>
      </c>
      <c r="D109" s="16">
        <f t="shared" ref="D109:M109" si="23">D105*($D$127+$D$128)</f>
        <v>15560.968620146154</v>
      </c>
      <c r="E109" s="16">
        <f t="shared" si="23"/>
        <v>20747.95816019487</v>
      </c>
      <c r="F109" s="16">
        <f t="shared" si="23"/>
        <v>15560.968620146154</v>
      </c>
      <c r="G109" s="16">
        <f t="shared" si="23"/>
        <v>0</v>
      </c>
      <c r="H109" s="16">
        <f t="shared" si="23"/>
        <v>0</v>
      </c>
      <c r="I109" s="16">
        <f t="shared" si="23"/>
        <v>0</v>
      </c>
      <c r="J109" s="16">
        <f t="shared" si="23"/>
        <v>0</v>
      </c>
      <c r="K109" s="16">
        <f t="shared" si="23"/>
        <v>0</v>
      </c>
      <c r="L109" s="16">
        <f t="shared" si="23"/>
        <v>0</v>
      </c>
      <c r="M109" s="16">
        <f t="shared" si="23"/>
        <v>0</v>
      </c>
    </row>
    <row r="110" spans="1:13" ht="15" customHeight="1" x14ac:dyDescent="0.2">
      <c r="B110" s="10" t="s">
        <v>899</v>
      </c>
      <c r="C110" s="10" t="s">
        <v>110</v>
      </c>
      <c r="D110" s="16">
        <f t="shared" ref="D110:M110" si="24">D106*$D$127</f>
        <v>0</v>
      </c>
      <c r="E110" s="16">
        <f t="shared" si="24"/>
        <v>0</v>
      </c>
      <c r="F110" s="16">
        <f t="shared" si="24"/>
        <v>0</v>
      </c>
      <c r="G110" s="16">
        <f t="shared" si="24"/>
        <v>2638.0048485671714</v>
      </c>
      <c r="H110" s="16">
        <f t="shared" si="24"/>
        <v>14881.788221808281</v>
      </c>
      <c r="I110" s="16">
        <f t="shared" si="24"/>
        <v>19842.384295744378</v>
      </c>
      <c r="J110" s="16">
        <f t="shared" si="24"/>
        <v>14881.788221808281</v>
      </c>
      <c r="K110" s="16">
        <f t="shared" si="24"/>
        <v>2638.0048485671714</v>
      </c>
      <c r="L110" s="16">
        <f t="shared" si="24"/>
        <v>14881.788221808281</v>
      </c>
      <c r="M110" s="16">
        <f t="shared" si="24"/>
        <v>19842.384295744378</v>
      </c>
    </row>
    <row r="111" spans="1:13" ht="15" customHeight="1" x14ac:dyDescent="0.2">
      <c r="B111" s="10" t="s">
        <v>900</v>
      </c>
      <c r="C111" s="10" t="s">
        <v>199</v>
      </c>
      <c r="D111" s="28">
        <f>D105*Inputs!$D$23</f>
        <v>6.4875000000000007</v>
      </c>
      <c r="E111" s="28">
        <f>E105*Inputs!$D$23</f>
        <v>8.65</v>
      </c>
      <c r="F111" s="28">
        <f>F105*Inputs!$D$23</f>
        <v>6.4875000000000007</v>
      </c>
      <c r="G111" s="28">
        <f>G105*Inputs!$D$23</f>
        <v>0</v>
      </c>
      <c r="H111" s="28">
        <f>H105*Inputs!$D$23</f>
        <v>0</v>
      </c>
      <c r="I111" s="28">
        <f>I105*Inputs!$D$23</f>
        <v>0</v>
      </c>
      <c r="J111" s="28">
        <f>J105*Inputs!$D$23</f>
        <v>0</v>
      </c>
      <c r="K111" s="28">
        <f>K105*Inputs!$D$23</f>
        <v>0</v>
      </c>
      <c r="L111" s="28">
        <f>L105*Inputs!$D$23</f>
        <v>0</v>
      </c>
      <c r="M111" s="28">
        <f>M105*Inputs!$D$23</f>
        <v>0</v>
      </c>
    </row>
    <row r="112" spans="1:13" ht="15" customHeight="1" x14ac:dyDescent="0.2">
      <c r="B112" s="3" t="s">
        <v>901</v>
      </c>
      <c r="C112" s="10" t="s">
        <v>896</v>
      </c>
      <c r="D112" s="28">
        <f>(D107*$D$125*(Inputs!$D$7-Inputs!$D$19)-D111)/(Inputs!$D$7+$D$126)^D100</f>
        <v>34.553405364425309</v>
      </c>
      <c r="E112" s="28">
        <f>(E107*$D$125*(Inputs!$D$7-Inputs!$D$19)-E111)/(Inputs!$D$7+$D$126)^E100</f>
        <v>130.74636078479486</v>
      </c>
      <c r="F112" s="28">
        <f>(F107*$D$125*(Inputs!$D$7-Inputs!$D$19)-F111)/(Inputs!$D$7+$D$126)^F100</f>
        <v>196.22590281428219</v>
      </c>
      <c r="G112" s="28">
        <f>(G107*$D$125*(Inputs!$D$7-Inputs!$D$19)-G111)/(Inputs!$D$7+$D$126)^G100</f>
        <v>209.2803713494331</v>
      </c>
      <c r="H112" s="28">
        <f>(H107*$D$125*(Inputs!$D$7-Inputs!$D$19)-H111)/(Inputs!$D$7+$D$126)^H100</f>
        <v>186.8719693768727</v>
      </c>
      <c r="I112" s="28">
        <f>(I107*$D$125*(Inputs!$D$7-Inputs!$D$19)-I111)/(Inputs!$D$7+$D$126)^I100</f>
        <v>166.81114988976415</v>
      </c>
      <c r="J112" s="28">
        <f>(J107*$D$125*(Inputs!$D$7-Inputs!$D$19)-J111)/(Inputs!$D$7+$D$126)^J100</f>
        <v>148.95008018632026</v>
      </c>
      <c r="K112" s="28">
        <f>(K107*$D$125*(Inputs!$D$7-Inputs!$D$19)-K111)/(Inputs!$D$7+$D$126)^K100</f>
        <v>133.00145944784117</v>
      </c>
      <c r="L112" s="28">
        <f>(L107*$D$125*(Inputs!$D$7-Inputs!$D$19)-L111)/(Inputs!$D$7+$D$126)^L100</f>
        <v>118.76051488611658</v>
      </c>
      <c r="M112" s="28">
        <f>(M107*$D$125*(Inputs!$D$7-Inputs!$D$19)-M111)/(Inputs!$D$7+$D$126)^M100</f>
        <v>106.01150143444319</v>
      </c>
    </row>
    <row r="113" spans="2:13" ht="15" customHeight="1" x14ac:dyDescent="0.2">
      <c r="B113" s="10" t="s">
        <v>902</v>
      </c>
      <c r="C113" s="10" t="s">
        <v>110</v>
      </c>
      <c r="D113" s="16">
        <f>(D108*Inputs!$D$19-D109-D110)/(Inputs!$D$7+$D$126)^D100</f>
        <v>-13847.790632947557</v>
      </c>
      <c r="E113" s="16">
        <f>(E108*Inputs!$D$19-E109-E110)/(Inputs!$D$7+$D$126)^E100</f>
        <v>-15370.239105459035</v>
      </c>
      <c r="F113" s="16">
        <f>(F108*Inputs!$D$19-F109-F110)/(Inputs!$D$7+$D$126)^F100</f>
        <v>-8945.8041564234754</v>
      </c>
      <c r="G113" s="16">
        <f>(G108*Inputs!$D$19-G109-G110)/(Inputs!$D$7+$D$126)^G100</f>
        <v>863.80744262020482</v>
      </c>
      <c r="H113" s="16">
        <f>(H108*Inputs!$D$19-H109-H110)/(Inputs!$D$7+$D$126)^H100</f>
        <v>-6404.5339628745278</v>
      </c>
      <c r="I113" s="16">
        <f>(I108*Inputs!$D$19-I109-I110)/(Inputs!$D$7+$D$126)^I100</f>
        <v>-8312.2134333380691</v>
      </c>
      <c r="J113" s="16">
        <f>(J108*Inputs!$D$19-J109-J110)/(Inputs!$D$7+$D$126)^J100</f>
        <v>-5104.8632414329013</v>
      </c>
      <c r="K113" s="16">
        <f>(K108*Inputs!$D$19-K109-K110)/(Inputs!$D$7+$D$126)^K100</f>
        <v>548.96524604578394</v>
      </c>
      <c r="L113" s="16">
        <f>(L108*Inputs!$D$19-L109-L110)/(Inputs!$D$7+$D$126)^L100</f>
        <v>-4070.1971171644977</v>
      </c>
      <c r="M113" s="16">
        <f>(M108*Inputs!$D$19-M109-M110)/(Inputs!$D$7+$D$126)^M100</f>
        <v>-5282.5619084458349</v>
      </c>
    </row>
    <row r="114" spans="2:13" ht="15" customHeight="1" x14ac:dyDescent="0.2">
      <c r="B114" s="10" t="s">
        <v>903</v>
      </c>
      <c r="C114" s="10" t="s">
        <v>110</v>
      </c>
      <c r="D114" s="16">
        <f t="shared" ref="D114:M114" si="25">D107*$D$124</f>
        <v>7199.4447774977634</v>
      </c>
      <c r="E114" s="16">
        <f t="shared" si="25"/>
        <v>27430.601474434934</v>
      </c>
      <c r="F114" s="16">
        <f t="shared" si="25"/>
        <v>44786.117872314091</v>
      </c>
      <c r="G114" s="16">
        <f t="shared" si="25"/>
        <v>52224.196328548016</v>
      </c>
      <c r="H114" s="16">
        <f t="shared" si="25"/>
        <v>52224.196328548016</v>
      </c>
      <c r="I114" s="16">
        <f t="shared" si="25"/>
        <v>52224.196328548016</v>
      </c>
      <c r="J114" s="16">
        <f t="shared" si="25"/>
        <v>52224.196328548016</v>
      </c>
      <c r="K114" s="16">
        <f t="shared" si="25"/>
        <v>52224.196328548016</v>
      </c>
      <c r="L114" s="16">
        <f t="shared" si="25"/>
        <v>52224.196328548016</v>
      </c>
      <c r="M114" s="16">
        <f t="shared" si="25"/>
        <v>52224.196328548016</v>
      </c>
    </row>
    <row r="115" spans="2:13" ht="15" customHeight="1" x14ac:dyDescent="0.2">
      <c r="B115" s="10" t="s">
        <v>904</v>
      </c>
      <c r="C115" s="10" t="s">
        <v>110</v>
      </c>
      <c r="D115" s="16">
        <f t="shared" ref="D115:M115" si="26">D114*$D$125</f>
        <v>3599.7223887488817</v>
      </c>
      <c r="E115" s="16">
        <f t="shared" si="26"/>
        <v>13715.300737217467</v>
      </c>
      <c r="F115" s="16">
        <f t="shared" si="26"/>
        <v>22393.058936157046</v>
      </c>
      <c r="G115" s="16">
        <f t="shared" si="26"/>
        <v>26112.098164274008</v>
      </c>
      <c r="H115" s="16">
        <f t="shared" si="26"/>
        <v>26112.098164274008</v>
      </c>
      <c r="I115" s="16">
        <f t="shared" si="26"/>
        <v>26112.098164274008</v>
      </c>
      <c r="J115" s="16">
        <f t="shared" si="26"/>
        <v>26112.098164274008</v>
      </c>
      <c r="K115" s="16">
        <f t="shared" si="26"/>
        <v>26112.098164274008</v>
      </c>
      <c r="L115" s="16">
        <f t="shared" si="26"/>
        <v>26112.098164274008</v>
      </c>
      <c r="M115" s="16">
        <f t="shared" si="26"/>
        <v>26112.098164274008</v>
      </c>
    </row>
    <row r="116" spans="2:13" ht="15" customHeight="1" x14ac:dyDescent="0.2">
      <c r="B116" s="10" t="s">
        <v>905</v>
      </c>
      <c r="C116" s="10" t="s">
        <v>110</v>
      </c>
      <c r="D116" s="16">
        <f t="shared" ref="D116:M116" si="27">D115-D108</f>
        <v>1782.7451028164398</v>
      </c>
      <c r="E116" s="16">
        <f t="shared" si="27"/>
        <v>6792.4363554677584</v>
      </c>
      <c r="F116" s="16">
        <f t="shared" si="27"/>
        <v>11090.054133143545</v>
      </c>
      <c r="G116" s="16">
        <f t="shared" si="27"/>
        <v>12931.890323576026</v>
      </c>
      <c r="H116" s="16">
        <f t="shared" si="27"/>
        <v>12931.890323576026</v>
      </c>
      <c r="I116" s="16">
        <f t="shared" si="27"/>
        <v>12931.890323576026</v>
      </c>
      <c r="J116" s="16">
        <f t="shared" si="27"/>
        <v>12931.890323576026</v>
      </c>
      <c r="K116" s="16">
        <f t="shared" si="27"/>
        <v>12931.890323576026</v>
      </c>
      <c r="L116" s="16">
        <f t="shared" si="27"/>
        <v>12931.890323576026</v>
      </c>
      <c r="M116" s="16">
        <f t="shared" si="27"/>
        <v>12931.890323576026</v>
      </c>
    </row>
    <row r="117" spans="2:13" ht="15" customHeight="1" x14ac:dyDescent="0.2">
      <c r="B117" s="10" t="s">
        <v>906</v>
      </c>
      <c r="C117" s="10" t="s">
        <v>110</v>
      </c>
      <c r="D117" s="16">
        <f>MAX(D116,Inputs!$D$6)*Inputs!$D$19</f>
        <v>534.82353084493195</v>
      </c>
      <c r="E117" s="16">
        <f>MAX(E116,Inputs!$D$6)*Inputs!$D$19</f>
        <v>2037.7309066403275</v>
      </c>
      <c r="F117" s="16">
        <f>MAX(F116,Inputs!$D$6)*Inputs!$D$19</f>
        <v>3327.0162399430633</v>
      </c>
      <c r="G117" s="16">
        <f>MAX(G116,Inputs!$D$6)*Inputs!$D$19</f>
        <v>3879.5670970728079</v>
      </c>
      <c r="H117" s="16">
        <f>MAX(H116,Inputs!$D$6)*Inputs!$D$19</f>
        <v>3879.5670970728079</v>
      </c>
      <c r="I117" s="16">
        <f>MAX(I116,Inputs!$D$6)*Inputs!$D$19</f>
        <v>3879.5670970728079</v>
      </c>
      <c r="J117" s="16">
        <f>MAX(J116,Inputs!$D$6)*Inputs!$D$19</f>
        <v>3879.5670970728079</v>
      </c>
      <c r="K117" s="16">
        <f>MAX(K116,Inputs!$D$6)*Inputs!$D$19</f>
        <v>3879.5670970728079</v>
      </c>
      <c r="L117" s="16">
        <f>MAX(L116,Inputs!$D$6)*Inputs!$D$19</f>
        <v>3879.5670970728079</v>
      </c>
      <c r="M117" s="16">
        <f>MAX(M116,Inputs!$D$6)*Inputs!$D$19</f>
        <v>3879.5670970728079</v>
      </c>
    </row>
    <row r="118" spans="2:13" ht="15" customHeight="1" x14ac:dyDescent="0.2">
      <c r="B118" s="10" t="s">
        <v>907</v>
      </c>
      <c r="C118" s="10" t="s">
        <v>110</v>
      </c>
      <c r="D118" s="16">
        <f t="shared" ref="D118:M118" si="28">D111*$D$124</f>
        <v>371.90392281169625</v>
      </c>
      <c r="E118" s="16">
        <f t="shared" si="28"/>
        <v>495.87189708226163</v>
      </c>
      <c r="F118" s="16">
        <f t="shared" si="28"/>
        <v>371.90392281169625</v>
      </c>
      <c r="G118" s="16">
        <f t="shared" si="28"/>
        <v>0</v>
      </c>
      <c r="H118" s="16">
        <f t="shared" si="28"/>
        <v>0</v>
      </c>
      <c r="I118" s="16">
        <f t="shared" si="28"/>
        <v>0</v>
      </c>
      <c r="J118" s="16">
        <f t="shared" si="28"/>
        <v>0</v>
      </c>
      <c r="K118" s="16">
        <f t="shared" si="28"/>
        <v>0</v>
      </c>
      <c r="L118" s="16">
        <f t="shared" si="28"/>
        <v>0</v>
      </c>
      <c r="M118" s="16">
        <f t="shared" si="28"/>
        <v>0</v>
      </c>
    </row>
    <row r="119" spans="2:13" ht="15" customHeight="1" x14ac:dyDescent="0.2">
      <c r="B119" s="10" t="s">
        <v>908</v>
      </c>
      <c r="C119" s="10" t="s">
        <v>110</v>
      </c>
      <c r="D119" s="16">
        <f t="shared" ref="D119:M119" si="29">D115-D117-D109-D110-D118</f>
        <v>-12867.973685053901</v>
      </c>
      <c r="E119" s="16">
        <f t="shared" si="29"/>
        <v>-9566.2602266999911</v>
      </c>
      <c r="F119" s="16">
        <f t="shared" si="29"/>
        <v>3133.1701532561328</v>
      </c>
      <c r="G119" s="16">
        <f t="shared" si="29"/>
        <v>19594.526218634026</v>
      </c>
      <c r="H119" s="16">
        <f t="shared" si="29"/>
        <v>7350.7428453929169</v>
      </c>
      <c r="I119" s="16">
        <f t="shared" si="29"/>
        <v>2390.1467714568207</v>
      </c>
      <c r="J119" s="16">
        <f t="shared" si="29"/>
        <v>7350.7428453929169</v>
      </c>
      <c r="K119" s="16">
        <f t="shared" si="29"/>
        <v>19594.526218634026</v>
      </c>
      <c r="L119" s="16">
        <f t="shared" si="29"/>
        <v>7350.7428453929169</v>
      </c>
      <c r="M119" s="16">
        <f t="shared" si="29"/>
        <v>2390.1467714568207</v>
      </c>
    </row>
    <row r="120" spans="2:13" ht="15" customHeight="1" x14ac:dyDescent="0.2">
      <c r="B120" s="10" t="s">
        <v>909</v>
      </c>
      <c r="C120" s="10" t="s">
        <v>110</v>
      </c>
      <c r="D120" s="16">
        <f>D119/(Inputs!$D$7+$D$126)^D100</f>
        <v>-11866.974139455077</v>
      </c>
      <c r="E120" s="16">
        <f>E119/(Inputs!$D$7+$D$126)^E100</f>
        <v>-7875.0430408396078</v>
      </c>
      <c r="F120" s="16">
        <f>F119/(Inputs!$D$7+$D$126)^F100</f>
        <v>2303.0872522698919</v>
      </c>
      <c r="G120" s="16">
        <f>G119/(Inputs!$D$7+$D$126)^G100</f>
        <v>12861.062328530445</v>
      </c>
      <c r="H120" s="16">
        <f>H119/(Inputs!$D$7+$D$126)^H100</f>
        <v>4308.1316979819085</v>
      </c>
      <c r="I120" s="16">
        <f>I119/(Inputs!$D$7+$D$126)^I100</f>
        <v>1250.4410580273473</v>
      </c>
      <c r="J120" s="16">
        <f>J119/(Inputs!$D$7+$D$126)^J100</f>
        <v>3433.8834444105223</v>
      </c>
      <c r="K120" s="16">
        <f>K119/(Inputs!$D$7+$D$126)^K100</f>
        <v>8173.4376172724296</v>
      </c>
      <c r="L120" s="16">
        <f>L119/(Inputs!$D$7+$D$126)^L100</f>
        <v>2737.8955782164044</v>
      </c>
      <c r="M120" s="16">
        <f>M119/(Inputs!$D$7+$D$126)^M100</f>
        <v>794.67789835604378</v>
      </c>
    </row>
    <row r="121" spans="2:13" ht="15" customHeight="1" x14ac:dyDescent="0.2">
      <c r="B121" s="3" t="s">
        <v>910</v>
      </c>
      <c r="C121" s="10" t="s">
        <v>896</v>
      </c>
      <c r="D121" s="28">
        <f>(D107*$D$125-D111)/(Inputs!$D$7+$D$126)^D100</f>
        <v>51.926080851697769</v>
      </c>
      <c r="E121" s="28">
        <f>(E107*$D$125-E111)/(Inputs!$D$7+$D$126)^E100</f>
        <v>189.83227323767477</v>
      </c>
      <c r="F121" s="28">
        <f>(F107*$D$125-F111)/(Inputs!$D$7+$D$126)^F100</f>
        <v>282.36646466499843</v>
      </c>
      <c r="G121" s="28">
        <f>(G107*$D$125-G111)/(Inputs!$D$7+$D$126)^G100</f>
        <v>298.97195907061871</v>
      </c>
      <c r="H121" s="28">
        <f>(H107*$D$125-H111)/(Inputs!$D$7+$D$126)^H100</f>
        <v>266.95995625267534</v>
      </c>
      <c r="I121" s="28">
        <f>(I107*$D$125-I111)/(Inputs!$D$7+$D$126)^I100</f>
        <v>238.30164269966312</v>
      </c>
      <c r="J121" s="28">
        <f>(J107*$D$125-J111)/(Inputs!$D$7+$D$126)^J100</f>
        <v>212.78582883760038</v>
      </c>
      <c r="K121" s="28">
        <f>(K107*$D$125-K111)/(Inputs!$D$7+$D$126)^K100</f>
        <v>190.00208492548742</v>
      </c>
      <c r="L121" s="28">
        <f>(L107*$D$125-L111)/(Inputs!$D$7+$D$126)^L100</f>
        <v>169.65787840873799</v>
      </c>
      <c r="M121" s="28">
        <f>(M107*$D$125-M111)/(Inputs!$D$7+$D$126)^M100</f>
        <v>151.44500204920459</v>
      </c>
    </row>
    <row r="122" spans="2:13" ht="15" customHeight="1" x14ac:dyDescent="0.2">
      <c r="B122" s="10" t="s">
        <v>911</v>
      </c>
      <c r="C122" s="10" t="s">
        <v>110</v>
      </c>
      <c r="D122" s="16">
        <f>(-D109-D110)/(Inputs!$D$7+$D$126)^D100</f>
        <v>-14350.481025200577</v>
      </c>
      <c r="E122" s="16">
        <f>(-E109-E110)/(Inputs!$D$7+$D$126)^E100</f>
        <v>-17079.930887207098</v>
      </c>
      <c r="F122" s="16">
        <f>(-F109-F110)/(Inputs!$D$7+$D$126)^F100</f>
        <v>-11438.340948315768</v>
      </c>
      <c r="G122" s="16">
        <f>(-G109-G110)/(Inputs!$D$7+$D$126)^G100</f>
        <v>-1731.4807411941122</v>
      </c>
      <c r="H122" s="16">
        <f>(-H109-H110)/(Inputs!$D$7+$D$126)^H100</f>
        <v>-8721.9353076959778</v>
      </c>
      <c r="I122" s="16">
        <f>(-I109-I110)/(Inputs!$D$7+$D$126)^I100</f>
        <v>-10380.8403353543</v>
      </c>
      <c r="J122" s="16">
        <f>(-J109-J110)/(Inputs!$D$7+$D$126)^J100</f>
        <v>-6951.9948218729187</v>
      </c>
      <c r="K122" s="16">
        <f>(-K109-K110)/(Inputs!$D$7+$D$126)^K100</f>
        <v>-1100.3873134386547</v>
      </c>
      <c r="L122" s="16">
        <f>(-L109-L110)/(Inputs!$D$7+$D$126)^L100</f>
        <v>-5542.947566718196</v>
      </c>
      <c r="M122" s="16">
        <f>(-M109-M110)/(Inputs!$D$7+$D$126)^M100</f>
        <v>-6597.2117021517279</v>
      </c>
    </row>
    <row r="123" spans="2:13" ht="15" customHeight="1" x14ac:dyDescent="0.2">
      <c r="B123" s="10" t="s">
        <v>912</v>
      </c>
      <c r="C123" s="10" t="s">
        <v>110</v>
      </c>
      <c r="D123" s="16">
        <f>Prices!I6</f>
        <v>43700</v>
      </c>
    </row>
    <row r="124" spans="2:13" ht="15" customHeight="1" x14ac:dyDescent="0.2">
      <c r="B124" s="3" t="s">
        <v>913</v>
      </c>
      <c r="C124" s="10" t="s">
        <v>914</v>
      </c>
      <c r="D124" s="28">
        <f>IF(J131&gt;=J127,J131,(D123-J130)/J129)</f>
        <v>57.326230876562036</v>
      </c>
      <c r="G124" s="99" t="s">
        <v>915</v>
      </c>
      <c r="H124" s="91"/>
      <c r="I124" s="91"/>
      <c r="J124" s="28">
        <f>D124*Inputs!$D$15</f>
        <v>40.007976528752643</v>
      </c>
      <c r="K124" s="99" t="s">
        <v>916</v>
      </c>
      <c r="L124" s="91"/>
      <c r="M124" s="91"/>
    </row>
    <row r="125" spans="2:13" ht="15" customHeight="1" x14ac:dyDescent="0.2">
      <c r="B125" s="10" t="s">
        <v>917</v>
      </c>
      <c r="C125" s="10" t="s">
        <v>104</v>
      </c>
      <c r="D125" s="30">
        <f>Inputs!$D$140</f>
        <v>0.5</v>
      </c>
      <c r="G125" s="99" t="s">
        <v>918</v>
      </c>
      <c r="H125" s="91"/>
      <c r="I125" s="91"/>
      <c r="J125" s="28">
        <f>IF(-D136/D135&gt;=J127,-D136/D135,-J130/J129)</f>
        <v>40.342352538398764</v>
      </c>
      <c r="K125" s="99" t="s">
        <v>919</v>
      </c>
      <c r="L125" s="91"/>
      <c r="M125" s="91"/>
    </row>
    <row r="126" spans="2:13" ht="15" customHeight="1" x14ac:dyDescent="0.2">
      <c r="B126" s="10" t="s">
        <v>920</v>
      </c>
      <c r="C126" s="10" t="s">
        <v>104</v>
      </c>
      <c r="D126" s="30">
        <f>Inputs!$D$148</f>
        <v>0.12</v>
      </c>
      <c r="G126" s="99" t="s">
        <v>918</v>
      </c>
      <c r="H126" s="91"/>
      <c r="I126" s="91"/>
      <c r="J126" s="28">
        <f>J125*Inputs!$D$15</f>
        <v>28.154927836548495</v>
      </c>
      <c r="K126" s="99" t="s">
        <v>916</v>
      </c>
      <c r="L126" s="91"/>
      <c r="M126" s="91"/>
    </row>
    <row r="127" spans="2:13" ht="15" customHeight="1" x14ac:dyDescent="0.2">
      <c r="B127" s="3" t="s">
        <v>921</v>
      </c>
      <c r="C127" s="10" t="s">
        <v>848</v>
      </c>
      <c r="D127" s="28">
        <f>Capital!$D$13</f>
        <v>57.347931490590682</v>
      </c>
      <c r="G127" s="99" t="s">
        <v>922</v>
      </c>
      <c r="H127" s="91"/>
      <c r="I127" s="91"/>
      <c r="J127" s="28">
        <f>($D$127/Inputs!$D$21+$D$128/Inputs!$D$22)/$D$125</f>
        <v>28.93569229571456</v>
      </c>
      <c r="K127" s="99" t="s">
        <v>919</v>
      </c>
      <c r="L127" s="91"/>
      <c r="M127" s="91"/>
    </row>
    <row r="128" spans="2:13" ht="15" customHeight="1" x14ac:dyDescent="0.2">
      <c r="B128" s="3" t="s">
        <v>923</v>
      </c>
      <c r="C128" s="10" t="s">
        <v>848</v>
      </c>
      <c r="D128" s="28">
        <f>Capital!$D$14</f>
        <v>2.6172655041921802</v>
      </c>
    </row>
    <row r="129" spans="1:13" ht="15" customHeight="1" x14ac:dyDescent="0.2">
      <c r="B129" s="10" t="s">
        <v>924</v>
      </c>
      <c r="C129" s="10" t="s">
        <v>896</v>
      </c>
      <c r="D129" s="28">
        <f>(M102*(Inputs!$D$7+Inputs!$D$20)*$D$125*(Inputs!$D$7-Inputs!$D$19)-M102*Inputs!$D$20*Inputs!$D$23)/($D$126-Inputs!$D$20)/(Inputs!$D$7+$D$126)^M100</f>
        <v>1141.8156075551869</v>
      </c>
      <c r="G129" s="92" t="s">
        <v>910</v>
      </c>
      <c r="H129" s="91"/>
      <c r="I129" s="91"/>
      <c r="J129" s="28">
        <f>SUM(D121:M121)+(M102*(Inputs!$D$7+Inputs!$D$20)*$D$125-M102*Inputs!$D$20*Inputs!$D$23)/($D$126-Inputs!$D$20)/(Inputs!$D$7+$D$126)^M100</f>
        <v>3684.2683378180759</v>
      </c>
      <c r="K129" s="99" t="s">
        <v>896</v>
      </c>
      <c r="L129" s="91"/>
      <c r="M129" s="91"/>
    </row>
    <row r="130" spans="1:13" ht="15" customHeight="1" x14ac:dyDescent="0.2">
      <c r="B130" s="10" t="s">
        <v>925</v>
      </c>
      <c r="C130" s="10" t="s">
        <v>110</v>
      </c>
      <c r="D130" s="16">
        <f>(D133*Inputs!$D$19-D133-D134)/($D$126-Inputs!$D$20)/(Inputs!$D$7+$D$126)^M100</f>
        <v>-37876.58483194092</v>
      </c>
      <c r="G130" s="92" t="s">
        <v>926</v>
      </c>
      <c r="H130" s="91"/>
      <c r="I130" s="91"/>
      <c r="J130" s="16">
        <f>SUM(D122:M122)-(D133+D134)/($D$126-Inputs!$D$20)/(Inputs!$D$7+$D$126)^M100</f>
        <v>-135956.51483423277</v>
      </c>
      <c r="K130" s="99" t="s">
        <v>110</v>
      </c>
      <c r="L130" s="91"/>
      <c r="M130" s="91"/>
    </row>
    <row r="131" spans="1:13" ht="15" customHeight="1" x14ac:dyDescent="0.2">
      <c r="B131" s="10" t="s">
        <v>927</v>
      </c>
      <c r="C131" s="10" t="s">
        <v>928</v>
      </c>
      <c r="D131" s="16">
        <f>(M102*(Inputs!$D$7+Inputs!$D$20)*$D$124*$D$125-D133)-MAX((M102*(Inputs!$D$7+Inputs!$D$20)*$D$124*$D$125-D133),Inputs!$D$6)*Inputs!$D$19-D134-M102*Inputs!$D$20*$D$124*Inputs!$D$23</f>
        <v>7880.2838229042736</v>
      </c>
      <c r="G131" s="99" t="s">
        <v>929</v>
      </c>
      <c r="H131" s="91"/>
      <c r="I131" s="91"/>
      <c r="J131" s="28">
        <f>(D123-D136)/D135</f>
        <v>57.326230876562036</v>
      </c>
      <c r="K131" s="99" t="s">
        <v>919</v>
      </c>
      <c r="L131" s="91"/>
      <c r="M131" s="91"/>
    </row>
    <row r="132" spans="1:13" ht="15" customHeight="1" x14ac:dyDescent="0.2">
      <c r="B132" s="10" t="s">
        <v>930</v>
      </c>
      <c r="C132" s="10" t="s">
        <v>110</v>
      </c>
      <c r="D132" s="16">
        <f>D131/($D$126-Inputs!$D$20)</f>
        <v>82950.356030571304</v>
      </c>
      <c r="G132" s="99" t="s">
        <v>931</v>
      </c>
      <c r="H132" s="91"/>
      <c r="I132" s="91"/>
      <c r="J132" s="16">
        <f>MIN(D116:M116,(M102*(Inputs!$D$7+Inputs!$D$20)*$D$124*$D$125-D133))</f>
        <v>1782.7451028164398</v>
      </c>
      <c r="K132" s="99" t="s">
        <v>110</v>
      </c>
      <c r="L132" s="91"/>
      <c r="M132" s="91"/>
    </row>
    <row r="133" spans="1:13" ht="15" customHeight="1" x14ac:dyDescent="0.2">
      <c r="B133" s="10" t="s">
        <v>932</v>
      </c>
      <c r="C133" s="10" t="s">
        <v>928</v>
      </c>
      <c r="D133" s="16">
        <f>M102*(Inputs!$D$7+Inputs!$D$20)*($D$127/Inputs!$D$21+$D$128/Inputs!$D$22)</f>
        <v>13509.71303671543</v>
      </c>
      <c r="G133" s="99" t="s">
        <v>933</v>
      </c>
      <c r="H133" s="91"/>
      <c r="I133" s="91"/>
      <c r="J133" s="31" t="str">
        <f>IF(J132&lt;Inputs!$D$6,"breached","satisfied")</f>
        <v>satisfied</v>
      </c>
      <c r="K133" s="99" t="s">
        <v>934</v>
      </c>
      <c r="L133" s="91"/>
      <c r="M133" s="91"/>
    </row>
    <row r="134" spans="1:13" ht="15" customHeight="1" x14ac:dyDescent="0.2">
      <c r="B134" s="10" t="s">
        <v>935</v>
      </c>
      <c r="C134" s="10" t="s">
        <v>928</v>
      </c>
      <c r="D134" s="16">
        <f>M102*Inputs!$D$20*($D$127+$D$128)</f>
        <v>1365.7073615561799</v>
      </c>
    </row>
    <row r="135" spans="1:13" ht="15" customHeight="1" x14ac:dyDescent="0.2">
      <c r="B135" s="10" t="s">
        <v>936</v>
      </c>
      <c r="C135" s="10" t="s">
        <v>896</v>
      </c>
      <c r="D135" s="28">
        <f>SUM(D112:M112)+D129</f>
        <v>2573.0283230894806</v>
      </c>
      <c r="G135" s="99" t="s">
        <v>937</v>
      </c>
      <c r="H135" s="91"/>
      <c r="I135" s="91"/>
      <c r="J135" s="16">
        <f>D137-D123</f>
        <v>0</v>
      </c>
      <c r="K135" s="99" t="s">
        <v>110</v>
      </c>
      <c r="L135" s="91"/>
      <c r="M135" s="91"/>
    </row>
    <row r="136" spans="1:13" ht="15" customHeight="1" x14ac:dyDescent="0.2">
      <c r="B136" s="10" t="s">
        <v>938</v>
      </c>
      <c r="C136" s="10" t="s">
        <v>110</v>
      </c>
      <c r="D136" s="16">
        <f>SUM(D113:M113)+D130</f>
        <v>-103802.01570136083</v>
      </c>
    </row>
    <row r="137" spans="1:13" ht="15" customHeight="1" x14ac:dyDescent="0.2">
      <c r="B137" s="10" t="s">
        <v>939</v>
      </c>
      <c r="C137" s="10" t="s">
        <v>110</v>
      </c>
      <c r="D137" s="16">
        <f>SUM(D120:M120)+D132/(Inputs!$D$7+$D$126)^M100</f>
        <v>43699.999999999985</v>
      </c>
    </row>
    <row r="138" spans="1:13" ht="15" customHeight="1" x14ac:dyDescent="0.2">
      <c r="B138" s="10" t="s">
        <v>940</v>
      </c>
      <c r="C138" s="10" t="s">
        <v>104</v>
      </c>
      <c r="D138" s="30">
        <f>IF(ABS(D123)&gt;Inputs!$D$6,D137/D123-Inputs!$D$7,Inputs!$D$6)</f>
        <v>-3.3306690738754696E-16</v>
      </c>
    </row>
    <row r="139" spans="1:13" ht="15" customHeight="1" x14ac:dyDescent="0.2">
      <c r="B139" s="10" t="s">
        <v>941</v>
      </c>
      <c r="C139" s="10" t="s">
        <v>104</v>
      </c>
      <c r="D139" s="30">
        <f>IF(ABS(D137)&gt;Inputs!$D$119,D132/(Inputs!$D$7+$D$126)^M100/D137,Inputs!$D$6)</f>
        <v>0.63110755847207534</v>
      </c>
    </row>
    <row r="140" spans="1:13" ht="15" customHeight="1" x14ac:dyDescent="0.2">
      <c r="B140" s="10" t="s">
        <v>942</v>
      </c>
      <c r="C140" s="10" t="s">
        <v>943</v>
      </c>
      <c r="D140" s="26">
        <f>$D$124*Inputs!$D$8/Prices!$P$6/(Inputs!$D$26/Inputs!$D$25)/Inputs!$D$11/Inputs!$D$56</f>
        <v>10.424949214609461</v>
      </c>
    </row>
    <row r="144" spans="1:13" ht="15" customHeight="1" x14ac:dyDescent="0.2">
      <c r="A144" s="104" t="s">
        <v>2168</v>
      </c>
      <c r="B144" s="10" t="s">
        <v>886</v>
      </c>
      <c r="C144" s="10" t="s">
        <v>107</v>
      </c>
      <c r="D144" s="28">
        <f>Inputs!$D$60</f>
        <v>1</v>
      </c>
      <c r="E144" s="28">
        <f>Inputs!$D$62</f>
        <v>2</v>
      </c>
      <c r="F144" s="28">
        <f>Inputs!$D$64</f>
        <v>3</v>
      </c>
      <c r="G144" s="28">
        <f>Inputs!$D$66</f>
        <v>4</v>
      </c>
      <c r="H144" s="28">
        <f>Inputs!$D$68</f>
        <v>5</v>
      </c>
      <c r="I144" s="28">
        <f>Inputs!$D$70</f>
        <v>6</v>
      </c>
      <c r="J144" s="28">
        <f>Inputs!$D$72</f>
        <v>7</v>
      </c>
      <c r="K144" s="28">
        <f>Inputs!$D$74</f>
        <v>8</v>
      </c>
      <c r="L144" s="28">
        <f>Inputs!$D$76</f>
        <v>9</v>
      </c>
      <c r="M144" s="28">
        <f>Inputs!$D$78</f>
        <v>10</v>
      </c>
    </row>
    <row r="145" spans="1:13" ht="15" customHeight="1" x14ac:dyDescent="0.2">
      <c r="A145" s="91"/>
      <c r="B145" s="10" t="s">
        <v>887</v>
      </c>
      <c r="C145" s="10" t="s">
        <v>161</v>
      </c>
      <c r="D145" s="29">
        <f>Inputs!$D$61</f>
        <v>46568</v>
      </c>
      <c r="E145" s="29">
        <f>Inputs!$D$63</f>
        <v>46934</v>
      </c>
      <c r="F145" s="29">
        <f>Inputs!$D$65</f>
        <v>47299</v>
      </c>
      <c r="G145" s="29">
        <f>Inputs!$D$67</f>
        <v>47664</v>
      </c>
      <c r="H145" s="29">
        <f>Inputs!$D$69</f>
        <v>48029</v>
      </c>
      <c r="I145" s="29">
        <f>Inputs!$D$71</f>
        <v>48395</v>
      </c>
      <c r="J145" s="29">
        <f>Inputs!$D$73</f>
        <v>48760</v>
      </c>
      <c r="K145" s="29">
        <f>Inputs!$D$75</f>
        <v>49125</v>
      </c>
      <c r="L145" s="29">
        <f>Inputs!$D$77</f>
        <v>49490</v>
      </c>
      <c r="M145" s="29">
        <f>Inputs!$D$79</f>
        <v>49856</v>
      </c>
    </row>
    <row r="146" spans="1:13" ht="15" customHeight="1" x14ac:dyDescent="0.2">
      <c r="A146" s="91"/>
      <c r="B146" s="10" t="s">
        <v>888</v>
      </c>
      <c r="C146" s="10" t="s">
        <v>107</v>
      </c>
      <c r="D146" s="28">
        <f>(D145-Inputs!$D$13)/Inputs!$D$10</f>
        <v>0.71457905544147848</v>
      </c>
      <c r="E146" s="28">
        <f>(E145-Inputs!$D$13)/Inputs!$D$10</f>
        <v>1.7166324435318274</v>
      </c>
      <c r="F146" s="28">
        <f>(F145-Inputs!$D$13)/Inputs!$D$10</f>
        <v>2.7159479808350446</v>
      </c>
      <c r="G146" s="28">
        <f>(G145-Inputs!$D$13)/Inputs!$D$10</f>
        <v>3.7152635181382614</v>
      </c>
      <c r="H146" s="28">
        <f>(H145-Inputs!$D$13)/Inputs!$D$10</f>
        <v>4.7145790554414786</v>
      </c>
      <c r="I146" s="28">
        <f>(I145-Inputs!$D$13)/Inputs!$D$10</f>
        <v>5.7166324435318279</v>
      </c>
      <c r="J146" s="28">
        <f>(J145-Inputs!$D$13)/Inputs!$D$10</f>
        <v>6.7159479808350442</v>
      </c>
      <c r="K146" s="28">
        <f>(K145-Inputs!$D$13)/Inputs!$D$10</f>
        <v>7.7152635181382614</v>
      </c>
      <c r="L146" s="28">
        <f>(L145-Inputs!$D$13)/Inputs!$D$10</f>
        <v>8.7145790554414777</v>
      </c>
      <c r="M146" s="28">
        <f>(M145-Inputs!$D$13)/Inputs!$D$10</f>
        <v>9.716632443531827</v>
      </c>
    </row>
    <row r="147" spans="1:13" ht="15" customHeight="1" x14ac:dyDescent="0.2">
      <c r="A147" s="91"/>
      <c r="B147" s="10" t="s">
        <v>889</v>
      </c>
      <c r="C147" s="10" t="s">
        <v>107</v>
      </c>
      <c r="D147" s="28">
        <f>D146</f>
        <v>0.71457905544147848</v>
      </c>
      <c r="E147" s="28">
        <f>Inputs!$D$7</f>
        <v>1</v>
      </c>
      <c r="F147" s="28">
        <f>Inputs!$D$7</f>
        <v>1</v>
      </c>
      <c r="G147" s="28">
        <f>Inputs!$D$7</f>
        <v>1</v>
      </c>
      <c r="H147" s="28">
        <f>Inputs!$D$7</f>
        <v>1</v>
      </c>
      <c r="I147" s="28">
        <f>Inputs!$D$7</f>
        <v>1</v>
      </c>
      <c r="J147" s="28">
        <f>Inputs!$D$7</f>
        <v>1</v>
      </c>
      <c r="K147" s="28">
        <f>Inputs!$D$7</f>
        <v>1</v>
      </c>
      <c r="L147" s="28">
        <f>Inputs!$D$7</f>
        <v>1</v>
      </c>
      <c r="M147" s="28">
        <f>Inputs!$D$7</f>
        <v>1</v>
      </c>
    </row>
    <row r="148" spans="1:13" ht="15" customHeight="1" x14ac:dyDescent="0.2">
      <c r="A148" s="91"/>
      <c r="B148" s="3" t="s">
        <v>890</v>
      </c>
      <c r="C148" s="10" t="s">
        <v>199</v>
      </c>
      <c r="D148" s="28">
        <f>Inputs!$D$24+(Inputs!$D$80-Inputs!$D$24)*Inputs!$D$83</f>
        <v>305.5</v>
      </c>
      <c r="E148" s="28">
        <f>Inputs!$D$24+(Inputs!$D$80-Inputs!$D$24)*Inputs!$D$84</f>
        <v>651.5</v>
      </c>
      <c r="F148" s="28">
        <f>Inputs!$D$24+(Inputs!$D$80-Inputs!$D$24)*Inputs!$D$85</f>
        <v>911</v>
      </c>
      <c r="G148" s="28">
        <f>Inputs!$D$24+(Inputs!$D$80-Inputs!$D$24)*Inputs!$D$86</f>
        <v>911</v>
      </c>
      <c r="H148" s="28">
        <f>Inputs!$D$24+(Inputs!$D$80-Inputs!$D$24)*Inputs!$D$87</f>
        <v>911</v>
      </c>
      <c r="I148" s="28">
        <f>Inputs!$D$24+(Inputs!$D$80-Inputs!$D$24)*Inputs!$D$88</f>
        <v>911</v>
      </c>
      <c r="J148" s="28">
        <f>Inputs!$D$24+(Inputs!$D$80-Inputs!$D$24)*Inputs!$D$89</f>
        <v>911</v>
      </c>
      <c r="K148" s="28">
        <f>Inputs!$D$24+(Inputs!$D$80-Inputs!$D$24)*Inputs!$D$90</f>
        <v>911</v>
      </c>
      <c r="L148" s="28">
        <f>Inputs!$D$24+(Inputs!$D$80-Inputs!$D$24)*Inputs!$D$91</f>
        <v>911</v>
      </c>
      <c r="M148" s="28">
        <f>Inputs!$D$24+(Inputs!$D$80-Inputs!$D$24)*Inputs!$D$92</f>
        <v>911</v>
      </c>
    </row>
    <row r="149" spans="1:13" ht="15" customHeight="1" x14ac:dyDescent="0.2">
      <c r="A149" s="91"/>
      <c r="B149" s="10" t="s">
        <v>891</v>
      </c>
      <c r="C149" s="10" t="s">
        <v>199</v>
      </c>
      <c r="D149" s="28">
        <f>Inputs!$D$24</f>
        <v>46</v>
      </c>
      <c r="E149" s="28">
        <f t="shared" ref="E149:M149" si="30">D148</f>
        <v>305.5</v>
      </c>
      <c r="F149" s="28">
        <f t="shared" si="30"/>
        <v>651.5</v>
      </c>
      <c r="G149" s="28">
        <f t="shared" si="30"/>
        <v>911</v>
      </c>
      <c r="H149" s="28">
        <f t="shared" si="30"/>
        <v>911</v>
      </c>
      <c r="I149" s="28">
        <f t="shared" si="30"/>
        <v>911</v>
      </c>
      <c r="J149" s="28">
        <f t="shared" si="30"/>
        <v>911</v>
      </c>
      <c r="K149" s="28">
        <f t="shared" si="30"/>
        <v>911</v>
      </c>
      <c r="L149" s="28">
        <f t="shared" si="30"/>
        <v>911</v>
      </c>
      <c r="M149" s="28">
        <f t="shared" si="30"/>
        <v>911</v>
      </c>
    </row>
    <row r="150" spans="1:13" ht="15" customHeight="1" x14ac:dyDescent="0.2">
      <c r="B150" s="10" t="s">
        <v>892</v>
      </c>
      <c r="C150" s="10" t="s">
        <v>199</v>
      </c>
      <c r="D150" s="28">
        <f>(D149+D148)*Inputs!$D$12</f>
        <v>175.75</v>
      </c>
      <c r="E150" s="28">
        <f>(E149+E148)*Inputs!$D$12</f>
        <v>478.5</v>
      </c>
      <c r="F150" s="28">
        <f>(F149+F148)*Inputs!$D$12</f>
        <v>781.25</v>
      </c>
      <c r="G150" s="28">
        <f>(G149+G148)*Inputs!$D$12</f>
        <v>911</v>
      </c>
      <c r="H150" s="28">
        <f>(H149+H148)*Inputs!$D$12</f>
        <v>911</v>
      </c>
      <c r="I150" s="28">
        <f>(I149+I148)*Inputs!$D$12</f>
        <v>911</v>
      </c>
      <c r="J150" s="28">
        <f>(J149+J148)*Inputs!$D$12</f>
        <v>911</v>
      </c>
      <c r="K150" s="28">
        <f>(K149+K148)*Inputs!$D$12</f>
        <v>911</v>
      </c>
      <c r="L150" s="28">
        <f>(L149+L148)*Inputs!$D$12</f>
        <v>911</v>
      </c>
      <c r="M150" s="28">
        <f>(M149+M148)*Inputs!$D$12</f>
        <v>911</v>
      </c>
    </row>
    <row r="151" spans="1:13" ht="15" customHeight="1" x14ac:dyDescent="0.2">
      <c r="B151" s="10" t="s">
        <v>893</v>
      </c>
      <c r="C151" s="10" t="s">
        <v>199</v>
      </c>
      <c r="D151" s="28">
        <f t="shared" ref="D151:M151" si="31">D148-D149</f>
        <v>259.5</v>
      </c>
      <c r="E151" s="28">
        <f t="shared" si="31"/>
        <v>346</v>
      </c>
      <c r="F151" s="28">
        <f t="shared" si="31"/>
        <v>259.5</v>
      </c>
      <c r="G151" s="28">
        <f t="shared" si="31"/>
        <v>0</v>
      </c>
      <c r="H151" s="28">
        <f t="shared" si="31"/>
        <v>0</v>
      </c>
      <c r="I151" s="28">
        <f t="shared" si="31"/>
        <v>0</v>
      </c>
      <c r="J151" s="28">
        <f t="shared" si="31"/>
        <v>0</v>
      </c>
      <c r="K151" s="28">
        <f t="shared" si="31"/>
        <v>0</v>
      </c>
      <c r="L151" s="28">
        <f t="shared" si="31"/>
        <v>0</v>
      </c>
      <c r="M151" s="28">
        <f t="shared" si="31"/>
        <v>0</v>
      </c>
    </row>
    <row r="152" spans="1:13" ht="15" customHeight="1" x14ac:dyDescent="0.2">
      <c r="B152" s="10" t="s">
        <v>894</v>
      </c>
      <c r="C152" s="10" t="s">
        <v>199</v>
      </c>
      <c r="D152" s="28">
        <f>IF(MOD(D144,Inputs!$D$21)=Inputs!$D$6,Inputs!$D$24,Inputs!$D$6)+SUMPRODUCT(--(D144&gt;$D$144:$M$144),--(MOD(D144-$D$144:$M$144,Inputs!$D$21)=Inputs!$D$6),$D$151:$M$151)</f>
        <v>0</v>
      </c>
      <c r="E152" s="28">
        <f>IF(MOD(E144,Inputs!$D$21)=Inputs!$D$6,Inputs!$D$24,Inputs!$D$6)+SUMPRODUCT(--(E144&gt;$D$144:$M$144),--(MOD(E144-$D$144:$M$144,Inputs!$D$21)=Inputs!$D$6),$D$151:$M$151)</f>
        <v>0</v>
      </c>
      <c r="F152" s="28">
        <f>IF(MOD(F144,Inputs!$D$21)=Inputs!$D$6,Inputs!$D$24,Inputs!$D$6)+SUMPRODUCT(--(F144&gt;$D$144:$M$144),--(MOD(F144-$D$144:$M$144,Inputs!$D$21)=Inputs!$D$6),$D$151:$M$151)</f>
        <v>0</v>
      </c>
      <c r="G152" s="28">
        <f>IF(MOD(G144,Inputs!$D$21)=Inputs!$D$6,Inputs!$D$24,Inputs!$D$6)+SUMPRODUCT(--(G144&gt;$D$144:$M$144),--(MOD(G144-$D$144:$M$144,Inputs!$D$21)=Inputs!$D$6),$D$151:$M$151)</f>
        <v>46</v>
      </c>
      <c r="H152" s="28">
        <f>IF(MOD(H144,Inputs!$D$21)=Inputs!$D$6,Inputs!$D$24,Inputs!$D$6)+SUMPRODUCT(--(H144&gt;$D$144:$M$144),--(MOD(H144-$D$144:$M$144,Inputs!$D$21)=Inputs!$D$6),$D$151:$M$151)</f>
        <v>259.5</v>
      </c>
      <c r="I152" s="28">
        <f>IF(MOD(I144,Inputs!$D$21)=Inputs!$D$6,Inputs!$D$24,Inputs!$D$6)+SUMPRODUCT(--(I144&gt;$D$144:$M$144),--(MOD(I144-$D$144:$M$144,Inputs!$D$21)=Inputs!$D$6),$D$151:$M$151)</f>
        <v>346</v>
      </c>
      <c r="J152" s="28">
        <f>IF(MOD(J144,Inputs!$D$21)=Inputs!$D$6,Inputs!$D$24,Inputs!$D$6)+SUMPRODUCT(--(J144&gt;$D$144:$M$144),--(MOD(J144-$D$144:$M$144,Inputs!$D$21)=Inputs!$D$6),$D$151:$M$151)</f>
        <v>259.5</v>
      </c>
      <c r="K152" s="28">
        <f>IF(MOD(K144,Inputs!$D$21)=Inputs!$D$6,Inputs!$D$24,Inputs!$D$6)+SUMPRODUCT(--(K144&gt;$D$144:$M$144),--(MOD(K144-$D$144:$M$144,Inputs!$D$21)=Inputs!$D$6),$D$151:$M$151)</f>
        <v>46</v>
      </c>
      <c r="L152" s="28">
        <f>IF(MOD(L144,Inputs!$D$21)=Inputs!$D$6,Inputs!$D$24,Inputs!$D$6)+SUMPRODUCT(--(L144&gt;$D$144:$M$144),--(MOD(L144-$D$144:$M$144,Inputs!$D$21)=Inputs!$D$6),$D$151:$M$151)</f>
        <v>259.5</v>
      </c>
      <c r="M152" s="28">
        <f>IF(MOD(M144,Inputs!$D$21)=Inputs!$D$6,Inputs!$D$24,Inputs!$D$6)+SUMPRODUCT(--(M144&gt;$D$144:$M$144),--(MOD(M144-$D$144:$M$144,Inputs!$D$21)=Inputs!$D$6),$D$151:$M$151)</f>
        <v>346</v>
      </c>
    </row>
    <row r="153" spans="1:13" ht="15" customHeight="1" x14ac:dyDescent="0.2">
      <c r="B153" s="10" t="s">
        <v>895</v>
      </c>
      <c r="C153" s="10" t="s">
        <v>896</v>
      </c>
      <c r="D153" s="28">
        <f t="shared" ref="D153:M153" si="32">D150*D147</f>
        <v>125.58726899383984</v>
      </c>
      <c r="E153" s="28">
        <f t="shared" si="32"/>
        <v>478.5</v>
      </c>
      <c r="F153" s="28">
        <f t="shared" si="32"/>
        <v>781.25</v>
      </c>
      <c r="G153" s="28">
        <f t="shared" si="32"/>
        <v>911</v>
      </c>
      <c r="H153" s="28">
        <f t="shared" si="32"/>
        <v>911</v>
      </c>
      <c r="I153" s="28">
        <f t="shared" si="32"/>
        <v>911</v>
      </c>
      <c r="J153" s="28">
        <f t="shared" si="32"/>
        <v>911</v>
      </c>
      <c r="K153" s="28">
        <f t="shared" si="32"/>
        <v>911</v>
      </c>
      <c r="L153" s="28">
        <f t="shared" si="32"/>
        <v>911</v>
      </c>
      <c r="M153" s="28">
        <f t="shared" si="32"/>
        <v>911</v>
      </c>
    </row>
    <row r="154" spans="1:13" ht="15" customHeight="1" x14ac:dyDescent="0.2">
      <c r="B154" s="10" t="s">
        <v>897</v>
      </c>
      <c r="C154" s="10" t="s">
        <v>110</v>
      </c>
      <c r="D154" s="16">
        <f>D153*($D$173/Inputs!$D$21+$D$174/Inputs!$D$22)</f>
        <v>1816.9772859324419</v>
      </c>
      <c r="E154" s="16">
        <f>E153*($D$173/Inputs!$D$21+$D$174/Inputs!$D$22)</f>
        <v>6922.8643817497086</v>
      </c>
      <c r="F154" s="16">
        <f>F153*($D$173/Inputs!$D$21+$D$174/Inputs!$D$22)</f>
        <v>11303.0048030135</v>
      </c>
      <c r="G154" s="16">
        <f>G153*($D$173/Inputs!$D$21+$D$174/Inputs!$D$22)</f>
        <v>13180.207840697982</v>
      </c>
      <c r="H154" s="16">
        <f>H153*($D$173/Inputs!$D$21+$D$174/Inputs!$D$22)</f>
        <v>13180.207840697982</v>
      </c>
      <c r="I154" s="16">
        <f>I153*($D$173/Inputs!$D$21+$D$174/Inputs!$D$22)</f>
        <v>13180.207840697982</v>
      </c>
      <c r="J154" s="16">
        <f>J153*($D$173/Inputs!$D$21+$D$174/Inputs!$D$22)</f>
        <v>13180.207840697982</v>
      </c>
      <c r="K154" s="16">
        <f>K153*($D$173/Inputs!$D$21+$D$174/Inputs!$D$22)</f>
        <v>13180.207840697982</v>
      </c>
      <c r="L154" s="16">
        <f>L153*($D$173/Inputs!$D$21+$D$174/Inputs!$D$22)</f>
        <v>13180.207840697982</v>
      </c>
      <c r="M154" s="16">
        <f>M153*($D$173/Inputs!$D$21+$D$174/Inputs!$D$22)</f>
        <v>13180.207840697982</v>
      </c>
    </row>
    <row r="155" spans="1:13" ht="15" customHeight="1" x14ac:dyDescent="0.2">
      <c r="B155" s="10" t="s">
        <v>898</v>
      </c>
      <c r="C155" s="10" t="s">
        <v>110</v>
      </c>
      <c r="D155" s="16">
        <f t="shared" ref="D155:M155" si="33">D151*($D$173+$D$174)</f>
        <v>15560.968620146154</v>
      </c>
      <c r="E155" s="16">
        <f t="shared" si="33"/>
        <v>20747.95816019487</v>
      </c>
      <c r="F155" s="16">
        <f t="shared" si="33"/>
        <v>15560.968620146154</v>
      </c>
      <c r="G155" s="16">
        <f t="shared" si="33"/>
        <v>0</v>
      </c>
      <c r="H155" s="16">
        <f t="shared" si="33"/>
        <v>0</v>
      </c>
      <c r="I155" s="16">
        <f t="shared" si="33"/>
        <v>0</v>
      </c>
      <c r="J155" s="16">
        <f t="shared" si="33"/>
        <v>0</v>
      </c>
      <c r="K155" s="16">
        <f t="shared" si="33"/>
        <v>0</v>
      </c>
      <c r="L155" s="16">
        <f t="shared" si="33"/>
        <v>0</v>
      </c>
      <c r="M155" s="16">
        <f t="shared" si="33"/>
        <v>0</v>
      </c>
    </row>
    <row r="156" spans="1:13" ht="15" customHeight="1" x14ac:dyDescent="0.2">
      <c r="B156" s="10" t="s">
        <v>899</v>
      </c>
      <c r="C156" s="10" t="s">
        <v>110</v>
      </c>
      <c r="D156" s="16">
        <f t="shared" ref="D156:M156" si="34">D152*$D$173</f>
        <v>0</v>
      </c>
      <c r="E156" s="16">
        <f t="shared" si="34"/>
        <v>0</v>
      </c>
      <c r="F156" s="16">
        <f t="shared" si="34"/>
        <v>0</v>
      </c>
      <c r="G156" s="16">
        <f t="shared" si="34"/>
        <v>2638.0048485671714</v>
      </c>
      <c r="H156" s="16">
        <f t="shared" si="34"/>
        <v>14881.788221808281</v>
      </c>
      <c r="I156" s="16">
        <f t="shared" si="34"/>
        <v>19842.384295744378</v>
      </c>
      <c r="J156" s="16">
        <f t="shared" si="34"/>
        <v>14881.788221808281</v>
      </c>
      <c r="K156" s="16">
        <f t="shared" si="34"/>
        <v>2638.0048485671714</v>
      </c>
      <c r="L156" s="16">
        <f t="shared" si="34"/>
        <v>14881.788221808281</v>
      </c>
      <c r="M156" s="16">
        <f t="shared" si="34"/>
        <v>19842.384295744378</v>
      </c>
    </row>
    <row r="157" spans="1:13" ht="15" customHeight="1" x14ac:dyDescent="0.2">
      <c r="B157" s="10" t="s">
        <v>900</v>
      </c>
      <c r="C157" s="10" t="s">
        <v>199</v>
      </c>
      <c r="D157" s="28">
        <f>D151*Inputs!$D$23</f>
        <v>6.4875000000000007</v>
      </c>
      <c r="E157" s="28">
        <f>E151*Inputs!$D$23</f>
        <v>8.65</v>
      </c>
      <c r="F157" s="28">
        <f>F151*Inputs!$D$23</f>
        <v>6.4875000000000007</v>
      </c>
      <c r="G157" s="28">
        <f>G151*Inputs!$D$23</f>
        <v>0</v>
      </c>
      <c r="H157" s="28">
        <f>H151*Inputs!$D$23</f>
        <v>0</v>
      </c>
      <c r="I157" s="28">
        <f>I151*Inputs!$D$23</f>
        <v>0</v>
      </c>
      <c r="J157" s="28">
        <f>J151*Inputs!$D$23</f>
        <v>0</v>
      </c>
      <c r="K157" s="28">
        <f>K151*Inputs!$D$23</f>
        <v>0</v>
      </c>
      <c r="L157" s="28">
        <f>L151*Inputs!$D$23</f>
        <v>0</v>
      </c>
      <c r="M157" s="28">
        <f>M151*Inputs!$D$23</f>
        <v>0</v>
      </c>
    </row>
    <row r="158" spans="1:13" ht="15" customHeight="1" x14ac:dyDescent="0.2">
      <c r="B158" s="3" t="s">
        <v>901</v>
      </c>
      <c r="C158" s="10" t="s">
        <v>896</v>
      </c>
      <c r="D158" s="28">
        <f>(D153*$D$171*(Inputs!$D$7-Inputs!$D$19)-D157)/(Inputs!$D$7+$D$172)^D146</f>
        <v>34.11913469425</v>
      </c>
      <c r="E158" s="28">
        <f>(E153*$D$171*(Inputs!$D$7-Inputs!$D$19)-E157)/(Inputs!$D$7+$D$172)^E146</f>
        <v>126.83355050421525</v>
      </c>
      <c r="F158" s="28">
        <f>(F153*$D$171*(Inputs!$D$7-Inputs!$D$19)-F157)/(Inputs!$D$7+$D$172)^F146</f>
        <v>187.01623480611519</v>
      </c>
      <c r="G158" s="28">
        <f>(G153*$D$171*(Inputs!$D$7-Inputs!$D$19)-G157)/(Inputs!$D$7+$D$172)^G146</f>
        <v>195.96111556962208</v>
      </c>
      <c r="H158" s="28">
        <f>(H153*$D$171*(Inputs!$D$7-Inputs!$D$19)-H157)/(Inputs!$D$7+$D$172)^H146</f>
        <v>171.91113239136084</v>
      </c>
      <c r="I158" s="28">
        <f>(I153*$D$171*(Inputs!$D$7-Inputs!$D$19)-I157)/(Inputs!$D$7+$D$172)^I146</f>
        <v>150.75867157963424</v>
      </c>
      <c r="J158" s="28">
        <f>(J153*$D$171*(Inputs!$D$7-Inputs!$D$19)-J157)/(Inputs!$D$7+$D$172)^J146</f>
        <v>132.25630949148294</v>
      </c>
      <c r="K158" s="28">
        <f>(K153*$D$171*(Inputs!$D$7-Inputs!$D$19)-K157)/(Inputs!$D$7+$D$172)^K146</f>
        <v>116.02471166023361</v>
      </c>
      <c r="L158" s="28">
        <f>(L153*$D$171*(Inputs!$D$7-Inputs!$D$19)-L157)/(Inputs!$D$7+$D$172)^L146</f>
        <v>101.78519094930031</v>
      </c>
      <c r="M158" s="28">
        <f>(M153*$D$171*(Inputs!$D$7-Inputs!$D$19)-M157)/(Inputs!$D$7+$D$172)^M146</f>
        <v>89.26123608483114</v>
      </c>
    </row>
    <row r="159" spans="1:13" ht="15" customHeight="1" x14ac:dyDescent="0.2">
      <c r="B159" s="10" t="s">
        <v>902</v>
      </c>
      <c r="C159" s="10" t="s">
        <v>110</v>
      </c>
      <c r="D159" s="16">
        <f>(D154*Inputs!$D$19-D155-D156)/(Inputs!$D$7+$D$172)^D146</f>
        <v>-13673.750208995338</v>
      </c>
      <c r="E159" s="16">
        <f>(E154*Inputs!$D$19-E155-E156)/(Inputs!$D$7+$D$172)^E146</f>
        <v>-14910.258198718562</v>
      </c>
      <c r="F159" s="16">
        <f>(F154*Inputs!$D$19-F155-F156)/(Inputs!$D$7+$D$172)^F146</f>
        <v>-8525.9417164238148</v>
      </c>
      <c r="G159" s="16">
        <f>(G154*Inputs!$D$19-G155-G156)/(Inputs!$D$7+$D$172)^G146</f>
        <v>808.83204192410847</v>
      </c>
      <c r="H159" s="16">
        <f>(H154*Inputs!$D$19-H155-H156)/(Inputs!$D$7+$D$172)^H146</f>
        <v>-5891.7915280072548</v>
      </c>
      <c r="I159" s="16">
        <f>(I154*Inputs!$D$19-I155-I156)/(Inputs!$D$7+$D$172)^I146</f>
        <v>-7512.3171078465948</v>
      </c>
      <c r="J159" s="16">
        <f>(J154*Inputs!$D$19-J155-J156)/(Inputs!$D$7+$D$172)^J146</f>
        <v>-4532.7291662153211</v>
      </c>
      <c r="K159" s="16">
        <f>(K154*Inputs!$D$19-K155-K156)/(Inputs!$D$7+$D$172)^K146</f>
        <v>478.89349972832292</v>
      </c>
      <c r="L159" s="16">
        <f>(L154*Inputs!$D$19-L155-L156)/(Inputs!$D$7+$D$172)^L146</f>
        <v>-3488.413562109869</v>
      </c>
      <c r="M159" s="16">
        <f>(M154*Inputs!$D$19-M155-M156)/(Inputs!$D$7+$D$172)^M146</f>
        <v>-4447.8947969066312</v>
      </c>
    </row>
    <row r="160" spans="1:13" ht="15" customHeight="1" x14ac:dyDescent="0.2">
      <c r="B160" s="10" t="s">
        <v>903</v>
      </c>
      <c r="C160" s="10" t="s">
        <v>110</v>
      </c>
      <c r="D160" s="16">
        <f t="shared" ref="D160:M160" si="35">D153*$D$170</f>
        <v>7878.070595351408</v>
      </c>
      <c r="E160" s="16">
        <f t="shared" si="35"/>
        <v>30016.233413440605</v>
      </c>
      <c r="F160" s="16">
        <f t="shared" si="35"/>
        <v>49007.695620168182</v>
      </c>
      <c r="G160" s="16">
        <f t="shared" si="35"/>
        <v>57146.89370876571</v>
      </c>
      <c r="H160" s="16">
        <f t="shared" si="35"/>
        <v>57146.89370876571</v>
      </c>
      <c r="I160" s="16">
        <f t="shared" si="35"/>
        <v>57146.89370876571</v>
      </c>
      <c r="J160" s="16">
        <f t="shared" si="35"/>
        <v>57146.89370876571</v>
      </c>
      <c r="K160" s="16">
        <f t="shared" si="35"/>
        <v>57146.89370876571</v>
      </c>
      <c r="L160" s="16">
        <f t="shared" si="35"/>
        <v>57146.89370876571</v>
      </c>
      <c r="M160" s="16">
        <f t="shared" si="35"/>
        <v>57146.89370876571</v>
      </c>
    </row>
    <row r="161" spans="2:13" ht="15" customHeight="1" x14ac:dyDescent="0.2">
      <c r="B161" s="10" t="s">
        <v>904</v>
      </c>
      <c r="C161" s="10" t="s">
        <v>110</v>
      </c>
      <c r="D161" s="16">
        <f t="shared" ref="D161:M161" si="36">D160*$D$171</f>
        <v>3939.035297675704</v>
      </c>
      <c r="E161" s="16">
        <f t="shared" si="36"/>
        <v>15008.116706720302</v>
      </c>
      <c r="F161" s="16">
        <f t="shared" si="36"/>
        <v>24503.847810084091</v>
      </c>
      <c r="G161" s="16">
        <f t="shared" si="36"/>
        <v>28573.446854382855</v>
      </c>
      <c r="H161" s="16">
        <f t="shared" si="36"/>
        <v>28573.446854382855</v>
      </c>
      <c r="I161" s="16">
        <f t="shared" si="36"/>
        <v>28573.446854382855</v>
      </c>
      <c r="J161" s="16">
        <f t="shared" si="36"/>
        <v>28573.446854382855</v>
      </c>
      <c r="K161" s="16">
        <f t="shared" si="36"/>
        <v>28573.446854382855</v>
      </c>
      <c r="L161" s="16">
        <f t="shared" si="36"/>
        <v>28573.446854382855</v>
      </c>
      <c r="M161" s="16">
        <f t="shared" si="36"/>
        <v>28573.446854382855</v>
      </c>
    </row>
    <row r="162" spans="2:13" ht="15" customHeight="1" x14ac:dyDescent="0.2">
      <c r="B162" s="10" t="s">
        <v>905</v>
      </c>
      <c r="C162" s="10" t="s">
        <v>110</v>
      </c>
      <c r="D162" s="16">
        <f t="shared" ref="D162:M162" si="37">D161-D154</f>
        <v>2122.0580117432619</v>
      </c>
      <c r="E162" s="16">
        <f t="shared" si="37"/>
        <v>8085.2523249705937</v>
      </c>
      <c r="F162" s="16">
        <f t="shared" si="37"/>
        <v>13200.843007070591</v>
      </c>
      <c r="G162" s="16">
        <f t="shared" si="37"/>
        <v>15393.239013684873</v>
      </c>
      <c r="H162" s="16">
        <f t="shared" si="37"/>
        <v>15393.239013684873</v>
      </c>
      <c r="I162" s="16">
        <f t="shared" si="37"/>
        <v>15393.239013684873</v>
      </c>
      <c r="J162" s="16">
        <f t="shared" si="37"/>
        <v>15393.239013684873</v>
      </c>
      <c r="K162" s="16">
        <f t="shared" si="37"/>
        <v>15393.239013684873</v>
      </c>
      <c r="L162" s="16">
        <f t="shared" si="37"/>
        <v>15393.239013684873</v>
      </c>
      <c r="M162" s="16">
        <f t="shared" si="37"/>
        <v>15393.239013684873</v>
      </c>
    </row>
    <row r="163" spans="2:13" ht="15" customHeight="1" x14ac:dyDescent="0.2">
      <c r="B163" s="10" t="s">
        <v>906</v>
      </c>
      <c r="C163" s="10" t="s">
        <v>110</v>
      </c>
      <c r="D163" s="16">
        <f>MAX(D162,Inputs!$D$6)*Inputs!$D$19</f>
        <v>636.61740352297852</v>
      </c>
      <c r="E163" s="16">
        <f>MAX(E162,Inputs!$D$6)*Inputs!$D$19</f>
        <v>2425.5756974911778</v>
      </c>
      <c r="F163" s="16">
        <f>MAX(F162,Inputs!$D$6)*Inputs!$D$19</f>
        <v>3960.2529021211772</v>
      </c>
      <c r="G163" s="16">
        <f>MAX(G162,Inputs!$D$6)*Inputs!$D$19</f>
        <v>4617.9717041054619</v>
      </c>
      <c r="H163" s="16">
        <f>MAX(H162,Inputs!$D$6)*Inputs!$D$19</f>
        <v>4617.9717041054619</v>
      </c>
      <c r="I163" s="16">
        <f>MAX(I162,Inputs!$D$6)*Inputs!$D$19</f>
        <v>4617.9717041054619</v>
      </c>
      <c r="J163" s="16">
        <f>MAX(J162,Inputs!$D$6)*Inputs!$D$19</f>
        <v>4617.9717041054619</v>
      </c>
      <c r="K163" s="16">
        <f>MAX(K162,Inputs!$D$6)*Inputs!$D$19</f>
        <v>4617.9717041054619</v>
      </c>
      <c r="L163" s="16">
        <f>MAX(L162,Inputs!$D$6)*Inputs!$D$19</f>
        <v>4617.9717041054619</v>
      </c>
      <c r="M163" s="16">
        <f>MAX(M162,Inputs!$D$6)*Inputs!$D$19</f>
        <v>4617.9717041054619</v>
      </c>
    </row>
    <row r="164" spans="2:13" ht="15" customHeight="1" x14ac:dyDescent="0.2">
      <c r="B164" s="10" t="s">
        <v>907</v>
      </c>
      <c r="C164" s="10" t="s">
        <v>110</v>
      </c>
      <c r="D164" s="16">
        <f t="shared" ref="D164:M164" si="38">D157*$D$170</f>
        <v>406.95990442987659</v>
      </c>
      <c r="E164" s="16">
        <f t="shared" si="38"/>
        <v>542.61320590650212</v>
      </c>
      <c r="F164" s="16">
        <f t="shared" si="38"/>
        <v>406.95990442987659</v>
      </c>
      <c r="G164" s="16">
        <f t="shared" si="38"/>
        <v>0</v>
      </c>
      <c r="H164" s="16">
        <f t="shared" si="38"/>
        <v>0</v>
      </c>
      <c r="I164" s="16">
        <f t="shared" si="38"/>
        <v>0</v>
      </c>
      <c r="J164" s="16">
        <f t="shared" si="38"/>
        <v>0</v>
      </c>
      <c r="K164" s="16">
        <f t="shared" si="38"/>
        <v>0</v>
      </c>
      <c r="L164" s="16">
        <f t="shared" si="38"/>
        <v>0</v>
      </c>
      <c r="M164" s="16">
        <f t="shared" si="38"/>
        <v>0</v>
      </c>
    </row>
    <row r="165" spans="2:13" ht="15" customHeight="1" x14ac:dyDescent="0.2">
      <c r="B165" s="10" t="s">
        <v>908</v>
      </c>
      <c r="C165" s="10" t="s">
        <v>110</v>
      </c>
      <c r="D165" s="16">
        <f t="shared" ref="D165:M165" si="39">D161-D163-D155-D156-D164</f>
        <v>-12665.510630423305</v>
      </c>
      <c r="E165" s="16">
        <f t="shared" si="39"/>
        <v>-8708.0303568722484</v>
      </c>
      <c r="F165" s="16">
        <f t="shared" si="39"/>
        <v>4575.6663833868834</v>
      </c>
      <c r="G165" s="16">
        <f t="shared" si="39"/>
        <v>21317.470301710222</v>
      </c>
      <c r="H165" s="16">
        <f t="shared" si="39"/>
        <v>9073.6869284691129</v>
      </c>
      <c r="I165" s="16">
        <f t="shared" si="39"/>
        <v>4113.0908545330167</v>
      </c>
      <c r="J165" s="16">
        <f t="shared" si="39"/>
        <v>9073.6869284691129</v>
      </c>
      <c r="K165" s="16">
        <f t="shared" si="39"/>
        <v>21317.470301710222</v>
      </c>
      <c r="L165" s="16">
        <f t="shared" si="39"/>
        <v>9073.6869284691129</v>
      </c>
      <c r="M165" s="16">
        <f t="shared" si="39"/>
        <v>4113.0908545330167</v>
      </c>
    </row>
    <row r="166" spans="2:13" ht="15" customHeight="1" x14ac:dyDescent="0.2">
      <c r="B166" s="10" t="s">
        <v>909</v>
      </c>
      <c r="C166" s="10" t="s">
        <v>110</v>
      </c>
      <c r="D166" s="16">
        <f>D165/(Inputs!$D$7+$D$172)^D146</f>
        <v>-11533.461994058604</v>
      </c>
      <c r="E166" s="16">
        <f>E165/(Inputs!$D$7+$D$172)^E146</f>
        <v>-6954.0085506727282</v>
      </c>
      <c r="F166" s="16">
        <f>F165/(Inputs!$D$7+$D$172)^F146</f>
        <v>3205.5587141784199</v>
      </c>
      <c r="G166" s="16">
        <f>G165/(Inputs!$D$7+$D$172)^G146</f>
        <v>13101.443504611647</v>
      </c>
      <c r="H166" s="16">
        <f>H165/(Inputs!$D$7+$D$172)^H146</f>
        <v>4892.168087934182</v>
      </c>
      <c r="I166" s="16">
        <f>I165/(Inputs!$D$7+$D$172)^I146</f>
        <v>1944.7518059141923</v>
      </c>
      <c r="J166" s="16">
        <f>J165/(Inputs!$D$7+$D$172)^J146</f>
        <v>3763.6893418235354</v>
      </c>
      <c r="K166" s="16">
        <f>K165/(Inputs!$D$7+$D$172)^K146</f>
        <v>7757.106304160332</v>
      </c>
      <c r="L166" s="16">
        <f>L165/(Inputs!$D$7+$D$172)^L146</f>
        <v>2896.5562384456612</v>
      </c>
      <c r="M166" s="16">
        <f>M165/(Inputs!$D$7+$D$172)^M146</f>
        <v>1151.4491886618518</v>
      </c>
    </row>
    <row r="167" spans="2:13" ht="15" customHeight="1" x14ac:dyDescent="0.2">
      <c r="B167" s="3" t="s">
        <v>910</v>
      </c>
      <c r="C167" s="10" t="s">
        <v>896</v>
      </c>
      <c r="D167" s="28">
        <f>(D153*$D$171-D157)/(Inputs!$D$7+$D$172)^D146</f>
        <v>51.273468650578494</v>
      </c>
      <c r="E167" s="28">
        <f>(E153*$D$171-E157)/(Inputs!$D$7+$D$172)^E146</f>
        <v>184.15121515046144</v>
      </c>
      <c r="F167" s="28">
        <f>(F153*$D$171-F157)/(Inputs!$D$7+$D$172)^F146</f>
        <v>269.11387487482324</v>
      </c>
      <c r="G167" s="28">
        <f>(G153*$D$171-G157)/(Inputs!$D$7+$D$172)^G146</f>
        <v>279.94445081374585</v>
      </c>
      <c r="H167" s="28">
        <f>(H153*$D$171-H157)/(Inputs!$D$7+$D$172)^H146</f>
        <v>245.58733198765836</v>
      </c>
      <c r="I167" s="28">
        <f>(I153*$D$171-I157)/(Inputs!$D$7+$D$172)^I146</f>
        <v>215.36953082804891</v>
      </c>
      <c r="J167" s="28">
        <f>(J153*$D$171-J157)/(Inputs!$D$7+$D$172)^J146</f>
        <v>188.93758498783279</v>
      </c>
      <c r="K167" s="28">
        <f>(K153*$D$171-K157)/(Inputs!$D$7+$D$172)^K146</f>
        <v>165.74958808604802</v>
      </c>
      <c r="L167" s="28">
        <f>(L153*$D$171-L157)/(Inputs!$D$7+$D$172)^L146</f>
        <v>145.4074156418576</v>
      </c>
      <c r="M167" s="28">
        <f>(M153*$D$171-M157)/(Inputs!$D$7+$D$172)^M146</f>
        <v>127.51605154975879</v>
      </c>
    </row>
    <row r="168" spans="2:13" ht="15" customHeight="1" x14ac:dyDescent="0.2">
      <c r="B168" s="10" t="s">
        <v>911</v>
      </c>
      <c r="C168" s="10" t="s">
        <v>110</v>
      </c>
      <c r="D168" s="16">
        <f>(-D155-D156)/(Inputs!$D$7+$D$172)^D146</f>
        <v>-14170.122737893587</v>
      </c>
      <c r="E168" s="16">
        <f>(-E155-E156)/(Inputs!$D$7+$D$172)^E146</f>
        <v>-16568.784506031301</v>
      </c>
      <c r="F168" s="16">
        <f>(-F155-F156)/(Inputs!$D$7+$D$172)^F146</f>
        <v>-10901.493767656277</v>
      </c>
      <c r="G168" s="16">
        <f>(-G155-G156)/(Inputs!$D$7+$D$172)^G146</f>
        <v>-1621.2839046676961</v>
      </c>
      <c r="H168" s="16">
        <f>(-H155-H156)/(Inputs!$D$7+$D$172)^H146</f>
        <v>-8023.6633690433682</v>
      </c>
      <c r="I168" s="16">
        <f>(-I155-I156)/(Inputs!$D$7+$D$172)^I146</f>
        <v>-9381.8770500204446</v>
      </c>
      <c r="J168" s="16">
        <f>(-J155-J156)/(Inputs!$D$7+$D$172)^J146</f>
        <v>-6172.8411129063252</v>
      </c>
      <c r="K168" s="16">
        <f>(-K155-K156)/(Inputs!$D$7+$D$172)^K146</f>
        <v>-959.93022397147342</v>
      </c>
      <c r="L168" s="16">
        <f>(-L155-L156)/(Inputs!$D$7+$D$172)^L146</f>
        <v>-4750.6528330682277</v>
      </c>
      <c r="M168" s="16">
        <f>(-M155-M156)/(Inputs!$D$7+$D$172)^M146</f>
        <v>-5554.82436602912</v>
      </c>
    </row>
    <row r="169" spans="2:13" ht="15" customHeight="1" x14ac:dyDescent="0.2">
      <c r="B169" s="10" t="s">
        <v>912</v>
      </c>
      <c r="C169" s="10" t="s">
        <v>110</v>
      </c>
      <c r="D169" s="16">
        <f>Prices!I6</f>
        <v>43700</v>
      </c>
    </row>
    <row r="170" spans="2:13" ht="15" customHeight="1" x14ac:dyDescent="0.2">
      <c r="B170" s="3" t="s">
        <v>913</v>
      </c>
      <c r="C170" s="10" t="s">
        <v>914</v>
      </c>
      <c r="D170" s="28">
        <f>IF(J177&gt;=J173,J177,(D169-J176)/J175)</f>
        <v>62.729850393815269</v>
      </c>
      <c r="G170" s="99" t="s">
        <v>915</v>
      </c>
      <c r="H170" s="91"/>
      <c r="I170" s="91"/>
      <c r="J170" s="28">
        <f>D170*Inputs!$D$15</f>
        <v>43.779162589843672</v>
      </c>
      <c r="K170" s="99" t="s">
        <v>916</v>
      </c>
      <c r="L170" s="91"/>
      <c r="M170" s="91"/>
    </row>
    <row r="171" spans="2:13" ht="15" customHeight="1" x14ac:dyDescent="0.2">
      <c r="B171" s="10" t="s">
        <v>917</v>
      </c>
      <c r="C171" s="10" t="s">
        <v>104</v>
      </c>
      <c r="D171" s="30">
        <f>Inputs!$D$140</f>
        <v>0.5</v>
      </c>
      <c r="G171" s="99" t="s">
        <v>918</v>
      </c>
      <c r="H171" s="91"/>
      <c r="I171" s="91"/>
      <c r="J171" s="28">
        <f>IF(-D182/D181&gt;=J173,-D182/D181,-J176/J175)</f>
        <v>41.921619883591745</v>
      </c>
      <c r="K171" s="99" t="s">
        <v>919</v>
      </c>
      <c r="L171" s="91"/>
      <c r="M171" s="91"/>
    </row>
    <row r="172" spans="2:13" ht="15" customHeight="1" x14ac:dyDescent="0.2">
      <c r="B172" s="10" t="s">
        <v>920</v>
      </c>
      <c r="C172" s="10" t="s">
        <v>104</v>
      </c>
      <c r="D172" s="30">
        <f>Inputs!$D$149</f>
        <v>0.14000000000000001</v>
      </c>
      <c r="G172" s="99" t="s">
        <v>918</v>
      </c>
      <c r="H172" s="91"/>
      <c r="I172" s="91"/>
      <c r="J172" s="28">
        <f>J171*Inputs!$D$15</f>
        <v>29.257098516758678</v>
      </c>
      <c r="K172" s="99" t="s">
        <v>916</v>
      </c>
      <c r="L172" s="91"/>
      <c r="M172" s="91"/>
    </row>
    <row r="173" spans="2:13" ht="15" customHeight="1" x14ac:dyDescent="0.2">
      <c r="B173" s="3" t="s">
        <v>921</v>
      </c>
      <c r="C173" s="10" t="s">
        <v>848</v>
      </c>
      <c r="D173" s="28">
        <f>Capital!$D$13</f>
        <v>57.347931490590682</v>
      </c>
      <c r="G173" s="99" t="s">
        <v>922</v>
      </c>
      <c r="H173" s="91"/>
      <c r="I173" s="91"/>
      <c r="J173" s="28">
        <f>($D$173/Inputs!$D$21+$D$174/Inputs!$D$22)/$D$171</f>
        <v>28.93569229571456</v>
      </c>
      <c r="K173" s="99" t="s">
        <v>919</v>
      </c>
      <c r="L173" s="91"/>
      <c r="M173" s="91"/>
    </row>
    <row r="174" spans="2:13" ht="15" customHeight="1" x14ac:dyDescent="0.2">
      <c r="B174" s="3" t="s">
        <v>923</v>
      </c>
      <c r="C174" s="10" t="s">
        <v>848</v>
      </c>
      <c r="D174" s="28">
        <f>Capital!$D$14</f>
        <v>2.6172655041921802</v>
      </c>
    </row>
    <row r="175" spans="2:13" ht="15" customHeight="1" x14ac:dyDescent="0.2">
      <c r="B175" s="10" t="s">
        <v>924</v>
      </c>
      <c r="C175" s="10" t="s">
        <v>896</v>
      </c>
      <c r="D175" s="28">
        <f>(M148*(Inputs!$D$7+Inputs!$D$20)*$D$171*(Inputs!$D$7-Inputs!$D$19)-M148*Inputs!$D$20*Inputs!$D$23)/($D$172-Inputs!$D$20)/(Inputs!$D$7+$D$172)^M146</f>
        <v>794.20323410882349</v>
      </c>
      <c r="G175" s="92" t="s">
        <v>910</v>
      </c>
      <c r="H175" s="91"/>
      <c r="I175" s="91"/>
      <c r="J175" s="28">
        <f>SUM(D167:M167)+(M148*(Inputs!$D$7+Inputs!$D$20)*$D$171-M148*Inputs!$D$20*Inputs!$D$23)/($D$172-Inputs!$D$20)/(Inputs!$D$7+$D$172)^M146</f>
        <v>3008.2205801713835</v>
      </c>
      <c r="K175" s="99" t="s">
        <v>896</v>
      </c>
      <c r="L175" s="91"/>
      <c r="M175" s="91"/>
    </row>
    <row r="176" spans="2:13" ht="15" customHeight="1" x14ac:dyDescent="0.2">
      <c r="B176" s="10" t="s">
        <v>925</v>
      </c>
      <c r="C176" s="10" t="s">
        <v>110</v>
      </c>
      <c r="D176" s="16">
        <f>(D179*Inputs!$D$19-D179-D180)/($D$172-Inputs!$D$20)/(Inputs!$D$7+$D$172)^M146</f>
        <v>-26345.502698929216</v>
      </c>
      <c r="G176" s="92" t="s">
        <v>926</v>
      </c>
      <c r="H176" s="91"/>
      <c r="I176" s="91"/>
      <c r="J176" s="16">
        <f>SUM(D168:M168)-(D179+D180)/($D$172-Inputs!$D$20)/(Inputs!$D$7+$D$172)^M146</f>
        <v>-114317.08794717836</v>
      </c>
      <c r="K176" s="99" t="s">
        <v>110</v>
      </c>
      <c r="L176" s="91"/>
      <c r="M176" s="91"/>
    </row>
    <row r="177" spans="1:13" ht="15" customHeight="1" x14ac:dyDescent="0.2">
      <c r="B177" s="10" t="s">
        <v>927</v>
      </c>
      <c r="C177" s="10" t="s">
        <v>928</v>
      </c>
      <c r="D177" s="16">
        <f>(M148*(Inputs!$D$7+Inputs!$D$20)*$D$170*$D$171-D179)-MAX((M148*(Inputs!$D$7+Inputs!$D$20)*$D$170*$D$171-D179),Inputs!$D$6)*Inputs!$D$19-D180-M148*Inputs!$D$20*$D$170*Inputs!$D$23</f>
        <v>9643.2248221947357</v>
      </c>
      <c r="G177" s="99" t="s">
        <v>929</v>
      </c>
      <c r="H177" s="91"/>
      <c r="I177" s="91"/>
      <c r="J177" s="28">
        <f>(D169-D182)/D181</f>
        <v>62.729850393815269</v>
      </c>
      <c r="K177" s="99" t="s">
        <v>919</v>
      </c>
      <c r="L177" s="91"/>
      <c r="M177" s="91"/>
    </row>
    <row r="178" spans="1:13" ht="15" customHeight="1" x14ac:dyDescent="0.2">
      <c r="B178" s="10" t="s">
        <v>930</v>
      </c>
      <c r="C178" s="10" t="s">
        <v>110</v>
      </c>
      <c r="D178" s="16">
        <f>D177/($D$172-Inputs!$D$20)</f>
        <v>83854.128888649866</v>
      </c>
      <c r="G178" s="99" t="s">
        <v>931</v>
      </c>
      <c r="H178" s="91"/>
      <c r="I178" s="91"/>
      <c r="J178" s="16">
        <f>MIN(D162:M162,(M148*(Inputs!$D$7+Inputs!$D$20)*$D$170*$D$171-D179))</f>
        <v>2122.0580117432619</v>
      </c>
      <c r="K178" s="99" t="s">
        <v>110</v>
      </c>
      <c r="L178" s="91"/>
      <c r="M178" s="91"/>
    </row>
    <row r="179" spans="1:13" ht="15" customHeight="1" x14ac:dyDescent="0.2">
      <c r="B179" s="10" t="s">
        <v>932</v>
      </c>
      <c r="C179" s="10" t="s">
        <v>928</v>
      </c>
      <c r="D179" s="16">
        <f>M148*(Inputs!$D$7+Inputs!$D$20)*($D$173/Inputs!$D$21+$D$174/Inputs!$D$22)</f>
        <v>13509.71303671543</v>
      </c>
      <c r="G179" s="99" t="s">
        <v>933</v>
      </c>
      <c r="H179" s="91"/>
      <c r="I179" s="91"/>
      <c r="J179" s="31" t="str">
        <f>IF(J178&lt;Inputs!$D$6,"breached","satisfied")</f>
        <v>satisfied</v>
      </c>
      <c r="K179" s="99" t="s">
        <v>934</v>
      </c>
      <c r="L179" s="91"/>
      <c r="M179" s="91"/>
    </row>
    <row r="180" spans="1:13" ht="15" customHeight="1" x14ac:dyDescent="0.2">
      <c r="B180" s="10" t="s">
        <v>935</v>
      </c>
      <c r="C180" s="10" t="s">
        <v>928</v>
      </c>
      <c r="D180" s="16">
        <f>M148*Inputs!$D$20*($D$173+$D$174)</f>
        <v>1365.7073615561799</v>
      </c>
    </row>
    <row r="181" spans="1:13" ht="15" customHeight="1" x14ac:dyDescent="0.2">
      <c r="B181" s="10" t="s">
        <v>936</v>
      </c>
      <c r="C181" s="10" t="s">
        <v>896</v>
      </c>
      <c r="D181" s="28">
        <f>SUM(D158:M158)+D175</f>
        <v>2100.1305218398693</v>
      </c>
      <c r="G181" s="99" t="s">
        <v>937</v>
      </c>
      <c r="H181" s="91"/>
      <c r="I181" s="91"/>
      <c r="J181" s="16">
        <f>D183-D169</f>
        <v>0</v>
      </c>
      <c r="K181" s="99" t="s">
        <v>110</v>
      </c>
      <c r="L181" s="91"/>
      <c r="M181" s="91"/>
    </row>
    <row r="182" spans="1:13" ht="15" customHeight="1" x14ac:dyDescent="0.2">
      <c r="B182" s="10" t="s">
        <v>938</v>
      </c>
      <c r="C182" s="10" t="s">
        <v>110</v>
      </c>
      <c r="D182" s="16">
        <f>SUM(D159:M159)+D176</f>
        <v>-88040.873442500175</v>
      </c>
    </row>
    <row r="183" spans="1:13" ht="15" customHeight="1" x14ac:dyDescent="0.2">
      <c r="B183" s="10" t="s">
        <v>939</v>
      </c>
      <c r="C183" s="10" t="s">
        <v>110</v>
      </c>
      <c r="D183" s="16">
        <f>SUM(D166:M166)+D178/(Inputs!$D$7+$D$172)^M146</f>
        <v>43700.000000000015</v>
      </c>
    </row>
    <row r="184" spans="1:13" ht="15" customHeight="1" x14ac:dyDescent="0.2">
      <c r="B184" s="10" t="s">
        <v>940</v>
      </c>
      <c r="C184" s="10" t="s">
        <v>104</v>
      </c>
      <c r="D184" s="30">
        <f>IF(ABS(D169)&gt;Inputs!$D$6,D183/D169-Inputs!$D$7,Inputs!$D$6)</f>
        <v>2.2204460492503131E-16</v>
      </c>
    </row>
    <row r="185" spans="1:13" ht="15" customHeight="1" x14ac:dyDescent="0.2">
      <c r="B185" s="10" t="s">
        <v>941</v>
      </c>
      <c r="C185" s="10" t="s">
        <v>104</v>
      </c>
      <c r="D185" s="30">
        <f>IF(ABS(D183)&gt;Inputs!$D$119,D178/(Inputs!$D$7+$D$172)^M146/D183,Inputs!$D$6)</f>
        <v>0.53717957343252887</v>
      </c>
    </row>
    <row r="186" spans="1:13" ht="15" customHeight="1" x14ac:dyDescent="0.2">
      <c r="B186" s="10" t="s">
        <v>942</v>
      </c>
      <c r="C186" s="10" t="s">
        <v>943</v>
      </c>
      <c r="D186" s="26">
        <f>$D$170*Inputs!$D$8/Prices!$P$6/(Inputs!$D$26/Inputs!$D$25)/Inputs!$D$11/Inputs!$D$56</f>
        <v>11.407613837436932</v>
      </c>
    </row>
    <row r="190" spans="1:13" ht="15" customHeight="1" x14ac:dyDescent="0.2">
      <c r="A190" s="104" t="s">
        <v>2169</v>
      </c>
      <c r="B190" s="10" t="s">
        <v>886</v>
      </c>
      <c r="C190" s="10" t="s">
        <v>107</v>
      </c>
      <c r="D190" s="28">
        <f>Inputs!$D$60</f>
        <v>1</v>
      </c>
      <c r="E190" s="28">
        <f>Inputs!$D$62</f>
        <v>2</v>
      </c>
      <c r="F190" s="28">
        <f>Inputs!$D$64</f>
        <v>3</v>
      </c>
      <c r="G190" s="28">
        <f>Inputs!$D$66</f>
        <v>4</v>
      </c>
      <c r="H190" s="28">
        <f>Inputs!$D$68</f>
        <v>5</v>
      </c>
      <c r="I190" s="28">
        <f>Inputs!$D$70</f>
        <v>6</v>
      </c>
      <c r="J190" s="28">
        <f>Inputs!$D$72</f>
        <v>7</v>
      </c>
      <c r="K190" s="28">
        <f>Inputs!$D$74</f>
        <v>8</v>
      </c>
      <c r="L190" s="28">
        <f>Inputs!$D$76</f>
        <v>9</v>
      </c>
      <c r="M190" s="28">
        <f>Inputs!$D$78</f>
        <v>10</v>
      </c>
    </row>
    <row r="191" spans="1:13" ht="15" customHeight="1" x14ac:dyDescent="0.2">
      <c r="A191" s="91"/>
      <c r="B191" s="10" t="s">
        <v>887</v>
      </c>
      <c r="C191" s="10" t="s">
        <v>161</v>
      </c>
      <c r="D191" s="29">
        <f>Inputs!$D$61</f>
        <v>46568</v>
      </c>
      <c r="E191" s="29">
        <f>Inputs!$D$63</f>
        <v>46934</v>
      </c>
      <c r="F191" s="29">
        <f>Inputs!$D$65</f>
        <v>47299</v>
      </c>
      <c r="G191" s="29">
        <f>Inputs!$D$67</f>
        <v>47664</v>
      </c>
      <c r="H191" s="29">
        <f>Inputs!$D$69</f>
        <v>48029</v>
      </c>
      <c r="I191" s="29">
        <f>Inputs!$D$71</f>
        <v>48395</v>
      </c>
      <c r="J191" s="29">
        <f>Inputs!$D$73</f>
        <v>48760</v>
      </c>
      <c r="K191" s="29">
        <f>Inputs!$D$75</f>
        <v>49125</v>
      </c>
      <c r="L191" s="29">
        <f>Inputs!$D$77</f>
        <v>49490</v>
      </c>
      <c r="M191" s="29">
        <f>Inputs!$D$79</f>
        <v>49856</v>
      </c>
    </row>
    <row r="192" spans="1:13" ht="15" customHeight="1" x14ac:dyDescent="0.2">
      <c r="A192" s="91"/>
      <c r="B192" s="10" t="s">
        <v>888</v>
      </c>
      <c r="C192" s="10" t="s">
        <v>107</v>
      </c>
      <c r="D192" s="28">
        <f>(D191-Inputs!$D$13)/Inputs!$D$10</f>
        <v>0.71457905544147848</v>
      </c>
      <c r="E192" s="28">
        <f>(E191-Inputs!$D$13)/Inputs!$D$10</f>
        <v>1.7166324435318274</v>
      </c>
      <c r="F192" s="28">
        <f>(F191-Inputs!$D$13)/Inputs!$D$10</f>
        <v>2.7159479808350446</v>
      </c>
      <c r="G192" s="28">
        <f>(G191-Inputs!$D$13)/Inputs!$D$10</f>
        <v>3.7152635181382614</v>
      </c>
      <c r="H192" s="28">
        <f>(H191-Inputs!$D$13)/Inputs!$D$10</f>
        <v>4.7145790554414786</v>
      </c>
      <c r="I192" s="28">
        <f>(I191-Inputs!$D$13)/Inputs!$D$10</f>
        <v>5.7166324435318279</v>
      </c>
      <c r="J192" s="28">
        <f>(J191-Inputs!$D$13)/Inputs!$D$10</f>
        <v>6.7159479808350442</v>
      </c>
      <c r="K192" s="28">
        <f>(K191-Inputs!$D$13)/Inputs!$D$10</f>
        <v>7.7152635181382614</v>
      </c>
      <c r="L192" s="28">
        <f>(L191-Inputs!$D$13)/Inputs!$D$10</f>
        <v>8.7145790554414777</v>
      </c>
      <c r="M192" s="28">
        <f>(M191-Inputs!$D$13)/Inputs!$D$10</f>
        <v>9.716632443531827</v>
      </c>
    </row>
    <row r="193" spans="1:13" ht="15" customHeight="1" x14ac:dyDescent="0.2">
      <c r="A193" s="91"/>
      <c r="B193" s="10" t="s">
        <v>889</v>
      </c>
      <c r="C193" s="10" t="s">
        <v>107</v>
      </c>
      <c r="D193" s="28">
        <f>D192</f>
        <v>0.71457905544147848</v>
      </c>
      <c r="E193" s="28">
        <f>Inputs!$D$7</f>
        <v>1</v>
      </c>
      <c r="F193" s="28">
        <f>Inputs!$D$7</f>
        <v>1</v>
      </c>
      <c r="G193" s="28">
        <f>Inputs!$D$7</f>
        <v>1</v>
      </c>
      <c r="H193" s="28">
        <f>Inputs!$D$7</f>
        <v>1</v>
      </c>
      <c r="I193" s="28">
        <f>Inputs!$D$7</f>
        <v>1</v>
      </c>
      <c r="J193" s="28">
        <f>Inputs!$D$7</f>
        <v>1</v>
      </c>
      <c r="K193" s="28">
        <f>Inputs!$D$7</f>
        <v>1</v>
      </c>
      <c r="L193" s="28">
        <f>Inputs!$D$7</f>
        <v>1</v>
      </c>
      <c r="M193" s="28">
        <f>Inputs!$D$7</f>
        <v>1</v>
      </c>
    </row>
    <row r="194" spans="1:13" ht="15" customHeight="1" x14ac:dyDescent="0.2">
      <c r="A194" s="91"/>
      <c r="B194" s="3" t="s">
        <v>890</v>
      </c>
      <c r="C194" s="10" t="s">
        <v>199</v>
      </c>
      <c r="D194" s="28">
        <f>Inputs!$D$24+(Inputs!$D$80-Inputs!$D$24)*Inputs!$D$83</f>
        <v>305.5</v>
      </c>
      <c r="E194" s="28">
        <f>Inputs!$D$24+(Inputs!$D$80-Inputs!$D$24)*Inputs!$D$84</f>
        <v>651.5</v>
      </c>
      <c r="F194" s="28">
        <f>Inputs!$D$24+(Inputs!$D$80-Inputs!$D$24)*Inputs!$D$85</f>
        <v>911</v>
      </c>
      <c r="G194" s="28">
        <f>Inputs!$D$24+(Inputs!$D$80-Inputs!$D$24)*Inputs!$D$86</f>
        <v>911</v>
      </c>
      <c r="H194" s="28">
        <f>Inputs!$D$24+(Inputs!$D$80-Inputs!$D$24)*Inputs!$D$87</f>
        <v>911</v>
      </c>
      <c r="I194" s="28">
        <f>Inputs!$D$24+(Inputs!$D$80-Inputs!$D$24)*Inputs!$D$88</f>
        <v>911</v>
      </c>
      <c r="J194" s="28">
        <f>Inputs!$D$24+(Inputs!$D$80-Inputs!$D$24)*Inputs!$D$89</f>
        <v>911</v>
      </c>
      <c r="K194" s="28">
        <f>Inputs!$D$24+(Inputs!$D$80-Inputs!$D$24)*Inputs!$D$90</f>
        <v>911</v>
      </c>
      <c r="L194" s="28">
        <f>Inputs!$D$24+(Inputs!$D$80-Inputs!$D$24)*Inputs!$D$91</f>
        <v>911</v>
      </c>
      <c r="M194" s="28">
        <f>Inputs!$D$24+(Inputs!$D$80-Inputs!$D$24)*Inputs!$D$92</f>
        <v>911</v>
      </c>
    </row>
    <row r="195" spans="1:13" ht="15" customHeight="1" x14ac:dyDescent="0.2">
      <c r="A195" s="91"/>
      <c r="B195" s="10" t="s">
        <v>891</v>
      </c>
      <c r="C195" s="10" t="s">
        <v>199</v>
      </c>
      <c r="D195" s="28">
        <f>Inputs!$D$24</f>
        <v>46</v>
      </c>
      <c r="E195" s="28">
        <f t="shared" ref="E195:M195" si="40">D194</f>
        <v>305.5</v>
      </c>
      <c r="F195" s="28">
        <f t="shared" si="40"/>
        <v>651.5</v>
      </c>
      <c r="G195" s="28">
        <f t="shared" si="40"/>
        <v>911</v>
      </c>
      <c r="H195" s="28">
        <f t="shared" si="40"/>
        <v>911</v>
      </c>
      <c r="I195" s="28">
        <f t="shared" si="40"/>
        <v>911</v>
      </c>
      <c r="J195" s="28">
        <f t="shared" si="40"/>
        <v>911</v>
      </c>
      <c r="K195" s="28">
        <f t="shared" si="40"/>
        <v>911</v>
      </c>
      <c r="L195" s="28">
        <f t="shared" si="40"/>
        <v>911</v>
      </c>
      <c r="M195" s="28">
        <f t="shared" si="40"/>
        <v>911</v>
      </c>
    </row>
    <row r="196" spans="1:13" ht="15" customHeight="1" x14ac:dyDescent="0.2">
      <c r="B196" s="10" t="s">
        <v>892</v>
      </c>
      <c r="C196" s="10" t="s">
        <v>199</v>
      </c>
      <c r="D196" s="28">
        <f>(D195+D194)*Inputs!$D$12</f>
        <v>175.75</v>
      </c>
      <c r="E196" s="28">
        <f>(E195+E194)*Inputs!$D$12</f>
        <v>478.5</v>
      </c>
      <c r="F196" s="28">
        <f>(F195+F194)*Inputs!$D$12</f>
        <v>781.25</v>
      </c>
      <c r="G196" s="28">
        <f>(G195+G194)*Inputs!$D$12</f>
        <v>911</v>
      </c>
      <c r="H196" s="28">
        <f>(H195+H194)*Inputs!$D$12</f>
        <v>911</v>
      </c>
      <c r="I196" s="28">
        <f>(I195+I194)*Inputs!$D$12</f>
        <v>911</v>
      </c>
      <c r="J196" s="28">
        <f>(J195+J194)*Inputs!$D$12</f>
        <v>911</v>
      </c>
      <c r="K196" s="28">
        <f>(K195+K194)*Inputs!$D$12</f>
        <v>911</v>
      </c>
      <c r="L196" s="28">
        <f>(L195+L194)*Inputs!$D$12</f>
        <v>911</v>
      </c>
      <c r="M196" s="28">
        <f>(M195+M194)*Inputs!$D$12</f>
        <v>911</v>
      </c>
    </row>
    <row r="197" spans="1:13" ht="15" customHeight="1" x14ac:dyDescent="0.2">
      <c r="B197" s="10" t="s">
        <v>893</v>
      </c>
      <c r="C197" s="10" t="s">
        <v>199</v>
      </c>
      <c r="D197" s="28">
        <f t="shared" ref="D197:M197" si="41">D194-D195</f>
        <v>259.5</v>
      </c>
      <c r="E197" s="28">
        <f t="shared" si="41"/>
        <v>346</v>
      </c>
      <c r="F197" s="28">
        <f t="shared" si="41"/>
        <v>259.5</v>
      </c>
      <c r="G197" s="28">
        <f t="shared" si="41"/>
        <v>0</v>
      </c>
      <c r="H197" s="28">
        <f t="shared" si="41"/>
        <v>0</v>
      </c>
      <c r="I197" s="28">
        <f t="shared" si="41"/>
        <v>0</v>
      </c>
      <c r="J197" s="28">
        <f t="shared" si="41"/>
        <v>0</v>
      </c>
      <c r="K197" s="28">
        <f t="shared" si="41"/>
        <v>0</v>
      </c>
      <c r="L197" s="28">
        <f t="shared" si="41"/>
        <v>0</v>
      </c>
      <c r="M197" s="28">
        <f t="shared" si="41"/>
        <v>0</v>
      </c>
    </row>
    <row r="198" spans="1:13" ht="15" customHeight="1" x14ac:dyDescent="0.2">
      <c r="B198" s="10" t="s">
        <v>894</v>
      </c>
      <c r="C198" s="10" t="s">
        <v>199</v>
      </c>
      <c r="D198" s="28">
        <f>IF(MOD(D190,Inputs!$D$21)=Inputs!$D$6,Inputs!$D$24,Inputs!$D$6)+SUMPRODUCT(--(D190&gt;$D$190:$M$190),--(MOD(D190-$D$190:$M$190,Inputs!$D$21)=Inputs!$D$6),$D$197:$M$197)</f>
        <v>0</v>
      </c>
      <c r="E198" s="28">
        <f>IF(MOD(E190,Inputs!$D$21)=Inputs!$D$6,Inputs!$D$24,Inputs!$D$6)+SUMPRODUCT(--(E190&gt;$D$190:$M$190),--(MOD(E190-$D$190:$M$190,Inputs!$D$21)=Inputs!$D$6),$D$197:$M$197)</f>
        <v>0</v>
      </c>
      <c r="F198" s="28">
        <f>IF(MOD(F190,Inputs!$D$21)=Inputs!$D$6,Inputs!$D$24,Inputs!$D$6)+SUMPRODUCT(--(F190&gt;$D$190:$M$190),--(MOD(F190-$D$190:$M$190,Inputs!$D$21)=Inputs!$D$6),$D$197:$M$197)</f>
        <v>0</v>
      </c>
      <c r="G198" s="28">
        <f>IF(MOD(G190,Inputs!$D$21)=Inputs!$D$6,Inputs!$D$24,Inputs!$D$6)+SUMPRODUCT(--(G190&gt;$D$190:$M$190),--(MOD(G190-$D$190:$M$190,Inputs!$D$21)=Inputs!$D$6),$D$197:$M$197)</f>
        <v>46</v>
      </c>
      <c r="H198" s="28">
        <f>IF(MOD(H190,Inputs!$D$21)=Inputs!$D$6,Inputs!$D$24,Inputs!$D$6)+SUMPRODUCT(--(H190&gt;$D$190:$M$190),--(MOD(H190-$D$190:$M$190,Inputs!$D$21)=Inputs!$D$6),$D$197:$M$197)</f>
        <v>259.5</v>
      </c>
      <c r="I198" s="28">
        <f>IF(MOD(I190,Inputs!$D$21)=Inputs!$D$6,Inputs!$D$24,Inputs!$D$6)+SUMPRODUCT(--(I190&gt;$D$190:$M$190),--(MOD(I190-$D$190:$M$190,Inputs!$D$21)=Inputs!$D$6),$D$197:$M$197)</f>
        <v>346</v>
      </c>
      <c r="J198" s="28">
        <f>IF(MOD(J190,Inputs!$D$21)=Inputs!$D$6,Inputs!$D$24,Inputs!$D$6)+SUMPRODUCT(--(J190&gt;$D$190:$M$190),--(MOD(J190-$D$190:$M$190,Inputs!$D$21)=Inputs!$D$6),$D$197:$M$197)</f>
        <v>259.5</v>
      </c>
      <c r="K198" s="28">
        <f>IF(MOD(K190,Inputs!$D$21)=Inputs!$D$6,Inputs!$D$24,Inputs!$D$6)+SUMPRODUCT(--(K190&gt;$D$190:$M$190),--(MOD(K190-$D$190:$M$190,Inputs!$D$21)=Inputs!$D$6),$D$197:$M$197)</f>
        <v>46</v>
      </c>
      <c r="L198" s="28">
        <f>IF(MOD(L190,Inputs!$D$21)=Inputs!$D$6,Inputs!$D$24,Inputs!$D$6)+SUMPRODUCT(--(L190&gt;$D$190:$M$190),--(MOD(L190-$D$190:$M$190,Inputs!$D$21)=Inputs!$D$6),$D$197:$M$197)</f>
        <v>259.5</v>
      </c>
      <c r="M198" s="28">
        <f>IF(MOD(M190,Inputs!$D$21)=Inputs!$D$6,Inputs!$D$24,Inputs!$D$6)+SUMPRODUCT(--(M190&gt;$D$190:$M$190),--(MOD(M190-$D$190:$M$190,Inputs!$D$21)=Inputs!$D$6),$D$197:$M$197)</f>
        <v>346</v>
      </c>
    </row>
    <row r="199" spans="1:13" ht="15" customHeight="1" x14ac:dyDescent="0.2">
      <c r="B199" s="10" t="s">
        <v>895</v>
      </c>
      <c r="C199" s="10" t="s">
        <v>896</v>
      </c>
      <c r="D199" s="28">
        <f t="shared" ref="D199:M199" si="42">D196*D193</f>
        <v>125.58726899383984</v>
      </c>
      <c r="E199" s="28">
        <f t="shared" si="42"/>
        <v>478.5</v>
      </c>
      <c r="F199" s="28">
        <f t="shared" si="42"/>
        <v>781.25</v>
      </c>
      <c r="G199" s="28">
        <f t="shared" si="42"/>
        <v>911</v>
      </c>
      <c r="H199" s="28">
        <f t="shared" si="42"/>
        <v>911</v>
      </c>
      <c r="I199" s="28">
        <f t="shared" si="42"/>
        <v>911</v>
      </c>
      <c r="J199" s="28">
        <f t="shared" si="42"/>
        <v>911</v>
      </c>
      <c r="K199" s="28">
        <f t="shared" si="42"/>
        <v>911</v>
      </c>
      <c r="L199" s="28">
        <f t="shared" si="42"/>
        <v>911</v>
      </c>
      <c r="M199" s="28">
        <f t="shared" si="42"/>
        <v>911</v>
      </c>
    </row>
    <row r="200" spans="1:13" ht="15" customHeight="1" x14ac:dyDescent="0.2">
      <c r="B200" s="10" t="s">
        <v>897</v>
      </c>
      <c r="C200" s="10" t="s">
        <v>110</v>
      </c>
      <c r="D200" s="16">
        <f>D199*($D$219/Inputs!$D$21+$D$220/Inputs!$D$22)</f>
        <v>1816.9772859324419</v>
      </c>
      <c r="E200" s="16">
        <f>E199*($D$219/Inputs!$D$21+$D$220/Inputs!$D$22)</f>
        <v>6922.8643817497086</v>
      </c>
      <c r="F200" s="16">
        <f>F199*($D$219/Inputs!$D$21+$D$220/Inputs!$D$22)</f>
        <v>11303.0048030135</v>
      </c>
      <c r="G200" s="16">
        <f>G199*($D$219/Inputs!$D$21+$D$220/Inputs!$D$22)</f>
        <v>13180.207840697982</v>
      </c>
      <c r="H200" s="16">
        <f>H199*($D$219/Inputs!$D$21+$D$220/Inputs!$D$22)</f>
        <v>13180.207840697982</v>
      </c>
      <c r="I200" s="16">
        <f>I199*($D$219/Inputs!$D$21+$D$220/Inputs!$D$22)</f>
        <v>13180.207840697982</v>
      </c>
      <c r="J200" s="16">
        <f>J199*($D$219/Inputs!$D$21+$D$220/Inputs!$D$22)</f>
        <v>13180.207840697982</v>
      </c>
      <c r="K200" s="16">
        <f>K199*($D$219/Inputs!$D$21+$D$220/Inputs!$D$22)</f>
        <v>13180.207840697982</v>
      </c>
      <c r="L200" s="16">
        <f>L199*($D$219/Inputs!$D$21+$D$220/Inputs!$D$22)</f>
        <v>13180.207840697982</v>
      </c>
      <c r="M200" s="16">
        <f>M199*($D$219/Inputs!$D$21+$D$220/Inputs!$D$22)</f>
        <v>13180.207840697982</v>
      </c>
    </row>
    <row r="201" spans="1:13" ht="15" customHeight="1" x14ac:dyDescent="0.2">
      <c r="B201" s="10" t="s">
        <v>898</v>
      </c>
      <c r="C201" s="10" t="s">
        <v>110</v>
      </c>
      <c r="D201" s="16">
        <f t="shared" ref="D201:M201" si="43">D197*($D$219+$D$220)</f>
        <v>15560.968620146154</v>
      </c>
      <c r="E201" s="16">
        <f t="shared" si="43"/>
        <v>20747.95816019487</v>
      </c>
      <c r="F201" s="16">
        <f t="shared" si="43"/>
        <v>15560.968620146154</v>
      </c>
      <c r="G201" s="16">
        <f t="shared" si="43"/>
        <v>0</v>
      </c>
      <c r="H201" s="16">
        <f t="shared" si="43"/>
        <v>0</v>
      </c>
      <c r="I201" s="16">
        <f t="shared" si="43"/>
        <v>0</v>
      </c>
      <c r="J201" s="16">
        <f t="shared" si="43"/>
        <v>0</v>
      </c>
      <c r="K201" s="16">
        <f t="shared" si="43"/>
        <v>0</v>
      </c>
      <c r="L201" s="16">
        <f t="shared" si="43"/>
        <v>0</v>
      </c>
      <c r="M201" s="16">
        <f t="shared" si="43"/>
        <v>0</v>
      </c>
    </row>
    <row r="202" spans="1:13" ht="15" customHeight="1" x14ac:dyDescent="0.2">
      <c r="B202" s="10" t="s">
        <v>899</v>
      </c>
      <c r="C202" s="10" t="s">
        <v>110</v>
      </c>
      <c r="D202" s="16">
        <f t="shared" ref="D202:M202" si="44">D198*$D$219</f>
        <v>0</v>
      </c>
      <c r="E202" s="16">
        <f t="shared" si="44"/>
        <v>0</v>
      </c>
      <c r="F202" s="16">
        <f t="shared" si="44"/>
        <v>0</v>
      </c>
      <c r="G202" s="16">
        <f t="shared" si="44"/>
        <v>2638.0048485671714</v>
      </c>
      <c r="H202" s="16">
        <f t="shared" si="44"/>
        <v>14881.788221808281</v>
      </c>
      <c r="I202" s="16">
        <f t="shared" si="44"/>
        <v>19842.384295744378</v>
      </c>
      <c r="J202" s="16">
        <f t="shared" si="44"/>
        <v>14881.788221808281</v>
      </c>
      <c r="K202" s="16">
        <f t="shared" si="44"/>
        <v>2638.0048485671714</v>
      </c>
      <c r="L202" s="16">
        <f t="shared" si="44"/>
        <v>14881.788221808281</v>
      </c>
      <c r="M202" s="16">
        <f t="shared" si="44"/>
        <v>19842.384295744378</v>
      </c>
    </row>
    <row r="203" spans="1:13" ht="15" customHeight="1" x14ac:dyDescent="0.2">
      <c r="B203" s="10" t="s">
        <v>900</v>
      </c>
      <c r="C203" s="10" t="s">
        <v>199</v>
      </c>
      <c r="D203" s="28">
        <f>D197*Inputs!$D$23</f>
        <v>6.4875000000000007</v>
      </c>
      <c r="E203" s="28">
        <f>E197*Inputs!$D$23</f>
        <v>8.65</v>
      </c>
      <c r="F203" s="28">
        <f>F197*Inputs!$D$23</f>
        <v>6.4875000000000007</v>
      </c>
      <c r="G203" s="28">
        <f>G197*Inputs!$D$23</f>
        <v>0</v>
      </c>
      <c r="H203" s="28">
        <f>H197*Inputs!$D$23</f>
        <v>0</v>
      </c>
      <c r="I203" s="28">
        <f>I197*Inputs!$D$23</f>
        <v>0</v>
      </c>
      <c r="J203" s="28">
        <f>J197*Inputs!$D$23</f>
        <v>0</v>
      </c>
      <c r="K203" s="28">
        <f>K197*Inputs!$D$23</f>
        <v>0</v>
      </c>
      <c r="L203" s="28">
        <f>L197*Inputs!$D$23</f>
        <v>0</v>
      </c>
      <c r="M203" s="28">
        <f>M197*Inputs!$D$23</f>
        <v>0</v>
      </c>
    </row>
    <row r="204" spans="1:13" ht="15" customHeight="1" x14ac:dyDescent="0.2">
      <c r="B204" s="3" t="s">
        <v>901</v>
      </c>
      <c r="C204" s="10" t="s">
        <v>896</v>
      </c>
      <c r="D204" s="28">
        <f>(D199*$D$217*(Inputs!$D$7-Inputs!$D$19)-D203)/(Inputs!$D$7+$D$218)^D192</f>
        <v>42.951761434492518</v>
      </c>
      <c r="E204" s="28">
        <f>(E199*$D$217*(Inputs!$D$7-Inputs!$D$19)-E203)/(Inputs!$D$7+$D$218)^E192</f>
        <v>165.58374817888472</v>
      </c>
      <c r="F204" s="28">
        <f>(F199*$D$217*(Inputs!$D$7-Inputs!$D$19)-F203)/(Inputs!$D$7+$D$218)^F192</f>
        <v>256.53212636655121</v>
      </c>
      <c r="G204" s="28">
        <f>(G199*$D$217*(Inputs!$D$7-Inputs!$D$19)-G203)/(Inputs!$D$7+$D$218)^G192</f>
        <v>282.67693208077219</v>
      </c>
      <c r="H204" s="28">
        <f>(H199*$D$217*(Inputs!$D$7-Inputs!$D$19)-H203)/(Inputs!$D$7+$D$218)^H192</f>
        <v>261.75168799529297</v>
      </c>
      <c r="I204" s="28">
        <f>(I199*$D$217*(Inputs!$D$7-Inputs!$D$19)-I203)/(Inputs!$D$7+$D$218)^I192</f>
        <v>242.32437630796554</v>
      </c>
      <c r="J204" s="28">
        <f>(J199*$D$217*(Inputs!$D$7-Inputs!$D$19)-J203)/(Inputs!$D$7+$D$218)^J192</f>
        <v>224.38624218156014</v>
      </c>
      <c r="K204" s="28">
        <f>(K199*$D$217*(Inputs!$D$7-Inputs!$D$19)-K203)/(Inputs!$D$7+$D$218)^K192</f>
        <v>207.77598377628297</v>
      </c>
      <c r="L204" s="28">
        <f>(L199*$D$217*(Inputs!$D$7-Inputs!$D$19)-L203)/(Inputs!$D$7+$D$218)^L192</f>
        <v>192.39530469640334</v>
      </c>
      <c r="M204" s="28">
        <f>(M199*$D$217*(Inputs!$D$7-Inputs!$D$19)-M203)/(Inputs!$D$7+$D$218)^M192</f>
        <v>178.11565064663625</v>
      </c>
    </row>
    <row r="205" spans="1:13" ht="15" customHeight="1" x14ac:dyDescent="0.2">
      <c r="B205" s="10" t="s">
        <v>902</v>
      </c>
      <c r="C205" s="10" t="s">
        <v>110</v>
      </c>
      <c r="D205" s="16">
        <f>(D200*Inputs!$D$19-D201-D202)/(Inputs!$D$7+$D$218)^D192</f>
        <v>-14212.377724210151</v>
      </c>
      <c r="E205" s="16">
        <f>(E200*Inputs!$D$19-E201-E202)/(Inputs!$D$7+$D$218)^E192</f>
        <v>-16360.387094728963</v>
      </c>
      <c r="F205" s="16">
        <f>(F200*Inputs!$D$19-F201-F202)/(Inputs!$D$7+$D$218)^F192</f>
        <v>-9874.5154652847668</v>
      </c>
      <c r="G205" s="16">
        <f>(G200*Inputs!$D$19-G201-G202)/(Inputs!$D$7+$D$218)^G192</f>
        <v>988.77347238742834</v>
      </c>
      <c r="H205" s="16">
        <f>(H200*Inputs!$D$19-H201-H202)/(Inputs!$D$7+$D$218)^H192</f>
        <v>-7602.4024163036647</v>
      </c>
      <c r="I205" s="16">
        <f>(I200*Inputs!$D$19-I201-I202)/(Inputs!$D$7+$D$218)^I192</f>
        <v>-10233.087939303265</v>
      </c>
      <c r="J205" s="16">
        <f>(J200*Inputs!$D$19-J201-J202)/(Inputs!$D$7+$D$218)^J192</f>
        <v>-6517.1480757635773</v>
      </c>
      <c r="K205" s="16">
        <f>(K200*Inputs!$D$19-K201-K202)/(Inputs!$D$7+$D$218)^K192</f>
        <v>726.77801985796941</v>
      </c>
      <c r="L205" s="16">
        <f>(L200*Inputs!$D$19-L201-L202)/(Inputs!$D$7+$D$218)^L192</f>
        <v>-5587.9927289550824</v>
      </c>
      <c r="M205" s="16">
        <f>(M200*Inputs!$D$19-M201-M202)/(Inputs!$D$7+$D$218)^M192</f>
        <v>-7521.6251216792398</v>
      </c>
    </row>
    <row r="206" spans="1:13" ht="15" customHeight="1" x14ac:dyDescent="0.2">
      <c r="B206" s="10" t="s">
        <v>903</v>
      </c>
      <c r="C206" s="10" t="s">
        <v>110</v>
      </c>
      <c r="D206" s="16">
        <f t="shared" ref="D206:M206" si="45">D199*$D$216</f>
        <v>4983.4116959999319</v>
      </c>
      <c r="E206" s="16">
        <f t="shared" si="45"/>
        <v>18987.294776295614</v>
      </c>
      <c r="F206" s="16">
        <f t="shared" si="45"/>
        <v>31000.677207901666</v>
      </c>
      <c r="G206" s="16">
        <f t="shared" si="45"/>
        <v>36149.269678589975</v>
      </c>
      <c r="H206" s="16">
        <f t="shared" si="45"/>
        <v>36149.269678589975</v>
      </c>
      <c r="I206" s="16">
        <f t="shared" si="45"/>
        <v>36149.269678589975</v>
      </c>
      <c r="J206" s="16">
        <f t="shared" si="45"/>
        <v>36149.269678589975</v>
      </c>
      <c r="K206" s="16">
        <f t="shared" si="45"/>
        <v>36149.269678589975</v>
      </c>
      <c r="L206" s="16">
        <f t="shared" si="45"/>
        <v>36149.269678589975</v>
      </c>
      <c r="M206" s="16">
        <f t="shared" si="45"/>
        <v>36149.269678589975</v>
      </c>
    </row>
    <row r="207" spans="1:13" ht="15" customHeight="1" x14ac:dyDescent="0.2">
      <c r="B207" s="10" t="s">
        <v>904</v>
      </c>
      <c r="C207" s="10" t="s">
        <v>110</v>
      </c>
      <c r="D207" s="16">
        <f t="shared" ref="D207:M207" si="46">D206*$D$217</f>
        <v>2940.2129006399596</v>
      </c>
      <c r="E207" s="16">
        <f t="shared" si="46"/>
        <v>11202.503918014412</v>
      </c>
      <c r="F207" s="16">
        <f t="shared" si="46"/>
        <v>18290.399552661984</v>
      </c>
      <c r="G207" s="16">
        <f t="shared" si="46"/>
        <v>21328.069110368084</v>
      </c>
      <c r="H207" s="16">
        <f t="shared" si="46"/>
        <v>21328.069110368084</v>
      </c>
      <c r="I207" s="16">
        <f t="shared" si="46"/>
        <v>21328.069110368084</v>
      </c>
      <c r="J207" s="16">
        <f t="shared" si="46"/>
        <v>21328.069110368084</v>
      </c>
      <c r="K207" s="16">
        <f t="shared" si="46"/>
        <v>21328.069110368084</v>
      </c>
      <c r="L207" s="16">
        <f t="shared" si="46"/>
        <v>21328.069110368084</v>
      </c>
      <c r="M207" s="16">
        <f t="shared" si="46"/>
        <v>21328.069110368084</v>
      </c>
    </row>
    <row r="208" spans="1:13" ht="15" customHeight="1" x14ac:dyDescent="0.2">
      <c r="B208" s="10" t="s">
        <v>905</v>
      </c>
      <c r="C208" s="10" t="s">
        <v>110</v>
      </c>
      <c r="D208" s="16">
        <f t="shared" ref="D208:M208" si="47">D207-D200</f>
        <v>1123.2356147075177</v>
      </c>
      <c r="E208" s="16">
        <f t="shared" si="47"/>
        <v>4279.6395362647036</v>
      </c>
      <c r="F208" s="16">
        <f t="shared" si="47"/>
        <v>6987.3947496484834</v>
      </c>
      <c r="G208" s="16">
        <f t="shared" si="47"/>
        <v>8147.861269670102</v>
      </c>
      <c r="H208" s="16">
        <f t="shared" si="47"/>
        <v>8147.861269670102</v>
      </c>
      <c r="I208" s="16">
        <f t="shared" si="47"/>
        <v>8147.861269670102</v>
      </c>
      <c r="J208" s="16">
        <f t="shared" si="47"/>
        <v>8147.861269670102</v>
      </c>
      <c r="K208" s="16">
        <f t="shared" si="47"/>
        <v>8147.861269670102</v>
      </c>
      <c r="L208" s="16">
        <f t="shared" si="47"/>
        <v>8147.861269670102</v>
      </c>
      <c r="M208" s="16">
        <f t="shared" si="47"/>
        <v>8147.861269670102</v>
      </c>
    </row>
    <row r="209" spans="2:13" ht="15" customHeight="1" x14ac:dyDescent="0.2">
      <c r="B209" s="10" t="s">
        <v>906</v>
      </c>
      <c r="C209" s="10" t="s">
        <v>110</v>
      </c>
      <c r="D209" s="16">
        <f>MAX(D208,Inputs!$D$6)*Inputs!$D$19</f>
        <v>336.97068441225531</v>
      </c>
      <c r="E209" s="16">
        <f>MAX(E208,Inputs!$D$6)*Inputs!$D$19</f>
        <v>1283.8918608794111</v>
      </c>
      <c r="F209" s="16">
        <f>MAX(F208,Inputs!$D$6)*Inputs!$D$19</f>
        <v>2096.218424894545</v>
      </c>
      <c r="G209" s="16">
        <f>MAX(G208,Inputs!$D$6)*Inputs!$D$19</f>
        <v>2444.3583809010306</v>
      </c>
      <c r="H209" s="16">
        <f>MAX(H208,Inputs!$D$6)*Inputs!$D$19</f>
        <v>2444.3583809010306</v>
      </c>
      <c r="I209" s="16">
        <f>MAX(I208,Inputs!$D$6)*Inputs!$D$19</f>
        <v>2444.3583809010306</v>
      </c>
      <c r="J209" s="16">
        <f>MAX(J208,Inputs!$D$6)*Inputs!$D$19</f>
        <v>2444.3583809010306</v>
      </c>
      <c r="K209" s="16">
        <f>MAX(K208,Inputs!$D$6)*Inputs!$D$19</f>
        <v>2444.3583809010306</v>
      </c>
      <c r="L209" s="16">
        <f>MAX(L208,Inputs!$D$6)*Inputs!$D$19</f>
        <v>2444.3583809010306</v>
      </c>
      <c r="M209" s="16">
        <f>MAX(M208,Inputs!$D$6)*Inputs!$D$19</f>
        <v>2444.3583809010306</v>
      </c>
    </row>
    <row r="210" spans="2:13" ht="15" customHeight="1" x14ac:dyDescent="0.2">
      <c r="B210" s="10" t="s">
        <v>907</v>
      </c>
      <c r="C210" s="10" t="s">
        <v>110</v>
      </c>
      <c r="D210" s="16">
        <f t="shared" ref="D210:M210" si="48">D203*$D$216</f>
        <v>257.42962353441544</v>
      </c>
      <c r="E210" s="16">
        <f t="shared" si="48"/>
        <v>343.23949804588727</v>
      </c>
      <c r="F210" s="16">
        <f t="shared" si="48"/>
        <v>257.42962353441544</v>
      </c>
      <c r="G210" s="16">
        <f t="shared" si="48"/>
        <v>0</v>
      </c>
      <c r="H210" s="16">
        <f t="shared" si="48"/>
        <v>0</v>
      </c>
      <c r="I210" s="16">
        <f t="shared" si="48"/>
        <v>0</v>
      </c>
      <c r="J210" s="16">
        <f t="shared" si="48"/>
        <v>0</v>
      </c>
      <c r="K210" s="16">
        <f t="shared" si="48"/>
        <v>0</v>
      </c>
      <c r="L210" s="16">
        <f t="shared" si="48"/>
        <v>0</v>
      </c>
      <c r="M210" s="16">
        <f t="shared" si="48"/>
        <v>0</v>
      </c>
    </row>
    <row r="211" spans="2:13" ht="15" customHeight="1" x14ac:dyDescent="0.2">
      <c r="B211" s="10" t="s">
        <v>908</v>
      </c>
      <c r="C211" s="10" t="s">
        <v>110</v>
      </c>
      <c r="D211" s="16">
        <f t="shared" ref="D211:M211" si="49">D207-D209-D201-D202-D210</f>
        <v>-13215.156027452864</v>
      </c>
      <c r="E211" s="16">
        <f t="shared" si="49"/>
        <v>-11172.585601105757</v>
      </c>
      <c r="F211" s="16">
        <f t="shared" si="49"/>
        <v>375.78288408686967</v>
      </c>
      <c r="G211" s="16">
        <f t="shared" si="49"/>
        <v>16245.705880899881</v>
      </c>
      <c r="H211" s="16">
        <f t="shared" si="49"/>
        <v>4001.9225076587718</v>
      </c>
      <c r="I211" s="16">
        <f t="shared" si="49"/>
        <v>-958.67356627732443</v>
      </c>
      <c r="J211" s="16">
        <f t="shared" si="49"/>
        <v>4001.9225076587718</v>
      </c>
      <c r="K211" s="16">
        <f t="shared" si="49"/>
        <v>16245.705880899881</v>
      </c>
      <c r="L211" s="16">
        <f t="shared" si="49"/>
        <v>4001.9225076587718</v>
      </c>
      <c r="M211" s="16">
        <f t="shared" si="49"/>
        <v>-958.67356627732443</v>
      </c>
    </row>
    <row r="212" spans="2:13" ht="15" customHeight="1" x14ac:dyDescent="0.2">
      <c r="B212" s="10" t="s">
        <v>909</v>
      </c>
      <c r="C212" s="10" t="s">
        <v>110</v>
      </c>
      <c r="D212" s="16">
        <f>D211/(Inputs!$D$7+$D$218)^D192</f>
        <v>-12508.014598781028</v>
      </c>
      <c r="E212" s="16">
        <f>E211/(Inputs!$D$7+$D$218)^E192</f>
        <v>-9789.8804346738198</v>
      </c>
      <c r="F212" s="16">
        <f>F211/(Inputs!$D$7+$D$218)^F192</f>
        <v>304.90167768623536</v>
      </c>
      <c r="G212" s="16">
        <f>G211/(Inputs!$D$7+$D$218)^G192</f>
        <v>12205.639169099059</v>
      </c>
      <c r="H212" s="16">
        <f>H211/(Inputs!$D$7+$D$218)^H192</f>
        <v>2784.1314565481334</v>
      </c>
      <c r="I212" s="16">
        <f>I211/(Inputs!$D$7+$D$218)^I192</f>
        <v>-617.44663430571654</v>
      </c>
      <c r="J212" s="16">
        <f>J211/(Inputs!$D$7+$D$218)^J192</f>
        <v>2386.6925178551032</v>
      </c>
      <c r="K212" s="16">
        <f>K211/(Inputs!$D$7+$D$218)^K192</f>
        <v>8971.5091617495036</v>
      </c>
      <c r="L212" s="16">
        <f>L211/(Inputs!$D$7+$D$218)^L192</f>
        <v>2046.4197346725491</v>
      </c>
      <c r="M212" s="16">
        <f>M211/(Inputs!$D$7+$D$218)^M192</f>
        <v>-453.84170872339632</v>
      </c>
    </row>
    <row r="213" spans="2:13" ht="15" customHeight="1" x14ac:dyDescent="0.2">
      <c r="B213" s="3" t="s">
        <v>910</v>
      </c>
      <c r="C213" s="10" t="s">
        <v>896</v>
      </c>
      <c r="D213" s="28">
        <f>(D199*$D$217-D203)/(Inputs!$D$7+$D$218)^D192</f>
        <v>63.991239754664917</v>
      </c>
      <c r="E213" s="28">
        <f>(E199*$D$217-E203)/(Inputs!$D$7+$D$218)^E192</f>
        <v>239.79656319570776</v>
      </c>
      <c r="F213" s="28">
        <f>(F199*$D$217-F203)/(Inputs!$D$7+$D$218)^F192</f>
        <v>368.73038473055669</v>
      </c>
      <c r="G213" s="28">
        <f>(G199*$D$217-G203)/(Inputs!$D$7+$D$218)^G192</f>
        <v>403.82418868681742</v>
      </c>
      <c r="H213" s="28">
        <f>(H199*$D$217-H203)/(Inputs!$D$7+$D$218)^H192</f>
        <v>373.93098285041856</v>
      </c>
      <c r="I213" s="28">
        <f>(I199*$D$217-I203)/(Inputs!$D$7+$D$218)^I192</f>
        <v>346.17768043995079</v>
      </c>
      <c r="J213" s="28">
        <f>(J199*$D$217-J203)/(Inputs!$D$7+$D$218)^J192</f>
        <v>320.55177454508589</v>
      </c>
      <c r="K213" s="28">
        <f>(K199*$D$217-K203)/(Inputs!$D$7+$D$218)^K192</f>
        <v>296.82283396611854</v>
      </c>
      <c r="L213" s="28">
        <f>(L199*$D$217-L203)/(Inputs!$D$7+$D$218)^L192</f>
        <v>274.85043528057622</v>
      </c>
      <c r="M213" s="28">
        <f>(M199*$D$217-M203)/(Inputs!$D$7+$D$218)^M192</f>
        <v>254.45092949519466</v>
      </c>
    </row>
    <row r="214" spans="2:13" ht="15" customHeight="1" x14ac:dyDescent="0.2">
      <c r="B214" s="10" t="s">
        <v>911</v>
      </c>
      <c r="C214" s="10" t="s">
        <v>110</v>
      </c>
      <c r="D214" s="16">
        <f>(-D201-D202)/(Inputs!$D$7+$D$218)^D192</f>
        <v>-14728.303038392241</v>
      </c>
      <c r="E214" s="16">
        <f>(-E201-E202)/(Inputs!$D$7+$D$218)^E192</f>
        <v>-18180.216908055725</v>
      </c>
      <c r="F214" s="16">
        <f>(-F201-F202)/(Inputs!$D$7+$D$218)^F192</f>
        <v>-12625.815702688111</v>
      </c>
      <c r="G214" s="16">
        <f>(-G201-G202)/(Inputs!$D$7+$D$218)^G192</f>
        <v>-1981.9720696655354</v>
      </c>
      <c r="H214" s="16">
        <f>(-H201-H202)/(Inputs!$D$7+$D$218)^H192</f>
        <v>-10353.237634844469</v>
      </c>
      <c r="I214" s="16">
        <f>(-I201-I202)/(Inputs!$D$7+$D$218)^I192</f>
        <v>-12779.755102232404</v>
      </c>
      <c r="J214" s="16">
        <f>(-J201-J202)/(Inputs!$D$7+$D$218)^J192</f>
        <v>-8875.2974434962562</v>
      </c>
      <c r="K214" s="16">
        <f>(-K201-K202)/(Inputs!$D$7+$D$218)^K192</f>
        <v>-1456.8086386129401</v>
      </c>
      <c r="L214" s="16">
        <f>(-L201-L202)/(Inputs!$D$7+$D$218)^L192</f>
        <v>-7609.9387347064285</v>
      </c>
      <c r="M214" s="16">
        <f>(-M201-M202)/(Inputs!$D$7+$D$218)^M192</f>
        <v>-9393.5015115686074</v>
      </c>
    </row>
    <row r="215" spans="2:13" ht="15" customHeight="1" x14ac:dyDescent="0.2">
      <c r="B215" s="10" t="s">
        <v>912</v>
      </c>
      <c r="C215" s="10" t="s">
        <v>110</v>
      </c>
      <c r="D215" s="16">
        <f>Prices!I6</f>
        <v>43700</v>
      </c>
    </row>
    <row r="216" spans="2:13" ht="15" customHeight="1" x14ac:dyDescent="0.2">
      <c r="B216" s="3" t="s">
        <v>913</v>
      </c>
      <c r="C216" s="10" t="s">
        <v>914</v>
      </c>
      <c r="D216" s="28">
        <f>IF(J223&gt;=J219,J223,(D215-J222)/J221)</f>
        <v>39.680866826114134</v>
      </c>
      <c r="G216" s="99" t="s">
        <v>915</v>
      </c>
      <c r="H216" s="91"/>
      <c r="I216" s="91"/>
      <c r="J216" s="28">
        <f>D216*Inputs!$D$15</f>
        <v>27.693276957945052</v>
      </c>
      <c r="K216" s="99" t="s">
        <v>916</v>
      </c>
      <c r="L216" s="91"/>
      <c r="M216" s="91"/>
    </row>
    <row r="217" spans="2:13" ht="15" customHeight="1" x14ac:dyDescent="0.2">
      <c r="B217" s="10" t="s">
        <v>917</v>
      </c>
      <c r="C217" s="10" t="s">
        <v>104</v>
      </c>
      <c r="D217" s="30">
        <f>Inputs!$D$141</f>
        <v>0.59</v>
      </c>
      <c r="G217" s="99" t="s">
        <v>918</v>
      </c>
      <c r="H217" s="91"/>
      <c r="I217" s="91"/>
      <c r="J217" s="28">
        <f>IF(-D228/D227&gt;=J219,-D228/D227,-J222/J221)</f>
        <v>31.541580385595349</v>
      </c>
      <c r="K217" s="99" t="s">
        <v>919</v>
      </c>
      <c r="L217" s="91"/>
      <c r="M217" s="91"/>
    </row>
    <row r="218" spans="2:13" ht="15" customHeight="1" x14ac:dyDescent="0.2">
      <c r="B218" s="10" t="s">
        <v>920</v>
      </c>
      <c r="C218" s="10" t="s">
        <v>104</v>
      </c>
      <c r="D218" s="30">
        <f>Inputs!$D$146</f>
        <v>0.08</v>
      </c>
      <c r="G218" s="99" t="s">
        <v>918</v>
      </c>
      <c r="H218" s="91"/>
      <c r="I218" s="91"/>
      <c r="J218" s="28">
        <f>J217*Inputs!$D$15</f>
        <v>22.012868951106991</v>
      </c>
      <c r="K218" s="99" t="s">
        <v>916</v>
      </c>
      <c r="L218" s="91"/>
      <c r="M218" s="91"/>
    </row>
    <row r="219" spans="2:13" ht="15" customHeight="1" x14ac:dyDescent="0.2">
      <c r="B219" s="3" t="s">
        <v>921</v>
      </c>
      <c r="C219" s="10" t="s">
        <v>848</v>
      </c>
      <c r="D219" s="28">
        <f>Capital!$D$13</f>
        <v>57.347931490590682</v>
      </c>
      <c r="G219" s="99" t="s">
        <v>922</v>
      </c>
      <c r="H219" s="91"/>
      <c r="I219" s="91"/>
      <c r="J219" s="28">
        <f>($D$219/Inputs!$D$21+$D$220/Inputs!$D$22)/$D$217</f>
        <v>24.521773131961492</v>
      </c>
      <c r="K219" s="99" t="s">
        <v>919</v>
      </c>
      <c r="L219" s="91"/>
      <c r="M219" s="91"/>
    </row>
    <row r="220" spans="2:13" ht="15" customHeight="1" x14ac:dyDescent="0.2">
      <c r="B220" s="3" t="s">
        <v>923</v>
      </c>
      <c r="C220" s="10" t="s">
        <v>848</v>
      </c>
      <c r="D220" s="28">
        <f>Capital!$D$14</f>
        <v>2.6172655041921802</v>
      </c>
    </row>
    <row r="221" spans="2:13" ht="15" customHeight="1" x14ac:dyDescent="0.2">
      <c r="B221" s="10" t="s">
        <v>924</v>
      </c>
      <c r="C221" s="10" t="s">
        <v>896</v>
      </c>
      <c r="D221" s="28">
        <f>(M194*(Inputs!$D$7+Inputs!$D$20)*$D$217*(Inputs!$D$7-Inputs!$D$19)-M194*Inputs!$D$20*Inputs!$D$23)/($D$218-Inputs!$D$20)/(Inputs!$D$7+$D$218)^M192</f>
        <v>3314.5272079389447</v>
      </c>
      <c r="G221" s="92" t="s">
        <v>910</v>
      </c>
      <c r="H221" s="91"/>
      <c r="I221" s="91"/>
      <c r="J221" s="28">
        <f>SUM(D213:M213)+(M194*(Inputs!$D$7+Inputs!$D$20)*$D$217-M194*Inputs!$D$20*Inputs!$D$23)/($D$218-Inputs!$D$20)/(Inputs!$D$7+$D$218)^M192</f>
        <v>7680.2662357889876</v>
      </c>
      <c r="K221" s="99" t="s">
        <v>896</v>
      </c>
      <c r="L221" s="91"/>
      <c r="M221" s="91"/>
    </row>
    <row r="222" spans="2:13" ht="15" customHeight="1" x14ac:dyDescent="0.2">
      <c r="B222" s="10" t="s">
        <v>925</v>
      </c>
      <c r="C222" s="10" t="s">
        <v>110</v>
      </c>
      <c r="D222" s="16">
        <f>(D225*Inputs!$D$19-D225-D226)/($D$218-Inputs!$D$20)/(Inputs!$D$7+$D$218)^M192</f>
        <v>-93153.423070883771</v>
      </c>
      <c r="G222" s="92" t="s">
        <v>926</v>
      </c>
      <c r="H222" s="91"/>
      <c r="I222" s="91"/>
      <c r="J222" s="16">
        <f>SUM(D214:M214)-(D225+D226)/($D$218-Inputs!$D$20)/(Inputs!$D$7+$D$218)^M192</f>
        <v>-226023.23893944838</v>
      </c>
      <c r="K222" s="99" t="s">
        <v>110</v>
      </c>
      <c r="L222" s="91"/>
      <c r="M222" s="91"/>
    </row>
    <row r="223" spans="2:13" ht="15" customHeight="1" x14ac:dyDescent="0.2">
      <c r="B223" s="10" t="s">
        <v>927</v>
      </c>
      <c r="C223" s="10" t="s">
        <v>928</v>
      </c>
      <c r="D223" s="16">
        <f>(M194*(Inputs!$D$7+Inputs!$D$20)*$D$216*$D$217-D225)-MAX((M194*(Inputs!$D$7+Inputs!$D$20)*$D$216*$D$217-D225),Inputs!$D$6)*Inputs!$D$19-D226-M194*Inputs!$D$20*$D$216*Inputs!$D$23</f>
        <v>4457.7898058829969</v>
      </c>
      <c r="G223" s="99" t="s">
        <v>929</v>
      </c>
      <c r="H223" s="91"/>
      <c r="I223" s="91"/>
      <c r="J223" s="28">
        <f>(D215-D228)/D227</f>
        <v>39.680866826114134</v>
      </c>
      <c r="K223" s="99" t="s">
        <v>919</v>
      </c>
      <c r="L223" s="91"/>
      <c r="M223" s="91"/>
    </row>
    <row r="224" spans="2:13" ht="15" customHeight="1" x14ac:dyDescent="0.2">
      <c r="B224" s="10" t="s">
        <v>930</v>
      </c>
      <c r="C224" s="10" t="s">
        <v>110</v>
      </c>
      <c r="D224" s="16">
        <f>D223/($D$218-Inputs!$D$20)</f>
        <v>81050.723743327209</v>
      </c>
      <c r="G224" s="99" t="s">
        <v>931</v>
      </c>
      <c r="H224" s="91"/>
      <c r="I224" s="91"/>
      <c r="J224" s="16">
        <f>MIN(D208:M208,(M194*(Inputs!$D$7+Inputs!$D$20)*$D$216*$D$217-D225))</f>
        <v>1123.2356147075177</v>
      </c>
      <c r="K224" s="99" t="s">
        <v>110</v>
      </c>
      <c r="L224" s="91"/>
      <c r="M224" s="91"/>
    </row>
    <row r="225" spans="1:13" ht="15" customHeight="1" x14ac:dyDescent="0.2">
      <c r="B225" s="10" t="s">
        <v>932</v>
      </c>
      <c r="C225" s="10" t="s">
        <v>928</v>
      </c>
      <c r="D225" s="16">
        <f>M194*(Inputs!$D$7+Inputs!$D$20)*($D$219/Inputs!$D$21+$D$220/Inputs!$D$22)</f>
        <v>13509.71303671543</v>
      </c>
      <c r="G225" s="99" t="s">
        <v>933</v>
      </c>
      <c r="H225" s="91"/>
      <c r="I225" s="91"/>
      <c r="J225" s="31" t="str">
        <f>IF(J224&lt;Inputs!$D$6,"breached","satisfied")</f>
        <v>satisfied</v>
      </c>
      <c r="K225" s="99" t="s">
        <v>934</v>
      </c>
      <c r="L225" s="91"/>
      <c r="M225" s="91"/>
    </row>
    <row r="226" spans="1:13" ht="15" customHeight="1" x14ac:dyDescent="0.2">
      <c r="B226" s="10" t="s">
        <v>935</v>
      </c>
      <c r="C226" s="10" t="s">
        <v>928</v>
      </c>
      <c r="D226" s="16">
        <f>M194*Inputs!$D$20*($D$219+$D$220)</f>
        <v>1365.7073615561799</v>
      </c>
    </row>
    <row r="227" spans="1:13" ht="15" customHeight="1" x14ac:dyDescent="0.2">
      <c r="B227" s="10" t="s">
        <v>936</v>
      </c>
      <c r="C227" s="10" t="s">
        <v>896</v>
      </c>
      <c r="D227" s="28">
        <f>SUM(D204:M204)+D221</f>
        <v>5369.0210216037867</v>
      </c>
      <c r="G227" s="99" t="s">
        <v>937</v>
      </c>
      <c r="H227" s="91"/>
      <c r="I227" s="91"/>
      <c r="J227" s="16">
        <f>D229-D215</f>
        <v>0</v>
      </c>
      <c r="K227" s="99" t="s">
        <v>110</v>
      </c>
      <c r="L227" s="91"/>
      <c r="M227" s="91"/>
    </row>
    <row r="228" spans="1:13" ht="15" customHeight="1" x14ac:dyDescent="0.2">
      <c r="B228" s="10" t="s">
        <v>938</v>
      </c>
      <c r="C228" s="10" t="s">
        <v>110</v>
      </c>
      <c r="D228" s="16">
        <f>SUM(D205:M205)+D222</f>
        <v>-169347.40814486711</v>
      </c>
    </row>
    <row r="229" spans="1:13" ht="15" customHeight="1" x14ac:dyDescent="0.2">
      <c r="B229" s="10" t="s">
        <v>939</v>
      </c>
      <c r="C229" s="10" t="s">
        <v>110</v>
      </c>
      <c r="D229" s="16">
        <f>SUM(D212:M212)+D224/(Inputs!$D$7+$D$218)^M192</f>
        <v>43699.999999999993</v>
      </c>
    </row>
    <row r="230" spans="1:13" ht="15" customHeight="1" x14ac:dyDescent="0.2">
      <c r="B230" s="10" t="s">
        <v>940</v>
      </c>
      <c r="C230" s="10" t="s">
        <v>104</v>
      </c>
      <c r="D230" s="30">
        <f>IF(ABS(D215)&gt;Inputs!$D$6,D229/D215-Inputs!$D$7,Inputs!$D$6)</f>
        <v>-1.1102230246251565E-16</v>
      </c>
    </row>
    <row r="231" spans="1:13" ht="15" customHeight="1" x14ac:dyDescent="0.2">
      <c r="B231" s="10" t="s">
        <v>941</v>
      </c>
      <c r="C231" s="10" t="s">
        <v>104</v>
      </c>
      <c r="D231" s="30">
        <f>IF(ABS(D229)&gt;Inputs!$D$119,D224/(Inputs!$D$7+$D$218)^M192/D229,Inputs!$D$6)</f>
        <v>0.87802951164469989</v>
      </c>
    </row>
    <row r="232" spans="1:13" ht="15" customHeight="1" x14ac:dyDescent="0.2">
      <c r="B232" s="10" t="s">
        <v>942</v>
      </c>
      <c r="C232" s="10" t="s">
        <v>943</v>
      </c>
      <c r="D232" s="26">
        <f>$D$216*Inputs!$D$8/Prices!$P$6/(Inputs!$D$26/Inputs!$D$25)/Inputs!$D$11/Inputs!$D$56</f>
        <v>7.2160861638481011</v>
      </c>
    </row>
    <row r="236" spans="1:13" ht="15" customHeight="1" x14ac:dyDescent="0.2">
      <c r="A236" s="104" t="s">
        <v>2170</v>
      </c>
      <c r="B236" s="10" t="s">
        <v>886</v>
      </c>
      <c r="C236" s="10" t="s">
        <v>107</v>
      </c>
      <c r="D236" s="28">
        <f>Inputs!$D$60</f>
        <v>1</v>
      </c>
      <c r="E236" s="28">
        <f>Inputs!$D$62</f>
        <v>2</v>
      </c>
      <c r="F236" s="28">
        <f>Inputs!$D$64</f>
        <v>3</v>
      </c>
      <c r="G236" s="28">
        <f>Inputs!$D$66</f>
        <v>4</v>
      </c>
      <c r="H236" s="28">
        <f>Inputs!$D$68</f>
        <v>5</v>
      </c>
      <c r="I236" s="28">
        <f>Inputs!$D$70</f>
        <v>6</v>
      </c>
      <c r="J236" s="28">
        <f>Inputs!$D$72</f>
        <v>7</v>
      </c>
      <c r="K236" s="28">
        <f>Inputs!$D$74</f>
        <v>8</v>
      </c>
      <c r="L236" s="28">
        <f>Inputs!$D$76</f>
        <v>9</v>
      </c>
      <c r="M236" s="28">
        <f>Inputs!$D$78</f>
        <v>10</v>
      </c>
    </row>
    <row r="237" spans="1:13" ht="15" customHeight="1" x14ac:dyDescent="0.2">
      <c r="A237" s="91"/>
      <c r="B237" s="10" t="s">
        <v>887</v>
      </c>
      <c r="C237" s="10" t="s">
        <v>161</v>
      </c>
      <c r="D237" s="29">
        <f>Inputs!$D$61</f>
        <v>46568</v>
      </c>
      <c r="E237" s="29">
        <f>Inputs!$D$63</f>
        <v>46934</v>
      </c>
      <c r="F237" s="29">
        <f>Inputs!$D$65</f>
        <v>47299</v>
      </c>
      <c r="G237" s="29">
        <f>Inputs!$D$67</f>
        <v>47664</v>
      </c>
      <c r="H237" s="29">
        <f>Inputs!$D$69</f>
        <v>48029</v>
      </c>
      <c r="I237" s="29">
        <f>Inputs!$D$71</f>
        <v>48395</v>
      </c>
      <c r="J237" s="29">
        <f>Inputs!$D$73</f>
        <v>48760</v>
      </c>
      <c r="K237" s="29">
        <f>Inputs!$D$75</f>
        <v>49125</v>
      </c>
      <c r="L237" s="29">
        <f>Inputs!$D$77</f>
        <v>49490</v>
      </c>
      <c r="M237" s="29">
        <f>Inputs!$D$79</f>
        <v>49856</v>
      </c>
    </row>
    <row r="238" spans="1:13" ht="15" customHeight="1" x14ac:dyDescent="0.2">
      <c r="A238" s="91"/>
      <c r="B238" s="10" t="s">
        <v>888</v>
      </c>
      <c r="C238" s="10" t="s">
        <v>107</v>
      </c>
      <c r="D238" s="28">
        <f>(D237-Inputs!$D$13)/Inputs!$D$10</f>
        <v>0.71457905544147848</v>
      </c>
      <c r="E238" s="28">
        <f>(E237-Inputs!$D$13)/Inputs!$D$10</f>
        <v>1.7166324435318274</v>
      </c>
      <c r="F238" s="28">
        <f>(F237-Inputs!$D$13)/Inputs!$D$10</f>
        <v>2.7159479808350446</v>
      </c>
      <c r="G238" s="28">
        <f>(G237-Inputs!$D$13)/Inputs!$D$10</f>
        <v>3.7152635181382614</v>
      </c>
      <c r="H238" s="28">
        <f>(H237-Inputs!$D$13)/Inputs!$D$10</f>
        <v>4.7145790554414786</v>
      </c>
      <c r="I238" s="28">
        <f>(I237-Inputs!$D$13)/Inputs!$D$10</f>
        <v>5.7166324435318279</v>
      </c>
      <c r="J238" s="28">
        <f>(J237-Inputs!$D$13)/Inputs!$D$10</f>
        <v>6.7159479808350442</v>
      </c>
      <c r="K238" s="28">
        <f>(K237-Inputs!$D$13)/Inputs!$D$10</f>
        <v>7.7152635181382614</v>
      </c>
      <c r="L238" s="28">
        <f>(L237-Inputs!$D$13)/Inputs!$D$10</f>
        <v>8.7145790554414777</v>
      </c>
      <c r="M238" s="28">
        <f>(M237-Inputs!$D$13)/Inputs!$D$10</f>
        <v>9.716632443531827</v>
      </c>
    </row>
    <row r="239" spans="1:13" ht="15" customHeight="1" x14ac:dyDescent="0.2">
      <c r="A239" s="91"/>
      <c r="B239" s="10" t="s">
        <v>889</v>
      </c>
      <c r="C239" s="10" t="s">
        <v>107</v>
      </c>
      <c r="D239" s="28">
        <f>D238</f>
        <v>0.71457905544147848</v>
      </c>
      <c r="E239" s="28">
        <f>Inputs!$D$7</f>
        <v>1</v>
      </c>
      <c r="F239" s="28">
        <f>Inputs!$D$7</f>
        <v>1</v>
      </c>
      <c r="G239" s="28">
        <f>Inputs!$D$7</f>
        <v>1</v>
      </c>
      <c r="H239" s="28">
        <f>Inputs!$D$7</f>
        <v>1</v>
      </c>
      <c r="I239" s="28">
        <f>Inputs!$D$7</f>
        <v>1</v>
      </c>
      <c r="J239" s="28">
        <f>Inputs!$D$7</f>
        <v>1</v>
      </c>
      <c r="K239" s="28">
        <f>Inputs!$D$7</f>
        <v>1</v>
      </c>
      <c r="L239" s="28">
        <f>Inputs!$D$7</f>
        <v>1</v>
      </c>
      <c r="M239" s="28">
        <f>Inputs!$D$7</f>
        <v>1</v>
      </c>
    </row>
    <row r="240" spans="1:13" ht="15" customHeight="1" x14ac:dyDescent="0.2">
      <c r="A240" s="91"/>
      <c r="B240" s="3" t="s">
        <v>890</v>
      </c>
      <c r="C240" s="10" t="s">
        <v>199</v>
      </c>
      <c r="D240" s="28">
        <f>Inputs!$D$24+(Inputs!$D$80-Inputs!$D$24)*Inputs!$D$83</f>
        <v>305.5</v>
      </c>
      <c r="E240" s="28">
        <f>Inputs!$D$24+(Inputs!$D$80-Inputs!$D$24)*Inputs!$D$84</f>
        <v>651.5</v>
      </c>
      <c r="F240" s="28">
        <f>Inputs!$D$24+(Inputs!$D$80-Inputs!$D$24)*Inputs!$D$85</f>
        <v>911</v>
      </c>
      <c r="G240" s="28">
        <f>Inputs!$D$24+(Inputs!$D$80-Inputs!$D$24)*Inputs!$D$86</f>
        <v>911</v>
      </c>
      <c r="H240" s="28">
        <f>Inputs!$D$24+(Inputs!$D$80-Inputs!$D$24)*Inputs!$D$87</f>
        <v>911</v>
      </c>
      <c r="I240" s="28">
        <f>Inputs!$D$24+(Inputs!$D$80-Inputs!$D$24)*Inputs!$D$88</f>
        <v>911</v>
      </c>
      <c r="J240" s="28">
        <f>Inputs!$D$24+(Inputs!$D$80-Inputs!$D$24)*Inputs!$D$89</f>
        <v>911</v>
      </c>
      <c r="K240" s="28">
        <f>Inputs!$D$24+(Inputs!$D$80-Inputs!$D$24)*Inputs!$D$90</f>
        <v>911</v>
      </c>
      <c r="L240" s="28">
        <f>Inputs!$D$24+(Inputs!$D$80-Inputs!$D$24)*Inputs!$D$91</f>
        <v>911</v>
      </c>
      <c r="M240" s="28">
        <f>Inputs!$D$24+(Inputs!$D$80-Inputs!$D$24)*Inputs!$D$92</f>
        <v>911</v>
      </c>
    </row>
    <row r="241" spans="1:13" ht="15" customHeight="1" x14ac:dyDescent="0.2">
      <c r="A241" s="91"/>
      <c r="B241" s="10" t="s">
        <v>891</v>
      </c>
      <c r="C241" s="10" t="s">
        <v>199</v>
      </c>
      <c r="D241" s="28">
        <f>Inputs!$D$24</f>
        <v>46</v>
      </c>
      <c r="E241" s="28">
        <f t="shared" ref="E241:M241" si="50">D240</f>
        <v>305.5</v>
      </c>
      <c r="F241" s="28">
        <f t="shared" si="50"/>
        <v>651.5</v>
      </c>
      <c r="G241" s="28">
        <f t="shared" si="50"/>
        <v>911</v>
      </c>
      <c r="H241" s="28">
        <f t="shared" si="50"/>
        <v>911</v>
      </c>
      <c r="I241" s="28">
        <f t="shared" si="50"/>
        <v>911</v>
      </c>
      <c r="J241" s="28">
        <f t="shared" si="50"/>
        <v>911</v>
      </c>
      <c r="K241" s="28">
        <f t="shared" si="50"/>
        <v>911</v>
      </c>
      <c r="L241" s="28">
        <f t="shared" si="50"/>
        <v>911</v>
      </c>
      <c r="M241" s="28">
        <f t="shared" si="50"/>
        <v>911</v>
      </c>
    </row>
    <row r="242" spans="1:13" ht="15" customHeight="1" x14ac:dyDescent="0.2">
      <c r="B242" s="10" t="s">
        <v>892</v>
      </c>
      <c r="C242" s="10" t="s">
        <v>199</v>
      </c>
      <c r="D242" s="28">
        <f>(D241+D240)*Inputs!$D$12</f>
        <v>175.75</v>
      </c>
      <c r="E242" s="28">
        <f>(E241+E240)*Inputs!$D$12</f>
        <v>478.5</v>
      </c>
      <c r="F242" s="28">
        <f>(F241+F240)*Inputs!$D$12</f>
        <v>781.25</v>
      </c>
      <c r="G242" s="28">
        <f>(G241+G240)*Inputs!$D$12</f>
        <v>911</v>
      </c>
      <c r="H242" s="28">
        <f>(H241+H240)*Inputs!$D$12</f>
        <v>911</v>
      </c>
      <c r="I242" s="28">
        <f>(I241+I240)*Inputs!$D$12</f>
        <v>911</v>
      </c>
      <c r="J242" s="28">
        <f>(J241+J240)*Inputs!$D$12</f>
        <v>911</v>
      </c>
      <c r="K242" s="28">
        <f>(K241+K240)*Inputs!$D$12</f>
        <v>911</v>
      </c>
      <c r="L242" s="28">
        <f>(L241+L240)*Inputs!$D$12</f>
        <v>911</v>
      </c>
      <c r="M242" s="28">
        <f>(M241+M240)*Inputs!$D$12</f>
        <v>911</v>
      </c>
    </row>
    <row r="243" spans="1:13" ht="15" customHeight="1" x14ac:dyDescent="0.2">
      <c r="B243" s="10" t="s">
        <v>893</v>
      </c>
      <c r="C243" s="10" t="s">
        <v>199</v>
      </c>
      <c r="D243" s="28">
        <f t="shared" ref="D243:M243" si="51">D240-D241</f>
        <v>259.5</v>
      </c>
      <c r="E243" s="28">
        <f t="shared" si="51"/>
        <v>346</v>
      </c>
      <c r="F243" s="28">
        <f t="shared" si="51"/>
        <v>259.5</v>
      </c>
      <c r="G243" s="28">
        <f t="shared" si="51"/>
        <v>0</v>
      </c>
      <c r="H243" s="28">
        <f t="shared" si="51"/>
        <v>0</v>
      </c>
      <c r="I243" s="28">
        <f t="shared" si="51"/>
        <v>0</v>
      </c>
      <c r="J243" s="28">
        <f t="shared" si="51"/>
        <v>0</v>
      </c>
      <c r="K243" s="28">
        <f t="shared" si="51"/>
        <v>0</v>
      </c>
      <c r="L243" s="28">
        <f t="shared" si="51"/>
        <v>0</v>
      </c>
      <c r="M243" s="28">
        <f t="shared" si="51"/>
        <v>0</v>
      </c>
    </row>
    <row r="244" spans="1:13" ht="15" customHeight="1" x14ac:dyDescent="0.2">
      <c r="B244" s="10" t="s">
        <v>894</v>
      </c>
      <c r="C244" s="10" t="s">
        <v>199</v>
      </c>
      <c r="D244" s="28">
        <f>IF(MOD(D236,Inputs!$D$21)=Inputs!$D$6,Inputs!$D$24,Inputs!$D$6)+SUMPRODUCT(--(D236&gt;$D$236:$M$236),--(MOD(D236-$D$236:$M$236,Inputs!$D$21)=Inputs!$D$6),$D$243:$M$243)</f>
        <v>0</v>
      </c>
      <c r="E244" s="28">
        <f>IF(MOD(E236,Inputs!$D$21)=Inputs!$D$6,Inputs!$D$24,Inputs!$D$6)+SUMPRODUCT(--(E236&gt;$D$236:$M$236),--(MOD(E236-$D$236:$M$236,Inputs!$D$21)=Inputs!$D$6),$D$243:$M$243)</f>
        <v>0</v>
      </c>
      <c r="F244" s="28">
        <f>IF(MOD(F236,Inputs!$D$21)=Inputs!$D$6,Inputs!$D$24,Inputs!$D$6)+SUMPRODUCT(--(F236&gt;$D$236:$M$236),--(MOD(F236-$D$236:$M$236,Inputs!$D$21)=Inputs!$D$6),$D$243:$M$243)</f>
        <v>0</v>
      </c>
      <c r="G244" s="28">
        <f>IF(MOD(G236,Inputs!$D$21)=Inputs!$D$6,Inputs!$D$24,Inputs!$D$6)+SUMPRODUCT(--(G236&gt;$D$236:$M$236),--(MOD(G236-$D$236:$M$236,Inputs!$D$21)=Inputs!$D$6),$D$243:$M$243)</f>
        <v>46</v>
      </c>
      <c r="H244" s="28">
        <f>IF(MOD(H236,Inputs!$D$21)=Inputs!$D$6,Inputs!$D$24,Inputs!$D$6)+SUMPRODUCT(--(H236&gt;$D$236:$M$236),--(MOD(H236-$D$236:$M$236,Inputs!$D$21)=Inputs!$D$6),$D$243:$M$243)</f>
        <v>259.5</v>
      </c>
      <c r="I244" s="28">
        <f>IF(MOD(I236,Inputs!$D$21)=Inputs!$D$6,Inputs!$D$24,Inputs!$D$6)+SUMPRODUCT(--(I236&gt;$D$236:$M$236),--(MOD(I236-$D$236:$M$236,Inputs!$D$21)=Inputs!$D$6),$D$243:$M$243)</f>
        <v>346</v>
      </c>
      <c r="J244" s="28">
        <f>IF(MOD(J236,Inputs!$D$21)=Inputs!$D$6,Inputs!$D$24,Inputs!$D$6)+SUMPRODUCT(--(J236&gt;$D$236:$M$236),--(MOD(J236-$D$236:$M$236,Inputs!$D$21)=Inputs!$D$6),$D$243:$M$243)</f>
        <v>259.5</v>
      </c>
      <c r="K244" s="28">
        <f>IF(MOD(K236,Inputs!$D$21)=Inputs!$D$6,Inputs!$D$24,Inputs!$D$6)+SUMPRODUCT(--(K236&gt;$D$236:$M$236),--(MOD(K236-$D$236:$M$236,Inputs!$D$21)=Inputs!$D$6),$D$243:$M$243)</f>
        <v>46</v>
      </c>
      <c r="L244" s="28">
        <f>IF(MOD(L236,Inputs!$D$21)=Inputs!$D$6,Inputs!$D$24,Inputs!$D$6)+SUMPRODUCT(--(L236&gt;$D$236:$M$236),--(MOD(L236-$D$236:$M$236,Inputs!$D$21)=Inputs!$D$6),$D$243:$M$243)</f>
        <v>259.5</v>
      </c>
      <c r="M244" s="28">
        <f>IF(MOD(M236,Inputs!$D$21)=Inputs!$D$6,Inputs!$D$24,Inputs!$D$6)+SUMPRODUCT(--(M236&gt;$D$236:$M$236),--(MOD(M236-$D$236:$M$236,Inputs!$D$21)=Inputs!$D$6),$D$243:$M$243)</f>
        <v>346</v>
      </c>
    </row>
    <row r="245" spans="1:13" ht="15" customHeight="1" x14ac:dyDescent="0.2">
      <c r="B245" s="10" t="s">
        <v>895</v>
      </c>
      <c r="C245" s="10" t="s">
        <v>896</v>
      </c>
      <c r="D245" s="28">
        <f t="shared" ref="D245:M245" si="52">D242*D239</f>
        <v>125.58726899383984</v>
      </c>
      <c r="E245" s="28">
        <f t="shared" si="52"/>
        <v>478.5</v>
      </c>
      <c r="F245" s="28">
        <f t="shared" si="52"/>
        <v>781.25</v>
      </c>
      <c r="G245" s="28">
        <f t="shared" si="52"/>
        <v>911</v>
      </c>
      <c r="H245" s="28">
        <f t="shared" si="52"/>
        <v>911</v>
      </c>
      <c r="I245" s="28">
        <f t="shared" si="52"/>
        <v>911</v>
      </c>
      <c r="J245" s="28">
        <f t="shared" si="52"/>
        <v>911</v>
      </c>
      <c r="K245" s="28">
        <f t="shared" si="52"/>
        <v>911</v>
      </c>
      <c r="L245" s="28">
        <f t="shared" si="52"/>
        <v>911</v>
      </c>
      <c r="M245" s="28">
        <f t="shared" si="52"/>
        <v>911</v>
      </c>
    </row>
    <row r="246" spans="1:13" ht="15" customHeight="1" x14ac:dyDescent="0.2">
      <c r="B246" s="10" t="s">
        <v>897</v>
      </c>
      <c r="C246" s="10" t="s">
        <v>110</v>
      </c>
      <c r="D246" s="16">
        <f>D245*($D$265/Inputs!$D$21+$D$266/Inputs!$D$22)</f>
        <v>1816.9772859324419</v>
      </c>
      <c r="E246" s="16">
        <f>E245*($D$265/Inputs!$D$21+$D$266/Inputs!$D$22)</f>
        <v>6922.8643817497086</v>
      </c>
      <c r="F246" s="16">
        <f>F245*($D$265/Inputs!$D$21+$D$266/Inputs!$D$22)</f>
        <v>11303.0048030135</v>
      </c>
      <c r="G246" s="16">
        <f>G245*($D$265/Inputs!$D$21+$D$266/Inputs!$D$22)</f>
        <v>13180.207840697982</v>
      </c>
      <c r="H246" s="16">
        <f>H245*($D$265/Inputs!$D$21+$D$266/Inputs!$D$22)</f>
        <v>13180.207840697982</v>
      </c>
      <c r="I246" s="16">
        <f>I245*($D$265/Inputs!$D$21+$D$266/Inputs!$D$22)</f>
        <v>13180.207840697982</v>
      </c>
      <c r="J246" s="16">
        <f>J245*($D$265/Inputs!$D$21+$D$266/Inputs!$D$22)</f>
        <v>13180.207840697982</v>
      </c>
      <c r="K246" s="16">
        <f>K245*($D$265/Inputs!$D$21+$D$266/Inputs!$D$22)</f>
        <v>13180.207840697982</v>
      </c>
      <c r="L246" s="16">
        <f>L245*($D$265/Inputs!$D$21+$D$266/Inputs!$D$22)</f>
        <v>13180.207840697982</v>
      </c>
      <c r="M246" s="16">
        <f>M245*($D$265/Inputs!$D$21+$D$266/Inputs!$D$22)</f>
        <v>13180.207840697982</v>
      </c>
    </row>
    <row r="247" spans="1:13" ht="15" customHeight="1" x14ac:dyDescent="0.2">
      <c r="B247" s="10" t="s">
        <v>898</v>
      </c>
      <c r="C247" s="10" t="s">
        <v>110</v>
      </c>
      <c r="D247" s="16">
        <f t="shared" ref="D247:M247" si="53">D243*($D$265+$D$266)</f>
        <v>15560.968620146154</v>
      </c>
      <c r="E247" s="16">
        <f t="shared" si="53"/>
        <v>20747.95816019487</v>
      </c>
      <c r="F247" s="16">
        <f t="shared" si="53"/>
        <v>15560.968620146154</v>
      </c>
      <c r="G247" s="16">
        <f t="shared" si="53"/>
        <v>0</v>
      </c>
      <c r="H247" s="16">
        <f t="shared" si="53"/>
        <v>0</v>
      </c>
      <c r="I247" s="16">
        <f t="shared" si="53"/>
        <v>0</v>
      </c>
      <c r="J247" s="16">
        <f t="shared" si="53"/>
        <v>0</v>
      </c>
      <c r="K247" s="16">
        <f t="shared" si="53"/>
        <v>0</v>
      </c>
      <c r="L247" s="16">
        <f t="shared" si="53"/>
        <v>0</v>
      </c>
      <c r="M247" s="16">
        <f t="shared" si="53"/>
        <v>0</v>
      </c>
    </row>
    <row r="248" spans="1:13" ht="15" customHeight="1" x14ac:dyDescent="0.2">
      <c r="B248" s="10" t="s">
        <v>899</v>
      </c>
      <c r="C248" s="10" t="s">
        <v>110</v>
      </c>
      <c r="D248" s="16">
        <f t="shared" ref="D248:M248" si="54">D244*$D$265</f>
        <v>0</v>
      </c>
      <c r="E248" s="16">
        <f t="shared" si="54"/>
        <v>0</v>
      </c>
      <c r="F248" s="16">
        <f t="shared" si="54"/>
        <v>0</v>
      </c>
      <c r="G248" s="16">
        <f t="shared" si="54"/>
        <v>2638.0048485671714</v>
      </c>
      <c r="H248" s="16">
        <f t="shared" si="54"/>
        <v>14881.788221808281</v>
      </c>
      <c r="I248" s="16">
        <f t="shared" si="54"/>
        <v>19842.384295744378</v>
      </c>
      <c r="J248" s="16">
        <f t="shared" si="54"/>
        <v>14881.788221808281</v>
      </c>
      <c r="K248" s="16">
        <f t="shared" si="54"/>
        <v>2638.0048485671714</v>
      </c>
      <c r="L248" s="16">
        <f t="shared" si="54"/>
        <v>14881.788221808281</v>
      </c>
      <c r="M248" s="16">
        <f t="shared" si="54"/>
        <v>19842.384295744378</v>
      </c>
    </row>
    <row r="249" spans="1:13" ht="15" customHeight="1" x14ac:dyDescent="0.2">
      <c r="B249" s="10" t="s">
        <v>900</v>
      </c>
      <c r="C249" s="10" t="s">
        <v>199</v>
      </c>
      <c r="D249" s="28">
        <f>D243*Inputs!$D$23</f>
        <v>6.4875000000000007</v>
      </c>
      <c r="E249" s="28">
        <f>E243*Inputs!$D$23</f>
        <v>8.65</v>
      </c>
      <c r="F249" s="28">
        <f>F243*Inputs!$D$23</f>
        <v>6.4875000000000007</v>
      </c>
      <c r="G249" s="28">
        <f>G243*Inputs!$D$23</f>
        <v>0</v>
      </c>
      <c r="H249" s="28">
        <f>H243*Inputs!$D$23</f>
        <v>0</v>
      </c>
      <c r="I249" s="28">
        <f>I243*Inputs!$D$23</f>
        <v>0</v>
      </c>
      <c r="J249" s="28">
        <f>J243*Inputs!$D$23</f>
        <v>0</v>
      </c>
      <c r="K249" s="28">
        <f>K243*Inputs!$D$23</f>
        <v>0</v>
      </c>
      <c r="L249" s="28">
        <f>L243*Inputs!$D$23</f>
        <v>0</v>
      </c>
      <c r="M249" s="28">
        <f>M243*Inputs!$D$23</f>
        <v>0</v>
      </c>
    </row>
    <row r="250" spans="1:13" ht="15" customHeight="1" x14ac:dyDescent="0.2">
      <c r="B250" s="3" t="s">
        <v>901</v>
      </c>
      <c r="C250" s="10" t="s">
        <v>896</v>
      </c>
      <c r="D250" s="28">
        <f>(D245*$D$263*(Inputs!$D$7-Inputs!$D$19)-D249)/(Inputs!$D$7+$D$264)^D238</f>
        <v>42.392257892582741</v>
      </c>
      <c r="E250" s="28">
        <f>(E245*$D$263*(Inputs!$D$7-Inputs!$D$19)-E249)/(Inputs!$D$7+$D$264)^E238</f>
        <v>160.44935881327885</v>
      </c>
      <c r="F250" s="28">
        <f>(F245*$D$263*(Inputs!$D$7-Inputs!$D$19)-F249)/(Inputs!$D$7+$D$264)^F238</f>
        <v>244.06109899015289</v>
      </c>
      <c r="G250" s="28">
        <f>(G245*$D$263*(Inputs!$D$7-Inputs!$D$19)-G249)/(Inputs!$D$7+$D$264)^G238</f>
        <v>264.04849443125005</v>
      </c>
      <c r="H250" s="28">
        <f>(H245*$D$263*(Inputs!$D$7-Inputs!$D$19)-H249)/(Inputs!$D$7+$D$264)^H238</f>
        <v>240.05974593643205</v>
      </c>
      <c r="I250" s="28">
        <f>(I245*$D$263*(Inputs!$D$7-Inputs!$D$19)-I249)/(Inputs!$D$7+$D$264)^I238</f>
        <v>218.19342611959934</v>
      </c>
      <c r="J250" s="28">
        <f>(J245*$D$263*(Inputs!$D$7-Inputs!$D$19)-J249)/(Inputs!$D$7+$D$264)^J238</f>
        <v>198.37060064324149</v>
      </c>
      <c r="K250" s="28">
        <f>(K245*$D$263*(Inputs!$D$7-Inputs!$D$19)-K249)/(Inputs!$D$7+$D$264)^K238</f>
        <v>180.34867456543267</v>
      </c>
      <c r="L250" s="28">
        <f>(L245*$D$263*(Inputs!$D$7-Inputs!$D$19)-L249)/(Inputs!$D$7+$D$264)^L238</f>
        <v>163.9640365661034</v>
      </c>
      <c r="M250" s="28">
        <f>(M245*$D$263*(Inputs!$D$7-Inputs!$D$19)-M249)/(Inputs!$D$7+$D$264)^M238</f>
        <v>149.02904591189079</v>
      </c>
    </row>
    <row r="251" spans="1:13" ht="15" customHeight="1" x14ac:dyDescent="0.2">
      <c r="B251" s="10" t="s">
        <v>902</v>
      </c>
      <c r="C251" s="10" t="s">
        <v>110</v>
      </c>
      <c r="D251" s="16">
        <f>(D246*Inputs!$D$19-D247-D248)/(Inputs!$D$7+$D$264)^D238</f>
        <v>-14027.24269342025</v>
      </c>
      <c r="E251" s="16">
        <f>(E246*Inputs!$D$19-E247-E248)/(Inputs!$D$7+$D$264)^E238</f>
        <v>-15853.087323826181</v>
      </c>
      <c r="F251" s="16">
        <f>(F246*Inputs!$D$19-F247-F248)/(Inputs!$D$7+$D$264)^F238</f>
        <v>-9394.4767487293357</v>
      </c>
      <c r="G251" s="16">
        <f>(G246*Inputs!$D$19-G247-G248)/(Inputs!$D$7+$D$264)^G238</f>
        <v>923.61320322684639</v>
      </c>
      <c r="H251" s="16">
        <f>(H246*Inputs!$D$19-H247-H248)/(Inputs!$D$7+$D$264)^H238</f>
        <v>-6972.3744918015345</v>
      </c>
      <c r="I251" s="16">
        <f>(I246*Inputs!$D$19-I247-I248)/(Inputs!$D$7+$D$264)^I238</f>
        <v>-9214.0648467907959</v>
      </c>
      <c r="J251" s="16">
        <f>(J246*Inputs!$D$19-J247-J248)/(Inputs!$D$7+$D$264)^J238</f>
        <v>-5761.5411965591911</v>
      </c>
      <c r="K251" s="16">
        <f>(K246*Inputs!$D$19-K247-K248)/(Inputs!$D$7+$D$264)^K238</f>
        <v>630.8402453567694</v>
      </c>
      <c r="L251" s="16">
        <f>(L246*Inputs!$D$19-L247-L248)/(Inputs!$D$7+$D$264)^L238</f>
        <v>-4762.2255937446444</v>
      </c>
      <c r="M251" s="16">
        <f>(M246*Inputs!$D$19-M247-M248)/(Inputs!$D$7+$D$264)^M238</f>
        <v>-6293.3302689644106</v>
      </c>
    </row>
    <row r="252" spans="1:13" ht="15" customHeight="1" x14ac:dyDescent="0.2">
      <c r="B252" s="10" t="s">
        <v>903</v>
      </c>
      <c r="C252" s="10" t="s">
        <v>110</v>
      </c>
      <c r="D252" s="16">
        <f t="shared" ref="D252:M252" si="55">D245*$D$262</f>
        <v>5532.8271026802786</v>
      </c>
      <c r="E252" s="16">
        <f t="shared" si="55"/>
        <v>21080.622182829484</v>
      </c>
      <c r="F252" s="16">
        <f t="shared" si="55"/>
        <v>34418.466207597769</v>
      </c>
      <c r="G252" s="16">
        <f t="shared" si="55"/>
        <v>40134.685075355606</v>
      </c>
      <c r="H252" s="16">
        <f t="shared" si="55"/>
        <v>40134.685075355606</v>
      </c>
      <c r="I252" s="16">
        <f t="shared" si="55"/>
        <v>40134.685075355606</v>
      </c>
      <c r="J252" s="16">
        <f t="shared" si="55"/>
        <v>40134.685075355606</v>
      </c>
      <c r="K252" s="16">
        <f t="shared" si="55"/>
        <v>40134.685075355606</v>
      </c>
      <c r="L252" s="16">
        <f t="shared" si="55"/>
        <v>40134.685075355606</v>
      </c>
      <c r="M252" s="16">
        <f t="shared" si="55"/>
        <v>40134.685075355606</v>
      </c>
    </row>
    <row r="253" spans="1:13" ht="15" customHeight="1" x14ac:dyDescent="0.2">
      <c r="B253" s="10" t="s">
        <v>904</v>
      </c>
      <c r="C253" s="10" t="s">
        <v>110</v>
      </c>
      <c r="D253" s="16">
        <f t="shared" ref="D253:M253" si="56">D252*$D$263</f>
        <v>3264.3679905813642</v>
      </c>
      <c r="E253" s="16">
        <f t="shared" si="56"/>
        <v>12437.567087869395</v>
      </c>
      <c r="F253" s="16">
        <f t="shared" si="56"/>
        <v>20306.895062482683</v>
      </c>
      <c r="G253" s="16">
        <f t="shared" si="56"/>
        <v>23679.464194459808</v>
      </c>
      <c r="H253" s="16">
        <f t="shared" si="56"/>
        <v>23679.464194459808</v>
      </c>
      <c r="I253" s="16">
        <f t="shared" si="56"/>
        <v>23679.464194459808</v>
      </c>
      <c r="J253" s="16">
        <f t="shared" si="56"/>
        <v>23679.464194459808</v>
      </c>
      <c r="K253" s="16">
        <f t="shared" si="56"/>
        <v>23679.464194459808</v>
      </c>
      <c r="L253" s="16">
        <f t="shared" si="56"/>
        <v>23679.464194459808</v>
      </c>
      <c r="M253" s="16">
        <f t="shared" si="56"/>
        <v>23679.464194459808</v>
      </c>
    </row>
    <row r="254" spans="1:13" ht="15" customHeight="1" x14ac:dyDescent="0.2">
      <c r="B254" s="10" t="s">
        <v>905</v>
      </c>
      <c r="C254" s="10" t="s">
        <v>110</v>
      </c>
      <c r="D254" s="16">
        <f t="shared" ref="D254:M254" si="57">D253-D246</f>
        <v>1447.3907046489223</v>
      </c>
      <c r="E254" s="16">
        <f t="shared" si="57"/>
        <v>5514.7027061196859</v>
      </c>
      <c r="F254" s="16">
        <f t="shared" si="57"/>
        <v>9003.8902594691826</v>
      </c>
      <c r="G254" s="16">
        <f t="shared" si="57"/>
        <v>10499.256353761826</v>
      </c>
      <c r="H254" s="16">
        <f t="shared" si="57"/>
        <v>10499.256353761826</v>
      </c>
      <c r="I254" s="16">
        <f t="shared" si="57"/>
        <v>10499.256353761826</v>
      </c>
      <c r="J254" s="16">
        <f t="shared" si="57"/>
        <v>10499.256353761826</v>
      </c>
      <c r="K254" s="16">
        <f t="shared" si="57"/>
        <v>10499.256353761826</v>
      </c>
      <c r="L254" s="16">
        <f t="shared" si="57"/>
        <v>10499.256353761826</v>
      </c>
      <c r="M254" s="16">
        <f t="shared" si="57"/>
        <v>10499.256353761826</v>
      </c>
    </row>
    <row r="255" spans="1:13" ht="15" customHeight="1" x14ac:dyDescent="0.2">
      <c r="B255" s="10" t="s">
        <v>906</v>
      </c>
      <c r="C255" s="10" t="s">
        <v>110</v>
      </c>
      <c r="D255" s="16">
        <f>MAX(D254,Inputs!$D$6)*Inputs!$D$19</f>
        <v>434.21721139467667</v>
      </c>
      <c r="E255" s="16">
        <f>MAX(E254,Inputs!$D$6)*Inputs!$D$19</f>
        <v>1654.4108118359056</v>
      </c>
      <c r="F255" s="16">
        <f>MAX(F254,Inputs!$D$6)*Inputs!$D$19</f>
        <v>2701.1670778407547</v>
      </c>
      <c r="G255" s="16">
        <f>MAX(G254,Inputs!$D$6)*Inputs!$D$19</f>
        <v>3149.7769061285476</v>
      </c>
      <c r="H255" s="16">
        <f>MAX(H254,Inputs!$D$6)*Inputs!$D$19</f>
        <v>3149.7769061285476</v>
      </c>
      <c r="I255" s="16">
        <f>MAX(I254,Inputs!$D$6)*Inputs!$D$19</f>
        <v>3149.7769061285476</v>
      </c>
      <c r="J255" s="16">
        <f>MAX(J254,Inputs!$D$6)*Inputs!$D$19</f>
        <v>3149.7769061285476</v>
      </c>
      <c r="K255" s="16">
        <f>MAX(K254,Inputs!$D$6)*Inputs!$D$19</f>
        <v>3149.7769061285476</v>
      </c>
      <c r="L255" s="16">
        <f>MAX(L254,Inputs!$D$6)*Inputs!$D$19</f>
        <v>3149.7769061285476</v>
      </c>
      <c r="M255" s="16">
        <f>MAX(M254,Inputs!$D$6)*Inputs!$D$19</f>
        <v>3149.7769061285476</v>
      </c>
    </row>
    <row r="256" spans="1:13" ht="15" customHeight="1" x14ac:dyDescent="0.2">
      <c r="B256" s="10" t="s">
        <v>907</v>
      </c>
      <c r="C256" s="10" t="s">
        <v>110</v>
      </c>
      <c r="D256" s="16">
        <f t="shared" ref="D256:M256" si="58">D249*$D$262</f>
        <v>285.81094338789194</v>
      </c>
      <c r="E256" s="16">
        <f t="shared" si="58"/>
        <v>381.08125785052255</v>
      </c>
      <c r="F256" s="16">
        <f t="shared" si="58"/>
        <v>285.81094338789194</v>
      </c>
      <c r="G256" s="16">
        <f t="shared" si="58"/>
        <v>0</v>
      </c>
      <c r="H256" s="16">
        <f t="shared" si="58"/>
        <v>0</v>
      </c>
      <c r="I256" s="16">
        <f t="shared" si="58"/>
        <v>0</v>
      </c>
      <c r="J256" s="16">
        <f t="shared" si="58"/>
        <v>0</v>
      </c>
      <c r="K256" s="16">
        <f t="shared" si="58"/>
        <v>0</v>
      </c>
      <c r="L256" s="16">
        <f t="shared" si="58"/>
        <v>0</v>
      </c>
      <c r="M256" s="16">
        <f t="shared" si="58"/>
        <v>0</v>
      </c>
    </row>
    <row r="257" spans="2:13" ht="15" customHeight="1" x14ac:dyDescent="0.2">
      <c r="B257" s="10" t="s">
        <v>908</v>
      </c>
      <c r="C257" s="10" t="s">
        <v>110</v>
      </c>
      <c r="D257" s="16">
        <f t="shared" ref="D257:M257" si="59">D253-D255-D247-D248-D256</f>
        <v>-13016.628784347358</v>
      </c>
      <c r="E257" s="16">
        <f t="shared" si="59"/>
        <v>-10345.883142011904</v>
      </c>
      <c r="F257" s="16">
        <f t="shared" si="59"/>
        <v>1758.9484211078841</v>
      </c>
      <c r="G257" s="16">
        <f t="shared" si="59"/>
        <v>17891.682439764088</v>
      </c>
      <c r="H257" s="16">
        <f t="shared" si="59"/>
        <v>5647.8990665229794</v>
      </c>
      <c r="I257" s="16">
        <f t="shared" si="59"/>
        <v>687.30299258688319</v>
      </c>
      <c r="J257" s="16">
        <f t="shared" si="59"/>
        <v>5647.8990665229794</v>
      </c>
      <c r="K257" s="16">
        <f t="shared" si="59"/>
        <v>17891.682439764088</v>
      </c>
      <c r="L257" s="16">
        <f t="shared" si="59"/>
        <v>5647.8990665229794</v>
      </c>
      <c r="M257" s="16">
        <f t="shared" si="59"/>
        <v>687.30299258688319</v>
      </c>
    </row>
    <row r="258" spans="2:13" ht="15" customHeight="1" x14ac:dyDescent="0.2">
      <c r="B258" s="10" t="s">
        <v>909</v>
      </c>
      <c r="C258" s="10" t="s">
        <v>110</v>
      </c>
      <c r="D258" s="16">
        <f>D257/(Inputs!$D$7+$D$264)^D238</f>
        <v>-12159.624778873525</v>
      </c>
      <c r="E258" s="16">
        <f>E257/(Inputs!$D$7+$D$264)^E238</f>
        <v>-8784.3886558638551</v>
      </c>
      <c r="F258" s="16">
        <f>F257/(Inputs!$D$7+$D$264)^F238</f>
        <v>1357.7903721433079</v>
      </c>
      <c r="G258" s="16">
        <f>G257/(Inputs!$D$7+$D$264)^G238</f>
        <v>12556.437757145628</v>
      </c>
      <c r="H258" s="16">
        <f>H257/(Inputs!$D$7+$D$264)^H238</f>
        <v>3603.6104724449842</v>
      </c>
      <c r="I258" s="16">
        <f>I257/(Inputs!$D$7+$D$264)^I238</f>
        <v>398.58547463948997</v>
      </c>
      <c r="J258" s="16">
        <f>J257/(Inputs!$D$7+$D$264)^J238</f>
        <v>2977.8019264107675</v>
      </c>
      <c r="K258" s="16">
        <f>K257/(Inputs!$D$7+$D$264)^K238</f>
        <v>8576.2159395844719</v>
      </c>
      <c r="L258" s="16">
        <f>L257/(Inputs!$D$7+$D$264)^L238</f>
        <v>2461.3144405744029</v>
      </c>
      <c r="M258" s="16">
        <f>M257/(Inputs!$D$7+$D$264)^M238</f>
        <v>272.23924229184473</v>
      </c>
    </row>
    <row r="259" spans="2:13" ht="15" customHeight="1" x14ac:dyDescent="0.2">
      <c r="B259" s="3" t="s">
        <v>910</v>
      </c>
      <c r="C259" s="10" t="s">
        <v>896</v>
      </c>
      <c r="D259" s="28">
        <f>(D245*$D$263-D249)/(Inputs!$D$7+$D$264)^D238</f>
        <v>63.15766916062681</v>
      </c>
      <c r="E259" s="28">
        <f>(E245*$D$263-E249)/(Inputs!$D$7+$D$264)^E238</f>
        <v>232.36099697908384</v>
      </c>
      <c r="F259" s="28">
        <f>(F245*$D$263-F249)/(Inputs!$D$7+$D$264)^F238</f>
        <v>350.80496233759658</v>
      </c>
      <c r="G259" s="28">
        <f>(G245*$D$263-G249)/(Inputs!$D$7+$D$264)^G238</f>
        <v>377.21213490178582</v>
      </c>
      <c r="H259" s="28">
        <f>(H245*$D$263-H249)/(Inputs!$D$7+$D$264)^H238</f>
        <v>342.94249419490291</v>
      </c>
      <c r="I259" s="28">
        <f>(I245*$D$263-I249)/(Inputs!$D$7+$D$264)^I238</f>
        <v>311.70489445657051</v>
      </c>
      <c r="J259" s="28">
        <f>(J245*$D$263-J249)/(Inputs!$D$7+$D$264)^J238</f>
        <v>283.38657234748786</v>
      </c>
      <c r="K259" s="28">
        <f>(K245*$D$263-K249)/(Inputs!$D$7+$D$264)^K238</f>
        <v>257.64096366490384</v>
      </c>
      <c r="L259" s="28">
        <f>(L245*$D$263-L249)/(Inputs!$D$7+$D$264)^L238</f>
        <v>234.23433795157629</v>
      </c>
      <c r="M259" s="28">
        <f>(M245*$D$263-M249)/(Inputs!$D$7+$D$264)^M238</f>
        <v>212.89863701698684</v>
      </c>
    </row>
    <row r="260" spans="2:13" ht="15" customHeight="1" x14ac:dyDescent="0.2">
      <c r="B260" s="10" t="s">
        <v>911</v>
      </c>
      <c r="C260" s="10" t="s">
        <v>110</v>
      </c>
      <c r="D260" s="16">
        <f>(-D247-D248)/(Inputs!$D$7+$D$264)^D238</f>
        <v>-14536.447397527105</v>
      </c>
      <c r="E260" s="16">
        <f>(-E247-E248)/(Inputs!$D$7+$D$264)^E238</f>
        <v>-17616.488200475756</v>
      </c>
      <c r="F260" s="16">
        <f>(-F247-F248)/(Inputs!$D$7+$D$264)^F238</f>
        <v>-12012.025548964448</v>
      </c>
      <c r="G260" s="16">
        <f>(-G247-G248)/(Inputs!$D$7+$D$264)^G238</f>
        <v>-1851.359915178487</v>
      </c>
      <c r="H260" s="16">
        <f>(-H247-H248)/(Inputs!$D$7+$D$264)^H238</f>
        <v>-9495.2419037884629</v>
      </c>
      <c r="I260" s="16">
        <f>(-I247-I248)/(Inputs!$D$7+$D$264)^I238</f>
        <v>-11507.131858586603</v>
      </c>
      <c r="J260" s="16">
        <f>(-J247-J248)/(Inputs!$D$7+$D$264)^J238</f>
        <v>-7846.2835672839774</v>
      </c>
      <c r="K260" s="16">
        <f>(-K247-K248)/(Inputs!$D$7+$D$264)^K238</f>
        <v>-1264.5037327904422</v>
      </c>
      <c r="L260" s="16">
        <f>(-L247-L248)/(Inputs!$D$7+$D$264)^L238</f>
        <v>-6485.3779822337692</v>
      </c>
      <c r="M260" s="16">
        <f>(-M247-M248)/(Inputs!$D$7+$D$264)^M238</f>
        <v>-7859.5258920747219</v>
      </c>
    </row>
    <row r="261" spans="2:13" ht="15" customHeight="1" x14ac:dyDescent="0.2">
      <c r="B261" s="10" t="s">
        <v>912</v>
      </c>
      <c r="C261" s="10" t="s">
        <v>110</v>
      </c>
      <c r="D261" s="16">
        <f>Prices!I6</f>
        <v>43700</v>
      </c>
    </row>
    <row r="262" spans="2:13" ht="15" customHeight="1" x14ac:dyDescent="0.2">
      <c r="B262" s="3" t="s">
        <v>913</v>
      </c>
      <c r="C262" s="10" t="s">
        <v>914</v>
      </c>
      <c r="D262" s="28">
        <f>IF(J269&gt;=J265,J269,(D261-J268)/J267)</f>
        <v>44.055636745725145</v>
      </c>
      <c r="G262" s="99" t="s">
        <v>915</v>
      </c>
      <c r="H262" s="91"/>
      <c r="I262" s="91"/>
      <c r="J262" s="28">
        <f>D262*Inputs!$D$15</f>
        <v>30.746428884841578</v>
      </c>
      <c r="K262" s="99" t="s">
        <v>916</v>
      </c>
      <c r="L262" s="91"/>
      <c r="M262" s="91"/>
    </row>
    <row r="263" spans="2:13" ht="15" customHeight="1" x14ac:dyDescent="0.2">
      <c r="B263" s="10" t="s">
        <v>917</v>
      </c>
      <c r="C263" s="10" t="s">
        <v>104</v>
      </c>
      <c r="D263" s="30">
        <f>Inputs!$D$141</f>
        <v>0.59</v>
      </c>
      <c r="G263" s="99" t="s">
        <v>918</v>
      </c>
      <c r="H263" s="91"/>
      <c r="I263" s="91"/>
      <c r="J263" s="28">
        <f>IF(-D274/D273&gt;=J265,-D274/D273,-J268/J267)</f>
        <v>32.835087452382361</v>
      </c>
      <c r="K263" s="99" t="s">
        <v>919</v>
      </c>
      <c r="L263" s="91"/>
      <c r="M263" s="91"/>
    </row>
    <row r="264" spans="2:13" ht="15" customHeight="1" x14ac:dyDescent="0.2">
      <c r="B264" s="10" t="s">
        <v>920</v>
      </c>
      <c r="C264" s="10" t="s">
        <v>104</v>
      </c>
      <c r="D264" s="30">
        <f>Inputs!$D$147</f>
        <v>0.1</v>
      </c>
      <c r="G264" s="99" t="s">
        <v>918</v>
      </c>
      <c r="H264" s="91"/>
      <c r="I264" s="91"/>
      <c r="J264" s="28">
        <f>J263*Inputs!$D$15</f>
        <v>22.915607533017649</v>
      </c>
      <c r="K264" s="99" t="s">
        <v>916</v>
      </c>
      <c r="L264" s="91"/>
      <c r="M264" s="91"/>
    </row>
    <row r="265" spans="2:13" ht="15" customHeight="1" x14ac:dyDescent="0.2">
      <c r="B265" s="3" t="s">
        <v>921</v>
      </c>
      <c r="C265" s="10" t="s">
        <v>848</v>
      </c>
      <c r="D265" s="28">
        <f>Capital!$D$13</f>
        <v>57.347931490590682</v>
      </c>
      <c r="G265" s="99" t="s">
        <v>922</v>
      </c>
      <c r="H265" s="91"/>
      <c r="I265" s="91"/>
      <c r="J265" s="28">
        <f>($D$265/Inputs!$D$21+$D$266/Inputs!$D$22)/$D$263</f>
        <v>24.521773131961492</v>
      </c>
      <c r="K265" s="99" t="s">
        <v>919</v>
      </c>
      <c r="L265" s="91"/>
      <c r="M265" s="91"/>
    </row>
    <row r="266" spans="2:13" ht="15" customHeight="1" x14ac:dyDescent="0.2">
      <c r="B266" s="3" t="s">
        <v>923</v>
      </c>
      <c r="C266" s="10" t="s">
        <v>848</v>
      </c>
      <c r="D266" s="28">
        <f>Capital!$D$14</f>
        <v>2.6172655041921802</v>
      </c>
    </row>
    <row r="267" spans="2:13" ht="15" customHeight="1" x14ac:dyDescent="0.2">
      <c r="B267" s="10" t="s">
        <v>924</v>
      </c>
      <c r="C267" s="10" t="s">
        <v>896</v>
      </c>
      <c r="D267" s="28">
        <f>(M240*(Inputs!$D$7+Inputs!$D$20)*$D$263*(Inputs!$D$7-Inputs!$D$19)-M240*Inputs!$D$20*Inputs!$D$23)/($D$264-Inputs!$D$20)/(Inputs!$D$7+$D$264)^M238</f>
        <v>2033.7232512334531</v>
      </c>
      <c r="G267" s="92" t="s">
        <v>910</v>
      </c>
      <c r="H267" s="91"/>
      <c r="I267" s="91"/>
      <c r="J267" s="28">
        <f>SUM(D259:M259)+(M240*(Inputs!$D$7+Inputs!$D$20)*$D$263-M240*Inputs!$D$20*Inputs!$D$23)/($D$264-Inputs!$D$20)/(Inputs!$D$7+$D$264)^M238</f>
        <v>5572.9513260146196</v>
      </c>
      <c r="K267" s="99" t="s">
        <v>896</v>
      </c>
      <c r="L267" s="91"/>
      <c r="M267" s="91"/>
    </row>
    <row r="268" spans="2:13" ht="15" customHeight="1" x14ac:dyDescent="0.2">
      <c r="B268" s="10" t="s">
        <v>925</v>
      </c>
      <c r="C268" s="10" t="s">
        <v>110</v>
      </c>
      <c r="D268" s="16">
        <f>(D271*Inputs!$D$19-D271-D272)/($D$264-Inputs!$D$20)/(Inputs!$D$7+$D$264)^M238</f>
        <v>-57156.954988173631</v>
      </c>
      <c r="G268" s="92" t="s">
        <v>926</v>
      </c>
      <c r="H268" s="91"/>
      <c r="I268" s="91"/>
      <c r="J268" s="16">
        <f>SUM(D260:M260)-(D271+D272)/($D$264-Inputs!$D$20)/(Inputs!$D$7+$D$264)^M238</f>
        <v>-169036.01450291832</v>
      </c>
      <c r="K268" s="99" t="s">
        <v>110</v>
      </c>
      <c r="L268" s="91"/>
      <c r="M268" s="91"/>
    </row>
    <row r="269" spans="2:13" ht="15" customHeight="1" x14ac:dyDescent="0.2">
      <c r="B269" s="10" t="s">
        <v>927</v>
      </c>
      <c r="C269" s="10" t="s">
        <v>928</v>
      </c>
      <c r="D269" s="16">
        <f>(M240*(Inputs!$D$7+Inputs!$D$20)*$D$262*$D$263-D271)-MAX((M240*(Inputs!$D$7+Inputs!$D$20)*$D$262*$D$263-D271),Inputs!$D$6)*Inputs!$D$19-D272-M240*Inputs!$D$20*$D$262*Inputs!$D$23</f>
        <v>6142.4248940958332</v>
      </c>
      <c r="G269" s="99" t="s">
        <v>929</v>
      </c>
      <c r="H269" s="91"/>
      <c r="I269" s="91"/>
      <c r="J269" s="28">
        <f>(D261-D274)/D273</f>
        <v>44.055636745725145</v>
      </c>
      <c r="K269" s="99" t="s">
        <v>919</v>
      </c>
      <c r="L269" s="91"/>
      <c r="M269" s="91"/>
    </row>
    <row r="270" spans="2:13" ht="15" customHeight="1" x14ac:dyDescent="0.2">
      <c r="B270" s="10" t="s">
        <v>930</v>
      </c>
      <c r="C270" s="10" t="s">
        <v>110</v>
      </c>
      <c r="D270" s="16">
        <f>D269/($D$264-Inputs!$D$20)</f>
        <v>81898.998587944428</v>
      </c>
      <c r="G270" s="99" t="s">
        <v>931</v>
      </c>
      <c r="H270" s="91"/>
      <c r="I270" s="91"/>
      <c r="J270" s="16">
        <f>MIN(D254:M254,(M240*(Inputs!$D$7+Inputs!$D$20)*$D$262*$D$263-D271))</f>
        <v>1447.3907046489223</v>
      </c>
      <c r="K270" s="99" t="s">
        <v>110</v>
      </c>
      <c r="L270" s="91"/>
      <c r="M270" s="91"/>
    </row>
    <row r="271" spans="2:13" ht="15" customHeight="1" x14ac:dyDescent="0.2">
      <c r="B271" s="10" t="s">
        <v>932</v>
      </c>
      <c r="C271" s="10" t="s">
        <v>928</v>
      </c>
      <c r="D271" s="16">
        <f>M240*(Inputs!$D$7+Inputs!$D$20)*($D$265/Inputs!$D$21+$D$266/Inputs!$D$22)</f>
        <v>13509.71303671543</v>
      </c>
      <c r="G271" s="99" t="s">
        <v>933</v>
      </c>
      <c r="H271" s="91"/>
      <c r="I271" s="91"/>
      <c r="J271" s="31" t="str">
        <f>IF(J270&lt;Inputs!$D$6,"breached","satisfied")</f>
        <v>satisfied</v>
      </c>
      <c r="K271" s="99" t="s">
        <v>934</v>
      </c>
      <c r="L271" s="91"/>
      <c r="M271" s="91"/>
    </row>
    <row r="272" spans="2:13" ht="15" customHeight="1" x14ac:dyDescent="0.2">
      <c r="B272" s="10" t="s">
        <v>935</v>
      </c>
      <c r="C272" s="10" t="s">
        <v>928</v>
      </c>
      <c r="D272" s="16">
        <f>M240*Inputs!$D$20*($D$265+$D$266)</f>
        <v>1365.7073615561799</v>
      </c>
    </row>
    <row r="273" spans="1:13" ht="15" customHeight="1" x14ac:dyDescent="0.2">
      <c r="B273" s="10" t="s">
        <v>936</v>
      </c>
      <c r="C273" s="10" t="s">
        <v>896</v>
      </c>
      <c r="D273" s="28">
        <f>SUM(D250:M250)+D267</f>
        <v>3894.6399911034173</v>
      </c>
      <c r="G273" s="99" t="s">
        <v>937</v>
      </c>
      <c r="H273" s="91"/>
      <c r="I273" s="91"/>
      <c r="J273" s="16">
        <f>D275-D261</f>
        <v>0</v>
      </c>
      <c r="K273" s="99" t="s">
        <v>110</v>
      </c>
      <c r="L273" s="91"/>
      <c r="M273" s="91"/>
    </row>
    <row r="274" spans="1:13" ht="15" customHeight="1" x14ac:dyDescent="0.2">
      <c r="B274" s="10" t="s">
        <v>938</v>
      </c>
      <c r="C274" s="10" t="s">
        <v>110</v>
      </c>
      <c r="D274" s="16">
        <f>SUM(D251:M251)+D268</f>
        <v>-127880.84470342637</v>
      </c>
    </row>
    <row r="275" spans="1:13" ht="15" customHeight="1" x14ac:dyDescent="0.2">
      <c r="B275" s="10" t="s">
        <v>939</v>
      </c>
      <c r="C275" s="10" t="s">
        <v>110</v>
      </c>
      <c r="D275" s="16">
        <f>SUM(D258:M258)+D270/(Inputs!$D$7+$D$264)^M238</f>
        <v>43700.000000000015</v>
      </c>
    </row>
    <row r="276" spans="1:13" ht="15" customHeight="1" x14ac:dyDescent="0.2">
      <c r="B276" s="10" t="s">
        <v>940</v>
      </c>
      <c r="C276" s="10" t="s">
        <v>104</v>
      </c>
      <c r="D276" s="30">
        <f>IF(ABS(D261)&gt;Inputs!$D$6,D275/D261-Inputs!$D$7,Inputs!$D$6)</f>
        <v>2.2204460492503131E-16</v>
      </c>
    </row>
    <row r="277" spans="1:13" ht="15" customHeight="1" x14ac:dyDescent="0.2">
      <c r="B277" s="10" t="s">
        <v>941</v>
      </c>
      <c r="C277" s="10" t="s">
        <v>104</v>
      </c>
      <c r="D277" s="30">
        <f>IF(ABS(D275)&gt;Inputs!$D$119,D270/(Inputs!$D$7+$D$264)^M238/D275,Inputs!$D$6)</f>
        <v>0.74233450364994258</v>
      </c>
    </row>
    <row r="278" spans="1:13" ht="15" customHeight="1" x14ac:dyDescent="0.2">
      <c r="B278" s="10" t="s">
        <v>942</v>
      </c>
      <c r="C278" s="10" t="s">
        <v>943</v>
      </c>
      <c r="D278" s="26">
        <f>$D$262*Inputs!$D$8/Prices!$P$6/(Inputs!$D$26/Inputs!$D$25)/Inputs!$D$11/Inputs!$D$56</f>
        <v>8.0116513621907028</v>
      </c>
    </row>
    <row r="282" spans="1:13" ht="15" customHeight="1" x14ac:dyDescent="0.2">
      <c r="A282" s="104" t="s">
        <v>2171</v>
      </c>
      <c r="B282" s="10" t="s">
        <v>886</v>
      </c>
      <c r="C282" s="10" t="s">
        <v>107</v>
      </c>
      <c r="D282" s="28">
        <f>Inputs!$D$60</f>
        <v>1</v>
      </c>
      <c r="E282" s="28">
        <f>Inputs!$D$62</f>
        <v>2</v>
      </c>
      <c r="F282" s="28">
        <f>Inputs!$D$64</f>
        <v>3</v>
      </c>
      <c r="G282" s="28">
        <f>Inputs!$D$66</f>
        <v>4</v>
      </c>
      <c r="H282" s="28">
        <f>Inputs!$D$68</f>
        <v>5</v>
      </c>
      <c r="I282" s="28">
        <f>Inputs!$D$70</f>
        <v>6</v>
      </c>
      <c r="J282" s="28">
        <f>Inputs!$D$72</f>
        <v>7</v>
      </c>
      <c r="K282" s="28">
        <f>Inputs!$D$74</f>
        <v>8</v>
      </c>
      <c r="L282" s="28">
        <f>Inputs!$D$76</f>
        <v>9</v>
      </c>
      <c r="M282" s="28">
        <f>Inputs!$D$78</f>
        <v>10</v>
      </c>
    </row>
    <row r="283" spans="1:13" ht="15" customHeight="1" x14ac:dyDescent="0.2">
      <c r="A283" s="91"/>
      <c r="B283" s="10" t="s">
        <v>887</v>
      </c>
      <c r="C283" s="10" t="s">
        <v>161</v>
      </c>
      <c r="D283" s="29">
        <f>Inputs!$D$61</f>
        <v>46568</v>
      </c>
      <c r="E283" s="29">
        <f>Inputs!$D$63</f>
        <v>46934</v>
      </c>
      <c r="F283" s="29">
        <f>Inputs!$D$65</f>
        <v>47299</v>
      </c>
      <c r="G283" s="29">
        <f>Inputs!$D$67</f>
        <v>47664</v>
      </c>
      <c r="H283" s="29">
        <f>Inputs!$D$69</f>
        <v>48029</v>
      </c>
      <c r="I283" s="29">
        <f>Inputs!$D$71</f>
        <v>48395</v>
      </c>
      <c r="J283" s="29">
        <f>Inputs!$D$73</f>
        <v>48760</v>
      </c>
      <c r="K283" s="29">
        <f>Inputs!$D$75</f>
        <v>49125</v>
      </c>
      <c r="L283" s="29">
        <f>Inputs!$D$77</f>
        <v>49490</v>
      </c>
      <c r="M283" s="29">
        <f>Inputs!$D$79</f>
        <v>49856</v>
      </c>
    </row>
    <row r="284" spans="1:13" ht="15" customHeight="1" x14ac:dyDescent="0.2">
      <c r="A284" s="91"/>
      <c r="B284" s="10" t="s">
        <v>888</v>
      </c>
      <c r="C284" s="10" t="s">
        <v>107</v>
      </c>
      <c r="D284" s="28">
        <f>(D283-Inputs!$D$13)/Inputs!$D$10</f>
        <v>0.71457905544147848</v>
      </c>
      <c r="E284" s="28">
        <f>(E283-Inputs!$D$13)/Inputs!$D$10</f>
        <v>1.7166324435318274</v>
      </c>
      <c r="F284" s="28">
        <f>(F283-Inputs!$D$13)/Inputs!$D$10</f>
        <v>2.7159479808350446</v>
      </c>
      <c r="G284" s="28">
        <f>(G283-Inputs!$D$13)/Inputs!$D$10</f>
        <v>3.7152635181382614</v>
      </c>
      <c r="H284" s="28">
        <f>(H283-Inputs!$D$13)/Inputs!$D$10</f>
        <v>4.7145790554414786</v>
      </c>
      <c r="I284" s="28">
        <f>(I283-Inputs!$D$13)/Inputs!$D$10</f>
        <v>5.7166324435318279</v>
      </c>
      <c r="J284" s="28">
        <f>(J283-Inputs!$D$13)/Inputs!$D$10</f>
        <v>6.7159479808350442</v>
      </c>
      <c r="K284" s="28">
        <f>(K283-Inputs!$D$13)/Inputs!$D$10</f>
        <v>7.7152635181382614</v>
      </c>
      <c r="L284" s="28">
        <f>(L283-Inputs!$D$13)/Inputs!$D$10</f>
        <v>8.7145790554414777</v>
      </c>
      <c r="M284" s="28">
        <f>(M283-Inputs!$D$13)/Inputs!$D$10</f>
        <v>9.716632443531827</v>
      </c>
    </row>
    <row r="285" spans="1:13" ht="15" customHeight="1" x14ac:dyDescent="0.2">
      <c r="A285" s="91"/>
      <c r="B285" s="10" t="s">
        <v>889</v>
      </c>
      <c r="C285" s="10" t="s">
        <v>107</v>
      </c>
      <c r="D285" s="28">
        <f>D284</f>
        <v>0.71457905544147848</v>
      </c>
      <c r="E285" s="28">
        <f>Inputs!$D$7</f>
        <v>1</v>
      </c>
      <c r="F285" s="28">
        <f>Inputs!$D$7</f>
        <v>1</v>
      </c>
      <c r="G285" s="28">
        <f>Inputs!$D$7</f>
        <v>1</v>
      </c>
      <c r="H285" s="28">
        <f>Inputs!$D$7</f>
        <v>1</v>
      </c>
      <c r="I285" s="28">
        <f>Inputs!$D$7</f>
        <v>1</v>
      </c>
      <c r="J285" s="28">
        <f>Inputs!$D$7</f>
        <v>1</v>
      </c>
      <c r="K285" s="28">
        <f>Inputs!$D$7</f>
        <v>1</v>
      </c>
      <c r="L285" s="28">
        <f>Inputs!$D$7</f>
        <v>1</v>
      </c>
      <c r="M285" s="28">
        <f>Inputs!$D$7</f>
        <v>1</v>
      </c>
    </row>
    <row r="286" spans="1:13" ht="15" customHeight="1" x14ac:dyDescent="0.2">
      <c r="A286" s="91"/>
      <c r="B286" s="3" t="s">
        <v>890</v>
      </c>
      <c r="C286" s="10" t="s">
        <v>199</v>
      </c>
      <c r="D286" s="28">
        <f>Inputs!$D$24+(Inputs!$D$80-Inputs!$D$24)*Inputs!$D$83</f>
        <v>305.5</v>
      </c>
      <c r="E286" s="28">
        <f>Inputs!$D$24+(Inputs!$D$80-Inputs!$D$24)*Inputs!$D$84</f>
        <v>651.5</v>
      </c>
      <c r="F286" s="28">
        <f>Inputs!$D$24+(Inputs!$D$80-Inputs!$D$24)*Inputs!$D$85</f>
        <v>911</v>
      </c>
      <c r="G286" s="28">
        <f>Inputs!$D$24+(Inputs!$D$80-Inputs!$D$24)*Inputs!$D$86</f>
        <v>911</v>
      </c>
      <c r="H286" s="28">
        <f>Inputs!$D$24+(Inputs!$D$80-Inputs!$D$24)*Inputs!$D$87</f>
        <v>911</v>
      </c>
      <c r="I286" s="28">
        <f>Inputs!$D$24+(Inputs!$D$80-Inputs!$D$24)*Inputs!$D$88</f>
        <v>911</v>
      </c>
      <c r="J286" s="28">
        <f>Inputs!$D$24+(Inputs!$D$80-Inputs!$D$24)*Inputs!$D$89</f>
        <v>911</v>
      </c>
      <c r="K286" s="28">
        <f>Inputs!$D$24+(Inputs!$D$80-Inputs!$D$24)*Inputs!$D$90</f>
        <v>911</v>
      </c>
      <c r="L286" s="28">
        <f>Inputs!$D$24+(Inputs!$D$80-Inputs!$D$24)*Inputs!$D$91</f>
        <v>911</v>
      </c>
      <c r="M286" s="28">
        <f>Inputs!$D$24+(Inputs!$D$80-Inputs!$D$24)*Inputs!$D$92</f>
        <v>911</v>
      </c>
    </row>
    <row r="287" spans="1:13" ht="15" customHeight="1" x14ac:dyDescent="0.2">
      <c r="A287" s="91"/>
      <c r="B287" s="10" t="s">
        <v>891</v>
      </c>
      <c r="C287" s="10" t="s">
        <v>199</v>
      </c>
      <c r="D287" s="28">
        <f>Inputs!$D$24</f>
        <v>46</v>
      </c>
      <c r="E287" s="28">
        <f t="shared" ref="E287:M287" si="60">D286</f>
        <v>305.5</v>
      </c>
      <c r="F287" s="28">
        <f t="shared" si="60"/>
        <v>651.5</v>
      </c>
      <c r="G287" s="28">
        <f t="shared" si="60"/>
        <v>911</v>
      </c>
      <c r="H287" s="28">
        <f t="shared" si="60"/>
        <v>911</v>
      </c>
      <c r="I287" s="28">
        <f t="shared" si="60"/>
        <v>911</v>
      </c>
      <c r="J287" s="28">
        <f t="shared" si="60"/>
        <v>911</v>
      </c>
      <c r="K287" s="28">
        <f t="shared" si="60"/>
        <v>911</v>
      </c>
      <c r="L287" s="28">
        <f t="shared" si="60"/>
        <v>911</v>
      </c>
      <c r="M287" s="28">
        <f t="shared" si="60"/>
        <v>911</v>
      </c>
    </row>
    <row r="288" spans="1:13" ht="15" customHeight="1" x14ac:dyDescent="0.2">
      <c r="B288" s="10" t="s">
        <v>892</v>
      </c>
      <c r="C288" s="10" t="s">
        <v>199</v>
      </c>
      <c r="D288" s="28">
        <f>(D287+D286)*Inputs!$D$12</f>
        <v>175.75</v>
      </c>
      <c r="E288" s="28">
        <f>(E287+E286)*Inputs!$D$12</f>
        <v>478.5</v>
      </c>
      <c r="F288" s="28">
        <f>(F287+F286)*Inputs!$D$12</f>
        <v>781.25</v>
      </c>
      <c r="G288" s="28">
        <f>(G287+G286)*Inputs!$D$12</f>
        <v>911</v>
      </c>
      <c r="H288" s="28">
        <f>(H287+H286)*Inputs!$D$12</f>
        <v>911</v>
      </c>
      <c r="I288" s="28">
        <f>(I287+I286)*Inputs!$D$12</f>
        <v>911</v>
      </c>
      <c r="J288" s="28">
        <f>(J287+J286)*Inputs!$D$12</f>
        <v>911</v>
      </c>
      <c r="K288" s="28">
        <f>(K287+K286)*Inputs!$D$12</f>
        <v>911</v>
      </c>
      <c r="L288" s="28">
        <f>(L287+L286)*Inputs!$D$12</f>
        <v>911</v>
      </c>
      <c r="M288" s="28">
        <f>(M287+M286)*Inputs!$D$12</f>
        <v>911</v>
      </c>
    </row>
    <row r="289" spans="2:13" ht="15" customHeight="1" x14ac:dyDescent="0.2">
      <c r="B289" s="10" t="s">
        <v>893</v>
      </c>
      <c r="C289" s="10" t="s">
        <v>199</v>
      </c>
      <c r="D289" s="28">
        <f t="shared" ref="D289:M289" si="61">D286-D287</f>
        <v>259.5</v>
      </c>
      <c r="E289" s="28">
        <f t="shared" si="61"/>
        <v>346</v>
      </c>
      <c r="F289" s="28">
        <f t="shared" si="61"/>
        <v>259.5</v>
      </c>
      <c r="G289" s="28">
        <f t="shared" si="61"/>
        <v>0</v>
      </c>
      <c r="H289" s="28">
        <f t="shared" si="61"/>
        <v>0</v>
      </c>
      <c r="I289" s="28">
        <f t="shared" si="61"/>
        <v>0</v>
      </c>
      <c r="J289" s="28">
        <f t="shared" si="61"/>
        <v>0</v>
      </c>
      <c r="K289" s="28">
        <f t="shared" si="61"/>
        <v>0</v>
      </c>
      <c r="L289" s="28">
        <f t="shared" si="61"/>
        <v>0</v>
      </c>
      <c r="M289" s="28">
        <f t="shared" si="61"/>
        <v>0</v>
      </c>
    </row>
    <row r="290" spans="2:13" ht="15" customHeight="1" x14ac:dyDescent="0.2">
      <c r="B290" s="10" t="s">
        <v>894</v>
      </c>
      <c r="C290" s="10" t="s">
        <v>199</v>
      </c>
      <c r="D290" s="28">
        <f>IF(MOD(D282,Inputs!$D$21)=Inputs!$D$6,Inputs!$D$24,Inputs!$D$6)+SUMPRODUCT(--(D282&gt;$D$282:$M$282),--(MOD(D282-$D$282:$M$282,Inputs!$D$21)=Inputs!$D$6),$D$289:$M$289)</f>
        <v>0</v>
      </c>
      <c r="E290" s="28">
        <f>IF(MOD(E282,Inputs!$D$21)=Inputs!$D$6,Inputs!$D$24,Inputs!$D$6)+SUMPRODUCT(--(E282&gt;$D$282:$M$282),--(MOD(E282-$D$282:$M$282,Inputs!$D$21)=Inputs!$D$6),$D$289:$M$289)</f>
        <v>0</v>
      </c>
      <c r="F290" s="28">
        <f>IF(MOD(F282,Inputs!$D$21)=Inputs!$D$6,Inputs!$D$24,Inputs!$D$6)+SUMPRODUCT(--(F282&gt;$D$282:$M$282),--(MOD(F282-$D$282:$M$282,Inputs!$D$21)=Inputs!$D$6),$D$289:$M$289)</f>
        <v>0</v>
      </c>
      <c r="G290" s="28">
        <f>IF(MOD(G282,Inputs!$D$21)=Inputs!$D$6,Inputs!$D$24,Inputs!$D$6)+SUMPRODUCT(--(G282&gt;$D$282:$M$282),--(MOD(G282-$D$282:$M$282,Inputs!$D$21)=Inputs!$D$6),$D$289:$M$289)</f>
        <v>46</v>
      </c>
      <c r="H290" s="28">
        <f>IF(MOD(H282,Inputs!$D$21)=Inputs!$D$6,Inputs!$D$24,Inputs!$D$6)+SUMPRODUCT(--(H282&gt;$D$282:$M$282),--(MOD(H282-$D$282:$M$282,Inputs!$D$21)=Inputs!$D$6),$D$289:$M$289)</f>
        <v>259.5</v>
      </c>
      <c r="I290" s="28">
        <f>IF(MOD(I282,Inputs!$D$21)=Inputs!$D$6,Inputs!$D$24,Inputs!$D$6)+SUMPRODUCT(--(I282&gt;$D$282:$M$282),--(MOD(I282-$D$282:$M$282,Inputs!$D$21)=Inputs!$D$6),$D$289:$M$289)</f>
        <v>346</v>
      </c>
      <c r="J290" s="28">
        <f>IF(MOD(J282,Inputs!$D$21)=Inputs!$D$6,Inputs!$D$24,Inputs!$D$6)+SUMPRODUCT(--(J282&gt;$D$282:$M$282),--(MOD(J282-$D$282:$M$282,Inputs!$D$21)=Inputs!$D$6),$D$289:$M$289)</f>
        <v>259.5</v>
      </c>
      <c r="K290" s="28">
        <f>IF(MOD(K282,Inputs!$D$21)=Inputs!$D$6,Inputs!$D$24,Inputs!$D$6)+SUMPRODUCT(--(K282&gt;$D$282:$M$282),--(MOD(K282-$D$282:$M$282,Inputs!$D$21)=Inputs!$D$6),$D$289:$M$289)</f>
        <v>46</v>
      </c>
      <c r="L290" s="28">
        <f>IF(MOD(L282,Inputs!$D$21)=Inputs!$D$6,Inputs!$D$24,Inputs!$D$6)+SUMPRODUCT(--(L282&gt;$D$282:$M$282),--(MOD(L282-$D$282:$M$282,Inputs!$D$21)=Inputs!$D$6),$D$289:$M$289)</f>
        <v>259.5</v>
      </c>
      <c r="M290" s="28">
        <f>IF(MOD(M282,Inputs!$D$21)=Inputs!$D$6,Inputs!$D$24,Inputs!$D$6)+SUMPRODUCT(--(M282&gt;$D$282:$M$282),--(MOD(M282-$D$282:$M$282,Inputs!$D$21)=Inputs!$D$6),$D$289:$M$289)</f>
        <v>346</v>
      </c>
    </row>
    <row r="291" spans="2:13" ht="15" customHeight="1" x14ac:dyDescent="0.2">
      <c r="B291" s="10" t="s">
        <v>895</v>
      </c>
      <c r="C291" s="10" t="s">
        <v>896</v>
      </c>
      <c r="D291" s="28">
        <f t="shared" ref="D291:M291" si="62">D288*D285</f>
        <v>125.58726899383984</v>
      </c>
      <c r="E291" s="28">
        <f t="shared" si="62"/>
        <v>478.5</v>
      </c>
      <c r="F291" s="28">
        <f t="shared" si="62"/>
        <v>781.25</v>
      </c>
      <c r="G291" s="28">
        <f t="shared" si="62"/>
        <v>911</v>
      </c>
      <c r="H291" s="28">
        <f t="shared" si="62"/>
        <v>911</v>
      </c>
      <c r="I291" s="28">
        <f t="shared" si="62"/>
        <v>911</v>
      </c>
      <c r="J291" s="28">
        <f t="shared" si="62"/>
        <v>911</v>
      </c>
      <c r="K291" s="28">
        <f t="shared" si="62"/>
        <v>911</v>
      </c>
      <c r="L291" s="28">
        <f t="shared" si="62"/>
        <v>911</v>
      </c>
      <c r="M291" s="28">
        <f t="shared" si="62"/>
        <v>911</v>
      </c>
    </row>
    <row r="292" spans="2:13" ht="15" customHeight="1" x14ac:dyDescent="0.2">
      <c r="B292" s="10" t="s">
        <v>897</v>
      </c>
      <c r="C292" s="10" t="s">
        <v>110</v>
      </c>
      <c r="D292" s="16">
        <f>D291*($D$311/Inputs!$D$21+$D$312/Inputs!$D$22)</f>
        <v>1816.9772859324419</v>
      </c>
      <c r="E292" s="16">
        <f>E291*($D$311/Inputs!$D$21+$D$312/Inputs!$D$22)</f>
        <v>6922.8643817497086</v>
      </c>
      <c r="F292" s="16">
        <f>F291*($D$311/Inputs!$D$21+$D$312/Inputs!$D$22)</f>
        <v>11303.0048030135</v>
      </c>
      <c r="G292" s="16">
        <f>G291*($D$311/Inputs!$D$21+$D$312/Inputs!$D$22)</f>
        <v>13180.207840697982</v>
      </c>
      <c r="H292" s="16">
        <f>H291*($D$311/Inputs!$D$21+$D$312/Inputs!$D$22)</f>
        <v>13180.207840697982</v>
      </c>
      <c r="I292" s="16">
        <f>I291*($D$311/Inputs!$D$21+$D$312/Inputs!$D$22)</f>
        <v>13180.207840697982</v>
      </c>
      <c r="J292" s="16">
        <f>J291*($D$311/Inputs!$D$21+$D$312/Inputs!$D$22)</f>
        <v>13180.207840697982</v>
      </c>
      <c r="K292" s="16">
        <f>K291*($D$311/Inputs!$D$21+$D$312/Inputs!$D$22)</f>
        <v>13180.207840697982</v>
      </c>
      <c r="L292" s="16">
        <f>L291*($D$311/Inputs!$D$21+$D$312/Inputs!$D$22)</f>
        <v>13180.207840697982</v>
      </c>
      <c r="M292" s="16">
        <f>M291*($D$311/Inputs!$D$21+$D$312/Inputs!$D$22)</f>
        <v>13180.207840697982</v>
      </c>
    </row>
    <row r="293" spans="2:13" ht="15" customHeight="1" x14ac:dyDescent="0.2">
      <c r="B293" s="10" t="s">
        <v>898</v>
      </c>
      <c r="C293" s="10" t="s">
        <v>110</v>
      </c>
      <c r="D293" s="16">
        <f t="shared" ref="D293:M293" si="63">D289*($D$311+$D$312)</f>
        <v>15560.968620146154</v>
      </c>
      <c r="E293" s="16">
        <f t="shared" si="63"/>
        <v>20747.95816019487</v>
      </c>
      <c r="F293" s="16">
        <f t="shared" si="63"/>
        <v>15560.968620146154</v>
      </c>
      <c r="G293" s="16">
        <f t="shared" si="63"/>
        <v>0</v>
      </c>
      <c r="H293" s="16">
        <f t="shared" si="63"/>
        <v>0</v>
      </c>
      <c r="I293" s="16">
        <f t="shared" si="63"/>
        <v>0</v>
      </c>
      <c r="J293" s="16">
        <f t="shared" si="63"/>
        <v>0</v>
      </c>
      <c r="K293" s="16">
        <f t="shared" si="63"/>
        <v>0</v>
      </c>
      <c r="L293" s="16">
        <f t="shared" si="63"/>
        <v>0</v>
      </c>
      <c r="M293" s="16">
        <f t="shared" si="63"/>
        <v>0</v>
      </c>
    </row>
    <row r="294" spans="2:13" ht="15" customHeight="1" x14ac:dyDescent="0.2">
      <c r="B294" s="10" t="s">
        <v>899</v>
      </c>
      <c r="C294" s="10" t="s">
        <v>110</v>
      </c>
      <c r="D294" s="16">
        <f t="shared" ref="D294:M294" si="64">D290*$D$311</f>
        <v>0</v>
      </c>
      <c r="E294" s="16">
        <f t="shared" si="64"/>
        <v>0</v>
      </c>
      <c r="F294" s="16">
        <f t="shared" si="64"/>
        <v>0</v>
      </c>
      <c r="G294" s="16">
        <f t="shared" si="64"/>
        <v>2638.0048485671714</v>
      </c>
      <c r="H294" s="16">
        <f t="shared" si="64"/>
        <v>14881.788221808281</v>
      </c>
      <c r="I294" s="16">
        <f t="shared" si="64"/>
        <v>19842.384295744378</v>
      </c>
      <c r="J294" s="16">
        <f t="shared" si="64"/>
        <v>14881.788221808281</v>
      </c>
      <c r="K294" s="16">
        <f t="shared" si="64"/>
        <v>2638.0048485671714</v>
      </c>
      <c r="L294" s="16">
        <f t="shared" si="64"/>
        <v>14881.788221808281</v>
      </c>
      <c r="M294" s="16">
        <f t="shared" si="64"/>
        <v>19842.384295744378</v>
      </c>
    </row>
    <row r="295" spans="2:13" ht="15" customHeight="1" x14ac:dyDescent="0.2">
      <c r="B295" s="10" t="s">
        <v>900</v>
      </c>
      <c r="C295" s="10" t="s">
        <v>199</v>
      </c>
      <c r="D295" s="28">
        <f>D289*Inputs!$D$23</f>
        <v>6.4875000000000007</v>
      </c>
      <c r="E295" s="28">
        <f>E289*Inputs!$D$23</f>
        <v>8.65</v>
      </c>
      <c r="F295" s="28">
        <f>F289*Inputs!$D$23</f>
        <v>6.4875000000000007</v>
      </c>
      <c r="G295" s="28">
        <f>G289*Inputs!$D$23</f>
        <v>0</v>
      </c>
      <c r="H295" s="28">
        <f>H289*Inputs!$D$23</f>
        <v>0</v>
      </c>
      <c r="I295" s="28">
        <f>I289*Inputs!$D$23</f>
        <v>0</v>
      </c>
      <c r="J295" s="28">
        <f>J289*Inputs!$D$23</f>
        <v>0</v>
      </c>
      <c r="K295" s="28">
        <f>K289*Inputs!$D$23</f>
        <v>0</v>
      </c>
      <c r="L295" s="28">
        <f>L289*Inputs!$D$23</f>
        <v>0</v>
      </c>
      <c r="M295" s="28">
        <f>M289*Inputs!$D$23</f>
        <v>0</v>
      </c>
    </row>
    <row r="296" spans="2:13" ht="15" customHeight="1" x14ac:dyDescent="0.2">
      <c r="B296" s="3" t="s">
        <v>901</v>
      </c>
      <c r="C296" s="10" t="s">
        <v>896</v>
      </c>
      <c r="D296" s="28">
        <f>(D291*$D$309*(Inputs!$D$7-Inputs!$D$19)-D295)/(Inputs!$D$7+$D$310)^D284</f>
        <v>41.849929069079735</v>
      </c>
      <c r="E296" s="28">
        <f>(E291*$D$309*(Inputs!$D$7-Inputs!$D$19)-E295)/(Inputs!$D$7+$D$310)^E284</f>
        <v>155.56244401500442</v>
      </c>
      <c r="F296" s="28">
        <f>(F291*$D$309*(Inputs!$D$7-Inputs!$D$19)-F295)/(Inputs!$D$7+$D$310)^F284</f>
        <v>232.40493879158302</v>
      </c>
      <c r="G296" s="28">
        <f>(G291*$D$309*(Inputs!$D$7-Inputs!$D$19)-G295)/(Inputs!$D$7+$D$310)^G284</f>
        <v>246.95083819233108</v>
      </c>
      <c r="H296" s="28">
        <f>(H291*$D$309*(Inputs!$D$7-Inputs!$D$19)-H295)/(Inputs!$D$7+$D$310)^H284</f>
        <v>220.50892386470983</v>
      </c>
      <c r="I296" s="28">
        <f>(I291*$D$309*(Inputs!$D$7-Inputs!$D$19)-I295)/(Inputs!$D$7+$D$310)^I284</f>
        <v>196.83715686992173</v>
      </c>
      <c r="J296" s="28">
        <f>(J291*$D$309*(Inputs!$D$7-Inputs!$D$19)-J295)/(Inputs!$D$7+$D$310)^J284</f>
        <v>175.76109461985791</v>
      </c>
      <c r="K296" s="28">
        <f>(K291*$D$309*(Inputs!$D$7-Inputs!$D$19)-K295)/(Inputs!$D$7+$D$310)^K284</f>
        <v>156.94172214845261</v>
      </c>
      <c r="L296" s="28">
        <f>(L291*$D$309*(Inputs!$D$7-Inputs!$D$19)-L295)/(Inputs!$D$7+$D$310)^L284</f>
        <v>140.13740756561756</v>
      </c>
      <c r="M296" s="28">
        <f>(M291*$D$309*(Inputs!$D$7-Inputs!$D$19)-M295)/(Inputs!$D$7+$D$310)^M284</f>
        <v>125.09357169264298</v>
      </c>
    </row>
    <row r="297" spans="2:13" ht="15" customHeight="1" x14ac:dyDescent="0.2">
      <c r="B297" s="10" t="s">
        <v>902</v>
      </c>
      <c r="C297" s="10" t="s">
        <v>110</v>
      </c>
      <c r="D297" s="16">
        <f>(D292*Inputs!$D$19-D293-D294)/(Inputs!$D$7+$D$310)^D284</f>
        <v>-13847.790632947557</v>
      </c>
      <c r="E297" s="16">
        <f>(E292*Inputs!$D$19-E293-E294)/(Inputs!$D$7+$D$310)^E284</f>
        <v>-15370.239105459035</v>
      </c>
      <c r="F297" s="16">
        <f>(F292*Inputs!$D$19-F293-F294)/(Inputs!$D$7+$D$310)^F284</f>
        <v>-8945.8041564234754</v>
      </c>
      <c r="G297" s="16">
        <f>(G292*Inputs!$D$19-G293-G294)/(Inputs!$D$7+$D$310)^G284</f>
        <v>863.80744262020482</v>
      </c>
      <c r="H297" s="16">
        <f>(H292*Inputs!$D$19-H293-H294)/(Inputs!$D$7+$D$310)^H284</f>
        <v>-6404.5339628745278</v>
      </c>
      <c r="I297" s="16">
        <f>(I292*Inputs!$D$19-I293-I294)/(Inputs!$D$7+$D$310)^I284</f>
        <v>-8312.2134333380691</v>
      </c>
      <c r="J297" s="16">
        <f>(J292*Inputs!$D$19-J293-J294)/(Inputs!$D$7+$D$310)^J284</f>
        <v>-5104.8632414329013</v>
      </c>
      <c r="K297" s="16">
        <f>(K292*Inputs!$D$19-K293-K294)/(Inputs!$D$7+$D$310)^K284</f>
        <v>548.96524604578394</v>
      </c>
      <c r="L297" s="16">
        <f>(L292*Inputs!$D$19-L293-L294)/(Inputs!$D$7+$D$310)^L284</f>
        <v>-4070.1971171644977</v>
      </c>
      <c r="M297" s="16">
        <f>(M292*Inputs!$D$19-M293-M294)/(Inputs!$D$7+$D$310)^M284</f>
        <v>-5282.5619084458349</v>
      </c>
    </row>
    <row r="298" spans="2:13" ht="15" customHeight="1" x14ac:dyDescent="0.2">
      <c r="B298" s="10" t="s">
        <v>903</v>
      </c>
      <c r="C298" s="10" t="s">
        <v>110</v>
      </c>
      <c r="D298" s="16">
        <f t="shared" ref="D298:M298" si="65">D291*$D$308</f>
        <v>6094.0474148389958</v>
      </c>
      <c r="E298" s="16">
        <f t="shared" si="65"/>
        <v>23218.927454688834</v>
      </c>
      <c r="F298" s="16">
        <f t="shared" si="65"/>
        <v>37909.690854703556</v>
      </c>
      <c r="G298" s="16">
        <f t="shared" si="65"/>
        <v>44205.73231185272</v>
      </c>
      <c r="H298" s="16">
        <f t="shared" si="65"/>
        <v>44205.73231185272</v>
      </c>
      <c r="I298" s="16">
        <f t="shared" si="65"/>
        <v>44205.73231185272</v>
      </c>
      <c r="J298" s="16">
        <f t="shared" si="65"/>
        <v>44205.73231185272</v>
      </c>
      <c r="K298" s="16">
        <f t="shared" si="65"/>
        <v>44205.73231185272</v>
      </c>
      <c r="L298" s="16">
        <f t="shared" si="65"/>
        <v>44205.73231185272</v>
      </c>
      <c r="M298" s="16">
        <f t="shared" si="65"/>
        <v>44205.73231185272</v>
      </c>
    </row>
    <row r="299" spans="2:13" ht="15" customHeight="1" x14ac:dyDescent="0.2">
      <c r="B299" s="10" t="s">
        <v>904</v>
      </c>
      <c r="C299" s="10" t="s">
        <v>110</v>
      </c>
      <c r="D299" s="16">
        <f t="shared" ref="D299:M299" si="66">D298*$D$309</f>
        <v>3595.4879747550071</v>
      </c>
      <c r="E299" s="16">
        <f t="shared" si="66"/>
        <v>13699.167198266412</v>
      </c>
      <c r="F299" s="16">
        <f t="shared" si="66"/>
        <v>22366.717604275098</v>
      </c>
      <c r="G299" s="16">
        <f t="shared" si="66"/>
        <v>26081.382063993104</v>
      </c>
      <c r="H299" s="16">
        <f t="shared" si="66"/>
        <v>26081.382063993104</v>
      </c>
      <c r="I299" s="16">
        <f t="shared" si="66"/>
        <v>26081.382063993104</v>
      </c>
      <c r="J299" s="16">
        <f t="shared" si="66"/>
        <v>26081.382063993104</v>
      </c>
      <c r="K299" s="16">
        <f t="shared" si="66"/>
        <v>26081.382063993104</v>
      </c>
      <c r="L299" s="16">
        <f t="shared" si="66"/>
        <v>26081.382063993104</v>
      </c>
      <c r="M299" s="16">
        <f t="shared" si="66"/>
        <v>26081.382063993104</v>
      </c>
    </row>
    <row r="300" spans="2:13" ht="15" customHeight="1" x14ac:dyDescent="0.2">
      <c r="B300" s="10" t="s">
        <v>905</v>
      </c>
      <c r="C300" s="10" t="s">
        <v>110</v>
      </c>
      <c r="D300" s="16">
        <f t="shared" ref="D300:M300" si="67">D299-D292</f>
        <v>1778.5106888225653</v>
      </c>
      <c r="E300" s="16">
        <f t="shared" si="67"/>
        <v>6776.3028165167034</v>
      </c>
      <c r="F300" s="16">
        <f t="shared" si="67"/>
        <v>11063.712801261598</v>
      </c>
      <c r="G300" s="16">
        <f t="shared" si="67"/>
        <v>12901.174223295122</v>
      </c>
      <c r="H300" s="16">
        <f t="shared" si="67"/>
        <v>12901.174223295122</v>
      </c>
      <c r="I300" s="16">
        <f t="shared" si="67"/>
        <v>12901.174223295122</v>
      </c>
      <c r="J300" s="16">
        <f t="shared" si="67"/>
        <v>12901.174223295122</v>
      </c>
      <c r="K300" s="16">
        <f t="shared" si="67"/>
        <v>12901.174223295122</v>
      </c>
      <c r="L300" s="16">
        <f t="shared" si="67"/>
        <v>12901.174223295122</v>
      </c>
      <c r="M300" s="16">
        <f t="shared" si="67"/>
        <v>12901.174223295122</v>
      </c>
    </row>
    <row r="301" spans="2:13" ht="15" customHeight="1" x14ac:dyDescent="0.2">
      <c r="B301" s="10" t="s">
        <v>906</v>
      </c>
      <c r="C301" s="10" t="s">
        <v>110</v>
      </c>
      <c r="D301" s="16">
        <f>MAX(D300,Inputs!$D$6)*Inputs!$D$19</f>
        <v>533.55320664676958</v>
      </c>
      <c r="E301" s="16">
        <f>MAX(E300,Inputs!$D$6)*Inputs!$D$19</f>
        <v>2032.8908449550108</v>
      </c>
      <c r="F301" s="16">
        <f>MAX(F300,Inputs!$D$6)*Inputs!$D$19</f>
        <v>3319.1138403784794</v>
      </c>
      <c r="G301" s="16">
        <f>MAX(G300,Inputs!$D$6)*Inputs!$D$19</f>
        <v>3870.3522669885365</v>
      </c>
      <c r="H301" s="16">
        <f>MAX(H300,Inputs!$D$6)*Inputs!$D$19</f>
        <v>3870.3522669885365</v>
      </c>
      <c r="I301" s="16">
        <f>MAX(I300,Inputs!$D$6)*Inputs!$D$19</f>
        <v>3870.3522669885365</v>
      </c>
      <c r="J301" s="16">
        <f>MAX(J300,Inputs!$D$6)*Inputs!$D$19</f>
        <v>3870.3522669885365</v>
      </c>
      <c r="K301" s="16">
        <f>MAX(K300,Inputs!$D$6)*Inputs!$D$19</f>
        <v>3870.3522669885365</v>
      </c>
      <c r="L301" s="16">
        <f>MAX(L300,Inputs!$D$6)*Inputs!$D$19</f>
        <v>3870.3522669885365</v>
      </c>
      <c r="M301" s="16">
        <f>MAX(M300,Inputs!$D$6)*Inputs!$D$19</f>
        <v>3870.3522669885365</v>
      </c>
    </row>
    <row r="302" spans="2:13" ht="15" customHeight="1" x14ac:dyDescent="0.2">
      <c r="B302" s="10" t="s">
        <v>907</v>
      </c>
      <c r="C302" s="10" t="s">
        <v>110</v>
      </c>
      <c r="D302" s="16">
        <f t="shared" ref="D302:M302" si="68">D295*$D$308</f>
        <v>314.80207285745837</v>
      </c>
      <c r="E302" s="16">
        <f t="shared" si="68"/>
        <v>419.73609714327779</v>
      </c>
      <c r="F302" s="16">
        <f t="shared" si="68"/>
        <v>314.80207285745837</v>
      </c>
      <c r="G302" s="16">
        <f t="shared" si="68"/>
        <v>0</v>
      </c>
      <c r="H302" s="16">
        <f t="shared" si="68"/>
        <v>0</v>
      </c>
      <c r="I302" s="16">
        <f t="shared" si="68"/>
        <v>0</v>
      </c>
      <c r="J302" s="16">
        <f t="shared" si="68"/>
        <v>0</v>
      </c>
      <c r="K302" s="16">
        <f t="shared" si="68"/>
        <v>0</v>
      </c>
      <c r="L302" s="16">
        <f t="shared" si="68"/>
        <v>0</v>
      </c>
      <c r="M302" s="16">
        <f t="shared" si="68"/>
        <v>0</v>
      </c>
    </row>
    <row r="303" spans="2:13" ht="15" customHeight="1" x14ac:dyDescent="0.2">
      <c r="B303" s="10" t="s">
        <v>908</v>
      </c>
      <c r="C303" s="10" t="s">
        <v>110</v>
      </c>
      <c r="D303" s="16">
        <f t="shared" ref="D303:M303" si="69">D299-D301-D293-D294-D302</f>
        <v>-12813.835924895375</v>
      </c>
      <c r="E303" s="16">
        <f t="shared" si="69"/>
        <v>-9501.4179040267463</v>
      </c>
      <c r="F303" s="16">
        <f t="shared" si="69"/>
        <v>3171.8330708930071</v>
      </c>
      <c r="G303" s="16">
        <f t="shared" si="69"/>
        <v>19573.024948437396</v>
      </c>
      <c r="H303" s="16">
        <f t="shared" si="69"/>
        <v>7329.2415751962872</v>
      </c>
      <c r="I303" s="16">
        <f t="shared" si="69"/>
        <v>2368.6455012601909</v>
      </c>
      <c r="J303" s="16">
        <f t="shared" si="69"/>
        <v>7329.2415751962872</v>
      </c>
      <c r="K303" s="16">
        <f t="shared" si="69"/>
        <v>19573.024948437396</v>
      </c>
      <c r="L303" s="16">
        <f t="shared" si="69"/>
        <v>7329.2415751962872</v>
      </c>
      <c r="M303" s="16">
        <f t="shared" si="69"/>
        <v>2368.6455012601909</v>
      </c>
    </row>
    <row r="304" spans="2:13" ht="15" customHeight="1" x14ac:dyDescent="0.2">
      <c r="B304" s="10" t="s">
        <v>909</v>
      </c>
      <c r="C304" s="10" t="s">
        <v>110</v>
      </c>
      <c r="D304" s="16">
        <f>D303/(Inputs!$D$7+$D$310)^D284</f>
        <v>-11817.047755123451</v>
      </c>
      <c r="E304" s="16">
        <f>E303/(Inputs!$D$7+$D$310)^E284</f>
        <v>-7821.6641791090224</v>
      </c>
      <c r="F304" s="16">
        <f>F303/(Inputs!$D$7+$D$310)^F284</f>
        <v>2331.5070534264</v>
      </c>
      <c r="G304" s="16">
        <f>G303/(Inputs!$D$7+$D$310)^G284</f>
        <v>12846.949755812129</v>
      </c>
      <c r="H304" s="16">
        <f>H303/(Inputs!$D$7+$D$310)^H284</f>
        <v>4295.5302091760486</v>
      </c>
      <c r="I304" s="16">
        <f>I303/(Inputs!$D$7+$D$310)^I284</f>
        <v>1239.1923467035576</v>
      </c>
      <c r="J304" s="16">
        <f>J303/(Inputs!$D$7+$D$310)^J284</f>
        <v>3423.8391730606845</v>
      </c>
      <c r="K304" s="16">
        <f>K303/(Inputs!$D$7+$D$310)^K284</f>
        <v>8164.4688221771376</v>
      </c>
      <c r="L304" s="16">
        <f>L303/(Inputs!$D$7+$D$310)^L284</f>
        <v>2729.8871042654641</v>
      </c>
      <c r="M304" s="16">
        <f>M303/(Inputs!$D$7+$D$310)^M284</f>
        <v>787.52913895101824</v>
      </c>
    </row>
    <row r="305" spans="2:13" ht="15" customHeight="1" x14ac:dyDescent="0.2">
      <c r="B305" s="3" t="s">
        <v>910</v>
      </c>
      <c r="C305" s="10" t="s">
        <v>896</v>
      </c>
      <c r="D305" s="28">
        <f>(D291*$D$309-D295)/(Inputs!$D$7+$D$310)^D284</f>
        <v>62.349686144061238</v>
      </c>
      <c r="E305" s="28">
        <f>(E291*$D$309-E295)/(Inputs!$D$7+$D$310)^E284</f>
        <v>225.28382070940276</v>
      </c>
      <c r="F305" s="28">
        <f>(F291*$D$309-F295)/(Inputs!$D$7+$D$310)^F284</f>
        <v>334.05080177542817</v>
      </c>
      <c r="G305" s="28">
        <f>(G291*$D$309-G295)/(Inputs!$D$7+$D$310)^G284</f>
        <v>352.78691170333013</v>
      </c>
      <c r="H305" s="28">
        <f>(H291*$D$309-H295)/(Inputs!$D$7+$D$310)^H284</f>
        <v>315.01274837815691</v>
      </c>
      <c r="I305" s="28">
        <f>(I291*$D$309-I295)/(Inputs!$D$7+$D$310)^I284</f>
        <v>281.19593838560246</v>
      </c>
      <c r="J305" s="28">
        <f>(J291*$D$309-J295)/(Inputs!$D$7+$D$310)^J284</f>
        <v>251.08727802836847</v>
      </c>
      <c r="K305" s="28">
        <f>(K291*$D$309-K295)/(Inputs!$D$7+$D$310)^K284</f>
        <v>224.20246021207515</v>
      </c>
      <c r="L305" s="28">
        <f>(L291*$D$309-L295)/(Inputs!$D$7+$D$310)^L284</f>
        <v>200.19629652231083</v>
      </c>
      <c r="M305" s="28">
        <f>(M291*$D$309-M295)/(Inputs!$D$7+$D$310)^M284</f>
        <v>178.70510241806141</v>
      </c>
    </row>
    <row r="306" spans="2:13" ht="15" customHeight="1" x14ac:dyDescent="0.2">
      <c r="B306" s="10" t="s">
        <v>911</v>
      </c>
      <c r="C306" s="10" t="s">
        <v>110</v>
      </c>
      <c r="D306" s="16">
        <f>(-D293-D294)/(Inputs!$D$7+$D$310)^D284</f>
        <v>-14350.481025200577</v>
      </c>
      <c r="E306" s="16">
        <f>(-E293-E294)/(Inputs!$D$7+$D$310)^E284</f>
        <v>-17079.930887207098</v>
      </c>
      <c r="F306" s="16">
        <f>(-F293-F294)/(Inputs!$D$7+$D$310)^F284</f>
        <v>-11438.340948315768</v>
      </c>
      <c r="G306" s="16">
        <f>(-G293-G294)/(Inputs!$D$7+$D$310)^G284</f>
        <v>-1731.4807411941122</v>
      </c>
      <c r="H306" s="16">
        <f>(-H293-H294)/(Inputs!$D$7+$D$310)^H284</f>
        <v>-8721.9353076959778</v>
      </c>
      <c r="I306" s="16">
        <f>(-I293-I294)/(Inputs!$D$7+$D$310)^I284</f>
        <v>-10380.8403353543</v>
      </c>
      <c r="J306" s="16">
        <f>(-J293-J294)/(Inputs!$D$7+$D$310)^J284</f>
        <v>-6951.9948218729187</v>
      </c>
      <c r="K306" s="16">
        <f>(-K293-K294)/(Inputs!$D$7+$D$310)^K284</f>
        <v>-1100.3873134386547</v>
      </c>
      <c r="L306" s="16">
        <f>(-L293-L294)/(Inputs!$D$7+$D$310)^L284</f>
        <v>-5542.947566718196</v>
      </c>
      <c r="M306" s="16">
        <f>(-M293-M294)/(Inputs!$D$7+$D$310)^M284</f>
        <v>-6597.2117021517279</v>
      </c>
    </row>
    <row r="307" spans="2:13" ht="15" customHeight="1" x14ac:dyDescent="0.2">
      <c r="B307" s="10" t="s">
        <v>912</v>
      </c>
      <c r="C307" s="10" t="s">
        <v>110</v>
      </c>
      <c r="D307" s="16">
        <f>Prices!I6</f>
        <v>43700</v>
      </c>
    </row>
    <row r="308" spans="2:13" ht="15" customHeight="1" x14ac:dyDescent="0.2">
      <c r="B308" s="3" t="s">
        <v>913</v>
      </c>
      <c r="C308" s="10" t="s">
        <v>914</v>
      </c>
      <c r="D308" s="28">
        <f>IF(J315&gt;=J311,J315,(D307-J314)/J313)</f>
        <v>48.524404294020549</v>
      </c>
      <c r="G308" s="99" t="s">
        <v>915</v>
      </c>
      <c r="H308" s="91"/>
      <c r="I308" s="91"/>
      <c r="J308" s="28">
        <f>D308*Inputs!$D$15</f>
        <v>33.865181756796936</v>
      </c>
      <c r="K308" s="99" t="s">
        <v>916</v>
      </c>
      <c r="L308" s="91"/>
      <c r="M308" s="91"/>
    </row>
    <row r="309" spans="2:13" ht="15" customHeight="1" x14ac:dyDescent="0.2">
      <c r="B309" s="10" t="s">
        <v>917</v>
      </c>
      <c r="C309" s="10" t="s">
        <v>104</v>
      </c>
      <c r="D309" s="30">
        <f>Inputs!$D$141</f>
        <v>0.59</v>
      </c>
      <c r="G309" s="99" t="s">
        <v>918</v>
      </c>
      <c r="H309" s="91"/>
      <c r="I309" s="91"/>
      <c r="J309" s="28">
        <f>IF(-D320/D319&gt;=J311,-D320/D319,-J314/J313)</f>
        <v>34.148217924188216</v>
      </c>
      <c r="K309" s="99" t="s">
        <v>919</v>
      </c>
      <c r="L309" s="91"/>
      <c r="M309" s="91"/>
    </row>
    <row r="310" spans="2:13" ht="15" customHeight="1" x14ac:dyDescent="0.2">
      <c r="B310" s="10" t="s">
        <v>920</v>
      </c>
      <c r="C310" s="10" t="s">
        <v>104</v>
      </c>
      <c r="D310" s="30">
        <f>Inputs!$D$148</f>
        <v>0.12</v>
      </c>
      <c r="G310" s="99" t="s">
        <v>918</v>
      </c>
      <c r="H310" s="91"/>
      <c r="I310" s="91"/>
      <c r="J310" s="28">
        <f>J309*Inputs!$D$15</f>
        <v>23.832041289290956</v>
      </c>
      <c r="K310" s="99" t="s">
        <v>916</v>
      </c>
      <c r="L310" s="91"/>
      <c r="M310" s="91"/>
    </row>
    <row r="311" spans="2:13" ht="15" customHeight="1" x14ac:dyDescent="0.2">
      <c r="B311" s="3" t="s">
        <v>921</v>
      </c>
      <c r="C311" s="10" t="s">
        <v>848</v>
      </c>
      <c r="D311" s="28">
        <f>Capital!$D$13</f>
        <v>57.347931490590682</v>
      </c>
      <c r="G311" s="99" t="s">
        <v>922</v>
      </c>
      <c r="H311" s="91"/>
      <c r="I311" s="91"/>
      <c r="J311" s="28">
        <f>($D$311/Inputs!$D$21+$D$312/Inputs!$D$22)/$D$309</f>
        <v>24.521773131961492</v>
      </c>
      <c r="K311" s="99" t="s">
        <v>919</v>
      </c>
      <c r="L311" s="91"/>
      <c r="M311" s="91"/>
    </row>
    <row r="312" spans="2:13" ht="15" customHeight="1" x14ac:dyDescent="0.2">
      <c r="B312" s="3" t="s">
        <v>923</v>
      </c>
      <c r="C312" s="10" t="s">
        <v>848</v>
      </c>
      <c r="D312" s="28">
        <f>Capital!$D$14</f>
        <v>2.6172655041921802</v>
      </c>
    </row>
    <row r="313" spans="2:13" ht="15" customHeight="1" x14ac:dyDescent="0.2">
      <c r="B313" s="10" t="s">
        <v>924</v>
      </c>
      <c r="C313" s="10" t="s">
        <v>896</v>
      </c>
      <c r="D313" s="28">
        <f>(M286*(Inputs!$D$7+Inputs!$D$20)*$D$309*(Inputs!$D$7-Inputs!$D$19)-M286*Inputs!$D$20*Inputs!$D$23)/($D$310-Inputs!$D$20)/(Inputs!$D$7+$D$310)^M284</f>
        <v>1347.7011024462897</v>
      </c>
      <c r="G313" s="92" t="s">
        <v>910</v>
      </c>
      <c r="H313" s="91"/>
      <c r="I313" s="91"/>
      <c r="J313" s="28">
        <f>SUM(D305:M305)+(M286*(Inputs!$D$7+Inputs!$D$20)*$D$309-M286*Inputs!$D$20*Inputs!$D$23)/($D$310-Inputs!$D$20)/(Inputs!$D$7+$D$310)^M284</f>
        <v>4351.0123466552332</v>
      </c>
      <c r="K313" s="99" t="s">
        <v>896</v>
      </c>
      <c r="L313" s="91"/>
      <c r="M313" s="91"/>
    </row>
    <row r="314" spans="2:13" ht="15" customHeight="1" x14ac:dyDescent="0.2">
      <c r="B314" s="10" t="s">
        <v>925</v>
      </c>
      <c r="C314" s="10" t="s">
        <v>110</v>
      </c>
      <c r="D314" s="16">
        <f>(D317*Inputs!$D$19-D317-D318)/($D$310-Inputs!$D$20)/(Inputs!$D$7+$D$310)^M284</f>
        <v>-37876.58483194092</v>
      </c>
      <c r="G314" s="92" t="s">
        <v>926</v>
      </c>
      <c r="H314" s="91"/>
      <c r="I314" s="91"/>
      <c r="J314" s="16">
        <f>SUM(D306:M306)-(D317+D318)/($D$310-Inputs!$D$20)/(Inputs!$D$7+$D$310)^M284</f>
        <v>-135956.51483423277</v>
      </c>
      <c r="K314" s="99" t="s">
        <v>110</v>
      </c>
      <c r="L314" s="91"/>
      <c r="M314" s="91"/>
    </row>
    <row r="315" spans="2:13" ht="15" customHeight="1" x14ac:dyDescent="0.2">
      <c r="B315" s="10" t="s">
        <v>927</v>
      </c>
      <c r="C315" s="10" t="s">
        <v>928</v>
      </c>
      <c r="D315" s="16">
        <f>(M286*(Inputs!$D$7+Inputs!$D$20)*$D$308*$D$309-D317)-MAX((M286*(Inputs!$D$7+Inputs!$D$20)*$D$308*$D$309-D317),Inputs!$D$6)*Inputs!$D$19-D318-M286*Inputs!$D$20*$D$308*Inputs!$D$23</f>
        <v>7863.2565609631602</v>
      </c>
      <c r="G315" s="99" t="s">
        <v>929</v>
      </c>
      <c r="H315" s="91"/>
      <c r="I315" s="91"/>
      <c r="J315" s="28">
        <f>(D307-D320)/D319</f>
        <v>48.524404294020549</v>
      </c>
      <c r="K315" s="99" t="s">
        <v>919</v>
      </c>
      <c r="L315" s="91"/>
      <c r="M315" s="91"/>
    </row>
    <row r="316" spans="2:13" ht="15" customHeight="1" x14ac:dyDescent="0.2">
      <c r="B316" s="10" t="s">
        <v>930</v>
      </c>
      <c r="C316" s="10" t="s">
        <v>110</v>
      </c>
      <c r="D316" s="16">
        <f>D315/($D$310-Inputs!$D$20)</f>
        <v>82771.121694349058</v>
      </c>
      <c r="G316" s="99" t="s">
        <v>931</v>
      </c>
      <c r="H316" s="91"/>
      <c r="I316" s="91"/>
      <c r="J316" s="16">
        <f>MIN(D300:M300,(M286*(Inputs!$D$7+Inputs!$D$20)*$D$308*$D$309-D317))</f>
        <v>1778.5106888225653</v>
      </c>
      <c r="K316" s="99" t="s">
        <v>110</v>
      </c>
      <c r="L316" s="91"/>
      <c r="M316" s="91"/>
    </row>
    <row r="317" spans="2:13" ht="15" customHeight="1" x14ac:dyDescent="0.2">
      <c r="B317" s="10" t="s">
        <v>932</v>
      </c>
      <c r="C317" s="10" t="s">
        <v>928</v>
      </c>
      <c r="D317" s="16">
        <f>M286*(Inputs!$D$7+Inputs!$D$20)*($D$311/Inputs!$D$21+$D$312/Inputs!$D$22)</f>
        <v>13509.71303671543</v>
      </c>
      <c r="G317" s="99" t="s">
        <v>933</v>
      </c>
      <c r="H317" s="91"/>
      <c r="I317" s="91"/>
      <c r="J317" s="31" t="str">
        <f>IF(J316&lt;Inputs!$D$6,"breached","satisfied")</f>
        <v>satisfied</v>
      </c>
      <c r="K317" s="99" t="s">
        <v>934</v>
      </c>
      <c r="L317" s="91"/>
      <c r="M317" s="91"/>
    </row>
    <row r="318" spans="2:13" ht="15" customHeight="1" x14ac:dyDescent="0.2">
      <c r="B318" s="10" t="s">
        <v>935</v>
      </c>
      <c r="C318" s="10" t="s">
        <v>928</v>
      </c>
      <c r="D318" s="16">
        <f>M286*Inputs!$D$20*($D$311+$D$312)</f>
        <v>1365.7073615561799</v>
      </c>
    </row>
    <row r="319" spans="2:13" ht="15" customHeight="1" x14ac:dyDescent="0.2">
      <c r="B319" s="10" t="s">
        <v>936</v>
      </c>
      <c r="C319" s="10" t="s">
        <v>896</v>
      </c>
      <c r="D319" s="28">
        <f>SUM(D296:M296)+D313</f>
        <v>3039.7491292754903</v>
      </c>
      <c r="G319" s="99" t="s">
        <v>937</v>
      </c>
      <c r="H319" s="91"/>
      <c r="I319" s="91"/>
      <c r="J319" s="16">
        <f>D321-D307</f>
        <v>0</v>
      </c>
      <c r="K319" s="99" t="s">
        <v>110</v>
      </c>
      <c r="L319" s="91"/>
      <c r="M319" s="91"/>
    </row>
    <row r="320" spans="2:13" ht="15" customHeight="1" x14ac:dyDescent="0.2">
      <c r="B320" s="10" t="s">
        <v>938</v>
      </c>
      <c r="C320" s="10" t="s">
        <v>110</v>
      </c>
      <c r="D320" s="16">
        <f>SUM(D297:M297)+D314</f>
        <v>-103802.01570136083</v>
      </c>
    </row>
    <row r="321" spans="1:13" ht="15" customHeight="1" x14ac:dyDescent="0.2">
      <c r="B321" s="10" t="s">
        <v>939</v>
      </c>
      <c r="C321" s="10" t="s">
        <v>110</v>
      </c>
      <c r="D321" s="16">
        <f>SUM(D304:M304)+D316/(Inputs!$D$7+$D$310)^M284</f>
        <v>43700.000000000029</v>
      </c>
    </row>
    <row r="322" spans="1:13" ht="15" customHeight="1" x14ac:dyDescent="0.2">
      <c r="B322" s="10" t="s">
        <v>940</v>
      </c>
      <c r="C322" s="10" t="s">
        <v>104</v>
      </c>
      <c r="D322" s="30">
        <f>IF(ABS(D307)&gt;Inputs!$D$6,D321/D307-Inputs!$D$7,Inputs!$D$6)</f>
        <v>6.6613381477509392E-16</v>
      </c>
    </row>
    <row r="323" spans="1:13" ht="15" customHeight="1" x14ac:dyDescent="0.2">
      <c r="B323" s="10" t="s">
        <v>941</v>
      </c>
      <c r="C323" s="10" t="s">
        <v>104</v>
      </c>
      <c r="D323" s="30">
        <f>IF(ABS(D321)&gt;Inputs!$D$119,D316/(Inputs!$D$7+$D$310)^M284/D321,Inputs!$D$6)</f>
        <v>0.6297438977267743</v>
      </c>
    </row>
    <row r="324" spans="1:13" ht="15" customHeight="1" x14ac:dyDescent="0.2">
      <c r="B324" s="10" t="s">
        <v>942</v>
      </c>
      <c r="C324" s="10" t="s">
        <v>943</v>
      </c>
      <c r="D324" s="26">
        <f>$D$308*Inputs!$D$8/Prices!$P$6/(Inputs!$D$26/Inputs!$D$25)/Inputs!$D$11/Inputs!$D$56</f>
        <v>8.8243103148294608</v>
      </c>
    </row>
    <row r="328" spans="1:13" ht="15" customHeight="1" x14ac:dyDescent="0.2">
      <c r="A328" s="104" t="s">
        <v>2172</v>
      </c>
      <c r="B328" s="10" t="s">
        <v>886</v>
      </c>
      <c r="C328" s="10" t="s">
        <v>107</v>
      </c>
      <c r="D328" s="28">
        <f>Inputs!$D$60</f>
        <v>1</v>
      </c>
      <c r="E328" s="28">
        <f>Inputs!$D$62</f>
        <v>2</v>
      </c>
      <c r="F328" s="28">
        <f>Inputs!$D$64</f>
        <v>3</v>
      </c>
      <c r="G328" s="28">
        <f>Inputs!$D$66</f>
        <v>4</v>
      </c>
      <c r="H328" s="28">
        <f>Inputs!$D$68</f>
        <v>5</v>
      </c>
      <c r="I328" s="28">
        <f>Inputs!$D$70</f>
        <v>6</v>
      </c>
      <c r="J328" s="28">
        <f>Inputs!$D$72</f>
        <v>7</v>
      </c>
      <c r="K328" s="28">
        <f>Inputs!$D$74</f>
        <v>8</v>
      </c>
      <c r="L328" s="28">
        <f>Inputs!$D$76</f>
        <v>9</v>
      </c>
      <c r="M328" s="28">
        <f>Inputs!$D$78</f>
        <v>10</v>
      </c>
    </row>
    <row r="329" spans="1:13" ht="15" customHeight="1" x14ac:dyDescent="0.2">
      <c r="A329" s="91"/>
      <c r="B329" s="10" t="s">
        <v>887</v>
      </c>
      <c r="C329" s="10" t="s">
        <v>161</v>
      </c>
      <c r="D329" s="29">
        <f>Inputs!$D$61</f>
        <v>46568</v>
      </c>
      <c r="E329" s="29">
        <f>Inputs!$D$63</f>
        <v>46934</v>
      </c>
      <c r="F329" s="29">
        <f>Inputs!$D$65</f>
        <v>47299</v>
      </c>
      <c r="G329" s="29">
        <f>Inputs!$D$67</f>
        <v>47664</v>
      </c>
      <c r="H329" s="29">
        <f>Inputs!$D$69</f>
        <v>48029</v>
      </c>
      <c r="I329" s="29">
        <f>Inputs!$D$71</f>
        <v>48395</v>
      </c>
      <c r="J329" s="29">
        <f>Inputs!$D$73</f>
        <v>48760</v>
      </c>
      <c r="K329" s="29">
        <f>Inputs!$D$75</f>
        <v>49125</v>
      </c>
      <c r="L329" s="29">
        <f>Inputs!$D$77</f>
        <v>49490</v>
      </c>
      <c r="M329" s="29">
        <f>Inputs!$D$79</f>
        <v>49856</v>
      </c>
    </row>
    <row r="330" spans="1:13" ht="15" customHeight="1" x14ac:dyDescent="0.2">
      <c r="A330" s="91"/>
      <c r="B330" s="10" t="s">
        <v>888</v>
      </c>
      <c r="C330" s="10" t="s">
        <v>107</v>
      </c>
      <c r="D330" s="28">
        <f>(D329-Inputs!$D$13)/Inputs!$D$10</f>
        <v>0.71457905544147848</v>
      </c>
      <c r="E330" s="28">
        <f>(E329-Inputs!$D$13)/Inputs!$D$10</f>
        <v>1.7166324435318274</v>
      </c>
      <c r="F330" s="28">
        <f>(F329-Inputs!$D$13)/Inputs!$D$10</f>
        <v>2.7159479808350446</v>
      </c>
      <c r="G330" s="28">
        <f>(G329-Inputs!$D$13)/Inputs!$D$10</f>
        <v>3.7152635181382614</v>
      </c>
      <c r="H330" s="28">
        <f>(H329-Inputs!$D$13)/Inputs!$D$10</f>
        <v>4.7145790554414786</v>
      </c>
      <c r="I330" s="28">
        <f>(I329-Inputs!$D$13)/Inputs!$D$10</f>
        <v>5.7166324435318279</v>
      </c>
      <c r="J330" s="28">
        <f>(J329-Inputs!$D$13)/Inputs!$D$10</f>
        <v>6.7159479808350442</v>
      </c>
      <c r="K330" s="28">
        <f>(K329-Inputs!$D$13)/Inputs!$D$10</f>
        <v>7.7152635181382614</v>
      </c>
      <c r="L330" s="28">
        <f>(L329-Inputs!$D$13)/Inputs!$D$10</f>
        <v>8.7145790554414777</v>
      </c>
      <c r="M330" s="28">
        <f>(M329-Inputs!$D$13)/Inputs!$D$10</f>
        <v>9.716632443531827</v>
      </c>
    </row>
    <row r="331" spans="1:13" ht="15" customHeight="1" x14ac:dyDescent="0.2">
      <c r="A331" s="91"/>
      <c r="B331" s="10" t="s">
        <v>889</v>
      </c>
      <c r="C331" s="10" t="s">
        <v>107</v>
      </c>
      <c r="D331" s="28">
        <f>D330</f>
        <v>0.71457905544147848</v>
      </c>
      <c r="E331" s="28">
        <f>Inputs!$D$7</f>
        <v>1</v>
      </c>
      <c r="F331" s="28">
        <f>Inputs!$D$7</f>
        <v>1</v>
      </c>
      <c r="G331" s="28">
        <f>Inputs!$D$7</f>
        <v>1</v>
      </c>
      <c r="H331" s="28">
        <f>Inputs!$D$7</f>
        <v>1</v>
      </c>
      <c r="I331" s="28">
        <f>Inputs!$D$7</f>
        <v>1</v>
      </c>
      <c r="J331" s="28">
        <f>Inputs!$D$7</f>
        <v>1</v>
      </c>
      <c r="K331" s="28">
        <f>Inputs!$D$7</f>
        <v>1</v>
      </c>
      <c r="L331" s="28">
        <f>Inputs!$D$7</f>
        <v>1</v>
      </c>
      <c r="M331" s="28">
        <f>Inputs!$D$7</f>
        <v>1</v>
      </c>
    </row>
    <row r="332" spans="1:13" ht="15" customHeight="1" x14ac:dyDescent="0.2">
      <c r="A332" s="91"/>
      <c r="B332" s="3" t="s">
        <v>890</v>
      </c>
      <c r="C332" s="10" t="s">
        <v>199</v>
      </c>
      <c r="D332" s="28">
        <f>Inputs!$D$24+(Inputs!$D$80-Inputs!$D$24)*Inputs!$D$83</f>
        <v>305.5</v>
      </c>
      <c r="E332" s="28">
        <f>Inputs!$D$24+(Inputs!$D$80-Inputs!$D$24)*Inputs!$D$84</f>
        <v>651.5</v>
      </c>
      <c r="F332" s="28">
        <f>Inputs!$D$24+(Inputs!$D$80-Inputs!$D$24)*Inputs!$D$85</f>
        <v>911</v>
      </c>
      <c r="G332" s="28">
        <f>Inputs!$D$24+(Inputs!$D$80-Inputs!$D$24)*Inputs!$D$86</f>
        <v>911</v>
      </c>
      <c r="H332" s="28">
        <f>Inputs!$D$24+(Inputs!$D$80-Inputs!$D$24)*Inputs!$D$87</f>
        <v>911</v>
      </c>
      <c r="I332" s="28">
        <f>Inputs!$D$24+(Inputs!$D$80-Inputs!$D$24)*Inputs!$D$88</f>
        <v>911</v>
      </c>
      <c r="J332" s="28">
        <f>Inputs!$D$24+(Inputs!$D$80-Inputs!$D$24)*Inputs!$D$89</f>
        <v>911</v>
      </c>
      <c r="K332" s="28">
        <f>Inputs!$D$24+(Inputs!$D$80-Inputs!$D$24)*Inputs!$D$90</f>
        <v>911</v>
      </c>
      <c r="L332" s="28">
        <f>Inputs!$D$24+(Inputs!$D$80-Inputs!$D$24)*Inputs!$D$91</f>
        <v>911</v>
      </c>
      <c r="M332" s="28">
        <f>Inputs!$D$24+(Inputs!$D$80-Inputs!$D$24)*Inputs!$D$92</f>
        <v>911</v>
      </c>
    </row>
    <row r="333" spans="1:13" ht="15" customHeight="1" x14ac:dyDescent="0.2">
      <c r="A333" s="91"/>
      <c r="B333" s="10" t="s">
        <v>891</v>
      </c>
      <c r="C333" s="10" t="s">
        <v>199</v>
      </c>
      <c r="D333" s="28">
        <f>Inputs!$D$24</f>
        <v>46</v>
      </c>
      <c r="E333" s="28">
        <f t="shared" ref="E333:M333" si="70">D332</f>
        <v>305.5</v>
      </c>
      <c r="F333" s="28">
        <f t="shared" si="70"/>
        <v>651.5</v>
      </c>
      <c r="G333" s="28">
        <f t="shared" si="70"/>
        <v>911</v>
      </c>
      <c r="H333" s="28">
        <f t="shared" si="70"/>
        <v>911</v>
      </c>
      <c r="I333" s="28">
        <f t="shared" si="70"/>
        <v>911</v>
      </c>
      <c r="J333" s="28">
        <f t="shared" si="70"/>
        <v>911</v>
      </c>
      <c r="K333" s="28">
        <f t="shared" si="70"/>
        <v>911</v>
      </c>
      <c r="L333" s="28">
        <f t="shared" si="70"/>
        <v>911</v>
      </c>
      <c r="M333" s="28">
        <f t="shared" si="70"/>
        <v>911</v>
      </c>
    </row>
    <row r="334" spans="1:13" ht="15" customHeight="1" x14ac:dyDescent="0.2">
      <c r="B334" s="10" t="s">
        <v>892</v>
      </c>
      <c r="C334" s="10" t="s">
        <v>199</v>
      </c>
      <c r="D334" s="28">
        <f>(D333+D332)*Inputs!$D$12</f>
        <v>175.75</v>
      </c>
      <c r="E334" s="28">
        <f>(E333+E332)*Inputs!$D$12</f>
        <v>478.5</v>
      </c>
      <c r="F334" s="28">
        <f>(F333+F332)*Inputs!$D$12</f>
        <v>781.25</v>
      </c>
      <c r="G334" s="28">
        <f>(G333+G332)*Inputs!$D$12</f>
        <v>911</v>
      </c>
      <c r="H334" s="28">
        <f>(H333+H332)*Inputs!$D$12</f>
        <v>911</v>
      </c>
      <c r="I334" s="28">
        <f>(I333+I332)*Inputs!$D$12</f>
        <v>911</v>
      </c>
      <c r="J334" s="28">
        <f>(J333+J332)*Inputs!$D$12</f>
        <v>911</v>
      </c>
      <c r="K334" s="28">
        <f>(K333+K332)*Inputs!$D$12</f>
        <v>911</v>
      </c>
      <c r="L334" s="28">
        <f>(L333+L332)*Inputs!$D$12</f>
        <v>911</v>
      </c>
      <c r="M334" s="28">
        <f>(M333+M332)*Inputs!$D$12</f>
        <v>911</v>
      </c>
    </row>
    <row r="335" spans="1:13" ht="15" customHeight="1" x14ac:dyDescent="0.2">
      <c r="B335" s="10" t="s">
        <v>893</v>
      </c>
      <c r="C335" s="10" t="s">
        <v>199</v>
      </c>
      <c r="D335" s="28">
        <f t="shared" ref="D335:M335" si="71">D332-D333</f>
        <v>259.5</v>
      </c>
      <c r="E335" s="28">
        <f t="shared" si="71"/>
        <v>346</v>
      </c>
      <c r="F335" s="28">
        <f t="shared" si="71"/>
        <v>259.5</v>
      </c>
      <c r="G335" s="28">
        <f t="shared" si="71"/>
        <v>0</v>
      </c>
      <c r="H335" s="28">
        <f t="shared" si="71"/>
        <v>0</v>
      </c>
      <c r="I335" s="28">
        <f t="shared" si="71"/>
        <v>0</v>
      </c>
      <c r="J335" s="28">
        <f t="shared" si="71"/>
        <v>0</v>
      </c>
      <c r="K335" s="28">
        <f t="shared" si="71"/>
        <v>0</v>
      </c>
      <c r="L335" s="28">
        <f t="shared" si="71"/>
        <v>0</v>
      </c>
      <c r="M335" s="28">
        <f t="shared" si="71"/>
        <v>0</v>
      </c>
    </row>
    <row r="336" spans="1:13" ht="15" customHeight="1" x14ac:dyDescent="0.2">
      <c r="B336" s="10" t="s">
        <v>894</v>
      </c>
      <c r="C336" s="10" t="s">
        <v>199</v>
      </c>
      <c r="D336" s="28">
        <f>IF(MOD(D328,Inputs!$D$21)=Inputs!$D$6,Inputs!$D$24,Inputs!$D$6)+SUMPRODUCT(--(D328&gt;$D$328:$M$328),--(MOD(D328-$D$328:$M$328,Inputs!$D$21)=Inputs!$D$6),$D$335:$M$335)</f>
        <v>0</v>
      </c>
      <c r="E336" s="28">
        <f>IF(MOD(E328,Inputs!$D$21)=Inputs!$D$6,Inputs!$D$24,Inputs!$D$6)+SUMPRODUCT(--(E328&gt;$D$328:$M$328),--(MOD(E328-$D$328:$M$328,Inputs!$D$21)=Inputs!$D$6),$D$335:$M$335)</f>
        <v>0</v>
      </c>
      <c r="F336" s="28">
        <f>IF(MOD(F328,Inputs!$D$21)=Inputs!$D$6,Inputs!$D$24,Inputs!$D$6)+SUMPRODUCT(--(F328&gt;$D$328:$M$328),--(MOD(F328-$D$328:$M$328,Inputs!$D$21)=Inputs!$D$6),$D$335:$M$335)</f>
        <v>0</v>
      </c>
      <c r="G336" s="28">
        <f>IF(MOD(G328,Inputs!$D$21)=Inputs!$D$6,Inputs!$D$24,Inputs!$D$6)+SUMPRODUCT(--(G328&gt;$D$328:$M$328),--(MOD(G328-$D$328:$M$328,Inputs!$D$21)=Inputs!$D$6),$D$335:$M$335)</f>
        <v>46</v>
      </c>
      <c r="H336" s="28">
        <f>IF(MOD(H328,Inputs!$D$21)=Inputs!$D$6,Inputs!$D$24,Inputs!$D$6)+SUMPRODUCT(--(H328&gt;$D$328:$M$328),--(MOD(H328-$D$328:$M$328,Inputs!$D$21)=Inputs!$D$6),$D$335:$M$335)</f>
        <v>259.5</v>
      </c>
      <c r="I336" s="28">
        <f>IF(MOD(I328,Inputs!$D$21)=Inputs!$D$6,Inputs!$D$24,Inputs!$D$6)+SUMPRODUCT(--(I328&gt;$D$328:$M$328),--(MOD(I328-$D$328:$M$328,Inputs!$D$21)=Inputs!$D$6),$D$335:$M$335)</f>
        <v>346</v>
      </c>
      <c r="J336" s="28">
        <f>IF(MOD(J328,Inputs!$D$21)=Inputs!$D$6,Inputs!$D$24,Inputs!$D$6)+SUMPRODUCT(--(J328&gt;$D$328:$M$328),--(MOD(J328-$D$328:$M$328,Inputs!$D$21)=Inputs!$D$6),$D$335:$M$335)</f>
        <v>259.5</v>
      </c>
      <c r="K336" s="28">
        <f>IF(MOD(K328,Inputs!$D$21)=Inputs!$D$6,Inputs!$D$24,Inputs!$D$6)+SUMPRODUCT(--(K328&gt;$D$328:$M$328),--(MOD(K328-$D$328:$M$328,Inputs!$D$21)=Inputs!$D$6),$D$335:$M$335)</f>
        <v>46</v>
      </c>
      <c r="L336" s="28">
        <f>IF(MOD(L328,Inputs!$D$21)=Inputs!$D$6,Inputs!$D$24,Inputs!$D$6)+SUMPRODUCT(--(L328&gt;$D$328:$M$328),--(MOD(L328-$D$328:$M$328,Inputs!$D$21)=Inputs!$D$6),$D$335:$M$335)</f>
        <v>259.5</v>
      </c>
      <c r="M336" s="28">
        <f>IF(MOD(M328,Inputs!$D$21)=Inputs!$D$6,Inputs!$D$24,Inputs!$D$6)+SUMPRODUCT(--(M328&gt;$D$328:$M$328),--(MOD(M328-$D$328:$M$328,Inputs!$D$21)=Inputs!$D$6),$D$335:$M$335)</f>
        <v>346</v>
      </c>
    </row>
    <row r="337" spans="2:13" ht="15" customHeight="1" x14ac:dyDescent="0.2">
      <c r="B337" s="10" t="s">
        <v>895</v>
      </c>
      <c r="C337" s="10" t="s">
        <v>896</v>
      </c>
      <c r="D337" s="28">
        <f t="shared" ref="D337:M337" si="72">D334*D331</f>
        <v>125.58726899383984</v>
      </c>
      <c r="E337" s="28">
        <f t="shared" si="72"/>
        <v>478.5</v>
      </c>
      <c r="F337" s="28">
        <f t="shared" si="72"/>
        <v>781.25</v>
      </c>
      <c r="G337" s="28">
        <f t="shared" si="72"/>
        <v>911</v>
      </c>
      <c r="H337" s="28">
        <f t="shared" si="72"/>
        <v>911</v>
      </c>
      <c r="I337" s="28">
        <f t="shared" si="72"/>
        <v>911</v>
      </c>
      <c r="J337" s="28">
        <f t="shared" si="72"/>
        <v>911</v>
      </c>
      <c r="K337" s="28">
        <f t="shared" si="72"/>
        <v>911</v>
      </c>
      <c r="L337" s="28">
        <f t="shared" si="72"/>
        <v>911</v>
      </c>
      <c r="M337" s="28">
        <f t="shared" si="72"/>
        <v>911</v>
      </c>
    </row>
    <row r="338" spans="2:13" ht="15" customHeight="1" x14ac:dyDescent="0.2">
      <c r="B338" s="10" t="s">
        <v>897</v>
      </c>
      <c r="C338" s="10" t="s">
        <v>110</v>
      </c>
      <c r="D338" s="16">
        <f>D337*($D$357/Inputs!$D$21+$D$358/Inputs!$D$22)</f>
        <v>1816.9772859324419</v>
      </c>
      <c r="E338" s="16">
        <f>E337*($D$357/Inputs!$D$21+$D$358/Inputs!$D$22)</f>
        <v>6922.8643817497086</v>
      </c>
      <c r="F338" s="16">
        <f>F337*($D$357/Inputs!$D$21+$D$358/Inputs!$D$22)</f>
        <v>11303.0048030135</v>
      </c>
      <c r="G338" s="16">
        <f>G337*($D$357/Inputs!$D$21+$D$358/Inputs!$D$22)</f>
        <v>13180.207840697982</v>
      </c>
      <c r="H338" s="16">
        <f>H337*($D$357/Inputs!$D$21+$D$358/Inputs!$D$22)</f>
        <v>13180.207840697982</v>
      </c>
      <c r="I338" s="16">
        <f>I337*($D$357/Inputs!$D$21+$D$358/Inputs!$D$22)</f>
        <v>13180.207840697982</v>
      </c>
      <c r="J338" s="16">
        <f>J337*($D$357/Inputs!$D$21+$D$358/Inputs!$D$22)</f>
        <v>13180.207840697982</v>
      </c>
      <c r="K338" s="16">
        <f>K337*($D$357/Inputs!$D$21+$D$358/Inputs!$D$22)</f>
        <v>13180.207840697982</v>
      </c>
      <c r="L338" s="16">
        <f>L337*($D$357/Inputs!$D$21+$D$358/Inputs!$D$22)</f>
        <v>13180.207840697982</v>
      </c>
      <c r="M338" s="16">
        <f>M337*($D$357/Inputs!$D$21+$D$358/Inputs!$D$22)</f>
        <v>13180.207840697982</v>
      </c>
    </row>
    <row r="339" spans="2:13" ht="15" customHeight="1" x14ac:dyDescent="0.2">
      <c r="B339" s="10" t="s">
        <v>898</v>
      </c>
      <c r="C339" s="10" t="s">
        <v>110</v>
      </c>
      <c r="D339" s="16">
        <f t="shared" ref="D339:M339" si="73">D335*($D$357+$D$358)</f>
        <v>15560.968620146154</v>
      </c>
      <c r="E339" s="16">
        <f t="shared" si="73"/>
        <v>20747.95816019487</v>
      </c>
      <c r="F339" s="16">
        <f t="shared" si="73"/>
        <v>15560.968620146154</v>
      </c>
      <c r="G339" s="16">
        <f t="shared" si="73"/>
        <v>0</v>
      </c>
      <c r="H339" s="16">
        <f t="shared" si="73"/>
        <v>0</v>
      </c>
      <c r="I339" s="16">
        <f t="shared" si="73"/>
        <v>0</v>
      </c>
      <c r="J339" s="16">
        <f t="shared" si="73"/>
        <v>0</v>
      </c>
      <c r="K339" s="16">
        <f t="shared" si="73"/>
        <v>0</v>
      </c>
      <c r="L339" s="16">
        <f t="shared" si="73"/>
        <v>0</v>
      </c>
      <c r="M339" s="16">
        <f t="shared" si="73"/>
        <v>0</v>
      </c>
    </row>
    <row r="340" spans="2:13" ht="15" customHeight="1" x14ac:dyDescent="0.2">
      <c r="B340" s="10" t="s">
        <v>899</v>
      </c>
      <c r="C340" s="10" t="s">
        <v>110</v>
      </c>
      <c r="D340" s="16">
        <f t="shared" ref="D340:M340" si="74">D336*$D$357</f>
        <v>0</v>
      </c>
      <c r="E340" s="16">
        <f t="shared" si="74"/>
        <v>0</v>
      </c>
      <c r="F340" s="16">
        <f t="shared" si="74"/>
        <v>0</v>
      </c>
      <c r="G340" s="16">
        <f t="shared" si="74"/>
        <v>2638.0048485671714</v>
      </c>
      <c r="H340" s="16">
        <f t="shared" si="74"/>
        <v>14881.788221808281</v>
      </c>
      <c r="I340" s="16">
        <f t="shared" si="74"/>
        <v>19842.384295744378</v>
      </c>
      <c r="J340" s="16">
        <f t="shared" si="74"/>
        <v>14881.788221808281</v>
      </c>
      <c r="K340" s="16">
        <f t="shared" si="74"/>
        <v>2638.0048485671714</v>
      </c>
      <c r="L340" s="16">
        <f t="shared" si="74"/>
        <v>14881.788221808281</v>
      </c>
      <c r="M340" s="16">
        <f t="shared" si="74"/>
        <v>19842.384295744378</v>
      </c>
    </row>
    <row r="341" spans="2:13" ht="15" customHeight="1" x14ac:dyDescent="0.2">
      <c r="B341" s="10" t="s">
        <v>900</v>
      </c>
      <c r="C341" s="10" t="s">
        <v>199</v>
      </c>
      <c r="D341" s="28">
        <f>D335*Inputs!$D$23</f>
        <v>6.4875000000000007</v>
      </c>
      <c r="E341" s="28">
        <f>E335*Inputs!$D$23</f>
        <v>8.65</v>
      </c>
      <c r="F341" s="28">
        <f>F335*Inputs!$D$23</f>
        <v>6.4875000000000007</v>
      </c>
      <c r="G341" s="28">
        <f>G335*Inputs!$D$23</f>
        <v>0</v>
      </c>
      <c r="H341" s="28">
        <f>H335*Inputs!$D$23</f>
        <v>0</v>
      </c>
      <c r="I341" s="28">
        <f>I335*Inputs!$D$23</f>
        <v>0</v>
      </c>
      <c r="J341" s="28">
        <f>J335*Inputs!$D$23</f>
        <v>0</v>
      </c>
      <c r="K341" s="28">
        <f>K335*Inputs!$D$23</f>
        <v>0</v>
      </c>
      <c r="L341" s="28">
        <f>L335*Inputs!$D$23</f>
        <v>0</v>
      </c>
      <c r="M341" s="28">
        <f>M335*Inputs!$D$23</f>
        <v>0</v>
      </c>
    </row>
    <row r="342" spans="2:13" ht="15" customHeight="1" x14ac:dyDescent="0.2">
      <c r="B342" s="3" t="s">
        <v>901</v>
      </c>
      <c r="C342" s="10" t="s">
        <v>896</v>
      </c>
      <c r="D342" s="28">
        <f>(D337*$D$355*(Inputs!$D$7-Inputs!$D$19)-D341)/(Inputs!$D$7+$D$356)^D330</f>
        <v>41.323954955907958</v>
      </c>
      <c r="E342" s="28">
        <f>(E337*$D$355*(Inputs!$D$7-Inputs!$D$19)-E341)/(Inputs!$D$7+$D$356)^E330</f>
        <v>150.90696965563865</v>
      </c>
      <c r="F342" s="28">
        <f>(F337*$D$355*(Inputs!$D$7-Inputs!$D$19)-F341)/(Inputs!$D$7+$D$356)^F330</f>
        <v>221.49724363497256</v>
      </c>
      <c r="G342" s="28">
        <f>(G337*$D$355*(Inputs!$D$7-Inputs!$D$19)-G341)/(Inputs!$D$7+$D$356)^G330</f>
        <v>231.23411637215406</v>
      </c>
      <c r="H342" s="28">
        <f>(H337*$D$355*(Inputs!$D$7-Inputs!$D$19)-H341)/(Inputs!$D$7+$D$356)^H330</f>
        <v>202.85513622180579</v>
      </c>
      <c r="I342" s="28">
        <f>(I337*$D$355*(Inputs!$D$7-Inputs!$D$19)-I341)/(Inputs!$D$7+$D$356)^I330</f>
        <v>177.8952324639684</v>
      </c>
      <c r="J342" s="28">
        <f>(J337*$D$355*(Inputs!$D$7-Inputs!$D$19)-J341)/(Inputs!$D$7+$D$356)^J330</f>
        <v>156.06244519994988</v>
      </c>
      <c r="K342" s="28">
        <f>(K337*$D$355*(Inputs!$D$7-Inputs!$D$19)-K341)/(Inputs!$D$7+$D$356)^K330</f>
        <v>136.90915975907566</v>
      </c>
      <c r="L342" s="28">
        <f>(L337*$D$355*(Inputs!$D$7-Inputs!$D$19)-L341)/(Inputs!$D$7+$D$356)^L330</f>
        <v>120.10652532017438</v>
      </c>
      <c r="M342" s="28">
        <f>(M337*$D$355*(Inputs!$D$7-Inputs!$D$19)-M341)/(Inputs!$D$7+$D$356)^M330</f>
        <v>105.32825858010075</v>
      </c>
    </row>
    <row r="343" spans="2:13" ht="15" customHeight="1" x14ac:dyDescent="0.2">
      <c r="B343" s="10" t="s">
        <v>902</v>
      </c>
      <c r="C343" s="10" t="s">
        <v>110</v>
      </c>
      <c r="D343" s="16">
        <f>(D338*Inputs!$D$19-D339-D340)/(Inputs!$D$7+$D$356)^D330</f>
        <v>-13673.750208995338</v>
      </c>
      <c r="E343" s="16">
        <f>(E338*Inputs!$D$19-E339-E340)/(Inputs!$D$7+$D$356)^E330</f>
        <v>-14910.258198718562</v>
      </c>
      <c r="F343" s="16">
        <f>(F338*Inputs!$D$19-F339-F340)/(Inputs!$D$7+$D$356)^F330</f>
        <v>-8525.9417164238148</v>
      </c>
      <c r="G343" s="16">
        <f>(G338*Inputs!$D$19-G339-G340)/(Inputs!$D$7+$D$356)^G330</f>
        <v>808.83204192410847</v>
      </c>
      <c r="H343" s="16">
        <f>(H338*Inputs!$D$19-H339-H340)/(Inputs!$D$7+$D$356)^H330</f>
        <v>-5891.7915280072548</v>
      </c>
      <c r="I343" s="16">
        <f>(I338*Inputs!$D$19-I339-I340)/(Inputs!$D$7+$D$356)^I330</f>
        <v>-7512.3171078465948</v>
      </c>
      <c r="J343" s="16">
        <f>(J338*Inputs!$D$19-J339-J340)/(Inputs!$D$7+$D$356)^J330</f>
        <v>-4532.7291662153211</v>
      </c>
      <c r="K343" s="16">
        <f>(K338*Inputs!$D$19-K339-K340)/(Inputs!$D$7+$D$356)^K330</f>
        <v>478.89349972832292</v>
      </c>
      <c r="L343" s="16">
        <f>(L338*Inputs!$D$19-L339-L340)/(Inputs!$D$7+$D$356)^L330</f>
        <v>-3488.413562109869</v>
      </c>
      <c r="M343" s="16">
        <f>(M338*Inputs!$D$19-M339-M340)/(Inputs!$D$7+$D$356)^M330</f>
        <v>-4447.8947969066312</v>
      </c>
    </row>
    <row r="344" spans="2:13" ht="15" customHeight="1" x14ac:dyDescent="0.2">
      <c r="B344" s="10" t="s">
        <v>903</v>
      </c>
      <c r="C344" s="10" t="s">
        <v>110</v>
      </c>
      <c r="D344" s="16">
        <f t="shared" ref="D344:M344" si="75">D337*$D$354</f>
        <v>6667.2526771313305</v>
      </c>
      <c r="E344" s="16">
        <f t="shared" si="75"/>
        <v>25402.896579937795</v>
      </c>
      <c r="F344" s="16">
        <f t="shared" si="75"/>
        <v>41475.471166303869</v>
      </c>
      <c r="G344" s="16">
        <f t="shared" si="75"/>
        <v>48363.717417603613</v>
      </c>
      <c r="H344" s="16">
        <f t="shared" si="75"/>
        <v>48363.717417603613</v>
      </c>
      <c r="I344" s="16">
        <f t="shared" si="75"/>
        <v>48363.717417603613</v>
      </c>
      <c r="J344" s="16">
        <f t="shared" si="75"/>
        <v>48363.717417603613</v>
      </c>
      <c r="K344" s="16">
        <f t="shared" si="75"/>
        <v>48363.717417603613</v>
      </c>
      <c r="L344" s="16">
        <f t="shared" si="75"/>
        <v>48363.717417603613</v>
      </c>
      <c r="M344" s="16">
        <f t="shared" si="75"/>
        <v>48363.717417603613</v>
      </c>
    </row>
    <row r="345" spans="2:13" ht="15" customHeight="1" x14ac:dyDescent="0.2">
      <c r="B345" s="10" t="s">
        <v>904</v>
      </c>
      <c r="C345" s="10" t="s">
        <v>110</v>
      </c>
      <c r="D345" s="16">
        <f t="shared" ref="D345:M345" si="76">D344*$D$355</f>
        <v>3933.6790795074849</v>
      </c>
      <c r="E345" s="16">
        <f t="shared" si="76"/>
        <v>14987.708982163298</v>
      </c>
      <c r="F345" s="16">
        <f t="shared" si="76"/>
        <v>24470.52798811928</v>
      </c>
      <c r="G345" s="16">
        <f t="shared" si="76"/>
        <v>28534.593276386131</v>
      </c>
      <c r="H345" s="16">
        <f t="shared" si="76"/>
        <v>28534.593276386131</v>
      </c>
      <c r="I345" s="16">
        <f t="shared" si="76"/>
        <v>28534.593276386131</v>
      </c>
      <c r="J345" s="16">
        <f t="shared" si="76"/>
        <v>28534.593276386131</v>
      </c>
      <c r="K345" s="16">
        <f t="shared" si="76"/>
        <v>28534.593276386131</v>
      </c>
      <c r="L345" s="16">
        <f t="shared" si="76"/>
        <v>28534.593276386131</v>
      </c>
      <c r="M345" s="16">
        <f t="shared" si="76"/>
        <v>28534.593276386131</v>
      </c>
    </row>
    <row r="346" spans="2:13" ht="15" customHeight="1" x14ac:dyDescent="0.2">
      <c r="B346" s="10" t="s">
        <v>905</v>
      </c>
      <c r="C346" s="10" t="s">
        <v>110</v>
      </c>
      <c r="D346" s="16">
        <f t="shared" ref="D346:M346" si="77">D345-D338</f>
        <v>2116.7017935750428</v>
      </c>
      <c r="E346" s="16">
        <f t="shared" si="77"/>
        <v>8064.8446004135894</v>
      </c>
      <c r="F346" s="16">
        <f t="shared" si="77"/>
        <v>13167.52318510578</v>
      </c>
      <c r="G346" s="16">
        <f t="shared" si="77"/>
        <v>15354.385435688149</v>
      </c>
      <c r="H346" s="16">
        <f t="shared" si="77"/>
        <v>15354.385435688149</v>
      </c>
      <c r="I346" s="16">
        <f t="shared" si="77"/>
        <v>15354.385435688149</v>
      </c>
      <c r="J346" s="16">
        <f t="shared" si="77"/>
        <v>15354.385435688149</v>
      </c>
      <c r="K346" s="16">
        <f t="shared" si="77"/>
        <v>15354.385435688149</v>
      </c>
      <c r="L346" s="16">
        <f t="shared" si="77"/>
        <v>15354.385435688149</v>
      </c>
      <c r="M346" s="16">
        <f t="shared" si="77"/>
        <v>15354.385435688149</v>
      </c>
    </row>
    <row r="347" spans="2:13" ht="15" customHeight="1" x14ac:dyDescent="0.2">
      <c r="B347" s="10" t="s">
        <v>906</v>
      </c>
      <c r="C347" s="10" t="s">
        <v>110</v>
      </c>
      <c r="D347" s="16">
        <f>MAX(D346,Inputs!$D$6)*Inputs!$D$19</f>
        <v>635.01053807251276</v>
      </c>
      <c r="E347" s="16">
        <f>MAX(E346,Inputs!$D$6)*Inputs!$D$19</f>
        <v>2419.4533801240768</v>
      </c>
      <c r="F347" s="16">
        <f>MAX(F346,Inputs!$D$6)*Inputs!$D$19</f>
        <v>3950.2569555317336</v>
      </c>
      <c r="G347" s="16">
        <f>MAX(G346,Inputs!$D$6)*Inputs!$D$19</f>
        <v>4606.3156307064446</v>
      </c>
      <c r="H347" s="16">
        <f>MAX(H346,Inputs!$D$6)*Inputs!$D$19</f>
        <v>4606.3156307064446</v>
      </c>
      <c r="I347" s="16">
        <f>MAX(I346,Inputs!$D$6)*Inputs!$D$19</f>
        <v>4606.3156307064446</v>
      </c>
      <c r="J347" s="16">
        <f>MAX(J346,Inputs!$D$6)*Inputs!$D$19</f>
        <v>4606.3156307064446</v>
      </c>
      <c r="K347" s="16">
        <f>MAX(K346,Inputs!$D$6)*Inputs!$D$19</f>
        <v>4606.3156307064446</v>
      </c>
      <c r="L347" s="16">
        <f>MAX(L346,Inputs!$D$6)*Inputs!$D$19</f>
        <v>4606.3156307064446</v>
      </c>
      <c r="M347" s="16">
        <f>MAX(M346,Inputs!$D$6)*Inputs!$D$19</f>
        <v>4606.3156307064446</v>
      </c>
    </row>
    <row r="348" spans="2:13" ht="15" customHeight="1" x14ac:dyDescent="0.2">
      <c r="B348" s="10" t="s">
        <v>907</v>
      </c>
      <c r="C348" s="10" t="s">
        <v>110</v>
      </c>
      <c r="D348" s="16">
        <f t="shared" ref="D348:M348" si="78">D341*$D$354</f>
        <v>344.41231256498736</v>
      </c>
      <c r="E348" s="16">
        <f t="shared" si="78"/>
        <v>459.21641675331642</v>
      </c>
      <c r="F348" s="16">
        <f t="shared" si="78"/>
        <v>344.41231256498736</v>
      </c>
      <c r="G348" s="16">
        <f t="shared" si="78"/>
        <v>0</v>
      </c>
      <c r="H348" s="16">
        <f t="shared" si="78"/>
        <v>0</v>
      </c>
      <c r="I348" s="16">
        <f t="shared" si="78"/>
        <v>0</v>
      </c>
      <c r="J348" s="16">
        <f t="shared" si="78"/>
        <v>0</v>
      </c>
      <c r="K348" s="16">
        <f t="shared" si="78"/>
        <v>0</v>
      </c>
      <c r="L348" s="16">
        <f t="shared" si="78"/>
        <v>0</v>
      </c>
      <c r="M348" s="16">
        <f t="shared" si="78"/>
        <v>0</v>
      </c>
    </row>
    <row r="349" spans="2:13" ht="15" customHeight="1" x14ac:dyDescent="0.2">
      <c r="B349" s="10" t="s">
        <v>908</v>
      </c>
      <c r="C349" s="10" t="s">
        <v>110</v>
      </c>
      <c r="D349" s="16">
        <f t="shared" ref="D349:M349" si="79">D345-D347-D339-D340-D348</f>
        <v>-12606.712391276169</v>
      </c>
      <c r="E349" s="16">
        <f t="shared" si="79"/>
        <v>-8638.9189749089637</v>
      </c>
      <c r="F349" s="16">
        <f t="shared" si="79"/>
        <v>4614.8900998764038</v>
      </c>
      <c r="G349" s="16">
        <f t="shared" si="79"/>
        <v>21290.272797112513</v>
      </c>
      <c r="H349" s="16">
        <f t="shared" si="79"/>
        <v>9046.4894238714041</v>
      </c>
      <c r="I349" s="16">
        <f t="shared" si="79"/>
        <v>4085.8933499353079</v>
      </c>
      <c r="J349" s="16">
        <f t="shared" si="79"/>
        <v>9046.4894238714041</v>
      </c>
      <c r="K349" s="16">
        <f t="shared" si="79"/>
        <v>21290.272797112513</v>
      </c>
      <c r="L349" s="16">
        <f t="shared" si="79"/>
        <v>9046.4894238714041</v>
      </c>
      <c r="M349" s="16">
        <f t="shared" si="79"/>
        <v>4085.8933499353079</v>
      </c>
    </row>
    <row r="350" spans="2:13" ht="15" customHeight="1" x14ac:dyDescent="0.2">
      <c r="B350" s="10" t="s">
        <v>909</v>
      </c>
      <c r="C350" s="10" t="s">
        <v>110</v>
      </c>
      <c r="D350" s="16">
        <f>D349/(Inputs!$D$7+$D$356)^D330</f>
        <v>-11479.919166113545</v>
      </c>
      <c r="E350" s="16">
        <f>E349/(Inputs!$D$7+$D$356)^E330</f>
        <v>-6898.8179827227432</v>
      </c>
      <c r="F350" s="16">
        <f>F349/(Inputs!$D$7+$D$356)^F330</f>
        <v>3233.0375370777369</v>
      </c>
      <c r="G350" s="16">
        <f>G349/(Inputs!$D$7+$D$356)^G330</f>
        <v>13084.728267535664</v>
      </c>
      <c r="H350" s="16">
        <f>H349/(Inputs!$D$7+$D$356)^H330</f>
        <v>4877.5042842220564</v>
      </c>
      <c r="I350" s="16">
        <f>I349/(Inputs!$D$7+$D$356)^I330</f>
        <v>1931.8922805466791</v>
      </c>
      <c r="J350" s="16">
        <f>J349/(Inputs!$D$7+$D$356)^J330</f>
        <v>3752.4080447074289</v>
      </c>
      <c r="K350" s="16">
        <f>K349/(Inputs!$D$7+$D$356)^K330</f>
        <v>7747.2095419560756</v>
      </c>
      <c r="L350" s="16">
        <f>L349/(Inputs!$D$7+$D$356)^L330</f>
        <v>2887.8740894764833</v>
      </c>
      <c r="M350" s="16">
        <f>M349/(Inputs!$D$7+$D$356)^M330</f>
        <v>1143.8353173154057</v>
      </c>
    </row>
    <row r="351" spans="2:13" ht="15" customHeight="1" x14ac:dyDescent="0.2">
      <c r="B351" s="3" t="s">
        <v>910</v>
      </c>
      <c r="C351" s="10" t="s">
        <v>896</v>
      </c>
      <c r="D351" s="28">
        <f>(D337*$D$355-D341)/(Inputs!$D$7+$D$356)^D330</f>
        <v>61.566069024375587</v>
      </c>
      <c r="E351" s="28">
        <f>(E337*$D$355-E341)/(Inputs!$D$7+$D$356)^E330</f>
        <v>218.54181393820917</v>
      </c>
      <c r="F351" s="28">
        <f>(F337*$D$355-F341)/(Inputs!$D$7+$D$356)^F330</f>
        <v>318.37245891604812</v>
      </c>
      <c r="G351" s="28">
        <f>(G337*$D$355-G341)/(Inputs!$D$7+$D$356)^G330</f>
        <v>330.33445196022012</v>
      </c>
      <c r="H351" s="28">
        <f>(H337*$D$355-H341)/(Inputs!$D$7+$D$356)^H330</f>
        <v>289.79305174543686</v>
      </c>
      <c r="I351" s="28">
        <f>(I337*$D$355-I341)/(Inputs!$D$7+$D$356)^I330</f>
        <v>254.13604637709773</v>
      </c>
      <c r="J351" s="28">
        <f>(J337*$D$355-J341)/(Inputs!$D$7+$D$356)^J330</f>
        <v>222.94635028564269</v>
      </c>
      <c r="K351" s="28">
        <f>(K337*$D$355-K341)/(Inputs!$D$7+$D$356)^K330</f>
        <v>195.58451394153667</v>
      </c>
      <c r="L351" s="28">
        <f>(L337*$D$355-L341)/(Inputs!$D$7+$D$356)^L330</f>
        <v>171.58075045739199</v>
      </c>
      <c r="M351" s="28">
        <f>(M337*$D$355-M341)/(Inputs!$D$7+$D$356)^M330</f>
        <v>150.46894082871538</v>
      </c>
    </row>
    <row r="352" spans="2:13" ht="15" customHeight="1" x14ac:dyDescent="0.2">
      <c r="B352" s="10" t="s">
        <v>911</v>
      </c>
      <c r="C352" s="10" t="s">
        <v>110</v>
      </c>
      <c r="D352" s="16">
        <f>(-D339-D340)/(Inputs!$D$7+$D$356)^D330</f>
        <v>-14170.122737893587</v>
      </c>
      <c r="E352" s="16">
        <f>(-E339-E340)/(Inputs!$D$7+$D$356)^E330</f>
        <v>-16568.784506031301</v>
      </c>
      <c r="F352" s="16">
        <f>(-F339-F340)/(Inputs!$D$7+$D$356)^F330</f>
        <v>-10901.493767656277</v>
      </c>
      <c r="G352" s="16">
        <f>(-G339-G340)/(Inputs!$D$7+$D$356)^G330</f>
        <v>-1621.2839046676961</v>
      </c>
      <c r="H352" s="16">
        <f>(-H339-H340)/(Inputs!$D$7+$D$356)^H330</f>
        <v>-8023.6633690433682</v>
      </c>
      <c r="I352" s="16">
        <f>(-I339-I340)/(Inputs!$D$7+$D$356)^I330</f>
        <v>-9381.8770500204446</v>
      </c>
      <c r="J352" s="16">
        <f>(-J339-J340)/(Inputs!$D$7+$D$356)^J330</f>
        <v>-6172.8411129063252</v>
      </c>
      <c r="K352" s="16">
        <f>(-K339-K340)/(Inputs!$D$7+$D$356)^K330</f>
        <v>-959.93022397147342</v>
      </c>
      <c r="L352" s="16">
        <f>(-L339-L340)/(Inputs!$D$7+$D$356)^L330</f>
        <v>-4750.6528330682277</v>
      </c>
      <c r="M352" s="16">
        <f>(-M339-M340)/(Inputs!$D$7+$D$356)^M330</f>
        <v>-5554.82436602912</v>
      </c>
    </row>
    <row r="353" spans="2:13" ht="15" customHeight="1" x14ac:dyDescent="0.2">
      <c r="B353" s="10" t="s">
        <v>912</v>
      </c>
      <c r="C353" s="10" t="s">
        <v>110</v>
      </c>
      <c r="D353" s="16">
        <f>Prices!I6</f>
        <v>43700</v>
      </c>
    </row>
    <row r="354" spans="2:13" ht="15" customHeight="1" x14ac:dyDescent="0.2">
      <c r="B354" s="3" t="s">
        <v>913</v>
      </c>
      <c r="C354" s="10" t="s">
        <v>914</v>
      </c>
      <c r="D354" s="28">
        <f>IF(J361&gt;=J357,J361,(D353-J360)/J359)</f>
        <v>53.088603092868951</v>
      </c>
      <c r="G354" s="99" t="s">
        <v>915</v>
      </c>
      <c r="H354" s="91"/>
      <c r="I354" s="91"/>
      <c r="J354" s="28">
        <f>D354*Inputs!$D$15</f>
        <v>37.050536098513241</v>
      </c>
      <c r="K354" s="99" t="s">
        <v>916</v>
      </c>
      <c r="L354" s="91"/>
      <c r="M354" s="91"/>
    </row>
    <row r="355" spans="2:13" ht="15" customHeight="1" x14ac:dyDescent="0.2">
      <c r="B355" s="10" t="s">
        <v>917</v>
      </c>
      <c r="C355" s="10" t="s">
        <v>104</v>
      </c>
      <c r="D355" s="30">
        <f>Inputs!$D$141</f>
        <v>0.59</v>
      </c>
      <c r="G355" s="99" t="s">
        <v>918</v>
      </c>
      <c r="H355" s="91"/>
      <c r="I355" s="91"/>
      <c r="J355" s="28">
        <f>IF(-D366/D365&gt;=J357,-D366/D365,-J360/J359)</f>
        <v>35.478487913459944</v>
      </c>
      <c r="K355" s="99" t="s">
        <v>919</v>
      </c>
      <c r="L355" s="91"/>
      <c r="M355" s="91"/>
    </row>
    <row r="356" spans="2:13" ht="15" customHeight="1" x14ac:dyDescent="0.2">
      <c r="B356" s="10" t="s">
        <v>920</v>
      </c>
      <c r="C356" s="10" t="s">
        <v>104</v>
      </c>
      <c r="D356" s="30">
        <f>Inputs!$D$149</f>
        <v>0.14000000000000001</v>
      </c>
      <c r="G356" s="99" t="s">
        <v>918</v>
      </c>
      <c r="H356" s="91"/>
      <c r="I356" s="91"/>
      <c r="J356" s="28">
        <f>J355*Inputs!$D$15</f>
        <v>24.760436714803692</v>
      </c>
      <c r="K356" s="99" t="s">
        <v>916</v>
      </c>
      <c r="L356" s="91"/>
      <c r="M356" s="91"/>
    </row>
    <row r="357" spans="2:13" ht="15" customHeight="1" x14ac:dyDescent="0.2">
      <c r="B357" s="3" t="s">
        <v>921</v>
      </c>
      <c r="C357" s="10" t="s">
        <v>848</v>
      </c>
      <c r="D357" s="28">
        <f>Capital!$D$13</f>
        <v>57.347931490590682</v>
      </c>
      <c r="G357" s="99" t="s">
        <v>922</v>
      </c>
      <c r="H357" s="91"/>
      <c r="I357" s="91"/>
      <c r="J357" s="28">
        <f>($D$357/Inputs!$D$21+$D$358/Inputs!$D$22)/$D$355</f>
        <v>24.521773131961492</v>
      </c>
      <c r="K357" s="99" t="s">
        <v>919</v>
      </c>
      <c r="L357" s="91"/>
      <c r="M357" s="91"/>
    </row>
    <row r="358" spans="2:13" ht="15" customHeight="1" x14ac:dyDescent="0.2">
      <c r="B358" s="3" t="s">
        <v>923</v>
      </c>
      <c r="C358" s="10" t="s">
        <v>848</v>
      </c>
      <c r="D358" s="28">
        <f>Capital!$D$14</f>
        <v>2.6172655041921802</v>
      </c>
    </row>
    <row r="359" spans="2:13" ht="15" customHeight="1" x14ac:dyDescent="0.2">
      <c r="B359" s="10" t="s">
        <v>924</v>
      </c>
      <c r="C359" s="10" t="s">
        <v>896</v>
      </c>
      <c r="D359" s="28">
        <f>(M332*(Inputs!$D$7+Inputs!$D$20)*$D$355*(Inputs!$D$7-Inputs!$D$19)-M332*Inputs!$D$20*Inputs!$D$23)/($D$356-Inputs!$D$20)/(Inputs!$D$7+$D$356)^M330</f>
        <v>937.40930417535674</v>
      </c>
      <c r="G359" s="92" t="s">
        <v>910</v>
      </c>
      <c r="H359" s="91"/>
      <c r="I359" s="91"/>
      <c r="J359" s="28">
        <f>SUM(D351:M351)+(M332*(Inputs!$D$7+Inputs!$D$20)*$D$355-M332*Inputs!$D$20*Inputs!$D$23)/($D$356-Inputs!$D$20)/(Inputs!$D$7+$D$356)^M330</f>
        <v>3553.0746151702915</v>
      </c>
      <c r="K359" s="99" t="s">
        <v>896</v>
      </c>
      <c r="L359" s="91"/>
      <c r="M359" s="91"/>
    </row>
    <row r="360" spans="2:13" ht="15" customHeight="1" x14ac:dyDescent="0.2">
      <c r="B360" s="10" t="s">
        <v>925</v>
      </c>
      <c r="C360" s="10" t="s">
        <v>110</v>
      </c>
      <c r="D360" s="16">
        <f>(D363*Inputs!$D$19-D363-D364)/($D$356-Inputs!$D$20)/(Inputs!$D$7+$D$356)^M330</f>
        <v>-26345.502698929216</v>
      </c>
      <c r="G360" s="92" t="s">
        <v>926</v>
      </c>
      <c r="H360" s="91"/>
      <c r="I360" s="91"/>
      <c r="J360" s="16">
        <f>SUM(D352:M352)-(D363+D364)/($D$356-Inputs!$D$20)/(Inputs!$D$7+$D$356)^M330</f>
        <v>-114317.08794717836</v>
      </c>
      <c r="K360" s="99" t="s">
        <v>110</v>
      </c>
      <c r="L360" s="91"/>
      <c r="M360" s="91"/>
    </row>
    <row r="361" spans="2:13" ht="15" customHeight="1" x14ac:dyDescent="0.2">
      <c r="B361" s="10" t="s">
        <v>927</v>
      </c>
      <c r="C361" s="10" t="s">
        <v>928</v>
      </c>
      <c r="D361" s="16">
        <f>(M332*(Inputs!$D$7+Inputs!$D$20)*$D$354*$D$355-D363)-MAX((M332*(Inputs!$D$7+Inputs!$D$20)*$D$354*$D$355-D363),Inputs!$D$6)*Inputs!$D$19-D364-M332*Inputs!$D$20*$D$354*Inputs!$D$23</f>
        <v>9620.8368651640649</v>
      </c>
      <c r="G361" s="99" t="s">
        <v>929</v>
      </c>
      <c r="H361" s="91"/>
      <c r="I361" s="91"/>
      <c r="J361" s="28">
        <f>(D353-D366)/D365</f>
        <v>53.088603092868951</v>
      </c>
      <c r="K361" s="99" t="s">
        <v>919</v>
      </c>
      <c r="L361" s="91"/>
      <c r="M361" s="91"/>
    </row>
    <row r="362" spans="2:13" ht="15" customHeight="1" x14ac:dyDescent="0.2">
      <c r="B362" s="10" t="s">
        <v>930</v>
      </c>
      <c r="C362" s="10" t="s">
        <v>110</v>
      </c>
      <c r="D362" s="16">
        <f>D361/($D$356-Inputs!$D$20)</f>
        <v>83659.451001426642</v>
      </c>
      <c r="G362" s="99" t="s">
        <v>931</v>
      </c>
      <c r="H362" s="91"/>
      <c r="I362" s="91"/>
      <c r="J362" s="16">
        <f>MIN(D346:M346,(M332*(Inputs!$D$7+Inputs!$D$20)*$D$354*$D$355-D363))</f>
        <v>2116.7017935750428</v>
      </c>
      <c r="K362" s="99" t="s">
        <v>110</v>
      </c>
      <c r="L362" s="91"/>
      <c r="M362" s="91"/>
    </row>
    <row r="363" spans="2:13" ht="15" customHeight="1" x14ac:dyDescent="0.2">
      <c r="B363" s="10" t="s">
        <v>932</v>
      </c>
      <c r="C363" s="10" t="s">
        <v>928</v>
      </c>
      <c r="D363" s="16">
        <f>M332*(Inputs!$D$7+Inputs!$D$20)*($D$357/Inputs!$D$21+$D$358/Inputs!$D$22)</f>
        <v>13509.71303671543</v>
      </c>
      <c r="G363" s="99" t="s">
        <v>933</v>
      </c>
      <c r="H363" s="91"/>
      <c r="I363" s="91"/>
      <c r="J363" s="31" t="str">
        <f>IF(J362&lt;Inputs!$D$6,"breached","satisfied")</f>
        <v>satisfied</v>
      </c>
      <c r="K363" s="99" t="s">
        <v>934</v>
      </c>
      <c r="L363" s="91"/>
      <c r="M363" s="91"/>
    </row>
    <row r="364" spans="2:13" ht="15" customHeight="1" x14ac:dyDescent="0.2">
      <c r="B364" s="10" t="s">
        <v>935</v>
      </c>
      <c r="C364" s="10" t="s">
        <v>928</v>
      </c>
      <c r="D364" s="16">
        <f>M332*Inputs!$D$20*($D$357+$D$358)</f>
        <v>1365.7073615561799</v>
      </c>
    </row>
    <row r="365" spans="2:13" ht="15" customHeight="1" x14ac:dyDescent="0.2">
      <c r="B365" s="10" t="s">
        <v>936</v>
      </c>
      <c r="C365" s="10" t="s">
        <v>896</v>
      </c>
      <c r="D365" s="28">
        <f>SUM(D342:M342)+D359</f>
        <v>2481.5283463391052</v>
      </c>
      <c r="G365" s="99" t="s">
        <v>937</v>
      </c>
      <c r="H365" s="91"/>
      <c r="I365" s="91"/>
      <c r="J365" s="16">
        <f>D367-D353</f>
        <v>0</v>
      </c>
      <c r="K365" s="99" t="s">
        <v>110</v>
      </c>
      <c r="L365" s="91"/>
      <c r="M365" s="91"/>
    </row>
    <row r="366" spans="2:13" ht="15" customHeight="1" x14ac:dyDescent="0.2">
      <c r="B366" s="10" t="s">
        <v>938</v>
      </c>
      <c r="C366" s="10" t="s">
        <v>110</v>
      </c>
      <c r="D366" s="16">
        <f>SUM(D343:M343)+D360</f>
        <v>-88040.873442500175</v>
      </c>
    </row>
    <row r="367" spans="2:13" ht="15" customHeight="1" x14ac:dyDescent="0.2">
      <c r="B367" s="10" t="s">
        <v>939</v>
      </c>
      <c r="C367" s="10" t="s">
        <v>110</v>
      </c>
      <c r="D367" s="16">
        <f>SUM(D350:M350)+D362/(Inputs!$D$7+$D$356)^M330</f>
        <v>43700.000000000007</v>
      </c>
    </row>
    <row r="368" spans="2:13" ht="15" customHeight="1" x14ac:dyDescent="0.2">
      <c r="B368" s="10" t="s">
        <v>940</v>
      </c>
      <c r="C368" s="10" t="s">
        <v>104</v>
      </c>
      <c r="D368" s="30">
        <f>IF(ABS(D353)&gt;Inputs!$D$6,D367/D353-Inputs!$D$7,Inputs!$D$6)</f>
        <v>2.2204460492503131E-16</v>
      </c>
    </row>
    <row r="369" spans="1:13" ht="15" customHeight="1" x14ac:dyDescent="0.2">
      <c r="B369" s="10" t="s">
        <v>941</v>
      </c>
      <c r="C369" s="10" t="s">
        <v>104</v>
      </c>
      <c r="D369" s="30">
        <f>IF(ABS(D367)&gt;Inputs!$D$119,D362/(Inputs!$D$7+$D$356)^M330/D367,Inputs!$D$6)</f>
        <v>0.53593244361553238</v>
      </c>
    </row>
    <row r="370" spans="1:13" ht="15" customHeight="1" x14ac:dyDescent="0.2">
      <c r="B370" s="10" t="s">
        <v>942</v>
      </c>
      <c r="C370" s="10" t="s">
        <v>943</v>
      </c>
      <c r="D370" s="26">
        <f>$D$354*Inputs!$D$8/Prices!$P$6/(Inputs!$D$26/Inputs!$D$25)/Inputs!$D$11/Inputs!$D$56</f>
        <v>9.6543237302558342</v>
      </c>
    </row>
    <row r="374" spans="1:13" ht="15" customHeight="1" x14ac:dyDescent="0.2">
      <c r="A374" s="104" t="s">
        <v>2173</v>
      </c>
      <c r="B374" s="10" t="s">
        <v>886</v>
      </c>
      <c r="C374" s="10" t="s">
        <v>107</v>
      </c>
      <c r="D374" s="28">
        <f>Inputs!$D$60</f>
        <v>1</v>
      </c>
      <c r="E374" s="28">
        <f>Inputs!$D$62</f>
        <v>2</v>
      </c>
      <c r="F374" s="28">
        <f>Inputs!$D$64</f>
        <v>3</v>
      </c>
      <c r="G374" s="28">
        <f>Inputs!$D$66</f>
        <v>4</v>
      </c>
      <c r="H374" s="28">
        <f>Inputs!$D$68</f>
        <v>5</v>
      </c>
      <c r="I374" s="28">
        <f>Inputs!$D$70</f>
        <v>6</v>
      </c>
      <c r="J374" s="28">
        <f>Inputs!$D$72</f>
        <v>7</v>
      </c>
      <c r="K374" s="28">
        <f>Inputs!$D$74</f>
        <v>8</v>
      </c>
      <c r="L374" s="28">
        <f>Inputs!$D$76</f>
        <v>9</v>
      </c>
      <c r="M374" s="28">
        <f>Inputs!$D$78</f>
        <v>10</v>
      </c>
    </row>
    <row r="375" spans="1:13" ht="15" customHeight="1" x14ac:dyDescent="0.2">
      <c r="A375" s="91"/>
      <c r="B375" s="10" t="s">
        <v>887</v>
      </c>
      <c r="C375" s="10" t="s">
        <v>161</v>
      </c>
      <c r="D375" s="29">
        <f>Inputs!$D$61</f>
        <v>46568</v>
      </c>
      <c r="E375" s="29">
        <f>Inputs!$D$63</f>
        <v>46934</v>
      </c>
      <c r="F375" s="29">
        <f>Inputs!$D$65</f>
        <v>47299</v>
      </c>
      <c r="G375" s="29">
        <f>Inputs!$D$67</f>
        <v>47664</v>
      </c>
      <c r="H375" s="29">
        <f>Inputs!$D$69</f>
        <v>48029</v>
      </c>
      <c r="I375" s="29">
        <f>Inputs!$D$71</f>
        <v>48395</v>
      </c>
      <c r="J375" s="29">
        <f>Inputs!$D$73</f>
        <v>48760</v>
      </c>
      <c r="K375" s="29">
        <f>Inputs!$D$75</f>
        <v>49125</v>
      </c>
      <c r="L375" s="29">
        <f>Inputs!$D$77</f>
        <v>49490</v>
      </c>
      <c r="M375" s="29">
        <f>Inputs!$D$79</f>
        <v>49856</v>
      </c>
    </row>
    <row r="376" spans="1:13" ht="15" customHeight="1" x14ac:dyDescent="0.2">
      <c r="A376" s="91"/>
      <c r="B376" s="10" t="s">
        <v>888</v>
      </c>
      <c r="C376" s="10" t="s">
        <v>107</v>
      </c>
      <c r="D376" s="28">
        <f>(D375-Inputs!$D$13)/Inputs!$D$10</f>
        <v>0.71457905544147848</v>
      </c>
      <c r="E376" s="28">
        <f>(E375-Inputs!$D$13)/Inputs!$D$10</f>
        <v>1.7166324435318274</v>
      </c>
      <c r="F376" s="28">
        <f>(F375-Inputs!$D$13)/Inputs!$D$10</f>
        <v>2.7159479808350446</v>
      </c>
      <c r="G376" s="28">
        <f>(G375-Inputs!$D$13)/Inputs!$D$10</f>
        <v>3.7152635181382614</v>
      </c>
      <c r="H376" s="28">
        <f>(H375-Inputs!$D$13)/Inputs!$D$10</f>
        <v>4.7145790554414786</v>
      </c>
      <c r="I376" s="28">
        <f>(I375-Inputs!$D$13)/Inputs!$D$10</f>
        <v>5.7166324435318279</v>
      </c>
      <c r="J376" s="28">
        <f>(J375-Inputs!$D$13)/Inputs!$D$10</f>
        <v>6.7159479808350442</v>
      </c>
      <c r="K376" s="28">
        <f>(K375-Inputs!$D$13)/Inputs!$D$10</f>
        <v>7.7152635181382614</v>
      </c>
      <c r="L376" s="28">
        <f>(L375-Inputs!$D$13)/Inputs!$D$10</f>
        <v>8.7145790554414777</v>
      </c>
      <c r="M376" s="28">
        <f>(M375-Inputs!$D$13)/Inputs!$D$10</f>
        <v>9.716632443531827</v>
      </c>
    </row>
    <row r="377" spans="1:13" ht="15" customHeight="1" x14ac:dyDescent="0.2">
      <c r="A377" s="91"/>
      <c r="B377" s="10" t="s">
        <v>889</v>
      </c>
      <c r="C377" s="10" t="s">
        <v>107</v>
      </c>
      <c r="D377" s="28">
        <f>D376</f>
        <v>0.71457905544147848</v>
      </c>
      <c r="E377" s="28">
        <f>Inputs!$D$7</f>
        <v>1</v>
      </c>
      <c r="F377" s="28">
        <f>Inputs!$D$7</f>
        <v>1</v>
      </c>
      <c r="G377" s="28">
        <f>Inputs!$D$7</f>
        <v>1</v>
      </c>
      <c r="H377" s="28">
        <f>Inputs!$D$7</f>
        <v>1</v>
      </c>
      <c r="I377" s="28">
        <f>Inputs!$D$7</f>
        <v>1</v>
      </c>
      <c r="J377" s="28">
        <f>Inputs!$D$7</f>
        <v>1</v>
      </c>
      <c r="K377" s="28">
        <f>Inputs!$D$7</f>
        <v>1</v>
      </c>
      <c r="L377" s="28">
        <f>Inputs!$D$7</f>
        <v>1</v>
      </c>
      <c r="M377" s="28">
        <f>Inputs!$D$7</f>
        <v>1</v>
      </c>
    </row>
    <row r="378" spans="1:13" ht="15" customHeight="1" x14ac:dyDescent="0.2">
      <c r="A378" s="91"/>
      <c r="B378" s="3" t="s">
        <v>890</v>
      </c>
      <c r="C378" s="10" t="s">
        <v>199</v>
      </c>
      <c r="D378" s="28">
        <f>Inputs!$D$24+(Inputs!$D$80-Inputs!$D$24)*Inputs!$D$83</f>
        <v>305.5</v>
      </c>
      <c r="E378" s="28">
        <f>Inputs!$D$24+(Inputs!$D$80-Inputs!$D$24)*Inputs!$D$84</f>
        <v>651.5</v>
      </c>
      <c r="F378" s="28">
        <f>Inputs!$D$24+(Inputs!$D$80-Inputs!$D$24)*Inputs!$D$85</f>
        <v>911</v>
      </c>
      <c r="G378" s="28">
        <f>Inputs!$D$24+(Inputs!$D$80-Inputs!$D$24)*Inputs!$D$86</f>
        <v>911</v>
      </c>
      <c r="H378" s="28">
        <f>Inputs!$D$24+(Inputs!$D$80-Inputs!$D$24)*Inputs!$D$87</f>
        <v>911</v>
      </c>
      <c r="I378" s="28">
        <f>Inputs!$D$24+(Inputs!$D$80-Inputs!$D$24)*Inputs!$D$88</f>
        <v>911</v>
      </c>
      <c r="J378" s="28">
        <f>Inputs!$D$24+(Inputs!$D$80-Inputs!$D$24)*Inputs!$D$89</f>
        <v>911</v>
      </c>
      <c r="K378" s="28">
        <f>Inputs!$D$24+(Inputs!$D$80-Inputs!$D$24)*Inputs!$D$90</f>
        <v>911</v>
      </c>
      <c r="L378" s="28">
        <f>Inputs!$D$24+(Inputs!$D$80-Inputs!$D$24)*Inputs!$D$91</f>
        <v>911</v>
      </c>
      <c r="M378" s="28">
        <f>Inputs!$D$24+(Inputs!$D$80-Inputs!$D$24)*Inputs!$D$92</f>
        <v>911</v>
      </c>
    </row>
    <row r="379" spans="1:13" ht="15" customHeight="1" x14ac:dyDescent="0.2">
      <c r="A379" s="91"/>
      <c r="B379" s="10" t="s">
        <v>891</v>
      </c>
      <c r="C379" s="10" t="s">
        <v>199</v>
      </c>
      <c r="D379" s="28">
        <f>Inputs!$D$24</f>
        <v>46</v>
      </c>
      <c r="E379" s="28">
        <f t="shared" ref="E379:M379" si="80">D378</f>
        <v>305.5</v>
      </c>
      <c r="F379" s="28">
        <f t="shared" si="80"/>
        <v>651.5</v>
      </c>
      <c r="G379" s="28">
        <f t="shared" si="80"/>
        <v>911</v>
      </c>
      <c r="H379" s="28">
        <f t="shared" si="80"/>
        <v>911</v>
      </c>
      <c r="I379" s="28">
        <f t="shared" si="80"/>
        <v>911</v>
      </c>
      <c r="J379" s="28">
        <f t="shared" si="80"/>
        <v>911</v>
      </c>
      <c r="K379" s="28">
        <f t="shared" si="80"/>
        <v>911</v>
      </c>
      <c r="L379" s="28">
        <f t="shared" si="80"/>
        <v>911</v>
      </c>
      <c r="M379" s="28">
        <f t="shared" si="80"/>
        <v>911</v>
      </c>
    </row>
    <row r="380" spans="1:13" ht="15" customHeight="1" x14ac:dyDescent="0.2">
      <c r="B380" s="10" t="s">
        <v>892</v>
      </c>
      <c r="C380" s="10" t="s">
        <v>199</v>
      </c>
      <c r="D380" s="28">
        <f>(D379+D378)*Inputs!$D$12</f>
        <v>175.75</v>
      </c>
      <c r="E380" s="28">
        <f>(E379+E378)*Inputs!$D$12</f>
        <v>478.5</v>
      </c>
      <c r="F380" s="28">
        <f>(F379+F378)*Inputs!$D$12</f>
        <v>781.25</v>
      </c>
      <c r="G380" s="28">
        <f>(G379+G378)*Inputs!$D$12</f>
        <v>911</v>
      </c>
      <c r="H380" s="28">
        <f>(H379+H378)*Inputs!$D$12</f>
        <v>911</v>
      </c>
      <c r="I380" s="28">
        <f>(I379+I378)*Inputs!$D$12</f>
        <v>911</v>
      </c>
      <c r="J380" s="28">
        <f>(J379+J378)*Inputs!$D$12</f>
        <v>911</v>
      </c>
      <c r="K380" s="28">
        <f>(K379+K378)*Inputs!$D$12</f>
        <v>911</v>
      </c>
      <c r="L380" s="28">
        <f>(L379+L378)*Inputs!$D$12</f>
        <v>911</v>
      </c>
      <c r="M380" s="28">
        <f>(M379+M378)*Inputs!$D$12</f>
        <v>911</v>
      </c>
    </row>
    <row r="381" spans="1:13" ht="15" customHeight="1" x14ac:dyDescent="0.2">
      <c r="B381" s="10" t="s">
        <v>893</v>
      </c>
      <c r="C381" s="10" t="s">
        <v>199</v>
      </c>
      <c r="D381" s="28">
        <f t="shared" ref="D381:M381" si="81">D378-D379</f>
        <v>259.5</v>
      </c>
      <c r="E381" s="28">
        <f t="shared" si="81"/>
        <v>346</v>
      </c>
      <c r="F381" s="28">
        <f t="shared" si="81"/>
        <v>259.5</v>
      </c>
      <c r="G381" s="28">
        <f t="shared" si="81"/>
        <v>0</v>
      </c>
      <c r="H381" s="28">
        <f t="shared" si="81"/>
        <v>0</v>
      </c>
      <c r="I381" s="28">
        <f t="shared" si="81"/>
        <v>0</v>
      </c>
      <c r="J381" s="28">
        <f t="shared" si="81"/>
        <v>0</v>
      </c>
      <c r="K381" s="28">
        <f t="shared" si="81"/>
        <v>0</v>
      </c>
      <c r="L381" s="28">
        <f t="shared" si="81"/>
        <v>0</v>
      </c>
      <c r="M381" s="28">
        <f t="shared" si="81"/>
        <v>0</v>
      </c>
    </row>
    <row r="382" spans="1:13" ht="15" customHeight="1" x14ac:dyDescent="0.2">
      <c r="B382" s="10" t="s">
        <v>894</v>
      </c>
      <c r="C382" s="10" t="s">
        <v>199</v>
      </c>
      <c r="D382" s="28">
        <f>IF(MOD(D374,Inputs!$D$21)=Inputs!$D$6,Inputs!$D$24,Inputs!$D$6)+SUMPRODUCT(--(D374&gt;$D$374:$M$374),--(MOD(D374-$D$374:$M$374,Inputs!$D$21)=Inputs!$D$6),$D$381:$M$381)</f>
        <v>0</v>
      </c>
      <c r="E382" s="28">
        <f>IF(MOD(E374,Inputs!$D$21)=Inputs!$D$6,Inputs!$D$24,Inputs!$D$6)+SUMPRODUCT(--(E374&gt;$D$374:$M$374),--(MOD(E374-$D$374:$M$374,Inputs!$D$21)=Inputs!$D$6),$D$381:$M$381)</f>
        <v>0</v>
      </c>
      <c r="F382" s="28">
        <f>IF(MOD(F374,Inputs!$D$21)=Inputs!$D$6,Inputs!$D$24,Inputs!$D$6)+SUMPRODUCT(--(F374&gt;$D$374:$M$374),--(MOD(F374-$D$374:$M$374,Inputs!$D$21)=Inputs!$D$6),$D$381:$M$381)</f>
        <v>0</v>
      </c>
      <c r="G382" s="28">
        <f>IF(MOD(G374,Inputs!$D$21)=Inputs!$D$6,Inputs!$D$24,Inputs!$D$6)+SUMPRODUCT(--(G374&gt;$D$374:$M$374),--(MOD(G374-$D$374:$M$374,Inputs!$D$21)=Inputs!$D$6),$D$381:$M$381)</f>
        <v>46</v>
      </c>
      <c r="H382" s="28">
        <f>IF(MOD(H374,Inputs!$D$21)=Inputs!$D$6,Inputs!$D$24,Inputs!$D$6)+SUMPRODUCT(--(H374&gt;$D$374:$M$374),--(MOD(H374-$D$374:$M$374,Inputs!$D$21)=Inputs!$D$6),$D$381:$M$381)</f>
        <v>259.5</v>
      </c>
      <c r="I382" s="28">
        <f>IF(MOD(I374,Inputs!$D$21)=Inputs!$D$6,Inputs!$D$24,Inputs!$D$6)+SUMPRODUCT(--(I374&gt;$D$374:$M$374),--(MOD(I374-$D$374:$M$374,Inputs!$D$21)=Inputs!$D$6),$D$381:$M$381)</f>
        <v>346</v>
      </c>
      <c r="J382" s="28">
        <f>IF(MOD(J374,Inputs!$D$21)=Inputs!$D$6,Inputs!$D$24,Inputs!$D$6)+SUMPRODUCT(--(J374&gt;$D$374:$M$374),--(MOD(J374-$D$374:$M$374,Inputs!$D$21)=Inputs!$D$6),$D$381:$M$381)</f>
        <v>259.5</v>
      </c>
      <c r="K382" s="28">
        <f>IF(MOD(K374,Inputs!$D$21)=Inputs!$D$6,Inputs!$D$24,Inputs!$D$6)+SUMPRODUCT(--(K374&gt;$D$374:$M$374),--(MOD(K374-$D$374:$M$374,Inputs!$D$21)=Inputs!$D$6),$D$381:$M$381)</f>
        <v>46</v>
      </c>
      <c r="L382" s="28">
        <f>IF(MOD(L374,Inputs!$D$21)=Inputs!$D$6,Inputs!$D$24,Inputs!$D$6)+SUMPRODUCT(--(L374&gt;$D$374:$M$374),--(MOD(L374-$D$374:$M$374,Inputs!$D$21)=Inputs!$D$6),$D$381:$M$381)</f>
        <v>259.5</v>
      </c>
      <c r="M382" s="28">
        <f>IF(MOD(M374,Inputs!$D$21)=Inputs!$D$6,Inputs!$D$24,Inputs!$D$6)+SUMPRODUCT(--(M374&gt;$D$374:$M$374),--(MOD(M374-$D$374:$M$374,Inputs!$D$21)=Inputs!$D$6),$D$381:$M$381)</f>
        <v>346</v>
      </c>
    </row>
    <row r="383" spans="1:13" ht="15" customHeight="1" x14ac:dyDescent="0.2">
      <c r="B383" s="10" t="s">
        <v>895</v>
      </c>
      <c r="C383" s="10" t="s">
        <v>896</v>
      </c>
      <c r="D383" s="28">
        <f t="shared" ref="D383:M383" si="82">D380*D377</f>
        <v>125.58726899383984</v>
      </c>
      <c r="E383" s="28">
        <f t="shared" si="82"/>
        <v>478.5</v>
      </c>
      <c r="F383" s="28">
        <f t="shared" si="82"/>
        <v>781.25</v>
      </c>
      <c r="G383" s="28">
        <f t="shared" si="82"/>
        <v>911</v>
      </c>
      <c r="H383" s="28">
        <f t="shared" si="82"/>
        <v>911</v>
      </c>
      <c r="I383" s="28">
        <f t="shared" si="82"/>
        <v>911</v>
      </c>
      <c r="J383" s="28">
        <f t="shared" si="82"/>
        <v>911</v>
      </c>
      <c r="K383" s="28">
        <f t="shared" si="82"/>
        <v>911</v>
      </c>
      <c r="L383" s="28">
        <f t="shared" si="82"/>
        <v>911</v>
      </c>
      <c r="M383" s="28">
        <f t="shared" si="82"/>
        <v>911</v>
      </c>
    </row>
    <row r="384" spans="1:13" ht="15" customHeight="1" x14ac:dyDescent="0.2">
      <c r="B384" s="10" t="s">
        <v>897</v>
      </c>
      <c r="C384" s="10" t="s">
        <v>110</v>
      </c>
      <c r="D384" s="16">
        <f>D383*($D$403/Inputs!$D$21+$D$404/Inputs!$D$22)</f>
        <v>1816.9772859324419</v>
      </c>
      <c r="E384" s="16">
        <f>E383*($D$403/Inputs!$D$21+$D$404/Inputs!$D$22)</f>
        <v>6922.8643817497086</v>
      </c>
      <c r="F384" s="16">
        <f>F383*($D$403/Inputs!$D$21+$D$404/Inputs!$D$22)</f>
        <v>11303.0048030135</v>
      </c>
      <c r="G384" s="16">
        <f>G383*($D$403/Inputs!$D$21+$D$404/Inputs!$D$22)</f>
        <v>13180.207840697982</v>
      </c>
      <c r="H384" s="16">
        <f>H383*($D$403/Inputs!$D$21+$D$404/Inputs!$D$22)</f>
        <v>13180.207840697982</v>
      </c>
      <c r="I384" s="16">
        <f>I383*($D$403/Inputs!$D$21+$D$404/Inputs!$D$22)</f>
        <v>13180.207840697982</v>
      </c>
      <c r="J384" s="16">
        <f>J383*($D$403/Inputs!$D$21+$D$404/Inputs!$D$22)</f>
        <v>13180.207840697982</v>
      </c>
      <c r="K384" s="16">
        <f>K383*($D$403/Inputs!$D$21+$D$404/Inputs!$D$22)</f>
        <v>13180.207840697982</v>
      </c>
      <c r="L384" s="16">
        <f>L383*($D$403/Inputs!$D$21+$D$404/Inputs!$D$22)</f>
        <v>13180.207840697982</v>
      </c>
      <c r="M384" s="16">
        <f>M383*($D$403/Inputs!$D$21+$D$404/Inputs!$D$22)</f>
        <v>13180.207840697982</v>
      </c>
    </row>
    <row r="385" spans="2:13" ht="15" customHeight="1" x14ac:dyDescent="0.2">
      <c r="B385" s="10" t="s">
        <v>898</v>
      </c>
      <c r="C385" s="10" t="s">
        <v>110</v>
      </c>
      <c r="D385" s="16">
        <f t="shared" ref="D385:M385" si="83">D381*($D$403+$D$404)</f>
        <v>15560.968620146154</v>
      </c>
      <c r="E385" s="16">
        <f t="shared" si="83"/>
        <v>20747.95816019487</v>
      </c>
      <c r="F385" s="16">
        <f t="shared" si="83"/>
        <v>15560.968620146154</v>
      </c>
      <c r="G385" s="16">
        <f t="shared" si="83"/>
        <v>0</v>
      </c>
      <c r="H385" s="16">
        <f t="shared" si="83"/>
        <v>0</v>
      </c>
      <c r="I385" s="16">
        <f t="shared" si="83"/>
        <v>0</v>
      </c>
      <c r="J385" s="16">
        <f t="shared" si="83"/>
        <v>0</v>
      </c>
      <c r="K385" s="16">
        <f t="shared" si="83"/>
        <v>0</v>
      </c>
      <c r="L385" s="16">
        <f t="shared" si="83"/>
        <v>0</v>
      </c>
      <c r="M385" s="16">
        <f t="shared" si="83"/>
        <v>0</v>
      </c>
    </row>
    <row r="386" spans="2:13" ht="15" customHeight="1" x14ac:dyDescent="0.2">
      <c r="B386" s="10" t="s">
        <v>899</v>
      </c>
      <c r="C386" s="10" t="s">
        <v>110</v>
      </c>
      <c r="D386" s="16">
        <f t="shared" ref="D386:M386" si="84">D382*$D$403</f>
        <v>0</v>
      </c>
      <c r="E386" s="16">
        <f t="shared" si="84"/>
        <v>0</v>
      </c>
      <c r="F386" s="16">
        <f t="shared" si="84"/>
        <v>0</v>
      </c>
      <c r="G386" s="16">
        <f t="shared" si="84"/>
        <v>2638.0048485671714</v>
      </c>
      <c r="H386" s="16">
        <f t="shared" si="84"/>
        <v>14881.788221808281</v>
      </c>
      <c r="I386" s="16">
        <f t="shared" si="84"/>
        <v>19842.384295744378</v>
      </c>
      <c r="J386" s="16">
        <f t="shared" si="84"/>
        <v>14881.788221808281</v>
      </c>
      <c r="K386" s="16">
        <f t="shared" si="84"/>
        <v>2638.0048485671714</v>
      </c>
      <c r="L386" s="16">
        <f t="shared" si="84"/>
        <v>14881.788221808281</v>
      </c>
      <c r="M386" s="16">
        <f t="shared" si="84"/>
        <v>19842.384295744378</v>
      </c>
    </row>
    <row r="387" spans="2:13" ht="15" customHeight="1" x14ac:dyDescent="0.2">
      <c r="B387" s="10" t="s">
        <v>900</v>
      </c>
      <c r="C387" s="10" t="s">
        <v>199</v>
      </c>
      <c r="D387" s="28">
        <f>D381*Inputs!$D$23</f>
        <v>6.4875000000000007</v>
      </c>
      <c r="E387" s="28">
        <f>E381*Inputs!$D$23</f>
        <v>8.65</v>
      </c>
      <c r="F387" s="28">
        <f>F381*Inputs!$D$23</f>
        <v>6.4875000000000007</v>
      </c>
      <c r="G387" s="28">
        <f>G381*Inputs!$D$23</f>
        <v>0</v>
      </c>
      <c r="H387" s="28">
        <f>H381*Inputs!$D$23</f>
        <v>0</v>
      </c>
      <c r="I387" s="28">
        <f>I381*Inputs!$D$23</f>
        <v>0</v>
      </c>
      <c r="J387" s="28">
        <f>J381*Inputs!$D$23</f>
        <v>0</v>
      </c>
      <c r="K387" s="28">
        <f>K381*Inputs!$D$23</f>
        <v>0</v>
      </c>
      <c r="L387" s="28">
        <f>L381*Inputs!$D$23</f>
        <v>0</v>
      </c>
      <c r="M387" s="28">
        <f>M381*Inputs!$D$23</f>
        <v>0</v>
      </c>
    </row>
    <row r="388" spans="2:13" ht="15" customHeight="1" x14ac:dyDescent="0.2">
      <c r="B388" s="3" t="s">
        <v>901</v>
      </c>
      <c r="C388" s="10" t="s">
        <v>896</v>
      </c>
      <c r="D388" s="28">
        <f>(D383*$D$401*(Inputs!$D$7-Inputs!$D$19)-D387)/(Inputs!$D$7+$D$402)^D376</f>
        <v>43.783831198567135</v>
      </c>
      <c r="E388" s="28">
        <f>(E383*$D$401*(Inputs!$D$7-Inputs!$D$19)-E387)/(Inputs!$D$7+$D$402)^E376</f>
        <v>168.51871826429579</v>
      </c>
      <c r="F388" s="28">
        <f>(F383*$D$401*(Inputs!$D$7-Inputs!$D$19)-F387)/(Inputs!$D$7+$D$402)^F376</f>
        <v>260.96934562388475</v>
      </c>
      <c r="G388" s="28">
        <f>(G383*$D$401*(Inputs!$D$7-Inputs!$D$19)-G387)/(Inputs!$D$7+$D$402)^G376</f>
        <v>287.46806652281919</v>
      </c>
      <c r="H388" s="28">
        <f>(H383*$D$401*(Inputs!$D$7-Inputs!$D$19)-H387)/(Inputs!$D$7+$D$402)^H376</f>
        <v>266.1881572833488</v>
      </c>
      <c r="I388" s="28">
        <f>(I383*$D$401*(Inputs!$D$7-Inputs!$D$19)-I387)/(Inputs!$D$7+$D$402)^I376</f>
        <v>246.43156912674462</v>
      </c>
      <c r="J388" s="28">
        <f>(J383*$D$401*(Inputs!$D$7-Inputs!$D$19)-J387)/(Inputs!$D$7+$D$402)^J376</f>
        <v>228.18939882870521</v>
      </c>
      <c r="K388" s="28">
        <f>(K383*$D$401*(Inputs!$D$7-Inputs!$D$19)-K387)/(Inputs!$D$7+$D$402)^K376</f>
        <v>211.29761061994878</v>
      </c>
      <c r="L388" s="28">
        <f>(L383*$D$401*(Inputs!$D$7-Inputs!$D$19)-L387)/(Inputs!$D$7+$D$402)^L376</f>
        <v>195.65624206413901</v>
      </c>
      <c r="M388" s="28">
        <f>(M383*$D$401*(Inputs!$D$7-Inputs!$D$19)-M387)/(Inputs!$D$7+$D$402)^M376</f>
        <v>181.1345599796301</v>
      </c>
    </row>
    <row r="389" spans="2:13" ht="15" customHeight="1" x14ac:dyDescent="0.2">
      <c r="B389" s="10" t="s">
        <v>902</v>
      </c>
      <c r="C389" s="10" t="s">
        <v>110</v>
      </c>
      <c r="D389" s="16">
        <f>(D384*Inputs!$D$19-D385-D386)/(Inputs!$D$7+$D$402)^D376</f>
        <v>-14212.377724210151</v>
      </c>
      <c r="E389" s="16">
        <f>(E384*Inputs!$D$19-E385-E386)/(Inputs!$D$7+$D$402)^E376</f>
        <v>-16360.387094728963</v>
      </c>
      <c r="F389" s="16">
        <f>(F384*Inputs!$D$19-F385-F386)/(Inputs!$D$7+$D$402)^F376</f>
        <v>-9874.5154652847668</v>
      </c>
      <c r="G389" s="16">
        <f>(G384*Inputs!$D$19-G385-G386)/(Inputs!$D$7+$D$402)^G376</f>
        <v>988.77347238742834</v>
      </c>
      <c r="H389" s="16">
        <f>(H384*Inputs!$D$19-H385-H386)/(Inputs!$D$7+$D$402)^H376</f>
        <v>-7602.4024163036647</v>
      </c>
      <c r="I389" s="16">
        <f>(I384*Inputs!$D$19-I385-I386)/(Inputs!$D$7+$D$402)^I376</f>
        <v>-10233.087939303265</v>
      </c>
      <c r="J389" s="16">
        <f>(J384*Inputs!$D$19-J385-J386)/(Inputs!$D$7+$D$402)^J376</f>
        <v>-6517.1480757635773</v>
      </c>
      <c r="K389" s="16">
        <f>(K384*Inputs!$D$19-K385-K386)/(Inputs!$D$7+$D$402)^K376</f>
        <v>726.77801985796941</v>
      </c>
      <c r="L389" s="16">
        <f>(L384*Inputs!$D$19-L385-L386)/(Inputs!$D$7+$D$402)^L376</f>
        <v>-5587.9927289550824</v>
      </c>
      <c r="M389" s="16">
        <f>(M384*Inputs!$D$19-M385-M386)/(Inputs!$D$7+$D$402)^M376</f>
        <v>-7521.6251216792398</v>
      </c>
    </row>
    <row r="390" spans="2:13" ht="15" customHeight="1" x14ac:dyDescent="0.2">
      <c r="B390" s="10" t="s">
        <v>903</v>
      </c>
      <c r="C390" s="10" t="s">
        <v>110</v>
      </c>
      <c r="D390" s="16">
        <f t="shared" ref="D390:M390" si="85">D383*$D$400</f>
        <v>4899.9915349568937</v>
      </c>
      <c r="E390" s="16">
        <f t="shared" si="85"/>
        <v>18669.455656304464</v>
      </c>
      <c r="F390" s="16">
        <f t="shared" si="85"/>
        <v>30481.739250758332</v>
      </c>
      <c r="G390" s="16">
        <f t="shared" si="85"/>
        <v>35544.146505524273</v>
      </c>
      <c r="H390" s="16">
        <f t="shared" si="85"/>
        <v>35544.146505524273</v>
      </c>
      <c r="I390" s="16">
        <f t="shared" si="85"/>
        <v>35544.146505524273</v>
      </c>
      <c r="J390" s="16">
        <f t="shared" si="85"/>
        <v>35544.146505524273</v>
      </c>
      <c r="K390" s="16">
        <f t="shared" si="85"/>
        <v>35544.146505524273</v>
      </c>
      <c r="L390" s="16">
        <f t="shared" si="85"/>
        <v>35544.146505524273</v>
      </c>
      <c r="M390" s="16">
        <f t="shared" si="85"/>
        <v>35544.146505524273</v>
      </c>
    </row>
    <row r="391" spans="2:13" ht="15" customHeight="1" x14ac:dyDescent="0.2">
      <c r="B391" s="10" t="s">
        <v>904</v>
      </c>
      <c r="C391" s="10" t="s">
        <v>110</v>
      </c>
      <c r="D391" s="16">
        <f t="shared" ref="D391:M391" si="86">D390*$D$401</f>
        <v>2939.9949209741362</v>
      </c>
      <c r="E391" s="16">
        <f t="shared" si="86"/>
        <v>11201.673393782678</v>
      </c>
      <c r="F391" s="16">
        <f t="shared" si="86"/>
        <v>18289.043550454997</v>
      </c>
      <c r="G391" s="16">
        <f t="shared" si="86"/>
        <v>21326.487903314563</v>
      </c>
      <c r="H391" s="16">
        <f t="shared" si="86"/>
        <v>21326.487903314563</v>
      </c>
      <c r="I391" s="16">
        <f t="shared" si="86"/>
        <v>21326.487903314563</v>
      </c>
      <c r="J391" s="16">
        <f t="shared" si="86"/>
        <v>21326.487903314563</v>
      </c>
      <c r="K391" s="16">
        <f t="shared" si="86"/>
        <v>21326.487903314563</v>
      </c>
      <c r="L391" s="16">
        <f t="shared" si="86"/>
        <v>21326.487903314563</v>
      </c>
      <c r="M391" s="16">
        <f t="shared" si="86"/>
        <v>21326.487903314563</v>
      </c>
    </row>
    <row r="392" spans="2:13" ht="15" customHeight="1" x14ac:dyDescent="0.2">
      <c r="B392" s="10" t="s">
        <v>905</v>
      </c>
      <c r="C392" s="10" t="s">
        <v>110</v>
      </c>
      <c r="D392" s="16">
        <f t="shared" ref="D392:M392" si="87">D391-D384</f>
        <v>1123.0176350416943</v>
      </c>
      <c r="E392" s="16">
        <f t="shared" si="87"/>
        <v>4278.8090120329689</v>
      </c>
      <c r="F392" s="16">
        <f t="shared" si="87"/>
        <v>6986.0387474414965</v>
      </c>
      <c r="G392" s="16">
        <f t="shared" si="87"/>
        <v>8146.2800626165808</v>
      </c>
      <c r="H392" s="16">
        <f t="shared" si="87"/>
        <v>8146.2800626165808</v>
      </c>
      <c r="I392" s="16">
        <f t="shared" si="87"/>
        <v>8146.2800626165808</v>
      </c>
      <c r="J392" s="16">
        <f t="shared" si="87"/>
        <v>8146.2800626165808</v>
      </c>
      <c r="K392" s="16">
        <f t="shared" si="87"/>
        <v>8146.2800626165808</v>
      </c>
      <c r="L392" s="16">
        <f t="shared" si="87"/>
        <v>8146.2800626165808</v>
      </c>
      <c r="M392" s="16">
        <f t="shared" si="87"/>
        <v>8146.2800626165808</v>
      </c>
    </row>
    <row r="393" spans="2:13" ht="15" customHeight="1" x14ac:dyDescent="0.2">
      <c r="B393" s="10" t="s">
        <v>906</v>
      </c>
      <c r="C393" s="10" t="s">
        <v>110</v>
      </c>
      <c r="D393" s="16">
        <f>MAX(D392,Inputs!$D$6)*Inputs!$D$19</f>
        <v>336.90529051250832</v>
      </c>
      <c r="E393" s="16">
        <f>MAX(E392,Inputs!$D$6)*Inputs!$D$19</f>
        <v>1283.6427036098905</v>
      </c>
      <c r="F393" s="16">
        <f>MAX(F392,Inputs!$D$6)*Inputs!$D$19</f>
        <v>2095.811624232449</v>
      </c>
      <c r="G393" s="16">
        <f>MAX(G392,Inputs!$D$6)*Inputs!$D$19</f>
        <v>2443.8840187849742</v>
      </c>
      <c r="H393" s="16">
        <f>MAX(H392,Inputs!$D$6)*Inputs!$D$19</f>
        <v>2443.8840187849742</v>
      </c>
      <c r="I393" s="16">
        <f>MAX(I392,Inputs!$D$6)*Inputs!$D$19</f>
        <v>2443.8840187849742</v>
      </c>
      <c r="J393" s="16">
        <f>MAX(J392,Inputs!$D$6)*Inputs!$D$19</f>
        <v>2443.8840187849742</v>
      </c>
      <c r="K393" s="16">
        <f>MAX(K392,Inputs!$D$6)*Inputs!$D$19</f>
        <v>2443.8840187849742</v>
      </c>
      <c r="L393" s="16">
        <f>MAX(L392,Inputs!$D$6)*Inputs!$D$19</f>
        <v>2443.8840187849742</v>
      </c>
      <c r="M393" s="16">
        <f>MAX(M392,Inputs!$D$6)*Inputs!$D$19</f>
        <v>2443.8840187849742</v>
      </c>
    </row>
    <row r="394" spans="2:13" ht="15" customHeight="1" x14ac:dyDescent="0.2">
      <c r="B394" s="10" t="s">
        <v>907</v>
      </c>
      <c r="C394" s="10" t="s">
        <v>110</v>
      </c>
      <c r="D394" s="16">
        <f t="shared" ref="D394:M394" si="88">D387*$D$400</f>
        <v>253.12036273829722</v>
      </c>
      <c r="E394" s="16">
        <f t="shared" si="88"/>
        <v>337.49381698439629</v>
      </c>
      <c r="F394" s="16">
        <f t="shared" si="88"/>
        <v>253.12036273829722</v>
      </c>
      <c r="G394" s="16">
        <f t="shared" si="88"/>
        <v>0</v>
      </c>
      <c r="H394" s="16">
        <f t="shared" si="88"/>
        <v>0</v>
      </c>
      <c r="I394" s="16">
        <f t="shared" si="88"/>
        <v>0</v>
      </c>
      <c r="J394" s="16">
        <f t="shared" si="88"/>
        <v>0</v>
      </c>
      <c r="K394" s="16">
        <f t="shared" si="88"/>
        <v>0</v>
      </c>
      <c r="L394" s="16">
        <f t="shared" si="88"/>
        <v>0</v>
      </c>
      <c r="M394" s="16">
        <f t="shared" si="88"/>
        <v>0</v>
      </c>
    </row>
    <row r="395" spans="2:13" ht="15" customHeight="1" x14ac:dyDescent="0.2">
      <c r="B395" s="10" t="s">
        <v>908</v>
      </c>
      <c r="C395" s="10" t="s">
        <v>110</v>
      </c>
      <c r="D395" s="16">
        <f t="shared" ref="D395:M395" si="89">D391-D393-D385-D386-D394</f>
        <v>-13210.999352422823</v>
      </c>
      <c r="E395" s="16">
        <f t="shared" si="89"/>
        <v>-11167.42128700648</v>
      </c>
      <c r="F395" s="16">
        <f t="shared" si="89"/>
        <v>379.14294333809744</v>
      </c>
      <c r="G395" s="16">
        <f t="shared" si="89"/>
        <v>16244.599035962416</v>
      </c>
      <c r="H395" s="16">
        <f t="shared" si="89"/>
        <v>4000.8156627213066</v>
      </c>
      <c r="I395" s="16">
        <f t="shared" si="89"/>
        <v>-959.78041121478964</v>
      </c>
      <c r="J395" s="16">
        <f t="shared" si="89"/>
        <v>4000.8156627213066</v>
      </c>
      <c r="K395" s="16">
        <f t="shared" si="89"/>
        <v>16244.599035962416</v>
      </c>
      <c r="L395" s="16">
        <f t="shared" si="89"/>
        <v>4000.8156627213066</v>
      </c>
      <c r="M395" s="16">
        <f t="shared" si="89"/>
        <v>-959.78041121478964</v>
      </c>
    </row>
    <row r="396" spans="2:13" ht="15" customHeight="1" x14ac:dyDescent="0.2">
      <c r="B396" s="10" t="s">
        <v>909</v>
      </c>
      <c r="C396" s="10" t="s">
        <v>110</v>
      </c>
      <c r="D396" s="16">
        <f>D395/(Inputs!$D$7+$D$402)^D376</f>
        <v>-12504.080346937908</v>
      </c>
      <c r="E396" s="16">
        <f>E395/(Inputs!$D$7+$D$402)^E376</f>
        <v>-9785.355249603499</v>
      </c>
      <c r="F396" s="16">
        <f>F395/(Inputs!$D$7+$D$402)^F376</f>
        <v>307.62795327303849</v>
      </c>
      <c r="G396" s="16">
        <f>G395/(Inputs!$D$7+$D$402)^G376</f>
        <v>12204.807580122753</v>
      </c>
      <c r="H396" s="16">
        <f>H395/(Inputs!$D$7+$D$402)^H376</f>
        <v>2783.3614261934672</v>
      </c>
      <c r="I396" s="16">
        <f>I395/(Inputs!$D$7+$D$402)^I376</f>
        <v>-618.15951270914434</v>
      </c>
      <c r="J396" s="16">
        <f>J395/(Inputs!$D$7+$D$402)^J376</f>
        <v>2386.0324104878018</v>
      </c>
      <c r="K396" s="16">
        <f>K395/(Inputs!$D$7+$D$402)^K376</f>
        <v>8970.8979190266637</v>
      </c>
      <c r="L396" s="16">
        <f>L395/(Inputs!$D$7+$D$402)^L376</f>
        <v>2045.8537393743104</v>
      </c>
      <c r="M396" s="16">
        <f>M395/(Inputs!$D$7+$D$402)^M376</f>
        <v>-454.36569563132963</v>
      </c>
    </row>
    <row r="397" spans="2:13" ht="15" customHeight="1" x14ac:dyDescent="0.2">
      <c r="B397" s="3" t="s">
        <v>910</v>
      </c>
      <c r="C397" s="10" t="s">
        <v>896</v>
      </c>
      <c r="D397" s="28">
        <f>(D383*$D$401-D387)/(Inputs!$D$7+$D$402)^D376</f>
        <v>65.179910846200087</v>
      </c>
      <c r="E397" s="28">
        <f>(E383*$D$401-E387)/(Inputs!$D$7+$D$402)^E376</f>
        <v>243.98937760343787</v>
      </c>
      <c r="F397" s="28">
        <f>(F383*$D$401-F387)/(Inputs!$D$7+$D$402)^F376</f>
        <v>375.06926938389034</v>
      </c>
      <c r="G397" s="28">
        <f>(G383*$D$401-G387)/(Inputs!$D$7+$D$402)^G376</f>
        <v>410.66866646117023</v>
      </c>
      <c r="H397" s="28">
        <f>(H383*$D$401-H387)/(Inputs!$D$7+$D$402)^H376</f>
        <v>380.26879611906975</v>
      </c>
      <c r="I397" s="28">
        <f>(I383*$D$401-I387)/(Inputs!$D$7+$D$402)^I376</f>
        <v>352.04509875249232</v>
      </c>
      <c r="J397" s="28">
        <f>(J383*$D$401-J387)/(Inputs!$D$7+$D$402)^J376</f>
        <v>325.98485546957886</v>
      </c>
      <c r="K397" s="28">
        <f>(K383*$D$401-K387)/(Inputs!$D$7+$D$402)^K376</f>
        <v>301.85372945706973</v>
      </c>
      <c r="L397" s="28">
        <f>(L383*$D$401-L387)/(Inputs!$D$7+$D$402)^L376</f>
        <v>279.50891723448427</v>
      </c>
      <c r="M397" s="28">
        <f>(M383*$D$401-M387)/(Inputs!$D$7+$D$402)^M376</f>
        <v>258.76365711375729</v>
      </c>
    </row>
    <row r="398" spans="2:13" ht="15" customHeight="1" x14ac:dyDescent="0.2">
      <c r="B398" s="10" t="s">
        <v>911</v>
      </c>
      <c r="C398" s="10" t="s">
        <v>110</v>
      </c>
      <c r="D398" s="16">
        <f>(-D385-D386)/(Inputs!$D$7+$D$402)^D376</f>
        <v>-14728.303038392241</v>
      </c>
      <c r="E398" s="16">
        <f>(-E385-E386)/(Inputs!$D$7+$D$402)^E376</f>
        <v>-18180.216908055725</v>
      </c>
      <c r="F398" s="16">
        <f>(-F385-F386)/(Inputs!$D$7+$D$402)^F376</f>
        <v>-12625.815702688111</v>
      </c>
      <c r="G398" s="16">
        <f>(-G385-G386)/(Inputs!$D$7+$D$402)^G376</f>
        <v>-1981.9720696655354</v>
      </c>
      <c r="H398" s="16">
        <f>(-H385-H386)/(Inputs!$D$7+$D$402)^H376</f>
        <v>-10353.237634844469</v>
      </c>
      <c r="I398" s="16">
        <f>(-I385-I386)/(Inputs!$D$7+$D$402)^I376</f>
        <v>-12779.755102232404</v>
      </c>
      <c r="J398" s="16">
        <f>(-J385-J386)/(Inputs!$D$7+$D$402)^J376</f>
        <v>-8875.2974434962562</v>
      </c>
      <c r="K398" s="16">
        <f>(-K385-K386)/(Inputs!$D$7+$D$402)^K376</f>
        <v>-1456.8086386129401</v>
      </c>
      <c r="L398" s="16">
        <f>(-L385-L386)/(Inputs!$D$7+$D$402)^L376</f>
        <v>-7609.9387347064285</v>
      </c>
      <c r="M398" s="16">
        <f>(-M385-M386)/(Inputs!$D$7+$D$402)^M376</f>
        <v>-9393.5015115686074</v>
      </c>
    </row>
    <row r="399" spans="2:13" ht="15" customHeight="1" x14ac:dyDescent="0.2">
      <c r="B399" s="10" t="s">
        <v>912</v>
      </c>
      <c r="C399" s="10" t="s">
        <v>110</v>
      </c>
      <c r="D399" s="16">
        <f>Prices!I6</f>
        <v>43700</v>
      </c>
    </row>
    <row r="400" spans="2:13" ht="15" customHeight="1" x14ac:dyDescent="0.2">
      <c r="B400" s="3" t="s">
        <v>913</v>
      </c>
      <c r="C400" s="10" t="s">
        <v>914</v>
      </c>
      <c r="D400" s="28">
        <f>IF(J407&gt;=J403,J407,(D399-J406)/J405)</f>
        <v>39.016626240970666</v>
      </c>
      <c r="G400" s="99" t="s">
        <v>915</v>
      </c>
      <c r="H400" s="91"/>
      <c r="I400" s="91"/>
      <c r="J400" s="28">
        <f>D400*Inputs!$D$15</f>
        <v>27.229703453573425</v>
      </c>
      <c r="K400" s="99" t="s">
        <v>916</v>
      </c>
      <c r="L400" s="91"/>
      <c r="M400" s="91"/>
    </row>
    <row r="401" spans="2:13" ht="15" customHeight="1" x14ac:dyDescent="0.2">
      <c r="B401" s="10" t="s">
        <v>917</v>
      </c>
      <c r="C401" s="10" t="s">
        <v>104</v>
      </c>
      <c r="D401" s="30">
        <f>Inputs!$D$142</f>
        <v>0.6</v>
      </c>
      <c r="G401" s="99" t="s">
        <v>918</v>
      </c>
      <c r="H401" s="91"/>
      <c r="I401" s="91"/>
      <c r="J401" s="28">
        <f>IF(-D412/D411&gt;=J403,-D412/D411,-J406/J405)</f>
        <v>31.013587942701196</v>
      </c>
      <c r="K401" s="99" t="s">
        <v>919</v>
      </c>
      <c r="L401" s="91"/>
      <c r="M401" s="91"/>
    </row>
    <row r="402" spans="2:13" ht="15" customHeight="1" x14ac:dyDescent="0.2">
      <c r="B402" s="10" t="s">
        <v>920</v>
      </c>
      <c r="C402" s="10" t="s">
        <v>104</v>
      </c>
      <c r="D402" s="30">
        <f>Inputs!$D$146</f>
        <v>0.08</v>
      </c>
      <c r="G402" s="99" t="s">
        <v>918</v>
      </c>
      <c r="H402" s="91"/>
      <c r="I402" s="91"/>
      <c r="J402" s="28">
        <f>J401*Inputs!$D$15</f>
        <v>21.644383025211162</v>
      </c>
      <c r="K402" s="99" t="s">
        <v>916</v>
      </c>
      <c r="L402" s="91"/>
      <c r="M402" s="91"/>
    </row>
    <row r="403" spans="2:13" ht="15" customHeight="1" x14ac:dyDescent="0.2">
      <c r="B403" s="3" t="s">
        <v>921</v>
      </c>
      <c r="C403" s="10" t="s">
        <v>848</v>
      </c>
      <c r="D403" s="28">
        <f>Capital!$D$13</f>
        <v>57.347931490590682</v>
      </c>
      <c r="G403" s="99" t="s">
        <v>922</v>
      </c>
      <c r="H403" s="91"/>
      <c r="I403" s="91"/>
      <c r="J403" s="28">
        <f>($D$403/Inputs!$D$21+$D$404/Inputs!$D$22)/$D$401</f>
        <v>24.113076913095469</v>
      </c>
      <c r="K403" s="99" t="s">
        <v>919</v>
      </c>
      <c r="L403" s="91"/>
      <c r="M403" s="91"/>
    </row>
    <row r="404" spans="2:13" ht="15" customHeight="1" x14ac:dyDescent="0.2">
      <c r="B404" s="3" t="s">
        <v>923</v>
      </c>
      <c r="C404" s="10" t="s">
        <v>848</v>
      </c>
      <c r="D404" s="28">
        <f>Capital!$D$14</f>
        <v>2.6172655041921802</v>
      </c>
    </row>
    <row r="405" spans="2:13" ht="15" customHeight="1" x14ac:dyDescent="0.2">
      <c r="B405" s="10" t="s">
        <v>924</v>
      </c>
      <c r="C405" s="10" t="s">
        <v>896</v>
      </c>
      <c r="D405" s="28">
        <f>(M378*(Inputs!$D$7+Inputs!$D$20)*$D$401*(Inputs!$D$7-Inputs!$D$19)-M378*Inputs!$D$20*Inputs!$D$23)/($D$402-Inputs!$D$20)/(Inputs!$D$7+$D$402)^M376</f>
        <v>3370.7887000538294</v>
      </c>
      <c r="G405" s="92" t="s">
        <v>910</v>
      </c>
      <c r="H405" s="91"/>
      <c r="I405" s="91"/>
      <c r="J405" s="28">
        <f>SUM(D397:M397)+(M378*(Inputs!$D$7+Inputs!$D$20)*$D$401-M378*Inputs!$D$20*Inputs!$D$23)/($D$402-Inputs!$D$20)/(Inputs!$D$7+$D$402)^M376</f>
        <v>7810.8450614491685</v>
      </c>
      <c r="K405" s="99" t="s">
        <v>896</v>
      </c>
      <c r="L405" s="91"/>
      <c r="M405" s="91"/>
    </row>
    <row r="406" spans="2:13" ht="15" customHeight="1" x14ac:dyDescent="0.2">
      <c r="B406" s="10" t="s">
        <v>925</v>
      </c>
      <c r="C406" s="10" t="s">
        <v>110</v>
      </c>
      <c r="D406" s="16">
        <f>(D409*Inputs!$D$19-D409-D410)/($D$402-Inputs!$D$20)/(Inputs!$D$7+$D$402)^M376</f>
        <v>-93153.423070883771</v>
      </c>
      <c r="G406" s="92" t="s">
        <v>926</v>
      </c>
      <c r="H406" s="91"/>
      <c r="I406" s="91"/>
      <c r="J406" s="16">
        <f>SUM(D398:M398)-(D409+D410)/($D$402-Inputs!$D$20)/(Inputs!$D$7+$D$402)^M376</f>
        <v>-226023.23893944838</v>
      </c>
      <c r="K406" s="99" t="s">
        <v>110</v>
      </c>
      <c r="L406" s="91"/>
      <c r="M406" s="91"/>
    </row>
    <row r="407" spans="2:13" ht="15" customHeight="1" x14ac:dyDescent="0.2">
      <c r="B407" s="10" t="s">
        <v>927</v>
      </c>
      <c r="C407" s="10" t="s">
        <v>928</v>
      </c>
      <c r="D407" s="16">
        <f>(M378*(Inputs!$D$7+Inputs!$D$20)*$D$400*$D$401-D409)-MAX((M378*(Inputs!$D$7+Inputs!$D$20)*$D$400*$D$401-D409),Inputs!$D$6)*Inputs!$D$19-D410-M378*Inputs!$D$20*$D$400*Inputs!$D$23</f>
        <v>4457.0334918052649</v>
      </c>
      <c r="G407" s="99" t="s">
        <v>929</v>
      </c>
      <c r="H407" s="91"/>
      <c r="I407" s="91"/>
      <c r="J407" s="28">
        <f>(D399-D412)/D411</f>
        <v>39.016626240970666</v>
      </c>
      <c r="K407" s="99" t="s">
        <v>919</v>
      </c>
      <c r="L407" s="91"/>
      <c r="M407" s="91"/>
    </row>
    <row r="408" spans="2:13" ht="15" customHeight="1" x14ac:dyDescent="0.2">
      <c r="B408" s="10" t="s">
        <v>930</v>
      </c>
      <c r="C408" s="10" t="s">
        <v>110</v>
      </c>
      <c r="D408" s="16">
        <f>D407/($D$402-Inputs!$D$20)</f>
        <v>81036.972578277549</v>
      </c>
      <c r="G408" s="99" t="s">
        <v>931</v>
      </c>
      <c r="H408" s="91"/>
      <c r="I408" s="91"/>
      <c r="J408" s="16">
        <f>MIN(D392:M392,(M378*(Inputs!$D$7+Inputs!$D$20)*$D$400*$D$401-D409))</f>
        <v>1123.0176350416943</v>
      </c>
      <c r="K408" s="99" t="s">
        <v>110</v>
      </c>
      <c r="L408" s="91"/>
      <c r="M408" s="91"/>
    </row>
    <row r="409" spans="2:13" ht="15" customHeight="1" x14ac:dyDescent="0.2">
      <c r="B409" s="10" t="s">
        <v>932</v>
      </c>
      <c r="C409" s="10" t="s">
        <v>928</v>
      </c>
      <c r="D409" s="16">
        <f>M378*(Inputs!$D$7+Inputs!$D$20)*($D$403/Inputs!$D$21+$D$404/Inputs!$D$22)</f>
        <v>13509.71303671543</v>
      </c>
      <c r="G409" s="99" t="s">
        <v>933</v>
      </c>
      <c r="H409" s="91"/>
      <c r="I409" s="91"/>
      <c r="J409" s="31" t="str">
        <f>IF(J408&lt;Inputs!$D$6,"breached","satisfied")</f>
        <v>satisfied</v>
      </c>
      <c r="K409" s="99" t="s">
        <v>934</v>
      </c>
      <c r="L409" s="91"/>
      <c r="M409" s="91"/>
    </row>
    <row r="410" spans="2:13" ht="15" customHeight="1" x14ac:dyDescent="0.2">
      <c r="B410" s="10" t="s">
        <v>935</v>
      </c>
      <c r="C410" s="10" t="s">
        <v>928</v>
      </c>
      <c r="D410" s="16">
        <f>M378*Inputs!$D$20*($D$403+$D$404)</f>
        <v>1365.7073615561799</v>
      </c>
    </row>
    <row r="411" spans="2:13" ht="15" customHeight="1" x14ac:dyDescent="0.2">
      <c r="B411" s="10" t="s">
        <v>936</v>
      </c>
      <c r="C411" s="10" t="s">
        <v>896</v>
      </c>
      <c r="D411" s="28">
        <f>SUM(D388:M388)+D405</f>
        <v>5460.4261995659126</v>
      </c>
      <c r="G411" s="99" t="s">
        <v>937</v>
      </c>
      <c r="H411" s="91"/>
      <c r="I411" s="91"/>
      <c r="J411" s="16">
        <f>D413-D399</f>
        <v>0</v>
      </c>
      <c r="K411" s="99" t="s">
        <v>110</v>
      </c>
      <c r="L411" s="91"/>
      <c r="M411" s="91"/>
    </row>
    <row r="412" spans="2:13" ht="15" customHeight="1" x14ac:dyDescent="0.2">
      <c r="B412" s="10" t="s">
        <v>938</v>
      </c>
      <c r="C412" s="10" t="s">
        <v>110</v>
      </c>
      <c r="D412" s="16">
        <f>SUM(D389:M389)+D406</f>
        <v>-169347.40814486711</v>
      </c>
    </row>
    <row r="413" spans="2:13" ht="15" customHeight="1" x14ac:dyDescent="0.2">
      <c r="B413" s="10" t="s">
        <v>939</v>
      </c>
      <c r="C413" s="10" t="s">
        <v>110</v>
      </c>
      <c r="D413" s="16">
        <f>SUM(D396:M396)+D408/(Inputs!$D$7+$D$402)^M376</f>
        <v>43700.000000000036</v>
      </c>
    </row>
    <row r="414" spans="2:13" ht="15" customHeight="1" x14ac:dyDescent="0.2">
      <c r="B414" s="10" t="s">
        <v>940</v>
      </c>
      <c r="C414" s="10" t="s">
        <v>104</v>
      </c>
      <c r="D414" s="30">
        <f>IF(ABS(D399)&gt;Inputs!$D$6,D413/D399-Inputs!$D$7,Inputs!$D$6)</f>
        <v>8.8817841970012523E-16</v>
      </c>
    </row>
    <row r="415" spans="2:13" ht="15" customHeight="1" x14ac:dyDescent="0.2">
      <c r="B415" s="10" t="s">
        <v>941</v>
      </c>
      <c r="C415" s="10" t="s">
        <v>104</v>
      </c>
      <c r="D415" s="30">
        <f>IF(ABS(D413)&gt;Inputs!$D$119,D408/(Inputs!$D$7+$D$402)^M376/D413,Inputs!$D$6)</f>
        <v>0.87788054408246796</v>
      </c>
    </row>
    <row r="416" spans="2:13" ht="15" customHeight="1" x14ac:dyDescent="0.2">
      <c r="B416" s="10" t="s">
        <v>942</v>
      </c>
      <c r="C416" s="10" t="s">
        <v>943</v>
      </c>
      <c r="D416" s="26">
        <f>$D$400*Inputs!$D$8/Prices!$P$6/(Inputs!$D$26/Inputs!$D$25)/Inputs!$D$11/Inputs!$D$56</f>
        <v>7.0952919957941472</v>
      </c>
    </row>
    <row r="420" spans="1:13" ht="15" customHeight="1" x14ac:dyDescent="0.2">
      <c r="A420" s="104" t="s">
        <v>2174</v>
      </c>
      <c r="B420" s="10" t="s">
        <v>886</v>
      </c>
      <c r="C420" s="10" t="s">
        <v>107</v>
      </c>
      <c r="D420" s="28">
        <f>Inputs!$D$60</f>
        <v>1</v>
      </c>
      <c r="E420" s="28">
        <f>Inputs!$D$62</f>
        <v>2</v>
      </c>
      <c r="F420" s="28">
        <f>Inputs!$D$64</f>
        <v>3</v>
      </c>
      <c r="G420" s="28">
        <f>Inputs!$D$66</f>
        <v>4</v>
      </c>
      <c r="H420" s="28">
        <f>Inputs!$D$68</f>
        <v>5</v>
      </c>
      <c r="I420" s="28">
        <f>Inputs!$D$70</f>
        <v>6</v>
      </c>
      <c r="J420" s="28">
        <f>Inputs!$D$72</f>
        <v>7</v>
      </c>
      <c r="K420" s="28">
        <f>Inputs!$D$74</f>
        <v>8</v>
      </c>
      <c r="L420" s="28">
        <f>Inputs!$D$76</f>
        <v>9</v>
      </c>
      <c r="M420" s="28">
        <f>Inputs!$D$78</f>
        <v>10</v>
      </c>
    </row>
    <row r="421" spans="1:13" ht="15" customHeight="1" x14ac:dyDescent="0.2">
      <c r="A421" s="91"/>
      <c r="B421" s="10" t="s">
        <v>887</v>
      </c>
      <c r="C421" s="10" t="s">
        <v>161</v>
      </c>
      <c r="D421" s="29">
        <f>Inputs!$D$61</f>
        <v>46568</v>
      </c>
      <c r="E421" s="29">
        <f>Inputs!$D$63</f>
        <v>46934</v>
      </c>
      <c r="F421" s="29">
        <f>Inputs!$D$65</f>
        <v>47299</v>
      </c>
      <c r="G421" s="29">
        <f>Inputs!$D$67</f>
        <v>47664</v>
      </c>
      <c r="H421" s="29">
        <f>Inputs!$D$69</f>
        <v>48029</v>
      </c>
      <c r="I421" s="29">
        <f>Inputs!$D$71</f>
        <v>48395</v>
      </c>
      <c r="J421" s="29">
        <f>Inputs!$D$73</f>
        <v>48760</v>
      </c>
      <c r="K421" s="29">
        <f>Inputs!$D$75</f>
        <v>49125</v>
      </c>
      <c r="L421" s="29">
        <f>Inputs!$D$77</f>
        <v>49490</v>
      </c>
      <c r="M421" s="29">
        <f>Inputs!$D$79</f>
        <v>49856</v>
      </c>
    </row>
    <row r="422" spans="1:13" ht="15" customHeight="1" x14ac:dyDescent="0.2">
      <c r="A422" s="91"/>
      <c r="B422" s="10" t="s">
        <v>888</v>
      </c>
      <c r="C422" s="10" t="s">
        <v>107</v>
      </c>
      <c r="D422" s="28">
        <f>(D421-Inputs!$D$13)/Inputs!$D$10</f>
        <v>0.71457905544147848</v>
      </c>
      <c r="E422" s="28">
        <f>(E421-Inputs!$D$13)/Inputs!$D$10</f>
        <v>1.7166324435318274</v>
      </c>
      <c r="F422" s="28">
        <f>(F421-Inputs!$D$13)/Inputs!$D$10</f>
        <v>2.7159479808350446</v>
      </c>
      <c r="G422" s="28">
        <f>(G421-Inputs!$D$13)/Inputs!$D$10</f>
        <v>3.7152635181382614</v>
      </c>
      <c r="H422" s="28">
        <f>(H421-Inputs!$D$13)/Inputs!$D$10</f>
        <v>4.7145790554414786</v>
      </c>
      <c r="I422" s="28">
        <f>(I421-Inputs!$D$13)/Inputs!$D$10</f>
        <v>5.7166324435318279</v>
      </c>
      <c r="J422" s="28">
        <f>(J421-Inputs!$D$13)/Inputs!$D$10</f>
        <v>6.7159479808350442</v>
      </c>
      <c r="K422" s="28">
        <f>(K421-Inputs!$D$13)/Inputs!$D$10</f>
        <v>7.7152635181382614</v>
      </c>
      <c r="L422" s="28">
        <f>(L421-Inputs!$D$13)/Inputs!$D$10</f>
        <v>8.7145790554414777</v>
      </c>
      <c r="M422" s="28">
        <f>(M421-Inputs!$D$13)/Inputs!$D$10</f>
        <v>9.716632443531827</v>
      </c>
    </row>
    <row r="423" spans="1:13" ht="15" customHeight="1" x14ac:dyDescent="0.2">
      <c r="A423" s="91"/>
      <c r="B423" s="10" t="s">
        <v>889</v>
      </c>
      <c r="C423" s="10" t="s">
        <v>107</v>
      </c>
      <c r="D423" s="28">
        <f>D422</f>
        <v>0.71457905544147848</v>
      </c>
      <c r="E423" s="28">
        <f>Inputs!$D$7</f>
        <v>1</v>
      </c>
      <c r="F423" s="28">
        <f>Inputs!$D$7</f>
        <v>1</v>
      </c>
      <c r="G423" s="28">
        <f>Inputs!$D$7</f>
        <v>1</v>
      </c>
      <c r="H423" s="28">
        <f>Inputs!$D$7</f>
        <v>1</v>
      </c>
      <c r="I423" s="28">
        <f>Inputs!$D$7</f>
        <v>1</v>
      </c>
      <c r="J423" s="28">
        <f>Inputs!$D$7</f>
        <v>1</v>
      </c>
      <c r="K423" s="28">
        <f>Inputs!$D$7</f>
        <v>1</v>
      </c>
      <c r="L423" s="28">
        <f>Inputs!$D$7</f>
        <v>1</v>
      </c>
      <c r="M423" s="28">
        <f>Inputs!$D$7</f>
        <v>1</v>
      </c>
    </row>
    <row r="424" spans="1:13" ht="15" customHeight="1" x14ac:dyDescent="0.2">
      <c r="A424" s="91"/>
      <c r="B424" s="3" t="s">
        <v>890</v>
      </c>
      <c r="C424" s="10" t="s">
        <v>199</v>
      </c>
      <c r="D424" s="28">
        <f>Inputs!$D$24+(Inputs!$D$80-Inputs!$D$24)*Inputs!$D$83</f>
        <v>305.5</v>
      </c>
      <c r="E424" s="28">
        <f>Inputs!$D$24+(Inputs!$D$80-Inputs!$D$24)*Inputs!$D$84</f>
        <v>651.5</v>
      </c>
      <c r="F424" s="28">
        <f>Inputs!$D$24+(Inputs!$D$80-Inputs!$D$24)*Inputs!$D$85</f>
        <v>911</v>
      </c>
      <c r="G424" s="28">
        <f>Inputs!$D$24+(Inputs!$D$80-Inputs!$D$24)*Inputs!$D$86</f>
        <v>911</v>
      </c>
      <c r="H424" s="28">
        <f>Inputs!$D$24+(Inputs!$D$80-Inputs!$D$24)*Inputs!$D$87</f>
        <v>911</v>
      </c>
      <c r="I424" s="28">
        <f>Inputs!$D$24+(Inputs!$D$80-Inputs!$D$24)*Inputs!$D$88</f>
        <v>911</v>
      </c>
      <c r="J424" s="28">
        <f>Inputs!$D$24+(Inputs!$D$80-Inputs!$D$24)*Inputs!$D$89</f>
        <v>911</v>
      </c>
      <c r="K424" s="28">
        <f>Inputs!$D$24+(Inputs!$D$80-Inputs!$D$24)*Inputs!$D$90</f>
        <v>911</v>
      </c>
      <c r="L424" s="28">
        <f>Inputs!$D$24+(Inputs!$D$80-Inputs!$D$24)*Inputs!$D$91</f>
        <v>911</v>
      </c>
      <c r="M424" s="28">
        <f>Inputs!$D$24+(Inputs!$D$80-Inputs!$D$24)*Inputs!$D$92</f>
        <v>911</v>
      </c>
    </row>
    <row r="425" spans="1:13" ht="15" customHeight="1" x14ac:dyDescent="0.2">
      <c r="A425" s="91"/>
      <c r="B425" s="10" t="s">
        <v>891</v>
      </c>
      <c r="C425" s="10" t="s">
        <v>199</v>
      </c>
      <c r="D425" s="28">
        <f>Inputs!$D$24</f>
        <v>46</v>
      </c>
      <c r="E425" s="28">
        <f t="shared" ref="E425:M425" si="90">D424</f>
        <v>305.5</v>
      </c>
      <c r="F425" s="28">
        <f t="shared" si="90"/>
        <v>651.5</v>
      </c>
      <c r="G425" s="28">
        <f t="shared" si="90"/>
        <v>911</v>
      </c>
      <c r="H425" s="28">
        <f t="shared" si="90"/>
        <v>911</v>
      </c>
      <c r="I425" s="28">
        <f t="shared" si="90"/>
        <v>911</v>
      </c>
      <c r="J425" s="28">
        <f t="shared" si="90"/>
        <v>911</v>
      </c>
      <c r="K425" s="28">
        <f t="shared" si="90"/>
        <v>911</v>
      </c>
      <c r="L425" s="28">
        <f t="shared" si="90"/>
        <v>911</v>
      </c>
      <c r="M425" s="28">
        <f t="shared" si="90"/>
        <v>911</v>
      </c>
    </row>
    <row r="426" spans="1:13" ht="15" customHeight="1" x14ac:dyDescent="0.2">
      <c r="B426" s="10" t="s">
        <v>892</v>
      </c>
      <c r="C426" s="10" t="s">
        <v>199</v>
      </c>
      <c r="D426" s="28">
        <f>(D425+D424)*Inputs!$D$12</f>
        <v>175.75</v>
      </c>
      <c r="E426" s="28">
        <f>(E425+E424)*Inputs!$D$12</f>
        <v>478.5</v>
      </c>
      <c r="F426" s="28">
        <f>(F425+F424)*Inputs!$D$12</f>
        <v>781.25</v>
      </c>
      <c r="G426" s="28">
        <f>(G425+G424)*Inputs!$D$12</f>
        <v>911</v>
      </c>
      <c r="H426" s="28">
        <f>(H425+H424)*Inputs!$D$12</f>
        <v>911</v>
      </c>
      <c r="I426" s="28">
        <f>(I425+I424)*Inputs!$D$12</f>
        <v>911</v>
      </c>
      <c r="J426" s="28">
        <f>(J425+J424)*Inputs!$D$12</f>
        <v>911</v>
      </c>
      <c r="K426" s="28">
        <f>(K425+K424)*Inputs!$D$12</f>
        <v>911</v>
      </c>
      <c r="L426" s="28">
        <f>(L425+L424)*Inputs!$D$12</f>
        <v>911</v>
      </c>
      <c r="M426" s="28">
        <f>(M425+M424)*Inputs!$D$12</f>
        <v>911</v>
      </c>
    </row>
    <row r="427" spans="1:13" ht="15" customHeight="1" x14ac:dyDescent="0.2">
      <c r="B427" s="10" t="s">
        <v>893</v>
      </c>
      <c r="C427" s="10" t="s">
        <v>199</v>
      </c>
      <c r="D427" s="28">
        <f t="shared" ref="D427:M427" si="91">D424-D425</f>
        <v>259.5</v>
      </c>
      <c r="E427" s="28">
        <f t="shared" si="91"/>
        <v>346</v>
      </c>
      <c r="F427" s="28">
        <f t="shared" si="91"/>
        <v>259.5</v>
      </c>
      <c r="G427" s="28">
        <f t="shared" si="91"/>
        <v>0</v>
      </c>
      <c r="H427" s="28">
        <f t="shared" si="91"/>
        <v>0</v>
      </c>
      <c r="I427" s="28">
        <f t="shared" si="91"/>
        <v>0</v>
      </c>
      <c r="J427" s="28">
        <f t="shared" si="91"/>
        <v>0</v>
      </c>
      <c r="K427" s="28">
        <f t="shared" si="91"/>
        <v>0</v>
      </c>
      <c r="L427" s="28">
        <f t="shared" si="91"/>
        <v>0</v>
      </c>
      <c r="M427" s="28">
        <f t="shared" si="91"/>
        <v>0</v>
      </c>
    </row>
    <row r="428" spans="1:13" ht="15" customHeight="1" x14ac:dyDescent="0.2">
      <c r="B428" s="10" t="s">
        <v>894</v>
      </c>
      <c r="C428" s="10" t="s">
        <v>199</v>
      </c>
      <c r="D428" s="28">
        <f>IF(MOD(D420,Inputs!$D$21)=Inputs!$D$6,Inputs!$D$24,Inputs!$D$6)+SUMPRODUCT(--(D420&gt;$D$420:$M$420),--(MOD(D420-$D$420:$M$420,Inputs!$D$21)=Inputs!$D$6),$D$427:$M$427)</f>
        <v>0</v>
      </c>
      <c r="E428" s="28">
        <f>IF(MOD(E420,Inputs!$D$21)=Inputs!$D$6,Inputs!$D$24,Inputs!$D$6)+SUMPRODUCT(--(E420&gt;$D$420:$M$420),--(MOD(E420-$D$420:$M$420,Inputs!$D$21)=Inputs!$D$6),$D$427:$M$427)</f>
        <v>0</v>
      </c>
      <c r="F428" s="28">
        <f>IF(MOD(F420,Inputs!$D$21)=Inputs!$D$6,Inputs!$D$24,Inputs!$D$6)+SUMPRODUCT(--(F420&gt;$D$420:$M$420),--(MOD(F420-$D$420:$M$420,Inputs!$D$21)=Inputs!$D$6),$D$427:$M$427)</f>
        <v>0</v>
      </c>
      <c r="G428" s="28">
        <f>IF(MOD(G420,Inputs!$D$21)=Inputs!$D$6,Inputs!$D$24,Inputs!$D$6)+SUMPRODUCT(--(G420&gt;$D$420:$M$420),--(MOD(G420-$D$420:$M$420,Inputs!$D$21)=Inputs!$D$6),$D$427:$M$427)</f>
        <v>46</v>
      </c>
      <c r="H428" s="28">
        <f>IF(MOD(H420,Inputs!$D$21)=Inputs!$D$6,Inputs!$D$24,Inputs!$D$6)+SUMPRODUCT(--(H420&gt;$D$420:$M$420),--(MOD(H420-$D$420:$M$420,Inputs!$D$21)=Inputs!$D$6),$D$427:$M$427)</f>
        <v>259.5</v>
      </c>
      <c r="I428" s="28">
        <f>IF(MOD(I420,Inputs!$D$21)=Inputs!$D$6,Inputs!$D$24,Inputs!$D$6)+SUMPRODUCT(--(I420&gt;$D$420:$M$420),--(MOD(I420-$D$420:$M$420,Inputs!$D$21)=Inputs!$D$6),$D$427:$M$427)</f>
        <v>346</v>
      </c>
      <c r="J428" s="28">
        <f>IF(MOD(J420,Inputs!$D$21)=Inputs!$D$6,Inputs!$D$24,Inputs!$D$6)+SUMPRODUCT(--(J420&gt;$D$420:$M$420),--(MOD(J420-$D$420:$M$420,Inputs!$D$21)=Inputs!$D$6),$D$427:$M$427)</f>
        <v>259.5</v>
      </c>
      <c r="K428" s="28">
        <f>IF(MOD(K420,Inputs!$D$21)=Inputs!$D$6,Inputs!$D$24,Inputs!$D$6)+SUMPRODUCT(--(K420&gt;$D$420:$M$420),--(MOD(K420-$D$420:$M$420,Inputs!$D$21)=Inputs!$D$6),$D$427:$M$427)</f>
        <v>46</v>
      </c>
      <c r="L428" s="28">
        <f>IF(MOD(L420,Inputs!$D$21)=Inputs!$D$6,Inputs!$D$24,Inputs!$D$6)+SUMPRODUCT(--(L420&gt;$D$420:$M$420),--(MOD(L420-$D$420:$M$420,Inputs!$D$21)=Inputs!$D$6),$D$427:$M$427)</f>
        <v>259.5</v>
      </c>
      <c r="M428" s="28">
        <f>IF(MOD(M420,Inputs!$D$21)=Inputs!$D$6,Inputs!$D$24,Inputs!$D$6)+SUMPRODUCT(--(M420&gt;$D$420:$M$420),--(MOD(M420-$D$420:$M$420,Inputs!$D$21)=Inputs!$D$6),$D$427:$M$427)</f>
        <v>346</v>
      </c>
    </row>
    <row r="429" spans="1:13" ht="15" customHeight="1" x14ac:dyDescent="0.2">
      <c r="B429" s="10" t="s">
        <v>895</v>
      </c>
      <c r="C429" s="10" t="s">
        <v>896</v>
      </c>
      <c r="D429" s="28">
        <f t="shared" ref="D429:M429" si="92">D426*D423</f>
        <v>125.58726899383984</v>
      </c>
      <c r="E429" s="28">
        <f t="shared" si="92"/>
        <v>478.5</v>
      </c>
      <c r="F429" s="28">
        <f t="shared" si="92"/>
        <v>781.25</v>
      </c>
      <c r="G429" s="28">
        <f t="shared" si="92"/>
        <v>911</v>
      </c>
      <c r="H429" s="28">
        <f t="shared" si="92"/>
        <v>911</v>
      </c>
      <c r="I429" s="28">
        <f t="shared" si="92"/>
        <v>911</v>
      </c>
      <c r="J429" s="28">
        <f t="shared" si="92"/>
        <v>911</v>
      </c>
      <c r="K429" s="28">
        <f t="shared" si="92"/>
        <v>911</v>
      </c>
      <c r="L429" s="28">
        <f t="shared" si="92"/>
        <v>911</v>
      </c>
      <c r="M429" s="28">
        <f t="shared" si="92"/>
        <v>911</v>
      </c>
    </row>
    <row r="430" spans="1:13" ht="15" customHeight="1" x14ac:dyDescent="0.2">
      <c r="B430" s="10" t="s">
        <v>897</v>
      </c>
      <c r="C430" s="10" t="s">
        <v>110</v>
      </c>
      <c r="D430" s="16">
        <f>D429*($D$449/Inputs!$D$21+$D$450/Inputs!$D$22)</f>
        <v>1816.9772859324419</v>
      </c>
      <c r="E430" s="16">
        <f>E429*($D$449/Inputs!$D$21+$D$450/Inputs!$D$22)</f>
        <v>6922.8643817497086</v>
      </c>
      <c r="F430" s="16">
        <f>F429*($D$449/Inputs!$D$21+$D$450/Inputs!$D$22)</f>
        <v>11303.0048030135</v>
      </c>
      <c r="G430" s="16">
        <f>G429*($D$449/Inputs!$D$21+$D$450/Inputs!$D$22)</f>
        <v>13180.207840697982</v>
      </c>
      <c r="H430" s="16">
        <f>H429*($D$449/Inputs!$D$21+$D$450/Inputs!$D$22)</f>
        <v>13180.207840697982</v>
      </c>
      <c r="I430" s="16">
        <f>I429*($D$449/Inputs!$D$21+$D$450/Inputs!$D$22)</f>
        <v>13180.207840697982</v>
      </c>
      <c r="J430" s="16">
        <f>J429*($D$449/Inputs!$D$21+$D$450/Inputs!$D$22)</f>
        <v>13180.207840697982</v>
      </c>
      <c r="K430" s="16">
        <f>K429*($D$449/Inputs!$D$21+$D$450/Inputs!$D$22)</f>
        <v>13180.207840697982</v>
      </c>
      <c r="L430" s="16">
        <f>L429*($D$449/Inputs!$D$21+$D$450/Inputs!$D$22)</f>
        <v>13180.207840697982</v>
      </c>
      <c r="M430" s="16">
        <f>M429*($D$449/Inputs!$D$21+$D$450/Inputs!$D$22)</f>
        <v>13180.207840697982</v>
      </c>
    </row>
    <row r="431" spans="1:13" ht="15" customHeight="1" x14ac:dyDescent="0.2">
      <c r="B431" s="10" t="s">
        <v>898</v>
      </c>
      <c r="C431" s="10" t="s">
        <v>110</v>
      </c>
      <c r="D431" s="16">
        <f t="shared" ref="D431:M431" si="93">D427*($D$449+$D$450)</f>
        <v>15560.968620146154</v>
      </c>
      <c r="E431" s="16">
        <f t="shared" si="93"/>
        <v>20747.95816019487</v>
      </c>
      <c r="F431" s="16">
        <f t="shared" si="93"/>
        <v>15560.968620146154</v>
      </c>
      <c r="G431" s="16">
        <f t="shared" si="93"/>
        <v>0</v>
      </c>
      <c r="H431" s="16">
        <f t="shared" si="93"/>
        <v>0</v>
      </c>
      <c r="I431" s="16">
        <f t="shared" si="93"/>
        <v>0</v>
      </c>
      <c r="J431" s="16">
        <f t="shared" si="93"/>
        <v>0</v>
      </c>
      <c r="K431" s="16">
        <f t="shared" si="93"/>
        <v>0</v>
      </c>
      <c r="L431" s="16">
        <f t="shared" si="93"/>
        <v>0</v>
      </c>
      <c r="M431" s="16">
        <f t="shared" si="93"/>
        <v>0</v>
      </c>
    </row>
    <row r="432" spans="1:13" ht="15" customHeight="1" x14ac:dyDescent="0.2">
      <c r="B432" s="10" t="s">
        <v>899</v>
      </c>
      <c r="C432" s="10" t="s">
        <v>110</v>
      </c>
      <c r="D432" s="16">
        <f t="shared" ref="D432:M432" si="94">D428*$D$449</f>
        <v>0</v>
      </c>
      <c r="E432" s="16">
        <f t="shared" si="94"/>
        <v>0</v>
      </c>
      <c r="F432" s="16">
        <f t="shared" si="94"/>
        <v>0</v>
      </c>
      <c r="G432" s="16">
        <f t="shared" si="94"/>
        <v>2638.0048485671714</v>
      </c>
      <c r="H432" s="16">
        <f t="shared" si="94"/>
        <v>14881.788221808281</v>
      </c>
      <c r="I432" s="16">
        <f t="shared" si="94"/>
        <v>19842.384295744378</v>
      </c>
      <c r="J432" s="16">
        <f t="shared" si="94"/>
        <v>14881.788221808281</v>
      </c>
      <c r="K432" s="16">
        <f t="shared" si="94"/>
        <v>2638.0048485671714</v>
      </c>
      <c r="L432" s="16">
        <f t="shared" si="94"/>
        <v>14881.788221808281</v>
      </c>
      <c r="M432" s="16">
        <f t="shared" si="94"/>
        <v>19842.384295744378</v>
      </c>
    </row>
    <row r="433" spans="2:13" ht="15" customHeight="1" x14ac:dyDescent="0.2">
      <c r="B433" s="10" t="s">
        <v>900</v>
      </c>
      <c r="C433" s="10" t="s">
        <v>199</v>
      </c>
      <c r="D433" s="28">
        <f>D427*Inputs!$D$23</f>
        <v>6.4875000000000007</v>
      </c>
      <c r="E433" s="28">
        <f>E427*Inputs!$D$23</f>
        <v>8.65</v>
      </c>
      <c r="F433" s="28">
        <f>F427*Inputs!$D$23</f>
        <v>6.4875000000000007</v>
      </c>
      <c r="G433" s="28">
        <f>G427*Inputs!$D$23</f>
        <v>0</v>
      </c>
      <c r="H433" s="28">
        <f>H427*Inputs!$D$23</f>
        <v>0</v>
      </c>
      <c r="I433" s="28">
        <f>I427*Inputs!$D$23</f>
        <v>0</v>
      </c>
      <c r="J433" s="28">
        <f>J427*Inputs!$D$23</f>
        <v>0</v>
      </c>
      <c r="K433" s="28">
        <f>K427*Inputs!$D$23</f>
        <v>0</v>
      </c>
      <c r="L433" s="28">
        <f>L427*Inputs!$D$23</f>
        <v>0</v>
      </c>
      <c r="M433" s="28">
        <f>M427*Inputs!$D$23</f>
        <v>0</v>
      </c>
    </row>
    <row r="434" spans="2:13" ht="15" customHeight="1" x14ac:dyDescent="0.2">
      <c r="B434" s="3" t="s">
        <v>901</v>
      </c>
      <c r="C434" s="10" t="s">
        <v>896</v>
      </c>
      <c r="D434" s="28">
        <f>(D429*$D$447*(Inputs!$D$7-Inputs!$D$19)-D433)/(Inputs!$D$7+$D$448)^D422</f>
        <v>43.213488846686175</v>
      </c>
      <c r="E434" s="28">
        <f>(E429*$D$447*(Inputs!$D$7-Inputs!$D$19)-E433)/(Inputs!$D$7+$D$448)^E422</f>
        <v>163.29332190458183</v>
      </c>
      <c r="F434" s="28">
        <f>(F429*$D$447*(Inputs!$D$7-Inputs!$D$19)-F433)/(Inputs!$D$7+$D$448)^F422</f>
        <v>248.28260771010829</v>
      </c>
      <c r="G434" s="28">
        <f>(G429*$D$447*(Inputs!$D$7-Inputs!$D$19)-G433)/(Inputs!$D$7+$D$448)^G422</f>
        <v>268.5238926419492</v>
      </c>
      <c r="H434" s="28">
        <f>(H429*$D$447*(Inputs!$D$7-Inputs!$D$19)-H433)/(Inputs!$D$7+$D$448)^H422</f>
        <v>244.12855518959191</v>
      </c>
      <c r="I434" s="28">
        <f>(I429*$D$447*(Inputs!$D$7-Inputs!$D$19)-I433)/(Inputs!$D$7+$D$448)^I422</f>
        <v>221.8916197826434</v>
      </c>
      <c r="J434" s="28">
        <f>(J429*$D$447*(Inputs!$D$7-Inputs!$D$19)-J433)/(Inputs!$D$7+$D$448)^J422</f>
        <v>201.73281421346593</v>
      </c>
      <c r="K434" s="28">
        <f>(K429*$D$447*(Inputs!$D$7-Inputs!$D$19)-K433)/(Inputs!$D$7+$D$448)^K422</f>
        <v>183.40543176145695</v>
      </c>
      <c r="L434" s="28">
        <f>(L429*$D$447*(Inputs!$D$7-Inputs!$D$19)-L433)/(Inputs!$D$7+$D$448)^L422</f>
        <v>166.74308803332551</v>
      </c>
      <c r="M434" s="28">
        <f>(M429*$D$447*(Inputs!$D$7-Inputs!$D$19)-M433)/(Inputs!$D$7+$D$448)^M422</f>
        <v>151.55496194429571</v>
      </c>
    </row>
    <row r="435" spans="2:13" ht="15" customHeight="1" x14ac:dyDescent="0.2">
      <c r="B435" s="10" t="s">
        <v>902</v>
      </c>
      <c r="C435" s="10" t="s">
        <v>110</v>
      </c>
      <c r="D435" s="16">
        <f>(D430*Inputs!$D$19-D431-D432)/(Inputs!$D$7+$D$448)^D422</f>
        <v>-14027.24269342025</v>
      </c>
      <c r="E435" s="16">
        <f>(E430*Inputs!$D$19-E431-E432)/(Inputs!$D$7+$D$448)^E422</f>
        <v>-15853.087323826181</v>
      </c>
      <c r="F435" s="16">
        <f>(F430*Inputs!$D$19-F431-F432)/(Inputs!$D$7+$D$448)^F422</f>
        <v>-9394.4767487293357</v>
      </c>
      <c r="G435" s="16">
        <f>(G430*Inputs!$D$19-G431-G432)/(Inputs!$D$7+$D$448)^G422</f>
        <v>923.61320322684639</v>
      </c>
      <c r="H435" s="16">
        <f>(H430*Inputs!$D$19-H431-H432)/(Inputs!$D$7+$D$448)^H422</f>
        <v>-6972.3744918015345</v>
      </c>
      <c r="I435" s="16">
        <f>(I430*Inputs!$D$19-I431-I432)/(Inputs!$D$7+$D$448)^I422</f>
        <v>-9214.0648467907959</v>
      </c>
      <c r="J435" s="16">
        <f>(J430*Inputs!$D$19-J431-J432)/(Inputs!$D$7+$D$448)^J422</f>
        <v>-5761.5411965591911</v>
      </c>
      <c r="K435" s="16">
        <f>(K430*Inputs!$D$19-K431-K432)/(Inputs!$D$7+$D$448)^K422</f>
        <v>630.8402453567694</v>
      </c>
      <c r="L435" s="16">
        <f>(L430*Inputs!$D$19-L431-L432)/(Inputs!$D$7+$D$448)^L422</f>
        <v>-4762.2255937446444</v>
      </c>
      <c r="M435" s="16">
        <f>(M430*Inputs!$D$19-M431-M432)/(Inputs!$D$7+$D$448)^M422</f>
        <v>-6293.3302689644106</v>
      </c>
    </row>
    <row r="436" spans="2:13" ht="15" customHeight="1" x14ac:dyDescent="0.2">
      <c r="B436" s="10" t="s">
        <v>903</v>
      </c>
      <c r="C436" s="10" t="s">
        <v>110</v>
      </c>
      <c r="D436" s="16">
        <f t="shared" ref="D436:M436" si="95">D429*$D$446</f>
        <v>5440.1146574439017</v>
      </c>
      <c r="E436" s="16">
        <f t="shared" si="95"/>
        <v>20727.378534798707</v>
      </c>
      <c r="F436" s="16">
        <f t="shared" si="95"/>
        <v>33841.723051852641</v>
      </c>
      <c r="G436" s="16">
        <f t="shared" si="95"/>
        <v>39462.156416304329</v>
      </c>
      <c r="H436" s="16">
        <f t="shared" si="95"/>
        <v>39462.156416304329</v>
      </c>
      <c r="I436" s="16">
        <f t="shared" si="95"/>
        <v>39462.156416304329</v>
      </c>
      <c r="J436" s="16">
        <f t="shared" si="95"/>
        <v>39462.156416304329</v>
      </c>
      <c r="K436" s="16">
        <f t="shared" si="95"/>
        <v>39462.156416304329</v>
      </c>
      <c r="L436" s="16">
        <f t="shared" si="95"/>
        <v>39462.156416304329</v>
      </c>
      <c r="M436" s="16">
        <f t="shared" si="95"/>
        <v>39462.156416304329</v>
      </c>
    </row>
    <row r="437" spans="2:13" ht="15" customHeight="1" x14ac:dyDescent="0.2">
      <c r="B437" s="10" t="s">
        <v>904</v>
      </c>
      <c r="C437" s="10" t="s">
        <v>110</v>
      </c>
      <c r="D437" s="16">
        <f t="shared" ref="D437:M437" si="96">D436*$D$447</f>
        <v>3264.0687944663409</v>
      </c>
      <c r="E437" s="16">
        <f t="shared" si="96"/>
        <v>12436.427120879223</v>
      </c>
      <c r="F437" s="16">
        <f t="shared" si="96"/>
        <v>20305.033831111585</v>
      </c>
      <c r="G437" s="16">
        <f t="shared" si="96"/>
        <v>23677.293849782596</v>
      </c>
      <c r="H437" s="16">
        <f t="shared" si="96"/>
        <v>23677.293849782596</v>
      </c>
      <c r="I437" s="16">
        <f t="shared" si="96"/>
        <v>23677.293849782596</v>
      </c>
      <c r="J437" s="16">
        <f t="shared" si="96"/>
        <v>23677.293849782596</v>
      </c>
      <c r="K437" s="16">
        <f t="shared" si="96"/>
        <v>23677.293849782596</v>
      </c>
      <c r="L437" s="16">
        <f t="shared" si="96"/>
        <v>23677.293849782596</v>
      </c>
      <c r="M437" s="16">
        <f t="shared" si="96"/>
        <v>23677.293849782596</v>
      </c>
    </row>
    <row r="438" spans="2:13" ht="15" customHeight="1" x14ac:dyDescent="0.2">
      <c r="B438" s="10" t="s">
        <v>905</v>
      </c>
      <c r="C438" s="10" t="s">
        <v>110</v>
      </c>
      <c r="D438" s="16">
        <f t="shared" ref="D438:M438" si="97">D437-D430</f>
        <v>1447.0915085338991</v>
      </c>
      <c r="E438" s="16">
        <f t="shared" si="97"/>
        <v>5513.5627391295147</v>
      </c>
      <c r="F438" s="16">
        <f t="shared" si="97"/>
        <v>9002.0290280980844</v>
      </c>
      <c r="G438" s="16">
        <f t="shared" si="97"/>
        <v>10497.086009084614</v>
      </c>
      <c r="H438" s="16">
        <f t="shared" si="97"/>
        <v>10497.086009084614</v>
      </c>
      <c r="I438" s="16">
        <f t="shared" si="97"/>
        <v>10497.086009084614</v>
      </c>
      <c r="J438" s="16">
        <f t="shared" si="97"/>
        <v>10497.086009084614</v>
      </c>
      <c r="K438" s="16">
        <f t="shared" si="97"/>
        <v>10497.086009084614</v>
      </c>
      <c r="L438" s="16">
        <f t="shared" si="97"/>
        <v>10497.086009084614</v>
      </c>
      <c r="M438" s="16">
        <f t="shared" si="97"/>
        <v>10497.086009084614</v>
      </c>
    </row>
    <row r="439" spans="2:13" ht="15" customHeight="1" x14ac:dyDescent="0.2">
      <c r="B439" s="10" t="s">
        <v>906</v>
      </c>
      <c r="C439" s="10" t="s">
        <v>110</v>
      </c>
      <c r="D439" s="16">
        <f>MAX(D438,Inputs!$D$6)*Inputs!$D$19</f>
        <v>434.12745256016973</v>
      </c>
      <c r="E439" s="16">
        <f>MAX(E438,Inputs!$D$6)*Inputs!$D$19</f>
        <v>1654.0688217388545</v>
      </c>
      <c r="F439" s="16">
        <f>MAX(F438,Inputs!$D$6)*Inputs!$D$19</f>
        <v>2700.6087084294254</v>
      </c>
      <c r="G439" s="16">
        <f>MAX(G438,Inputs!$D$6)*Inputs!$D$19</f>
        <v>3149.1258027253843</v>
      </c>
      <c r="H439" s="16">
        <f>MAX(H438,Inputs!$D$6)*Inputs!$D$19</f>
        <v>3149.1258027253843</v>
      </c>
      <c r="I439" s="16">
        <f>MAX(I438,Inputs!$D$6)*Inputs!$D$19</f>
        <v>3149.1258027253843</v>
      </c>
      <c r="J439" s="16">
        <f>MAX(J438,Inputs!$D$6)*Inputs!$D$19</f>
        <v>3149.1258027253843</v>
      </c>
      <c r="K439" s="16">
        <f>MAX(K438,Inputs!$D$6)*Inputs!$D$19</f>
        <v>3149.1258027253843</v>
      </c>
      <c r="L439" s="16">
        <f>MAX(L438,Inputs!$D$6)*Inputs!$D$19</f>
        <v>3149.1258027253843</v>
      </c>
      <c r="M439" s="16">
        <f>MAX(M438,Inputs!$D$6)*Inputs!$D$19</f>
        <v>3149.1258027253843</v>
      </c>
    </row>
    <row r="440" spans="2:13" ht="15" customHeight="1" x14ac:dyDescent="0.2">
      <c r="B440" s="10" t="s">
        <v>907</v>
      </c>
      <c r="C440" s="10" t="s">
        <v>110</v>
      </c>
      <c r="D440" s="16">
        <f t="shared" ref="D440:M440" si="98">D433*$D$446</f>
        <v>281.02166822258437</v>
      </c>
      <c r="E440" s="16">
        <f t="shared" si="98"/>
        <v>374.69555763011243</v>
      </c>
      <c r="F440" s="16">
        <f t="shared" si="98"/>
        <v>281.02166822258437</v>
      </c>
      <c r="G440" s="16">
        <f t="shared" si="98"/>
        <v>0</v>
      </c>
      <c r="H440" s="16">
        <f t="shared" si="98"/>
        <v>0</v>
      </c>
      <c r="I440" s="16">
        <f t="shared" si="98"/>
        <v>0</v>
      </c>
      <c r="J440" s="16">
        <f t="shared" si="98"/>
        <v>0</v>
      </c>
      <c r="K440" s="16">
        <f t="shared" si="98"/>
        <v>0</v>
      </c>
      <c r="L440" s="16">
        <f t="shared" si="98"/>
        <v>0</v>
      </c>
      <c r="M440" s="16">
        <f t="shared" si="98"/>
        <v>0</v>
      </c>
    </row>
    <row r="441" spans="2:13" ht="15" customHeight="1" x14ac:dyDescent="0.2">
      <c r="B441" s="10" t="s">
        <v>908</v>
      </c>
      <c r="C441" s="10" t="s">
        <v>110</v>
      </c>
      <c r="D441" s="16">
        <f t="shared" ref="D441:M441" si="99">D437-D439-D431-D432-D440</f>
        <v>-13012.048946462566</v>
      </c>
      <c r="E441" s="16">
        <f t="shared" si="99"/>
        <v>-10340.295418684613</v>
      </c>
      <c r="F441" s="16">
        <f t="shared" si="99"/>
        <v>1762.43483431342</v>
      </c>
      <c r="G441" s="16">
        <f t="shared" si="99"/>
        <v>17890.163198490038</v>
      </c>
      <c r="H441" s="16">
        <f t="shared" si="99"/>
        <v>5646.3798252489287</v>
      </c>
      <c r="I441" s="16">
        <f t="shared" si="99"/>
        <v>685.78375131283246</v>
      </c>
      <c r="J441" s="16">
        <f t="shared" si="99"/>
        <v>5646.3798252489287</v>
      </c>
      <c r="K441" s="16">
        <f t="shared" si="99"/>
        <v>17890.163198490038</v>
      </c>
      <c r="L441" s="16">
        <f t="shared" si="99"/>
        <v>5646.3798252489287</v>
      </c>
      <c r="M441" s="16">
        <f t="shared" si="99"/>
        <v>685.78375131283246</v>
      </c>
    </row>
    <row r="442" spans="2:13" ht="15" customHeight="1" x14ac:dyDescent="0.2">
      <c r="B442" s="10" t="s">
        <v>909</v>
      </c>
      <c r="C442" s="10" t="s">
        <v>110</v>
      </c>
      <c r="D442" s="16">
        <f>D441/(Inputs!$D$7+$D$448)^D422</f>
        <v>-12155.346473703288</v>
      </c>
      <c r="E442" s="16">
        <f>E441/(Inputs!$D$7+$D$448)^E422</f>
        <v>-8779.6442824029727</v>
      </c>
      <c r="F442" s="16">
        <f>F441/(Inputs!$D$7+$D$448)^F422</f>
        <v>1360.4816496287547</v>
      </c>
      <c r="G442" s="16">
        <f>G441/(Inputs!$D$7+$D$448)^G422</f>
        <v>12555.371548947493</v>
      </c>
      <c r="H442" s="16">
        <f>H441/(Inputs!$D$7+$D$448)^H422</f>
        <v>3602.6411290305823</v>
      </c>
      <c r="I442" s="16">
        <f>I441/(Inputs!$D$7+$D$448)^I422</f>
        <v>397.70442579954499</v>
      </c>
      <c r="J442" s="16">
        <f>J441/(Inputs!$D$7+$D$448)^J422</f>
        <v>2977.0009206669915</v>
      </c>
      <c r="K442" s="16">
        <f>K441/(Inputs!$D$7+$D$448)^K422</f>
        <v>8575.4877050389241</v>
      </c>
      <c r="L442" s="16">
        <f>L441/(Inputs!$D$7+$D$448)^L422</f>
        <v>2460.6523659794971</v>
      </c>
      <c r="M442" s="16">
        <f>M441/(Inputs!$D$7+$D$448)^M422</f>
        <v>271.63747407932851</v>
      </c>
    </row>
    <row r="443" spans="2:13" ht="15" customHeight="1" x14ac:dyDescent="0.2">
      <c r="B443" s="3" t="s">
        <v>910</v>
      </c>
      <c r="C443" s="10" t="s">
        <v>896</v>
      </c>
      <c r="D443" s="28">
        <f>(D429*$D$447-D433)/(Inputs!$D$7+$D$448)^D422</f>
        <v>64.330856237917445</v>
      </c>
      <c r="E443" s="28">
        <f>(E429*$D$447-E433)/(Inputs!$D$7+$D$448)^E422</f>
        <v>236.42380139523098</v>
      </c>
      <c r="F443" s="28">
        <f>(F429*$D$447-F433)/(Inputs!$D$7+$D$448)^F422</f>
        <v>356.83568908039001</v>
      </c>
      <c r="G443" s="28">
        <f>(G429*$D$447-G433)/(Inputs!$D$7+$D$448)^G422</f>
        <v>383.60556091707036</v>
      </c>
      <c r="H443" s="28">
        <f>(H429*$D$447-H433)/(Inputs!$D$7+$D$448)^H422</f>
        <v>348.75507884227414</v>
      </c>
      <c r="I443" s="28">
        <f>(I429*$D$447-I433)/(Inputs!$D$7+$D$448)^I422</f>
        <v>316.98802826091918</v>
      </c>
      <c r="J443" s="28">
        <f>(J429*$D$447-J433)/(Inputs!$D$7+$D$448)^J422</f>
        <v>288.18973459066564</v>
      </c>
      <c r="K443" s="28">
        <f>(K429*$D$447-K433)/(Inputs!$D$7+$D$448)^K422</f>
        <v>262.00775965922423</v>
      </c>
      <c r="L443" s="28">
        <f>(L429*$D$447-L433)/(Inputs!$D$7+$D$448)^L422</f>
        <v>238.2044114761793</v>
      </c>
      <c r="M443" s="28">
        <f>(M429*$D$447-M433)/(Inputs!$D$7+$D$448)^M422</f>
        <v>216.50708849185102</v>
      </c>
    </row>
    <row r="444" spans="2:13" ht="15" customHeight="1" x14ac:dyDescent="0.2">
      <c r="B444" s="10" t="s">
        <v>911</v>
      </c>
      <c r="C444" s="10" t="s">
        <v>110</v>
      </c>
      <c r="D444" s="16">
        <f>(-D431-D432)/(Inputs!$D$7+$D$448)^D422</f>
        <v>-14536.447397527105</v>
      </c>
      <c r="E444" s="16">
        <f>(-E431-E432)/(Inputs!$D$7+$D$448)^E422</f>
        <v>-17616.488200475756</v>
      </c>
      <c r="F444" s="16">
        <f>(-F431-F432)/(Inputs!$D$7+$D$448)^F422</f>
        <v>-12012.025548964448</v>
      </c>
      <c r="G444" s="16">
        <f>(-G431-G432)/(Inputs!$D$7+$D$448)^G422</f>
        <v>-1851.359915178487</v>
      </c>
      <c r="H444" s="16">
        <f>(-H431-H432)/(Inputs!$D$7+$D$448)^H422</f>
        <v>-9495.2419037884629</v>
      </c>
      <c r="I444" s="16">
        <f>(-I431-I432)/(Inputs!$D$7+$D$448)^I422</f>
        <v>-11507.131858586603</v>
      </c>
      <c r="J444" s="16">
        <f>(-J431-J432)/(Inputs!$D$7+$D$448)^J422</f>
        <v>-7846.2835672839774</v>
      </c>
      <c r="K444" s="16">
        <f>(-K431-K432)/(Inputs!$D$7+$D$448)^K422</f>
        <v>-1264.5037327904422</v>
      </c>
      <c r="L444" s="16">
        <f>(-L431-L432)/(Inputs!$D$7+$D$448)^L422</f>
        <v>-6485.3779822337692</v>
      </c>
      <c r="M444" s="16">
        <f>(-M431-M432)/(Inputs!$D$7+$D$448)^M422</f>
        <v>-7859.5258920747219</v>
      </c>
    </row>
    <row r="445" spans="2:13" ht="15" customHeight="1" x14ac:dyDescent="0.2">
      <c r="B445" s="10" t="s">
        <v>912</v>
      </c>
      <c r="C445" s="10" t="s">
        <v>110</v>
      </c>
      <c r="D445" s="16">
        <f>Prices!I6</f>
        <v>43700</v>
      </c>
    </row>
    <row r="446" spans="2:13" ht="15" customHeight="1" x14ac:dyDescent="0.2">
      <c r="B446" s="3" t="s">
        <v>913</v>
      </c>
      <c r="C446" s="10" t="s">
        <v>914</v>
      </c>
      <c r="D446" s="28">
        <f>IF(J453&gt;=J449,J453,(D445-J452)/J451)</f>
        <v>43.317405506371379</v>
      </c>
      <c r="G446" s="99" t="s">
        <v>915</v>
      </c>
      <c r="H446" s="91"/>
      <c r="I446" s="91"/>
      <c r="J446" s="28">
        <f>D446*Inputs!$D$15</f>
        <v>30.231217302896585</v>
      </c>
      <c r="K446" s="99" t="s">
        <v>916</v>
      </c>
      <c r="L446" s="91"/>
      <c r="M446" s="91"/>
    </row>
    <row r="447" spans="2:13" ht="15" customHeight="1" x14ac:dyDescent="0.2">
      <c r="B447" s="10" t="s">
        <v>917</v>
      </c>
      <c r="C447" s="10" t="s">
        <v>104</v>
      </c>
      <c r="D447" s="30">
        <f>Inputs!$D$142</f>
        <v>0.6</v>
      </c>
      <c r="G447" s="99" t="s">
        <v>918</v>
      </c>
      <c r="H447" s="91"/>
      <c r="I447" s="91"/>
      <c r="J447" s="28">
        <f>IF(-D458/D457&gt;=J449,-D458/D457,-J452/J451)</f>
        <v>32.284876648616972</v>
      </c>
      <c r="K447" s="99" t="s">
        <v>919</v>
      </c>
      <c r="L447" s="91"/>
      <c r="M447" s="91"/>
    </row>
    <row r="448" spans="2:13" ht="15" customHeight="1" x14ac:dyDescent="0.2">
      <c r="B448" s="10" t="s">
        <v>920</v>
      </c>
      <c r="C448" s="10" t="s">
        <v>104</v>
      </c>
      <c r="D448" s="30">
        <f>Inputs!$D$147</f>
        <v>0.1</v>
      </c>
      <c r="G448" s="99" t="s">
        <v>918</v>
      </c>
      <c r="H448" s="91"/>
      <c r="I448" s="91"/>
      <c r="J448" s="28">
        <f>J447*Inputs!$D$15</f>
        <v>22.531615413069783</v>
      </c>
      <c r="K448" s="99" t="s">
        <v>916</v>
      </c>
      <c r="L448" s="91"/>
      <c r="M448" s="91"/>
    </row>
    <row r="449" spans="2:13" ht="15" customHeight="1" x14ac:dyDescent="0.2">
      <c r="B449" s="3" t="s">
        <v>921</v>
      </c>
      <c r="C449" s="10" t="s">
        <v>848</v>
      </c>
      <c r="D449" s="28">
        <f>Capital!$D$13</f>
        <v>57.347931490590682</v>
      </c>
      <c r="G449" s="99" t="s">
        <v>922</v>
      </c>
      <c r="H449" s="91"/>
      <c r="I449" s="91"/>
      <c r="J449" s="28">
        <f>($D$449/Inputs!$D$21+$D$450/Inputs!$D$22)/$D$447</f>
        <v>24.113076913095469</v>
      </c>
      <c r="K449" s="99" t="s">
        <v>919</v>
      </c>
      <c r="L449" s="91"/>
      <c r="M449" s="91"/>
    </row>
    <row r="450" spans="2:13" ht="15" customHeight="1" x14ac:dyDescent="0.2">
      <c r="B450" s="3" t="s">
        <v>923</v>
      </c>
      <c r="C450" s="10" t="s">
        <v>848</v>
      </c>
      <c r="D450" s="28">
        <f>Capital!$D$14</f>
        <v>2.6172655041921802</v>
      </c>
    </row>
    <row r="451" spans="2:13" ht="15" customHeight="1" x14ac:dyDescent="0.2">
      <c r="B451" s="10" t="s">
        <v>924</v>
      </c>
      <c r="C451" s="10" t="s">
        <v>896</v>
      </c>
      <c r="D451" s="28">
        <f>(M424*(Inputs!$D$7+Inputs!$D$20)*$D$447*(Inputs!$D$7-Inputs!$D$19)-M424*Inputs!$D$20*Inputs!$D$23)/($D$448-Inputs!$D$20)/(Inputs!$D$7+$D$448)^M422</f>
        <v>2068.2441036763203</v>
      </c>
      <c r="G451" s="92" t="s">
        <v>910</v>
      </c>
      <c r="H451" s="91"/>
      <c r="I451" s="91"/>
      <c r="J451" s="28">
        <f>SUM(D443:M443)+(M424*(Inputs!$D$7+Inputs!$D$20)*$D$447-M424*Inputs!$D$20*Inputs!$D$23)/($D$448-Inputs!$D$20)/(Inputs!$D$7+$D$448)^M422</f>
        <v>5667.7711754446318</v>
      </c>
      <c r="K451" s="99" t="s">
        <v>896</v>
      </c>
      <c r="L451" s="91"/>
      <c r="M451" s="91"/>
    </row>
    <row r="452" spans="2:13" ht="15" customHeight="1" x14ac:dyDescent="0.2">
      <c r="B452" s="10" t="s">
        <v>925</v>
      </c>
      <c r="C452" s="10" t="s">
        <v>110</v>
      </c>
      <c r="D452" s="16">
        <f>(D455*Inputs!$D$19-D455-D456)/($D$448-Inputs!$D$20)/(Inputs!$D$7+$D$448)^M422</f>
        <v>-57156.954988173631</v>
      </c>
      <c r="G452" s="92" t="s">
        <v>926</v>
      </c>
      <c r="H452" s="91"/>
      <c r="I452" s="91"/>
      <c r="J452" s="16">
        <f>SUM(D444:M444)-(D455+D456)/($D$448-Inputs!$D$20)/(Inputs!$D$7+$D$448)^M422</f>
        <v>-169036.01450291832</v>
      </c>
      <c r="K452" s="99" t="s">
        <v>110</v>
      </c>
      <c r="L452" s="91"/>
      <c r="M452" s="91"/>
    </row>
    <row r="453" spans="2:13" ht="15" customHeight="1" x14ac:dyDescent="0.2">
      <c r="B453" s="10" t="s">
        <v>927</v>
      </c>
      <c r="C453" s="10" t="s">
        <v>928</v>
      </c>
      <c r="D453" s="16">
        <f>(M424*(Inputs!$D$7+Inputs!$D$20)*$D$446*$D$447-D455)-MAX((M424*(Inputs!$D$7+Inputs!$D$20)*$D$446*$D$447-D455),Inputs!$D$6)*Inputs!$D$19-D456-M424*Inputs!$D$20*$D$446*Inputs!$D$23</f>
        <v>6141.2880022018398</v>
      </c>
      <c r="G453" s="99" t="s">
        <v>929</v>
      </c>
      <c r="H453" s="91"/>
      <c r="I453" s="91"/>
      <c r="J453" s="28">
        <f>(D445-D458)/D457</f>
        <v>43.317405506371379</v>
      </c>
      <c r="K453" s="99" t="s">
        <v>919</v>
      </c>
      <c r="L453" s="91"/>
      <c r="M453" s="91"/>
    </row>
    <row r="454" spans="2:13" ht="15" customHeight="1" x14ac:dyDescent="0.2">
      <c r="B454" s="10" t="s">
        <v>930</v>
      </c>
      <c r="C454" s="10" t="s">
        <v>110</v>
      </c>
      <c r="D454" s="16">
        <f>D453/($D$448-Inputs!$D$20)</f>
        <v>81883.84002935786</v>
      </c>
      <c r="G454" s="99" t="s">
        <v>931</v>
      </c>
      <c r="H454" s="91"/>
      <c r="I454" s="91"/>
      <c r="J454" s="16">
        <f>MIN(D438:M438,(M424*(Inputs!$D$7+Inputs!$D$20)*$D$446*$D$447-D455))</f>
        <v>1447.0915085338991</v>
      </c>
      <c r="K454" s="99" t="s">
        <v>110</v>
      </c>
      <c r="L454" s="91"/>
      <c r="M454" s="91"/>
    </row>
    <row r="455" spans="2:13" ht="15" customHeight="1" x14ac:dyDescent="0.2">
      <c r="B455" s="10" t="s">
        <v>932</v>
      </c>
      <c r="C455" s="10" t="s">
        <v>928</v>
      </c>
      <c r="D455" s="16">
        <f>M424*(Inputs!$D$7+Inputs!$D$20)*($D$449/Inputs!$D$21+$D$450/Inputs!$D$22)</f>
        <v>13509.71303671543</v>
      </c>
      <c r="G455" s="99" t="s">
        <v>933</v>
      </c>
      <c r="H455" s="91"/>
      <c r="I455" s="91"/>
      <c r="J455" s="31" t="str">
        <f>IF(J454&lt;Inputs!$D$6,"breached","satisfied")</f>
        <v>satisfied</v>
      </c>
      <c r="K455" s="99" t="s">
        <v>934</v>
      </c>
      <c r="L455" s="91"/>
      <c r="M455" s="91"/>
    </row>
    <row r="456" spans="2:13" ht="15" customHeight="1" x14ac:dyDescent="0.2">
      <c r="B456" s="10" t="s">
        <v>935</v>
      </c>
      <c r="C456" s="10" t="s">
        <v>928</v>
      </c>
      <c r="D456" s="16">
        <f>M424*Inputs!$D$20*($D$449+$D$450)</f>
        <v>1365.7073615561799</v>
      </c>
    </row>
    <row r="457" spans="2:13" ht="15" customHeight="1" x14ac:dyDescent="0.2">
      <c r="B457" s="10" t="s">
        <v>936</v>
      </c>
      <c r="C457" s="10" t="s">
        <v>896</v>
      </c>
      <c r="D457" s="28">
        <f>SUM(D434:M434)+D451</f>
        <v>3961.0138857044249</v>
      </c>
      <c r="G457" s="99" t="s">
        <v>937</v>
      </c>
      <c r="H457" s="91"/>
      <c r="I457" s="91"/>
      <c r="J457" s="16">
        <f>D459-D445</f>
        <v>0</v>
      </c>
      <c r="K457" s="99" t="s">
        <v>110</v>
      </c>
      <c r="L457" s="91"/>
      <c r="M457" s="91"/>
    </row>
    <row r="458" spans="2:13" ht="15" customHeight="1" x14ac:dyDescent="0.2">
      <c r="B458" s="10" t="s">
        <v>938</v>
      </c>
      <c r="C458" s="10" t="s">
        <v>110</v>
      </c>
      <c r="D458" s="16">
        <f>SUM(D435:M435)+D452</f>
        <v>-127880.84470342637</v>
      </c>
    </row>
    <row r="459" spans="2:13" ht="15" customHeight="1" x14ac:dyDescent="0.2">
      <c r="B459" s="10" t="s">
        <v>939</v>
      </c>
      <c r="C459" s="10" t="s">
        <v>110</v>
      </c>
      <c r="D459" s="16">
        <f>SUM(D442:M442)+D454/(Inputs!$D$7+$D$448)^M422</f>
        <v>43700.000000000007</v>
      </c>
    </row>
    <row r="460" spans="2:13" ht="15" customHeight="1" x14ac:dyDescent="0.2">
      <c r="B460" s="10" t="s">
        <v>940</v>
      </c>
      <c r="C460" s="10" t="s">
        <v>104</v>
      </c>
      <c r="D460" s="30">
        <f>IF(ABS(D445)&gt;Inputs!$D$6,D459/D445-Inputs!$D$7,Inputs!$D$6)</f>
        <v>2.2204460492503131E-16</v>
      </c>
    </row>
    <row r="461" spans="2:13" ht="15" customHeight="1" x14ac:dyDescent="0.2">
      <c r="B461" s="10" t="s">
        <v>941</v>
      </c>
      <c r="C461" s="10" t="s">
        <v>104</v>
      </c>
      <c r="D461" s="30">
        <f>IF(ABS(D459)&gt;Inputs!$D$119,D454/(Inputs!$D$7+$D$448)^M422/D459,Inputs!$D$6)</f>
        <v>0.74219710610835576</v>
      </c>
    </row>
    <row r="462" spans="2:13" ht="15" customHeight="1" x14ac:dyDescent="0.2">
      <c r="B462" s="10" t="s">
        <v>942</v>
      </c>
      <c r="C462" s="10" t="s">
        <v>943</v>
      </c>
      <c r="D462" s="26">
        <f>$D$446*Inputs!$D$8/Prices!$P$6/(Inputs!$D$26/Inputs!$D$25)/Inputs!$D$11/Inputs!$D$56</f>
        <v>7.8774017689203433</v>
      </c>
    </row>
    <row r="466" spans="1:13" ht="15" customHeight="1" x14ac:dyDescent="0.2">
      <c r="A466" s="104" t="s">
        <v>2175</v>
      </c>
      <c r="B466" s="10" t="s">
        <v>886</v>
      </c>
      <c r="C466" s="10" t="s">
        <v>107</v>
      </c>
      <c r="D466" s="28">
        <f>Inputs!$D$60</f>
        <v>1</v>
      </c>
      <c r="E466" s="28">
        <f>Inputs!$D$62</f>
        <v>2</v>
      </c>
      <c r="F466" s="28">
        <f>Inputs!$D$64</f>
        <v>3</v>
      </c>
      <c r="G466" s="28">
        <f>Inputs!$D$66</f>
        <v>4</v>
      </c>
      <c r="H466" s="28">
        <f>Inputs!$D$68</f>
        <v>5</v>
      </c>
      <c r="I466" s="28">
        <f>Inputs!$D$70</f>
        <v>6</v>
      </c>
      <c r="J466" s="28">
        <f>Inputs!$D$72</f>
        <v>7</v>
      </c>
      <c r="K466" s="28">
        <f>Inputs!$D$74</f>
        <v>8</v>
      </c>
      <c r="L466" s="28">
        <f>Inputs!$D$76</f>
        <v>9</v>
      </c>
      <c r="M466" s="28">
        <f>Inputs!$D$78</f>
        <v>10</v>
      </c>
    </row>
    <row r="467" spans="1:13" ht="15" customHeight="1" x14ac:dyDescent="0.2">
      <c r="A467" s="91"/>
      <c r="B467" s="10" t="s">
        <v>887</v>
      </c>
      <c r="C467" s="10" t="s">
        <v>161</v>
      </c>
      <c r="D467" s="29">
        <f>Inputs!$D$61</f>
        <v>46568</v>
      </c>
      <c r="E467" s="29">
        <f>Inputs!$D$63</f>
        <v>46934</v>
      </c>
      <c r="F467" s="29">
        <f>Inputs!$D$65</f>
        <v>47299</v>
      </c>
      <c r="G467" s="29">
        <f>Inputs!$D$67</f>
        <v>47664</v>
      </c>
      <c r="H467" s="29">
        <f>Inputs!$D$69</f>
        <v>48029</v>
      </c>
      <c r="I467" s="29">
        <f>Inputs!$D$71</f>
        <v>48395</v>
      </c>
      <c r="J467" s="29">
        <f>Inputs!$D$73</f>
        <v>48760</v>
      </c>
      <c r="K467" s="29">
        <f>Inputs!$D$75</f>
        <v>49125</v>
      </c>
      <c r="L467" s="29">
        <f>Inputs!$D$77</f>
        <v>49490</v>
      </c>
      <c r="M467" s="29">
        <f>Inputs!$D$79</f>
        <v>49856</v>
      </c>
    </row>
    <row r="468" spans="1:13" ht="15" customHeight="1" x14ac:dyDescent="0.2">
      <c r="A468" s="91"/>
      <c r="B468" s="10" t="s">
        <v>888</v>
      </c>
      <c r="C468" s="10" t="s">
        <v>107</v>
      </c>
      <c r="D468" s="28">
        <f>(D467-Inputs!$D$13)/Inputs!$D$10</f>
        <v>0.71457905544147848</v>
      </c>
      <c r="E468" s="28">
        <f>(E467-Inputs!$D$13)/Inputs!$D$10</f>
        <v>1.7166324435318274</v>
      </c>
      <c r="F468" s="28">
        <f>(F467-Inputs!$D$13)/Inputs!$D$10</f>
        <v>2.7159479808350446</v>
      </c>
      <c r="G468" s="28">
        <f>(G467-Inputs!$D$13)/Inputs!$D$10</f>
        <v>3.7152635181382614</v>
      </c>
      <c r="H468" s="28">
        <f>(H467-Inputs!$D$13)/Inputs!$D$10</f>
        <v>4.7145790554414786</v>
      </c>
      <c r="I468" s="28">
        <f>(I467-Inputs!$D$13)/Inputs!$D$10</f>
        <v>5.7166324435318279</v>
      </c>
      <c r="J468" s="28">
        <f>(J467-Inputs!$D$13)/Inputs!$D$10</f>
        <v>6.7159479808350442</v>
      </c>
      <c r="K468" s="28">
        <f>(K467-Inputs!$D$13)/Inputs!$D$10</f>
        <v>7.7152635181382614</v>
      </c>
      <c r="L468" s="28">
        <f>(L467-Inputs!$D$13)/Inputs!$D$10</f>
        <v>8.7145790554414777</v>
      </c>
      <c r="M468" s="28">
        <f>(M467-Inputs!$D$13)/Inputs!$D$10</f>
        <v>9.716632443531827</v>
      </c>
    </row>
    <row r="469" spans="1:13" ht="15" customHeight="1" x14ac:dyDescent="0.2">
      <c r="A469" s="91"/>
      <c r="B469" s="10" t="s">
        <v>889</v>
      </c>
      <c r="C469" s="10" t="s">
        <v>107</v>
      </c>
      <c r="D469" s="28">
        <f>D468</f>
        <v>0.71457905544147848</v>
      </c>
      <c r="E469" s="28">
        <f>Inputs!$D$7</f>
        <v>1</v>
      </c>
      <c r="F469" s="28">
        <f>Inputs!$D$7</f>
        <v>1</v>
      </c>
      <c r="G469" s="28">
        <f>Inputs!$D$7</f>
        <v>1</v>
      </c>
      <c r="H469" s="28">
        <f>Inputs!$D$7</f>
        <v>1</v>
      </c>
      <c r="I469" s="28">
        <f>Inputs!$D$7</f>
        <v>1</v>
      </c>
      <c r="J469" s="28">
        <f>Inputs!$D$7</f>
        <v>1</v>
      </c>
      <c r="K469" s="28">
        <f>Inputs!$D$7</f>
        <v>1</v>
      </c>
      <c r="L469" s="28">
        <f>Inputs!$D$7</f>
        <v>1</v>
      </c>
      <c r="M469" s="28">
        <f>Inputs!$D$7</f>
        <v>1</v>
      </c>
    </row>
    <row r="470" spans="1:13" ht="15" customHeight="1" x14ac:dyDescent="0.2">
      <c r="A470" s="91"/>
      <c r="B470" s="3" t="s">
        <v>890</v>
      </c>
      <c r="C470" s="10" t="s">
        <v>199</v>
      </c>
      <c r="D470" s="28">
        <f>Inputs!$D$24+(Inputs!$D$80-Inputs!$D$24)*Inputs!$D$83</f>
        <v>305.5</v>
      </c>
      <c r="E470" s="28">
        <f>Inputs!$D$24+(Inputs!$D$80-Inputs!$D$24)*Inputs!$D$84</f>
        <v>651.5</v>
      </c>
      <c r="F470" s="28">
        <f>Inputs!$D$24+(Inputs!$D$80-Inputs!$D$24)*Inputs!$D$85</f>
        <v>911</v>
      </c>
      <c r="G470" s="28">
        <f>Inputs!$D$24+(Inputs!$D$80-Inputs!$D$24)*Inputs!$D$86</f>
        <v>911</v>
      </c>
      <c r="H470" s="28">
        <f>Inputs!$D$24+(Inputs!$D$80-Inputs!$D$24)*Inputs!$D$87</f>
        <v>911</v>
      </c>
      <c r="I470" s="28">
        <f>Inputs!$D$24+(Inputs!$D$80-Inputs!$D$24)*Inputs!$D$88</f>
        <v>911</v>
      </c>
      <c r="J470" s="28">
        <f>Inputs!$D$24+(Inputs!$D$80-Inputs!$D$24)*Inputs!$D$89</f>
        <v>911</v>
      </c>
      <c r="K470" s="28">
        <f>Inputs!$D$24+(Inputs!$D$80-Inputs!$D$24)*Inputs!$D$90</f>
        <v>911</v>
      </c>
      <c r="L470" s="28">
        <f>Inputs!$D$24+(Inputs!$D$80-Inputs!$D$24)*Inputs!$D$91</f>
        <v>911</v>
      </c>
      <c r="M470" s="28">
        <f>Inputs!$D$24+(Inputs!$D$80-Inputs!$D$24)*Inputs!$D$92</f>
        <v>911</v>
      </c>
    </row>
    <row r="471" spans="1:13" ht="15" customHeight="1" x14ac:dyDescent="0.2">
      <c r="A471" s="91"/>
      <c r="B471" s="10" t="s">
        <v>891</v>
      </c>
      <c r="C471" s="10" t="s">
        <v>199</v>
      </c>
      <c r="D471" s="28">
        <f>Inputs!$D$24</f>
        <v>46</v>
      </c>
      <c r="E471" s="28">
        <f t="shared" ref="E471:M471" si="100">D470</f>
        <v>305.5</v>
      </c>
      <c r="F471" s="28">
        <f t="shared" si="100"/>
        <v>651.5</v>
      </c>
      <c r="G471" s="28">
        <f t="shared" si="100"/>
        <v>911</v>
      </c>
      <c r="H471" s="28">
        <f t="shared" si="100"/>
        <v>911</v>
      </c>
      <c r="I471" s="28">
        <f t="shared" si="100"/>
        <v>911</v>
      </c>
      <c r="J471" s="28">
        <f t="shared" si="100"/>
        <v>911</v>
      </c>
      <c r="K471" s="28">
        <f t="shared" si="100"/>
        <v>911</v>
      </c>
      <c r="L471" s="28">
        <f t="shared" si="100"/>
        <v>911</v>
      </c>
      <c r="M471" s="28">
        <f t="shared" si="100"/>
        <v>911</v>
      </c>
    </row>
    <row r="472" spans="1:13" ht="15" customHeight="1" x14ac:dyDescent="0.2">
      <c r="B472" s="10" t="s">
        <v>892</v>
      </c>
      <c r="C472" s="10" t="s">
        <v>199</v>
      </c>
      <c r="D472" s="28">
        <f>(D471+D470)*Inputs!$D$12</f>
        <v>175.75</v>
      </c>
      <c r="E472" s="28">
        <f>(E471+E470)*Inputs!$D$12</f>
        <v>478.5</v>
      </c>
      <c r="F472" s="28">
        <f>(F471+F470)*Inputs!$D$12</f>
        <v>781.25</v>
      </c>
      <c r="G472" s="28">
        <f>(G471+G470)*Inputs!$D$12</f>
        <v>911</v>
      </c>
      <c r="H472" s="28">
        <f>(H471+H470)*Inputs!$D$12</f>
        <v>911</v>
      </c>
      <c r="I472" s="28">
        <f>(I471+I470)*Inputs!$D$12</f>
        <v>911</v>
      </c>
      <c r="J472" s="28">
        <f>(J471+J470)*Inputs!$D$12</f>
        <v>911</v>
      </c>
      <c r="K472" s="28">
        <f>(K471+K470)*Inputs!$D$12</f>
        <v>911</v>
      </c>
      <c r="L472" s="28">
        <f>(L471+L470)*Inputs!$D$12</f>
        <v>911</v>
      </c>
      <c r="M472" s="28">
        <f>(M471+M470)*Inputs!$D$12</f>
        <v>911</v>
      </c>
    </row>
    <row r="473" spans="1:13" ht="15" customHeight="1" x14ac:dyDescent="0.2">
      <c r="B473" s="10" t="s">
        <v>893</v>
      </c>
      <c r="C473" s="10" t="s">
        <v>199</v>
      </c>
      <c r="D473" s="28">
        <f t="shared" ref="D473:M473" si="101">D470-D471</f>
        <v>259.5</v>
      </c>
      <c r="E473" s="28">
        <f t="shared" si="101"/>
        <v>346</v>
      </c>
      <c r="F473" s="28">
        <f t="shared" si="101"/>
        <v>259.5</v>
      </c>
      <c r="G473" s="28">
        <f t="shared" si="101"/>
        <v>0</v>
      </c>
      <c r="H473" s="28">
        <f t="shared" si="101"/>
        <v>0</v>
      </c>
      <c r="I473" s="28">
        <f t="shared" si="101"/>
        <v>0</v>
      </c>
      <c r="J473" s="28">
        <f t="shared" si="101"/>
        <v>0</v>
      </c>
      <c r="K473" s="28">
        <f t="shared" si="101"/>
        <v>0</v>
      </c>
      <c r="L473" s="28">
        <f t="shared" si="101"/>
        <v>0</v>
      </c>
      <c r="M473" s="28">
        <f t="shared" si="101"/>
        <v>0</v>
      </c>
    </row>
    <row r="474" spans="1:13" ht="15" customHeight="1" x14ac:dyDescent="0.2">
      <c r="B474" s="10" t="s">
        <v>894</v>
      </c>
      <c r="C474" s="10" t="s">
        <v>199</v>
      </c>
      <c r="D474" s="28">
        <f>IF(MOD(D466,Inputs!$D$21)=Inputs!$D$6,Inputs!$D$24,Inputs!$D$6)+SUMPRODUCT(--(D466&gt;$D$466:$M$466),--(MOD(D466-$D$466:$M$466,Inputs!$D$21)=Inputs!$D$6),$D$473:$M$473)</f>
        <v>0</v>
      </c>
      <c r="E474" s="28">
        <f>IF(MOD(E466,Inputs!$D$21)=Inputs!$D$6,Inputs!$D$24,Inputs!$D$6)+SUMPRODUCT(--(E466&gt;$D$466:$M$466),--(MOD(E466-$D$466:$M$466,Inputs!$D$21)=Inputs!$D$6),$D$473:$M$473)</f>
        <v>0</v>
      </c>
      <c r="F474" s="28">
        <f>IF(MOD(F466,Inputs!$D$21)=Inputs!$D$6,Inputs!$D$24,Inputs!$D$6)+SUMPRODUCT(--(F466&gt;$D$466:$M$466),--(MOD(F466-$D$466:$M$466,Inputs!$D$21)=Inputs!$D$6),$D$473:$M$473)</f>
        <v>0</v>
      </c>
      <c r="G474" s="28">
        <f>IF(MOD(G466,Inputs!$D$21)=Inputs!$D$6,Inputs!$D$24,Inputs!$D$6)+SUMPRODUCT(--(G466&gt;$D$466:$M$466),--(MOD(G466-$D$466:$M$466,Inputs!$D$21)=Inputs!$D$6),$D$473:$M$473)</f>
        <v>46</v>
      </c>
      <c r="H474" s="28">
        <f>IF(MOD(H466,Inputs!$D$21)=Inputs!$D$6,Inputs!$D$24,Inputs!$D$6)+SUMPRODUCT(--(H466&gt;$D$466:$M$466),--(MOD(H466-$D$466:$M$466,Inputs!$D$21)=Inputs!$D$6),$D$473:$M$473)</f>
        <v>259.5</v>
      </c>
      <c r="I474" s="28">
        <f>IF(MOD(I466,Inputs!$D$21)=Inputs!$D$6,Inputs!$D$24,Inputs!$D$6)+SUMPRODUCT(--(I466&gt;$D$466:$M$466),--(MOD(I466-$D$466:$M$466,Inputs!$D$21)=Inputs!$D$6),$D$473:$M$473)</f>
        <v>346</v>
      </c>
      <c r="J474" s="28">
        <f>IF(MOD(J466,Inputs!$D$21)=Inputs!$D$6,Inputs!$D$24,Inputs!$D$6)+SUMPRODUCT(--(J466&gt;$D$466:$M$466),--(MOD(J466-$D$466:$M$466,Inputs!$D$21)=Inputs!$D$6),$D$473:$M$473)</f>
        <v>259.5</v>
      </c>
      <c r="K474" s="28">
        <f>IF(MOD(K466,Inputs!$D$21)=Inputs!$D$6,Inputs!$D$24,Inputs!$D$6)+SUMPRODUCT(--(K466&gt;$D$466:$M$466),--(MOD(K466-$D$466:$M$466,Inputs!$D$21)=Inputs!$D$6),$D$473:$M$473)</f>
        <v>46</v>
      </c>
      <c r="L474" s="28">
        <f>IF(MOD(L466,Inputs!$D$21)=Inputs!$D$6,Inputs!$D$24,Inputs!$D$6)+SUMPRODUCT(--(L466&gt;$D$466:$M$466),--(MOD(L466-$D$466:$M$466,Inputs!$D$21)=Inputs!$D$6),$D$473:$M$473)</f>
        <v>259.5</v>
      </c>
      <c r="M474" s="28">
        <f>IF(MOD(M466,Inputs!$D$21)=Inputs!$D$6,Inputs!$D$24,Inputs!$D$6)+SUMPRODUCT(--(M466&gt;$D$466:$M$466),--(MOD(M466-$D$466:$M$466,Inputs!$D$21)=Inputs!$D$6),$D$473:$M$473)</f>
        <v>346</v>
      </c>
    </row>
    <row r="475" spans="1:13" ht="15" customHeight="1" x14ac:dyDescent="0.2">
      <c r="B475" s="10" t="s">
        <v>895</v>
      </c>
      <c r="C475" s="10" t="s">
        <v>896</v>
      </c>
      <c r="D475" s="28">
        <f t="shared" ref="D475:M475" si="102">D472*D469</f>
        <v>125.58726899383984</v>
      </c>
      <c r="E475" s="28">
        <f t="shared" si="102"/>
        <v>478.5</v>
      </c>
      <c r="F475" s="28">
        <f t="shared" si="102"/>
        <v>781.25</v>
      </c>
      <c r="G475" s="28">
        <f t="shared" si="102"/>
        <v>911</v>
      </c>
      <c r="H475" s="28">
        <f t="shared" si="102"/>
        <v>911</v>
      </c>
      <c r="I475" s="28">
        <f t="shared" si="102"/>
        <v>911</v>
      </c>
      <c r="J475" s="28">
        <f t="shared" si="102"/>
        <v>911</v>
      </c>
      <c r="K475" s="28">
        <f t="shared" si="102"/>
        <v>911</v>
      </c>
      <c r="L475" s="28">
        <f t="shared" si="102"/>
        <v>911</v>
      </c>
      <c r="M475" s="28">
        <f t="shared" si="102"/>
        <v>911</v>
      </c>
    </row>
    <row r="476" spans="1:13" ht="15" customHeight="1" x14ac:dyDescent="0.2">
      <c r="B476" s="10" t="s">
        <v>897</v>
      </c>
      <c r="C476" s="10" t="s">
        <v>110</v>
      </c>
      <c r="D476" s="16">
        <f>D475*($D$495/Inputs!$D$21+$D$496/Inputs!$D$22)</f>
        <v>1816.9772859324419</v>
      </c>
      <c r="E476" s="16">
        <f>E475*($D$495/Inputs!$D$21+$D$496/Inputs!$D$22)</f>
        <v>6922.8643817497086</v>
      </c>
      <c r="F476" s="16">
        <f>F475*($D$495/Inputs!$D$21+$D$496/Inputs!$D$22)</f>
        <v>11303.0048030135</v>
      </c>
      <c r="G476" s="16">
        <f>G475*($D$495/Inputs!$D$21+$D$496/Inputs!$D$22)</f>
        <v>13180.207840697982</v>
      </c>
      <c r="H476" s="16">
        <f>H475*($D$495/Inputs!$D$21+$D$496/Inputs!$D$22)</f>
        <v>13180.207840697982</v>
      </c>
      <c r="I476" s="16">
        <f>I475*($D$495/Inputs!$D$21+$D$496/Inputs!$D$22)</f>
        <v>13180.207840697982</v>
      </c>
      <c r="J476" s="16">
        <f>J475*($D$495/Inputs!$D$21+$D$496/Inputs!$D$22)</f>
        <v>13180.207840697982</v>
      </c>
      <c r="K476" s="16">
        <f>K475*($D$495/Inputs!$D$21+$D$496/Inputs!$D$22)</f>
        <v>13180.207840697982</v>
      </c>
      <c r="L476" s="16">
        <f>L475*($D$495/Inputs!$D$21+$D$496/Inputs!$D$22)</f>
        <v>13180.207840697982</v>
      </c>
      <c r="M476" s="16">
        <f>M475*($D$495/Inputs!$D$21+$D$496/Inputs!$D$22)</f>
        <v>13180.207840697982</v>
      </c>
    </row>
    <row r="477" spans="1:13" ht="15" customHeight="1" x14ac:dyDescent="0.2">
      <c r="B477" s="10" t="s">
        <v>898</v>
      </c>
      <c r="C477" s="10" t="s">
        <v>110</v>
      </c>
      <c r="D477" s="16">
        <f t="shared" ref="D477:M477" si="103">D473*($D$495+$D$496)</f>
        <v>15560.968620146154</v>
      </c>
      <c r="E477" s="16">
        <f t="shared" si="103"/>
        <v>20747.95816019487</v>
      </c>
      <c r="F477" s="16">
        <f t="shared" si="103"/>
        <v>15560.968620146154</v>
      </c>
      <c r="G477" s="16">
        <f t="shared" si="103"/>
        <v>0</v>
      </c>
      <c r="H477" s="16">
        <f t="shared" si="103"/>
        <v>0</v>
      </c>
      <c r="I477" s="16">
        <f t="shared" si="103"/>
        <v>0</v>
      </c>
      <c r="J477" s="16">
        <f t="shared" si="103"/>
        <v>0</v>
      </c>
      <c r="K477" s="16">
        <f t="shared" si="103"/>
        <v>0</v>
      </c>
      <c r="L477" s="16">
        <f t="shared" si="103"/>
        <v>0</v>
      </c>
      <c r="M477" s="16">
        <f t="shared" si="103"/>
        <v>0</v>
      </c>
    </row>
    <row r="478" spans="1:13" ht="15" customHeight="1" x14ac:dyDescent="0.2">
      <c r="B478" s="10" t="s">
        <v>899</v>
      </c>
      <c r="C478" s="10" t="s">
        <v>110</v>
      </c>
      <c r="D478" s="16">
        <f t="shared" ref="D478:M478" si="104">D474*$D$495</f>
        <v>0</v>
      </c>
      <c r="E478" s="16">
        <f t="shared" si="104"/>
        <v>0</v>
      </c>
      <c r="F478" s="16">
        <f t="shared" si="104"/>
        <v>0</v>
      </c>
      <c r="G478" s="16">
        <f t="shared" si="104"/>
        <v>2638.0048485671714</v>
      </c>
      <c r="H478" s="16">
        <f t="shared" si="104"/>
        <v>14881.788221808281</v>
      </c>
      <c r="I478" s="16">
        <f t="shared" si="104"/>
        <v>19842.384295744378</v>
      </c>
      <c r="J478" s="16">
        <f t="shared" si="104"/>
        <v>14881.788221808281</v>
      </c>
      <c r="K478" s="16">
        <f t="shared" si="104"/>
        <v>2638.0048485671714</v>
      </c>
      <c r="L478" s="16">
        <f t="shared" si="104"/>
        <v>14881.788221808281</v>
      </c>
      <c r="M478" s="16">
        <f t="shared" si="104"/>
        <v>19842.384295744378</v>
      </c>
    </row>
    <row r="479" spans="1:13" ht="15" customHeight="1" x14ac:dyDescent="0.2">
      <c r="B479" s="10" t="s">
        <v>900</v>
      </c>
      <c r="C479" s="10" t="s">
        <v>199</v>
      </c>
      <c r="D479" s="28">
        <f>D473*Inputs!$D$23</f>
        <v>6.4875000000000007</v>
      </c>
      <c r="E479" s="28">
        <f>E473*Inputs!$D$23</f>
        <v>8.65</v>
      </c>
      <c r="F479" s="28">
        <f>F473*Inputs!$D$23</f>
        <v>6.4875000000000007</v>
      </c>
      <c r="G479" s="28">
        <f>G473*Inputs!$D$23</f>
        <v>0</v>
      </c>
      <c r="H479" s="28">
        <f>H473*Inputs!$D$23</f>
        <v>0</v>
      </c>
      <c r="I479" s="28">
        <f>I473*Inputs!$D$23</f>
        <v>0</v>
      </c>
      <c r="J479" s="28">
        <f>J473*Inputs!$D$23</f>
        <v>0</v>
      </c>
      <c r="K479" s="28">
        <f>K473*Inputs!$D$23</f>
        <v>0</v>
      </c>
      <c r="L479" s="28">
        <f>L473*Inputs!$D$23</f>
        <v>0</v>
      </c>
      <c r="M479" s="28">
        <f>M473*Inputs!$D$23</f>
        <v>0</v>
      </c>
    </row>
    <row r="480" spans="1:13" ht="15" customHeight="1" x14ac:dyDescent="0.2">
      <c r="B480" s="3" t="s">
        <v>901</v>
      </c>
      <c r="C480" s="10" t="s">
        <v>896</v>
      </c>
      <c r="D480" s="28">
        <f>(D475*$D$493*(Inputs!$D$7-Inputs!$D$19)-D479)/(Inputs!$D$7+$D$494)^D468</f>
        <v>42.660653925152452</v>
      </c>
      <c r="E480" s="28">
        <f>(E475*$D$493*(Inputs!$D$7-Inputs!$D$19)-E479)/(Inputs!$D$7+$D$494)^E468</f>
        <v>158.31978659613881</v>
      </c>
      <c r="F480" s="28">
        <f>(F475*$D$493*(Inputs!$D$7-Inputs!$D$19)-F479)/(Inputs!$D$7+$D$494)^F468</f>
        <v>236.42483167794978</v>
      </c>
      <c r="G480" s="28">
        <f>(G475*$D$493*(Inputs!$D$7-Inputs!$D$19)-G479)/(Inputs!$D$7+$D$494)^G468</f>
        <v>251.13644561931974</v>
      </c>
      <c r="H480" s="28">
        <f>(H475*$D$493*(Inputs!$D$7-Inputs!$D$19)-H479)/(Inputs!$D$7+$D$494)^H468</f>
        <v>224.24636325224728</v>
      </c>
      <c r="I480" s="28">
        <f>(I475*$D$493*(Inputs!$D$7-Inputs!$D$19)-I479)/(Inputs!$D$7+$D$494)^I468</f>
        <v>200.17337986771702</v>
      </c>
      <c r="J480" s="28">
        <f>(J475*$D$493*(Inputs!$D$7-Inputs!$D$19)-J479)/(Inputs!$D$7+$D$494)^J468</f>
        <v>178.74009622358432</v>
      </c>
      <c r="K480" s="28">
        <f>(K475*$D$493*(Inputs!$D$7-Inputs!$D$19)-K479)/(Inputs!$D$7+$D$494)^K468</f>
        <v>159.60175133740944</v>
      </c>
      <c r="L480" s="28">
        <f>(L475*$D$493*(Inputs!$D$7-Inputs!$D$19)-L479)/(Inputs!$D$7+$D$494)^L468</f>
        <v>142.5126178633399</v>
      </c>
      <c r="M480" s="28">
        <f>(M475*$D$493*(Inputs!$D$7-Inputs!$D$19)-M479)/(Inputs!$D$7+$D$494)^M468</f>
        <v>127.21380172133185</v>
      </c>
    </row>
    <row r="481" spans="2:13" ht="15" customHeight="1" x14ac:dyDescent="0.2">
      <c r="B481" s="10" t="s">
        <v>902</v>
      </c>
      <c r="C481" s="10" t="s">
        <v>110</v>
      </c>
      <c r="D481" s="16">
        <f>(D476*Inputs!$D$19-D477-D478)/(Inputs!$D$7+$D$494)^D468</f>
        <v>-13847.790632947557</v>
      </c>
      <c r="E481" s="16">
        <f>(E476*Inputs!$D$19-E477-E478)/(Inputs!$D$7+$D$494)^E468</f>
        <v>-15370.239105459035</v>
      </c>
      <c r="F481" s="16">
        <f>(F476*Inputs!$D$19-F477-F478)/(Inputs!$D$7+$D$494)^F468</f>
        <v>-8945.8041564234754</v>
      </c>
      <c r="G481" s="16">
        <f>(G476*Inputs!$D$19-G477-G478)/(Inputs!$D$7+$D$494)^G468</f>
        <v>863.80744262020482</v>
      </c>
      <c r="H481" s="16">
        <f>(H476*Inputs!$D$19-H477-H478)/(Inputs!$D$7+$D$494)^H468</f>
        <v>-6404.5339628745278</v>
      </c>
      <c r="I481" s="16">
        <f>(I476*Inputs!$D$19-I477-I478)/(Inputs!$D$7+$D$494)^I468</f>
        <v>-8312.2134333380691</v>
      </c>
      <c r="J481" s="16">
        <f>(J476*Inputs!$D$19-J477-J478)/(Inputs!$D$7+$D$494)^J468</f>
        <v>-5104.8632414329013</v>
      </c>
      <c r="K481" s="16">
        <f>(K476*Inputs!$D$19-K477-K478)/(Inputs!$D$7+$D$494)^K468</f>
        <v>548.96524604578394</v>
      </c>
      <c r="L481" s="16">
        <f>(L476*Inputs!$D$19-L477-L478)/(Inputs!$D$7+$D$494)^L468</f>
        <v>-4070.1971171644977</v>
      </c>
      <c r="M481" s="16">
        <f>(M476*Inputs!$D$19-M477-M478)/(Inputs!$D$7+$D$494)^M468</f>
        <v>-5282.5619084458349</v>
      </c>
    </row>
    <row r="482" spans="2:13" ht="15" customHeight="1" x14ac:dyDescent="0.2">
      <c r="B482" s="10" t="s">
        <v>903</v>
      </c>
      <c r="C482" s="10" t="s">
        <v>110</v>
      </c>
      <c r="D482" s="16">
        <f t="shared" ref="D482:M482" si="105">D475*$D$492</f>
        <v>5991.827338732217</v>
      </c>
      <c r="E482" s="16">
        <f t="shared" si="105"/>
        <v>22829.458786336047</v>
      </c>
      <c r="F482" s="16">
        <f t="shared" si="105"/>
        <v>37273.802877377297</v>
      </c>
      <c r="G482" s="16">
        <f t="shared" si="105"/>
        <v>43464.236059252122</v>
      </c>
      <c r="H482" s="16">
        <f t="shared" si="105"/>
        <v>43464.236059252122</v>
      </c>
      <c r="I482" s="16">
        <f t="shared" si="105"/>
        <v>43464.236059252122</v>
      </c>
      <c r="J482" s="16">
        <f t="shared" si="105"/>
        <v>43464.236059252122</v>
      </c>
      <c r="K482" s="16">
        <f t="shared" si="105"/>
        <v>43464.236059252122</v>
      </c>
      <c r="L482" s="16">
        <f t="shared" si="105"/>
        <v>43464.236059252122</v>
      </c>
      <c r="M482" s="16">
        <f t="shared" si="105"/>
        <v>43464.236059252122</v>
      </c>
    </row>
    <row r="483" spans="2:13" ht="15" customHeight="1" x14ac:dyDescent="0.2">
      <c r="B483" s="10" t="s">
        <v>904</v>
      </c>
      <c r="C483" s="10" t="s">
        <v>110</v>
      </c>
      <c r="D483" s="16">
        <f t="shared" ref="D483:M483" si="106">D482*$D$493</f>
        <v>3595.0964032393299</v>
      </c>
      <c r="E483" s="16">
        <f t="shared" si="106"/>
        <v>13697.675271801627</v>
      </c>
      <c r="F483" s="16">
        <f t="shared" si="106"/>
        <v>22364.281726426376</v>
      </c>
      <c r="G483" s="16">
        <f t="shared" si="106"/>
        <v>26078.541635551272</v>
      </c>
      <c r="H483" s="16">
        <f t="shared" si="106"/>
        <v>26078.541635551272</v>
      </c>
      <c r="I483" s="16">
        <f t="shared" si="106"/>
        <v>26078.541635551272</v>
      </c>
      <c r="J483" s="16">
        <f t="shared" si="106"/>
        <v>26078.541635551272</v>
      </c>
      <c r="K483" s="16">
        <f t="shared" si="106"/>
        <v>26078.541635551272</v>
      </c>
      <c r="L483" s="16">
        <f t="shared" si="106"/>
        <v>26078.541635551272</v>
      </c>
      <c r="M483" s="16">
        <f t="shared" si="106"/>
        <v>26078.541635551272</v>
      </c>
    </row>
    <row r="484" spans="2:13" ht="15" customHeight="1" x14ac:dyDescent="0.2">
      <c r="B484" s="10" t="s">
        <v>905</v>
      </c>
      <c r="C484" s="10" t="s">
        <v>110</v>
      </c>
      <c r="D484" s="16">
        <f t="shared" ref="D484:M484" si="107">D483-D476</f>
        <v>1778.119117306888</v>
      </c>
      <c r="E484" s="16">
        <f t="shared" si="107"/>
        <v>6774.8108900519182</v>
      </c>
      <c r="F484" s="16">
        <f t="shared" si="107"/>
        <v>11061.276923412875</v>
      </c>
      <c r="G484" s="16">
        <f t="shared" si="107"/>
        <v>12898.33379485329</v>
      </c>
      <c r="H484" s="16">
        <f t="shared" si="107"/>
        <v>12898.33379485329</v>
      </c>
      <c r="I484" s="16">
        <f t="shared" si="107"/>
        <v>12898.33379485329</v>
      </c>
      <c r="J484" s="16">
        <f t="shared" si="107"/>
        <v>12898.33379485329</v>
      </c>
      <c r="K484" s="16">
        <f t="shared" si="107"/>
        <v>12898.33379485329</v>
      </c>
      <c r="L484" s="16">
        <f t="shared" si="107"/>
        <v>12898.33379485329</v>
      </c>
      <c r="M484" s="16">
        <f t="shared" si="107"/>
        <v>12898.33379485329</v>
      </c>
    </row>
    <row r="485" spans="2:13" ht="15" customHeight="1" x14ac:dyDescent="0.2">
      <c r="B485" s="10" t="s">
        <v>906</v>
      </c>
      <c r="C485" s="10" t="s">
        <v>110</v>
      </c>
      <c r="D485" s="16">
        <f>MAX(D484,Inputs!$D$6)*Inputs!$D$19</f>
        <v>533.43573519206643</v>
      </c>
      <c r="E485" s="16">
        <f>MAX(E484,Inputs!$D$6)*Inputs!$D$19</f>
        <v>2032.4432670155754</v>
      </c>
      <c r="F485" s="16">
        <f>MAX(F484,Inputs!$D$6)*Inputs!$D$19</f>
        <v>3318.3830770238624</v>
      </c>
      <c r="G485" s="16">
        <f>MAX(G484,Inputs!$D$6)*Inputs!$D$19</f>
        <v>3869.5001384559869</v>
      </c>
      <c r="H485" s="16">
        <f>MAX(H484,Inputs!$D$6)*Inputs!$D$19</f>
        <v>3869.5001384559869</v>
      </c>
      <c r="I485" s="16">
        <f>MAX(I484,Inputs!$D$6)*Inputs!$D$19</f>
        <v>3869.5001384559869</v>
      </c>
      <c r="J485" s="16">
        <f>MAX(J484,Inputs!$D$6)*Inputs!$D$19</f>
        <v>3869.5001384559869</v>
      </c>
      <c r="K485" s="16">
        <f>MAX(K484,Inputs!$D$6)*Inputs!$D$19</f>
        <v>3869.5001384559869</v>
      </c>
      <c r="L485" s="16">
        <f>MAX(L484,Inputs!$D$6)*Inputs!$D$19</f>
        <v>3869.5001384559869</v>
      </c>
      <c r="M485" s="16">
        <f>MAX(M484,Inputs!$D$6)*Inputs!$D$19</f>
        <v>3869.5001384559869</v>
      </c>
    </row>
    <row r="486" spans="2:13" ht="15" customHeight="1" x14ac:dyDescent="0.2">
      <c r="B486" s="10" t="s">
        <v>907</v>
      </c>
      <c r="C486" s="10" t="s">
        <v>110</v>
      </c>
      <c r="D486" s="16">
        <f t="shared" ref="D486:M486" si="108">D479*$D$492</f>
        <v>309.52165909374111</v>
      </c>
      <c r="E486" s="16">
        <f t="shared" si="108"/>
        <v>412.69554545832148</v>
      </c>
      <c r="F486" s="16">
        <f t="shared" si="108"/>
        <v>309.52165909374111</v>
      </c>
      <c r="G486" s="16">
        <f t="shared" si="108"/>
        <v>0</v>
      </c>
      <c r="H486" s="16">
        <f t="shared" si="108"/>
        <v>0</v>
      </c>
      <c r="I486" s="16">
        <f t="shared" si="108"/>
        <v>0</v>
      </c>
      <c r="J486" s="16">
        <f t="shared" si="108"/>
        <v>0</v>
      </c>
      <c r="K486" s="16">
        <f t="shared" si="108"/>
        <v>0</v>
      </c>
      <c r="L486" s="16">
        <f t="shared" si="108"/>
        <v>0</v>
      </c>
      <c r="M486" s="16">
        <f t="shared" si="108"/>
        <v>0</v>
      </c>
    </row>
    <row r="487" spans="2:13" ht="15" customHeight="1" x14ac:dyDescent="0.2">
      <c r="B487" s="10" t="s">
        <v>908</v>
      </c>
      <c r="C487" s="10" t="s">
        <v>110</v>
      </c>
      <c r="D487" s="16">
        <f t="shared" ref="D487:M487" si="109">D483-D485-D477-D478-D486</f>
        <v>-12808.829611192632</v>
      </c>
      <c r="E487" s="16">
        <f t="shared" si="109"/>
        <v>-9495.4217008671403</v>
      </c>
      <c r="F487" s="16">
        <f t="shared" si="109"/>
        <v>3175.4083701626173</v>
      </c>
      <c r="G487" s="16">
        <f t="shared" si="109"/>
        <v>19571.036648528112</v>
      </c>
      <c r="H487" s="16">
        <f t="shared" si="109"/>
        <v>7327.2532752870029</v>
      </c>
      <c r="I487" s="16">
        <f t="shared" si="109"/>
        <v>2366.6572013509067</v>
      </c>
      <c r="J487" s="16">
        <f t="shared" si="109"/>
        <v>7327.2532752870029</v>
      </c>
      <c r="K487" s="16">
        <f t="shared" si="109"/>
        <v>19571.036648528112</v>
      </c>
      <c r="L487" s="16">
        <f t="shared" si="109"/>
        <v>7327.2532752870029</v>
      </c>
      <c r="M487" s="16">
        <f t="shared" si="109"/>
        <v>2366.6572013509067</v>
      </c>
    </row>
    <row r="488" spans="2:13" ht="15" customHeight="1" x14ac:dyDescent="0.2">
      <c r="B488" s="10" t="s">
        <v>909</v>
      </c>
      <c r="C488" s="10" t="s">
        <v>110</v>
      </c>
      <c r="D488" s="16">
        <f>D487/(Inputs!$D$7+$D$494)^D468</f>
        <v>-11812.430882514094</v>
      </c>
      <c r="E488" s="16">
        <f>E487/(Inputs!$D$7+$D$494)^E468</f>
        <v>-7816.7280434777003</v>
      </c>
      <c r="F488" s="16">
        <f>F487/(Inputs!$D$7+$D$494)^F468</f>
        <v>2334.1351348162129</v>
      </c>
      <c r="G488" s="16">
        <f>G487/(Inputs!$D$7+$D$494)^G468</f>
        <v>12845.644715375029</v>
      </c>
      <c r="H488" s="16">
        <f>H487/(Inputs!$D$7+$D$494)^H468</f>
        <v>4294.3649041117242</v>
      </c>
      <c r="I488" s="16">
        <f>I487/(Inputs!$D$7+$D$494)^I468</f>
        <v>1238.1521378461216</v>
      </c>
      <c r="J488" s="16">
        <f>J487/(Inputs!$D$7+$D$494)^J468</f>
        <v>3422.9103431064041</v>
      </c>
      <c r="K488" s="16">
        <f>K487/(Inputs!$D$7+$D$494)^K468</f>
        <v>8163.6394453863113</v>
      </c>
      <c r="L488" s="16">
        <f>L487/(Inputs!$D$7+$D$494)^L468</f>
        <v>2729.1465318302294</v>
      </c>
      <c r="M488" s="16">
        <f>M487/(Inputs!$D$7+$D$494)^M468</f>
        <v>786.86806741680095</v>
      </c>
    </row>
    <row r="489" spans="2:13" ht="15" customHeight="1" x14ac:dyDescent="0.2">
      <c r="B489" s="3" t="s">
        <v>910</v>
      </c>
      <c r="C489" s="10" t="s">
        <v>896</v>
      </c>
      <c r="D489" s="28">
        <f>(D475*$D$493-D479)/(Inputs!$D$7+$D$494)^D468</f>
        <v>63.507864509879404</v>
      </c>
      <c r="E489" s="28">
        <f>(E475*$D$493-E479)/(Inputs!$D$7+$D$494)^E468</f>
        <v>229.22288153959471</v>
      </c>
      <c r="F489" s="28">
        <f>(F475*$D$493-F479)/(Inputs!$D$7+$D$494)^F468</f>
        <v>339.79350589880926</v>
      </c>
      <c r="G489" s="28">
        <f>(G475*$D$493-G479)/(Inputs!$D$7+$D$494)^G468</f>
        <v>358.76635088474251</v>
      </c>
      <c r="H489" s="28">
        <f>(H475*$D$493-H479)/(Inputs!$D$7+$D$494)^H468</f>
        <v>320.3519475032104</v>
      </c>
      <c r="I489" s="28">
        <f>(I475*$D$493-I479)/(Inputs!$D$7+$D$494)^I468</f>
        <v>285.96197123959575</v>
      </c>
      <c r="J489" s="28">
        <f>(J475*$D$493-J479)/(Inputs!$D$7+$D$494)^J468</f>
        <v>255.34299460512048</v>
      </c>
      <c r="K489" s="28">
        <f>(K475*$D$493-K479)/(Inputs!$D$7+$D$494)^K468</f>
        <v>228.0025019105849</v>
      </c>
      <c r="L489" s="28">
        <f>(L475*$D$493-L479)/(Inputs!$D$7+$D$494)^L468</f>
        <v>203.58945409048559</v>
      </c>
      <c r="M489" s="28">
        <f>(M475*$D$493-M479)/(Inputs!$D$7+$D$494)^M468</f>
        <v>181.73400245904551</v>
      </c>
    </row>
    <row r="490" spans="2:13" ht="15" customHeight="1" x14ac:dyDescent="0.2">
      <c r="B490" s="10" t="s">
        <v>911</v>
      </c>
      <c r="C490" s="10" t="s">
        <v>110</v>
      </c>
      <c r="D490" s="16">
        <f>(-D477-D478)/(Inputs!$D$7+$D$494)^D468</f>
        <v>-14350.481025200577</v>
      </c>
      <c r="E490" s="16">
        <f>(-E477-E478)/(Inputs!$D$7+$D$494)^E468</f>
        <v>-17079.930887207098</v>
      </c>
      <c r="F490" s="16">
        <f>(-F477-F478)/(Inputs!$D$7+$D$494)^F468</f>
        <v>-11438.340948315768</v>
      </c>
      <c r="G490" s="16">
        <f>(-G477-G478)/(Inputs!$D$7+$D$494)^G468</f>
        <v>-1731.4807411941122</v>
      </c>
      <c r="H490" s="16">
        <f>(-H477-H478)/(Inputs!$D$7+$D$494)^H468</f>
        <v>-8721.9353076959778</v>
      </c>
      <c r="I490" s="16">
        <f>(-I477-I478)/(Inputs!$D$7+$D$494)^I468</f>
        <v>-10380.8403353543</v>
      </c>
      <c r="J490" s="16">
        <f>(-J477-J478)/(Inputs!$D$7+$D$494)^J468</f>
        <v>-6951.9948218729187</v>
      </c>
      <c r="K490" s="16">
        <f>(-K477-K478)/(Inputs!$D$7+$D$494)^K468</f>
        <v>-1100.3873134386547</v>
      </c>
      <c r="L490" s="16">
        <f>(-L477-L478)/(Inputs!$D$7+$D$494)^L468</f>
        <v>-5542.947566718196</v>
      </c>
      <c r="M490" s="16">
        <f>(-M477-M478)/(Inputs!$D$7+$D$494)^M468</f>
        <v>-6597.2117021517279</v>
      </c>
    </row>
    <row r="491" spans="2:13" ht="15" customHeight="1" x14ac:dyDescent="0.2">
      <c r="B491" s="10" t="s">
        <v>912</v>
      </c>
      <c r="C491" s="10" t="s">
        <v>110</v>
      </c>
      <c r="D491" s="16">
        <f>Prices!I6</f>
        <v>43700</v>
      </c>
    </row>
    <row r="492" spans="2:13" ht="15" customHeight="1" x14ac:dyDescent="0.2">
      <c r="B492" s="3" t="s">
        <v>913</v>
      </c>
      <c r="C492" s="10" t="s">
        <v>914</v>
      </c>
      <c r="D492" s="28">
        <f>IF(J499&gt;=J495,J499,(D491-J498)/J497)</f>
        <v>47.710467683042943</v>
      </c>
      <c r="G492" s="99" t="s">
        <v>915</v>
      </c>
      <c r="H492" s="91"/>
      <c r="I492" s="91"/>
      <c r="J492" s="28">
        <f>D492*Inputs!$D$15</f>
        <v>33.297135395995667</v>
      </c>
      <c r="K492" s="99" t="s">
        <v>916</v>
      </c>
      <c r="L492" s="91"/>
      <c r="M492" s="91"/>
    </row>
    <row r="493" spans="2:13" ht="15" customHeight="1" x14ac:dyDescent="0.2">
      <c r="B493" s="10" t="s">
        <v>917</v>
      </c>
      <c r="C493" s="10" t="s">
        <v>104</v>
      </c>
      <c r="D493" s="30">
        <f>Inputs!$D$142</f>
        <v>0.6</v>
      </c>
      <c r="G493" s="99" t="s">
        <v>918</v>
      </c>
      <c r="H493" s="91"/>
      <c r="I493" s="91"/>
      <c r="J493" s="28">
        <f>IF(-D504/D503&gt;=J495,-D504/D503,-J498/J497)</f>
        <v>33.575423983231723</v>
      </c>
      <c r="K493" s="99" t="s">
        <v>919</v>
      </c>
      <c r="L493" s="91"/>
      <c r="M493" s="91"/>
    </row>
    <row r="494" spans="2:13" ht="15" customHeight="1" x14ac:dyDescent="0.2">
      <c r="B494" s="10" t="s">
        <v>920</v>
      </c>
      <c r="C494" s="10" t="s">
        <v>104</v>
      </c>
      <c r="D494" s="30">
        <f>Inputs!$D$148</f>
        <v>0.12</v>
      </c>
      <c r="G494" s="99" t="s">
        <v>918</v>
      </c>
      <c r="H494" s="91"/>
      <c r="I494" s="91"/>
      <c r="J494" s="28">
        <f>J493*Inputs!$D$15</f>
        <v>23.43228839789742</v>
      </c>
      <c r="K494" s="99" t="s">
        <v>916</v>
      </c>
      <c r="L494" s="91"/>
      <c r="M494" s="91"/>
    </row>
    <row r="495" spans="2:13" ht="15" customHeight="1" x14ac:dyDescent="0.2">
      <c r="B495" s="3" t="s">
        <v>921</v>
      </c>
      <c r="C495" s="10" t="s">
        <v>848</v>
      </c>
      <c r="D495" s="28">
        <f>Capital!$D$13</f>
        <v>57.347931490590682</v>
      </c>
      <c r="G495" s="99" t="s">
        <v>922</v>
      </c>
      <c r="H495" s="91"/>
      <c r="I495" s="91"/>
      <c r="J495" s="28">
        <f>($D$495/Inputs!$D$21+$D$496/Inputs!$D$22)/$D$493</f>
        <v>24.113076913095469</v>
      </c>
      <c r="K495" s="99" t="s">
        <v>919</v>
      </c>
      <c r="L495" s="91"/>
      <c r="M495" s="91"/>
    </row>
    <row r="496" spans="2:13" ht="15" customHeight="1" x14ac:dyDescent="0.2">
      <c r="B496" s="3" t="s">
        <v>923</v>
      </c>
      <c r="C496" s="10" t="s">
        <v>848</v>
      </c>
      <c r="D496" s="28">
        <f>Capital!$D$14</f>
        <v>2.6172655041921802</v>
      </c>
    </row>
    <row r="497" spans="1:13" ht="15" customHeight="1" x14ac:dyDescent="0.2">
      <c r="B497" s="10" t="s">
        <v>924</v>
      </c>
      <c r="C497" s="10" t="s">
        <v>896</v>
      </c>
      <c r="D497" s="28">
        <f>(M470*(Inputs!$D$7+Inputs!$D$20)*$D$493*(Inputs!$D$7-Inputs!$D$19)-M470*Inputs!$D$20*Inputs!$D$23)/($D$494-Inputs!$D$20)/(Inputs!$D$7+$D$494)^M468</f>
        <v>1370.577268545301</v>
      </c>
      <c r="G497" s="92" t="s">
        <v>910</v>
      </c>
      <c r="H497" s="91"/>
      <c r="I497" s="91"/>
      <c r="J497" s="28">
        <f>SUM(D489:M489)+(M470*(Inputs!$D$7+Inputs!$D$20)*$D$493-M470*Inputs!$D$20*Inputs!$D$23)/($D$494-Inputs!$D$20)/(Inputs!$D$7+$D$494)^M468</f>
        <v>4425.0950143038062</v>
      </c>
      <c r="K497" s="99" t="s">
        <v>896</v>
      </c>
      <c r="L497" s="91"/>
      <c r="M497" s="91"/>
    </row>
    <row r="498" spans="1:13" ht="15" customHeight="1" x14ac:dyDescent="0.2">
      <c r="B498" s="10" t="s">
        <v>925</v>
      </c>
      <c r="C498" s="10" t="s">
        <v>110</v>
      </c>
      <c r="D498" s="16">
        <f>(D501*Inputs!$D$19-D501-D502)/($D$494-Inputs!$D$20)/(Inputs!$D$7+$D$494)^M468</f>
        <v>-37876.58483194092</v>
      </c>
      <c r="G498" s="92" t="s">
        <v>926</v>
      </c>
      <c r="H498" s="91"/>
      <c r="I498" s="91"/>
      <c r="J498" s="16">
        <f>SUM(D490:M490)-(D501+D502)/($D$494-Inputs!$D$20)/(Inputs!$D$7+$D$494)^M468</f>
        <v>-135956.51483423277</v>
      </c>
      <c r="K498" s="99" t="s">
        <v>110</v>
      </c>
      <c r="L498" s="91"/>
      <c r="M498" s="91"/>
    </row>
    <row r="499" spans="1:13" ht="15" customHeight="1" x14ac:dyDescent="0.2">
      <c r="B499" s="10" t="s">
        <v>927</v>
      </c>
      <c r="C499" s="10" t="s">
        <v>928</v>
      </c>
      <c r="D499" s="16">
        <f>(M470*(Inputs!$D$7+Inputs!$D$20)*$D$492*$D$493-D501)-MAX((M470*(Inputs!$D$7+Inputs!$D$20)*$D$492*$D$493-D501),Inputs!$D$6)*Inputs!$D$19-D502-M470*Inputs!$D$20*$D$492*Inputs!$D$23</f>
        <v>7861.6819887140209</v>
      </c>
      <c r="G499" s="99" t="s">
        <v>929</v>
      </c>
      <c r="H499" s="91"/>
      <c r="I499" s="91"/>
      <c r="J499" s="28">
        <f>(D491-D504)/D503</f>
        <v>47.710467683042943</v>
      </c>
      <c r="K499" s="99" t="s">
        <v>919</v>
      </c>
      <c r="L499" s="91"/>
      <c r="M499" s="91"/>
    </row>
    <row r="500" spans="1:13" ht="15" customHeight="1" x14ac:dyDescent="0.2">
      <c r="B500" s="10" t="s">
        <v>930</v>
      </c>
      <c r="C500" s="10" t="s">
        <v>110</v>
      </c>
      <c r="D500" s="16">
        <f>D499/($D$494-Inputs!$D$20)</f>
        <v>82754.547249621275</v>
      </c>
      <c r="G500" s="99" t="s">
        <v>931</v>
      </c>
      <c r="H500" s="91"/>
      <c r="I500" s="91"/>
      <c r="J500" s="16">
        <f>MIN(D484:M484,(M470*(Inputs!$D$7+Inputs!$D$20)*$D$492*$D$493-D501))</f>
        <v>1778.119117306888</v>
      </c>
      <c r="K500" s="99" t="s">
        <v>110</v>
      </c>
      <c r="L500" s="91"/>
      <c r="M500" s="91"/>
    </row>
    <row r="501" spans="1:13" ht="15" customHeight="1" x14ac:dyDescent="0.2">
      <c r="B501" s="10" t="s">
        <v>932</v>
      </c>
      <c r="C501" s="10" t="s">
        <v>928</v>
      </c>
      <c r="D501" s="16">
        <f>M470*(Inputs!$D$7+Inputs!$D$20)*($D$495/Inputs!$D$21+$D$496/Inputs!$D$22)</f>
        <v>13509.71303671543</v>
      </c>
      <c r="G501" s="99" t="s">
        <v>933</v>
      </c>
      <c r="H501" s="91"/>
      <c r="I501" s="91"/>
      <c r="J501" s="31" t="str">
        <f>IF(J500&lt;Inputs!$D$6,"breached","satisfied")</f>
        <v>satisfied</v>
      </c>
      <c r="K501" s="99" t="s">
        <v>934</v>
      </c>
      <c r="L501" s="91"/>
      <c r="M501" s="91"/>
    </row>
    <row r="502" spans="1:13" ht="15" customHeight="1" x14ac:dyDescent="0.2">
      <c r="B502" s="10" t="s">
        <v>935</v>
      </c>
      <c r="C502" s="10" t="s">
        <v>928</v>
      </c>
      <c r="D502" s="16">
        <f>M470*Inputs!$D$20*($D$495+$D$496)</f>
        <v>1365.7073615561799</v>
      </c>
    </row>
    <row r="503" spans="1:13" ht="15" customHeight="1" x14ac:dyDescent="0.2">
      <c r="B503" s="10" t="s">
        <v>936</v>
      </c>
      <c r="C503" s="10" t="s">
        <v>896</v>
      </c>
      <c r="D503" s="28">
        <f>SUM(D480:M480)+D497</f>
        <v>3091.6069966294917</v>
      </c>
      <c r="G503" s="99" t="s">
        <v>937</v>
      </c>
      <c r="H503" s="91"/>
      <c r="I503" s="91"/>
      <c r="J503" s="16">
        <f>D505-D491</f>
        <v>0</v>
      </c>
      <c r="K503" s="99" t="s">
        <v>110</v>
      </c>
      <c r="L503" s="91"/>
      <c r="M503" s="91"/>
    </row>
    <row r="504" spans="1:13" ht="15" customHeight="1" x14ac:dyDescent="0.2">
      <c r="B504" s="10" t="s">
        <v>938</v>
      </c>
      <c r="C504" s="10" t="s">
        <v>110</v>
      </c>
      <c r="D504" s="16">
        <f>SUM(D481:M481)+D498</f>
        <v>-103802.01570136083</v>
      </c>
    </row>
    <row r="505" spans="1:13" ht="15" customHeight="1" x14ac:dyDescent="0.2">
      <c r="B505" s="10" t="s">
        <v>939</v>
      </c>
      <c r="C505" s="10" t="s">
        <v>110</v>
      </c>
      <c r="D505" s="16">
        <f>SUM(D488:M488)+D500/(Inputs!$D$7+$D$494)^M468</f>
        <v>43699.999999999985</v>
      </c>
    </row>
    <row r="506" spans="1:13" ht="15" customHeight="1" x14ac:dyDescent="0.2">
      <c r="B506" s="10" t="s">
        <v>940</v>
      </c>
      <c r="C506" s="10" t="s">
        <v>104</v>
      </c>
      <c r="D506" s="30">
        <f>IF(ABS(D491)&gt;Inputs!$D$6,D505/D491-Inputs!$D$7,Inputs!$D$6)</f>
        <v>-3.3306690738754696E-16</v>
      </c>
    </row>
    <row r="507" spans="1:13" ht="15" customHeight="1" x14ac:dyDescent="0.2">
      <c r="B507" s="10" t="s">
        <v>941</v>
      </c>
      <c r="C507" s="10" t="s">
        <v>104</v>
      </c>
      <c r="D507" s="30">
        <f>IF(ABS(D505)&gt;Inputs!$D$119,D500/(Inputs!$D$7+$D$494)^M468/D505,Inputs!$D$6)</f>
        <v>0.62961779510533078</v>
      </c>
    </row>
    <row r="508" spans="1:13" ht="15" customHeight="1" x14ac:dyDescent="0.2">
      <c r="B508" s="10" t="s">
        <v>942</v>
      </c>
      <c r="C508" s="10" t="s">
        <v>943</v>
      </c>
      <c r="D508" s="26">
        <f>$D$492*Inputs!$D$8/Prices!$P$6/(Inputs!$D$26/Inputs!$D$25)/Inputs!$D$11/Inputs!$D$56</f>
        <v>8.6762934697725473</v>
      </c>
    </row>
    <row r="512" spans="1:13" ht="15" customHeight="1" x14ac:dyDescent="0.2">
      <c r="A512" s="104" t="s">
        <v>2176</v>
      </c>
      <c r="B512" s="10" t="s">
        <v>886</v>
      </c>
      <c r="C512" s="10" t="s">
        <v>107</v>
      </c>
      <c r="D512" s="28">
        <f>Inputs!$D$60</f>
        <v>1</v>
      </c>
      <c r="E512" s="28">
        <f>Inputs!$D$62</f>
        <v>2</v>
      </c>
      <c r="F512" s="28">
        <f>Inputs!$D$64</f>
        <v>3</v>
      </c>
      <c r="G512" s="28">
        <f>Inputs!$D$66</f>
        <v>4</v>
      </c>
      <c r="H512" s="28">
        <f>Inputs!$D$68</f>
        <v>5</v>
      </c>
      <c r="I512" s="28">
        <f>Inputs!$D$70</f>
        <v>6</v>
      </c>
      <c r="J512" s="28">
        <f>Inputs!$D$72</f>
        <v>7</v>
      </c>
      <c r="K512" s="28">
        <f>Inputs!$D$74</f>
        <v>8</v>
      </c>
      <c r="L512" s="28">
        <f>Inputs!$D$76</f>
        <v>9</v>
      </c>
      <c r="M512" s="28">
        <f>Inputs!$D$78</f>
        <v>10</v>
      </c>
    </row>
    <row r="513" spans="1:13" ht="15" customHeight="1" x14ac:dyDescent="0.2">
      <c r="A513" s="91"/>
      <c r="B513" s="10" t="s">
        <v>887</v>
      </c>
      <c r="C513" s="10" t="s">
        <v>161</v>
      </c>
      <c r="D513" s="29">
        <f>Inputs!$D$61</f>
        <v>46568</v>
      </c>
      <c r="E513" s="29">
        <f>Inputs!$D$63</f>
        <v>46934</v>
      </c>
      <c r="F513" s="29">
        <f>Inputs!$D$65</f>
        <v>47299</v>
      </c>
      <c r="G513" s="29">
        <f>Inputs!$D$67</f>
        <v>47664</v>
      </c>
      <c r="H513" s="29">
        <f>Inputs!$D$69</f>
        <v>48029</v>
      </c>
      <c r="I513" s="29">
        <f>Inputs!$D$71</f>
        <v>48395</v>
      </c>
      <c r="J513" s="29">
        <f>Inputs!$D$73</f>
        <v>48760</v>
      </c>
      <c r="K513" s="29">
        <f>Inputs!$D$75</f>
        <v>49125</v>
      </c>
      <c r="L513" s="29">
        <f>Inputs!$D$77</f>
        <v>49490</v>
      </c>
      <c r="M513" s="29">
        <f>Inputs!$D$79</f>
        <v>49856</v>
      </c>
    </row>
    <row r="514" spans="1:13" ht="15" customHeight="1" x14ac:dyDescent="0.2">
      <c r="A514" s="91"/>
      <c r="B514" s="10" t="s">
        <v>888</v>
      </c>
      <c r="C514" s="10" t="s">
        <v>107</v>
      </c>
      <c r="D514" s="28">
        <f>(D513-Inputs!$D$13)/Inputs!$D$10</f>
        <v>0.71457905544147848</v>
      </c>
      <c r="E514" s="28">
        <f>(E513-Inputs!$D$13)/Inputs!$D$10</f>
        <v>1.7166324435318274</v>
      </c>
      <c r="F514" s="28">
        <f>(F513-Inputs!$D$13)/Inputs!$D$10</f>
        <v>2.7159479808350446</v>
      </c>
      <c r="G514" s="28">
        <f>(G513-Inputs!$D$13)/Inputs!$D$10</f>
        <v>3.7152635181382614</v>
      </c>
      <c r="H514" s="28">
        <f>(H513-Inputs!$D$13)/Inputs!$D$10</f>
        <v>4.7145790554414786</v>
      </c>
      <c r="I514" s="28">
        <f>(I513-Inputs!$D$13)/Inputs!$D$10</f>
        <v>5.7166324435318279</v>
      </c>
      <c r="J514" s="28">
        <f>(J513-Inputs!$D$13)/Inputs!$D$10</f>
        <v>6.7159479808350442</v>
      </c>
      <c r="K514" s="28">
        <f>(K513-Inputs!$D$13)/Inputs!$D$10</f>
        <v>7.7152635181382614</v>
      </c>
      <c r="L514" s="28">
        <f>(L513-Inputs!$D$13)/Inputs!$D$10</f>
        <v>8.7145790554414777</v>
      </c>
      <c r="M514" s="28">
        <f>(M513-Inputs!$D$13)/Inputs!$D$10</f>
        <v>9.716632443531827</v>
      </c>
    </row>
    <row r="515" spans="1:13" ht="15" customHeight="1" x14ac:dyDescent="0.2">
      <c r="A515" s="91"/>
      <c r="B515" s="10" t="s">
        <v>889</v>
      </c>
      <c r="C515" s="10" t="s">
        <v>107</v>
      </c>
      <c r="D515" s="28">
        <f>D514</f>
        <v>0.71457905544147848</v>
      </c>
      <c r="E515" s="28">
        <f>Inputs!$D$7</f>
        <v>1</v>
      </c>
      <c r="F515" s="28">
        <f>Inputs!$D$7</f>
        <v>1</v>
      </c>
      <c r="G515" s="28">
        <f>Inputs!$D$7</f>
        <v>1</v>
      </c>
      <c r="H515" s="28">
        <f>Inputs!$D$7</f>
        <v>1</v>
      </c>
      <c r="I515" s="28">
        <f>Inputs!$D$7</f>
        <v>1</v>
      </c>
      <c r="J515" s="28">
        <f>Inputs!$D$7</f>
        <v>1</v>
      </c>
      <c r="K515" s="28">
        <f>Inputs!$D$7</f>
        <v>1</v>
      </c>
      <c r="L515" s="28">
        <f>Inputs!$D$7</f>
        <v>1</v>
      </c>
      <c r="M515" s="28">
        <f>Inputs!$D$7</f>
        <v>1</v>
      </c>
    </row>
    <row r="516" spans="1:13" ht="15" customHeight="1" x14ac:dyDescent="0.2">
      <c r="A516" s="91"/>
      <c r="B516" s="3" t="s">
        <v>890</v>
      </c>
      <c r="C516" s="10" t="s">
        <v>199</v>
      </c>
      <c r="D516" s="28">
        <f>Inputs!$D$24+(Inputs!$D$80-Inputs!$D$24)*Inputs!$D$83</f>
        <v>305.5</v>
      </c>
      <c r="E516" s="28">
        <f>Inputs!$D$24+(Inputs!$D$80-Inputs!$D$24)*Inputs!$D$84</f>
        <v>651.5</v>
      </c>
      <c r="F516" s="28">
        <f>Inputs!$D$24+(Inputs!$D$80-Inputs!$D$24)*Inputs!$D$85</f>
        <v>911</v>
      </c>
      <c r="G516" s="28">
        <f>Inputs!$D$24+(Inputs!$D$80-Inputs!$D$24)*Inputs!$D$86</f>
        <v>911</v>
      </c>
      <c r="H516" s="28">
        <f>Inputs!$D$24+(Inputs!$D$80-Inputs!$D$24)*Inputs!$D$87</f>
        <v>911</v>
      </c>
      <c r="I516" s="28">
        <f>Inputs!$D$24+(Inputs!$D$80-Inputs!$D$24)*Inputs!$D$88</f>
        <v>911</v>
      </c>
      <c r="J516" s="28">
        <f>Inputs!$D$24+(Inputs!$D$80-Inputs!$D$24)*Inputs!$D$89</f>
        <v>911</v>
      </c>
      <c r="K516" s="28">
        <f>Inputs!$D$24+(Inputs!$D$80-Inputs!$D$24)*Inputs!$D$90</f>
        <v>911</v>
      </c>
      <c r="L516" s="28">
        <f>Inputs!$D$24+(Inputs!$D$80-Inputs!$D$24)*Inputs!$D$91</f>
        <v>911</v>
      </c>
      <c r="M516" s="28">
        <f>Inputs!$D$24+(Inputs!$D$80-Inputs!$D$24)*Inputs!$D$92</f>
        <v>911</v>
      </c>
    </row>
    <row r="517" spans="1:13" ht="15" customHeight="1" x14ac:dyDescent="0.2">
      <c r="A517" s="91"/>
      <c r="B517" s="10" t="s">
        <v>891</v>
      </c>
      <c r="C517" s="10" t="s">
        <v>199</v>
      </c>
      <c r="D517" s="28">
        <f>Inputs!$D$24</f>
        <v>46</v>
      </c>
      <c r="E517" s="28">
        <f t="shared" ref="E517:M517" si="110">D516</f>
        <v>305.5</v>
      </c>
      <c r="F517" s="28">
        <f t="shared" si="110"/>
        <v>651.5</v>
      </c>
      <c r="G517" s="28">
        <f t="shared" si="110"/>
        <v>911</v>
      </c>
      <c r="H517" s="28">
        <f t="shared" si="110"/>
        <v>911</v>
      </c>
      <c r="I517" s="28">
        <f t="shared" si="110"/>
        <v>911</v>
      </c>
      <c r="J517" s="28">
        <f t="shared" si="110"/>
        <v>911</v>
      </c>
      <c r="K517" s="28">
        <f t="shared" si="110"/>
        <v>911</v>
      </c>
      <c r="L517" s="28">
        <f t="shared" si="110"/>
        <v>911</v>
      </c>
      <c r="M517" s="28">
        <f t="shared" si="110"/>
        <v>911</v>
      </c>
    </row>
    <row r="518" spans="1:13" ht="15" customHeight="1" x14ac:dyDescent="0.2">
      <c r="B518" s="10" t="s">
        <v>892</v>
      </c>
      <c r="C518" s="10" t="s">
        <v>199</v>
      </c>
      <c r="D518" s="28">
        <f>(D517+D516)*Inputs!$D$12</f>
        <v>175.75</v>
      </c>
      <c r="E518" s="28">
        <f>(E517+E516)*Inputs!$D$12</f>
        <v>478.5</v>
      </c>
      <c r="F518" s="28">
        <f>(F517+F516)*Inputs!$D$12</f>
        <v>781.25</v>
      </c>
      <c r="G518" s="28">
        <f>(G517+G516)*Inputs!$D$12</f>
        <v>911</v>
      </c>
      <c r="H518" s="28">
        <f>(H517+H516)*Inputs!$D$12</f>
        <v>911</v>
      </c>
      <c r="I518" s="28">
        <f>(I517+I516)*Inputs!$D$12</f>
        <v>911</v>
      </c>
      <c r="J518" s="28">
        <f>(J517+J516)*Inputs!$D$12</f>
        <v>911</v>
      </c>
      <c r="K518" s="28">
        <f>(K517+K516)*Inputs!$D$12</f>
        <v>911</v>
      </c>
      <c r="L518" s="28">
        <f>(L517+L516)*Inputs!$D$12</f>
        <v>911</v>
      </c>
      <c r="M518" s="28">
        <f>(M517+M516)*Inputs!$D$12</f>
        <v>911</v>
      </c>
    </row>
    <row r="519" spans="1:13" ht="15" customHeight="1" x14ac:dyDescent="0.2">
      <c r="B519" s="10" t="s">
        <v>893</v>
      </c>
      <c r="C519" s="10" t="s">
        <v>199</v>
      </c>
      <c r="D519" s="28">
        <f t="shared" ref="D519:M519" si="111">D516-D517</f>
        <v>259.5</v>
      </c>
      <c r="E519" s="28">
        <f t="shared" si="111"/>
        <v>346</v>
      </c>
      <c r="F519" s="28">
        <f t="shared" si="111"/>
        <v>259.5</v>
      </c>
      <c r="G519" s="28">
        <f t="shared" si="111"/>
        <v>0</v>
      </c>
      <c r="H519" s="28">
        <f t="shared" si="111"/>
        <v>0</v>
      </c>
      <c r="I519" s="28">
        <f t="shared" si="111"/>
        <v>0</v>
      </c>
      <c r="J519" s="28">
        <f t="shared" si="111"/>
        <v>0</v>
      </c>
      <c r="K519" s="28">
        <f t="shared" si="111"/>
        <v>0</v>
      </c>
      <c r="L519" s="28">
        <f t="shared" si="111"/>
        <v>0</v>
      </c>
      <c r="M519" s="28">
        <f t="shared" si="111"/>
        <v>0</v>
      </c>
    </row>
    <row r="520" spans="1:13" ht="15" customHeight="1" x14ac:dyDescent="0.2">
      <c r="B520" s="10" t="s">
        <v>894</v>
      </c>
      <c r="C520" s="10" t="s">
        <v>199</v>
      </c>
      <c r="D520" s="28">
        <f>IF(MOD(D512,Inputs!$D$21)=Inputs!$D$6,Inputs!$D$24,Inputs!$D$6)+SUMPRODUCT(--(D512&gt;$D$512:$M$512),--(MOD(D512-$D$512:$M$512,Inputs!$D$21)=Inputs!$D$6),$D$519:$M$519)</f>
        <v>0</v>
      </c>
      <c r="E520" s="28">
        <f>IF(MOD(E512,Inputs!$D$21)=Inputs!$D$6,Inputs!$D$24,Inputs!$D$6)+SUMPRODUCT(--(E512&gt;$D$512:$M$512),--(MOD(E512-$D$512:$M$512,Inputs!$D$21)=Inputs!$D$6),$D$519:$M$519)</f>
        <v>0</v>
      </c>
      <c r="F520" s="28">
        <f>IF(MOD(F512,Inputs!$D$21)=Inputs!$D$6,Inputs!$D$24,Inputs!$D$6)+SUMPRODUCT(--(F512&gt;$D$512:$M$512),--(MOD(F512-$D$512:$M$512,Inputs!$D$21)=Inputs!$D$6),$D$519:$M$519)</f>
        <v>0</v>
      </c>
      <c r="G520" s="28">
        <f>IF(MOD(G512,Inputs!$D$21)=Inputs!$D$6,Inputs!$D$24,Inputs!$D$6)+SUMPRODUCT(--(G512&gt;$D$512:$M$512),--(MOD(G512-$D$512:$M$512,Inputs!$D$21)=Inputs!$D$6),$D$519:$M$519)</f>
        <v>46</v>
      </c>
      <c r="H520" s="28">
        <f>IF(MOD(H512,Inputs!$D$21)=Inputs!$D$6,Inputs!$D$24,Inputs!$D$6)+SUMPRODUCT(--(H512&gt;$D$512:$M$512),--(MOD(H512-$D$512:$M$512,Inputs!$D$21)=Inputs!$D$6),$D$519:$M$519)</f>
        <v>259.5</v>
      </c>
      <c r="I520" s="28">
        <f>IF(MOD(I512,Inputs!$D$21)=Inputs!$D$6,Inputs!$D$24,Inputs!$D$6)+SUMPRODUCT(--(I512&gt;$D$512:$M$512),--(MOD(I512-$D$512:$M$512,Inputs!$D$21)=Inputs!$D$6),$D$519:$M$519)</f>
        <v>346</v>
      </c>
      <c r="J520" s="28">
        <f>IF(MOD(J512,Inputs!$D$21)=Inputs!$D$6,Inputs!$D$24,Inputs!$D$6)+SUMPRODUCT(--(J512&gt;$D$512:$M$512),--(MOD(J512-$D$512:$M$512,Inputs!$D$21)=Inputs!$D$6),$D$519:$M$519)</f>
        <v>259.5</v>
      </c>
      <c r="K520" s="28">
        <f>IF(MOD(K512,Inputs!$D$21)=Inputs!$D$6,Inputs!$D$24,Inputs!$D$6)+SUMPRODUCT(--(K512&gt;$D$512:$M$512),--(MOD(K512-$D$512:$M$512,Inputs!$D$21)=Inputs!$D$6),$D$519:$M$519)</f>
        <v>46</v>
      </c>
      <c r="L520" s="28">
        <f>IF(MOD(L512,Inputs!$D$21)=Inputs!$D$6,Inputs!$D$24,Inputs!$D$6)+SUMPRODUCT(--(L512&gt;$D$512:$M$512),--(MOD(L512-$D$512:$M$512,Inputs!$D$21)=Inputs!$D$6),$D$519:$M$519)</f>
        <v>259.5</v>
      </c>
      <c r="M520" s="28">
        <f>IF(MOD(M512,Inputs!$D$21)=Inputs!$D$6,Inputs!$D$24,Inputs!$D$6)+SUMPRODUCT(--(M512&gt;$D$512:$M$512),--(MOD(M512-$D$512:$M$512,Inputs!$D$21)=Inputs!$D$6),$D$519:$M$519)</f>
        <v>346</v>
      </c>
    </row>
    <row r="521" spans="1:13" ht="15" customHeight="1" x14ac:dyDescent="0.2">
      <c r="B521" s="10" t="s">
        <v>895</v>
      </c>
      <c r="C521" s="10" t="s">
        <v>896</v>
      </c>
      <c r="D521" s="28">
        <f t="shared" ref="D521:M521" si="112">D518*D515</f>
        <v>125.58726899383984</v>
      </c>
      <c r="E521" s="28">
        <f t="shared" si="112"/>
        <v>478.5</v>
      </c>
      <c r="F521" s="28">
        <f t="shared" si="112"/>
        <v>781.25</v>
      </c>
      <c r="G521" s="28">
        <f t="shared" si="112"/>
        <v>911</v>
      </c>
      <c r="H521" s="28">
        <f t="shared" si="112"/>
        <v>911</v>
      </c>
      <c r="I521" s="28">
        <f t="shared" si="112"/>
        <v>911</v>
      </c>
      <c r="J521" s="28">
        <f t="shared" si="112"/>
        <v>911</v>
      </c>
      <c r="K521" s="28">
        <f t="shared" si="112"/>
        <v>911</v>
      </c>
      <c r="L521" s="28">
        <f t="shared" si="112"/>
        <v>911</v>
      </c>
      <c r="M521" s="28">
        <f t="shared" si="112"/>
        <v>911</v>
      </c>
    </row>
    <row r="522" spans="1:13" ht="15" customHeight="1" x14ac:dyDescent="0.2">
      <c r="B522" s="10" t="s">
        <v>897</v>
      </c>
      <c r="C522" s="10" t="s">
        <v>110</v>
      </c>
      <c r="D522" s="16">
        <f>D521*($D$541/Inputs!$D$21+$D$542/Inputs!$D$22)</f>
        <v>1816.9772859324419</v>
      </c>
      <c r="E522" s="16">
        <f>E521*($D$541/Inputs!$D$21+$D$542/Inputs!$D$22)</f>
        <v>6922.8643817497086</v>
      </c>
      <c r="F522" s="16">
        <f>F521*($D$541/Inputs!$D$21+$D$542/Inputs!$D$22)</f>
        <v>11303.0048030135</v>
      </c>
      <c r="G522" s="16">
        <f>G521*($D$541/Inputs!$D$21+$D$542/Inputs!$D$22)</f>
        <v>13180.207840697982</v>
      </c>
      <c r="H522" s="16">
        <f>H521*($D$541/Inputs!$D$21+$D$542/Inputs!$D$22)</f>
        <v>13180.207840697982</v>
      </c>
      <c r="I522" s="16">
        <f>I521*($D$541/Inputs!$D$21+$D$542/Inputs!$D$22)</f>
        <v>13180.207840697982</v>
      </c>
      <c r="J522" s="16">
        <f>J521*($D$541/Inputs!$D$21+$D$542/Inputs!$D$22)</f>
        <v>13180.207840697982</v>
      </c>
      <c r="K522" s="16">
        <f>K521*($D$541/Inputs!$D$21+$D$542/Inputs!$D$22)</f>
        <v>13180.207840697982</v>
      </c>
      <c r="L522" s="16">
        <f>L521*($D$541/Inputs!$D$21+$D$542/Inputs!$D$22)</f>
        <v>13180.207840697982</v>
      </c>
      <c r="M522" s="16">
        <f>M521*($D$541/Inputs!$D$21+$D$542/Inputs!$D$22)</f>
        <v>13180.207840697982</v>
      </c>
    </row>
    <row r="523" spans="1:13" ht="15" customHeight="1" x14ac:dyDescent="0.2">
      <c r="B523" s="10" t="s">
        <v>898</v>
      </c>
      <c r="C523" s="10" t="s">
        <v>110</v>
      </c>
      <c r="D523" s="16">
        <f t="shared" ref="D523:M523" si="113">D519*($D$541+$D$542)</f>
        <v>15560.968620146154</v>
      </c>
      <c r="E523" s="16">
        <f t="shared" si="113"/>
        <v>20747.95816019487</v>
      </c>
      <c r="F523" s="16">
        <f t="shared" si="113"/>
        <v>15560.968620146154</v>
      </c>
      <c r="G523" s="16">
        <f t="shared" si="113"/>
        <v>0</v>
      </c>
      <c r="H523" s="16">
        <f t="shared" si="113"/>
        <v>0</v>
      </c>
      <c r="I523" s="16">
        <f t="shared" si="113"/>
        <v>0</v>
      </c>
      <c r="J523" s="16">
        <f t="shared" si="113"/>
        <v>0</v>
      </c>
      <c r="K523" s="16">
        <f t="shared" si="113"/>
        <v>0</v>
      </c>
      <c r="L523" s="16">
        <f t="shared" si="113"/>
        <v>0</v>
      </c>
      <c r="M523" s="16">
        <f t="shared" si="113"/>
        <v>0</v>
      </c>
    </row>
    <row r="524" spans="1:13" ht="15" customHeight="1" x14ac:dyDescent="0.2">
      <c r="B524" s="10" t="s">
        <v>899</v>
      </c>
      <c r="C524" s="10" t="s">
        <v>110</v>
      </c>
      <c r="D524" s="16">
        <f t="shared" ref="D524:M524" si="114">D520*$D$541</f>
        <v>0</v>
      </c>
      <c r="E524" s="16">
        <f t="shared" si="114"/>
        <v>0</v>
      </c>
      <c r="F524" s="16">
        <f t="shared" si="114"/>
        <v>0</v>
      </c>
      <c r="G524" s="16">
        <f t="shared" si="114"/>
        <v>2638.0048485671714</v>
      </c>
      <c r="H524" s="16">
        <f t="shared" si="114"/>
        <v>14881.788221808281</v>
      </c>
      <c r="I524" s="16">
        <f t="shared" si="114"/>
        <v>19842.384295744378</v>
      </c>
      <c r="J524" s="16">
        <f t="shared" si="114"/>
        <v>14881.788221808281</v>
      </c>
      <c r="K524" s="16">
        <f t="shared" si="114"/>
        <v>2638.0048485671714</v>
      </c>
      <c r="L524" s="16">
        <f t="shared" si="114"/>
        <v>14881.788221808281</v>
      </c>
      <c r="M524" s="16">
        <f t="shared" si="114"/>
        <v>19842.384295744378</v>
      </c>
    </row>
    <row r="525" spans="1:13" ht="15" customHeight="1" x14ac:dyDescent="0.2">
      <c r="B525" s="10" t="s">
        <v>900</v>
      </c>
      <c r="C525" s="10" t="s">
        <v>199</v>
      </c>
      <c r="D525" s="28">
        <f>D519*Inputs!$D$23</f>
        <v>6.4875000000000007</v>
      </c>
      <c r="E525" s="28">
        <f>E519*Inputs!$D$23</f>
        <v>8.65</v>
      </c>
      <c r="F525" s="28">
        <f>F519*Inputs!$D$23</f>
        <v>6.4875000000000007</v>
      </c>
      <c r="G525" s="28">
        <f>G519*Inputs!$D$23</f>
        <v>0</v>
      </c>
      <c r="H525" s="28">
        <f>H519*Inputs!$D$23</f>
        <v>0</v>
      </c>
      <c r="I525" s="28">
        <f>I519*Inputs!$D$23</f>
        <v>0</v>
      </c>
      <c r="J525" s="28">
        <f>J519*Inputs!$D$23</f>
        <v>0</v>
      </c>
      <c r="K525" s="28">
        <f>K519*Inputs!$D$23</f>
        <v>0</v>
      </c>
      <c r="L525" s="28">
        <f>L519*Inputs!$D$23</f>
        <v>0</v>
      </c>
      <c r="M525" s="28">
        <f>M519*Inputs!$D$23</f>
        <v>0</v>
      </c>
    </row>
    <row r="526" spans="1:13" ht="15" customHeight="1" x14ac:dyDescent="0.2">
      <c r="B526" s="3" t="s">
        <v>901</v>
      </c>
      <c r="C526" s="10" t="s">
        <v>896</v>
      </c>
      <c r="D526" s="28">
        <f>(D521*$D$539*(Inputs!$D$7-Inputs!$D$19)-D525)/(Inputs!$D$7+$D$540)^D514</f>
        <v>42.12449054053662</v>
      </c>
      <c r="E526" s="28">
        <f>(E521*$D$539*(Inputs!$D$7-Inputs!$D$19)-E525)/(Inputs!$D$7+$D$540)^E514</f>
        <v>153.58179400579681</v>
      </c>
      <c r="F526" s="28">
        <f>(F521*$D$539*(Inputs!$D$7-Inputs!$D$19)-F525)/(Inputs!$D$7+$D$540)^F514</f>
        <v>225.32846683817894</v>
      </c>
      <c r="G526" s="28">
        <f>(G521*$D$539*(Inputs!$D$7-Inputs!$D$19)-G525)/(Inputs!$D$7+$D$540)^G514</f>
        <v>235.15333868354651</v>
      </c>
      <c r="H526" s="28">
        <f>(H521*$D$539*(Inputs!$D$7-Inputs!$D$19)-H525)/(Inputs!$D$7+$D$540)^H514</f>
        <v>206.29335886963301</v>
      </c>
      <c r="I526" s="28">
        <f>(I521*$D$539*(Inputs!$D$7-Inputs!$D$19)-I525)/(Inputs!$D$7+$D$540)^I514</f>
        <v>180.9104058955611</v>
      </c>
      <c r="J526" s="28">
        <f>(J521*$D$539*(Inputs!$D$7-Inputs!$D$19)-J525)/(Inputs!$D$7+$D$540)^J514</f>
        <v>158.70757138977953</v>
      </c>
      <c r="K526" s="28">
        <f>(K521*$D$539*(Inputs!$D$7-Inputs!$D$19)-K525)/(Inputs!$D$7+$D$540)^K514</f>
        <v>139.22965399228033</v>
      </c>
      <c r="L526" s="28">
        <f>(L521*$D$539*(Inputs!$D$7-Inputs!$D$19)-L525)/(Inputs!$D$7+$D$540)^L514</f>
        <v>122.14222913916039</v>
      </c>
      <c r="M526" s="28">
        <f>(M521*$D$539*(Inputs!$D$7-Inputs!$D$19)-M525)/(Inputs!$D$7+$D$540)^M514</f>
        <v>107.11348330179737</v>
      </c>
    </row>
    <row r="527" spans="1:13" ht="15" customHeight="1" x14ac:dyDescent="0.2">
      <c r="B527" s="10" t="s">
        <v>902</v>
      </c>
      <c r="C527" s="10" t="s">
        <v>110</v>
      </c>
      <c r="D527" s="16">
        <f>(D522*Inputs!$D$19-D523-D524)/(Inputs!$D$7+$D$540)^D514</f>
        <v>-13673.750208995338</v>
      </c>
      <c r="E527" s="16">
        <f>(E522*Inputs!$D$19-E523-E524)/(Inputs!$D$7+$D$540)^E514</f>
        <v>-14910.258198718562</v>
      </c>
      <c r="F527" s="16">
        <f>(F522*Inputs!$D$19-F523-F524)/(Inputs!$D$7+$D$540)^F514</f>
        <v>-8525.9417164238148</v>
      </c>
      <c r="G527" s="16">
        <f>(G522*Inputs!$D$19-G523-G524)/(Inputs!$D$7+$D$540)^G514</f>
        <v>808.83204192410847</v>
      </c>
      <c r="H527" s="16">
        <f>(H522*Inputs!$D$19-H523-H524)/(Inputs!$D$7+$D$540)^H514</f>
        <v>-5891.7915280072548</v>
      </c>
      <c r="I527" s="16">
        <f>(I522*Inputs!$D$19-I523-I524)/(Inputs!$D$7+$D$540)^I514</f>
        <v>-7512.3171078465948</v>
      </c>
      <c r="J527" s="16">
        <f>(J522*Inputs!$D$19-J523-J524)/(Inputs!$D$7+$D$540)^J514</f>
        <v>-4532.7291662153211</v>
      </c>
      <c r="K527" s="16">
        <f>(K522*Inputs!$D$19-K523-K524)/(Inputs!$D$7+$D$540)^K514</f>
        <v>478.89349972832292</v>
      </c>
      <c r="L527" s="16">
        <f>(L522*Inputs!$D$19-L523-L524)/(Inputs!$D$7+$D$540)^L514</f>
        <v>-3488.413562109869</v>
      </c>
      <c r="M527" s="16">
        <f>(M522*Inputs!$D$19-M523-M524)/(Inputs!$D$7+$D$540)^M514</f>
        <v>-4447.8947969066312</v>
      </c>
    </row>
    <row r="528" spans="1:13" ht="15" customHeight="1" x14ac:dyDescent="0.2">
      <c r="B528" s="10" t="s">
        <v>903</v>
      </c>
      <c r="C528" s="10" t="s">
        <v>110</v>
      </c>
      <c r="D528" s="16">
        <f t="shared" ref="D528:M528" si="115">D521*$D$538</f>
        <v>6555.306450179316</v>
      </c>
      <c r="E528" s="16">
        <f t="shared" si="115"/>
        <v>24976.370308400135</v>
      </c>
      <c r="F528" s="16">
        <f t="shared" si="115"/>
        <v>40779.079004049338</v>
      </c>
      <c r="G528" s="16">
        <f t="shared" si="115"/>
        <v>47551.668445041847</v>
      </c>
      <c r="H528" s="16">
        <f t="shared" si="115"/>
        <v>47551.668445041847</v>
      </c>
      <c r="I528" s="16">
        <f t="shared" si="115"/>
        <v>47551.668445041847</v>
      </c>
      <c r="J528" s="16">
        <f t="shared" si="115"/>
        <v>47551.668445041847</v>
      </c>
      <c r="K528" s="16">
        <f t="shared" si="115"/>
        <v>47551.668445041847</v>
      </c>
      <c r="L528" s="16">
        <f t="shared" si="115"/>
        <v>47551.668445041847</v>
      </c>
      <c r="M528" s="16">
        <f t="shared" si="115"/>
        <v>47551.668445041847</v>
      </c>
    </row>
    <row r="529" spans="2:13" ht="15" customHeight="1" x14ac:dyDescent="0.2">
      <c r="B529" s="10" t="s">
        <v>904</v>
      </c>
      <c r="C529" s="10" t="s">
        <v>110</v>
      </c>
      <c r="D529" s="16">
        <f t="shared" ref="D529:M529" si="116">D528*$D$539</f>
        <v>3933.1838701075894</v>
      </c>
      <c r="E529" s="16">
        <f t="shared" si="116"/>
        <v>14985.822185040081</v>
      </c>
      <c r="F529" s="16">
        <f t="shared" si="116"/>
        <v>24467.447402429603</v>
      </c>
      <c r="G529" s="16">
        <f t="shared" si="116"/>
        <v>28531.001067025107</v>
      </c>
      <c r="H529" s="16">
        <f t="shared" si="116"/>
        <v>28531.001067025107</v>
      </c>
      <c r="I529" s="16">
        <f t="shared" si="116"/>
        <v>28531.001067025107</v>
      </c>
      <c r="J529" s="16">
        <f t="shared" si="116"/>
        <v>28531.001067025107</v>
      </c>
      <c r="K529" s="16">
        <f t="shared" si="116"/>
        <v>28531.001067025107</v>
      </c>
      <c r="L529" s="16">
        <f t="shared" si="116"/>
        <v>28531.001067025107</v>
      </c>
      <c r="M529" s="16">
        <f t="shared" si="116"/>
        <v>28531.001067025107</v>
      </c>
    </row>
    <row r="530" spans="2:13" ht="15" customHeight="1" x14ac:dyDescent="0.2">
      <c r="B530" s="10" t="s">
        <v>905</v>
      </c>
      <c r="C530" s="10" t="s">
        <v>110</v>
      </c>
      <c r="D530" s="16">
        <f t="shared" ref="D530:M530" si="117">D529-D522</f>
        <v>2116.2065841751473</v>
      </c>
      <c r="E530" s="16">
        <f t="shared" si="117"/>
        <v>8062.9578032903719</v>
      </c>
      <c r="F530" s="16">
        <f t="shared" si="117"/>
        <v>13164.442599416103</v>
      </c>
      <c r="G530" s="16">
        <f t="shared" si="117"/>
        <v>15350.793226327125</v>
      </c>
      <c r="H530" s="16">
        <f t="shared" si="117"/>
        <v>15350.793226327125</v>
      </c>
      <c r="I530" s="16">
        <f t="shared" si="117"/>
        <v>15350.793226327125</v>
      </c>
      <c r="J530" s="16">
        <f t="shared" si="117"/>
        <v>15350.793226327125</v>
      </c>
      <c r="K530" s="16">
        <f t="shared" si="117"/>
        <v>15350.793226327125</v>
      </c>
      <c r="L530" s="16">
        <f t="shared" si="117"/>
        <v>15350.793226327125</v>
      </c>
      <c r="M530" s="16">
        <f t="shared" si="117"/>
        <v>15350.793226327125</v>
      </c>
    </row>
    <row r="531" spans="2:13" ht="15" customHeight="1" x14ac:dyDescent="0.2">
      <c r="B531" s="10" t="s">
        <v>906</v>
      </c>
      <c r="C531" s="10" t="s">
        <v>110</v>
      </c>
      <c r="D531" s="16">
        <f>MAX(D530,Inputs!$D$6)*Inputs!$D$19</f>
        <v>634.8619752525442</v>
      </c>
      <c r="E531" s="16">
        <f>MAX(E530,Inputs!$D$6)*Inputs!$D$19</f>
        <v>2418.8873409871117</v>
      </c>
      <c r="F531" s="16">
        <f>MAX(F530,Inputs!$D$6)*Inputs!$D$19</f>
        <v>3949.3327798248306</v>
      </c>
      <c r="G531" s="16">
        <f>MAX(G530,Inputs!$D$6)*Inputs!$D$19</f>
        <v>4605.237967898137</v>
      </c>
      <c r="H531" s="16">
        <f>MAX(H530,Inputs!$D$6)*Inputs!$D$19</f>
        <v>4605.237967898137</v>
      </c>
      <c r="I531" s="16">
        <f>MAX(I530,Inputs!$D$6)*Inputs!$D$19</f>
        <v>4605.237967898137</v>
      </c>
      <c r="J531" s="16">
        <f>MAX(J530,Inputs!$D$6)*Inputs!$D$19</f>
        <v>4605.237967898137</v>
      </c>
      <c r="K531" s="16">
        <f>MAX(K530,Inputs!$D$6)*Inputs!$D$19</f>
        <v>4605.237967898137</v>
      </c>
      <c r="L531" s="16">
        <f>MAX(L530,Inputs!$D$6)*Inputs!$D$19</f>
        <v>4605.237967898137</v>
      </c>
      <c r="M531" s="16">
        <f>MAX(M530,Inputs!$D$6)*Inputs!$D$19</f>
        <v>4605.237967898137</v>
      </c>
    </row>
    <row r="532" spans="2:13" ht="15" customHeight="1" x14ac:dyDescent="0.2">
      <c r="B532" s="10" t="s">
        <v>907</v>
      </c>
      <c r="C532" s="10" t="s">
        <v>110</v>
      </c>
      <c r="D532" s="16">
        <f t="shared" ref="D532:M532" si="118">D525*$D$538</f>
        <v>338.62947204962569</v>
      </c>
      <c r="E532" s="16">
        <f t="shared" si="118"/>
        <v>451.50596273283423</v>
      </c>
      <c r="F532" s="16">
        <f t="shared" si="118"/>
        <v>338.62947204962569</v>
      </c>
      <c r="G532" s="16">
        <f t="shared" si="118"/>
        <v>0</v>
      </c>
      <c r="H532" s="16">
        <f t="shared" si="118"/>
        <v>0</v>
      </c>
      <c r="I532" s="16">
        <f t="shared" si="118"/>
        <v>0</v>
      </c>
      <c r="J532" s="16">
        <f t="shared" si="118"/>
        <v>0</v>
      </c>
      <c r="K532" s="16">
        <f t="shared" si="118"/>
        <v>0</v>
      </c>
      <c r="L532" s="16">
        <f t="shared" si="118"/>
        <v>0</v>
      </c>
      <c r="M532" s="16">
        <f t="shared" si="118"/>
        <v>0</v>
      </c>
    </row>
    <row r="533" spans="2:13" ht="15" customHeight="1" x14ac:dyDescent="0.2">
      <c r="B533" s="10" t="s">
        <v>908</v>
      </c>
      <c r="C533" s="10" t="s">
        <v>110</v>
      </c>
      <c r="D533" s="16">
        <f t="shared" ref="D533:M533" si="119">D529-D531-D523-D524-D532</f>
        <v>-12601.276197340734</v>
      </c>
      <c r="E533" s="16">
        <f t="shared" si="119"/>
        <v>-8632.5292788747356</v>
      </c>
      <c r="F533" s="16">
        <f t="shared" si="119"/>
        <v>4618.5165304089924</v>
      </c>
      <c r="G533" s="16">
        <f t="shared" si="119"/>
        <v>21287.758250559797</v>
      </c>
      <c r="H533" s="16">
        <f t="shared" si="119"/>
        <v>9043.9748773186875</v>
      </c>
      <c r="I533" s="16">
        <f t="shared" si="119"/>
        <v>4083.3788033825913</v>
      </c>
      <c r="J533" s="16">
        <f t="shared" si="119"/>
        <v>9043.9748773186875</v>
      </c>
      <c r="K533" s="16">
        <f t="shared" si="119"/>
        <v>21287.758250559797</v>
      </c>
      <c r="L533" s="16">
        <f t="shared" si="119"/>
        <v>9043.9748773186875</v>
      </c>
      <c r="M533" s="16">
        <f t="shared" si="119"/>
        <v>4083.3788033825913</v>
      </c>
    </row>
    <row r="534" spans="2:13" ht="15" customHeight="1" x14ac:dyDescent="0.2">
      <c r="B534" s="10" t="s">
        <v>909</v>
      </c>
      <c r="C534" s="10" t="s">
        <v>110</v>
      </c>
      <c r="D534" s="16">
        <f>D533/(Inputs!$D$7+$D$540)^D514</f>
        <v>-11474.96886146526</v>
      </c>
      <c r="E534" s="16">
        <f>E533/(Inputs!$D$7+$D$540)^E514</f>
        <v>-6893.7153361956607</v>
      </c>
      <c r="F534" s="16">
        <f>F533/(Inputs!$D$7+$D$540)^F514</f>
        <v>3235.5780929271118</v>
      </c>
      <c r="G534" s="16">
        <f>G533/(Inputs!$D$7+$D$540)^G514</f>
        <v>13083.182859514269</v>
      </c>
      <c r="H534" s="16">
        <f>H533/(Inputs!$D$7+$D$540)^H514</f>
        <v>4876.1485415677416</v>
      </c>
      <c r="I534" s="16">
        <f>I533/(Inputs!$D$7+$D$540)^I514</f>
        <v>1930.7033525306442</v>
      </c>
      <c r="J534" s="16">
        <f>J533/(Inputs!$D$7+$D$540)^J514</f>
        <v>3751.3650318577916</v>
      </c>
      <c r="K534" s="16">
        <f>K533/(Inputs!$D$7+$D$540)^K514</f>
        <v>7746.2945363461176</v>
      </c>
      <c r="L534" s="16">
        <f>L533/(Inputs!$D$7+$D$540)^L514</f>
        <v>2887.0713809896743</v>
      </c>
      <c r="M534" s="16">
        <f>M533/(Inputs!$D$7+$D$540)^M514</f>
        <v>1143.1313764858987</v>
      </c>
    </row>
    <row r="535" spans="2:13" ht="15" customHeight="1" x14ac:dyDescent="0.2">
      <c r="B535" s="3" t="s">
        <v>910</v>
      </c>
      <c r="C535" s="10" t="s">
        <v>896</v>
      </c>
      <c r="D535" s="28">
        <f>(D521*$D$539-D525)/(Inputs!$D$7+$D$540)^D514</f>
        <v>62.70969128813082</v>
      </c>
      <c r="E535" s="28">
        <f>(E521*$D$539-E525)/(Inputs!$D$7+$D$540)^E514</f>
        <v>222.36299158129225</v>
      </c>
      <c r="F535" s="28">
        <f>(F521*$D$539-F525)/(Inputs!$D$7+$D$540)^F514</f>
        <v>323.84563492062864</v>
      </c>
      <c r="G535" s="28">
        <f>(G521*$D$539-G525)/(Inputs!$D$7+$D$540)^G514</f>
        <v>335.933340976495</v>
      </c>
      <c r="H535" s="28">
        <f>(H521*$D$539-H525)/(Inputs!$D$7+$D$540)^H514</f>
        <v>294.70479838519003</v>
      </c>
      <c r="I535" s="28">
        <f>(I521*$D$539-I525)/(Inputs!$D$7+$D$540)^I514</f>
        <v>258.44343699365874</v>
      </c>
      <c r="J535" s="28">
        <f>(J521*$D$539-J525)/(Inputs!$D$7+$D$540)^J514</f>
        <v>226.72510198539933</v>
      </c>
      <c r="K535" s="28">
        <f>(K521*$D$539-K525)/(Inputs!$D$7+$D$540)^K514</f>
        <v>198.89950570325763</v>
      </c>
      <c r="L535" s="28">
        <f>(L521*$D$539-L525)/(Inputs!$D$7+$D$540)^L514</f>
        <v>174.48889877022913</v>
      </c>
      <c r="M535" s="28">
        <f>(M521*$D$539-M525)/(Inputs!$D$7+$D$540)^M514</f>
        <v>153.01926185971055</v>
      </c>
    </row>
    <row r="536" spans="2:13" ht="15" customHeight="1" x14ac:dyDescent="0.2">
      <c r="B536" s="10" t="s">
        <v>911</v>
      </c>
      <c r="C536" s="10" t="s">
        <v>110</v>
      </c>
      <c r="D536" s="16">
        <f>(-D523-D524)/(Inputs!$D$7+$D$540)^D514</f>
        <v>-14170.122737893587</v>
      </c>
      <c r="E536" s="16">
        <f>(-E523-E524)/(Inputs!$D$7+$D$540)^E514</f>
        <v>-16568.784506031301</v>
      </c>
      <c r="F536" s="16">
        <f>(-F523-F524)/(Inputs!$D$7+$D$540)^F514</f>
        <v>-10901.493767656277</v>
      </c>
      <c r="G536" s="16">
        <f>(-G523-G524)/(Inputs!$D$7+$D$540)^G514</f>
        <v>-1621.2839046676961</v>
      </c>
      <c r="H536" s="16">
        <f>(-H523-H524)/(Inputs!$D$7+$D$540)^H514</f>
        <v>-8023.6633690433682</v>
      </c>
      <c r="I536" s="16">
        <f>(-I523-I524)/(Inputs!$D$7+$D$540)^I514</f>
        <v>-9381.8770500204446</v>
      </c>
      <c r="J536" s="16">
        <f>(-J523-J524)/(Inputs!$D$7+$D$540)^J514</f>
        <v>-6172.8411129063252</v>
      </c>
      <c r="K536" s="16">
        <f>(-K523-K524)/(Inputs!$D$7+$D$540)^K514</f>
        <v>-959.93022397147342</v>
      </c>
      <c r="L536" s="16">
        <f>(-L523-L524)/(Inputs!$D$7+$D$540)^L514</f>
        <v>-4750.6528330682277</v>
      </c>
      <c r="M536" s="16">
        <f>(-M523-M524)/(Inputs!$D$7+$D$540)^M514</f>
        <v>-5554.82436602912</v>
      </c>
    </row>
    <row r="537" spans="2:13" ht="15" customHeight="1" x14ac:dyDescent="0.2">
      <c r="B537" s="10" t="s">
        <v>912</v>
      </c>
      <c r="C537" s="10" t="s">
        <v>110</v>
      </c>
      <c r="D537" s="16">
        <f>Prices!I6</f>
        <v>43700</v>
      </c>
    </row>
    <row r="538" spans="2:13" ht="15" customHeight="1" x14ac:dyDescent="0.2">
      <c r="B538" s="3" t="s">
        <v>913</v>
      </c>
      <c r="C538" s="10" t="s">
        <v>914</v>
      </c>
      <c r="D538" s="28">
        <f>IF(J545&gt;=J541,J545,(D537-J544)/J543)</f>
        <v>52.197221125183148</v>
      </c>
      <c r="G538" s="99" t="s">
        <v>915</v>
      </c>
      <c r="H538" s="91"/>
      <c r="I538" s="91"/>
      <c r="J538" s="28">
        <f>D538*Inputs!$D$15</f>
        <v>36.428440623265317</v>
      </c>
      <c r="K538" s="99" t="s">
        <v>916</v>
      </c>
      <c r="L538" s="91"/>
      <c r="M538" s="91"/>
    </row>
    <row r="539" spans="2:13" ht="15" customHeight="1" x14ac:dyDescent="0.2">
      <c r="B539" s="10" t="s">
        <v>917</v>
      </c>
      <c r="C539" s="10" t="s">
        <v>104</v>
      </c>
      <c r="D539" s="30">
        <f>Inputs!$D$142</f>
        <v>0.6</v>
      </c>
      <c r="G539" s="99" t="s">
        <v>918</v>
      </c>
      <c r="H539" s="91"/>
      <c r="I539" s="91"/>
      <c r="J539" s="28">
        <f>IF(-D550/D549&gt;=J541,-D550/D549,-J544/J543)</f>
        <v>34.882787847449642</v>
      </c>
      <c r="K539" s="99" t="s">
        <v>919</v>
      </c>
      <c r="L539" s="91"/>
      <c r="M539" s="91"/>
    </row>
    <row r="540" spans="2:13" ht="15" customHeight="1" x14ac:dyDescent="0.2">
      <c r="B540" s="10" t="s">
        <v>920</v>
      </c>
      <c r="C540" s="10" t="s">
        <v>104</v>
      </c>
      <c r="D540" s="30">
        <f>Inputs!$D$149</f>
        <v>0.14000000000000001</v>
      </c>
      <c r="G540" s="99" t="s">
        <v>918</v>
      </c>
      <c r="H540" s="91"/>
      <c r="I540" s="91"/>
      <c r="J540" s="28">
        <f>J539*Inputs!$D$15</f>
        <v>24.344697638735102</v>
      </c>
      <c r="K540" s="99" t="s">
        <v>916</v>
      </c>
      <c r="L540" s="91"/>
      <c r="M540" s="91"/>
    </row>
    <row r="541" spans="2:13" ht="15" customHeight="1" x14ac:dyDescent="0.2">
      <c r="B541" s="3" t="s">
        <v>921</v>
      </c>
      <c r="C541" s="10" t="s">
        <v>848</v>
      </c>
      <c r="D541" s="28">
        <f>Capital!$D$13</f>
        <v>57.347931490590682</v>
      </c>
      <c r="G541" s="99" t="s">
        <v>922</v>
      </c>
      <c r="H541" s="91"/>
      <c r="I541" s="91"/>
      <c r="J541" s="28">
        <f>($D$541/Inputs!$D$21+$D$542/Inputs!$D$22)/$D$539</f>
        <v>24.113076913095469</v>
      </c>
      <c r="K541" s="99" t="s">
        <v>919</v>
      </c>
      <c r="L541" s="91"/>
      <c r="M541" s="91"/>
    </row>
    <row r="542" spans="2:13" ht="15" customHeight="1" x14ac:dyDescent="0.2">
      <c r="B542" s="3" t="s">
        <v>923</v>
      </c>
      <c r="C542" s="10" t="s">
        <v>848</v>
      </c>
      <c r="D542" s="28">
        <f>Capital!$D$14</f>
        <v>2.6172655041921802</v>
      </c>
    </row>
    <row r="543" spans="2:13" ht="15" customHeight="1" x14ac:dyDescent="0.2">
      <c r="B543" s="10" t="s">
        <v>924</v>
      </c>
      <c r="C543" s="10" t="s">
        <v>896</v>
      </c>
      <c r="D543" s="28">
        <f>(M516*(Inputs!$D$7+Inputs!$D$20)*$D$539*(Inputs!$D$7-Inputs!$D$19)-M516*Inputs!$D$20*Inputs!$D$23)/($D$540-Inputs!$D$20)/(Inputs!$D$7+$D$540)^M514</f>
        <v>953.32108973830498</v>
      </c>
      <c r="G543" s="92" t="s">
        <v>910</v>
      </c>
      <c r="H543" s="91"/>
      <c r="I543" s="91"/>
      <c r="J543" s="28">
        <f>SUM(D535:M535)+(M516*(Inputs!$D$7+Inputs!$D$20)*$D$539-M516*Inputs!$D$20*Inputs!$D$23)/($D$540-Inputs!$D$20)/(Inputs!$D$7+$D$540)^M514</f>
        <v>3613.6139523923925</v>
      </c>
      <c r="K543" s="99" t="s">
        <v>896</v>
      </c>
      <c r="L543" s="91"/>
      <c r="M543" s="91"/>
    </row>
    <row r="544" spans="2:13" ht="15" customHeight="1" x14ac:dyDescent="0.2">
      <c r="B544" s="10" t="s">
        <v>925</v>
      </c>
      <c r="C544" s="10" t="s">
        <v>110</v>
      </c>
      <c r="D544" s="16">
        <f>(D547*Inputs!$D$19-D547-D548)/($D$540-Inputs!$D$20)/(Inputs!$D$7+$D$540)^M514</f>
        <v>-26345.502698929216</v>
      </c>
      <c r="G544" s="92" t="s">
        <v>926</v>
      </c>
      <c r="H544" s="91"/>
      <c r="I544" s="91"/>
      <c r="J544" s="16">
        <f>SUM(D536:M536)-(D547+D548)/($D$540-Inputs!$D$20)/(Inputs!$D$7+$D$540)^M514</f>
        <v>-114317.08794717836</v>
      </c>
      <c r="K544" s="99" t="s">
        <v>110</v>
      </c>
      <c r="L544" s="91"/>
      <c r="M544" s="91"/>
    </row>
    <row r="545" spans="1:13" ht="15" customHeight="1" x14ac:dyDescent="0.2">
      <c r="B545" s="10" t="s">
        <v>927</v>
      </c>
      <c r="C545" s="10" t="s">
        <v>928</v>
      </c>
      <c r="D545" s="16">
        <f>(M516*(Inputs!$D$7+Inputs!$D$20)*$D$538*$D$539-D547)-MAX((M516*(Inputs!$D$7+Inputs!$D$20)*$D$538*$D$539-D547),Inputs!$D$6)*Inputs!$D$19-D548-M516*Inputs!$D$20*$D$538*Inputs!$D$23</f>
        <v>9618.7669855553795</v>
      </c>
      <c r="G545" s="99" t="s">
        <v>929</v>
      </c>
      <c r="H545" s="91"/>
      <c r="I545" s="91"/>
      <c r="J545" s="28">
        <f>(D537-D550)/D549</f>
        <v>52.197221125183148</v>
      </c>
      <c r="K545" s="99" t="s">
        <v>919</v>
      </c>
      <c r="L545" s="91"/>
      <c r="M545" s="91"/>
    </row>
    <row r="546" spans="1:13" ht="15" customHeight="1" x14ac:dyDescent="0.2">
      <c r="B546" s="10" t="s">
        <v>930</v>
      </c>
      <c r="C546" s="10" t="s">
        <v>110</v>
      </c>
      <c r="D546" s="16">
        <f>D545/($D$540-Inputs!$D$20)</f>
        <v>83641.452048307634</v>
      </c>
      <c r="G546" s="99" t="s">
        <v>931</v>
      </c>
      <c r="H546" s="91"/>
      <c r="I546" s="91"/>
      <c r="J546" s="16">
        <f>MIN(D530:M530,(M516*(Inputs!$D$7+Inputs!$D$20)*$D$538*$D$539-D547))</f>
        <v>2116.2065841751473</v>
      </c>
      <c r="K546" s="99" t="s">
        <v>110</v>
      </c>
      <c r="L546" s="91"/>
      <c r="M546" s="91"/>
    </row>
    <row r="547" spans="1:13" ht="15" customHeight="1" x14ac:dyDescent="0.2">
      <c r="B547" s="10" t="s">
        <v>932</v>
      </c>
      <c r="C547" s="10" t="s">
        <v>928</v>
      </c>
      <c r="D547" s="16">
        <f>M516*(Inputs!$D$7+Inputs!$D$20)*($D$541/Inputs!$D$21+$D$542/Inputs!$D$22)</f>
        <v>13509.71303671543</v>
      </c>
      <c r="G547" s="99" t="s">
        <v>933</v>
      </c>
      <c r="H547" s="91"/>
      <c r="I547" s="91"/>
      <c r="J547" s="31" t="str">
        <f>IF(J546&lt;Inputs!$D$6,"breached","satisfied")</f>
        <v>satisfied</v>
      </c>
      <c r="K547" s="99" t="s">
        <v>934</v>
      </c>
      <c r="L547" s="91"/>
      <c r="M547" s="91"/>
    </row>
    <row r="548" spans="1:13" ht="15" customHeight="1" x14ac:dyDescent="0.2">
      <c r="B548" s="10" t="s">
        <v>935</v>
      </c>
      <c r="C548" s="10" t="s">
        <v>928</v>
      </c>
      <c r="D548" s="16">
        <f>M516*Inputs!$D$20*($D$541+$D$542)</f>
        <v>1365.7073615561799</v>
      </c>
    </row>
    <row r="549" spans="1:13" ht="15" customHeight="1" x14ac:dyDescent="0.2">
      <c r="B549" s="10" t="s">
        <v>936</v>
      </c>
      <c r="C549" s="10" t="s">
        <v>896</v>
      </c>
      <c r="D549" s="28">
        <f>SUM(D526:M526)+D543</f>
        <v>2523.9058823945761</v>
      </c>
      <c r="G549" s="99" t="s">
        <v>937</v>
      </c>
      <c r="H549" s="91"/>
      <c r="I549" s="91"/>
      <c r="J549" s="16">
        <f>D551-D537</f>
        <v>0</v>
      </c>
      <c r="K549" s="99" t="s">
        <v>110</v>
      </c>
      <c r="L549" s="91"/>
      <c r="M549" s="91"/>
    </row>
    <row r="550" spans="1:13" ht="15" customHeight="1" x14ac:dyDescent="0.2">
      <c r="B550" s="10" t="s">
        <v>938</v>
      </c>
      <c r="C550" s="10" t="s">
        <v>110</v>
      </c>
      <c r="D550" s="16">
        <f>SUM(D527:M527)+D544</f>
        <v>-88040.873442500175</v>
      </c>
    </row>
    <row r="551" spans="1:13" ht="15" customHeight="1" x14ac:dyDescent="0.2">
      <c r="B551" s="10" t="s">
        <v>939</v>
      </c>
      <c r="C551" s="10" t="s">
        <v>110</v>
      </c>
      <c r="D551" s="16">
        <f>SUM(D534:M534)+D546/(Inputs!$D$7+$D$540)^M514</f>
        <v>43699.999999999978</v>
      </c>
    </row>
    <row r="552" spans="1:13" ht="15" customHeight="1" x14ac:dyDescent="0.2">
      <c r="B552" s="10" t="s">
        <v>940</v>
      </c>
      <c r="C552" s="10" t="s">
        <v>104</v>
      </c>
      <c r="D552" s="30">
        <f>IF(ABS(D537)&gt;Inputs!$D$6,D551/D537-Inputs!$D$7,Inputs!$D$6)</f>
        <v>-4.4408920985006262E-16</v>
      </c>
    </row>
    <row r="553" spans="1:13" ht="15" customHeight="1" x14ac:dyDescent="0.2">
      <c r="B553" s="10" t="s">
        <v>941</v>
      </c>
      <c r="C553" s="10" t="s">
        <v>104</v>
      </c>
      <c r="D553" s="30">
        <f>IF(ABS(D551)&gt;Inputs!$D$119,D546/(Inputs!$D$7+$D$540)^M514/D551,Inputs!$D$6)</f>
        <v>0.53581714017028981</v>
      </c>
    </row>
    <row r="554" spans="1:13" ht="15" customHeight="1" x14ac:dyDescent="0.2">
      <c r="B554" s="10" t="s">
        <v>942</v>
      </c>
      <c r="C554" s="10" t="s">
        <v>943</v>
      </c>
      <c r="D554" s="26">
        <f>$D$538*Inputs!$D$8/Prices!$P$6/(Inputs!$D$26/Inputs!$D$25)/Inputs!$D$11/Inputs!$D$56</f>
        <v>9.4922232118395335</v>
      </c>
    </row>
    <row r="558" spans="1:13" ht="15" customHeight="1" x14ac:dyDescent="0.2">
      <c r="A558" s="104" t="s">
        <v>2177</v>
      </c>
      <c r="B558" s="10" t="s">
        <v>886</v>
      </c>
      <c r="C558" s="10" t="s">
        <v>107</v>
      </c>
      <c r="D558" s="28">
        <f>Inputs!$D$60</f>
        <v>1</v>
      </c>
      <c r="E558" s="28">
        <f>Inputs!$D$62</f>
        <v>2</v>
      </c>
      <c r="F558" s="28">
        <f>Inputs!$D$64</f>
        <v>3</v>
      </c>
      <c r="G558" s="28">
        <f>Inputs!$D$66</f>
        <v>4</v>
      </c>
      <c r="H558" s="28">
        <f>Inputs!$D$68</f>
        <v>5</v>
      </c>
      <c r="I558" s="28">
        <f>Inputs!$D$70</f>
        <v>6</v>
      </c>
      <c r="J558" s="28">
        <f>Inputs!$D$72</f>
        <v>7</v>
      </c>
      <c r="K558" s="28">
        <f>Inputs!$D$74</f>
        <v>8</v>
      </c>
      <c r="L558" s="28">
        <f>Inputs!$D$76</f>
        <v>9</v>
      </c>
      <c r="M558" s="28">
        <f>Inputs!$D$78</f>
        <v>10</v>
      </c>
    </row>
    <row r="559" spans="1:13" ht="15" customHeight="1" x14ac:dyDescent="0.2">
      <c r="A559" s="91"/>
      <c r="B559" s="10" t="s">
        <v>887</v>
      </c>
      <c r="C559" s="10" t="s">
        <v>161</v>
      </c>
      <c r="D559" s="29">
        <f>Inputs!$D$61</f>
        <v>46568</v>
      </c>
      <c r="E559" s="29">
        <f>Inputs!$D$63</f>
        <v>46934</v>
      </c>
      <c r="F559" s="29">
        <f>Inputs!$D$65</f>
        <v>47299</v>
      </c>
      <c r="G559" s="29">
        <f>Inputs!$D$67</f>
        <v>47664</v>
      </c>
      <c r="H559" s="29">
        <f>Inputs!$D$69</f>
        <v>48029</v>
      </c>
      <c r="I559" s="29">
        <f>Inputs!$D$71</f>
        <v>48395</v>
      </c>
      <c r="J559" s="29">
        <f>Inputs!$D$73</f>
        <v>48760</v>
      </c>
      <c r="K559" s="29">
        <f>Inputs!$D$75</f>
        <v>49125</v>
      </c>
      <c r="L559" s="29">
        <f>Inputs!$D$77</f>
        <v>49490</v>
      </c>
      <c r="M559" s="29">
        <f>Inputs!$D$79</f>
        <v>49856</v>
      </c>
    </row>
    <row r="560" spans="1:13" ht="15" customHeight="1" x14ac:dyDescent="0.2">
      <c r="A560" s="91"/>
      <c r="B560" s="10" t="s">
        <v>888</v>
      </c>
      <c r="C560" s="10" t="s">
        <v>107</v>
      </c>
      <c r="D560" s="28">
        <f>(D559-Inputs!$D$13)/Inputs!$D$10</f>
        <v>0.71457905544147848</v>
      </c>
      <c r="E560" s="28">
        <f>(E559-Inputs!$D$13)/Inputs!$D$10</f>
        <v>1.7166324435318274</v>
      </c>
      <c r="F560" s="28">
        <f>(F559-Inputs!$D$13)/Inputs!$D$10</f>
        <v>2.7159479808350446</v>
      </c>
      <c r="G560" s="28">
        <f>(G559-Inputs!$D$13)/Inputs!$D$10</f>
        <v>3.7152635181382614</v>
      </c>
      <c r="H560" s="28">
        <f>(H559-Inputs!$D$13)/Inputs!$D$10</f>
        <v>4.7145790554414786</v>
      </c>
      <c r="I560" s="28">
        <f>(I559-Inputs!$D$13)/Inputs!$D$10</f>
        <v>5.7166324435318279</v>
      </c>
      <c r="J560" s="28">
        <f>(J559-Inputs!$D$13)/Inputs!$D$10</f>
        <v>6.7159479808350442</v>
      </c>
      <c r="K560" s="28">
        <f>(K559-Inputs!$D$13)/Inputs!$D$10</f>
        <v>7.7152635181382614</v>
      </c>
      <c r="L560" s="28">
        <f>(L559-Inputs!$D$13)/Inputs!$D$10</f>
        <v>8.7145790554414777</v>
      </c>
      <c r="M560" s="28">
        <f>(M559-Inputs!$D$13)/Inputs!$D$10</f>
        <v>9.716632443531827</v>
      </c>
    </row>
    <row r="561" spans="1:13" ht="15" customHeight="1" x14ac:dyDescent="0.2">
      <c r="A561" s="91"/>
      <c r="B561" s="10" t="s">
        <v>889</v>
      </c>
      <c r="C561" s="10" t="s">
        <v>107</v>
      </c>
      <c r="D561" s="28">
        <f>D560</f>
        <v>0.71457905544147848</v>
      </c>
      <c r="E561" s="28">
        <f>Inputs!$D$7</f>
        <v>1</v>
      </c>
      <c r="F561" s="28">
        <f>Inputs!$D$7</f>
        <v>1</v>
      </c>
      <c r="G561" s="28">
        <f>Inputs!$D$7</f>
        <v>1</v>
      </c>
      <c r="H561" s="28">
        <f>Inputs!$D$7</f>
        <v>1</v>
      </c>
      <c r="I561" s="28">
        <f>Inputs!$D$7</f>
        <v>1</v>
      </c>
      <c r="J561" s="28">
        <f>Inputs!$D$7</f>
        <v>1</v>
      </c>
      <c r="K561" s="28">
        <f>Inputs!$D$7</f>
        <v>1</v>
      </c>
      <c r="L561" s="28">
        <f>Inputs!$D$7</f>
        <v>1</v>
      </c>
      <c r="M561" s="28">
        <f>Inputs!$D$7</f>
        <v>1</v>
      </c>
    </row>
    <row r="562" spans="1:13" ht="15" customHeight="1" x14ac:dyDescent="0.2">
      <c r="A562" s="91"/>
      <c r="B562" s="3" t="s">
        <v>890</v>
      </c>
      <c r="C562" s="10" t="s">
        <v>199</v>
      </c>
      <c r="D562" s="28">
        <f>Inputs!$D$24+(Inputs!$D$80-Inputs!$D$24)*Inputs!$D$83</f>
        <v>305.5</v>
      </c>
      <c r="E562" s="28">
        <f>Inputs!$D$24+(Inputs!$D$80-Inputs!$D$24)*Inputs!$D$84</f>
        <v>651.5</v>
      </c>
      <c r="F562" s="28">
        <f>Inputs!$D$24+(Inputs!$D$80-Inputs!$D$24)*Inputs!$D$85</f>
        <v>911</v>
      </c>
      <c r="G562" s="28">
        <f>Inputs!$D$24+(Inputs!$D$80-Inputs!$D$24)*Inputs!$D$86</f>
        <v>911</v>
      </c>
      <c r="H562" s="28">
        <f>Inputs!$D$24+(Inputs!$D$80-Inputs!$D$24)*Inputs!$D$87</f>
        <v>911</v>
      </c>
      <c r="I562" s="28">
        <f>Inputs!$D$24+(Inputs!$D$80-Inputs!$D$24)*Inputs!$D$88</f>
        <v>911</v>
      </c>
      <c r="J562" s="28">
        <f>Inputs!$D$24+(Inputs!$D$80-Inputs!$D$24)*Inputs!$D$89</f>
        <v>911</v>
      </c>
      <c r="K562" s="28">
        <f>Inputs!$D$24+(Inputs!$D$80-Inputs!$D$24)*Inputs!$D$90</f>
        <v>911</v>
      </c>
      <c r="L562" s="28">
        <f>Inputs!$D$24+(Inputs!$D$80-Inputs!$D$24)*Inputs!$D$91</f>
        <v>911</v>
      </c>
      <c r="M562" s="28">
        <f>Inputs!$D$24+(Inputs!$D$80-Inputs!$D$24)*Inputs!$D$92</f>
        <v>911</v>
      </c>
    </row>
    <row r="563" spans="1:13" ht="15" customHeight="1" x14ac:dyDescent="0.2">
      <c r="A563" s="91"/>
      <c r="B563" s="10" t="s">
        <v>891</v>
      </c>
      <c r="C563" s="10" t="s">
        <v>199</v>
      </c>
      <c r="D563" s="28">
        <f>Inputs!$D$24</f>
        <v>46</v>
      </c>
      <c r="E563" s="28">
        <f t="shared" ref="E563:M563" si="120">D562</f>
        <v>305.5</v>
      </c>
      <c r="F563" s="28">
        <f t="shared" si="120"/>
        <v>651.5</v>
      </c>
      <c r="G563" s="28">
        <f t="shared" si="120"/>
        <v>911</v>
      </c>
      <c r="H563" s="28">
        <f t="shared" si="120"/>
        <v>911</v>
      </c>
      <c r="I563" s="28">
        <f t="shared" si="120"/>
        <v>911</v>
      </c>
      <c r="J563" s="28">
        <f t="shared" si="120"/>
        <v>911</v>
      </c>
      <c r="K563" s="28">
        <f t="shared" si="120"/>
        <v>911</v>
      </c>
      <c r="L563" s="28">
        <f t="shared" si="120"/>
        <v>911</v>
      </c>
      <c r="M563" s="28">
        <f t="shared" si="120"/>
        <v>911</v>
      </c>
    </row>
    <row r="564" spans="1:13" ht="15" customHeight="1" x14ac:dyDescent="0.2">
      <c r="B564" s="10" t="s">
        <v>892</v>
      </c>
      <c r="C564" s="10" t="s">
        <v>199</v>
      </c>
      <c r="D564" s="28">
        <f>(D563+D562)*Inputs!$D$12</f>
        <v>175.75</v>
      </c>
      <c r="E564" s="28">
        <f>(E563+E562)*Inputs!$D$12</f>
        <v>478.5</v>
      </c>
      <c r="F564" s="28">
        <f>(F563+F562)*Inputs!$D$12</f>
        <v>781.25</v>
      </c>
      <c r="G564" s="28">
        <f>(G563+G562)*Inputs!$D$12</f>
        <v>911</v>
      </c>
      <c r="H564" s="28">
        <f>(H563+H562)*Inputs!$D$12</f>
        <v>911</v>
      </c>
      <c r="I564" s="28">
        <f>(I563+I562)*Inputs!$D$12</f>
        <v>911</v>
      </c>
      <c r="J564" s="28">
        <f>(J563+J562)*Inputs!$D$12</f>
        <v>911</v>
      </c>
      <c r="K564" s="28">
        <f>(K563+K562)*Inputs!$D$12</f>
        <v>911</v>
      </c>
      <c r="L564" s="28">
        <f>(L563+L562)*Inputs!$D$12</f>
        <v>911</v>
      </c>
      <c r="M564" s="28">
        <f>(M563+M562)*Inputs!$D$12</f>
        <v>911</v>
      </c>
    </row>
    <row r="565" spans="1:13" ht="15" customHeight="1" x14ac:dyDescent="0.2">
      <c r="B565" s="10" t="s">
        <v>893</v>
      </c>
      <c r="C565" s="10" t="s">
        <v>199</v>
      </c>
      <c r="D565" s="28">
        <f t="shared" ref="D565:M565" si="121">D562-D563</f>
        <v>259.5</v>
      </c>
      <c r="E565" s="28">
        <f t="shared" si="121"/>
        <v>346</v>
      </c>
      <c r="F565" s="28">
        <f t="shared" si="121"/>
        <v>259.5</v>
      </c>
      <c r="G565" s="28">
        <f t="shared" si="121"/>
        <v>0</v>
      </c>
      <c r="H565" s="28">
        <f t="shared" si="121"/>
        <v>0</v>
      </c>
      <c r="I565" s="28">
        <f t="shared" si="121"/>
        <v>0</v>
      </c>
      <c r="J565" s="28">
        <f t="shared" si="121"/>
        <v>0</v>
      </c>
      <c r="K565" s="28">
        <f t="shared" si="121"/>
        <v>0</v>
      </c>
      <c r="L565" s="28">
        <f t="shared" si="121"/>
        <v>0</v>
      </c>
      <c r="M565" s="28">
        <f t="shared" si="121"/>
        <v>0</v>
      </c>
    </row>
    <row r="566" spans="1:13" ht="15" customHeight="1" x14ac:dyDescent="0.2">
      <c r="B566" s="10" t="s">
        <v>894</v>
      </c>
      <c r="C566" s="10" t="s">
        <v>199</v>
      </c>
      <c r="D566" s="28">
        <f>IF(MOD(D558,Inputs!$D$21)=Inputs!$D$6,Inputs!$D$24,Inputs!$D$6)+SUMPRODUCT(--(D558&gt;$D$558:$M$558),--(MOD(D558-$D$558:$M$558,Inputs!$D$21)=Inputs!$D$6),$D$565:$M$565)</f>
        <v>0</v>
      </c>
      <c r="E566" s="28">
        <f>IF(MOD(E558,Inputs!$D$21)=Inputs!$D$6,Inputs!$D$24,Inputs!$D$6)+SUMPRODUCT(--(E558&gt;$D$558:$M$558),--(MOD(E558-$D$558:$M$558,Inputs!$D$21)=Inputs!$D$6),$D$565:$M$565)</f>
        <v>0</v>
      </c>
      <c r="F566" s="28">
        <f>IF(MOD(F558,Inputs!$D$21)=Inputs!$D$6,Inputs!$D$24,Inputs!$D$6)+SUMPRODUCT(--(F558&gt;$D$558:$M$558),--(MOD(F558-$D$558:$M$558,Inputs!$D$21)=Inputs!$D$6),$D$565:$M$565)</f>
        <v>0</v>
      </c>
      <c r="G566" s="28">
        <f>IF(MOD(G558,Inputs!$D$21)=Inputs!$D$6,Inputs!$D$24,Inputs!$D$6)+SUMPRODUCT(--(G558&gt;$D$558:$M$558),--(MOD(G558-$D$558:$M$558,Inputs!$D$21)=Inputs!$D$6),$D$565:$M$565)</f>
        <v>46</v>
      </c>
      <c r="H566" s="28">
        <f>IF(MOD(H558,Inputs!$D$21)=Inputs!$D$6,Inputs!$D$24,Inputs!$D$6)+SUMPRODUCT(--(H558&gt;$D$558:$M$558),--(MOD(H558-$D$558:$M$558,Inputs!$D$21)=Inputs!$D$6),$D$565:$M$565)</f>
        <v>259.5</v>
      </c>
      <c r="I566" s="28">
        <f>IF(MOD(I558,Inputs!$D$21)=Inputs!$D$6,Inputs!$D$24,Inputs!$D$6)+SUMPRODUCT(--(I558&gt;$D$558:$M$558),--(MOD(I558-$D$558:$M$558,Inputs!$D$21)=Inputs!$D$6),$D$565:$M$565)</f>
        <v>346</v>
      </c>
      <c r="J566" s="28">
        <f>IF(MOD(J558,Inputs!$D$21)=Inputs!$D$6,Inputs!$D$24,Inputs!$D$6)+SUMPRODUCT(--(J558&gt;$D$558:$M$558),--(MOD(J558-$D$558:$M$558,Inputs!$D$21)=Inputs!$D$6),$D$565:$M$565)</f>
        <v>259.5</v>
      </c>
      <c r="K566" s="28">
        <f>IF(MOD(K558,Inputs!$D$21)=Inputs!$D$6,Inputs!$D$24,Inputs!$D$6)+SUMPRODUCT(--(K558&gt;$D$558:$M$558),--(MOD(K558-$D$558:$M$558,Inputs!$D$21)=Inputs!$D$6),$D$565:$M$565)</f>
        <v>46</v>
      </c>
      <c r="L566" s="28">
        <f>IF(MOD(L558,Inputs!$D$21)=Inputs!$D$6,Inputs!$D$24,Inputs!$D$6)+SUMPRODUCT(--(L558&gt;$D$558:$M$558),--(MOD(L558-$D$558:$M$558,Inputs!$D$21)=Inputs!$D$6),$D$565:$M$565)</f>
        <v>259.5</v>
      </c>
      <c r="M566" s="28">
        <f>IF(MOD(M558,Inputs!$D$21)=Inputs!$D$6,Inputs!$D$24,Inputs!$D$6)+SUMPRODUCT(--(M558&gt;$D$558:$M$558),--(MOD(M558-$D$558:$M$558,Inputs!$D$21)=Inputs!$D$6),$D$565:$M$565)</f>
        <v>346</v>
      </c>
    </row>
    <row r="567" spans="1:13" ht="15" customHeight="1" x14ac:dyDescent="0.2">
      <c r="B567" s="10" t="s">
        <v>895</v>
      </c>
      <c r="C567" s="10" t="s">
        <v>896</v>
      </c>
      <c r="D567" s="28">
        <f t="shared" ref="D567:M567" si="122">D564*D561</f>
        <v>125.58726899383984</v>
      </c>
      <c r="E567" s="28">
        <f t="shared" si="122"/>
        <v>478.5</v>
      </c>
      <c r="F567" s="28">
        <f t="shared" si="122"/>
        <v>781.25</v>
      </c>
      <c r="G567" s="28">
        <f t="shared" si="122"/>
        <v>911</v>
      </c>
      <c r="H567" s="28">
        <f t="shared" si="122"/>
        <v>911</v>
      </c>
      <c r="I567" s="28">
        <f t="shared" si="122"/>
        <v>911</v>
      </c>
      <c r="J567" s="28">
        <f t="shared" si="122"/>
        <v>911</v>
      </c>
      <c r="K567" s="28">
        <f t="shared" si="122"/>
        <v>911</v>
      </c>
      <c r="L567" s="28">
        <f t="shared" si="122"/>
        <v>911</v>
      </c>
      <c r="M567" s="28">
        <f t="shared" si="122"/>
        <v>911</v>
      </c>
    </row>
    <row r="568" spans="1:13" ht="15" customHeight="1" x14ac:dyDescent="0.2">
      <c r="B568" s="10" t="s">
        <v>897</v>
      </c>
      <c r="C568" s="10" t="s">
        <v>110</v>
      </c>
      <c r="D568" s="16">
        <f>D567*($D$587/Inputs!$D$21+$D$588/Inputs!$D$22)</f>
        <v>1816.9772859324419</v>
      </c>
      <c r="E568" s="16">
        <f>E567*($D$587/Inputs!$D$21+$D$588/Inputs!$D$22)</f>
        <v>6922.8643817497086</v>
      </c>
      <c r="F568" s="16">
        <f>F567*($D$587/Inputs!$D$21+$D$588/Inputs!$D$22)</f>
        <v>11303.0048030135</v>
      </c>
      <c r="G568" s="16">
        <f>G567*($D$587/Inputs!$D$21+$D$588/Inputs!$D$22)</f>
        <v>13180.207840697982</v>
      </c>
      <c r="H568" s="16">
        <f>H567*($D$587/Inputs!$D$21+$D$588/Inputs!$D$22)</f>
        <v>13180.207840697982</v>
      </c>
      <c r="I568" s="16">
        <f>I567*($D$587/Inputs!$D$21+$D$588/Inputs!$D$22)</f>
        <v>13180.207840697982</v>
      </c>
      <c r="J568" s="16">
        <f>J567*($D$587/Inputs!$D$21+$D$588/Inputs!$D$22)</f>
        <v>13180.207840697982</v>
      </c>
      <c r="K568" s="16">
        <f>K567*($D$587/Inputs!$D$21+$D$588/Inputs!$D$22)</f>
        <v>13180.207840697982</v>
      </c>
      <c r="L568" s="16">
        <f>L567*($D$587/Inputs!$D$21+$D$588/Inputs!$D$22)</f>
        <v>13180.207840697982</v>
      </c>
      <c r="M568" s="16">
        <f>M567*($D$587/Inputs!$D$21+$D$588/Inputs!$D$22)</f>
        <v>13180.207840697982</v>
      </c>
    </row>
    <row r="569" spans="1:13" ht="15" customHeight="1" x14ac:dyDescent="0.2">
      <c r="B569" s="10" t="s">
        <v>898</v>
      </c>
      <c r="C569" s="10" t="s">
        <v>110</v>
      </c>
      <c r="D569" s="16">
        <f t="shared" ref="D569:M569" si="123">D565*($D$587+$D$588)</f>
        <v>15560.968620146154</v>
      </c>
      <c r="E569" s="16">
        <f t="shared" si="123"/>
        <v>20747.95816019487</v>
      </c>
      <c r="F569" s="16">
        <f t="shared" si="123"/>
        <v>15560.968620146154</v>
      </c>
      <c r="G569" s="16">
        <f t="shared" si="123"/>
        <v>0</v>
      </c>
      <c r="H569" s="16">
        <f t="shared" si="123"/>
        <v>0</v>
      </c>
      <c r="I569" s="16">
        <f t="shared" si="123"/>
        <v>0</v>
      </c>
      <c r="J569" s="16">
        <f t="shared" si="123"/>
        <v>0</v>
      </c>
      <c r="K569" s="16">
        <f t="shared" si="123"/>
        <v>0</v>
      </c>
      <c r="L569" s="16">
        <f t="shared" si="123"/>
        <v>0</v>
      </c>
      <c r="M569" s="16">
        <f t="shared" si="123"/>
        <v>0</v>
      </c>
    </row>
    <row r="570" spans="1:13" ht="15" customHeight="1" x14ac:dyDescent="0.2">
      <c r="B570" s="10" t="s">
        <v>899</v>
      </c>
      <c r="C570" s="10" t="s">
        <v>110</v>
      </c>
      <c r="D570" s="16">
        <f t="shared" ref="D570:M570" si="124">D566*$D$587</f>
        <v>0</v>
      </c>
      <c r="E570" s="16">
        <f t="shared" si="124"/>
        <v>0</v>
      </c>
      <c r="F570" s="16">
        <f t="shared" si="124"/>
        <v>0</v>
      </c>
      <c r="G570" s="16">
        <f t="shared" si="124"/>
        <v>2638.0048485671714</v>
      </c>
      <c r="H570" s="16">
        <f t="shared" si="124"/>
        <v>14881.788221808281</v>
      </c>
      <c r="I570" s="16">
        <f t="shared" si="124"/>
        <v>19842.384295744378</v>
      </c>
      <c r="J570" s="16">
        <f t="shared" si="124"/>
        <v>14881.788221808281</v>
      </c>
      <c r="K570" s="16">
        <f t="shared" si="124"/>
        <v>2638.0048485671714</v>
      </c>
      <c r="L570" s="16">
        <f t="shared" si="124"/>
        <v>14881.788221808281</v>
      </c>
      <c r="M570" s="16">
        <f t="shared" si="124"/>
        <v>19842.384295744378</v>
      </c>
    </row>
    <row r="571" spans="1:13" ht="15" customHeight="1" x14ac:dyDescent="0.2">
      <c r="B571" s="10" t="s">
        <v>900</v>
      </c>
      <c r="C571" s="10" t="s">
        <v>199</v>
      </c>
      <c r="D571" s="28">
        <f>D565*Inputs!$D$23</f>
        <v>6.4875000000000007</v>
      </c>
      <c r="E571" s="28">
        <f>E565*Inputs!$D$23</f>
        <v>8.65</v>
      </c>
      <c r="F571" s="28">
        <f>F565*Inputs!$D$23</f>
        <v>6.4875000000000007</v>
      </c>
      <c r="G571" s="28">
        <f>G565*Inputs!$D$23</f>
        <v>0</v>
      </c>
      <c r="H571" s="28">
        <f>H565*Inputs!$D$23</f>
        <v>0</v>
      </c>
      <c r="I571" s="28">
        <f>I565*Inputs!$D$23</f>
        <v>0</v>
      </c>
      <c r="J571" s="28">
        <f>J565*Inputs!$D$23</f>
        <v>0</v>
      </c>
      <c r="K571" s="28">
        <f>K565*Inputs!$D$23</f>
        <v>0</v>
      </c>
      <c r="L571" s="28">
        <f>L565*Inputs!$D$23</f>
        <v>0</v>
      </c>
      <c r="M571" s="28">
        <f>M565*Inputs!$D$23</f>
        <v>0</v>
      </c>
    </row>
    <row r="572" spans="1:13" ht="15" customHeight="1" x14ac:dyDescent="0.2">
      <c r="B572" s="3" t="s">
        <v>901</v>
      </c>
      <c r="C572" s="10" t="s">
        <v>896</v>
      </c>
      <c r="D572" s="28">
        <f>(D567*$D$585*(Inputs!$D$7-Inputs!$D$19)-D571)/(Inputs!$D$7+$D$586)^D560</f>
        <v>52.104528839313289</v>
      </c>
      <c r="E572" s="28">
        <f>(E567*$D$585*(Inputs!$D$7-Inputs!$D$19)-E571)/(Inputs!$D$7+$D$586)^E560</f>
        <v>197.86841911840659</v>
      </c>
      <c r="F572" s="28">
        <f>(F567*$D$585*(Inputs!$D$7-Inputs!$D$19)-F571)/(Inputs!$D$7+$D$586)^F560</f>
        <v>305.3415381972203</v>
      </c>
      <c r="G572" s="28">
        <f>(G567*$D$585*(Inputs!$D$7-Inputs!$D$19)-G571)/(Inputs!$D$7+$D$586)^G560</f>
        <v>335.37941094328897</v>
      </c>
      <c r="H572" s="28">
        <f>(H567*$D$585*(Inputs!$D$7-Inputs!$D$19)-H571)/(Inputs!$D$7+$D$586)^H560</f>
        <v>310.5528501639069</v>
      </c>
      <c r="I572" s="28">
        <f>(I567*$D$585*(Inputs!$D$7-Inputs!$D$19)-I571)/(Inputs!$D$7+$D$586)^I560</f>
        <v>287.50349731453537</v>
      </c>
      <c r="J572" s="28">
        <f>(J567*$D$585*(Inputs!$D$7-Inputs!$D$19)-J571)/(Inputs!$D$7+$D$586)^J560</f>
        <v>266.22096530015602</v>
      </c>
      <c r="K572" s="28">
        <f>(K567*$D$585*(Inputs!$D$7-Inputs!$D$19)-K571)/(Inputs!$D$7+$D$586)^K560</f>
        <v>246.5138790566069</v>
      </c>
      <c r="L572" s="28">
        <f>(L567*$D$585*(Inputs!$D$7-Inputs!$D$19)-L571)/(Inputs!$D$7+$D$586)^L560</f>
        <v>228.26561574149545</v>
      </c>
      <c r="M572" s="28">
        <f>(M567*$D$585*(Inputs!$D$7-Inputs!$D$19)-M571)/(Inputs!$D$7+$D$586)^M560</f>
        <v>211.32365330956841</v>
      </c>
    </row>
    <row r="573" spans="1:13" ht="15" customHeight="1" x14ac:dyDescent="0.2">
      <c r="B573" s="10" t="s">
        <v>902</v>
      </c>
      <c r="C573" s="10" t="s">
        <v>110</v>
      </c>
      <c r="D573" s="16">
        <f>(D568*Inputs!$D$19-D569-D570)/(Inputs!$D$7+$D$586)^D560</f>
        <v>-14212.377724210151</v>
      </c>
      <c r="E573" s="16">
        <f>(E568*Inputs!$D$19-E569-E570)/(Inputs!$D$7+$D$586)^E560</f>
        <v>-16360.387094728963</v>
      </c>
      <c r="F573" s="16">
        <f>(F568*Inputs!$D$19-F569-F570)/(Inputs!$D$7+$D$586)^F560</f>
        <v>-9874.5154652847668</v>
      </c>
      <c r="G573" s="16">
        <f>(G568*Inputs!$D$19-G569-G570)/(Inputs!$D$7+$D$586)^G560</f>
        <v>988.77347238742834</v>
      </c>
      <c r="H573" s="16">
        <f>(H568*Inputs!$D$19-H569-H570)/(Inputs!$D$7+$D$586)^H560</f>
        <v>-7602.4024163036647</v>
      </c>
      <c r="I573" s="16">
        <f>(I568*Inputs!$D$19-I569-I570)/(Inputs!$D$7+$D$586)^I560</f>
        <v>-10233.087939303265</v>
      </c>
      <c r="J573" s="16">
        <f>(J568*Inputs!$D$19-J569-J570)/(Inputs!$D$7+$D$586)^J560</f>
        <v>-6517.1480757635773</v>
      </c>
      <c r="K573" s="16">
        <f>(K568*Inputs!$D$19-K569-K570)/(Inputs!$D$7+$D$586)^K560</f>
        <v>726.77801985796941</v>
      </c>
      <c r="L573" s="16">
        <f>(L568*Inputs!$D$19-L569-L570)/(Inputs!$D$7+$D$586)^L560</f>
        <v>-5587.9927289550824</v>
      </c>
      <c r="M573" s="16">
        <f>(M568*Inputs!$D$19-M569-M570)/(Inputs!$D$7+$D$586)^M560</f>
        <v>-7521.6251216792398</v>
      </c>
    </row>
    <row r="574" spans="1:13" ht="15" customHeight="1" x14ac:dyDescent="0.2">
      <c r="B574" s="10" t="s">
        <v>903</v>
      </c>
      <c r="C574" s="10" t="s">
        <v>110</v>
      </c>
      <c r="D574" s="16">
        <f t="shared" ref="D574:M574" si="125">D567*$D$584</f>
        <v>4197.3699246415035</v>
      </c>
      <c r="E574" s="16">
        <f t="shared" si="125"/>
        <v>15992.397358680322</v>
      </c>
      <c r="F574" s="16">
        <f t="shared" si="125"/>
        <v>26110.889104428425</v>
      </c>
      <c r="G574" s="16">
        <f t="shared" si="125"/>
        <v>30447.385566891899</v>
      </c>
      <c r="H574" s="16">
        <f t="shared" si="125"/>
        <v>30447.385566891899</v>
      </c>
      <c r="I574" s="16">
        <f t="shared" si="125"/>
        <v>30447.385566891899</v>
      </c>
      <c r="J574" s="16">
        <f t="shared" si="125"/>
        <v>30447.385566891899</v>
      </c>
      <c r="K574" s="16">
        <f t="shared" si="125"/>
        <v>30447.385566891899</v>
      </c>
      <c r="L574" s="16">
        <f t="shared" si="125"/>
        <v>30447.385566891899</v>
      </c>
      <c r="M574" s="16">
        <f t="shared" si="125"/>
        <v>30447.385566891899</v>
      </c>
    </row>
    <row r="575" spans="1:13" ht="15" customHeight="1" x14ac:dyDescent="0.2">
      <c r="B575" s="10" t="s">
        <v>904</v>
      </c>
      <c r="C575" s="10" t="s">
        <v>110</v>
      </c>
      <c r="D575" s="16">
        <f t="shared" ref="D575:M575" si="126">D574*$D$585</f>
        <v>2938.1589472490523</v>
      </c>
      <c r="E575" s="16">
        <f t="shared" si="126"/>
        <v>11194.678151076225</v>
      </c>
      <c r="F575" s="16">
        <f t="shared" si="126"/>
        <v>18277.622373099897</v>
      </c>
      <c r="G575" s="16">
        <f t="shared" si="126"/>
        <v>21313.169896824329</v>
      </c>
      <c r="H575" s="16">
        <f t="shared" si="126"/>
        <v>21313.169896824329</v>
      </c>
      <c r="I575" s="16">
        <f t="shared" si="126"/>
        <v>21313.169896824329</v>
      </c>
      <c r="J575" s="16">
        <f t="shared" si="126"/>
        <v>21313.169896824329</v>
      </c>
      <c r="K575" s="16">
        <f t="shared" si="126"/>
        <v>21313.169896824329</v>
      </c>
      <c r="L575" s="16">
        <f t="shared" si="126"/>
        <v>21313.169896824329</v>
      </c>
      <c r="M575" s="16">
        <f t="shared" si="126"/>
        <v>21313.169896824329</v>
      </c>
    </row>
    <row r="576" spans="1:13" ht="15" customHeight="1" x14ac:dyDescent="0.2">
      <c r="B576" s="10" t="s">
        <v>905</v>
      </c>
      <c r="C576" s="10" t="s">
        <v>110</v>
      </c>
      <c r="D576" s="16">
        <f t="shared" ref="D576:M576" si="127">D575-D568</f>
        <v>1121.1816613166104</v>
      </c>
      <c r="E576" s="16">
        <f t="shared" si="127"/>
        <v>4271.8137693265162</v>
      </c>
      <c r="F576" s="16">
        <f t="shared" si="127"/>
        <v>6974.6175700863969</v>
      </c>
      <c r="G576" s="16">
        <f t="shared" si="127"/>
        <v>8132.9620561263473</v>
      </c>
      <c r="H576" s="16">
        <f t="shared" si="127"/>
        <v>8132.9620561263473</v>
      </c>
      <c r="I576" s="16">
        <f t="shared" si="127"/>
        <v>8132.9620561263473</v>
      </c>
      <c r="J576" s="16">
        <f t="shared" si="127"/>
        <v>8132.9620561263473</v>
      </c>
      <c r="K576" s="16">
        <f t="shared" si="127"/>
        <v>8132.9620561263473</v>
      </c>
      <c r="L576" s="16">
        <f t="shared" si="127"/>
        <v>8132.9620561263473</v>
      </c>
      <c r="M576" s="16">
        <f t="shared" si="127"/>
        <v>8132.9620561263473</v>
      </c>
    </row>
    <row r="577" spans="2:13" ht="15" customHeight="1" x14ac:dyDescent="0.2">
      <c r="B577" s="10" t="s">
        <v>906</v>
      </c>
      <c r="C577" s="10" t="s">
        <v>110</v>
      </c>
      <c r="D577" s="16">
        <f>MAX(D576,Inputs!$D$6)*Inputs!$D$19</f>
        <v>336.35449839498312</v>
      </c>
      <c r="E577" s="16">
        <f>MAX(E576,Inputs!$D$6)*Inputs!$D$19</f>
        <v>1281.5441307979547</v>
      </c>
      <c r="F577" s="16">
        <f>MAX(F576,Inputs!$D$6)*Inputs!$D$19</f>
        <v>2092.3852710259189</v>
      </c>
      <c r="G577" s="16">
        <f>MAX(G576,Inputs!$D$6)*Inputs!$D$19</f>
        <v>2439.888616837904</v>
      </c>
      <c r="H577" s="16">
        <f>MAX(H576,Inputs!$D$6)*Inputs!$D$19</f>
        <v>2439.888616837904</v>
      </c>
      <c r="I577" s="16">
        <f>MAX(I576,Inputs!$D$6)*Inputs!$D$19</f>
        <v>2439.888616837904</v>
      </c>
      <c r="J577" s="16">
        <f>MAX(J576,Inputs!$D$6)*Inputs!$D$19</f>
        <v>2439.888616837904</v>
      </c>
      <c r="K577" s="16">
        <f>MAX(K576,Inputs!$D$6)*Inputs!$D$19</f>
        <v>2439.888616837904</v>
      </c>
      <c r="L577" s="16">
        <f>MAX(L576,Inputs!$D$6)*Inputs!$D$19</f>
        <v>2439.888616837904</v>
      </c>
      <c r="M577" s="16">
        <f>MAX(M576,Inputs!$D$6)*Inputs!$D$19</f>
        <v>2439.888616837904</v>
      </c>
    </row>
    <row r="578" spans="2:13" ht="15" customHeight="1" x14ac:dyDescent="0.2">
      <c r="B578" s="10" t="s">
        <v>907</v>
      </c>
      <c r="C578" s="10" t="s">
        <v>110</v>
      </c>
      <c r="D578" s="16">
        <f t="shared" ref="D578:M578" si="128">D571*$D$584</f>
        <v>216.82482312317367</v>
      </c>
      <c r="E578" s="16">
        <f t="shared" si="128"/>
        <v>289.09976416423154</v>
      </c>
      <c r="F578" s="16">
        <f t="shared" si="128"/>
        <v>216.82482312317367</v>
      </c>
      <c r="G578" s="16">
        <f t="shared" si="128"/>
        <v>0</v>
      </c>
      <c r="H578" s="16">
        <f t="shared" si="128"/>
        <v>0</v>
      </c>
      <c r="I578" s="16">
        <f t="shared" si="128"/>
        <v>0</v>
      </c>
      <c r="J578" s="16">
        <f t="shared" si="128"/>
        <v>0</v>
      </c>
      <c r="K578" s="16">
        <f t="shared" si="128"/>
        <v>0</v>
      </c>
      <c r="L578" s="16">
        <f t="shared" si="128"/>
        <v>0</v>
      </c>
      <c r="M578" s="16">
        <f t="shared" si="128"/>
        <v>0</v>
      </c>
    </row>
    <row r="579" spans="2:13" ht="15" customHeight="1" x14ac:dyDescent="0.2">
      <c r="B579" s="10" t="s">
        <v>908</v>
      </c>
      <c r="C579" s="10" t="s">
        <v>110</v>
      </c>
      <c r="D579" s="16">
        <f t="shared" ref="D579:M579" si="129">D575-D577-D569-D570-D578</f>
        <v>-13175.988994415258</v>
      </c>
      <c r="E579" s="16">
        <f t="shared" si="129"/>
        <v>-11123.923904080832</v>
      </c>
      <c r="F579" s="16">
        <f t="shared" si="129"/>
        <v>407.44365880465011</v>
      </c>
      <c r="G579" s="16">
        <f t="shared" si="129"/>
        <v>16235.276431419254</v>
      </c>
      <c r="H579" s="16">
        <f t="shared" si="129"/>
        <v>3991.4930581781446</v>
      </c>
      <c r="I579" s="16">
        <f t="shared" si="129"/>
        <v>-969.10301575795165</v>
      </c>
      <c r="J579" s="16">
        <f t="shared" si="129"/>
        <v>3991.4930581781446</v>
      </c>
      <c r="K579" s="16">
        <f t="shared" si="129"/>
        <v>16235.276431419254</v>
      </c>
      <c r="L579" s="16">
        <f t="shared" si="129"/>
        <v>3991.4930581781446</v>
      </c>
      <c r="M579" s="16">
        <f t="shared" si="129"/>
        <v>-969.10301575795165</v>
      </c>
    </row>
    <row r="580" spans="2:13" ht="15" customHeight="1" x14ac:dyDescent="0.2">
      <c r="B580" s="10" t="s">
        <v>909</v>
      </c>
      <c r="C580" s="10" t="s">
        <v>110</v>
      </c>
      <c r="D580" s="16">
        <f>D579/(Inputs!$D$7+$D$586)^D560</f>
        <v>-12470.943389027047</v>
      </c>
      <c r="E580" s="16">
        <f>E579/(Inputs!$D$7+$D$586)^E560</f>
        <v>-9747.2410481762854</v>
      </c>
      <c r="F580" s="16">
        <f>F579/(Inputs!$D$7+$D$586)^F560</f>
        <v>330.59050955454796</v>
      </c>
      <c r="G580" s="16">
        <f>G579/(Inputs!$D$7+$D$586)^G560</f>
        <v>12197.803369409827</v>
      </c>
      <c r="H580" s="16">
        <f>H579/(Inputs!$D$7+$D$586)^H560</f>
        <v>2776.8757042645939</v>
      </c>
      <c r="I580" s="16">
        <f>I579/(Inputs!$D$7+$D$586)^I560</f>
        <v>-624.16386184384601</v>
      </c>
      <c r="J580" s="16">
        <f>J579/(Inputs!$D$7+$D$586)^J560</f>
        <v>2380.4725350860408</v>
      </c>
      <c r="K580" s="16">
        <f>K579/(Inputs!$D$7+$D$586)^K560</f>
        <v>8965.7496150573861</v>
      </c>
      <c r="L580" s="16">
        <f>L579/(Inputs!$D$7+$D$586)^L560</f>
        <v>2041.0865401396516</v>
      </c>
      <c r="M580" s="16">
        <f>M579/(Inputs!$D$7+$D$586)^M560</f>
        <v>-458.77907149194789</v>
      </c>
    </row>
    <row r="581" spans="2:13" ht="15" customHeight="1" x14ac:dyDescent="0.2">
      <c r="B581" s="3" t="s">
        <v>910</v>
      </c>
      <c r="C581" s="10" t="s">
        <v>896</v>
      </c>
      <c r="D581" s="28">
        <f>(D567*$D$585-D571)/(Inputs!$D$7+$D$586)^D560</f>
        <v>77.066621761551716</v>
      </c>
      <c r="E581" s="28">
        <f>(E567*$D$585-E571)/(Inputs!$D$7+$D$586)^E560</f>
        <v>285.91752168073901</v>
      </c>
      <c r="F581" s="28">
        <f>(F567*$D$585-F571)/(Inputs!$D$7+$D$586)^F560</f>
        <v>438.45811591722685</v>
      </c>
      <c r="G581" s="28">
        <f>(G567*$D$585-G571)/(Inputs!$D$7+$D$586)^G560</f>
        <v>479.11344420469857</v>
      </c>
      <c r="H581" s="28">
        <f>(H567*$D$585-H571)/(Inputs!$D$7+$D$586)^H560</f>
        <v>443.6469288055813</v>
      </c>
      <c r="I581" s="28">
        <f>(I567*$D$585-I571)/(Inputs!$D$7+$D$586)^I560</f>
        <v>410.71928187790763</v>
      </c>
      <c r="J581" s="28">
        <f>(J567*$D$585-J571)/(Inputs!$D$7+$D$586)^J560</f>
        <v>380.31566471450867</v>
      </c>
      <c r="K581" s="28">
        <f>(K567*$D$585-K571)/(Inputs!$D$7+$D$586)^K560</f>
        <v>352.16268436658129</v>
      </c>
      <c r="L581" s="28">
        <f>(L567*$D$585-L571)/(Inputs!$D$7+$D$586)^L560</f>
        <v>326.09373677356496</v>
      </c>
      <c r="M581" s="28">
        <f>(M567*$D$585-M571)/(Inputs!$D$7+$D$586)^M560</f>
        <v>301.89093329938345</v>
      </c>
    </row>
    <row r="582" spans="2:13" ht="15" customHeight="1" x14ac:dyDescent="0.2">
      <c r="B582" s="10" t="s">
        <v>911</v>
      </c>
      <c r="C582" s="10" t="s">
        <v>110</v>
      </c>
      <c r="D582" s="16">
        <f>(-D569-D570)/(Inputs!$D$7+$D$586)^D560</f>
        <v>-14728.303038392241</v>
      </c>
      <c r="E582" s="16">
        <f>(-E569-E570)/(Inputs!$D$7+$D$586)^E560</f>
        <v>-18180.216908055725</v>
      </c>
      <c r="F582" s="16">
        <f>(-F569-F570)/(Inputs!$D$7+$D$586)^F560</f>
        <v>-12625.815702688111</v>
      </c>
      <c r="G582" s="16">
        <f>(-G569-G570)/(Inputs!$D$7+$D$586)^G560</f>
        <v>-1981.9720696655354</v>
      </c>
      <c r="H582" s="16">
        <f>(-H569-H570)/(Inputs!$D$7+$D$586)^H560</f>
        <v>-10353.237634844469</v>
      </c>
      <c r="I582" s="16">
        <f>(-I569-I570)/(Inputs!$D$7+$D$586)^I560</f>
        <v>-12779.755102232404</v>
      </c>
      <c r="J582" s="16">
        <f>(-J569-J570)/(Inputs!$D$7+$D$586)^J560</f>
        <v>-8875.2974434962562</v>
      </c>
      <c r="K582" s="16">
        <f>(-K569-K570)/(Inputs!$D$7+$D$586)^K560</f>
        <v>-1456.8086386129401</v>
      </c>
      <c r="L582" s="16">
        <f>(-L569-L570)/(Inputs!$D$7+$D$586)^L560</f>
        <v>-7609.9387347064285</v>
      </c>
      <c r="M582" s="16">
        <f>(-M569-M570)/(Inputs!$D$7+$D$586)^M560</f>
        <v>-9393.5015115686074</v>
      </c>
    </row>
    <row r="583" spans="2:13" ht="15" customHeight="1" x14ac:dyDescent="0.2">
      <c r="B583" s="10" t="s">
        <v>912</v>
      </c>
      <c r="C583" s="10" t="s">
        <v>110</v>
      </c>
      <c r="D583" s="16">
        <f>Prices!I6</f>
        <v>43700</v>
      </c>
    </row>
    <row r="584" spans="2:13" ht="15" customHeight="1" x14ac:dyDescent="0.2">
      <c r="B584" s="3" t="s">
        <v>913</v>
      </c>
      <c r="C584" s="10" t="s">
        <v>914</v>
      </c>
      <c r="D584" s="28">
        <f>IF(J591&gt;=J587,J591,(D583-J590)/J589)</f>
        <v>33.421938053668384</v>
      </c>
      <c r="G584" s="99" t="s">
        <v>915</v>
      </c>
      <c r="H584" s="91"/>
      <c r="I584" s="91"/>
      <c r="J584" s="28">
        <f>D584*Inputs!$D$15</f>
        <v>23.325170567655164</v>
      </c>
      <c r="K584" s="99" t="s">
        <v>916</v>
      </c>
      <c r="L584" s="91"/>
      <c r="M584" s="91"/>
    </row>
    <row r="585" spans="2:13" ht="15" customHeight="1" x14ac:dyDescent="0.2">
      <c r="B585" s="10" t="s">
        <v>917</v>
      </c>
      <c r="C585" s="10" t="s">
        <v>104</v>
      </c>
      <c r="D585" s="30">
        <f>Inputs!$D$143</f>
        <v>0.7</v>
      </c>
      <c r="G585" s="99" t="s">
        <v>918</v>
      </c>
      <c r="H585" s="91"/>
      <c r="I585" s="91"/>
      <c r="J585" s="28">
        <f>IF(-D596/D595&gt;=J587,-D596/D595,-J590/J589)</f>
        <v>26.566474729035129</v>
      </c>
      <c r="K585" s="99" t="s">
        <v>919</v>
      </c>
      <c r="L585" s="91"/>
      <c r="M585" s="91"/>
    </row>
    <row r="586" spans="2:13" ht="15" customHeight="1" x14ac:dyDescent="0.2">
      <c r="B586" s="10" t="s">
        <v>920</v>
      </c>
      <c r="C586" s="10" t="s">
        <v>104</v>
      </c>
      <c r="D586" s="30">
        <f>Inputs!$D$146</f>
        <v>0.08</v>
      </c>
      <c r="G586" s="99" t="s">
        <v>918</v>
      </c>
      <c r="H586" s="91"/>
      <c r="I586" s="91"/>
      <c r="J586" s="28">
        <f>J585*Inputs!$D$15</f>
        <v>18.540742713393616</v>
      </c>
      <c r="K586" s="99" t="s">
        <v>916</v>
      </c>
      <c r="L586" s="91"/>
      <c r="M586" s="91"/>
    </row>
    <row r="587" spans="2:13" ht="15" customHeight="1" x14ac:dyDescent="0.2">
      <c r="B587" s="3" t="s">
        <v>921</v>
      </c>
      <c r="C587" s="10" t="s">
        <v>848</v>
      </c>
      <c r="D587" s="28">
        <f>Capital!$D$13</f>
        <v>57.347931490590682</v>
      </c>
      <c r="G587" s="99" t="s">
        <v>922</v>
      </c>
      <c r="H587" s="91"/>
      <c r="I587" s="91"/>
      <c r="J587" s="28">
        <f>($D$587/Inputs!$D$21+$D$588/Inputs!$D$22)/$D$585</f>
        <v>20.668351639796114</v>
      </c>
      <c r="K587" s="99" t="s">
        <v>919</v>
      </c>
      <c r="L587" s="91"/>
      <c r="M587" s="91"/>
    </row>
    <row r="588" spans="2:13" ht="15" customHeight="1" x14ac:dyDescent="0.2">
      <c r="B588" s="3" t="s">
        <v>923</v>
      </c>
      <c r="C588" s="10" t="s">
        <v>848</v>
      </c>
      <c r="D588" s="28">
        <f>Capital!$D$14</f>
        <v>2.6172655041921802</v>
      </c>
    </row>
    <row r="589" spans="2:13" ht="15" customHeight="1" x14ac:dyDescent="0.2">
      <c r="B589" s="10" t="s">
        <v>924</v>
      </c>
      <c r="C589" s="10" t="s">
        <v>896</v>
      </c>
      <c r="D589" s="28">
        <f>(M562*(Inputs!$D$7+Inputs!$D$20)*$D$585*(Inputs!$D$7-Inputs!$D$19)-M562*Inputs!$D$20*Inputs!$D$23)/($D$586-Inputs!$D$20)/(Inputs!$D$7+$D$586)^M560</f>
        <v>3933.4036212026808</v>
      </c>
      <c r="G589" s="92" t="s">
        <v>910</v>
      </c>
      <c r="H589" s="91"/>
      <c r="I589" s="91"/>
      <c r="J589" s="28">
        <f>SUM(D581:M581)+(M562*(Inputs!$D$7+Inputs!$D$20)*$D$585-M562*Inputs!$D$20*Inputs!$D$23)/($D$586-Inputs!$D$20)/(Inputs!$D$7+$D$586)^M560</f>
        <v>9116.6333180509773</v>
      </c>
      <c r="K589" s="99" t="s">
        <v>896</v>
      </c>
      <c r="L589" s="91"/>
      <c r="M589" s="91"/>
    </row>
    <row r="590" spans="2:13" ht="15" customHeight="1" x14ac:dyDescent="0.2">
      <c r="B590" s="10" t="s">
        <v>925</v>
      </c>
      <c r="C590" s="10" t="s">
        <v>110</v>
      </c>
      <c r="D590" s="16">
        <f>(D593*Inputs!$D$19-D593-D594)/($D$586-Inputs!$D$20)/(Inputs!$D$7+$D$586)^M560</f>
        <v>-93153.423070883771</v>
      </c>
      <c r="G590" s="92" t="s">
        <v>926</v>
      </c>
      <c r="H590" s="91"/>
      <c r="I590" s="91"/>
      <c r="J590" s="16">
        <f>SUM(D582:M582)-(D593+D594)/($D$586-Inputs!$D$20)/(Inputs!$D$7+$D$586)^M560</f>
        <v>-226023.23893944838</v>
      </c>
      <c r="K590" s="99" t="s">
        <v>110</v>
      </c>
      <c r="L590" s="91"/>
      <c r="M590" s="91"/>
    </row>
    <row r="591" spans="2:13" ht="15" customHeight="1" x14ac:dyDescent="0.2">
      <c r="B591" s="10" t="s">
        <v>927</v>
      </c>
      <c r="C591" s="10" t="s">
        <v>928</v>
      </c>
      <c r="D591" s="16">
        <f>(M562*(Inputs!$D$7+Inputs!$D$20)*$D$584*$D$585-D593)-MAX((M562*(Inputs!$D$7+Inputs!$D$20)*$D$584*$D$585-D593),Inputs!$D$6)*Inputs!$D$19-D594-M562*Inputs!$D$20*$D$584*Inputs!$D$23</f>
        <v>4450.6632977351628</v>
      </c>
      <c r="G591" s="99" t="s">
        <v>929</v>
      </c>
      <c r="H591" s="91"/>
      <c r="I591" s="91"/>
      <c r="J591" s="28">
        <f>(D583-D596)/D595</f>
        <v>33.421938053668384</v>
      </c>
      <c r="K591" s="99" t="s">
        <v>919</v>
      </c>
      <c r="L591" s="91"/>
      <c r="M591" s="91"/>
    </row>
    <row r="592" spans="2:13" ht="15" customHeight="1" x14ac:dyDescent="0.2">
      <c r="B592" s="10" t="s">
        <v>930</v>
      </c>
      <c r="C592" s="10" t="s">
        <v>110</v>
      </c>
      <c r="D592" s="16">
        <f>D591/($D$586-Inputs!$D$20)</f>
        <v>80921.150867912045</v>
      </c>
      <c r="G592" s="99" t="s">
        <v>931</v>
      </c>
      <c r="H592" s="91"/>
      <c r="I592" s="91"/>
      <c r="J592" s="16">
        <f>MIN(D576:M576,(M562*(Inputs!$D$7+Inputs!$D$20)*$D$584*$D$585-D593))</f>
        <v>1121.1816613166104</v>
      </c>
      <c r="K592" s="99" t="s">
        <v>110</v>
      </c>
      <c r="L592" s="91"/>
      <c r="M592" s="91"/>
    </row>
    <row r="593" spans="1:13" ht="15" customHeight="1" x14ac:dyDescent="0.2">
      <c r="B593" s="10" t="s">
        <v>932</v>
      </c>
      <c r="C593" s="10" t="s">
        <v>928</v>
      </c>
      <c r="D593" s="16">
        <f>M562*(Inputs!$D$7+Inputs!$D$20)*($D$587/Inputs!$D$21+$D$588/Inputs!$D$22)</f>
        <v>13509.71303671543</v>
      </c>
      <c r="G593" s="99" t="s">
        <v>933</v>
      </c>
      <c r="H593" s="91"/>
      <c r="I593" s="91"/>
      <c r="J593" s="31" t="str">
        <f>IF(J592&lt;Inputs!$D$6,"breached","satisfied")</f>
        <v>satisfied</v>
      </c>
      <c r="K593" s="99" t="s">
        <v>934</v>
      </c>
      <c r="L593" s="91"/>
      <c r="M593" s="91"/>
    </row>
    <row r="594" spans="1:13" ht="15" customHeight="1" x14ac:dyDescent="0.2">
      <c r="B594" s="10" t="s">
        <v>935</v>
      </c>
      <c r="C594" s="10" t="s">
        <v>928</v>
      </c>
      <c r="D594" s="16">
        <f>M562*Inputs!$D$20*($D$587+$D$588)</f>
        <v>1365.7073615561799</v>
      </c>
    </row>
    <row r="595" spans="1:13" ht="15" customHeight="1" x14ac:dyDescent="0.2">
      <c r="B595" s="10" t="s">
        <v>936</v>
      </c>
      <c r="C595" s="10" t="s">
        <v>896</v>
      </c>
      <c r="D595" s="28">
        <f>SUM(D572:M572)+D589</f>
        <v>6374.4779791871788</v>
      </c>
      <c r="G595" s="99" t="s">
        <v>937</v>
      </c>
      <c r="H595" s="91"/>
      <c r="I595" s="91"/>
      <c r="J595" s="16">
        <f>D597-D583</f>
        <v>0</v>
      </c>
      <c r="K595" s="99" t="s">
        <v>110</v>
      </c>
      <c r="L595" s="91"/>
      <c r="M595" s="91"/>
    </row>
    <row r="596" spans="1:13" ht="15" customHeight="1" x14ac:dyDescent="0.2">
      <c r="B596" s="10" t="s">
        <v>938</v>
      </c>
      <c r="C596" s="10" t="s">
        <v>110</v>
      </c>
      <c r="D596" s="16">
        <f>SUM(D573:M573)+D590</f>
        <v>-169347.40814486711</v>
      </c>
    </row>
    <row r="597" spans="1:13" ht="15" customHeight="1" x14ac:dyDescent="0.2">
      <c r="B597" s="10" t="s">
        <v>939</v>
      </c>
      <c r="C597" s="10" t="s">
        <v>110</v>
      </c>
      <c r="D597" s="16">
        <f>SUM(D580:M580)+D592/(Inputs!$D$7+$D$586)^M560</f>
        <v>43700.000000000029</v>
      </c>
    </row>
    <row r="598" spans="1:13" ht="15" customHeight="1" x14ac:dyDescent="0.2">
      <c r="B598" s="10" t="s">
        <v>940</v>
      </c>
      <c r="C598" s="10" t="s">
        <v>104</v>
      </c>
      <c r="D598" s="30">
        <f>IF(ABS(D583)&gt;Inputs!$D$6,D597/D583-Inputs!$D$7,Inputs!$D$6)</f>
        <v>6.6613381477509392E-16</v>
      </c>
    </row>
    <row r="599" spans="1:13" ht="15" customHeight="1" x14ac:dyDescent="0.2">
      <c r="B599" s="10" t="s">
        <v>941</v>
      </c>
      <c r="C599" s="10" t="s">
        <v>104</v>
      </c>
      <c r="D599" s="30">
        <f>IF(ABS(D597)&gt;Inputs!$D$119,D592/(Inputs!$D$7+$D$586)^M560/D597,Inputs!$D$6)</f>
        <v>0.87662583746057388</v>
      </c>
    </row>
    <row r="600" spans="1:13" ht="15" customHeight="1" x14ac:dyDescent="0.2">
      <c r="B600" s="10" t="s">
        <v>942</v>
      </c>
      <c r="C600" s="10" t="s">
        <v>943</v>
      </c>
      <c r="D600" s="26">
        <f>$D$584*Inputs!$D$8/Prices!$P$6/(Inputs!$D$26/Inputs!$D$25)/Inputs!$D$11/Inputs!$D$56</f>
        <v>6.0778809549429038</v>
      </c>
    </row>
    <row r="604" spans="1:13" ht="15" customHeight="1" x14ac:dyDescent="0.2">
      <c r="A604" s="104" t="s">
        <v>2178</v>
      </c>
      <c r="B604" s="10" t="s">
        <v>886</v>
      </c>
      <c r="C604" s="10" t="s">
        <v>107</v>
      </c>
      <c r="D604" s="28">
        <f>Inputs!$D$60</f>
        <v>1</v>
      </c>
      <c r="E604" s="28">
        <f>Inputs!$D$62</f>
        <v>2</v>
      </c>
      <c r="F604" s="28">
        <f>Inputs!$D$64</f>
        <v>3</v>
      </c>
      <c r="G604" s="28">
        <f>Inputs!$D$66</f>
        <v>4</v>
      </c>
      <c r="H604" s="28">
        <f>Inputs!$D$68</f>
        <v>5</v>
      </c>
      <c r="I604" s="28">
        <f>Inputs!$D$70</f>
        <v>6</v>
      </c>
      <c r="J604" s="28">
        <f>Inputs!$D$72</f>
        <v>7</v>
      </c>
      <c r="K604" s="28">
        <f>Inputs!$D$74</f>
        <v>8</v>
      </c>
      <c r="L604" s="28">
        <f>Inputs!$D$76</f>
        <v>9</v>
      </c>
      <c r="M604" s="28">
        <f>Inputs!$D$78</f>
        <v>10</v>
      </c>
    </row>
    <row r="605" spans="1:13" ht="15" customHeight="1" x14ac:dyDescent="0.2">
      <c r="A605" s="91"/>
      <c r="B605" s="10" t="s">
        <v>887</v>
      </c>
      <c r="C605" s="10" t="s">
        <v>161</v>
      </c>
      <c r="D605" s="29">
        <f>Inputs!$D$61</f>
        <v>46568</v>
      </c>
      <c r="E605" s="29">
        <f>Inputs!$D$63</f>
        <v>46934</v>
      </c>
      <c r="F605" s="29">
        <f>Inputs!$D$65</f>
        <v>47299</v>
      </c>
      <c r="G605" s="29">
        <f>Inputs!$D$67</f>
        <v>47664</v>
      </c>
      <c r="H605" s="29">
        <f>Inputs!$D$69</f>
        <v>48029</v>
      </c>
      <c r="I605" s="29">
        <f>Inputs!$D$71</f>
        <v>48395</v>
      </c>
      <c r="J605" s="29">
        <f>Inputs!$D$73</f>
        <v>48760</v>
      </c>
      <c r="K605" s="29">
        <f>Inputs!$D$75</f>
        <v>49125</v>
      </c>
      <c r="L605" s="29">
        <f>Inputs!$D$77</f>
        <v>49490</v>
      </c>
      <c r="M605" s="29">
        <f>Inputs!$D$79</f>
        <v>49856</v>
      </c>
    </row>
    <row r="606" spans="1:13" ht="15" customHeight="1" x14ac:dyDescent="0.2">
      <c r="A606" s="91"/>
      <c r="B606" s="10" t="s">
        <v>888</v>
      </c>
      <c r="C606" s="10" t="s">
        <v>107</v>
      </c>
      <c r="D606" s="28">
        <f>(D605-Inputs!$D$13)/Inputs!$D$10</f>
        <v>0.71457905544147848</v>
      </c>
      <c r="E606" s="28">
        <f>(E605-Inputs!$D$13)/Inputs!$D$10</f>
        <v>1.7166324435318274</v>
      </c>
      <c r="F606" s="28">
        <f>(F605-Inputs!$D$13)/Inputs!$D$10</f>
        <v>2.7159479808350446</v>
      </c>
      <c r="G606" s="28">
        <f>(G605-Inputs!$D$13)/Inputs!$D$10</f>
        <v>3.7152635181382614</v>
      </c>
      <c r="H606" s="28">
        <f>(H605-Inputs!$D$13)/Inputs!$D$10</f>
        <v>4.7145790554414786</v>
      </c>
      <c r="I606" s="28">
        <f>(I605-Inputs!$D$13)/Inputs!$D$10</f>
        <v>5.7166324435318279</v>
      </c>
      <c r="J606" s="28">
        <f>(J605-Inputs!$D$13)/Inputs!$D$10</f>
        <v>6.7159479808350442</v>
      </c>
      <c r="K606" s="28">
        <f>(K605-Inputs!$D$13)/Inputs!$D$10</f>
        <v>7.7152635181382614</v>
      </c>
      <c r="L606" s="28">
        <f>(L605-Inputs!$D$13)/Inputs!$D$10</f>
        <v>8.7145790554414777</v>
      </c>
      <c r="M606" s="28">
        <f>(M605-Inputs!$D$13)/Inputs!$D$10</f>
        <v>9.716632443531827</v>
      </c>
    </row>
    <row r="607" spans="1:13" ht="15" customHeight="1" x14ac:dyDescent="0.2">
      <c r="A607" s="91"/>
      <c r="B607" s="10" t="s">
        <v>889</v>
      </c>
      <c r="C607" s="10" t="s">
        <v>107</v>
      </c>
      <c r="D607" s="28">
        <f>D606</f>
        <v>0.71457905544147848</v>
      </c>
      <c r="E607" s="28">
        <f>Inputs!$D$7</f>
        <v>1</v>
      </c>
      <c r="F607" s="28">
        <f>Inputs!$D$7</f>
        <v>1</v>
      </c>
      <c r="G607" s="28">
        <f>Inputs!$D$7</f>
        <v>1</v>
      </c>
      <c r="H607" s="28">
        <f>Inputs!$D$7</f>
        <v>1</v>
      </c>
      <c r="I607" s="28">
        <f>Inputs!$D$7</f>
        <v>1</v>
      </c>
      <c r="J607" s="28">
        <f>Inputs!$D$7</f>
        <v>1</v>
      </c>
      <c r="K607" s="28">
        <f>Inputs!$D$7</f>
        <v>1</v>
      </c>
      <c r="L607" s="28">
        <f>Inputs!$D$7</f>
        <v>1</v>
      </c>
      <c r="M607" s="28">
        <f>Inputs!$D$7</f>
        <v>1</v>
      </c>
    </row>
    <row r="608" spans="1:13" ht="15" customHeight="1" x14ac:dyDescent="0.2">
      <c r="A608" s="91"/>
      <c r="B608" s="3" t="s">
        <v>890</v>
      </c>
      <c r="C608" s="10" t="s">
        <v>199</v>
      </c>
      <c r="D608" s="28">
        <f>Inputs!$D$24+(Inputs!$D$80-Inputs!$D$24)*Inputs!$D$83</f>
        <v>305.5</v>
      </c>
      <c r="E608" s="28">
        <f>Inputs!$D$24+(Inputs!$D$80-Inputs!$D$24)*Inputs!$D$84</f>
        <v>651.5</v>
      </c>
      <c r="F608" s="28">
        <f>Inputs!$D$24+(Inputs!$D$80-Inputs!$D$24)*Inputs!$D$85</f>
        <v>911</v>
      </c>
      <c r="G608" s="28">
        <f>Inputs!$D$24+(Inputs!$D$80-Inputs!$D$24)*Inputs!$D$86</f>
        <v>911</v>
      </c>
      <c r="H608" s="28">
        <f>Inputs!$D$24+(Inputs!$D$80-Inputs!$D$24)*Inputs!$D$87</f>
        <v>911</v>
      </c>
      <c r="I608" s="28">
        <f>Inputs!$D$24+(Inputs!$D$80-Inputs!$D$24)*Inputs!$D$88</f>
        <v>911</v>
      </c>
      <c r="J608" s="28">
        <f>Inputs!$D$24+(Inputs!$D$80-Inputs!$D$24)*Inputs!$D$89</f>
        <v>911</v>
      </c>
      <c r="K608" s="28">
        <f>Inputs!$D$24+(Inputs!$D$80-Inputs!$D$24)*Inputs!$D$90</f>
        <v>911</v>
      </c>
      <c r="L608" s="28">
        <f>Inputs!$D$24+(Inputs!$D$80-Inputs!$D$24)*Inputs!$D$91</f>
        <v>911</v>
      </c>
      <c r="M608" s="28">
        <f>Inputs!$D$24+(Inputs!$D$80-Inputs!$D$24)*Inputs!$D$92</f>
        <v>911</v>
      </c>
    </row>
    <row r="609" spans="1:13" ht="15" customHeight="1" x14ac:dyDescent="0.2">
      <c r="A609" s="91"/>
      <c r="B609" s="10" t="s">
        <v>891</v>
      </c>
      <c r="C609" s="10" t="s">
        <v>199</v>
      </c>
      <c r="D609" s="28">
        <f>Inputs!$D$24</f>
        <v>46</v>
      </c>
      <c r="E609" s="28">
        <f t="shared" ref="E609:M609" si="130">D608</f>
        <v>305.5</v>
      </c>
      <c r="F609" s="28">
        <f t="shared" si="130"/>
        <v>651.5</v>
      </c>
      <c r="G609" s="28">
        <f t="shared" si="130"/>
        <v>911</v>
      </c>
      <c r="H609" s="28">
        <f t="shared" si="130"/>
        <v>911</v>
      </c>
      <c r="I609" s="28">
        <f t="shared" si="130"/>
        <v>911</v>
      </c>
      <c r="J609" s="28">
        <f t="shared" si="130"/>
        <v>911</v>
      </c>
      <c r="K609" s="28">
        <f t="shared" si="130"/>
        <v>911</v>
      </c>
      <c r="L609" s="28">
        <f t="shared" si="130"/>
        <v>911</v>
      </c>
      <c r="M609" s="28">
        <f t="shared" si="130"/>
        <v>911</v>
      </c>
    </row>
    <row r="610" spans="1:13" ht="15" customHeight="1" x14ac:dyDescent="0.2">
      <c r="B610" s="10" t="s">
        <v>892</v>
      </c>
      <c r="C610" s="10" t="s">
        <v>199</v>
      </c>
      <c r="D610" s="28">
        <f>(D609+D608)*Inputs!$D$12</f>
        <v>175.75</v>
      </c>
      <c r="E610" s="28">
        <f>(E609+E608)*Inputs!$D$12</f>
        <v>478.5</v>
      </c>
      <c r="F610" s="28">
        <f>(F609+F608)*Inputs!$D$12</f>
        <v>781.25</v>
      </c>
      <c r="G610" s="28">
        <f>(G609+G608)*Inputs!$D$12</f>
        <v>911</v>
      </c>
      <c r="H610" s="28">
        <f>(H609+H608)*Inputs!$D$12</f>
        <v>911</v>
      </c>
      <c r="I610" s="28">
        <f>(I609+I608)*Inputs!$D$12</f>
        <v>911</v>
      </c>
      <c r="J610" s="28">
        <f>(J609+J608)*Inputs!$D$12</f>
        <v>911</v>
      </c>
      <c r="K610" s="28">
        <f>(K609+K608)*Inputs!$D$12</f>
        <v>911</v>
      </c>
      <c r="L610" s="28">
        <f>(L609+L608)*Inputs!$D$12</f>
        <v>911</v>
      </c>
      <c r="M610" s="28">
        <f>(M609+M608)*Inputs!$D$12</f>
        <v>911</v>
      </c>
    </row>
    <row r="611" spans="1:13" ht="15" customHeight="1" x14ac:dyDescent="0.2">
      <c r="B611" s="10" t="s">
        <v>893</v>
      </c>
      <c r="C611" s="10" t="s">
        <v>199</v>
      </c>
      <c r="D611" s="28">
        <f t="shared" ref="D611:M611" si="131">D608-D609</f>
        <v>259.5</v>
      </c>
      <c r="E611" s="28">
        <f t="shared" si="131"/>
        <v>346</v>
      </c>
      <c r="F611" s="28">
        <f t="shared" si="131"/>
        <v>259.5</v>
      </c>
      <c r="G611" s="28">
        <f t="shared" si="131"/>
        <v>0</v>
      </c>
      <c r="H611" s="28">
        <f t="shared" si="131"/>
        <v>0</v>
      </c>
      <c r="I611" s="28">
        <f t="shared" si="131"/>
        <v>0</v>
      </c>
      <c r="J611" s="28">
        <f t="shared" si="131"/>
        <v>0</v>
      </c>
      <c r="K611" s="28">
        <f t="shared" si="131"/>
        <v>0</v>
      </c>
      <c r="L611" s="28">
        <f t="shared" si="131"/>
        <v>0</v>
      </c>
      <c r="M611" s="28">
        <f t="shared" si="131"/>
        <v>0</v>
      </c>
    </row>
    <row r="612" spans="1:13" ht="15" customHeight="1" x14ac:dyDescent="0.2">
      <c r="B612" s="10" t="s">
        <v>894</v>
      </c>
      <c r="C612" s="10" t="s">
        <v>199</v>
      </c>
      <c r="D612" s="28">
        <f>IF(MOD(D604,Inputs!$D$21)=Inputs!$D$6,Inputs!$D$24,Inputs!$D$6)+SUMPRODUCT(--(D604&gt;$D$604:$M$604),--(MOD(D604-$D$604:$M$604,Inputs!$D$21)=Inputs!$D$6),$D$611:$M$611)</f>
        <v>0</v>
      </c>
      <c r="E612" s="28">
        <f>IF(MOD(E604,Inputs!$D$21)=Inputs!$D$6,Inputs!$D$24,Inputs!$D$6)+SUMPRODUCT(--(E604&gt;$D$604:$M$604),--(MOD(E604-$D$604:$M$604,Inputs!$D$21)=Inputs!$D$6),$D$611:$M$611)</f>
        <v>0</v>
      </c>
      <c r="F612" s="28">
        <f>IF(MOD(F604,Inputs!$D$21)=Inputs!$D$6,Inputs!$D$24,Inputs!$D$6)+SUMPRODUCT(--(F604&gt;$D$604:$M$604),--(MOD(F604-$D$604:$M$604,Inputs!$D$21)=Inputs!$D$6),$D$611:$M$611)</f>
        <v>0</v>
      </c>
      <c r="G612" s="28">
        <f>IF(MOD(G604,Inputs!$D$21)=Inputs!$D$6,Inputs!$D$24,Inputs!$D$6)+SUMPRODUCT(--(G604&gt;$D$604:$M$604),--(MOD(G604-$D$604:$M$604,Inputs!$D$21)=Inputs!$D$6),$D$611:$M$611)</f>
        <v>46</v>
      </c>
      <c r="H612" s="28">
        <f>IF(MOD(H604,Inputs!$D$21)=Inputs!$D$6,Inputs!$D$24,Inputs!$D$6)+SUMPRODUCT(--(H604&gt;$D$604:$M$604),--(MOD(H604-$D$604:$M$604,Inputs!$D$21)=Inputs!$D$6),$D$611:$M$611)</f>
        <v>259.5</v>
      </c>
      <c r="I612" s="28">
        <f>IF(MOD(I604,Inputs!$D$21)=Inputs!$D$6,Inputs!$D$24,Inputs!$D$6)+SUMPRODUCT(--(I604&gt;$D$604:$M$604),--(MOD(I604-$D$604:$M$604,Inputs!$D$21)=Inputs!$D$6),$D$611:$M$611)</f>
        <v>346</v>
      </c>
      <c r="J612" s="28">
        <f>IF(MOD(J604,Inputs!$D$21)=Inputs!$D$6,Inputs!$D$24,Inputs!$D$6)+SUMPRODUCT(--(J604&gt;$D$604:$M$604),--(MOD(J604-$D$604:$M$604,Inputs!$D$21)=Inputs!$D$6),$D$611:$M$611)</f>
        <v>259.5</v>
      </c>
      <c r="K612" s="28">
        <f>IF(MOD(K604,Inputs!$D$21)=Inputs!$D$6,Inputs!$D$24,Inputs!$D$6)+SUMPRODUCT(--(K604&gt;$D$604:$M$604),--(MOD(K604-$D$604:$M$604,Inputs!$D$21)=Inputs!$D$6),$D$611:$M$611)</f>
        <v>46</v>
      </c>
      <c r="L612" s="28">
        <f>IF(MOD(L604,Inputs!$D$21)=Inputs!$D$6,Inputs!$D$24,Inputs!$D$6)+SUMPRODUCT(--(L604&gt;$D$604:$M$604),--(MOD(L604-$D$604:$M$604,Inputs!$D$21)=Inputs!$D$6),$D$611:$M$611)</f>
        <v>259.5</v>
      </c>
      <c r="M612" s="28">
        <f>IF(MOD(M604,Inputs!$D$21)=Inputs!$D$6,Inputs!$D$24,Inputs!$D$6)+SUMPRODUCT(--(M604&gt;$D$604:$M$604),--(MOD(M604-$D$604:$M$604,Inputs!$D$21)=Inputs!$D$6),$D$611:$M$611)</f>
        <v>346</v>
      </c>
    </row>
    <row r="613" spans="1:13" ht="15" customHeight="1" x14ac:dyDescent="0.2">
      <c r="B613" s="10" t="s">
        <v>895</v>
      </c>
      <c r="C613" s="10" t="s">
        <v>896</v>
      </c>
      <c r="D613" s="28">
        <f t="shared" ref="D613:M613" si="132">D610*D607</f>
        <v>125.58726899383984</v>
      </c>
      <c r="E613" s="28">
        <f t="shared" si="132"/>
        <v>478.5</v>
      </c>
      <c r="F613" s="28">
        <f t="shared" si="132"/>
        <v>781.25</v>
      </c>
      <c r="G613" s="28">
        <f t="shared" si="132"/>
        <v>911</v>
      </c>
      <c r="H613" s="28">
        <f t="shared" si="132"/>
        <v>911</v>
      </c>
      <c r="I613" s="28">
        <f t="shared" si="132"/>
        <v>911</v>
      </c>
      <c r="J613" s="28">
        <f t="shared" si="132"/>
        <v>911</v>
      </c>
      <c r="K613" s="28">
        <f t="shared" si="132"/>
        <v>911</v>
      </c>
      <c r="L613" s="28">
        <f t="shared" si="132"/>
        <v>911</v>
      </c>
      <c r="M613" s="28">
        <f t="shared" si="132"/>
        <v>911</v>
      </c>
    </row>
    <row r="614" spans="1:13" ht="15" customHeight="1" x14ac:dyDescent="0.2">
      <c r="B614" s="10" t="s">
        <v>897</v>
      </c>
      <c r="C614" s="10" t="s">
        <v>110</v>
      </c>
      <c r="D614" s="16">
        <f>D613*($D$633/Inputs!$D$21+$D$634/Inputs!$D$22)</f>
        <v>1816.9772859324419</v>
      </c>
      <c r="E614" s="16">
        <f>E613*($D$633/Inputs!$D$21+$D$634/Inputs!$D$22)</f>
        <v>6922.8643817497086</v>
      </c>
      <c r="F614" s="16">
        <f>F613*($D$633/Inputs!$D$21+$D$634/Inputs!$D$22)</f>
        <v>11303.0048030135</v>
      </c>
      <c r="G614" s="16">
        <f>G613*($D$633/Inputs!$D$21+$D$634/Inputs!$D$22)</f>
        <v>13180.207840697982</v>
      </c>
      <c r="H614" s="16">
        <f>H613*($D$633/Inputs!$D$21+$D$634/Inputs!$D$22)</f>
        <v>13180.207840697982</v>
      </c>
      <c r="I614" s="16">
        <f>I613*($D$633/Inputs!$D$21+$D$634/Inputs!$D$22)</f>
        <v>13180.207840697982</v>
      </c>
      <c r="J614" s="16">
        <f>J613*($D$633/Inputs!$D$21+$D$634/Inputs!$D$22)</f>
        <v>13180.207840697982</v>
      </c>
      <c r="K614" s="16">
        <f>K613*($D$633/Inputs!$D$21+$D$634/Inputs!$D$22)</f>
        <v>13180.207840697982</v>
      </c>
      <c r="L614" s="16">
        <f>L613*($D$633/Inputs!$D$21+$D$634/Inputs!$D$22)</f>
        <v>13180.207840697982</v>
      </c>
      <c r="M614" s="16">
        <f>M613*($D$633/Inputs!$D$21+$D$634/Inputs!$D$22)</f>
        <v>13180.207840697982</v>
      </c>
    </row>
    <row r="615" spans="1:13" ht="15" customHeight="1" x14ac:dyDescent="0.2">
      <c r="B615" s="10" t="s">
        <v>898</v>
      </c>
      <c r="C615" s="10" t="s">
        <v>110</v>
      </c>
      <c r="D615" s="16">
        <f t="shared" ref="D615:M615" si="133">D611*($D$633+$D$634)</f>
        <v>15560.968620146154</v>
      </c>
      <c r="E615" s="16">
        <f t="shared" si="133"/>
        <v>20747.95816019487</v>
      </c>
      <c r="F615" s="16">
        <f t="shared" si="133"/>
        <v>15560.968620146154</v>
      </c>
      <c r="G615" s="16">
        <f t="shared" si="133"/>
        <v>0</v>
      </c>
      <c r="H615" s="16">
        <f t="shared" si="133"/>
        <v>0</v>
      </c>
      <c r="I615" s="16">
        <f t="shared" si="133"/>
        <v>0</v>
      </c>
      <c r="J615" s="16">
        <f t="shared" si="133"/>
        <v>0</v>
      </c>
      <c r="K615" s="16">
        <f t="shared" si="133"/>
        <v>0</v>
      </c>
      <c r="L615" s="16">
        <f t="shared" si="133"/>
        <v>0</v>
      </c>
      <c r="M615" s="16">
        <f t="shared" si="133"/>
        <v>0</v>
      </c>
    </row>
    <row r="616" spans="1:13" ht="15" customHeight="1" x14ac:dyDescent="0.2">
      <c r="B616" s="10" t="s">
        <v>899</v>
      </c>
      <c r="C616" s="10" t="s">
        <v>110</v>
      </c>
      <c r="D616" s="16">
        <f t="shared" ref="D616:M616" si="134">D612*$D$633</f>
        <v>0</v>
      </c>
      <c r="E616" s="16">
        <f t="shared" si="134"/>
        <v>0</v>
      </c>
      <c r="F616" s="16">
        <f t="shared" si="134"/>
        <v>0</v>
      </c>
      <c r="G616" s="16">
        <f t="shared" si="134"/>
        <v>2638.0048485671714</v>
      </c>
      <c r="H616" s="16">
        <f t="shared" si="134"/>
        <v>14881.788221808281</v>
      </c>
      <c r="I616" s="16">
        <f t="shared" si="134"/>
        <v>19842.384295744378</v>
      </c>
      <c r="J616" s="16">
        <f t="shared" si="134"/>
        <v>14881.788221808281</v>
      </c>
      <c r="K616" s="16">
        <f t="shared" si="134"/>
        <v>2638.0048485671714</v>
      </c>
      <c r="L616" s="16">
        <f t="shared" si="134"/>
        <v>14881.788221808281</v>
      </c>
      <c r="M616" s="16">
        <f t="shared" si="134"/>
        <v>19842.384295744378</v>
      </c>
    </row>
    <row r="617" spans="1:13" ht="15" customHeight="1" x14ac:dyDescent="0.2">
      <c r="B617" s="10" t="s">
        <v>900</v>
      </c>
      <c r="C617" s="10" t="s">
        <v>199</v>
      </c>
      <c r="D617" s="28">
        <f>D611*Inputs!$D$23</f>
        <v>6.4875000000000007</v>
      </c>
      <c r="E617" s="28">
        <f>E611*Inputs!$D$23</f>
        <v>8.65</v>
      </c>
      <c r="F617" s="28">
        <f>F611*Inputs!$D$23</f>
        <v>6.4875000000000007</v>
      </c>
      <c r="G617" s="28">
        <f>G611*Inputs!$D$23</f>
        <v>0</v>
      </c>
      <c r="H617" s="28">
        <f>H611*Inputs!$D$23</f>
        <v>0</v>
      </c>
      <c r="I617" s="28">
        <f>I611*Inputs!$D$23</f>
        <v>0</v>
      </c>
      <c r="J617" s="28">
        <f>J611*Inputs!$D$23</f>
        <v>0</v>
      </c>
      <c r="K617" s="28">
        <f>K611*Inputs!$D$23</f>
        <v>0</v>
      </c>
      <c r="L617" s="28">
        <f>L611*Inputs!$D$23</f>
        <v>0</v>
      </c>
      <c r="M617" s="28">
        <f>M611*Inputs!$D$23</f>
        <v>0</v>
      </c>
    </row>
    <row r="618" spans="1:13" ht="15" customHeight="1" x14ac:dyDescent="0.2">
      <c r="B618" s="3" t="s">
        <v>901</v>
      </c>
      <c r="C618" s="10" t="s">
        <v>896</v>
      </c>
      <c r="D618" s="28">
        <f>(D613*$D$631*(Inputs!$D$7-Inputs!$D$19)-D617)/(Inputs!$D$7+$D$632)^D606</f>
        <v>51.425798387720562</v>
      </c>
      <c r="E618" s="28">
        <f>(E613*$D$631*(Inputs!$D$7-Inputs!$D$19)-E617)/(Inputs!$D$7+$D$632)^E606</f>
        <v>191.73295281761204</v>
      </c>
      <c r="F618" s="28">
        <f>(F613*$D$631*(Inputs!$D$7-Inputs!$D$19)-F617)/(Inputs!$D$7+$D$632)^F606</f>
        <v>290.4976949096623</v>
      </c>
      <c r="G618" s="28">
        <f>(G613*$D$631*(Inputs!$D$7-Inputs!$D$19)-G617)/(Inputs!$D$7+$D$632)^G606</f>
        <v>313.27787474894069</v>
      </c>
      <c r="H618" s="28">
        <f>(H613*$D$631*(Inputs!$D$7-Inputs!$D$19)-H617)/(Inputs!$D$7+$D$632)^H606</f>
        <v>284.81664772119052</v>
      </c>
      <c r="I618" s="28">
        <f>(I613*$D$631*(Inputs!$D$7-Inputs!$D$19)-I617)/(Inputs!$D$7+$D$632)^I606</f>
        <v>258.87355641308392</v>
      </c>
      <c r="J618" s="28">
        <f>(J613*$D$631*(Inputs!$D$7-Inputs!$D$19)-J617)/(Inputs!$D$7+$D$632)^J606</f>
        <v>235.35494991571019</v>
      </c>
      <c r="K618" s="28">
        <f>(K613*$D$631*(Inputs!$D$7-Inputs!$D$19)-K617)/(Inputs!$D$7+$D$632)^K606</f>
        <v>213.97300372169974</v>
      </c>
      <c r="L618" s="28">
        <f>(L613*$D$631*(Inputs!$D$7-Inputs!$D$19)-L617)/(Inputs!$D$7+$D$632)^L606</f>
        <v>194.53360270554637</v>
      </c>
      <c r="M618" s="28">
        <f>(M613*$D$631*(Inputs!$D$7-Inputs!$D$19)-M617)/(Inputs!$D$7+$D$632)^M606</f>
        <v>176.81412226834496</v>
      </c>
    </row>
    <row r="619" spans="1:13" ht="15" customHeight="1" x14ac:dyDescent="0.2">
      <c r="B619" s="10" t="s">
        <v>902</v>
      </c>
      <c r="C619" s="10" t="s">
        <v>110</v>
      </c>
      <c r="D619" s="16">
        <f>(D614*Inputs!$D$19-D615-D616)/(Inputs!$D$7+$D$632)^D606</f>
        <v>-14027.24269342025</v>
      </c>
      <c r="E619" s="16">
        <f>(E614*Inputs!$D$19-E615-E616)/(Inputs!$D$7+$D$632)^E606</f>
        <v>-15853.087323826181</v>
      </c>
      <c r="F619" s="16">
        <f>(F614*Inputs!$D$19-F615-F616)/(Inputs!$D$7+$D$632)^F606</f>
        <v>-9394.4767487293357</v>
      </c>
      <c r="G619" s="16">
        <f>(G614*Inputs!$D$19-G615-G616)/(Inputs!$D$7+$D$632)^G606</f>
        <v>923.61320322684639</v>
      </c>
      <c r="H619" s="16">
        <f>(H614*Inputs!$D$19-H615-H616)/(Inputs!$D$7+$D$632)^H606</f>
        <v>-6972.3744918015345</v>
      </c>
      <c r="I619" s="16">
        <f>(I614*Inputs!$D$19-I615-I616)/(Inputs!$D$7+$D$632)^I606</f>
        <v>-9214.0648467907959</v>
      </c>
      <c r="J619" s="16">
        <f>(J614*Inputs!$D$19-J615-J616)/(Inputs!$D$7+$D$632)^J606</f>
        <v>-5761.5411965591911</v>
      </c>
      <c r="K619" s="16">
        <f>(K614*Inputs!$D$19-K615-K616)/(Inputs!$D$7+$D$632)^K606</f>
        <v>630.8402453567694</v>
      </c>
      <c r="L619" s="16">
        <f>(L614*Inputs!$D$19-L615-L616)/(Inputs!$D$7+$D$632)^L606</f>
        <v>-4762.2255937446444</v>
      </c>
      <c r="M619" s="16">
        <f>(M614*Inputs!$D$19-M615-M616)/(Inputs!$D$7+$D$632)^M606</f>
        <v>-6293.3302689644106</v>
      </c>
    </row>
    <row r="620" spans="1:13" ht="15" customHeight="1" x14ac:dyDescent="0.2">
      <c r="B620" s="10" t="s">
        <v>903</v>
      </c>
      <c r="C620" s="10" t="s">
        <v>110</v>
      </c>
      <c r="D620" s="16">
        <f t="shared" ref="D620:M620" si="135">D613*$D$630</f>
        <v>4659.3559660508336</v>
      </c>
      <c r="E620" s="16">
        <f t="shared" si="135"/>
        <v>17752.610177904917</v>
      </c>
      <c r="F620" s="16">
        <f t="shared" si="135"/>
        <v>28984.799794123755</v>
      </c>
      <c r="G620" s="16">
        <f t="shared" si="135"/>
        <v>33798.595343931825</v>
      </c>
      <c r="H620" s="16">
        <f t="shared" si="135"/>
        <v>33798.595343931825</v>
      </c>
      <c r="I620" s="16">
        <f t="shared" si="135"/>
        <v>33798.595343931825</v>
      </c>
      <c r="J620" s="16">
        <f t="shared" si="135"/>
        <v>33798.595343931825</v>
      </c>
      <c r="K620" s="16">
        <f t="shared" si="135"/>
        <v>33798.595343931825</v>
      </c>
      <c r="L620" s="16">
        <f t="shared" si="135"/>
        <v>33798.595343931825</v>
      </c>
      <c r="M620" s="16">
        <f t="shared" si="135"/>
        <v>33798.595343931825</v>
      </c>
    </row>
    <row r="621" spans="1:13" ht="15" customHeight="1" x14ac:dyDescent="0.2">
      <c r="B621" s="10" t="s">
        <v>904</v>
      </c>
      <c r="C621" s="10" t="s">
        <v>110</v>
      </c>
      <c r="D621" s="16">
        <f t="shared" ref="D621:M621" si="136">D620*$D$631</f>
        <v>3261.5491762355832</v>
      </c>
      <c r="E621" s="16">
        <f t="shared" si="136"/>
        <v>12426.827124533442</v>
      </c>
      <c r="F621" s="16">
        <f t="shared" si="136"/>
        <v>20289.359855886629</v>
      </c>
      <c r="G621" s="16">
        <f t="shared" si="136"/>
        <v>23659.016740752275</v>
      </c>
      <c r="H621" s="16">
        <f t="shared" si="136"/>
        <v>23659.016740752275</v>
      </c>
      <c r="I621" s="16">
        <f t="shared" si="136"/>
        <v>23659.016740752275</v>
      </c>
      <c r="J621" s="16">
        <f t="shared" si="136"/>
        <v>23659.016740752275</v>
      </c>
      <c r="K621" s="16">
        <f t="shared" si="136"/>
        <v>23659.016740752275</v>
      </c>
      <c r="L621" s="16">
        <f t="shared" si="136"/>
        <v>23659.016740752275</v>
      </c>
      <c r="M621" s="16">
        <f t="shared" si="136"/>
        <v>23659.016740752275</v>
      </c>
    </row>
    <row r="622" spans="1:13" ht="15" customHeight="1" x14ac:dyDescent="0.2">
      <c r="B622" s="10" t="s">
        <v>905</v>
      </c>
      <c r="C622" s="10" t="s">
        <v>110</v>
      </c>
      <c r="D622" s="16">
        <f t="shared" ref="D622:M622" si="137">D621-D614</f>
        <v>1444.5718903031413</v>
      </c>
      <c r="E622" s="16">
        <f t="shared" si="137"/>
        <v>5503.9627427837331</v>
      </c>
      <c r="F622" s="16">
        <f t="shared" si="137"/>
        <v>8986.3550528731284</v>
      </c>
      <c r="G622" s="16">
        <f t="shared" si="137"/>
        <v>10478.808900054293</v>
      </c>
      <c r="H622" s="16">
        <f t="shared" si="137"/>
        <v>10478.808900054293</v>
      </c>
      <c r="I622" s="16">
        <f t="shared" si="137"/>
        <v>10478.808900054293</v>
      </c>
      <c r="J622" s="16">
        <f t="shared" si="137"/>
        <v>10478.808900054293</v>
      </c>
      <c r="K622" s="16">
        <f t="shared" si="137"/>
        <v>10478.808900054293</v>
      </c>
      <c r="L622" s="16">
        <f t="shared" si="137"/>
        <v>10478.808900054293</v>
      </c>
      <c r="M622" s="16">
        <f t="shared" si="137"/>
        <v>10478.808900054293</v>
      </c>
    </row>
    <row r="623" spans="1:13" ht="15" customHeight="1" x14ac:dyDescent="0.2">
      <c r="B623" s="10" t="s">
        <v>906</v>
      </c>
      <c r="C623" s="10" t="s">
        <v>110</v>
      </c>
      <c r="D623" s="16">
        <f>MAX(D622,Inputs!$D$6)*Inputs!$D$19</f>
        <v>433.37156709094239</v>
      </c>
      <c r="E623" s="16">
        <f>MAX(E622,Inputs!$D$6)*Inputs!$D$19</f>
        <v>1651.1888228351199</v>
      </c>
      <c r="F623" s="16">
        <f>MAX(F622,Inputs!$D$6)*Inputs!$D$19</f>
        <v>2695.9065158619383</v>
      </c>
      <c r="G623" s="16">
        <f>MAX(G622,Inputs!$D$6)*Inputs!$D$19</f>
        <v>3143.6426700162879</v>
      </c>
      <c r="H623" s="16">
        <f>MAX(H622,Inputs!$D$6)*Inputs!$D$19</f>
        <v>3143.6426700162879</v>
      </c>
      <c r="I623" s="16">
        <f>MAX(I622,Inputs!$D$6)*Inputs!$D$19</f>
        <v>3143.6426700162879</v>
      </c>
      <c r="J623" s="16">
        <f>MAX(J622,Inputs!$D$6)*Inputs!$D$19</f>
        <v>3143.6426700162879</v>
      </c>
      <c r="K623" s="16">
        <f>MAX(K622,Inputs!$D$6)*Inputs!$D$19</f>
        <v>3143.6426700162879</v>
      </c>
      <c r="L623" s="16">
        <f>MAX(L622,Inputs!$D$6)*Inputs!$D$19</f>
        <v>3143.6426700162879</v>
      </c>
      <c r="M623" s="16">
        <f>MAX(M622,Inputs!$D$6)*Inputs!$D$19</f>
        <v>3143.6426700162879</v>
      </c>
    </row>
    <row r="624" spans="1:13" ht="15" customHeight="1" x14ac:dyDescent="0.2">
      <c r="B624" s="10" t="s">
        <v>907</v>
      </c>
      <c r="C624" s="10" t="s">
        <v>110</v>
      </c>
      <c r="D624" s="16">
        <f t="shared" ref="D624:M624" si="138">D617*$D$630</f>
        <v>240.68977749040369</v>
      </c>
      <c r="E624" s="16">
        <f t="shared" si="138"/>
        <v>320.91970332053825</v>
      </c>
      <c r="F624" s="16">
        <f t="shared" si="138"/>
        <v>240.68977749040369</v>
      </c>
      <c r="G624" s="16">
        <f t="shared" si="138"/>
        <v>0</v>
      </c>
      <c r="H624" s="16">
        <f t="shared" si="138"/>
        <v>0</v>
      </c>
      <c r="I624" s="16">
        <f t="shared" si="138"/>
        <v>0</v>
      </c>
      <c r="J624" s="16">
        <f t="shared" si="138"/>
        <v>0</v>
      </c>
      <c r="K624" s="16">
        <f t="shared" si="138"/>
        <v>0</v>
      </c>
      <c r="L624" s="16">
        <f t="shared" si="138"/>
        <v>0</v>
      </c>
      <c r="M624" s="16">
        <f t="shared" si="138"/>
        <v>0</v>
      </c>
    </row>
    <row r="625" spans="2:13" ht="15" customHeight="1" x14ac:dyDescent="0.2">
      <c r="B625" s="10" t="s">
        <v>908</v>
      </c>
      <c r="C625" s="10" t="s">
        <v>110</v>
      </c>
      <c r="D625" s="16">
        <f t="shared" ref="D625:M625" si="139">D621-D623-D615-D616-D624</f>
        <v>-12973.480788491917</v>
      </c>
      <c r="E625" s="16">
        <f t="shared" si="139"/>
        <v>-10293.239561817087</v>
      </c>
      <c r="F625" s="16">
        <f t="shared" si="139"/>
        <v>1791.7949423881337</v>
      </c>
      <c r="G625" s="16">
        <f t="shared" si="139"/>
        <v>17877.369222168814</v>
      </c>
      <c r="H625" s="16">
        <f t="shared" si="139"/>
        <v>5633.5858489277052</v>
      </c>
      <c r="I625" s="16">
        <f t="shared" si="139"/>
        <v>672.98977499160901</v>
      </c>
      <c r="J625" s="16">
        <f t="shared" si="139"/>
        <v>5633.5858489277052</v>
      </c>
      <c r="K625" s="16">
        <f t="shared" si="139"/>
        <v>17877.369222168814</v>
      </c>
      <c r="L625" s="16">
        <f t="shared" si="139"/>
        <v>5633.5858489277052</v>
      </c>
      <c r="M625" s="16">
        <f t="shared" si="139"/>
        <v>672.98977499160901</v>
      </c>
    </row>
    <row r="626" spans="2:13" ht="15" customHeight="1" x14ac:dyDescent="0.2">
      <c r="B626" s="10" t="s">
        <v>909</v>
      </c>
      <c r="C626" s="10" t="s">
        <v>110</v>
      </c>
      <c r="D626" s="16">
        <f>D625/(Inputs!$D$7+$D$632)^D606</f>
        <v>-12119.317611153305</v>
      </c>
      <c r="E626" s="16">
        <f>E625/(Inputs!$D$7+$D$632)^E606</f>
        <v>-8739.6905220922145</v>
      </c>
      <c r="F626" s="16">
        <f>F625/(Inputs!$D$7+$D$632)^F606</f>
        <v>1383.1456866127523</v>
      </c>
      <c r="G626" s="16">
        <f>G625/(Inputs!$D$7+$D$632)^G606</f>
        <v>12546.392697020925</v>
      </c>
      <c r="H626" s="16">
        <f>H625/(Inputs!$D$7+$D$632)^H606</f>
        <v>3594.4780038556564</v>
      </c>
      <c r="I626" s="16">
        <f>I625/(Inputs!$D$7+$D$632)^I606</f>
        <v>390.2848551305338</v>
      </c>
      <c r="J626" s="16">
        <f>J625/(Inputs!$D$7+$D$632)^J606</f>
        <v>2970.2554163852997</v>
      </c>
      <c r="K626" s="16">
        <f>K625/(Inputs!$D$7+$D$632)^K606</f>
        <v>8569.3550283593468</v>
      </c>
      <c r="L626" s="16">
        <f>L625/(Inputs!$D$7+$D$632)^L606</f>
        <v>2455.0768416471933</v>
      </c>
      <c r="M626" s="16">
        <f>M625/(Inputs!$D$7+$D$632)^M606</f>
        <v>266.56980747936188</v>
      </c>
    </row>
    <row r="627" spans="2:13" ht="15" customHeight="1" x14ac:dyDescent="0.2">
      <c r="B627" s="3" t="s">
        <v>910</v>
      </c>
      <c r="C627" s="10" t="s">
        <v>896</v>
      </c>
      <c r="D627" s="28">
        <f>(D613*$D$631-D617)/(Inputs!$D$7+$D$632)^D606</f>
        <v>76.062727010823693</v>
      </c>
      <c r="E627" s="28">
        <f>(E613*$D$631-E617)/(Inputs!$D$7+$D$632)^E606</f>
        <v>277.05184555670269</v>
      </c>
      <c r="F627" s="28">
        <f>(F613*$D$631-F617)/(Inputs!$D$7+$D$632)^F606</f>
        <v>417.14295650832435</v>
      </c>
      <c r="G627" s="28">
        <f>(G613*$D$631-G617)/(Inputs!$D$7+$D$632)^G606</f>
        <v>447.53982106991532</v>
      </c>
      <c r="H627" s="28">
        <f>(H613*$D$631-H617)/(Inputs!$D$7+$D$632)^H606</f>
        <v>406.88092531598647</v>
      </c>
      <c r="I627" s="28">
        <f>(I613*$D$631-I617)/(Inputs!$D$7+$D$632)^I606</f>
        <v>369.81936630440561</v>
      </c>
      <c r="J627" s="28">
        <f>(J613*$D$631-J617)/(Inputs!$D$7+$D$632)^J606</f>
        <v>336.22135702244316</v>
      </c>
      <c r="K627" s="28">
        <f>(K613*$D$631-K617)/(Inputs!$D$7+$D$632)^K606</f>
        <v>305.67571960242822</v>
      </c>
      <c r="L627" s="28">
        <f>(L613*$D$631-L617)/(Inputs!$D$7+$D$632)^L606</f>
        <v>277.90514672220911</v>
      </c>
      <c r="M627" s="28">
        <f>(M613*$D$631-M617)/(Inputs!$D$7+$D$632)^M606</f>
        <v>252.59160324049282</v>
      </c>
    </row>
    <row r="628" spans="2:13" ht="15" customHeight="1" x14ac:dyDescent="0.2">
      <c r="B628" s="10" t="s">
        <v>911</v>
      </c>
      <c r="C628" s="10" t="s">
        <v>110</v>
      </c>
      <c r="D628" s="16">
        <f>(-D615-D616)/(Inputs!$D$7+$D$632)^D606</f>
        <v>-14536.447397527105</v>
      </c>
      <c r="E628" s="16">
        <f>(-E615-E616)/(Inputs!$D$7+$D$632)^E606</f>
        <v>-17616.488200475756</v>
      </c>
      <c r="F628" s="16">
        <f>(-F615-F616)/(Inputs!$D$7+$D$632)^F606</f>
        <v>-12012.025548964448</v>
      </c>
      <c r="G628" s="16">
        <f>(-G615-G616)/(Inputs!$D$7+$D$632)^G606</f>
        <v>-1851.359915178487</v>
      </c>
      <c r="H628" s="16">
        <f>(-H615-H616)/(Inputs!$D$7+$D$632)^H606</f>
        <v>-9495.2419037884629</v>
      </c>
      <c r="I628" s="16">
        <f>(-I615-I616)/(Inputs!$D$7+$D$632)^I606</f>
        <v>-11507.131858586603</v>
      </c>
      <c r="J628" s="16">
        <f>(-J615-J616)/(Inputs!$D$7+$D$632)^J606</f>
        <v>-7846.2835672839774</v>
      </c>
      <c r="K628" s="16">
        <f>(-K615-K616)/(Inputs!$D$7+$D$632)^K606</f>
        <v>-1264.5037327904422</v>
      </c>
      <c r="L628" s="16">
        <f>(-L615-L616)/(Inputs!$D$7+$D$632)^L606</f>
        <v>-6485.3779822337692</v>
      </c>
      <c r="M628" s="16">
        <f>(-M615-M616)/(Inputs!$D$7+$D$632)^M606</f>
        <v>-7859.5258920747219</v>
      </c>
    </row>
    <row r="629" spans="2:13" ht="15" customHeight="1" x14ac:dyDescent="0.2">
      <c r="B629" s="10" t="s">
        <v>912</v>
      </c>
      <c r="C629" s="10" t="s">
        <v>110</v>
      </c>
      <c r="D629" s="16">
        <f>Prices!I6</f>
        <v>43700</v>
      </c>
    </row>
    <row r="630" spans="2:13" ht="15" customHeight="1" x14ac:dyDescent="0.2">
      <c r="B630" s="3" t="s">
        <v>913</v>
      </c>
      <c r="C630" s="10" t="s">
        <v>914</v>
      </c>
      <c r="D630" s="28">
        <f>IF(J637&gt;=J633,J637,(D629-J636)/J635)</f>
        <v>37.100543736478407</v>
      </c>
      <c r="G630" s="99" t="s">
        <v>915</v>
      </c>
      <c r="H630" s="91"/>
      <c r="I630" s="91"/>
      <c r="J630" s="28">
        <f>D630*Inputs!$D$15</f>
        <v>25.89246947368828</v>
      </c>
      <c r="K630" s="99" t="s">
        <v>916</v>
      </c>
      <c r="L630" s="91"/>
      <c r="M630" s="91"/>
    </row>
    <row r="631" spans="2:13" ht="15" customHeight="1" x14ac:dyDescent="0.2">
      <c r="B631" s="10" t="s">
        <v>917</v>
      </c>
      <c r="C631" s="10" t="s">
        <v>104</v>
      </c>
      <c r="D631" s="30">
        <f>Inputs!$D$143</f>
        <v>0.7</v>
      </c>
      <c r="G631" s="99" t="s">
        <v>918</v>
      </c>
      <c r="H631" s="91"/>
      <c r="I631" s="91"/>
      <c r="J631" s="28">
        <f>IF(-D642/D641&gt;=J633,-D642/D641,-J636/J635)</f>
        <v>27.651390108132095</v>
      </c>
      <c r="K631" s="99" t="s">
        <v>919</v>
      </c>
      <c r="L631" s="91"/>
      <c r="M631" s="91"/>
    </row>
    <row r="632" spans="2:13" ht="15" customHeight="1" x14ac:dyDescent="0.2">
      <c r="B632" s="10" t="s">
        <v>920</v>
      </c>
      <c r="C632" s="10" t="s">
        <v>104</v>
      </c>
      <c r="D632" s="30">
        <f>Inputs!$D$147</f>
        <v>0.1</v>
      </c>
      <c r="G632" s="99" t="s">
        <v>918</v>
      </c>
      <c r="H632" s="91"/>
      <c r="I632" s="91"/>
      <c r="J632" s="28">
        <f>J631*Inputs!$D$15</f>
        <v>19.297905156465387</v>
      </c>
      <c r="K632" s="99" t="s">
        <v>916</v>
      </c>
      <c r="L632" s="91"/>
      <c r="M632" s="91"/>
    </row>
    <row r="633" spans="2:13" ht="15" customHeight="1" x14ac:dyDescent="0.2">
      <c r="B633" s="3" t="s">
        <v>921</v>
      </c>
      <c r="C633" s="10" t="s">
        <v>848</v>
      </c>
      <c r="D633" s="28">
        <f>Capital!$D$13</f>
        <v>57.347931490590682</v>
      </c>
      <c r="G633" s="99" t="s">
        <v>922</v>
      </c>
      <c r="H633" s="91"/>
      <c r="I633" s="91"/>
      <c r="J633" s="28">
        <f>($D$633/Inputs!$D$21+$D$634/Inputs!$D$22)/$D$631</f>
        <v>20.668351639796114</v>
      </c>
      <c r="K633" s="99" t="s">
        <v>919</v>
      </c>
      <c r="L633" s="91"/>
      <c r="M633" s="91"/>
    </row>
    <row r="634" spans="2:13" ht="15" customHeight="1" x14ac:dyDescent="0.2">
      <c r="B634" s="3" t="s">
        <v>923</v>
      </c>
      <c r="C634" s="10" t="s">
        <v>848</v>
      </c>
      <c r="D634" s="28">
        <f>Capital!$D$14</f>
        <v>2.6172655041921802</v>
      </c>
    </row>
    <row r="635" spans="2:13" ht="15" customHeight="1" x14ac:dyDescent="0.2">
      <c r="B635" s="10" t="s">
        <v>924</v>
      </c>
      <c r="C635" s="10" t="s">
        <v>896</v>
      </c>
      <c r="D635" s="28">
        <f>(M608*(Inputs!$D$7+Inputs!$D$20)*$D$631*(Inputs!$D$7-Inputs!$D$19)-M608*Inputs!$D$20*Inputs!$D$23)/($D$632-Inputs!$D$20)/(Inputs!$D$7+$D$632)^M606</f>
        <v>2413.4526281049939</v>
      </c>
      <c r="G635" s="92" t="s">
        <v>910</v>
      </c>
      <c r="H635" s="91"/>
      <c r="I635" s="91"/>
      <c r="J635" s="28">
        <f>SUM(D627:M627)+(M608*(Inputs!$D$7+Inputs!$D$20)*$D$631-M608*Inputs!$D$20*Inputs!$D$23)/($D$632-Inputs!$D$20)/(Inputs!$D$7+$D$632)^M606</f>
        <v>6615.9696697447453</v>
      </c>
      <c r="K635" s="99" t="s">
        <v>896</v>
      </c>
      <c r="L635" s="91"/>
      <c r="M635" s="91"/>
    </row>
    <row r="636" spans="2:13" ht="15" customHeight="1" x14ac:dyDescent="0.2">
      <c r="B636" s="10" t="s">
        <v>925</v>
      </c>
      <c r="C636" s="10" t="s">
        <v>110</v>
      </c>
      <c r="D636" s="16">
        <f>(D639*Inputs!$D$19-D639-D640)/($D$632-Inputs!$D$20)/(Inputs!$D$7+$D$632)^M606</f>
        <v>-57156.954988173631</v>
      </c>
      <c r="G636" s="92" t="s">
        <v>926</v>
      </c>
      <c r="H636" s="91"/>
      <c r="I636" s="91"/>
      <c r="J636" s="16">
        <f>SUM(D628:M628)-(D639+D640)/($D$632-Inputs!$D$20)/(Inputs!$D$7+$D$632)^M606</f>
        <v>-169036.01450291832</v>
      </c>
      <c r="K636" s="99" t="s">
        <v>110</v>
      </c>
      <c r="L636" s="91"/>
      <c r="M636" s="91"/>
    </row>
    <row r="637" spans="2:13" ht="15" customHeight="1" x14ac:dyDescent="0.2">
      <c r="B637" s="10" t="s">
        <v>927</v>
      </c>
      <c r="C637" s="10" t="s">
        <v>928</v>
      </c>
      <c r="D637" s="16">
        <f>(M608*(Inputs!$D$7+Inputs!$D$20)*$D$630*$D$631-D639)-MAX((M608*(Inputs!$D$7+Inputs!$D$20)*$D$630*$D$631-D639),Inputs!$D$6)*Inputs!$D$19-D640-M608*Inputs!$D$20*$D$630*Inputs!$D$23</f>
        <v>6131.7139021428193</v>
      </c>
      <c r="G637" s="99" t="s">
        <v>929</v>
      </c>
      <c r="H637" s="91"/>
      <c r="I637" s="91"/>
      <c r="J637" s="28">
        <f>(D629-D642)/D641</f>
        <v>37.100543736478407</v>
      </c>
      <c r="K637" s="99" t="s">
        <v>919</v>
      </c>
      <c r="L637" s="91"/>
      <c r="M637" s="91"/>
    </row>
    <row r="638" spans="2:13" ht="15" customHeight="1" x14ac:dyDescent="0.2">
      <c r="B638" s="10" t="s">
        <v>930</v>
      </c>
      <c r="C638" s="10" t="s">
        <v>110</v>
      </c>
      <c r="D638" s="16">
        <f>D637/($D$632-Inputs!$D$20)</f>
        <v>81756.185361904252</v>
      </c>
      <c r="G638" s="99" t="s">
        <v>931</v>
      </c>
      <c r="H638" s="91"/>
      <c r="I638" s="91"/>
      <c r="J638" s="16">
        <f>MIN(D622:M622,(M608*(Inputs!$D$7+Inputs!$D$20)*$D$630*$D$631-D639))</f>
        <v>1444.5718903031413</v>
      </c>
      <c r="K638" s="99" t="s">
        <v>110</v>
      </c>
      <c r="L638" s="91"/>
      <c r="M638" s="91"/>
    </row>
    <row r="639" spans="2:13" ht="15" customHeight="1" x14ac:dyDescent="0.2">
      <c r="B639" s="10" t="s">
        <v>932</v>
      </c>
      <c r="C639" s="10" t="s">
        <v>928</v>
      </c>
      <c r="D639" s="16">
        <f>M608*(Inputs!$D$7+Inputs!$D$20)*($D$633/Inputs!$D$21+$D$634/Inputs!$D$22)</f>
        <v>13509.71303671543</v>
      </c>
      <c r="G639" s="99" t="s">
        <v>933</v>
      </c>
      <c r="H639" s="91"/>
      <c r="I639" s="91"/>
      <c r="J639" s="31" t="str">
        <f>IF(J638&lt;Inputs!$D$6,"breached","satisfied")</f>
        <v>satisfied</v>
      </c>
      <c r="K639" s="99" t="s">
        <v>934</v>
      </c>
      <c r="L639" s="91"/>
      <c r="M639" s="91"/>
    </row>
    <row r="640" spans="2:13" ht="15" customHeight="1" x14ac:dyDescent="0.2">
      <c r="B640" s="10" t="s">
        <v>935</v>
      </c>
      <c r="C640" s="10" t="s">
        <v>928</v>
      </c>
      <c r="D640" s="16">
        <f>M608*Inputs!$D$20*($D$633+$D$634)</f>
        <v>1365.7073615561799</v>
      </c>
    </row>
    <row r="641" spans="1:13" ht="15" customHeight="1" x14ac:dyDescent="0.2">
      <c r="B641" s="10" t="s">
        <v>936</v>
      </c>
      <c r="C641" s="10" t="s">
        <v>896</v>
      </c>
      <c r="D641" s="28">
        <f>SUM(D618:M618)+D635</f>
        <v>4624.7528317145052</v>
      </c>
      <c r="G641" s="99" t="s">
        <v>937</v>
      </c>
      <c r="H641" s="91"/>
      <c r="I641" s="91"/>
      <c r="J641" s="16">
        <f>D643-D629</f>
        <v>0</v>
      </c>
      <c r="K641" s="99" t="s">
        <v>110</v>
      </c>
      <c r="L641" s="91"/>
      <c r="M641" s="91"/>
    </row>
    <row r="642" spans="1:13" ht="15" customHeight="1" x14ac:dyDescent="0.2">
      <c r="B642" s="10" t="s">
        <v>938</v>
      </c>
      <c r="C642" s="10" t="s">
        <v>110</v>
      </c>
      <c r="D642" s="16">
        <f>SUM(D619:M619)+D636</f>
        <v>-127880.84470342637</v>
      </c>
    </row>
    <row r="643" spans="1:13" ht="15" customHeight="1" x14ac:dyDescent="0.2">
      <c r="B643" s="10" t="s">
        <v>939</v>
      </c>
      <c r="C643" s="10" t="s">
        <v>110</v>
      </c>
      <c r="D643" s="16">
        <f>SUM(D626:M626)+D638/(Inputs!$D$7+$D$632)^M606</f>
        <v>43699.999999999993</v>
      </c>
    </row>
    <row r="644" spans="1:13" ht="15" customHeight="1" x14ac:dyDescent="0.2">
      <c r="B644" s="10" t="s">
        <v>940</v>
      </c>
      <c r="C644" s="10" t="s">
        <v>104</v>
      </c>
      <c r="D644" s="30">
        <f>IF(ABS(D629)&gt;Inputs!$D$6,D643/D629-Inputs!$D$7,Inputs!$D$6)</f>
        <v>-1.1102230246251565E-16</v>
      </c>
    </row>
    <row r="645" spans="1:13" ht="15" customHeight="1" x14ac:dyDescent="0.2">
      <c r="B645" s="10" t="s">
        <v>941</v>
      </c>
      <c r="C645" s="10" t="s">
        <v>104</v>
      </c>
      <c r="D645" s="30">
        <f>IF(ABS(D643)&gt;Inputs!$D$119,D638/(Inputs!$D$7+$D$632)^M606/D643,Inputs!$D$6)</f>
        <v>0.74104004111566246</v>
      </c>
    </row>
    <row r="646" spans="1:13" ht="15" customHeight="1" x14ac:dyDescent="0.2">
      <c r="B646" s="10" t="s">
        <v>942</v>
      </c>
      <c r="C646" s="10" t="s">
        <v>943</v>
      </c>
      <c r="D646" s="26">
        <f>$D$630*Inputs!$D$8/Prices!$P$6/(Inputs!$D$26/Inputs!$D$25)/Inputs!$D$11/Inputs!$D$56</f>
        <v>6.7468465722088293</v>
      </c>
    </row>
    <row r="650" spans="1:13" ht="15" customHeight="1" x14ac:dyDescent="0.2">
      <c r="A650" s="104" t="s">
        <v>2179</v>
      </c>
      <c r="B650" s="10" t="s">
        <v>886</v>
      </c>
      <c r="C650" s="10" t="s">
        <v>107</v>
      </c>
      <c r="D650" s="28">
        <f>Inputs!$D$60</f>
        <v>1</v>
      </c>
      <c r="E650" s="28">
        <f>Inputs!$D$62</f>
        <v>2</v>
      </c>
      <c r="F650" s="28">
        <f>Inputs!$D$64</f>
        <v>3</v>
      </c>
      <c r="G650" s="28">
        <f>Inputs!$D$66</f>
        <v>4</v>
      </c>
      <c r="H650" s="28">
        <f>Inputs!$D$68</f>
        <v>5</v>
      </c>
      <c r="I650" s="28">
        <f>Inputs!$D$70</f>
        <v>6</v>
      </c>
      <c r="J650" s="28">
        <f>Inputs!$D$72</f>
        <v>7</v>
      </c>
      <c r="K650" s="28">
        <f>Inputs!$D$74</f>
        <v>8</v>
      </c>
      <c r="L650" s="28">
        <f>Inputs!$D$76</f>
        <v>9</v>
      </c>
      <c r="M650" s="28">
        <f>Inputs!$D$78</f>
        <v>10</v>
      </c>
    </row>
    <row r="651" spans="1:13" ht="15" customHeight="1" x14ac:dyDescent="0.2">
      <c r="A651" s="91"/>
      <c r="B651" s="10" t="s">
        <v>887</v>
      </c>
      <c r="C651" s="10" t="s">
        <v>161</v>
      </c>
      <c r="D651" s="29">
        <f>Inputs!$D$61</f>
        <v>46568</v>
      </c>
      <c r="E651" s="29">
        <f>Inputs!$D$63</f>
        <v>46934</v>
      </c>
      <c r="F651" s="29">
        <f>Inputs!$D$65</f>
        <v>47299</v>
      </c>
      <c r="G651" s="29">
        <f>Inputs!$D$67</f>
        <v>47664</v>
      </c>
      <c r="H651" s="29">
        <f>Inputs!$D$69</f>
        <v>48029</v>
      </c>
      <c r="I651" s="29">
        <f>Inputs!$D$71</f>
        <v>48395</v>
      </c>
      <c r="J651" s="29">
        <f>Inputs!$D$73</f>
        <v>48760</v>
      </c>
      <c r="K651" s="29">
        <f>Inputs!$D$75</f>
        <v>49125</v>
      </c>
      <c r="L651" s="29">
        <f>Inputs!$D$77</f>
        <v>49490</v>
      </c>
      <c r="M651" s="29">
        <f>Inputs!$D$79</f>
        <v>49856</v>
      </c>
    </row>
    <row r="652" spans="1:13" ht="15" customHeight="1" x14ac:dyDescent="0.2">
      <c r="A652" s="91"/>
      <c r="B652" s="10" t="s">
        <v>888</v>
      </c>
      <c r="C652" s="10" t="s">
        <v>107</v>
      </c>
      <c r="D652" s="28">
        <f>(D651-Inputs!$D$13)/Inputs!$D$10</f>
        <v>0.71457905544147848</v>
      </c>
      <c r="E652" s="28">
        <f>(E651-Inputs!$D$13)/Inputs!$D$10</f>
        <v>1.7166324435318274</v>
      </c>
      <c r="F652" s="28">
        <f>(F651-Inputs!$D$13)/Inputs!$D$10</f>
        <v>2.7159479808350446</v>
      </c>
      <c r="G652" s="28">
        <f>(G651-Inputs!$D$13)/Inputs!$D$10</f>
        <v>3.7152635181382614</v>
      </c>
      <c r="H652" s="28">
        <f>(H651-Inputs!$D$13)/Inputs!$D$10</f>
        <v>4.7145790554414786</v>
      </c>
      <c r="I652" s="28">
        <f>(I651-Inputs!$D$13)/Inputs!$D$10</f>
        <v>5.7166324435318279</v>
      </c>
      <c r="J652" s="28">
        <f>(J651-Inputs!$D$13)/Inputs!$D$10</f>
        <v>6.7159479808350442</v>
      </c>
      <c r="K652" s="28">
        <f>(K651-Inputs!$D$13)/Inputs!$D$10</f>
        <v>7.7152635181382614</v>
      </c>
      <c r="L652" s="28">
        <f>(L651-Inputs!$D$13)/Inputs!$D$10</f>
        <v>8.7145790554414777</v>
      </c>
      <c r="M652" s="28">
        <f>(M651-Inputs!$D$13)/Inputs!$D$10</f>
        <v>9.716632443531827</v>
      </c>
    </row>
    <row r="653" spans="1:13" ht="15" customHeight="1" x14ac:dyDescent="0.2">
      <c r="A653" s="91"/>
      <c r="B653" s="10" t="s">
        <v>889</v>
      </c>
      <c r="C653" s="10" t="s">
        <v>107</v>
      </c>
      <c r="D653" s="28">
        <f>D652</f>
        <v>0.71457905544147848</v>
      </c>
      <c r="E653" s="28">
        <f>Inputs!$D$7</f>
        <v>1</v>
      </c>
      <c r="F653" s="28">
        <f>Inputs!$D$7</f>
        <v>1</v>
      </c>
      <c r="G653" s="28">
        <f>Inputs!$D$7</f>
        <v>1</v>
      </c>
      <c r="H653" s="28">
        <f>Inputs!$D$7</f>
        <v>1</v>
      </c>
      <c r="I653" s="28">
        <f>Inputs!$D$7</f>
        <v>1</v>
      </c>
      <c r="J653" s="28">
        <f>Inputs!$D$7</f>
        <v>1</v>
      </c>
      <c r="K653" s="28">
        <f>Inputs!$D$7</f>
        <v>1</v>
      </c>
      <c r="L653" s="28">
        <f>Inputs!$D$7</f>
        <v>1</v>
      </c>
      <c r="M653" s="28">
        <f>Inputs!$D$7</f>
        <v>1</v>
      </c>
    </row>
    <row r="654" spans="1:13" ht="15" customHeight="1" x14ac:dyDescent="0.2">
      <c r="A654" s="91"/>
      <c r="B654" s="3" t="s">
        <v>890</v>
      </c>
      <c r="C654" s="10" t="s">
        <v>199</v>
      </c>
      <c r="D654" s="28">
        <f>Inputs!$D$24+(Inputs!$D$80-Inputs!$D$24)*Inputs!$D$83</f>
        <v>305.5</v>
      </c>
      <c r="E654" s="28">
        <f>Inputs!$D$24+(Inputs!$D$80-Inputs!$D$24)*Inputs!$D$84</f>
        <v>651.5</v>
      </c>
      <c r="F654" s="28">
        <f>Inputs!$D$24+(Inputs!$D$80-Inputs!$D$24)*Inputs!$D$85</f>
        <v>911</v>
      </c>
      <c r="G654" s="28">
        <f>Inputs!$D$24+(Inputs!$D$80-Inputs!$D$24)*Inputs!$D$86</f>
        <v>911</v>
      </c>
      <c r="H654" s="28">
        <f>Inputs!$D$24+(Inputs!$D$80-Inputs!$D$24)*Inputs!$D$87</f>
        <v>911</v>
      </c>
      <c r="I654" s="28">
        <f>Inputs!$D$24+(Inputs!$D$80-Inputs!$D$24)*Inputs!$D$88</f>
        <v>911</v>
      </c>
      <c r="J654" s="28">
        <f>Inputs!$D$24+(Inputs!$D$80-Inputs!$D$24)*Inputs!$D$89</f>
        <v>911</v>
      </c>
      <c r="K654" s="28">
        <f>Inputs!$D$24+(Inputs!$D$80-Inputs!$D$24)*Inputs!$D$90</f>
        <v>911</v>
      </c>
      <c r="L654" s="28">
        <f>Inputs!$D$24+(Inputs!$D$80-Inputs!$D$24)*Inputs!$D$91</f>
        <v>911</v>
      </c>
      <c r="M654" s="28">
        <f>Inputs!$D$24+(Inputs!$D$80-Inputs!$D$24)*Inputs!$D$92</f>
        <v>911</v>
      </c>
    </row>
    <row r="655" spans="1:13" ht="15" customHeight="1" x14ac:dyDescent="0.2">
      <c r="A655" s="91"/>
      <c r="B655" s="10" t="s">
        <v>891</v>
      </c>
      <c r="C655" s="10" t="s">
        <v>199</v>
      </c>
      <c r="D655" s="28">
        <f>Inputs!$D$24</f>
        <v>46</v>
      </c>
      <c r="E655" s="28">
        <f t="shared" ref="E655:M655" si="140">D654</f>
        <v>305.5</v>
      </c>
      <c r="F655" s="28">
        <f t="shared" si="140"/>
        <v>651.5</v>
      </c>
      <c r="G655" s="28">
        <f t="shared" si="140"/>
        <v>911</v>
      </c>
      <c r="H655" s="28">
        <f t="shared" si="140"/>
        <v>911</v>
      </c>
      <c r="I655" s="28">
        <f t="shared" si="140"/>
        <v>911</v>
      </c>
      <c r="J655" s="28">
        <f t="shared" si="140"/>
        <v>911</v>
      </c>
      <c r="K655" s="28">
        <f t="shared" si="140"/>
        <v>911</v>
      </c>
      <c r="L655" s="28">
        <f t="shared" si="140"/>
        <v>911</v>
      </c>
      <c r="M655" s="28">
        <f t="shared" si="140"/>
        <v>911</v>
      </c>
    </row>
    <row r="656" spans="1:13" ht="15" customHeight="1" x14ac:dyDescent="0.2">
      <c r="B656" s="10" t="s">
        <v>892</v>
      </c>
      <c r="C656" s="10" t="s">
        <v>199</v>
      </c>
      <c r="D656" s="28">
        <f>(D655+D654)*Inputs!$D$12</f>
        <v>175.75</v>
      </c>
      <c r="E656" s="28">
        <f>(E655+E654)*Inputs!$D$12</f>
        <v>478.5</v>
      </c>
      <c r="F656" s="28">
        <f>(F655+F654)*Inputs!$D$12</f>
        <v>781.25</v>
      </c>
      <c r="G656" s="28">
        <f>(G655+G654)*Inputs!$D$12</f>
        <v>911</v>
      </c>
      <c r="H656" s="28">
        <f>(H655+H654)*Inputs!$D$12</f>
        <v>911</v>
      </c>
      <c r="I656" s="28">
        <f>(I655+I654)*Inputs!$D$12</f>
        <v>911</v>
      </c>
      <c r="J656" s="28">
        <f>(J655+J654)*Inputs!$D$12</f>
        <v>911</v>
      </c>
      <c r="K656" s="28">
        <f>(K655+K654)*Inputs!$D$12</f>
        <v>911</v>
      </c>
      <c r="L656" s="28">
        <f>(L655+L654)*Inputs!$D$12</f>
        <v>911</v>
      </c>
      <c r="M656" s="28">
        <f>(M655+M654)*Inputs!$D$12</f>
        <v>911</v>
      </c>
    </row>
    <row r="657" spans="2:13" ht="15" customHeight="1" x14ac:dyDescent="0.2">
      <c r="B657" s="10" t="s">
        <v>893</v>
      </c>
      <c r="C657" s="10" t="s">
        <v>199</v>
      </c>
      <c r="D657" s="28">
        <f t="shared" ref="D657:M657" si="141">D654-D655</f>
        <v>259.5</v>
      </c>
      <c r="E657" s="28">
        <f t="shared" si="141"/>
        <v>346</v>
      </c>
      <c r="F657" s="28">
        <f t="shared" si="141"/>
        <v>259.5</v>
      </c>
      <c r="G657" s="28">
        <f t="shared" si="141"/>
        <v>0</v>
      </c>
      <c r="H657" s="28">
        <f t="shared" si="141"/>
        <v>0</v>
      </c>
      <c r="I657" s="28">
        <f t="shared" si="141"/>
        <v>0</v>
      </c>
      <c r="J657" s="28">
        <f t="shared" si="141"/>
        <v>0</v>
      </c>
      <c r="K657" s="28">
        <f t="shared" si="141"/>
        <v>0</v>
      </c>
      <c r="L657" s="28">
        <f t="shared" si="141"/>
        <v>0</v>
      </c>
      <c r="M657" s="28">
        <f t="shared" si="141"/>
        <v>0</v>
      </c>
    </row>
    <row r="658" spans="2:13" ht="15" customHeight="1" x14ac:dyDescent="0.2">
      <c r="B658" s="10" t="s">
        <v>894</v>
      </c>
      <c r="C658" s="10" t="s">
        <v>199</v>
      </c>
      <c r="D658" s="28">
        <f>IF(MOD(D650,Inputs!$D$21)=Inputs!$D$6,Inputs!$D$24,Inputs!$D$6)+SUMPRODUCT(--(D650&gt;$D$650:$M$650),--(MOD(D650-$D$650:$M$650,Inputs!$D$21)=Inputs!$D$6),$D$657:$M$657)</f>
        <v>0</v>
      </c>
      <c r="E658" s="28">
        <f>IF(MOD(E650,Inputs!$D$21)=Inputs!$D$6,Inputs!$D$24,Inputs!$D$6)+SUMPRODUCT(--(E650&gt;$D$650:$M$650),--(MOD(E650-$D$650:$M$650,Inputs!$D$21)=Inputs!$D$6),$D$657:$M$657)</f>
        <v>0</v>
      </c>
      <c r="F658" s="28">
        <f>IF(MOD(F650,Inputs!$D$21)=Inputs!$D$6,Inputs!$D$24,Inputs!$D$6)+SUMPRODUCT(--(F650&gt;$D$650:$M$650),--(MOD(F650-$D$650:$M$650,Inputs!$D$21)=Inputs!$D$6),$D$657:$M$657)</f>
        <v>0</v>
      </c>
      <c r="G658" s="28">
        <f>IF(MOD(G650,Inputs!$D$21)=Inputs!$D$6,Inputs!$D$24,Inputs!$D$6)+SUMPRODUCT(--(G650&gt;$D$650:$M$650),--(MOD(G650-$D$650:$M$650,Inputs!$D$21)=Inputs!$D$6),$D$657:$M$657)</f>
        <v>46</v>
      </c>
      <c r="H658" s="28">
        <f>IF(MOD(H650,Inputs!$D$21)=Inputs!$D$6,Inputs!$D$24,Inputs!$D$6)+SUMPRODUCT(--(H650&gt;$D$650:$M$650),--(MOD(H650-$D$650:$M$650,Inputs!$D$21)=Inputs!$D$6),$D$657:$M$657)</f>
        <v>259.5</v>
      </c>
      <c r="I658" s="28">
        <f>IF(MOD(I650,Inputs!$D$21)=Inputs!$D$6,Inputs!$D$24,Inputs!$D$6)+SUMPRODUCT(--(I650&gt;$D$650:$M$650),--(MOD(I650-$D$650:$M$650,Inputs!$D$21)=Inputs!$D$6),$D$657:$M$657)</f>
        <v>346</v>
      </c>
      <c r="J658" s="28">
        <f>IF(MOD(J650,Inputs!$D$21)=Inputs!$D$6,Inputs!$D$24,Inputs!$D$6)+SUMPRODUCT(--(J650&gt;$D$650:$M$650),--(MOD(J650-$D$650:$M$650,Inputs!$D$21)=Inputs!$D$6),$D$657:$M$657)</f>
        <v>259.5</v>
      </c>
      <c r="K658" s="28">
        <f>IF(MOD(K650,Inputs!$D$21)=Inputs!$D$6,Inputs!$D$24,Inputs!$D$6)+SUMPRODUCT(--(K650&gt;$D$650:$M$650),--(MOD(K650-$D$650:$M$650,Inputs!$D$21)=Inputs!$D$6),$D$657:$M$657)</f>
        <v>46</v>
      </c>
      <c r="L658" s="28">
        <f>IF(MOD(L650,Inputs!$D$21)=Inputs!$D$6,Inputs!$D$24,Inputs!$D$6)+SUMPRODUCT(--(L650&gt;$D$650:$M$650),--(MOD(L650-$D$650:$M$650,Inputs!$D$21)=Inputs!$D$6),$D$657:$M$657)</f>
        <v>259.5</v>
      </c>
      <c r="M658" s="28">
        <f>IF(MOD(M650,Inputs!$D$21)=Inputs!$D$6,Inputs!$D$24,Inputs!$D$6)+SUMPRODUCT(--(M650&gt;$D$650:$M$650),--(MOD(M650-$D$650:$M$650,Inputs!$D$21)=Inputs!$D$6),$D$657:$M$657)</f>
        <v>346</v>
      </c>
    </row>
    <row r="659" spans="2:13" ht="15" customHeight="1" x14ac:dyDescent="0.2">
      <c r="B659" s="10" t="s">
        <v>895</v>
      </c>
      <c r="C659" s="10" t="s">
        <v>896</v>
      </c>
      <c r="D659" s="28">
        <f t="shared" ref="D659:M659" si="142">D656*D653</f>
        <v>125.58726899383984</v>
      </c>
      <c r="E659" s="28">
        <f t="shared" si="142"/>
        <v>478.5</v>
      </c>
      <c r="F659" s="28">
        <f t="shared" si="142"/>
        <v>781.25</v>
      </c>
      <c r="G659" s="28">
        <f t="shared" si="142"/>
        <v>911</v>
      </c>
      <c r="H659" s="28">
        <f t="shared" si="142"/>
        <v>911</v>
      </c>
      <c r="I659" s="28">
        <f t="shared" si="142"/>
        <v>911</v>
      </c>
      <c r="J659" s="28">
        <f t="shared" si="142"/>
        <v>911</v>
      </c>
      <c r="K659" s="28">
        <f t="shared" si="142"/>
        <v>911</v>
      </c>
      <c r="L659" s="28">
        <f t="shared" si="142"/>
        <v>911</v>
      </c>
      <c r="M659" s="28">
        <f t="shared" si="142"/>
        <v>911</v>
      </c>
    </row>
    <row r="660" spans="2:13" ht="15" customHeight="1" x14ac:dyDescent="0.2">
      <c r="B660" s="10" t="s">
        <v>897</v>
      </c>
      <c r="C660" s="10" t="s">
        <v>110</v>
      </c>
      <c r="D660" s="16">
        <f>D659*($D$679/Inputs!$D$21+$D$680/Inputs!$D$22)</f>
        <v>1816.9772859324419</v>
      </c>
      <c r="E660" s="16">
        <f>E659*($D$679/Inputs!$D$21+$D$680/Inputs!$D$22)</f>
        <v>6922.8643817497086</v>
      </c>
      <c r="F660" s="16">
        <f>F659*($D$679/Inputs!$D$21+$D$680/Inputs!$D$22)</f>
        <v>11303.0048030135</v>
      </c>
      <c r="G660" s="16">
        <f>G659*($D$679/Inputs!$D$21+$D$680/Inputs!$D$22)</f>
        <v>13180.207840697982</v>
      </c>
      <c r="H660" s="16">
        <f>H659*($D$679/Inputs!$D$21+$D$680/Inputs!$D$22)</f>
        <v>13180.207840697982</v>
      </c>
      <c r="I660" s="16">
        <f>I659*($D$679/Inputs!$D$21+$D$680/Inputs!$D$22)</f>
        <v>13180.207840697982</v>
      </c>
      <c r="J660" s="16">
        <f>J659*($D$679/Inputs!$D$21+$D$680/Inputs!$D$22)</f>
        <v>13180.207840697982</v>
      </c>
      <c r="K660" s="16">
        <f>K659*($D$679/Inputs!$D$21+$D$680/Inputs!$D$22)</f>
        <v>13180.207840697982</v>
      </c>
      <c r="L660" s="16">
        <f>L659*($D$679/Inputs!$D$21+$D$680/Inputs!$D$22)</f>
        <v>13180.207840697982</v>
      </c>
      <c r="M660" s="16">
        <f>M659*($D$679/Inputs!$D$21+$D$680/Inputs!$D$22)</f>
        <v>13180.207840697982</v>
      </c>
    </row>
    <row r="661" spans="2:13" ht="15" customHeight="1" x14ac:dyDescent="0.2">
      <c r="B661" s="10" t="s">
        <v>898</v>
      </c>
      <c r="C661" s="10" t="s">
        <v>110</v>
      </c>
      <c r="D661" s="16">
        <f t="shared" ref="D661:M661" si="143">D657*($D$679+$D$680)</f>
        <v>15560.968620146154</v>
      </c>
      <c r="E661" s="16">
        <f t="shared" si="143"/>
        <v>20747.95816019487</v>
      </c>
      <c r="F661" s="16">
        <f t="shared" si="143"/>
        <v>15560.968620146154</v>
      </c>
      <c r="G661" s="16">
        <f t="shared" si="143"/>
        <v>0</v>
      </c>
      <c r="H661" s="16">
        <f t="shared" si="143"/>
        <v>0</v>
      </c>
      <c r="I661" s="16">
        <f t="shared" si="143"/>
        <v>0</v>
      </c>
      <c r="J661" s="16">
        <f t="shared" si="143"/>
        <v>0</v>
      </c>
      <c r="K661" s="16">
        <f t="shared" si="143"/>
        <v>0</v>
      </c>
      <c r="L661" s="16">
        <f t="shared" si="143"/>
        <v>0</v>
      </c>
      <c r="M661" s="16">
        <f t="shared" si="143"/>
        <v>0</v>
      </c>
    </row>
    <row r="662" spans="2:13" ht="15" customHeight="1" x14ac:dyDescent="0.2">
      <c r="B662" s="10" t="s">
        <v>899</v>
      </c>
      <c r="C662" s="10" t="s">
        <v>110</v>
      </c>
      <c r="D662" s="16">
        <f t="shared" ref="D662:M662" si="144">D658*$D$679</f>
        <v>0</v>
      </c>
      <c r="E662" s="16">
        <f t="shared" si="144"/>
        <v>0</v>
      </c>
      <c r="F662" s="16">
        <f t="shared" si="144"/>
        <v>0</v>
      </c>
      <c r="G662" s="16">
        <f t="shared" si="144"/>
        <v>2638.0048485671714</v>
      </c>
      <c r="H662" s="16">
        <f t="shared" si="144"/>
        <v>14881.788221808281</v>
      </c>
      <c r="I662" s="16">
        <f t="shared" si="144"/>
        <v>19842.384295744378</v>
      </c>
      <c r="J662" s="16">
        <f t="shared" si="144"/>
        <v>14881.788221808281</v>
      </c>
      <c r="K662" s="16">
        <f t="shared" si="144"/>
        <v>2638.0048485671714</v>
      </c>
      <c r="L662" s="16">
        <f t="shared" si="144"/>
        <v>14881.788221808281</v>
      </c>
      <c r="M662" s="16">
        <f t="shared" si="144"/>
        <v>19842.384295744378</v>
      </c>
    </row>
    <row r="663" spans="2:13" ht="15" customHeight="1" x14ac:dyDescent="0.2">
      <c r="B663" s="10" t="s">
        <v>900</v>
      </c>
      <c r="C663" s="10" t="s">
        <v>199</v>
      </c>
      <c r="D663" s="28">
        <f>D657*Inputs!$D$23</f>
        <v>6.4875000000000007</v>
      </c>
      <c r="E663" s="28">
        <f>E657*Inputs!$D$23</f>
        <v>8.65</v>
      </c>
      <c r="F663" s="28">
        <f>F657*Inputs!$D$23</f>
        <v>6.4875000000000007</v>
      </c>
      <c r="G663" s="28">
        <f>G657*Inputs!$D$23</f>
        <v>0</v>
      </c>
      <c r="H663" s="28">
        <f>H657*Inputs!$D$23</f>
        <v>0</v>
      </c>
      <c r="I663" s="28">
        <f>I657*Inputs!$D$23</f>
        <v>0</v>
      </c>
      <c r="J663" s="28">
        <f>J657*Inputs!$D$23</f>
        <v>0</v>
      </c>
      <c r="K663" s="28">
        <f>K657*Inputs!$D$23</f>
        <v>0</v>
      </c>
      <c r="L663" s="28">
        <f>L657*Inputs!$D$23</f>
        <v>0</v>
      </c>
      <c r="M663" s="28">
        <f>M657*Inputs!$D$23</f>
        <v>0</v>
      </c>
    </row>
    <row r="664" spans="2:13" ht="15" customHeight="1" x14ac:dyDescent="0.2">
      <c r="B664" s="3" t="s">
        <v>901</v>
      </c>
      <c r="C664" s="10" t="s">
        <v>896</v>
      </c>
      <c r="D664" s="28">
        <f>(D659*$D$677*(Inputs!$D$7-Inputs!$D$19)-D663)/(Inputs!$D$7+$D$678)^D652</f>
        <v>50.767902485879603</v>
      </c>
      <c r="E664" s="28">
        <f>(E659*$D$677*(Inputs!$D$7-Inputs!$D$19)-E663)/(Inputs!$D$7+$D$678)^E652</f>
        <v>185.89321240748276</v>
      </c>
      <c r="F664" s="28">
        <f>(F659*$D$677*(Inputs!$D$7-Inputs!$D$19)-F663)/(Inputs!$D$7+$D$678)^F652</f>
        <v>276.62376054161734</v>
      </c>
      <c r="G664" s="28">
        <f>(G659*$D$677*(Inputs!$D$7-Inputs!$D$19)-G663)/(Inputs!$D$7+$D$678)^G652</f>
        <v>292.99251988920633</v>
      </c>
      <c r="H664" s="28">
        <f>(H659*$D$677*(Inputs!$D$7-Inputs!$D$19)-H663)/(Inputs!$D$7+$D$678)^H652</f>
        <v>261.6207571276218</v>
      </c>
      <c r="I664" s="28">
        <f>(I659*$D$677*(Inputs!$D$7-Inputs!$D$19)-I663)/(Inputs!$D$7+$D$678)^I652</f>
        <v>233.53560984566982</v>
      </c>
      <c r="J664" s="28">
        <f>(J659*$D$677*(Inputs!$D$7-Inputs!$D$19)-J663)/(Inputs!$D$7+$D$678)^J652</f>
        <v>208.53011226084834</v>
      </c>
      <c r="K664" s="28">
        <f>(K659*$D$677*(Inputs!$D$7-Inputs!$D$19)-K663)/(Inputs!$D$7+$D$678)^K652</f>
        <v>186.20204322697762</v>
      </c>
      <c r="L664" s="28">
        <f>(L659*$D$677*(Inputs!$D$7-Inputs!$D$19)-L663)/(Inputs!$D$7+$D$678)^L652</f>
        <v>166.2647208405632</v>
      </c>
      <c r="M664" s="28">
        <f>(M659*$D$677*(Inputs!$D$7-Inputs!$D$19)-M663)/(Inputs!$D$7+$D$678)^M652</f>
        <v>148.41610200822046</v>
      </c>
    </row>
    <row r="665" spans="2:13" ht="15" customHeight="1" x14ac:dyDescent="0.2">
      <c r="B665" s="10" t="s">
        <v>902</v>
      </c>
      <c r="C665" s="10" t="s">
        <v>110</v>
      </c>
      <c r="D665" s="16">
        <f>(D660*Inputs!$D$19-D661-D662)/(Inputs!$D$7+$D$678)^D652</f>
        <v>-13847.790632947557</v>
      </c>
      <c r="E665" s="16">
        <f>(E660*Inputs!$D$19-E661-E662)/(Inputs!$D$7+$D$678)^E652</f>
        <v>-15370.239105459035</v>
      </c>
      <c r="F665" s="16">
        <f>(F660*Inputs!$D$19-F661-F662)/(Inputs!$D$7+$D$678)^F652</f>
        <v>-8945.8041564234754</v>
      </c>
      <c r="G665" s="16">
        <f>(G660*Inputs!$D$19-G661-G662)/(Inputs!$D$7+$D$678)^G652</f>
        <v>863.80744262020482</v>
      </c>
      <c r="H665" s="16">
        <f>(H660*Inputs!$D$19-H661-H662)/(Inputs!$D$7+$D$678)^H652</f>
        <v>-6404.5339628745278</v>
      </c>
      <c r="I665" s="16">
        <f>(I660*Inputs!$D$19-I661-I662)/(Inputs!$D$7+$D$678)^I652</f>
        <v>-8312.2134333380691</v>
      </c>
      <c r="J665" s="16">
        <f>(J660*Inputs!$D$19-J661-J662)/(Inputs!$D$7+$D$678)^J652</f>
        <v>-5104.8632414329013</v>
      </c>
      <c r="K665" s="16">
        <f>(K660*Inputs!$D$19-K661-K662)/(Inputs!$D$7+$D$678)^K652</f>
        <v>548.96524604578394</v>
      </c>
      <c r="L665" s="16">
        <f>(L660*Inputs!$D$19-L661-L662)/(Inputs!$D$7+$D$678)^L652</f>
        <v>-4070.1971171644977</v>
      </c>
      <c r="M665" s="16">
        <f>(M660*Inputs!$D$19-M661-M662)/(Inputs!$D$7+$D$678)^M652</f>
        <v>-5282.5619084458349</v>
      </c>
    </row>
    <row r="666" spans="2:13" ht="15" customHeight="1" x14ac:dyDescent="0.2">
      <c r="B666" s="10" t="s">
        <v>903</v>
      </c>
      <c r="C666" s="10" t="s">
        <v>110</v>
      </c>
      <c r="D666" s="16">
        <f t="shared" ref="D666:M666" si="145">D659*$D$676</f>
        <v>5131.1420008352779</v>
      </c>
      <c r="E666" s="16">
        <f t="shared" si="145"/>
        <v>19550.161947705965</v>
      </c>
      <c r="F666" s="16">
        <f t="shared" si="145"/>
        <v>31919.674026426925</v>
      </c>
      <c r="G666" s="16">
        <f t="shared" si="145"/>
        <v>37220.893488735906</v>
      </c>
      <c r="H666" s="16">
        <f t="shared" si="145"/>
        <v>37220.893488735906</v>
      </c>
      <c r="I666" s="16">
        <f t="shared" si="145"/>
        <v>37220.893488735906</v>
      </c>
      <c r="J666" s="16">
        <f t="shared" si="145"/>
        <v>37220.893488735906</v>
      </c>
      <c r="K666" s="16">
        <f t="shared" si="145"/>
        <v>37220.893488735906</v>
      </c>
      <c r="L666" s="16">
        <f t="shared" si="145"/>
        <v>37220.893488735906</v>
      </c>
      <c r="M666" s="16">
        <f t="shared" si="145"/>
        <v>37220.893488735906</v>
      </c>
    </row>
    <row r="667" spans="2:13" ht="15" customHeight="1" x14ac:dyDescent="0.2">
      <c r="B667" s="10" t="s">
        <v>904</v>
      </c>
      <c r="C667" s="10" t="s">
        <v>110</v>
      </c>
      <c r="D667" s="16">
        <f t="shared" ref="D667:M667" si="146">D666*$D$677</f>
        <v>3591.7994005846945</v>
      </c>
      <c r="E667" s="16">
        <f t="shared" si="146"/>
        <v>13685.113363394175</v>
      </c>
      <c r="F667" s="16">
        <f t="shared" si="146"/>
        <v>22343.771818498844</v>
      </c>
      <c r="G667" s="16">
        <f t="shared" si="146"/>
        <v>26054.625442115132</v>
      </c>
      <c r="H667" s="16">
        <f t="shared" si="146"/>
        <v>26054.625442115132</v>
      </c>
      <c r="I667" s="16">
        <f t="shared" si="146"/>
        <v>26054.625442115132</v>
      </c>
      <c r="J667" s="16">
        <f t="shared" si="146"/>
        <v>26054.625442115132</v>
      </c>
      <c r="K667" s="16">
        <f t="shared" si="146"/>
        <v>26054.625442115132</v>
      </c>
      <c r="L667" s="16">
        <f t="shared" si="146"/>
        <v>26054.625442115132</v>
      </c>
      <c r="M667" s="16">
        <f t="shared" si="146"/>
        <v>26054.625442115132</v>
      </c>
    </row>
    <row r="668" spans="2:13" ht="15" customHeight="1" x14ac:dyDescent="0.2">
      <c r="B668" s="10" t="s">
        <v>905</v>
      </c>
      <c r="C668" s="10" t="s">
        <v>110</v>
      </c>
      <c r="D668" s="16">
        <f t="shared" ref="D668:M668" si="147">D667-D660</f>
        <v>1774.8221146522526</v>
      </c>
      <c r="E668" s="16">
        <f t="shared" si="147"/>
        <v>6762.2489816444668</v>
      </c>
      <c r="F668" s="16">
        <f t="shared" si="147"/>
        <v>11040.767015485344</v>
      </c>
      <c r="G668" s="16">
        <f t="shared" si="147"/>
        <v>12874.41760141715</v>
      </c>
      <c r="H668" s="16">
        <f t="shared" si="147"/>
        <v>12874.41760141715</v>
      </c>
      <c r="I668" s="16">
        <f t="shared" si="147"/>
        <v>12874.41760141715</v>
      </c>
      <c r="J668" s="16">
        <f t="shared" si="147"/>
        <v>12874.41760141715</v>
      </c>
      <c r="K668" s="16">
        <f t="shared" si="147"/>
        <v>12874.41760141715</v>
      </c>
      <c r="L668" s="16">
        <f t="shared" si="147"/>
        <v>12874.41760141715</v>
      </c>
      <c r="M668" s="16">
        <f t="shared" si="147"/>
        <v>12874.41760141715</v>
      </c>
    </row>
    <row r="669" spans="2:13" ht="15" customHeight="1" x14ac:dyDescent="0.2">
      <c r="B669" s="10" t="s">
        <v>906</v>
      </c>
      <c r="C669" s="10" t="s">
        <v>110</v>
      </c>
      <c r="D669" s="16">
        <f>MAX(D668,Inputs!$D$6)*Inputs!$D$19</f>
        <v>532.4466343956758</v>
      </c>
      <c r="E669" s="16">
        <f>MAX(E668,Inputs!$D$6)*Inputs!$D$19</f>
        <v>2028.67469449334</v>
      </c>
      <c r="F669" s="16">
        <f>MAX(F668,Inputs!$D$6)*Inputs!$D$19</f>
        <v>3312.2301046456032</v>
      </c>
      <c r="G669" s="16">
        <f>MAX(G668,Inputs!$D$6)*Inputs!$D$19</f>
        <v>3862.3252804251447</v>
      </c>
      <c r="H669" s="16">
        <f>MAX(H668,Inputs!$D$6)*Inputs!$D$19</f>
        <v>3862.3252804251447</v>
      </c>
      <c r="I669" s="16">
        <f>MAX(I668,Inputs!$D$6)*Inputs!$D$19</f>
        <v>3862.3252804251447</v>
      </c>
      <c r="J669" s="16">
        <f>MAX(J668,Inputs!$D$6)*Inputs!$D$19</f>
        <v>3862.3252804251447</v>
      </c>
      <c r="K669" s="16">
        <f>MAX(K668,Inputs!$D$6)*Inputs!$D$19</f>
        <v>3862.3252804251447</v>
      </c>
      <c r="L669" s="16">
        <f>MAX(L668,Inputs!$D$6)*Inputs!$D$19</f>
        <v>3862.3252804251447</v>
      </c>
      <c r="M669" s="16">
        <f>MAX(M668,Inputs!$D$6)*Inputs!$D$19</f>
        <v>3862.3252804251447</v>
      </c>
    </row>
    <row r="670" spans="2:13" ht="15" customHeight="1" x14ac:dyDescent="0.2">
      <c r="B670" s="10" t="s">
        <v>907</v>
      </c>
      <c r="C670" s="10" t="s">
        <v>110</v>
      </c>
      <c r="D670" s="16">
        <f t="shared" ref="D670:M670" si="148">D663*$D$676</f>
        <v>265.0609731154492</v>
      </c>
      <c r="E670" s="16">
        <f t="shared" si="148"/>
        <v>353.41463082059892</v>
      </c>
      <c r="F670" s="16">
        <f t="shared" si="148"/>
        <v>265.0609731154492</v>
      </c>
      <c r="G670" s="16">
        <f t="shared" si="148"/>
        <v>0</v>
      </c>
      <c r="H670" s="16">
        <f t="shared" si="148"/>
        <v>0</v>
      </c>
      <c r="I670" s="16">
        <f t="shared" si="148"/>
        <v>0</v>
      </c>
      <c r="J670" s="16">
        <f t="shared" si="148"/>
        <v>0</v>
      </c>
      <c r="K670" s="16">
        <f t="shared" si="148"/>
        <v>0</v>
      </c>
      <c r="L670" s="16">
        <f t="shared" si="148"/>
        <v>0</v>
      </c>
      <c r="M670" s="16">
        <f t="shared" si="148"/>
        <v>0</v>
      </c>
    </row>
    <row r="671" spans="2:13" ht="15" customHeight="1" x14ac:dyDescent="0.2">
      <c r="B671" s="10" t="s">
        <v>908</v>
      </c>
      <c r="C671" s="10" t="s">
        <v>110</v>
      </c>
      <c r="D671" s="16">
        <f t="shared" ref="D671:M671" si="149">D667-D669-D661-D662-D670</f>
        <v>-12766.676827072584</v>
      </c>
      <c r="E671" s="16">
        <f t="shared" si="149"/>
        <v>-9444.9341221146333</v>
      </c>
      <c r="F671" s="16">
        <f t="shared" si="149"/>
        <v>3205.5121205916403</v>
      </c>
      <c r="G671" s="16">
        <f t="shared" si="149"/>
        <v>19554.295313122813</v>
      </c>
      <c r="H671" s="16">
        <f t="shared" si="149"/>
        <v>7310.5119398817042</v>
      </c>
      <c r="I671" s="16">
        <f t="shared" si="149"/>
        <v>2349.9158659456079</v>
      </c>
      <c r="J671" s="16">
        <f t="shared" si="149"/>
        <v>7310.5119398817042</v>
      </c>
      <c r="K671" s="16">
        <f t="shared" si="149"/>
        <v>19554.295313122813</v>
      </c>
      <c r="L671" s="16">
        <f t="shared" si="149"/>
        <v>7310.5119398817042</v>
      </c>
      <c r="M671" s="16">
        <f t="shared" si="149"/>
        <v>2349.9158659456079</v>
      </c>
    </row>
    <row r="672" spans="2:13" ht="15" customHeight="1" x14ac:dyDescent="0.2">
      <c r="B672" s="10" t="s">
        <v>909</v>
      </c>
      <c r="C672" s="10" t="s">
        <v>110</v>
      </c>
      <c r="D672" s="16">
        <f>D671/(Inputs!$D$7+$D$678)^D652</f>
        <v>-11773.557163053536</v>
      </c>
      <c r="E672" s="16">
        <f>E671/(Inputs!$D$7+$D$678)^E652</f>
        <v>-7775.1661534306295</v>
      </c>
      <c r="F672" s="16">
        <f>F671/(Inputs!$D$7+$D$678)^F652</f>
        <v>2356.2633820761148</v>
      </c>
      <c r="G672" s="16">
        <f>G671/(Inputs!$D$7+$D$678)^G652</f>
        <v>12834.656373237642</v>
      </c>
      <c r="H672" s="16">
        <f>H671/(Inputs!$D$7+$D$678)^H652</f>
        <v>4284.5531232831627</v>
      </c>
      <c r="I672" s="16">
        <f>I671/(Inputs!$D$7+$D$678)^I652</f>
        <v>1229.3936576527765</v>
      </c>
      <c r="J672" s="16">
        <f>J671/(Inputs!$D$7+$D$678)^J652</f>
        <v>3415.0896648845273</v>
      </c>
      <c r="K672" s="16">
        <f>K671/(Inputs!$D$7+$D$678)^K652</f>
        <v>8156.6561553063029</v>
      </c>
      <c r="L672" s="16">
        <f>L671/(Inputs!$D$7+$D$678)^L652</f>
        <v>2722.9109677323322</v>
      </c>
      <c r="M672" s="16">
        <f>M671/(Inputs!$D$7+$D$678)^M652</f>
        <v>781.30189491457952</v>
      </c>
    </row>
    <row r="673" spans="2:13" ht="15" customHeight="1" x14ac:dyDescent="0.2">
      <c r="B673" s="3" t="s">
        <v>910</v>
      </c>
      <c r="C673" s="10" t="s">
        <v>896</v>
      </c>
      <c r="D673" s="28">
        <f>(D659*$D$677-D663)/(Inputs!$D$7+$D$678)^D652</f>
        <v>75.089648168061032</v>
      </c>
      <c r="E673" s="28">
        <f>(E659*$D$677-E663)/(Inputs!$D$7+$D$678)^E652</f>
        <v>268.61348984151471</v>
      </c>
      <c r="F673" s="28">
        <f>(F659*$D$677-F663)/(Inputs!$D$7+$D$678)^F652</f>
        <v>397.22054713262008</v>
      </c>
      <c r="G673" s="28">
        <f>(G659*$D$677-G663)/(Inputs!$D$7+$D$678)^G652</f>
        <v>418.56074269886619</v>
      </c>
      <c r="H673" s="28">
        <f>(H659*$D$677-H663)/(Inputs!$D$7+$D$678)^H652</f>
        <v>373.7439387537454</v>
      </c>
      <c r="I673" s="28">
        <f>(I659*$D$677-I663)/(Inputs!$D$7+$D$678)^I652</f>
        <v>333.6222997795283</v>
      </c>
      <c r="J673" s="28">
        <f>(J659*$D$677-J663)/(Inputs!$D$7+$D$678)^J652</f>
        <v>297.90016037264053</v>
      </c>
      <c r="K673" s="28">
        <f>(K659*$D$677-K663)/(Inputs!$D$7+$D$678)^K652</f>
        <v>266.00291889568234</v>
      </c>
      <c r="L673" s="28">
        <f>(L659*$D$677-L663)/(Inputs!$D$7+$D$678)^L652</f>
        <v>237.52102977223316</v>
      </c>
      <c r="M673" s="28">
        <f>(M659*$D$677-M663)/(Inputs!$D$7+$D$678)^M652</f>
        <v>212.02300286888638</v>
      </c>
    </row>
    <row r="674" spans="2:13" ht="15" customHeight="1" x14ac:dyDescent="0.2">
      <c r="B674" s="10" t="s">
        <v>911</v>
      </c>
      <c r="C674" s="10" t="s">
        <v>110</v>
      </c>
      <c r="D674" s="16">
        <f>(-D661-D662)/(Inputs!$D$7+$D$678)^D652</f>
        <v>-14350.481025200577</v>
      </c>
      <c r="E674" s="16">
        <f>(-E661-E662)/(Inputs!$D$7+$D$678)^E652</f>
        <v>-17079.930887207098</v>
      </c>
      <c r="F674" s="16">
        <f>(-F661-F662)/(Inputs!$D$7+$D$678)^F652</f>
        <v>-11438.340948315768</v>
      </c>
      <c r="G674" s="16">
        <f>(-G661-G662)/(Inputs!$D$7+$D$678)^G652</f>
        <v>-1731.4807411941122</v>
      </c>
      <c r="H674" s="16">
        <f>(-H661-H662)/(Inputs!$D$7+$D$678)^H652</f>
        <v>-8721.9353076959778</v>
      </c>
      <c r="I674" s="16">
        <f>(-I661-I662)/(Inputs!$D$7+$D$678)^I652</f>
        <v>-10380.8403353543</v>
      </c>
      <c r="J674" s="16">
        <f>(-J661-J662)/(Inputs!$D$7+$D$678)^J652</f>
        <v>-6951.9948218729187</v>
      </c>
      <c r="K674" s="16">
        <f>(-K661-K662)/(Inputs!$D$7+$D$678)^K652</f>
        <v>-1100.3873134386547</v>
      </c>
      <c r="L674" s="16">
        <f>(-L661-L662)/(Inputs!$D$7+$D$678)^L652</f>
        <v>-5542.947566718196</v>
      </c>
      <c r="M674" s="16">
        <f>(-M661-M662)/(Inputs!$D$7+$D$678)^M652</f>
        <v>-6597.2117021517279</v>
      </c>
    </row>
    <row r="675" spans="2:13" ht="15" customHeight="1" x14ac:dyDescent="0.2">
      <c r="B675" s="10" t="s">
        <v>912</v>
      </c>
      <c r="C675" s="10" t="s">
        <v>110</v>
      </c>
      <c r="D675" s="16">
        <f>Prices!I6</f>
        <v>43700</v>
      </c>
    </row>
    <row r="676" spans="2:13" ht="15" customHeight="1" x14ac:dyDescent="0.2">
      <c r="B676" s="3" t="s">
        <v>913</v>
      </c>
      <c r="C676" s="10" t="s">
        <v>914</v>
      </c>
      <c r="D676" s="28">
        <f>IF(J683&gt;=J679,J683,(D675-J682)/J681)</f>
        <v>40.857182753826464</v>
      </c>
      <c r="G676" s="99" t="s">
        <v>915</v>
      </c>
      <c r="H676" s="91"/>
      <c r="I676" s="91"/>
      <c r="J676" s="28">
        <f>D676*Inputs!$D$15</f>
        <v>28.514227843895487</v>
      </c>
      <c r="K676" s="99" t="s">
        <v>916</v>
      </c>
      <c r="L676" s="91"/>
      <c r="M676" s="91"/>
    </row>
    <row r="677" spans="2:13" ht="15" customHeight="1" x14ac:dyDescent="0.2">
      <c r="B677" s="10" t="s">
        <v>917</v>
      </c>
      <c r="C677" s="10" t="s">
        <v>104</v>
      </c>
      <c r="D677" s="30">
        <f>Inputs!$D$143</f>
        <v>0.7</v>
      </c>
      <c r="G677" s="99" t="s">
        <v>918</v>
      </c>
      <c r="H677" s="91"/>
      <c r="I677" s="91"/>
      <c r="J677" s="28">
        <f>IF(-D688/D687&gt;=J679,-D688/D687,-J682/J681)</f>
        <v>28.75254216398438</v>
      </c>
      <c r="K677" s="99" t="s">
        <v>919</v>
      </c>
      <c r="L677" s="91"/>
      <c r="M677" s="91"/>
    </row>
    <row r="678" spans="2:13" ht="15" customHeight="1" x14ac:dyDescent="0.2">
      <c r="B678" s="10" t="s">
        <v>920</v>
      </c>
      <c r="C678" s="10" t="s">
        <v>104</v>
      </c>
      <c r="D678" s="30">
        <f>Inputs!$D$148</f>
        <v>0.12</v>
      </c>
      <c r="G678" s="99" t="s">
        <v>918</v>
      </c>
      <c r="H678" s="91"/>
      <c r="I678" s="91"/>
      <c r="J678" s="28">
        <f>J677*Inputs!$D$15</f>
        <v>20.066399176244698</v>
      </c>
      <c r="K678" s="99" t="s">
        <v>916</v>
      </c>
      <c r="L678" s="91"/>
      <c r="M678" s="91"/>
    </row>
    <row r="679" spans="2:13" ht="15" customHeight="1" x14ac:dyDescent="0.2">
      <c r="B679" s="3" t="s">
        <v>921</v>
      </c>
      <c r="C679" s="10" t="s">
        <v>848</v>
      </c>
      <c r="D679" s="28">
        <f>Capital!$D$13</f>
        <v>57.347931490590682</v>
      </c>
      <c r="G679" s="99" t="s">
        <v>922</v>
      </c>
      <c r="H679" s="91"/>
      <c r="I679" s="91"/>
      <c r="J679" s="28">
        <f>($D$679/Inputs!$D$21+$D$680/Inputs!$D$22)/$D$677</f>
        <v>20.668351639796114</v>
      </c>
      <c r="K679" s="99" t="s">
        <v>919</v>
      </c>
      <c r="L679" s="91"/>
      <c r="M679" s="91"/>
    </row>
    <row r="680" spans="2:13" ht="15" customHeight="1" x14ac:dyDescent="0.2">
      <c r="B680" s="3" t="s">
        <v>923</v>
      </c>
      <c r="C680" s="10" t="s">
        <v>848</v>
      </c>
      <c r="D680" s="28">
        <f>Capital!$D$14</f>
        <v>2.6172655041921802</v>
      </c>
    </row>
    <row r="681" spans="2:13" ht="15" customHeight="1" x14ac:dyDescent="0.2">
      <c r="B681" s="10" t="s">
        <v>924</v>
      </c>
      <c r="C681" s="10" t="s">
        <v>896</v>
      </c>
      <c r="D681" s="28">
        <f>(M654*(Inputs!$D$7+Inputs!$D$20)*$D$677*(Inputs!$D$7-Inputs!$D$19)-M654*Inputs!$D$20*Inputs!$D$23)/($D$678-Inputs!$D$20)/(Inputs!$D$7+$D$678)^M652</f>
        <v>1599.3389295354154</v>
      </c>
      <c r="G681" s="92" t="s">
        <v>910</v>
      </c>
      <c r="H681" s="91"/>
      <c r="I681" s="91"/>
      <c r="J681" s="28">
        <f>SUM(D673:M673)+(M654*(Inputs!$D$7+Inputs!$D$20)*$D$677-M654*Inputs!$D$20*Inputs!$D$23)/($D$678-Inputs!$D$20)/(Inputs!$D$7+$D$678)^M652</f>
        <v>5165.9216907895361</v>
      </c>
      <c r="K681" s="99" t="s">
        <v>896</v>
      </c>
      <c r="L681" s="91"/>
      <c r="M681" s="91"/>
    </row>
    <row r="682" spans="2:13" ht="15" customHeight="1" x14ac:dyDescent="0.2">
      <c r="B682" s="10" t="s">
        <v>925</v>
      </c>
      <c r="C682" s="10" t="s">
        <v>110</v>
      </c>
      <c r="D682" s="16">
        <f>(D685*Inputs!$D$19-D685-D686)/($D$678-Inputs!$D$20)/(Inputs!$D$7+$D$678)^M652</f>
        <v>-37876.58483194092</v>
      </c>
      <c r="G682" s="92" t="s">
        <v>926</v>
      </c>
      <c r="H682" s="91"/>
      <c r="I682" s="91"/>
      <c r="J682" s="16">
        <f>SUM(D674:M674)-(D685+D686)/($D$678-Inputs!$D$20)/(Inputs!$D$7+$D$678)^M652</f>
        <v>-135956.51483423277</v>
      </c>
      <c r="K682" s="99" t="s">
        <v>110</v>
      </c>
      <c r="L682" s="91"/>
      <c r="M682" s="91"/>
    </row>
    <row r="683" spans="2:13" ht="15" customHeight="1" x14ac:dyDescent="0.2">
      <c r="B683" s="10" t="s">
        <v>927</v>
      </c>
      <c r="C683" s="10" t="s">
        <v>928</v>
      </c>
      <c r="D683" s="16">
        <f>(M654*(Inputs!$D$7+Inputs!$D$20)*$D$676*$D$677-D685)-MAX((M654*(Inputs!$D$7+Inputs!$D$20)*$D$676*$D$677-D685),Inputs!$D$6)*Inputs!$D$19-D686-M654*Inputs!$D$20*$D$676*Inputs!$D$23</f>
        <v>7848.4242090301677</v>
      </c>
      <c r="G683" s="99" t="s">
        <v>929</v>
      </c>
      <c r="H683" s="91"/>
      <c r="I683" s="91"/>
      <c r="J683" s="28">
        <f>(D675-D688)/D687</f>
        <v>40.857182753826464</v>
      </c>
      <c r="K683" s="99" t="s">
        <v>919</v>
      </c>
      <c r="L683" s="91"/>
      <c r="M683" s="91"/>
    </row>
    <row r="684" spans="2:13" ht="15" customHeight="1" x14ac:dyDescent="0.2">
      <c r="B684" s="10" t="s">
        <v>930</v>
      </c>
      <c r="C684" s="10" t="s">
        <v>110</v>
      </c>
      <c r="D684" s="16">
        <f>D683/($D$678-Inputs!$D$20)</f>
        <v>82614.991674001765</v>
      </c>
      <c r="G684" s="99" t="s">
        <v>931</v>
      </c>
      <c r="H684" s="91"/>
      <c r="I684" s="91"/>
      <c r="J684" s="16">
        <f>MIN(D668:M668,(M654*(Inputs!$D$7+Inputs!$D$20)*$D$676*$D$677-D685))</f>
        <v>1774.8221146522526</v>
      </c>
      <c r="K684" s="99" t="s">
        <v>110</v>
      </c>
      <c r="L684" s="91"/>
      <c r="M684" s="91"/>
    </row>
    <row r="685" spans="2:13" ht="15" customHeight="1" x14ac:dyDescent="0.2">
      <c r="B685" s="10" t="s">
        <v>932</v>
      </c>
      <c r="C685" s="10" t="s">
        <v>928</v>
      </c>
      <c r="D685" s="16">
        <f>M654*(Inputs!$D$7+Inputs!$D$20)*($D$679/Inputs!$D$21+$D$680/Inputs!$D$22)</f>
        <v>13509.71303671543</v>
      </c>
      <c r="G685" s="99" t="s">
        <v>933</v>
      </c>
      <c r="H685" s="91"/>
      <c r="I685" s="91"/>
      <c r="J685" s="31" t="str">
        <f>IF(J684&lt;Inputs!$D$6,"breached","satisfied")</f>
        <v>satisfied</v>
      </c>
      <c r="K685" s="99" t="s">
        <v>934</v>
      </c>
      <c r="L685" s="91"/>
      <c r="M685" s="91"/>
    </row>
    <row r="686" spans="2:13" ht="15" customHeight="1" x14ac:dyDescent="0.2">
      <c r="B686" s="10" t="s">
        <v>935</v>
      </c>
      <c r="C686" s="10" t="s">
        <v>928</v>
      </c>
      <c r="D686" s="16">
        <f>M654*Inputs!$D$20*($D$679+$D$680)</f>
        <v>1365.7073615561799</v>
      </c>
    </row>
    <row r="687" spans="2:13" ht="15" customHeight="1" x14ac:dyDescent="0.2">
      <c r="B687" s="10" t="s">
        <v>936</v>
      </c>
      <c r="C687" s="10" t="s">
        <v>896</v>
      </c>
      <c r="D687" s="28">
        <f>SUM(D664:M664)+D681</f>
        <v>3610.1856701695024</v>
      </c>
      <c r="G687" s="99" t="s">
        <v>937</v>
      </c>
      <c r="H687" s="91"/>
      <c r="I687" s="91"/>
      <c r="J687" s="16">
        <f>D689-D675</f>
        <v>0</v>
      </c>
      <c r="K687" s="99" t="s">
        <v>110</v>
      </c>
      <c r="L687" s="91"/>
      <c r="M687" s="91"/>
    </row>
    <row r="688" spans="2:13" ht="15" customHeight="1" x14ac:dyDescent="0.2">
      <c r="B688" s="10" t="s">
        <v>938</v>
      </c>
      <c r="C688" s="10" t="s">
        <v>110</v>
      </c>
      <c r="D688" s="16">
        <f>SUM(D665:M665)+D682</f>
        <v>-103802.01570136083</v>
      </c>
    </row>
    <row r="689" spans="1:13" ht="15" customHeight="1" x14ac:dyDescent="0.2">
      <c r="B689" s="10" t="s">
        <v>939</v>
      </c>
      <c r="C689" s="10" t="s">
        <v>110</v>
      </c>
      <c r="D689" s="16">
        <f>SUM(D672:M672)+D684/(Inputs!$D$7+$D$678)^M652</f>
        <v>43700.000000000015</v>
      </c>
    </row>
    <row r="690" spans="1:13" ht="15" customHeight="1" x14ac:dyDescent="0.2">
      <c r="B690" s="10" t="s">
        <v>940</v>
      </c>
      <c r="C690" s="10" t="s">
        <v>104</v>
      </c>
      <c r="D690" s="30">
        <f>IF(ABS(D675)&gt;Inputs!$D$6,D689/D675-Inputs!$D$7,Inputs!$D$6)</f>
        <v>2.2204460492503131E-16</v>
      </c>
    </row>
    <row r="691" spans="1:13" ht="15" customHeight="1" x14ac:dyDescent="0.2">
      <c r="B691" s="10" t="s">
        <v>941</v>
      </c>
      <c r="C691" s="10" t="s">
        <v>104</v>
      </c>
      <c r="D691" s="30">
        <f>IF(ABS(D689)&gt;Inputs!$D$119,D684/(Inputs!$D$7+$D$678)^M652/D689,Inputs!$D$6)</f>
        <v>0.62855602053539439</v>
      </c>
    </row>
    <row r="692" spans="1:13" ht="15" customHeight="1" x14ac:dyDescent="0.2">
      <c r="B692" s="10" t="s">
        <v>942</v>
      </c>
      <c r="C692" s="10" t="s">
        <v>943</v>
      </c>
      <c r="D692" s="26">
        <f>$D$676*Inputs!$D$8/Prices!$P$6/(Inputs!$D$26/Inputs!$D$25)/Inputs!$D$11/Inputs!$D$56</f>
        <v>7.4300027883884905</v>
      </c>
    </row>
    <row r="696" spans="1:13" ht="15" customHeight="1" x14ac:dyDescent="0.2">
      <c r="A696" s="104" t="s">
        <v>2180</v>
      </c>
      <c r="B696" s="10" t="s">
        <v>886</v>
      </c>
      <c r="C696" s="10" t="s">
        <v>107</v>
      </c>
      <c r="D696" s="28">
        <f>Inputs!$D$60</f>
        <v>1</v>
      </c>
      <c r="E696" s="28">
        <f>Inputs!$D$62</f>
        <v>2</v>
      </c>
      <c r="F696" s="28">
        <f>Inputs!$D$64</f>
        <v>3</v>
      </c>
      <c r="G696" s="28">
        <f>Inputs!$D$66</f>
        <v>4</v>
      </c>
      <c r="H696" s="28">
        <f>Inputs!$D$68</f>
        <v>5</v>
      </c>
      <c r="I696" s="28">
        <f>Inputs!$D$70</f>
        <v>6</v>
      </c>
      <c r="J696" s="28">
        <f>Inputs!$D$72</f>
        <v>7</v>
      </c>
      <c r="K696" s="28">
        <f>Inputs!$D$74</f>
        <v>8</v>
      </c>
      <c r="L696" s="28">
        <f>Inputs!$D$76</f>
        <v>9</v>
      </c>
      <c r="M696" s="28">
        <f>Inputs!$D$78</f>
        <v>10</v>
      </c>
    </row>
    <row r="697" spans="1:13" ht="15" customHeight="1" x14ac:dyDescent="0.2">
      <c r="A697" s="91"/>
      <c r="B697" s="10" t="s">
        <v>887</v>
      </c>
      <c r="C697" s="10" t="s">
        <v>161</v>
      </c>
      <c r="D697" s="29">
        <f>Inputs!$D$61</f>
        <v>46568</v>
      </c>
      <c r="E697" s="29">
        <f>Inputs!$D$63</f>
        <v>46934</v>
      </c>
      <c r="F697" s="29">
        <f>Inputs!$D$65</f>
        <v>47299</v>
      </c>
      <c r="G697" s="29">
        <f>Inputs!$D$67</f>
        <v>47664</v>
      </c>
      <c r="H697" s="29">
        <f>Inputs!$D$69</f>
        <v>48029</v>
      </c>
      <c r="I697" s="29">
        <f>Inputs!$D$71</f>
        <v>48395</v>
      </c>
      <c r="J697" s="29">
        <f>Inputs!$D$73</f>
        <v>48760</v>
      </c>
      <c r="K697" s="29">
        <f>Inputs!$D$75</f>
        <v>49125</v>
      </c>
      <c r="L697" s="29">
        <f>Inputs!$D$77</f>
        <v>49490</v>
      </c>
      <c r="M697" s="29">
        <f>Inputs!$D$79</f>
        <v>49856</v>
      </c>
    </row>
    <row r="698" spans="1:13" ht="15" customHeight="1" x14ac:dyDescent="0.2">
      <c r="A698" s="91"/>
      <c r="B698" s="10" t="s">
        <v>888</v>
      </c>
      <c r="C698" s="10" t="s">
        <v>107</v>
      </c>
      <c r="D698" s="28">
        <f>(D697-Inputs!$D$13)/Inputs!$D$10</f>
        <v>0.71457905544147848</v>
      </c>
      <c r="E698" s="28">
        <f>(E697-Inputs!$D$13)/Inputs!$D$10</f>
        <v>1.7166324435318274</v>
      </c>
      <c r="F698" s="28">
        <f>(F697-Inputs!$D$13)/Inputs!$D$10</f>
        <v>2.7159479808350446</v>
      </c>
      <c r="G698" s="28">
        <f>(G697-Inputs!$D$13)/Inputs!$D$10</f>
        <v>3.7152635181382614</v>
      </c>
      <c r="H698" s="28">
        <f>(H697-Inputs!$D$13)/Inputs!$D$10</f>
        <v>4.7145790554414786</v>
      </c>
      <c r="I698" s="28">
        <f>(I697-Inputs!$D$13)/Inputs!$D$10</f>
        <v>5.7166324435318279</v>
      </c>
      <c r="J698" s="28">
        <f>(J697-Inputs!$D$13)/Inputs!$D$10</f>
        <v>6.7159479808350442</v>
      </c>
      <c r="K698" s="28">
        <f>(K697-Inputs!$D$13)/Inputs!$D$10</f>
        <v>7.7152635181382614</v>
      </c>
      <c r="L698" s="28">
        <f>(L697-Inputs!$D$13)/Inputs!$D$10</f>
        <v>8.7145790554414777</v>
      </c>
      <c r="M698" s="28">
        <f>(M697-Inputs!$D$13)/Inputs!$D$10</f>
        <v>9.716632443531827</v>
      </c>
    </row>
    <row r="699" spans="1:13" ht="15" customHeight="1" x14ac:dyDescent="0.2">
      <c r="A699" s="91"/>
      <c r="B699" s="10" t="s">
        <v>889</v>
      </c>
      <c r="C699" s="10" t="s">
        <v>107</v>
      </c>
      <c r="D699" s="28">
        <f>D698</f>
        <v>0.71457905544147848</v>
      </c>
      <c r="E699" s="28">
        <f>Inputs!$D$7</f>
        <v>1</v>
      </c>
      <c r="F699" s="28">
        <f>Inputs!$D$7</f>
        <v>1</v>
      </c>
      <c r="G699" s="28">
        <f>Inputs!$D$7</f>
        <v>1</v>
      </c>
      <c r="H699" s="28">
        <f>Inputs!$D$7</f>
        <v>1</v>
      </c>
      <c r="I699" s="28">
        <f>Inputs!$D$7</f>
        <v>1</v>
      </c>
      <c r="J699" s="28">
        <f>Inputs!$D$7</f>
        <v>1</v>
      </c>
      <c r="K699" s="28">
        <f>Inputs!$D$7</f>
        <v>1</v>
      </c>
      <c r="L699" s="28">
        <f>Inputs!$D$7</f>
        <v>1</v>
      </c>
      <c r="M699" s="28">
        <f>Inputs!$D$7</f>
        <v>1</v>
      </c>
    </row>
    <row r="700" spans="1:13" ht="15" customHeight="1" x14ac:dyDescent="0.2">
      <c r="A700" s="91"/>
      <c r="B700" s="3" t="s">
        <v>890</v>
      </c>
      <c r="C700" s="10" t="s">
        <v>199</v>
      </c>
      <c r="D700" s="28">
        <f>Inputs!$D$24+(Inputs!$D$80-Inputs!$D$24)*Inputs!$D$83</f>
        <v>305.5</v>
      </c>
      <c r="E700" s="28">
        <f>Inputs!$D$24+(Inputs!$D$80-Inputs!$D$24)*Inputs!$D$84</f>
        <v>651.5</v>
      </c>
      <c r="F700" s="28">
        <f>Inputs!$D$24+(Inputs!$D$80-Inputs!$D$24)*Inputs!$D$85</f>
        <v>911</v>
      </c>
      <c r="G700" s="28">
        <f>Inputs!$D$24+(Inputs!$D$80-Inputs!$D$24)*Inputs!$D$86</f>
        <v>911</v>
      </c>
      <c r="H700" s="28">
        <f>Inputs!$D$24+(Inputs!$D$80-Inputs!$D$24)*Inputs!$D$87</f>
        <v>911</v>
      </c>
      <c r="I700" s="28">
        <f>Inputs!$D$24+(Inputs!$D$80-Inputs!$D$24)*Inputs!$D$88</f>
        <v>911</v>
      </c>
      <c r="J700" s="28">
        <f>Inputs!$D$24+(Inputs!$D$80-Inputs!$D$24)*Inputs!$D$89</f>
        <v>911</v>
      </c>
      <c r="K700" s="28">
        <f>Inputs!$D$24+(Inputs!$D$80-Inputs!$D$24)*Inputs!$D$90</f>
        <v>911</v>
      </c>
      <c r="L700" s="28">
        <f>Inputs!$D$24+(Inputs!$D$80-Inputs!$D$24)*Inputs!$D$91</f>
        <v>911</v>
      </c>
      <c r="M700" s="28">
        <f>Inputs!$D$24+(Inputs!$D$80-Inputs!$D$24)*Inputs!$D$92</f>
        <v>911</v>
      </c>
    </row>
    <row r="701" spans="1:13" ht="15" customHeight="1" x14ac:dyDescent="0.2">
      <c r="A701" s="91"/>
      <c r="B701" s="10" t="s">
        <v>891</v>
      </c>
      <c r="C701" s="10" t="s">
        <v>199</v>
      </c>
      <c r="D701" s="28">
        <f>Inputs!$D$24</f>
        <v>46</v>
      </c>
      <c r="E701" s="28">
        <f t="shared" ref="E701:M701" si="150">D700</f>
        <v>305.5</v>
      </c>
      <c r="F701" s="28">
        <f t="shared" si="150"/>
        <v>651.5</v>
      </c>
      <c r="G701" s="28">
        <f t="shared" si="150"/>
        <v>911</v>
      </c>
      <c r="H701" s="28">
        <f t="shared" si="150"/>
        <v>911</v>
      </c>
      <c r="I701" s="28">
        <f t="shared" si="150"/>
        <v>911</v>
      </c>
      <c r="J701" s="28">
        <f t="shared" si="150"/>
        <v>911</v>
      </c>
      <c r="K701" s="28">
        <f t="shared" si="150"/>
        <v>911</v>
      </c>
      <c r="L701" s="28">
        <f t="shared" si="150"/>
        <v>911</v>
      </c>
      <c r="M701" s="28">
        <f t="shared" si="150"/>
        <v>911</v>
      </c>
    </row>
    <row r="702" spans="1:13" ht="15" customHeight="1" x14ac:dyDescent="0.2">
      <c r="B702" s="10" t="s">
        <v>892</v>
      </c>
      <c r="C702" s="10" t="s">
        <v>199</v>
      </c>
      <c r="D702" s="28">
        <f>(D701+D700)*Inputs!$D$12</f>
        <v>175.75</v>
      </c>
      <c r="E702" s="28">
        <f>(E701+E700)*Inputs!$D$12</f>
        <v>478.5</v>
      </c>
      <c r="F702" s="28">
        <f>(F701+F700)*Inputs!$D$12</f>
        <v>781.25</v>
      </c>
      <c r="G702" s="28">
        <f>(G701+G700)*Inputs!$D$12</f>
        <v>911</v>
      </c>
      <c r="H702" s="28">
        <f>(H701+H700)*Inputs!$D$12</f>
        <v>911</v>
      </c>
      <c r="I702" s="28">
        <f>(I701+I700)*Inputs!$D$12</f>
        <v>911</v>
      </c>
      <c r="J702" s="28">
        <f>(J701+J700)*Inputs!$D$12</f>
        <v>911</v>
      </c>
      <c r="K702" s="28">
        <f>(K701+K700)*Inputs!$D$12</f>
        <v>911</v>
      </c>
      <c r="L702" s="28">
        <f>(L701+L700)*Inputs!$D$12</f>
        <v>911</v>
      </c>
      <c r="M702" s="28">
        <f>(M701+M700)*Inputs!$D$12</f>
        <v>911</v>
      </c>
    </row>
    <row r="703" spans="1:13" ht="15" customHeight="1" x14ac:dyDescent="0.2">
      <c r="B703" s="10" t="s">
        <v>893</v>
      </c>
      <c r="C703" s="10" t="s">
        <v>199</v>
      </c>
      <c r="D703" s="28">
        <f t="shared" ref="D703:M703" si="151">D700-D701</f>
        <v>259.5</v>
      </c>
      <c r="E703" s="28">
        <f t="shared" si="151"/>
        <v>346</v>
      </c>
      <c r="F703" s="28">
        <f t="shared" si="151"/>
        <v>259.5</v>
      </c>
      <c r="G703" s="28">
        <f t="shared" si="151"/>
        <v>0</v>
      </c>
      <c r="H703" s="28">
        <f t="shared" si="151"/>
        <v>0</v>
      </c>
      <c r="I703" s="28">
        <f t="shared" si="151"/>
        <v>0</v>
      </c>
      <c r="J703" s="28">
        <f t="shared" si="151"/>
        <v>0</v>
      </c>
      <c r="K703" s="28">
        <f t="shared" si="151"/>
        <v>0</v>
      </c>
      <c r="L703" s="28">
        <f t="shared" si="151"/>
        <v>0</v>
      </c>
      <c r="M703" s="28">
        <f t="shared" si="151"/>
        <v>0</v>
      </c>
    </row>
    <row r="704" spans="1:13" ht="15" customHeight="1" x14ac:dyDescent="0.2">
      <c r="B704" s="10" t="s">
        <v>894</v>
      </c>
      <c r="C704" s="10" t="s">
        <v>199</v>
      </c>
      <c r="D704" s="28">
        <f>IF(MOD(D696,Inputs!$D$21)=Inputs!$D$6,Inputs!$D$24,Inputs!$D$6)+SUMPRODUCT(--(D696&gt;$D$696:$M$696),--(MOD(D696-$D$696:$M$696,Inputs!$D$21)=Inputs!$D$6),$D$703:$M$703)</f>
        <v>0</v>
      </c>
      <c r="E704" s="28">
        <f>IF(MOD(E696,Inputs!$D$21)=Inputs!$D$6,Inputs!$D$24,Inputs!$D$6)+SUMPRODUCT(--(E696&gt;$D$696:$M$696),--(MOD(E696-$D$696:$M$696,Inputs!$D$21)=Inputs!$D$6),$D$703:$M$703)</f>
        <v>0</v>
      </c>
      <c r="F704" s="28">
        <f>IF(MOD(F696,Inputs!$D$21)=Inputs!$D$6,Inputs!$D$24,Inputs!$D$6)+SUMPRODUCT(--(F696&gt;$D$696:$M$696),--(MOD(F696-$D$696:$M$696,Inputs!$D$21)=Inputs!$D$6),$D$703:$M$703)</f>
        <v>0</v>
      </c>
      <c r="G704" s="28">
        <f>IF(MOD(G696,Inputs!$D$21)=Inputs!$D$6,Inputs!$D$24,Inputs!$D$6)+SUMPRODUCT(--(G696&gt;$D$696:$M$696),--(MOD(G696-$D$696:$M$696,Inputs!$D$21)=Inputs!$D$6),$D$703:$M$703)</f>
        <v>46</v>
      </c>
      <c r="H704" s="28">
        <f>IF(MOD(H696,Inputs!$D$21)=Inputs!$D$6,Inputs!$D$24,Inputs!$D$6)+SUMPRODUCT(--(H696&gt;$D$696:$M$696),--(MOD(H696-$D$696:$M$696,Inputs!$D$21)=Inputs!$D$6),$D$703:$M$703)</f>
        <v>259.5</v>
      </c>
      <c r="I704" s="28">
        <f>IF(MOD(I696,Inputs!$D$21)=Inputs!$D$6,Inputs!$D$24,Inputs!$D$6)+SUMPRODUCT(--(I696&gt;$D$696:$M$696),--(MOD(I696-$D$696:$M$696,Inputs!$D$21)=Inputs!$D$6),$D$703:$M$703)</f>
        <v>346</v>
      </c>
      <c r="J704" s="28">
        <f>IF(MOD(J696,Inputs!$D$21)=Inputs!$D$6,Inputs!$D$24,Inputs!$D$6)+SUMPRODUCT(--(J696&gt;$D$696:$M$696),--(MOD(J696-$D$696:$M$696,Inputs!$D$21)=Inputs!$D$6),$D$703:$M$703)</f>
        <v>259.5</v>
      </c>
      <c r="K704" s="28">
        <f>IF(MOD(K696,Inputs!$D$21)=Inputs!$D$6,Inputs!$D$24,Inputs!$D$6)+SUMPRODUCT(--(K696&gt;$D$696:$M$696),--(MOD(K696-$D$696:$M$696,Inputs!$D$21)=Inputs!$D$6),$D$703:$M$703)</f>
        <v>46</v>
      </c>
      <c r="L704" s="28">
        <f>IF(MOD(L696,Inputs!$D$21)=Inputs!$D$6,Inputs!$D$24,Inputs!$D$6)+SUMPRODUCT(--(L696&gt;$D$696:$M$696),--(MOD(L696-$D$696:$M$696,Inputs!$D$21)=Inputs!$D$6),$D$703:$M$703)</f>
        <v>259.5</v>
      </c>
      <c r="M704" s="28">
        <f>IF(MOD(M696,Inputs!$D$21)=Inputs!$D$6,Inputs!$D$24,Inputs!$D$6)+SUMPRODUCT(--(M696&gt;$D$696:$M$696),--(MOD(M696-$D$696:$M$696,Inputs!$D$21)=Inputs!$D$6),$D$703:$M$703)</f>
        <v>346</v>
      </c>
    </row>
    <row r="705" spans="2:13" ht="15" customHeight="1" x14ac:dyDescent="0.2">
      <c r="B705" s="10" t="s">
        <v>895</v>
      </c>
      <c r="C705" s="10" t="s">
        <v>896</v>
      </c>
      <c r="D705" s="28">
        <f t="shared" ref="D705:M705" si="152">D702*D699</f>
        <v>125.58726899383984</v>
      </c>
      <c r="E705" s="28">
        <f t="shared" si="152"/>
        <v>478.5</v>
      </c>
      <c r="F705" s="28">
        <f t="shared" si="152"/>
        <v>781.25</v>
      </c>
      <c r="G705" s="28">
        <f t="shared" si="152"/>
        <v>911</v>
      </c>
      <c r="H705" s="28">
        <f t="shared" si="152"/>
        <v>911</v>
      </c>
      <c r="I705" s="28">
        <f t="shared" si="152"/>
        <v>911</v>
      </c>
      <c r="J705" s="28">
        <f t="shared" si="152"/>
        <v>911</v>
      </c>
      <c r="K705" s="28">
        <f t="shared" si="152"/>
        <v>911</v>
      </c>
      <c r="L705" s="28">
        <f t="shared" si="152"/>
        <v>911</v>
      </c>
      <c r="M705" s="28">
        <f t="shared" si="152"/>
        <v>911</v>
      </c>
    </row>
    <row r="706" spans="2:13" ht="15" customHeight="1" x14ac:dyDescent="0.2">
      <c r="B706" s="10" t="s">
        <v>897</v>
      </c>
      <c r="C706" s="10" t="s">
        <v>110</v>
      </c>
      <c r="D706" s="16">
        <f>D705*($D$725/Inputs!$D$21+$D$726/Inputs!$D$22)</f>
        <v>1816.9772859324419</v>
      </c>
      <c r="E706" s="16">
        <f>E705*($D$725/Inputs!$D$21+$D$726/Inputs!$D$22)</f>
        <v>6922.8643817497086</v>
      </c>
      <c r="F706" s="16">
        <f>F705*($D$725/Inputs!$D$21+$D$726/Inputs!$D$22)</f>
        <v>11303.0048030135</v>
      </c>
      <c r="G706" s="16">
        <f>G705*($D$725/Inputs!$D$21+$D$726/Inputs!$D$22)</f>
        <v>13180.207840697982</v>
      </c>
      <c r="H706" s="16">
        <f>H705*($D$725/Inputs!$D$21+$D$726/Inputs!$D$22)</f>
        <v>13180.207840697982</v>
      </c>
      <c r="I706" s="16">
        <f>I705*($D$725/Inputs!$D$21+$D$726/Inputs!$D$22)</f>
        <v>13180.207840697982</v>
      </c>
      <c r="J706" s="16">
        <f>J705*($D$725/Inputs!$D$21+$D$726/Inputs!$D$22)</f>
        <v>13180.207840697982</v>
      </c>
      <c r="K706" s="16">
        <f>K705*($D$725/Inputs!$D$21+$D$726/Inputs!$D$22)</f>
        <v>13180.207840697982</v>
      </c>
      <c r="L706" s="16">
        <f>L705*($D$725/Inputs!$D$21+$D$726/Inputs!$D$22)</f>
        <v>13180.207840697982</v>
      </c>
      <c r="M706" s="16">
        <f>M705*($D$725/Inputs!$D$21+$D$726/Inputs!$D$22)</f>
        <v>13180.207840697982</v>
      </c>
    </row>
    <row r="707" spans="2:13" ht="15" customHeight="1" x14ac:dyDescent="0.2">
      <c r="B707" s="10" t="s">
        <v>898</v>
      </c>
      <c r="C707" s="10" t="s">
        <v>110</v>
      </c>
      <c r="D707" s="16">
        <f t="shared" ref="D707:M707" si="153">D703*($D$725+$D$726)</f>
        <v>15560.968620146154</v>
      </c>
      <c r="E707" s="16">
        <f t="shared" si="153"/>
        <v>20747.95816019487</v>
      </c>
      <c r="F707" s="16">
        <f t="shared" si="153"/>
        <v>15560.968620146154</v>
      </c>
      <c r="G707" s="16">
        <f t="shared" si="153"/>
        <v>0</v>
      </c>
      <c r="H707" s="16">
        <f t="shared" si="153"/>
        <v>0</v>
      </c>
      <c r="I707" s="16">
        <f t="shared" si="153"/>
        <v>0</v>
      </c>
      <c r="J707" s="16">
        <f t="shared" si="153"/>
        <v>0</v>
      </c>
      <c r="K707" s="16">
        <f t="shared" si="153"/>
        <v>0</v>
      </c>
      <c r="L707" s="16">
        <f t="shared" si="153"/>
        <v>0</v>
      </c>
      <c r="M707" s="16">
        <f t="shared" si="153"/>
        <v>0</v>
      </c>
    </row>
    <row r="708" spans="2:13" ht="15" customHeight="1" x14ac:dyDescent="0.2">
      <c r="B708" s="10" t="s">
        <v>899</v>
      </c>
      <c r="C708" s="10" t="s">
        <v>110</v>
      </c>
      <c r="D708" s="16">
        <f t="shared" ref="D708:M708" si="154">D704*$D$725</f>
        <v>0</v>
      </c>
      <c r="E708" s="16">
        <f t="shared" si="154"/>
        <v>0</v>
      </c>
      <c r="F708" s="16">
        <f t="shared" si="154"/>
        <v>0</v>
      </c>
      <c r="G708" s="16">
        <f t="shared" si="154"/>
        <v>2638.0048485671714</v>
      </c>
      <c r="H708" s="16">
        <f t="shared" si="154"/>
        <v>14881.788221808281</v>
      </c>
      <c r="I708" s="16">
        <f t="shared" si="154"/>
        <v>19842.384295744378</v>
      </c>
      <c r="J708" s="16">
        <f t="shared" si="154"/>
        <v>14881.788221808281</v>
      </c>
      <c r="K708" s="16">
        <f t="shared" si="154"/>
        <v>2638.0048485671714</v>
      </c>
      <c r="L708" s="16">
        <f t="shared" si="154"/>
        <v>14881.788221808281</v>
      </c>
      <c r="M708" s="16">
        <f t="shared" si="154"/>
        <v>19842.384295744378</v>
      </c>
    </row>
    <row r="709" spans="2:13" ht="15" customHeight="1" x14ac:dyDescent="0.2">
      <c r="B709" s="10" t="s">
        <v>900</v>
      </c>
      <c r="C709" s="10" t="s">
        <v>199</v>
      </c>
      <c r="D709" s="28">
        <f>D703*Inputs!$D$23</f>
        <v>6.4875000000000007</v>
      </c>
      <c r="E709" s="28">
        <f>E703*Inputs!$D$23</f>
        <v>8.65</v>
      </c>
      <c r="F709" s="28">
        <f>F703*Inputs!$D$23</f>
        <v>6.4875000000000007</v>
      </c>
      <c r="G709" s="28">
        <f>G703*Inputs!$D$23</f>
        <v>0</v>
      </c>
      <c r="H709" s="28">
        <f>H703*Inputs!$D$23</f>
        <v>0</v>
      </c>
      <c r="I709" s="28">
        <f>I703*Inputs!$D$23</f>
        <v>0</v>
      </c>
      <c r="J709" s="28">
        <f>J703*Inputs!$D$23</f>
        <v>0</v>
      </c>
      <c r="K709" s="28">
        <f>K703*Inputs!$D$23</f>
        <v>0</v>
      </c>
      <c r="L709" s="28">
        <f>L703*Inputs!$D$23</f>
        <v>0</v>
      </c>
      <c r="M709" s="28">
        <f>M703*Inputs!$D$23</f>
        <v>0</v>
      </c>
    </row>
    <row r="710" spans="2:13" ht="15" customHeight="1" x14ac:dyDescent="0.2">
      <c r="B710" s="3" t="s">
        <v>901</v>
      </c>
      <c r="C710" s="10" t="s">
        <v>896</v>
      </c>
      <c r="D710" s="28">
        <f>(D705*$D$723*(Inputs!$D$7-Inputs!$D$19)-D709)/(Inputs!$D$7+$D$724)^D698</f>
        <v>50.12984638682326</v>
      </c>
      <c r="E710" s="28">
        <f>(E705*$D$723*(Inputs!$D$7-Inputs!$D$19)-E709)/(Inputs!$D$7+$D$724)^E698</f>
        <v>180.33003750737836</v>
      </c>
      <c r="F710" s="28">
        <f>(F705*$D$723*(Inputs!$D$7-Inputs!$D$19)-F709)/(Inputs!$D$7+$D$724)^F698</f>
        <v>263.64069887024272</v>
      </c>
      <c r="G710" s="28">
        <f>(G705*$D$723*(Inputs!$D$7-Inputs!$D$19)-G709)/(Inputs!$D$7+$D$724)^G698</f>
        <v>274.34556179747091</v>
      </c>
      <c r="H710" s="28">
        <f>(H705*$D$723*(Inputs!$D$7-Inputs!$D$19)-H709)/(Inputs!$D$7+$D$724)^H698</f>
        <v>240.67558534790513</v>
      </c>
      <c r="I710" s="28">
        <f>(I705*$D$723*(Inputs!$D$7-Inputs!$D$19)-I709)/(Inputs!$D$7+$D$724)^I698</f>
        <v>211.0621402114879</v>
      </c>
      <c r="J710" s="28">
        <f>(J705*$D$723*(Inputs!$D$7-Inputs!$D$19)-J709)/(Inputs!$D$7+$D$724)^J698</f>
        <v>185.1588332880761</v>
      </c>
      <c r="K710" s="28">
        <f>(K705*$D$723*(Inputs!$D$7-Inputs!$D$19)-K709)/(Inputs!$D$7+$D$724)^K698</f>
        <v>162.43459632432703</v>
      </c>
      <c r="L710" s="28">
        <f>(L705*$D$723*(Inputs!$D$7-Inputs!$D$19)-L709)/(Inputs!$D$7+$D$724)^L698</f>
        <v>142.49926732902043</v>
      </c>
      <c r="M710" s="28">
        <f>(M705*$D$723*(Inputs!$D$7-Inputs!$D$19)-M709)/(Inputs!$D$7+$D$724)^M698</f>
        <v>124.96573051876359</v>
      </c>
    </row>
    <row r="711" spans="2:13" ht="15" customHeight="1" x14ac:dyDescent="0.2">
      <c r="B711" s="10" t="s">
        <v>902</v>
      </c>
      <c r="C711" s="10" t="s">
        <v>110</v>
      </c>
      <c r="D711" s="16">
        <f>(D706*Inputs!$D$19-D707-D708)/(Inputs!$D$7+$D$724)^D698</f>
        <v>-13673.750208995338</v>
      </c>
      <c r="E711" s="16">
        <f>(E706*Inputs!$D$19-E707-E708)/(Inputs!$D$7+$D$724)^E698</f>
        <v>-14910.258198718562</v>
      </c>
      <c r="F711" s="16">
        <f>(F706*Inputs!$D$19-F707-F708)/(Inputs!$D$7+$D$724)^F698</f>
        <v>-8525.9417164238148</v>
      </c>
      <c r="G711" s="16">
        <f>(G706*Inputs!$D$19-G707-G708)/(Inputs!$D$7+$D$724)^G698</f>
        <v>808.83204192410847</v>
      </c>
      <c r="H711" s="16">
        <f>(H706*Inputs!$D$19-H707-H708)/(Inputs!$D$7+$D$724)^H698</f>
        <v>-5891.7915280072548</v>
      </c>
      <c r="I711" s="16">
        <f>(I706*Inputs!$D$19-I707-I708)/(Inputs!$D$7+$D$724)^I698</f>
        <v>-7512.3171078465948</v>
      </c>
      <c r="J711" s="16">
        <f>(J706*Inputs!$D$19-J707-J708)/(Inputs!$D$7+$D$724)^J698</f>
        <v>-4532.7291662153211</v>
      </c>
      <c r="K711" s="16">
        <f>(K706*Inputs!$D$19-K707-K708)/(Inputs!$D$7+$D$724)^K698</f>
        <v>478.89349972832292</v>
      </c>
      <c r="L711" s="16">
        <f>(L706*Inputs!$D$19-L707-L708)/(Inputs!$D$7+$D$724)^L698</f>
        <v>-3488.413562109869</v>
      </c>
      <c r="M711" s="16">
        <f>(M706*Inputs!$D$19-M707-M708)/(Inputs!$D$7+$D$724)^M698</f>
        <v>-4447.8947969066312</v>
      </c>
    </row>
    <row r="712" spans="2:13" ht="15" customHeight="1" x14ac:dyDescent="0.2">
      <c r="B712" s="10" t="s">
        <v>903</v>
      </c>
      <c r="C712" s="10" t="s">
        <v>110</v>
      </c>
      <c r="D712" s="16">
        <f t="shared" ref="D712:M712" si="155">D705*$D$722</f>
        <v>5612.8784447373691</v>
      </c>
      <c r="E712" s="16">
        <f t="shared" si="155"/>
        <v>21385.625767039892</v>
      </c>
      <c r="F712" s="16">
        <f t="shared" si="155"/>
        <v>34916.44750365708</v>
      </c>
      <c r="G712" s="16">
        <f t="shared" si="155"/>
        <v>40715.371105064449</v>
      </c>
      <c r="H712" s="16">
        <f t="shared" si="155"/>
        <v>40715.371105064449</v>
      </c>
      <c r="I712" s="16">
        <f t="shared" si="155"/>
        <v>40715.371105064449</v>
      </c>
      <c r="J712" s="16">
        <f t="shared" si="155"/>
        <v>40715.371105064449</v>
      </c>
      <c r="K712" s="16">
        <f t="shared" si="155"/>
        <v>40715.371105064449</v>
      </c>
      <c r="L712" s="16">
        <f t="shared" si="155"/>
        <v>40715.371105064449</v>
      </c>
      <c r="M712" s="16">
        <f t="shared" si="155"/>
        <v>40715.371105064449</v>
      </c>
    </row>
    <row r="713" spans="2:13" ht="15" customHeight="1" x14ac:dyDescent="0.2">
      <c r="B713" s="10" t="s">
        <v>904</v>
      </c>
      <c r="C713" s="10" t="s">
        <v>110</v>
      </c>
      <c r="D713" s="16">
        <f t="shared" ref="D713:M713" si="156">D712*$D$723</f>
        <v>3929.0149113161583</v>
      </c>
      <c r="E713" s="16">
        <f t="shared" si="156"/>
        <v>14969.938036927922</v>
      </c>
      <c r="F713" s="16">
        <f t="shared" si="156"/>
        <v>24441.513252559955</v>
      </c>
      <c r="G713" s="16">
        <f t="shared" si="156"/>
        <v>28500.759773545113</v>
      </c>
      <c r="H713" s="16">
        <f t="shared" si="156"/>
        <v>28500.759773545113</v>
      </c>
      <c r="I713" s="16">
        <f t="shared" si="156"/>
        <v>28500.759773545113</v>
      </c>
      <c r="J713" s="16">
        <f t="shared" si="156"/>
        <v>28500.759773545113</v>
      </c>
      <c r="K713" s="16">
        <f t="shared" si="156"/>
        <v>28500.759773545113</v>
      </c>
      <c r="L713" s="16">
        <f t="shared" si="156"/>
        <v>28500.759773545113</v>
      </c>
      <c r="M713" s="16">
        <f t="shared" si="156"/>
        <v>28500.759773545113</v>
      </c>
    </row>
    <row r="714" spans="2:13" ht="15" customHeight="1" x14ac:dyDescent="0.2">
      <c r="B714" s="10" t="s">
        <v>905</v>
      </c>
      <c r="C714" s="10" t="s">
        <v>110</v>
      </c>
      <c r="D714" s="16">
        <f t="shared" ref="D714:M714" si="157">D713-D706</f>
        <v>2112.0376253837167</v>
      </c>
      <c r="E714" s="16">
        <f t="shared" si="157"/>
        <v>8047.0736551782138</v>
      </c>
      <c r="F714" s="16">
        <f t="shared" si="157"/>
        <v>13138.508449546454</v>
      </c>
      <c r="G714" s="16">
        <f t="shared" si="157"/>
        <v>15320.551932847131</v>
      </c>
      <c r="H714" s="16">
        <f t="shared" si="157"/>
        <v>15320.551932847131</v>
      </c>
      <c r="I714" s="16">
        <f t="shared" si="157"/>
        <v>15320.551932847131</v>
      </c>
      <c r="J714" s="16">
        <f t="shared" si="157"/>
        <v>15320.551932847131</v>
      </c>
      <c r="K714" s="16">
        <f t="shared" si="157"/>
        <v>15320.551932847131</v>
      </c>
      <c r="L714" s="16">
        <f t="shared" si="157"/>
        <v>15320.551932847131</v>
      </c>
      <c r="M714" s="16">
        <f t="shared" si="157"/>
        <v>15320.551932847131</v>
      </c>
    </row>
    <row r="715" spans="2:13" ht="15" customHeight="1" x14ac:dyDescent="0.2">
      <c r="B715" s="10" t="s">
        <v>906</v>
      </c>
      <c r="C715" s="10" t="s">
        <v>110</v>
      </c>
      <c r="D715" s="16">
        <f>MAX(D714,Inputs!$D$6)*Inputs!$D$19</f>
        <v>633.61128761511497</v>
      </c>
      <c r="E715" s="16">
        <f>MAX(E714,Inputs!$D$6)*Inputs!$D$19</f>
        <v>2414.122096553464</v>
      </c>
      <c r="F715" s="16">
        <f>MAX(F714,Inputs!$D$6)*Inputs!$D$19</f>
        <v>3941.5525348639362</v>
      </c>
      <c r="G715" s="16">
        <f>MAX(G714,Inputs!$D$6)*Inputs!$D$19</f>
        <v>4596.1655798541387</v>
      </c>
      <c r="H715" s="16">
        <f>MAX(H714,Inputs!$D$6)*Inputs!$D$19</f>
        <v>4596.1655798541387</v>
      </c>
      <c r="I715" s="16">
        <f>MAX(I714,Inputs!$D$6)*Inputs!$D$19</f>
        <v>4596.1655798541387</v>
      </c>
      <c r="J715" s="16">
        <f>MAX(J714,Inputs!$D$6)*Inputs!$D$19</f>
        <v>4596.1655798541387</v>
      </c>
      <c r="K715" s="16">
        <f>MAX(K714,Inputs!$D$6)*Inputs!$D$19</f>
        <v>4596.1655798541387</v>
      </c>
      <c r="L715" s="16">
        <f>MAX(L714,Inputs!$D$6)*Inputs!$D$19</f>
        <v>4596.1655798541387</v>
      </c>
      <c r="M715" s="16">
        <f>MAX(M714,Inputs!$D$6)*Inputs!$D$19</f>
        <v>4596.1655798541387</v>
      </c>
    </row>
    <row r="716" spans="2:13" ht="15" customHeight="1" x14ac:dyDescent="0.2">
      <c r="B716" s="10" t="s">
        <v>907</v>
      </c>
      <c r="C716" s="10" t="s">
        <v>110</v>
      </c>
      <c r="D716" s="16">
        <f t="shared" ref="D716:M716" si="158">D709*$D$722</f>
        <v>289.94618007036843</v>
      </c>
      <c r="E716" s="16">
        <f t="shared" si="158"/>
        <v>386.59490676049126</v>
      </c>
      <c r="F716" s="16">
        <f t="shared" si="158"/>
        <v>289.94618007036843</v>
      </c>
      <c r="G716" s="16">
        <f t="shared" si="158"/>
        <v>0</v>
      </c>
      <c r="H716" s="16">
        <f t="shared" si="158"/>
        <v>0</v>
      </c>
      <c r="I716" s="16">
        <f t="shared" si="158"/>
        <v>0</v>
      </c>
      <c r="J716" s="16">
        <f t="shared" si="158"/>
        <v>0</v>
      </c>
      <c r="K716" s="16">
        <f t="shared" si="158"/>
        <v>0</v>
      </c>
      <c r="L716" s="16">
        <f t="shared" si="158"/>
        <v>0</v>
      </c>
      <c r="M716" s="16">
        <f t="shared" si="158"/>
        <v>0</v>
      </c>
    </row>
    <row r="717" spans="2:13" ht="15" customHeight="1" x14ac:dyDescent="0.2">
      <c r="B717" s="10" t="s">
        <v>908</v>
      </c>
      <c r="C717" s="10" t="s">
        <v>110</v>
      </c>
      <c r="D717" s="16">
        <f t="shared" ref="D717:M717" si="159">D713-D715-D707-D708-D716</f>
        <v>-12555.51117651548</v>
      </c>
      <c r="E717" s="16">
        <f t="shared" si="159"/>
        <v>-8578.7371265809034</v>
      </c>
      <c r="F717" s="16">
        <f t="shared" si="159"/>
        <v>4649.0459174794978</v>
      </c>
      <c r="G717" s="16">
        <f t="shared" si="159"/>
        <v>21266.589345123801</v>
      </c>
      <c r="H717" s="16">
        <f t="shared" si="159"/>
        <v>9022.8059718826917</v>
      </c>
      <c r="I717" s="16">
        <f t="shared" si="159"/>
        <v>4062.2098979465954</v>
      </c>
      <c r="J717" s="16">
        <f t="shared" si="159"/>
        <v>9022.8059718826917</v>
      </c>
      <c r="K717" s="16">
        <f t="shared" si="159"/>
        <v>21266.589345123801</v>
      </c>
      <c r="L717" s="16">
        <f t="shared" si="159"/>
        <v>9022.8059718826917</v>
      </c>
      <c r="M717" s="16">
        <f t="shared" si="159"/>
        <v>4062.2098979465954</v>
      </c>
    </row>
    <row r="718" spans="2:13" ht="15" customHeight="1" x14ac:dyDescent="0.2">
      <c r="B718" s="10" t="s">
        <v>909</v>
      </c>
      <c r="C718" s="10" t="s">
        <v>110</v>
      </c>
      <c r="D718" s="16">
        <f>D717/(Inputs!$D$7+$D$724)^D698</f>
        <v>-11433.294337338497</v>
      </c>
      <c r="E718" s="16">
        <f>E717/(Inputs!$D$7+$D$724)^E698</f>
        <v>-6850.7583101311857</v>
      </c>
      <c r="F718" s="16">
        <f>F717/(Inputs!$D$7+$D$724)^F698</f>
        <v>3256.9659596469637</v>
      </c>
      <c r="G718" s="16">
        <f>G717/(Inputs!$D$7+$D$724)^G698</f>
        <v>13070.172722068368</v>
      </c>
      <c r="H718" s="16">
        <f>H717/(Inputs!$D$7+$D$724)^H698</f>
        <v>4864.7351167441948</v>
      </c>
      <c r="I718" s="16">
        <f>I717/(Inputs!$D$7+$D$724)^I698</f>
        <v>1920.6942696944341</v>
      </c>
      <c r="J718" s="16">
        <f>J717/(Inputs!$D$7+$D$724)^J698</f>
        <v>3742.584347181803</v>
      </c>
      <c r="K718" s="16">
        <f>K717/(Inputs!$D$7+$D$724)^K698</f>
        <v>7738.5914905585241</v>
      </c>
      <c r="L718" s="16">
        <f>L717/(Inputs!$D$7+$D$724)^L698</f>
        <v>2880.3137172544052</v>
      </c>
      <c r="M718" s="16">
        <f>M717/(Inputs!$D$7+$D$724)^M698</f>
        <v>1137.2051959440141</v>
      </c>
    </row>
    <row r="719" spans="2:13" ht="15" customHeight="1" x14ac:dyDescent="0.2">
      <c r="B719" s="3" t="s">
        <v>910</v>
      </c>
      <c r="C719" s="10" t="s">
        <v>896</v>
      </c>
      <c r="D719" s="28">
        <f>(D705*$D$723-D709)/(Inputs!$D$7+$D$724)^D698</f>
        <v>74.145913925683146</v>
      </c>
      <c r="E719" s="28">
        <f>(E705*$D$723-E709)/(Inputs!$D$7+$D$724)^E698</f>
        <v>260.57476801212306</v>
      </c>
      <c r="F719" s="28">
        <f>(F705*$D$723-F709)/(Inputs!$D$7+$D$724)^F698</f>
        <v>378.5773949664341</v>
      </c>
      <c r="G719" s="28">
        <f>(G705*$D$723-G709)/(Inputs!$D$7+$D$724)^G698</f>
        <v>391.92223113924416</v>
      </c>
      <c r="H719" s="28">
        <f>(H705*$D$723-H709)/(Inputs!$D$7+$D$724)^H698</f>
        <v>343.82226478272167</v>
      </c>
      <c r="I719" s="28">
        <f>(I705*$D$723-I709)/(Inputs!$D$7+$D$724)^I698</f>
        <v>301.51734315926848</v>
      </c>
      <c r="J719" s="28">
        <f>(J705*$D$723-J709)/(Inputs!$D$7+$D$724)^J698</f>
        <v>264.51261898296588</v>
      </c>
      <c r="K719" s="28">
        <f>(K705*$D$723-K709)/(Inputs!$D$7+$D$724)^K698</f>
        <v>232.04942332046721</v>
      </c>
      <c r="L719" s="28">
        <f>(L705*$D$723-L709)/(Inputs!$D$7+$D$724)^L698</f>
        <v>203.57038189860063</v>
      </c>
      <c r="M719" s="28">
        <f>(M705*$D$723-M709)/(Inputs!$D$7+$D$724)^M698</f>
        <v>178.52247216966228</v>
      </c>
    </row>
    <row r="720" spans="2:13" ht="15" customHeight="1" x14ac:dyDescent="0.2">
      <c r="B720" s="10" t="s">
        <v>911</v>
      </c>
      <c r="C720" s="10" t="s">
        <v>110</v>
      </c>
      <c r="D720" s="16">
        <f>(-D707-D708)/(Inputs!$D$7+$D$724)^D698</f>
        <v>-14170.122737893587</v>
      </c>
      <c r="E720" s="16">
        <f>(-E707-E708)/(Inputs!$D$7+$D$724)^E698</f>
        <v>-16568.784506031301</v>
      </c>
      <c r="F720" s="16">
        <f>(-F707-F708)/(Inputs!$D$7+$D$724)^F698</f>
        <v>-10901.493767656277</v>
      </c>
      <c r="G720" s="16">
        <f>(-G707-G708)/(Inputs!$D$7+$D$724)^G698</f>
        <v>-1621.2839046676961</v>
      </c>
      <c r="H720" s="16">
        <f>(-H707-H708)/(Inputs!$D$7+$D$724)^H698</f>
        <v>-8023.6633690433682</v>
      </c>
      <c r="I720" s="16">
        <f>(-I707-I708)/(Inputs!$D$7+$D$724)^I698</f>
        <v>-9381.8770500204446</v>
      </c>
      <c r="J720" s="16">
        <f>(-J707-J708)/(Inputs!$D$7+$D$724)^J698</f>
        <v>-6172.8411129063252</v>
      </c>
      <c r="K720" s="16">
        <f>(-K707-K708)/(Inputs!$D$7+$D$724)^K698</f>
        <v>-959.93022397147342</v>
      </c>
      <c r="L720" s="16">
        <f>(-L707-L708)/(Inputs!$D$7+$D$724)^L698</f>
        <v>-4750.6528330682277</v>
      </c>
      <c r="M720" s="16">
        <f>(-M707-M708)/(Inputs!$D$7+$D$724)^M698</f>
        <v>-5554.82436602912</v>
      </c>
    </row>
    <row r="721" spans="2:13" ht="15" customHeight="1" x14ac:dyDescent="0.2">
      <c r="B721" s="10" t="s">
        <v>912</v>
      </c>
      <c r="C721" s="10" t="s">
        <v>110</v>
      </c>
      <c r="D721" s="16">
        <f>Prices!I6</f>
        <v>43700</v>
      </c>
    </row>
    <row r="722" spans="2:13" ht="15" customHeight="1" x14ac:dyDescent="0.2">
      <c r="B722" s="3" t="s">
        <v>913</v>
      </c>
      <c r="C722" s="10" t="s">
        <v>914</v>
      </c>
      <c r="D722" s="28">
        <f>IF(J729&gt;=J725,J729,(D721-J728)/J727)</f>
        <v>44.693052804681066</v>
      </c>
      <c r="G722" s="99" t="s">
        <v>915</v>
      </c>
      <c r="H722" s="91"/>
      <c r="I722" s="91"/>
      <c r="J722" s="28">
        <f>D722*Inputs!$D$15</f>
        <v>31.191281552386915</v>
      </c>
      <c r="K722" s="99" t="s">
        <v>916</v>
      </c>
      <c r="L722" s="91"/>
      <c r="M722" s="91"/>
    </row>
    <row r="723" spans="2:13" ht="15" customHeight="1" x14ac:dyDescent="0.2">
      <c r="B723" s="10" t="s">
        <v>917</v>
      </c>
      <c r="C723" s="10" t="s">
        <v>104</v>
      </c>
      <c r="D723" s="30">
        <f>Inputs!$D$143</f>
        <v>0.7</v>
      </c>
      <c r="G723" s="99" t="s">
        <v>918</v>
      </c>
      <c r="H723" s="91"/>
      <c r="I723" s="91"/>
      <c r="J723" s="28">
        <f>IF(-D734/D733&gt;=J725,-D734/D733,-J728/J727)</f>
        <v>29.867840579129748</v>
      </c>
      <c r="K723" s="99" t="s">
        <v>919</v>
      </c>
      <c r="L723" s="91"/>
      <c r="M723" s="91"/>
    </row>
    <row r="724" spans="2:13" ht="15" customHeight="1" x14ac:dyDescent="0.2">
      <c r="B724" s="10" t="s">
        <v>920</v>
      </c>
      <c r="C724" s="10" t="s">
        <v>104</v>
      </c>
      <c r="D724" s="30">
        <f>Inputs!$D$149</f>
        <v>0.14000000000000001</v>
      </c>
      <c r="G724" s="99" t="s">
        <v>918</v>
      </c>
      <c r="H724" s="91"/>
      <c r="I724" s="91"/>
      <c r="J724" s="28">
        <f>J723*Inputs!$D$15</f>
        <v>20.84476594017465</v>
      </c>
      <c r="K724" s="99" t="s">
        <v>916</v>
      </c>
      <c r="L724" s="91"/>
      <c r="M724" s="91"/>
    </row>
    <row r="725" spans="2:13" ht="15" customHeight="1" x14ac:dyDescent="0.2">
      <c r="B725" s="3" t="s">
        <v>921</v>
      </c>
      <c r="C725" s="10" t="s">
        <v>848</v>
      </c>
      <c r="D725" s="28">
        <f>Capital!$D$13</f>
        <v>57.347931490590682</v>
      </c>
      <c r="G725" s="99" t="s">
        <v>922</v>
      </c>
      <c r="H725" s="91"/>
      <c r="I725" s="91"/>
      <c r="J725" s="28">
        <f>($D$725/Inputs!$D$21+$D$726/Inputs!$D$22)/$D$723</f>
        <v>20.668351639796114</v>
      </c>
      <c r="K725" s="99" t="s">
        <v>919</v>
      </c>
      <c r="L725" s="91"/>
      <c r="M725" s="91"/>
    </row>
    <row r="726" spans="2:13" ht="15" customHeight="1" x14ac:dyDescent="0.2">
      <c r="B726" s="3" t="s">
        <v>923</v>
      </c>
      <c r="C726" s="10" t="s">
        <v>848</v>
      </c>
      <c r="D726" s="28">
        <f>Capital!$D$14</f>
        <v>2.6172655041921802</v>
      </c>
    </row>
    <row r="727" spans="2:13" ht="15" customHeight="1" x14ac:dyDescent="0.2">
      <c r="B727" s="10" t="s">
        <v>924</v>
      </c>
      <c r="C727" s="10" t="s">
        <v>896</v>
      </c>
      <c r="D727" s="28">
        <f>(M700*(Inputs!$D$7+Inputs!$D$20)*$D$723*(Inputs!$D$7-Inputs!$D$19)-M700*Inputs!$D$20*Inputs!$D$23)/($D$724-Inputs!$D$20)/(Inputs!$D$7+$D$724)^M698</f>
        <v>1112.4389453677863</v>
      </c>
      <c r="G727" s="92" t="s">
        <v>910</v>
      </c>
      <c r="H727" s="91"/>
      <c r="I727" s="91"/>
      <c r="J727" s="28">
        <f>SUM(D719:M719)+(M700*(Inputs!$D$7+Inputs!$D$20)*$D$723-M700*Inputs!$D$20*Inputs!$D$23)/($D$724-Inputs!$D$20)/(Inputs!$D$7+$D$724)^M698</f>
        <v>4219.0073246134016</v>
      </c>
      <c r="K727" s="99" t="s">
        <v>896</v>
      </c>
      <c r="L727" s="91"/>
      <c r="M727" s="91"/>
    </row>
    <row r="728" spans="2:13" ht="15" customHeight="1" x14ac:dyDescent="0.2">
      <c r="B728" s="10" t="s">
        <v>925</v>
      </c>
      <c r="C728" s="10" t="s">
        <v>110</v>
      </c>
      <c r="D728" s="16">
        <f>(D731*Inputs!$D$19-D731-D732)/($D$724-Inputs!$D$20)/(Inputs!$D$7+$D$724)^M698</f>
        <v>-26345.502698929216</v>
      </c>
      <c r="G728" s="92" t="s">
        <v>926</v>
      </c>
      <c r="H728" s="91"/>
      <c r="I728" s="91"/>
      <c r="J728" s="16">
        <f>SUM(D720:M720)-(D731+D732)/($D$724-Inputs!$D$20)/(Inputs!$D$7+$D$724)^M698</f>
        <v>-114317.08794717836</v>
      </c>
      <c r="K728" s="99" t="s">
        <v>110</v>
      </c>
      <c r="L728" s="91"/>
      <c r="M728" s="91"/>
    </row>
    <row r="729" spans="2:13" ht="15" customHeight="1" x14ac:dyDescent="0.2">
      <c r="B729" s="10" t="s">
        <v>927</v>
      </c>
      <c r="C729" s="10" t="s">
        <v>928</v>
      </c>
      <c r="D729" s="16">
        <f>(M700*(Inputs!$D$7+Inputs!$D$20)*$D$722*$D$723-D731)-MAX((M700*(Inputs!$D$7+Inputs!$D$20)*$D$722*$D$723-D731),Inputs!$D$6)*Inputs!$D$19-D732-M700*Inputs!$D$20*$D$722*Inputs!$D$23</f>
        <v>9601.3415433209721</v>
      </c>
      <c r="G729" s="99" t="s">
        <v>929</v>
      </c>
      <c r="H729" s="91"/>
      <c r="I729" s="91"/>
      <c r="J729" s="28">
        <f>(D721-D734)/D733</f>
        <v>44.693052804681066</v>
      </c>
      <c r="K729" s="99" t="s">
        <v>919</v>
      </c>
      <c r="L729" s="91"/>
      <c r="M729" s="91"/>
    </row>
    <row r="730" spans="2:13" ht="15" customHeight="1" x14ac:dyDescent="0.2">
      <c r="B730" s="10" t="s">
        <v>930</v>
      </c>
      <c r="C730" s="10" t="s">
        <v>110</v>
      </c>
      <c r="D730" s="16">
        <f>D729/($D$724-Inputs!$D$20)</f>
        <v>83489.926463660609</v>
      </c>
      <c r="G730" s="99" t="s">
        <v>931</v>
      </c>
      <c r="H730" s="91"/>
      <c r="I730" s="91"/>
      <c r="J730" s="16">
        <f>MIN(D714:M714,(M700*(Inputs!$D$7+Inputs!$D$20)*$D$722*$D$723-D731))</f>
        <v>2112.0376253837167</v>
      </c>
      <c r="K730" s="99" t="s">
        <v>110</v>
      </c>
      <c r="L730" s="91"/>
      <c r="M730" s="91"/>
    </row>
    <row r="731" spans="2:13" ht="15" customHeight="1" x14ac:dyDescent="0.2">
      <c r="B731" s="10" t="s">
        <v>932</v>
      </c>
      <c r="C731" s="10" t="s">
        <v>928</v>
      </c>
      <c r="D731" s="16">
        <f>M700*(Inputs!$D$7+Inputs!$D$20)*($D$725/Inputs!$D$21+$D$726/Inputs!$D$22)</f>
        <v>13509.71303671543</v>
      </c>
      <c r="G731" s="99" t="s">
        <v>933</v>
      </c>
      <c r="H731" s="91"/>
      <c r="I731" s="91"/>
      <c r="J731" s="31" t="str">
        <f>IF(J730&lt;Inputs!$D$6,"breached","satisfied")</f>
        <v>satisfied</v>
      </c>
      <c r="K731" s="99" t="s">
        <v>934</v>
      </c>
      <c r="L731" s="91"/>
      <c r="M731" s="91"/>
    </row>
    <row r="732" spans="2:13" ht="15" customHeight="1" x14ac:dyDescent="0.2">
      <c r="B732" s="10" t="s">
        <v>935</v>
      </c>
      <c r="C732" s="10" t="s">
        <v>928</v>
      </c>
      <c r="D732" s="16">
        <f>M700*Inputs!$D$20*($D$725+$D$726)</f>
        <v>1365.7073615561799</v>
      </c>
    </row>
    <row r="733" spans="2:13" ht="15" customHeight="1" x14ac:dyDescent="0.2">
      <c r="B733" s="10" t="s">
        <v>936</v>
      </c>
      <c r="C733" s="10" t="s">
        <v>896</v>
      </c>
      <c r="D733" s="28">
        <f>SUM(D710:M710)+D727</f>
        <v>2947.681242949282</v>
      </c>
      <c r="G733" s="99" t="s">
        <v>937</v>
      </c>
      <c r="H733" s="91"/>
      <c r="I733" s="91"/>
      <c r="J733" s="16">
        <f>D735-D721</f>
        <v>0</v>
      </c>
      <c r="K733" s="99" t="s">
        <v>110</v>
      </c>
      <c r="L733" s="91"/>
      <c r="M733" s="91"/>
    </row>
    <row r="734" spans="2:13" ht="15" customHeight="1" x14ac:dyDescent="0.2">
      <c r="B734" s="10" t="s">
        <v>938</v>
      </c>
      <c r="C734" s="10" t="s">
        <v>110</v>
      </c>
      <c r="D734" s="16">
        <f>SUM(D711:M711)+D728</f>
        <v>-88040.873442500175</v>
      </c>
    </row>
    <row r="735" spans="2:13" ht="15" customHeight="1" x14ac:dyDescent="0.2">
      <c r="B735" s="10" t="s">
        <v>939</v>
      </c>
      <c r="C735" s="10" t="s">
        <v>110</v>
      </c>
      <c r="D735" s="16">
        <f>SUM(D718:M718)+D730/(Inputs!$D$7+$D$724)^M698</f>
        <v>43700.000000000007</v>
      </c>
    </row>
    <row r="736" spans="2:13" ht="15" customHeight="1" x14ac:dyDescent="0.2">
      <c r="B736" s="10" t="s">
        <v>940</v>
      </c>
      <c r="C736" s="10" t="s">
        <v>104</v>
      </c>
      <c r="D736" s="30">
        <f>IF(ABS(D721)&gt;Inputs!$D$6,D735/D721-Inputs!$D$7,Inputs!$D$6)</f>
        <v>2.2204460492503131E-16</v>
      </c>
    </row>
    <row r="737" spans="1:13" ht="15" customHeight="1" x14ac:dyDescent="0.2">
      <c r="B737" s="10" t="s">
        <v>941</v>
      </c>
      <c r="C737" s="10" t="s">
        <v>104</v>
      </c>
      <c r="D737" s="30">
        <f>IF(ABS(D735)&gt;Inputs!$D$119,D730/(Inputs!$D$7+$D$724)^M698/D735,Inputs!$D$6)</f>
        <v>0.53484644916194457</v>
      </c>
    </row>
    <row r="738" spans="1:13" ht="15" customHeight="1" x14ac:dyDescent="0.2">
      <c r="B738" s="10" t="s">
        <v>942</v>
      </c>
      <c r="C738" s="10" t="s">
        <v>943</v>
      </c>
      <c r="D738" s="26">
        <f>$D$722*Inputs!$D$8/Prices!$P$6/(Inputs!$D$26/Inputs!$D$25)/Inputs!$D$11/Inputs!$D$56</f>
        <v>8.1275674086773542</v>
      </c>
    </row>
    <row r="742" spans="1:13" ht="15" customHeight="1" x14ac:dyDescent="0.2">
      <c r="A742" s="104" t="s">
        <v>2181</v>
      </c>
      <c r="B742" s="10" t="s">
        <v>886</v>
      </c>
      <c r="C742" s="10" t="s">
        <v>107</v>
      </c>
      <c r="D742" s="28">
        <f>Inputs!$D$60</f>
        <v>1</v>
      </c>
      <c r="E742" s="28">
        <f>Inputs!$D$62</f>
        <v>2</v>
      </c>
      <c r="F742" s="28">
        <f>Inputs!$D$64</f>
        <v>3</v>
      </c>
      <c r="G742" s="28">
        <f>Inputs!$D$66</f>
        <v>4</v>
      </c>
      <c r="H742" s="28">
        <f>Inputs!$D$68</f>
        <v>5</v>
      </c>
      <c r="I742" s="28">
        <f>Inputs!$D$70</f>
        <v>6</v>
      </c>
      <c r="J742" s="28">
        <f>Inputs!$D$72</f>
        <v>7</v>
      </c>
      <c r="K742" s="28">
        <f>Inputs!$D$74</f>
        <v>8</v>
      </c>
      <c r="L742" s="28">
        <f>Inputs!$D$76</f>
        <v>9</v>
      </c>
      <c r="M742" s="28">
        <f>Inputs!$D$78</f>
        <v>10</v>
      </c>
    </row>
    <row r="743" spans="1:13" ht="15" customHeight="1" x14ac:dyDescent="0.2">
      <c r="A743" s="91"/>
      <c r="B743" s="10" t="s">
        <v>887</v>
      </c>
      <c r="C743" s="10" t="s">
        <v>161</v>
      </c>
      <c r="D743" s="29">
        <f>Inputs!$D$61</f>
        <v>46568</v>
      </c>
      <c r="E743" s="29">
        <f>Inputs!$D$63</f>
        <v>46934</v>
      </c>
      <c r="F743" s="29">
        <f>Inputs!$D$65</f>
        <v>47299</v>
      </c>
      <c r="G743" s="29">
        <f>Inputs!$D$67</f>
        <v>47664</v>
      </c>
      <c r="H743" s="29">
        <f>Inputs!$D$69</f>
        <v>48029</v>
      </c>
      <c r="I743" s="29">
        <f>Inputs!$D$71</f>
        <v>48395</v>
      </c>
      <c r="J743" s="29">
        <f>Inputs!$D$73</f>
        <v>48760</v>
      </c>
      <c r="K743" s="29">
        <f>Inputs!$D$75</f>
        <v>49125</v>
      </c>
      <c r="L743" s="29">
        <f>Inputs!$D$77</f>
        <v>49490</v>
      </c>
      <c r="M743" s="29">
        <f>Inputs!$D$79</f>
        <v>49856</v>
      </c>
    </row>
    <row r="744" spans="1:13" ht="15" customHeight="1" x14ac:dyDescent="0.2">
      <c r="A744" s="91"/>
      <c r="B744" s="10" t="s">
        <v>888</v>
      </c>
      <c r="C744" s="10" t="s">
        <v>107</v>
      </c>
      <c r="D744" s="28">
        <f>(D743-Inputs!$D$13)/Inputs!$D$10</f>
        <v>0.71457905544147848</v>
      </c>
      <c r="E744" s="28">
        <f>(E743-Inputs!$D$13)/Inputs!$D$10</f>
        <v>1.7166324435318274</v>
      </c>
      <c r="F744" s="28">
        <f>(F743-Inputs!$D$13)/Inputs!$D$10</f>
        <v>2.7159479808350446</v>
      </c>
      <c r="G744" s="28">
        <f>(G743-Inputs!$D$13)/Inputs!$D$10</f>
        <v>3.7152635181382614</v>
      </c>
      <c r="H744" s="28">
        <f>(H743-Inputs!$D$13)/Inputs!$D$10</f>
        <v>4.7145790554414786</v>
      </c>
      <c r="I744" s="28">
        <f>(I743-Inputs!$D$13)/Inputs!$D$10</f>
        <v>5.7166324435318279</v>
      </c>
      <c r="J744" s="28">
        <f>(J743-Inputs!$D$13)/Inputs!$D$10</f>
        <v>6.7159479808350442</v>
      </c>
      <c r="K744" s="28">
        <f>(K743-Inputs!$D$13)/Inputs!$D$10</f>
        <v>7.7152635181382614</v>
      </c>
      <c r="L744" s="28">
        <f>(L743-Inputs!$D$13)/Inputs!$D$10</f>
        <v>8.7145790554414777</v>
      </c>
      <c r="M744" s="28">
        <f>(M743-Inputs!$D$13)/Inputs!$D$10</f>
        <v>9.716632443531827</v>
      </c>
    </row>
    <row r="745" spans="1:13" ht="15" customHeight="1" x14ac:dyDescent="0.2">
      <c r="A745" s="91"/>
      <c r="B745" s="10" t="s">
        <v>889</v>
      </c>
      <c r="C745" s="10" t="s">
        <v>107</v>
      </c>
      <c r="D745" s="28">
        <f>D744</f>
        <v>0.71457905544147848</v>
      </c>
      <c r="E745" s="28">
        <f>Inputs!$D$7</f>
        <v>1</v>
      </c>
      <c r="F745" s="28">
        <f>Inputs!$D$7</f>
        <v>1</v>
      </c>
      <c r="G745" s="28">
        <f>Inputs!$D$7</f>
        <v>1</v>
      </c>
      <c r="H745" s="28">
        <f>Inputs!$D$7</f>
        <v>1</v>
      </c>
      <c r="I745" s="28">
        <f>Inputs!$D$7</f>
        <v>1</v>
      </c>
      <c r="J745" s="28">
        <f>Inputs!$D$7</f>
        <v>1</v>
      </c>
      <c r="K745" s="28">
        <f>Inputs!$D$7</f>
        <v>1</v>
      </c>
      <c r="L745" s="28">
        <f>Inputs!$D$7</f>
        <v>1</v>
      </c>
      <c r="M745" s="28">
        <f>Inputs!$D$7</f>
        <v>1</v>
      </c>
    </row>
    <row r="746" spans="1:13" ht="15" customHeight="1" x14ac:dyDescent="0.2">
      <c r="A746" s="91"/>
      <c r="B746" s="3" t="s">
        <v>890</v>
      </c>
      <c r="C746" s="10" t="s">
        <v>199</v>
      </c>
      <c r="D746" s="28">
        <f>Inputs!$D$24+(Inputs!$D$80-Inputs!$D$24)*Inputs!$D$83</f>
        <v>305.5</v>
      </c>
      <c r="E746" s="28">
        <f>Inputs!$D$24+(Inputs!$D$80-Inputs!$D$24)*Inputs!$D$84</f>
        <v>651.5</v>
      </c>
      <c r="F746" s="28">
        <f>Inputs!$D$24+(Inputs!$D$80-Inputs!$D$24)*Inputs!$D$85</f>
        <v>911</v>
      </c>
      <c r="G746" s="28">
        <f>Inputs!$D$24+(Inputs!$D$80-Inputs!$D$24)*Inputs!$D$86</f>
        <v>911</v>
      </c>
      <c r="H746" s="28">
        <f>Inputs!$D$24+(Inputs!$D$80-Inputs!$D$24)*Inputs!$D$87</f>
        <v>911</v>
      </c>
      <c r="I746" s="28">
        <f>Inputs!$D$24+(Inputs!$D$80-Inputs!$D$24)*Inputs!$D$88</f>
        <v>911</v>
      </c>
      <c r="J746" s="28">
        <f>Inputs!$D$24+(Inputs!$D$80-Inputs!$D$24)*Inputs!$D$89</f>
        <v>911</v>
      </c>
      <c r="K746" s="28">
        <f>Inputs!$D$24+(Inputs!$D$80-Inputs!$D$24)*Inputs!$D$90</f>
        <v>911</v>
      </c>
      <c r="L746" s="28">
        <f>Inputs!$D$24+(Inputs!$D$80-Inputs!$D$24)*Inputs!$D$91</f>
        <v>911</v>
      </c>
      <c r="M746" s="28">
        <f>Inputs!$D$24+(Inputs!$D$80-Inputs!$D$24)*Inputs!$D$92</f>
        <v>911</v>
      </c>
    </row>
    <row r="747" spans="1:13" ht="15" customHeight="1" x14ac:dyDescent="0.2">
      <c r="A747" s="91"/>
      <c r="B747" s="10" t="s">
        <v>891</v>
      </c>
      <c r="C747" s="10" t="s">
        <v>199</v>
      </c>
      <c r="D747" s="28">
        <f>Inputs!$D$24</f>
        <v>46</v>
      </c>
      <c r="E747" s="28">
        <f t="shared" ref="E747:M747" si="160">D746</f>
        <v>305.5</v>
      </c>
      <c r="F747" s="28">
        <f t="shared" si="160"/>
        <v>651.5</v>
      </c>
      <c r="G747" s="28">
        <f t="shared" si="160"/>
        <v>911</v>
      </c>
      <c r="H747" s="28">
        <f t="shared" si="160"/>
        <v>911</v>
      </c>
      <c r="I747" s="28">
        <f t="shared" si="160"/>
        <v>911</v>
      </c>
      <c r="J747" s="28">
        <f t="shared" si="160"/>
        <v>911</v>
      </c>
      <c r="K747" s="28">
        <f t="shared" si="160"/>
        <v>911</v>
      </c>
      <c r="L747" s="28">
        <f t="shared" si="160"/>
        <v>911</v>
      </c>
      <c r="M747" s="28">
        <f t="shared" si="160"/>
        <v>911</v>
      </c>
    </row>
    <row r="748" spans="1:13" ht="15" customHeight="1" x14ac:dyDescent="0.2">
      <c r="B748" s="10" t="s">
        <v>892</v>
      </c>
      <c r="C748" s="10" t="s">
        <v>199</v>
      </c>
      <c r="D748" s="28">
        <f>(D747+D746)*Inputs!$D$12</f>
        <v>175.75</v>
      </c>
      <c r="E748" s="28">
        <f>(E747+E746)*Inputs!$D$12</f>
        <v>478.5</v>
      </c>
      <c r="F748" s="28">
        <f>(F747+F746)*Inputs!$D$12</f>
        <v>781.25</v>
      </c>
      <c r="G748" s="28">
        <f>(G747+G746)*Inputs!$D$12</f>
        <v>911</v>
      </c>
      <c r="H748" s="28">
        <f>(H747+H746)*Inputs!$D$12</f>
        <v>911</v>
      </c>
      <c r="I748" s="28">
        <f>(I747+I746)*Inputs!$D$12</f>
        <v>911</v>
      </c>
      <c r="J748" s="28">
        <f>(J747+J746)*Inputs!$D$12</f>
        <v>911</v>
      </c>
      <c r="K748" s="28">
        <f>(K747+K746)*Inputs!$D$12</f>
        <v>911</v>
      </c>
      <c r="L748" s="28">
        <f>(L747+L746)*Inputs!$D$12</f>
        <v>911</v>
      </c>
      <c r="M748" s="28">
        <f>(M747+M746)*Inputs!$D$12</f>
        <v>911</v>
      </c>
    </row>
    <row r="749" spans="1:13" ht="15" customHeight="1" x14ac:dyDescent="0.2">
      <c r="B749" s="10" t="s">
        <v>893</v>
      </c>
      <c r="C749" s="10" t="s">
        <v>199</v>
      </c>
      <c r="D749" s="28">
        <f t="shared" ref="D749:M749" si="161">D746-D747</f>
        <v>259.5</v>
      </c>
      <c r="E749" s="28">
        <f t="shared" si="161"/>
        <v>346</v>
      </c>
      <c r="F749" s="28">
        <f t="shared" si="161"/>
        <v>259.5</v>
      </c>
      <c r="G749" s="28">
        <f t="shared" si="161"/>
        <v>0</v>
      </c>
      <c r="H749" s="28">
        <f t="shared" si="161"/>
        <v>0</v>
      </c>
      <c r="I749" s="28">
        <f t="shared" si="161"/>
        <v>0</v>
      </c>
      <c r="J749" s="28">
        <f t="shared" si="161"/>
        <v>0</v>
      </c>
      <c r="K749" s="28">
        <f t="shared" si="161"/>
        <v>0</v>
      </c>
      <c r="L749" s="28">
        <f t="shared" si="161"/>
        <v>0</v>
      </c>
      <c r="M749" s="28">
        <f t="shared" si="161"/>
        <v>0</v>
      </c>
    </row>
    <row r="750" spans="1:13" ht="15" customHeight="1" x14ac:dyDescent="0.2">
      <c r="B750" s="10" t="s">
        <v>894</v>
      </c>
      <c r="C750" s="10" t="s">
        <v>199</v>
      </c>
      <c r="D750" s="28">
        <f>IF(MOD(D742,Inputs!$D$21)=Inputs!$D$6,Inputs!$D$24,Inputs!$D$6)+SUMPRODUCT(--(D742&gt;$D$742:$M$742),--(MOD(D742-$D$742:$M$742,Inputs!$D$21)=Inputs!$D$6),$D$749:$M$749)</f>
        <v>0</v>
      </c>
      <c r="E750" s="28">
        <f>IF(MOD(E742,Inputs!$D$21)=Inputs!$D$6,Inputs!$D$24,Inputs!$D$6)+SUMPRODUCT(--(E742&gt;$D$742:$M$742),--(MOD(E742-$D$742:$M$742,Inputs!$D$21)=Inputs!$D$6),$D$749:$M$749)</f>
        <v>0</v>
      </c>
      <c r="F750" s="28">
        <f>IF(MOD(F742,Inputs!$D$21)=Inputs!$D$6,Inputs!$D$24,Inputs!$D$6)+SUMPRODUCT(--(F742&gt;$D$742:$M$742),--(MOD(F742-$D$742:$M$742,Inputs!$D$21)=Inputs!$D$6),$D$749:$M$749)</f>
        <v>0</v>
      </c>
      <c r="G750" s="28">
        <f>IF(MOD(G742,Inputs!$D$21)=Inputs!$D$6,Inputs!$D$24,Inputs!$D$6)+SUMPRODUCT(--(G742&gt;$D$742:$M$742),--(MOD(G742-$D$742:$M$742,Inputs!$D$21)=Inputs!$D$6),$D$749:$M$749)</f>
        <v>46</v>
      </c>
      <c r="H750" s="28">
        <f>IF(MOD(H742,Inputs!$D$21)=Inputs!$D$6,Inputs!$D$24,Inputs!$D$6)+SUMPRODUCT(--(H742&gt;$D$742:$M$742),--(MOD(H742-$D$742:$M$742,Inputs!$D$21)=Inputs!$D$6),$D$749:$M$749)</f>
        <v>259.5</v>
      </c>
      <c r="I750" s="28">
        <f>IF(MOD(I742,Inputs!$D$21)=Inputs!$D$6,Inputs!$D$24,Inputs!$D$6)+SUMPRODUCT(--(I742&gt;$D$742:$M$742),--(MOD(I742-$D$742:$M$742,Inputs!$D$21)=Inputs!$D$6),$D$749:$M$749)</f>
        <v>346</v>
      </c>
      <c r="J750" s="28">
        <f>IF(MOD(J742,Inputs!$D$21)=Inputs!$D$6,Inputs!$D$24,Inputs!$D$6)+SUMPRODUCT(--(J742&gt;$D$742:$M$742),--(MOD(J742-$D$742:$M$742,Inputs!$D$21)=Inputs!$D$6),$D$749:$M$749)</f>
        <v>259.5</v>
      </c>
      <c r="K750" s="28">
        <f>IF(MOD(K742,Inputs!$D$21)=Inputs!$D$6,Inputs!$D$24,Inputs!$D$6)+SUMPRODUCT(--(K742&gt;$D$742:$M$742),--(MOD(K742-$D$742:$M$742,Inputs!$D$21)=Inputs!$D$6),$D$749:$M$749)</f>
        <v>46</v>
      </c>
      <c r="L750" s="28">
        <f>IF(MOD(L742,Inputs!$D$21)=Inputs!$D$6,Inputs!$D$24,Inputs!$D$6)+SUMPRODUCT(--(L742&gt;$D$742:$M$742),--(MOD(L742-$D$742:$M$742,Inputs!$D$21)=Inputs!$D$6),$D$749:$M$749)</f>
        <v>259.5</v>
      </c>
      <c r="M750" s="28">
        <f>IF(MOD(M742,Inputs!$D$21)=Inputs!$D$6,Inputs!$D$24,Inputs!$D$6)+SUMPRODUCT(--(M742&gt;$D$742:$M$742),--(MOD(M742-$D$742:$M$742,Inputs!$D$21)=Inputs!$D$6),$D$749:$M$749)</f>
        <v>346</v>
      </c>
    </row>
    <row r="751" spans="1:13" ht="15" customHeight="1" x14ac:dyDescent="0.2">
      <c r="B751" s="10" t="s">
        <v>895</v>
      </c>
      <c r="C751" s="10" t="s">
        <v>896</v>
      </c>
      <c r="D751" s="28">
        <f t="shared" ref="D751:M751" si="162">D748*D745</f>
        <v>125.58726899383984</v>
      </c>
      <c r="E751" s="28">
        <f t="shared" si="162"/>
        <v>478.5</v>
      </c>
      <c r="F751" s="28">
        <f t="shared" si="162"/>
        <v>781.25</v>
      </c>
      <c r="G751" s="28">
        <f t="shared" si="162"/>
        <v>911</v>
      </c>
      <c r="H751" s="28">
        <f t="shared" si="162"/>
        <v>911</v>
      </c>
      <c r="I751" s="28">
        <f t="shared" si="162"/>
        <v>911</v>
      </c>
      <c r="J751" s="28">
        <f t="shared" si="162"/>
        <v>911</v>
      </c>
      <c r="K751" s="28">
        <f t="shared" si="162"/>
        <v>911</v>
      </c>
      <c r="L751" s="28">
        <f t="shared" si="162"/>
        <v>911</v>
      </c>
      <c r="M751" s="28">
        <f t="shared" si="162"/>
        <v>911</v>
      </c>
    </row>
    <row r="752" spans="1:13" ht="15" customHeight="1" x14ac:dyDescent="0.2">
      <c r="B752" s="10" t="s">
        <v>897</v>
      </c>
      <c r="C752" s="10" t="s">
        <v>110</v>
      </c>
      <c r="D752" s="16">
        <f>D751*($D$771/Inputs!$D$21+$D$772/Inputs!$D$22)</f>
        <v>1816.9772859324419</v>
      </c>
      <c r="E752" s="16">
        <f>E751*($D$771/Inputs!$D$21+$D$772/Inputs!$D$22)</f>
        <v>6922.8643817497086</v>
      </c>
      <c r="F752" s="16">
        <f>F751*($D$771/Inputs!$D$21+$D$772/Inputs!$D$22)</f>
        <v>11303.0048030135</v>
      </c>
      <c r="G752" s="16">
        <f>G751*($D$771/Inputs!$D$21+$D$772/Inputs!$D$22)</f>
        <v>13180.207840697982</v>
      </c>
      <c r="H752" s="16">
        <f>H751*($D$771/Inputs!$D$21+$D$772/Inputs!$D$22)</f>
        <v>13180.207840697982</v>
      </c>
      <c r="I752" s="16">
        <f>I751*($D$771/Inputs!$D$21+$D$772/Inputs!$D$22)</f>
        <v>13180.207840697982</v>
      </c>
      <c r="J752" s="16">
        <f>J751*($D$771/Inputs!$D$21+$D$772/Inputs!$D$22)</f>
        <v>13180.207840697982</v>
      </c>
      <c r="K752" s="16">
        <f>K751*($D$771/Inputs!$D$21+$D$772/Inputs!$D$22)</f>
        <v>13180.207840697982</v>
      </c>
      <c r="L752" s="16">
        <f>L751*($D$771/Inputs!$D$21+$D$772/Inputs!$D$22)</f>
        <v>13180.207840697982</v>
      </c>
      <c r="M752" s="16">
        <f>M751*($D$771/Inputs!$D$21+$D$772/Inputs!$D$22)</f>
        <v>13180.207840697982</v>
      </c>
    </row>
    <row r="753" spans="2:13" ht="15" customHeight="1" x14ac:dyDescent="0.2">
      <c r="B753" s="10" t="s">
        <v>898</v>
      </c>
      <c r="C753" s="10" t="s">
        <v>110</v>
      </c>
      <c r="D753" s="16">
        <f t="shared" ref="D753:M753" si="163">D749*($D$771+$D$772)</f>
        <v>15560.968620146154</v>
      </c>
      <c r="E753" s="16">
        <f t="shared" si="163"/>
        <v>20747.95816019487</v>
      </c>
      <c r="F753" s="16">
        <f t="shared" si="163"/>
        <v>15560.968620146154</v>
      </c>
      <c r="G753" s="16">
        <f t="shared" si="163"/>
        <v>0</v>
      </c>
      <c r="H753" s="16">
        <f t="shared" si="163"/>
        <v>0</v>
      </c>
      <c r="I753" s="16">
        <f t="shared" si="163"/>
        <v>0</v>
      </c>
      <c r="J753" s="16">
        <f t="shared" si="163"/>
        <v>0</v>
      </c>
      <c r="K753" s="16">
        <f t="shared" si="163"/>
        <v>0</v>
      </c>
      <c r="L753" s="16">
        <f t="shared" si="163"/>
        <v>0</v>
      </c>
      <c r="M753" s="16">
        <f t="shared" si="163"/>
        <v>0</v>
      </c>
    </row>
    <row r="754" spans="2:13" ht="15" customHeight="1" x14ac:dyDescent="0.2">
      <c r="B754" s="10" t="s">
        <v>899</v>
      </c>
      <c r="C754" s="10" t="s">
        <v>110</v>
      </c>
      <c r="D754" s="16">
        <f t="shared" ref="D754:M754" si="164">D750*$D$771</f>
        <v>0</v>
      </c>
      <c r="E754" s="16">
        <f t="shared" si="164"/>
        <v>0</v>
      </c>
      <c r="F754" s="16">
        <f t="shared" si="164"/>
        <v>0</v>
      </c>
      <c r="G754" s="16">
        <f t="shared" si="164"/>
        <v>2638.0048485671714</v>
      </c>
      <c r="H754" s="16">
        <f t="shared" si="164"/>
        <v>14881.788221808281</v>
      </c>
      <c r="I754" s="16">
        <f t="shared" si="164"/>
        <v>19842.384295744378</v>
      </c>
      <c r="J754" s="16">
        <f t="shared" si="164"/>
        <v>14881.788221808281</v>
      </c>
      <c r="K754" s="16">
        <f t="shared" si="164"/>
        <v>2638.0048485671714</v>
      </c>
      <c r="L754" s="16">
        <f t="shared" si="164"/>
        <v>14881.788221808281</v>
      </c>
      <c r="M754" s="16">
        <f t="shared" si="164"/>
        <v>19842.384295744378</v>
      </c>
    </row>
    <row r="755" spans="2:13" ht="15" customHeight="1" x14ac:dyDescent="0.2">
      <c r="B755" s="10" t="s">
        <v>900</v>
      </c>
      <c r="C755" s="10" t="s">
        <v>199</v>
      </c>
      <c r="D755" s="28">
        <f>D749*Inputs!$D$23</f>
        <v>6.4875000000000007</v>
      </c>
      <c r="E755" s="28">
        <f>E749*Inputs!$D$23</f>
        <v>8.65</v>
      </c>
      <c r="F755" s="28">
        <f>F749*Inputs!$D$23</f>
        <v>6.4875000000000007</v>
      </c>
      <c r="G755" s="28">
        <f>G749*Inputs!$D$23</f>
        <v>0</v>
      </c>
      <c r="H755" s="28">
        <f>H749*Inputs!$D$23</f>
        <v>0</v>
      </c>
      <c r="I755" s="28">
        <f>I749*Inputs!$D$23</f>
        <v>0</v>
      </c>
      <c r="J755" s="28">
        <f>J749*Inputs!$D$23</f>
        <v>0</v>
      </c>
      <c r="K755" s="28">
        <f>K749*Inputs!$D$23</f>
        <v>0</v>
      </c>
      <c r="L755" s="28">
        <f>L749*Inputs!$D$23</f>
        <v>0</v>
      </c>
      <c r="M755" s="28">
        <f>M749*Inputs!$D$23</f>
        <v>0</v>
      </c>
    </row>
    <row r="756" spans="2:13" ht="15" customHeight="1" x14ac:dyDescent="0.2">
      <c r="B756" s="3" t="s">
        <v>901</v>
      </c>
      <c r="C756" s="10" t="s">
        <v>896</v>
      </c>
      <c r="D756" s="28">
        <f>(D751*$D$769*(Inputs!$D$7-Inputs!$D$19)-D755)/(Inputs!$D$7+$D$770)^D744</f>
        <v>60.425226480059429</v>
      </c>
      <c r="E756" s="28">
        <f>(E751*$D$769*(Inputs!$D$7-Inputs!$D$19)-E755)/(Inputs!$D$7+$D$770)^E744</f>
        <v>227.21811997251743</v>
      </c>
      <c r="F756" s="28">
        <f>(F751*$D$769*(Inputs!$D$7-Inputs!$D$19)-F755)/(Inputs!$D$7+$D$770)^F744</f>
        <v>349.7137307705558</v>
      </c>
      <c r="G756" s="28">
        <f>(G751*$D$769*(Inputs!$D$7-Inputs!$D$19)-G755)/(Inputs!$D$7+$D$770)^G744</f>
        <v>383.29075536375893</v>
      </c>
      <c r="H756" s="28">
        <f>(H751*$D$769*(Inputs!$D$7-Inputs!$D$19)-H755)/(Inputs!$D$7+$D$770)^H744</f>
        <v>354.91754304446511</v>
      </c>
      <c r="I756" s="28">
        <f>(I751*$D$769*(Inputs!$D$7-Inputs!$D$19)-I755)/(Inputs!$D$7+$D$770)^I744</f>
        <v>328.5754255023262</v>
      </c>
      <c r="J756" s="28">
        <f>(J751*$D$769*(Inputs!$D$7-Inputs!$D$19)-J755)/(Inputs!$D$7+$D$770)^J744</f>
        <v>304.25253177160698</v>
      </c>
      <c r="K756" s="28">
        <f>(K751*$D$769*(Inputs!$D$7-Inputs!$D$19)-K755)/(Inputs!$D$7+$D$770)^K744</f>
        <v>281.73014749326506</v>
      </c>
      <c r="L756" s="28">
        <f>(L751*$D$769*(Inputs!$D$7-Inputs!$D$19)-L755)/(Inputs!$D$7+$D$770)^L744</f>
        <v>260.87498941885201</v>
      </c>
      <c r="M756" s="28">
        <f>(M751*$D$769*(Inputs!$D$7-Inputs!$D$19)-M755)/(Inputs!$D$7+$D$770)^M744</f>
        <v>241.51274663950682</v>
      </c>
    </row>
    <row r="757" spans="2:13" ht="15" customHeight="1" x14ac:dyDescent="0.2">
      <c r="B757" s="10" t="s">
        <v>902</v>
      </c>
      <c r="C757" s="10" t="s">
        <v>110</v>
      </c>
      <c r="D757" s="16">
        <f>(D752*Inputs!$D$19-D753-D754)/(Inputs!$D$7+$D$770)^D744</f>
        <v>-14212.377724210151</v>
      </c>
      <c r="E757" s="16">
        <f>(E752*Inputs!$D$19-E753-E754)/(Inputs!$D$7+$D$770)^E744</f>
        <v>-16360.387094728963</v>
      </c>
      <c r="F757" s="16">
        <f>(F752*Inputs!$D$19-F753-F754)/(Inputs!$D$7+$D$770)^F744</f>
        <v>-9874.5154652847668</v>
      </c>
      <c r="G757" s="16">
        <f>(G752*Inputs!$D$19-G753-G754)/(Inputs!$D$7+$D$770)^G744</f>
        <v>988.77347238742834</v>
      </c>
      <c r="H757" s="16">
        <f>(H752*Inputs!$D$19-H753-H754)/(Inputs!$D$7+$D$770)^H744</f>
        <v>-7602.4024163036647</v>
      </c>
      <c r="I757" s="16">
        <f>(I752*Inputs!$D$19-I753-I754)/(Inputs!$D$7+$D$770)^I744</f>
        <v>-10233.087939303265</v>
      </c>
      <c r="J757" s="16">
        <f>(J752*Inputs!$D$19-J753-J754)/(Inputs!$D$7+$D$770)^J744</f>
        <v>-6517.1480757635773</v>
      </c>
      <c r="K757" s="16">
        <f>(K752*Inputs!$D$19-K753-K754)/(Inputs!$D$7+$D$770)^K744</f>
        <v>726.77801985796941</v>
      </c>
      <c r="L757" s="16">
        <f>(L752*Inputs!$D$19-L753-L754)/(Inputs!$D$7+$D$770)^L744</f>
        <v>-5587.9927289550824</v>
      </c>
      <c r="M757" s="16">
        <f>(M752*Inputs!$D$19-M753-M754)/(Inputs!$D$7+$D$770)^M744</f>
        <v>-7521.6251216792398</v>
      </c>
    </row>
    <row r="758" spans="2:13" ht="15" customHeight="1" x14ac:dyDescent="0.2">
      <c r="B758" s="10" t="s">
        <v>903</v>
      </c>
      <c r="C758" s="10" t="s">
        <v>110</v>
      </c>
      <c r="D758" s="16">
        <f t="shared" ref="D758:M758" si="165">D751*$D$768</f>
        <v>3670.9793388432267</v>
      </c>
      <c r="E758" s="16">
        <f t="shared" si="165"/>
        <v>13986.796812363558</v>
      </c>
      <c r="F758" s="16">
        <f t="shared" si="165"/>
        <v>22836.332308587316</v>
      </c>
      <c r="G758" s="16">
        <f t="shared" si="165"/>
        <v>26628.990378397495</v>
      </c>
      <c r="H758" s="16">
        <f t="shared" si="165"/>
        <v>26628.990378397495</v>
      </c>
      <c r="I758" s="16">
        <f t="shared" si="165"/>
        <v>26628.990378397495</v>
      </c>
      <c r="J758" s="16">
        <f t="shared" si="165"/>
        <v>26628.990378397495</v>
      </c>
      <c r="K758" s="16">
        <f t="shared" si="165"/>
        <v>26628.990378397495</v>
      </c>
      <c r="L758" s="16">
        <f t="shared" si="165"/>
        <v>26628.990378397495</v>
      </c>
      <c r="M758" s="16">
        <f t="shared" si="165"/>
        <v>26628.990378397495</v>
      </c>
    </row>
    <row r="759" spans="2:13" ht="15" customHeight="1" x14ac:dyDescent="0.2">
      <c r="B759" s="10" t="s">
        <v>904</v>
      </c>
      <c r="C759" s="10" t="s">
        <v>110</v>
      </c>
      <c r="D759" s="16">
        <f t="shared" ref="D759:M759" si="166">D758*$D$769</f>
        <v>2936.7834710745815</v>
      </c>
      <c r="E759" s="16">
        <f t="shared" si="166"/>
        <v>11189.437449890847</v>
      </c>
      <c r="F759" s="16">
        <f t="shared" si="166"/>
        <v>18269.065846869853</v>
      </c>
      <c r="G759" s="16">
        <f t="shared" si="166"/>
        <v>21303.192302717998</v>
      </c>
      <c r="H759" s="16">
        <f t="shared" si="166"/>
        <v>21303.192302717998</v>
      </c>
      <c r="I759" s="16">
        <f t="shared" si="166"/>
        <v>21303.192302717998</v>
      </c>
      <c r="J759" s="16">
        <f t="shared" si="166"/>
        <v>21303.192302717998</v>
      </c>
      <c r="K759" s="16">
        <f t="shared" si="166"/>
        <v>21303.192302717998</v>
      </c>
      <c r="L759" s="16">
        <f t="shared" si="166"/>
        <v>21303.192302717998</v>
      </c>
      <c r="M759" s="16">
        <f t="shared" si="166"/>
        <v>21303.192302717998</v>
      </c>
    </row>
    <row r="760" spans="2:13" ht="15" customHeight="1" x14ac:dyDescent="0.2">
      <c r="B760" s="10" t="s">
        <v>905</v>
      </c>
      <c r="C760" s="10" t="s">
        <v>110</v>
      </c>
      <c r="D760" s="16">
        <f t="shared" ref="D760:M760" si="167">D759-D752</f>
        <v>1119.8061851421396</v>
      </c>
      <c r="E760" s="16">
        <f t="shared" si="167"/>
        <v>4266.5730681411387</v>
      </c>
      <c r="F760" s="16">
        <f t="shared" si="167"/>
        <v>6966.0610438563526</v>
      </c>
      <c r="G760" s="16">
        <f t="shared" si="167"/>
        <v>8122.9844620200165</v>
      </c>
      <c r="H760" s="16">
        <f t="shared" si="167"/>
        <v>8122.9844620200165</v>
      </c>
      <c r="I760" s="16">
        <f t="shared" si="167"/>
        <v>8122.9844620200165</v>
      </c>
      <c r="J760" s="16">
        <f t="shared" si="167"/>
        <v>8122.9844620200165</v>
      </c>
      <c r="K760" s="16">
        <f t="shared" si="167"/>
        <v>8122.9844620200165</v>
      </c>
      <c r="L760" s="16">
        <f t="shared" si="167"/>
        <v>8122.9844620200165</v>
      </c>
      <c r="M760" s="16">
        <f t="shared" si="167"/>
        <v>8122.9844620200165</v>
      </c>
    </row>
    <row r="761" spans="2:13" ht="15" customHeight="1" x14ac:dyDescent="0.2">
      <c r="B761" s="10" t="s">
        <v>906</v>
      </c>
      <c r="C761" s="10" t="s">
        <v>110</v>
      </c>
      <c r="D761" s="16">
        <f>MAX(D760,Inputs!$D$6)*Inputs!$D$19</f>
        <v>335.94185554264186</v>
      </c>
      <c r="E761" s="16">
        <f>MAX(E760,Inputs!$D$6)*Inputs!$D$19</f>
        <v>1279.9719204423416</v>
      </c>
      <c r="F761" s="16">
        <f>MAX(F760,Inputs!$D$6)*Inputs!$D$19</f>
        <v>2089.8183131569058</v>
      </c>
      <c r="G761" s="16">
        <f>MAX(G760,Inputs!$D$6)*Inputs!$D$19</f>
        <v>2436.8953386060048</v>
      </c>
      <c r="H761" s="16">
        <f>MAX(H760,Inputs!$D$6)*Inputs!$D$19</f>
        <v>2436.8953386060048</v>
      </c>
      <c r="I761" s="16">
        <f>MAX(I760,Inputs!$D$6)*Inputs!$D$19</f>
        <v>2436.8953386060048</v>
      </c>
      <c r="J761" s="16">
        <f>MAX(J760,Inputs!$D$6)*Inputs!$D$19</f>
        <v>2436.8953386060048</v>
      </c>
      <c r="K761" s="16">
        <f>MAX(K760,Inputs!$D$6)*Inputs!$D$19</f>
        <v>2436.8953386060048</v>
      </c>
      <c r="L761" s="16">
        <f>MAX(L760,Inputs!$D$6)*Inputs!$D$19</f>
        <v>2436.8953386060048</v>
      </c>
      <c r="M761" s="16">
        <f>MAX(M760,Inputs!$D$6)*Inputs!$D$19</f>
        <v>2436.8953386060048</v>
      </c>
    </row>
    <row r="762" spans="2:13" ht="15" customHeight="1" x14ac:dyDescent="0.2">
      <c r="B762" s="10" t="s">
        <v>907</v>
      </c>
      <c r="C762" s="10" t="s">
        <v>110</v>
      </c>
      <c r="D762" s="16">
        <f t="shared" ref="D762:M762" si="168">D755*$D$768</f>
        <v>189.63290349050908</v>
      </c>
      <c r="E762" s="16">
        <f t="shared" si="168"/>
        <v>252.84387132067877</v>
      </c>
      <c r="F762" s="16">
        <f t="shared" si="168"/>
        <v>189.63290349050908</v>
      </c>
      <c r="G762" s="16">
        <f t="shared" si="168"/>
        <v>0</v>
      </c>
      <c r="H762" s="16">
        <f t="shared" si="168"/>
        <v>0</v>
      </c>
      <c r="I762" s="16">
        <f t="shared" si="168"/>
        <v>0</v>
      </c>
      <c r="J762" s="16">
        <f t="shared" si="168"/>
        <v>0</v>
      </c>
      <c r="K762" s="16">
        <f t="shared" si="168"/>
        <v>0</v>
      </c>
      <c r="L762" s="16">
        <f t="shared" si="168"/>
        <v>0</v>
      </c>
      <c r="M762" s="16">
        <f t="shared" si="168"/>
        <v>0</v>
      </c>
    </row>
    <row r="763" spans="2:13" ht="15" customHeight="1" x14ac:dyDescent="0.2">
      <c r="B763" s="10" t="s">
        <v>908</v>
      </c>
      <c r="C763" s="10" t="s">
        <v>110</v>
      </c>
      <c r="D763" s="16">
        <f t="shared" ref="D763:M763" si="169">D759-D761-D753-D754-D762</f>
        <v>-13149.759908104723</v>
      </c>
      <c r="E763" s="16">
        <f t="shared" si="169"/>
        <v>-11091.336502067043</v>
      </c>
      <c r="F763" s="16">
        <f t="shared" si="169"/>
        <v>428.64601007628448</v>
      </c>
      <c r="G763" s="16">
        <f t="shared" si="169"/>
        <v>16228.29211554482</v>
      </c>
      <c r="H763" s="16">
        <f t="shared" si="169"/>
        <v>3984.5087423037112</v>
      </c>
      <c r="I763" s="16">
        <f t="shared" si="169"/>
        <v>-976.08733163238503</v>
      </c>
      <c r="J763" s="16">
        <f t="shared" si="169"/>
        <v>3984.5087423037112</v>
      </c>
      <c r="K763" s="16">
        <f t="shared" si="169"/>
        <v>16228.29211554482</v>
      </c>
      <c r="L763" s="16">
        <f t="shared" si="169"/>
        <v>3984.5087423037112</v>
      </c>
      <c r="M763" s="16">
        <f t="shared" si="169"/>
        <v>-976.08733163238503</v>
      </c>
    </row>
    <row r="764" spans="2:13" ht="15" customHeight="1" x14ac:dyDescent="0.2">
      <c r="B764" s="10" t="s">
        <v>909</v>
      </c>
      <c r="C764" s="10" t="s">
        <v>110</v>
      </c>
      <c r="D764" s="16">
        <f>D763/(Inputs!$D$7+$D$770)^D744</f>
        <v>-12446.117818008184</v>
      </c>
      <c r="E764" s="16">
        <f>E763/(Inputs!$D$7+$D$770)^E744</f>
        <v>-9718.686622121133</v>
      </c>
      <c r="F764" s="16">
        <f>F763/(Inputs!$D$7+$D$770)^F744</f>
        <v>347.79361471811302</v>
      </c>
      <c r="G764" s="16">
        <f>G763/(Inputs!$D$7+$D$770)^G744</f>
        <v>12192.55594956662</v>
      </c>
      <c r="H764" s="16">
        <f>H763/(Inputs!$D$7+$D$770)^H744</f>
        <v>2772.0167262380915</v>
      </c>
      <c r="I764" s="16">
        <f>I763/(Inputs!$D$7+$D$770)^I744</f>
        <v>-628.66220463882132</v>
      </c>
      <c r="J764" s="16">
        <f>J763/(Inputs!$D$7+$D$770)^J744</f>
        <v>2376.3071834561815</v>
      </c>
      <c r="K764" s="16">
        <f>K763/(Inputs!$D$7+$D$770)^K744</f>
        <v>8961.892604822473</v>
      </c>
      <c r="L764" s="16">
        <f>L763/(Inputs!$D$7+$D$770)^L744</f>
        <v>2037.5150462360905</v>
      </c>
      <c r="M764" s="16">
        <f>M763/(Inputs!$D$7+$D$770)^M744</f>
        <v>-462.08548773436655</v>
      </c>
    </row>
    <row r="765" spans="2:13" ht="15" customHeight="1" x14ac:dyDescent="0.2">
      <c r="B765" s="3" t="s">
        <v>910</v>
      </c>
      <c r="C765" s="10" t="s">
        <v>896</v>
      </c>
      <c r="D765" s="28">
        <f>(D751*$D$769-D755)/(Inputs!$D$7+$D$770)^D744</f>
        <v>88.953332676903344</v>
      </c>
      <c r="E765" s="28">
        <f>(E751*$D$769-E755)/(Inputs!$D$7+$D$770)^E744</f>
        <v>327.84566575804018</v>
      </c>
      <c r="F765" s="28">
        <f>(F751*$D$769-F755)/(Inputs!$D$7+$D$770)^F744</f>
        <v>501.8469624505633</v>
      </c>
      <c r="G765" s="28">
        <f>(G751*$D$769-G755)/(Inputs!$D$7+$D$770)^G744</f>
        <v>547.55822194822701</v>
      </c>
      <c r="H765" s="28">
        <f>(H751*$D$769-H755)/(Inputs!$D$7+$D$770)^H744</f>
        <v>507.02506149209302</v>
      </c>
      <c r="I765" s="28">
        <f>(I751*$D$769-I755)/(Inputs!$D$7+$D$770)^I744</f>
        <v>469.39346500332312</v>
      </c>
      <c r="J765" s="28">
        <f>(J751*$D$769-J755)/(Inputs!$D$7+$D$770)^J744</f>
        <v>434.64647395943854</v>
      </c>
      <c r="K765" s="28">
        <f>(K751*$D$769-K755)/(Inputs!$D$7+$D$770)^K744</f>
        <v>402.47163927609296</v>
      </c>
      <c r="L765" s="28">
        <f>(L751*$D$769-L755)/(Inputs!$D$7+$D$770)^L744</f>
        <v>372.67855631264575</v>
      </c>
      <c r="M765" s="28">
        <f>(M751*$D$769-M755)/(Inputs!$D$7+$D$770)^M744</f>
        <v>345.01820948500972</v>
      </c>
    </row>
    <row r="766" spans="2:13" ht="15" customHeight="1" x14ac:dyDescent="0.2">
      <c r="B766" s="10" t="s">
        <v>911</v>
      </c>
      <c r="C766" s="10" t="s">
        <v>110</v>
      </c>
      <c r="D766" s="16">
        <f>(-D753-D754)/(Inputs!$D$7+$D$770)^D744</f>
        <v>-14728.303038392241</v>
      </c>
      <c r="E766" s="16">
        <f>(-E753-E754)/(Inputs!$D$7+$D$770)^E744</f>
        <v>-18180.216908055725</v>
      </c>
      <c r="F766" s="16">
        <f>(-F753-F754)/(Inputs!$D$7+$D$770)^F744</f>
        <v>-12625.815702688111</v>
      </c>
      <c r="G766" s="16">
        <f>(-G753-G754)/(Inputs!$D$7+$D$770)^G744</f>
        <v>-1981.9720696655354</v>
      </c>
      <c r="H766" s="16">
        <f>(-H753-H754)/(Inputs!$D$7+$D$770)^H744</f>
        <v>-10353.237634844469</v>
      </c>
      <c r="I766" s="16">
        <f>(-I753-I754)/(Inputs!$D$7+$D$770)^I744</f>
        <v>-12779.755102232404</v>
      </c>
      <c r="J766" s="16">
        <f>(-J753-J754)/(Inputs!$D$7+$D$770)^J744</f>
        <v>-8875.2974434962562</v>
      </c>
      <c r="K766" s="16">
        <f>(-K753-K754)/(Inputs!$D$7+$D$770)^K744</f>
        <v>-1456.8086386129401</v>
      </c>
      <c r="L766" s="16">
        <f>(-L753-L754)/(Inputs!$D$7+$D$770)^L744</f>
        <v>-7609.9387347064285</v>
      </c>
      <c r="M766" s="16">
        <f>(-M753-M754)/(Inputs!$D$7+$D$770)^M744</f>
        <v>-9393.5015115686074</v>
      </c>
    </row>
    <row r="767" spans="2:13" ht="15" customHeight="1" x14ac:dyDescent="0.2">
      <c r="B767" s="10" t="s">
        <v>912</v>
      </c>
      <c r="C767" s="10" t="s">
        <v>110</v>
      </c>
      <c r="D767" s="16">
        <f>Prices!I6</f>
        <v>43700</v>
      </c>
    </row>
    <row r="768" spans="2:13" ht="15" customHeight="1" x14ac:dyDescent="0.2">
      <c r="B768" s="3" t="s">
        <v>913</v>
      </c>
      <c r="C768" s="10" t="s">
        <v>914</v>
      </c>
      <c r="D768" s="28">
        <f>IF(J775&gt;=J771,J775,(D767-J774)/J773)</f>
        <v>29.230505354991763</v>
      </c>
      <c r="G768" s="99" t="s">
        <v>915</v>
      </c>
      <c r="H768" s="91"/>
      <c r="I768" s="91"/>
      <c r="J768" s="28">
        <f>D768*Inputs!$D$15</f>
        <v>20.399969687248749</v>
      </c>
      <c r="K768" s="99" t="s">
        <v>916</v>
      </c>
      <c r="L768" s="91"/>
      <c r="M768" s="91"/>
    </row>
    <row r="769" spans="2:13" ht="15" customHeight="1" x14ac:dyDescent="0.2">
      <c r="B769" s="10" t="s">
        <v>917</v>
      </c>
      <c r="C769" s="10" t="s">
        <v>104</v>
      </c>
      <c r="D769" s="30">
        <f>Inputs!$D$144</f>
        <v>0.8</v>
      </c>
      <c r="G769" s="99" t="s">
        <v>918</v>
      </c>
      <c r="H769" s="91"/>
      <c r="I769" s="91"/>
      <c r="J769" s="28">
        <f>IF(-D780/D779&gt;=J771,-D780/D779,-J774/J773)</f>
        <v>23.234783111121249</v>
      </c>
      <c r="K769" s="99" t="s">
        <v>919</v>
      </c>
      <c r="L769" s="91"/>
      <c r="M769" s="91"/>
    </row>
    <row r="770" spans="2:13" ht="15" customHeight="1" x14ac:dyDescent="0.2">
      <c r="B770" s="10" t="s">
        <v>920</v>
      </c>
      <c r="C770" s="10" t="s">
        <v>104</v>
      </c>
      <c r="D770" s="30">
        <f>Inputs!$D$146</f>
        <v>0.08</v>
      </c>
      <c r="G770" s="99" t="s">
        <v>918</v>
      </c>
      <c r="H770" s="91"/>
      <c r="I770" s="91"/>
      <c r="J770" s="28">
        <f>J769*Inputs!$D$15</f>
        <v>16.21555513325152</v>
      </c>
      <c r="K770" s="99" t="s">
        <v>916</v>
      </c>
      <c r="L770" s="91"/>
      <c r="M770" s="91"/>
    </row>
    <row r="771" spans="2:13" ht="15" customHeight="1" x14ac:dyDescent="0.2">
      <c r="B771" s="3" t="s">
        <v>921</v>
      </c>
      <c r="C771" s="10" t="s">
        <v>848</v>
      </c>
      <c r="D771" s="28">
        <f>Capital!$D$13</f>
        <v>57.347931490590682</v>
      </c>
      <c r="G771" s="99" t="s">
        <v>922</v>
      </c>
      <c r="H771" s="91"/>
      <c r="I771" s="91"/>
      <c r="J771" s="28">
        <f>($D$771/Inputs!$D$21+$D$772/Inputs!$D$22)/$D$769</f>
        <v>18.084807684821598</v>
      </c>
      <c r="K771" s="99" t="s">
        <v>919</v>
      </c>
      <c r="L771" s="91"/>
      <c r="M771" s="91"/>
    </row>
    <row r="772" spans="2:13" ht="15" customHeight="1" x14ac:dyDescent="0.2">
      <c r="B772" s="3" t="s">
        <v>923</v>
      </c>
      <c r="C772" s="10" t="s">
        <v>848</v>
      </c>
      <c r="D772" s="28">
        <f>Capital!$D$14</f>
        <v>2.6172655041921802</v>
      </c>
    </row>
    <row r="773" spans="2:13" ht="15" customHeight="1" x14ac:dyDescent="0.2">
      <c r="B773" s="10" t="s">
        <v>924</v>
      </c>
      <c r="C773" s="10" t="s">
        <v>896</v>
      </c>
      <c r="D773" s="28">
        <f>(M746*(Inputs!$D$7+Inputs!$D$20)*$D$769*(Inputs!$D$7-Inputs!$D$19)-M746*Inputs!$D$20*Inputs!$D$23)/($D$770-Inputs!$D$20)/(Inputs!$D$7+$D$770)^M744</f>
        <v>4496.0185423515322</v>
      </c>
      <c r="G773" s="92" t="s">
        <v>910</v>
      </c>
      <c r="H773" s="91"/>
      <c r="I773" s="91"/>
      <c r="J773" s="28">
        <f>SUM(D765:M765)+(M746*(Inputs!$D$7+Inputs!$D$20)*$D$769-M746*Inputs!$D$20*Inputs!$D$23)/($D$770-Inputs!$D$20)/(Inputs!$D$7+$D$770)^M744</f>
        <v>10422.421574652788</v>
      </c>
      <c r="K773" s="99" t="s">
        <v>896</v>
      </c>
      <c r="L773" s="91"/>
      <c r="M773" s="91"/>
    </row>
    <row r="774" spans="2:13" ht="15" customHeight="1" x14ac:dyDescent="0.2">
      <c r="B774" s="10" t="s">
        <v>925</v>
      </c>
      <c r="C774" s="10" t="s">
        <v>110</v>
      </c>
      <c r="D774" s="16">
        <f>(D777*Inputs!$D$19-D777-D778)/($D$770-Inputs!$D$20)/(Inputs!$D$7+$D$770)^M744</f>
        <v>-93153.423070883771</v>
      </c>
      <c r="G774" s="92" t="s">
        <v>926</v>
      </c>
      <c r="H774" s="91"/>
      <c r="I774" s="91"/>
      <c r="J774" s="16">
        <f>SUM(D766:M766)-(D777+D778)/($D$770-Inputs!$D$20)/(Inputs!$D$7+$D$770)^M744</f>
        <v>-226023.23893944838</v>
      </c>
      <c r="K774" s="99" t="s">
        <v>110</v>
      </c>
      <c r="L774" s="91"/>
      <c r="M774" s="91"/>
    </row>
    <row r="775" spans="2:13" ht="15" customHeight="1" x14ac:dyDescent="0.2">
      <c r="B775" s="10" t="s">
        <v>927</v>
      </c>
      <c r="C775" s="10" t="s">
        <v>928</v>
      </c>
      <c r="D775" s="16">
        <f>(M746*(Inputs!$D$7+Inputs!$D$20)*$D$768*$D$769-D777)-MAX((M746*(Inputs!$D$7+Inputs!$D$20)*$D$768*$D$769-D777),Inputs!$D$6)*Inputs!$D$19-D778-M746*Inputs!$D$20*$D$768*Inputs!$D$23</f>
        <v>4445.8908709566831</v>
      </c>
      <c r="G775" s="99" t="s">
        <v>929</v>
      </c>
      <c r="H775" s="91"/>
      <c r="I775" s="91"/>
      <c r="J775" s="28">
        <f>(D767-D780)/D779</f>
        <v>29.230505354991763</v>
      </c>
      <c r="K775" s="99" t="s">
        <v>919</v>
      </c>
      <c r="L775" s="91"/>
      <c r="M775" s="91"/>
    </row>
    <row r="776" spans="2:13" ht="15" customHeight="1" x14ac:dyDescent="0.2">
      <c r="B776" s="10" t="s">
        <v>930</v>
      </c>
      <c r="C776" s="10" t="s">
        <v>110</v>
      </c>
      <c r="D776" s="16">
        <f>D775/($D$770-Inputs!$D$20)</f>
        <v>80834.379471939697</v>
      </c>
      <c r="G776" s="99" t="s">
        <v>931</v>
      </c>
      <c r="H776" s="91"/>
      <c r="I776" s="91"/>
      <c r="J776" s="16">
        <f>MIN(D760:M760,(M746*(Inputs!$D$7+Inputs!$D$20)*$D$768*$D$769-D777))</f>
        <v>1119.8061851421396</v>
      </c>
      <c r="K776" s="99" t="s">
        <v>110</v>
      </c>
      <c r="L776" s="91"/>
      <c r="M776" s="91"/>
    </row>
    <row r="777" spans="2:13" ht="15" customHeight="1" x14ac:dyDescent="0.2">
      <c r="B777" s="10" t="s">
        <v>932</v>
      </c>
      <c r="C777" s="10" t="s">
        <v>928</v>
      </c>
      <c r="D777" s="16">
        <f>M746*(Inputs!$D$7+Inputs!$D$20)*($D$771/Inputs!$D$21+$D$772/Inputs!$D$22)</f>
        <v>13509.71303671543</v>
      </c>
      <c r="G777" s="99" t="s">
        <v>933</v>
      </c>
      <c r="H777" s="91"/>
      <c r="I777" s="91"/>
      <c r="J777" s="31" t="str">
        <f>IF(J776&lt;Inputs!$D$6,"breached","satisfied")</f>
        <v>satisfied</v>
      </c>
      <c r="K777" s="99" t="s">
        <v>934</v>
      </c>
      <c r="L777" s="91"/>
      <c r="M777" s="91"/>
    </row>
    <row r="778" spans="2:13" ht="15" customHeight="1" x14ac:dyDescent="0.2">
      <c r="B778" s="10" t="s">
        <v>935</v>
      </c>
      <c r="C778" s="10" t="s">
        <v>928</v>
      </c>
      <c r="D778" s="16">
        <f>M746*Inputs!$D$20*($D$771+$D$772)</f>
        <v>1365.7073615561799</v>
      </c>
    </row>
    <row r="779" spans="2:13" ht="15" customHeight="1" x14ac:dyDescent="0.2">
      <c r="B779" s="10" t="s">
        <v>936</v>
      </c>
      <c r="C779" s="10" t="s">
        <v>896</v>
      </c>
      <c r="D779" s="28">
        <f>SUM(D756:M756)+D773</f>
        <v>7288.5297588084459</v>
      </c>
      <c r="G779" s="99" t="s">
        <v>937</v>
      </c>
      <c r="H779" s="91"/>
      <c r="I779" s="91"/>
      <c r="J779" s="16">
        <f>D781-D767</f>
        <v>0</v>
      </c>
      <c r="K779" s="99" t="s">
        <v>110</v>
      </c>
      <c r="L779" s="91"/>
      <c r="M779" s="91"/>
    </row>
    <row r="780" spans="2:13" ht="15" customHeight="1" x14ac:dyDescent="0.2">
      <c r="B780" s="10" t="s">
        <v>938</v>
      </c>
      <c r="C780" s="10" t="s">
        <v>110</v>
      </c>
      <c r="D780" s="16">
        <f>SUM(D757:M757)+D774</f>
        <v>-169347.40814486711</v>
      </c>
    </row>
    <row r="781" spans="2:13" ht="15" customHeight="1" x14ac:dyDescent="0.2">
      <c r="B781" s="10" t="s">
        <v>939</v>
      </c>
      <c r="C781" s="10" t="s">
        <v>110</v>
      </c>
      <c r="D781" s="16">
        <f>SUM(D764:M764)+D776/(Inputs!$D$7+$D$770)^M744</f>
        <v>43700.000000000022</v>
      </c>
    </row>
    <row r="782" spans="2:13" ht="15" customHeight="1" x14ac:dyDescent="0.2">
      <c r="B782" s="10" t="s">
        <v>940</v>
      </c>
      <c r="C782" s="10" t="s">
        <v>104</v>
      </c>
      <c r="D782" s="30">
        <f>IF(ABS(D767)&gt;Inputs!$D$6,D781/D767-Inputs!$D$7,Inputs!$D$6)</f>
        <v>4.4408920985006262E-16</v>
      </c>
    </row>
    <row r="783" spans="2:13" ht="15" customHeight="1" x14ac:dyDescent="0.2">
      <c r="B783" s="10" t="s">
        <v>941</v>
      </c>
      <c r="C783" s="10" t="s">
        <v>104</v>
      </c>
      <c r="D783" s="30">
        <f>IF(ABS(D781)&gt;Inputs!$D$119,D776/(Inputs!$D$7+$D$770)^M744/D781,Inputs!$D$6)</f>
        <v>0.8756858354110969</v>
      </c>
    </row>
    <row r="784" spans="2:13" ht="15" customHeight="1" x14ac:dyDescent="0.2">
      <c r="B784" s="10" t="s">
        <v>942</v>
      </c>
      <c r="C784" s="10" t="s">
        <v>943</v>
      </c>
      <c r="D784" s="26">
        <f>$D$768*Inputs!$D$8/Prices!$P$6/(Inputs!$D$26/Inputs!$D$25)/Inputs!$D$11/Inputs!$D$56</f>
        <v>5.3156561871181234</v>
      </c>
    </row>
    <row r="788" spans="1:13" ht="15" customHeight="1" x14ac:dyDescent="0.2">
      <c r="A788" s="104" t="s">
        <v>2182</v>
      </c>
      <c r="B788" s="10" t="s">
        <v>886</v>
      </c>
      <c r="C788" s="10" t="s">
        <v>107</v>
      </c>
      <c r="D788" s="28">
        <f>Inputs!$D$60</f>
        <v>1</v>
      </c>
      <c r="E788" s="28">
        <f>Inputs!$D$62</f>
        <v>2</v>
      </c>
      <c r="F788" s="28">
        <f>Inputs!$D$64</f>
        <v>3</v>
      </c>
      <c r="G788" s="28">
        <f>Inputs!$D$66</f>
        <v>4</v>
      </c>
      <c r="H788" s="28">
        <f>Inputs!$D$68</f>
        <v>5</v>
      </c>
      <c r="I788" s="28">
        <f>Inputs!$D$70</f>
        <v>6</v>
      </c>
      <c r="J788" s="28">
        <f>Inputs!$D$72</f>
        <v>7</v>
      </c>
      <c r="K788" s="28">
        <f>Inputs!$D$74</f>
        <v>8</v>
      </c>
      <c r="L788" s="28">
        <f>Inputs!$D$76</f>
        <v>9</v>
      </c>
      <c r="M788" s="28">
        <f>Inputs!$D$78</f>
        <v>10</v>
      </c>
    </row>
    <row r="789" spans="1:13" ht="15" customHeight="1" x14ac:dyDescent="0.2">
      <c r="A789" s="91"/>
      <c r="B789" s="10" t="s">
        <v>887</v>
      </c>
      <c r="C789" s="10" t="s">
        <v>161</v>
      </c>
      <c r="D789" s="29">
        <f>Inputs!$D$61</f>
        <v>46568</v>
      </c>
      <c r="E789" s="29">
        <f>Inputs!$D$63</f>
        <v>46934</v>
      </c>
      <c r="F789" s="29">
        <f>Inputs!$D$65</f>
        <v>47299</v>
      </c>
      <c r="G789" s="29">
        <f>Inputs!$D$67</f>
        <v>47664</v>
      </c>
      <c r="H789" s="29">
        <f>Inputs!$D$69</f>
        <v>48029</v>
      </c>
      <c r="I789" s="29">
        <f>Inputs!$D$71</f>
        <v>48395</v>
      </c>
      <c r="J789" s="29">
        <f>Inputs!$D$73</f>
        <v>48760</v>
      </c>
      <c r="K789" s="29">
        <f>Inputs!$D$75</f>
        <v>49125</v>
      </c>
      <c r="L789" s="29">
        <f>Inputs!$D$77</f>
        <v>49490</v>
      </c>
      <c r="M789" s="29">
        <f>Inputs!$D$79</f>
        <v>49856</v>
      </c>
    </row>
    <row r="790" spans="1:13" ht="15" customHeight="1" x14ac:dyDescent="0.2">
      <c r="A790" s="91"/>
      <c r="B790" s="10" t="s">
        <v>888</v>
      </c>
      <c r="C790" s="10" t="s">
        <v>107</v>
      </c>
      <c r="D790" s="28">
        <f>(D789-Inputs!$D$13)/Inputs!$D$10</f>
        <v>0.71457905544147848</v>
      </c>
      <c r="E790" s="28">
        <f>(E789-Inputs!$D$13)/Inputs!$D$10</f>
        <v>1.7166324435318274</v>
      </c>
      <c r="F790" s="28">
        <f>(F789-Inputs!$D$13)/Inputs!$D$10</f>
        <v>2.7159479808350446</v>
      </c>
      <c r="G790" s="28">
        <f>(G789-Inputs!$D$13)/Inputs!$D$10</f>
        <v>3.7152635181382614</v>
      </c>
      <c r="H790" s="28">
        <f>(H789-Inputs!$D$13)/Inputs!$D$10</f>
        <v>4.7145790554414786</v>
      </c>
      <c r="I790" s="28">
        <f>(I789-Inputs!$D$13)/Inputs!$D$10</f>
        <v>5.7166324435318279</v>
      </c>
      <c r="J790" s="28">
        <f>(J789-Inputs!$D$13)/Inputs!$D$10</f>
        <v>6.7159479808350442</v>
      </c>
      <c r="K790" s="28">
        <f>(K789-Inputs!$D$13)/Inputs!$D$10</f>
        <v>7.7152635181382614</v>
      </c>
      <c r="L790" s="28">
        <f>(L789-Inputs!$D$13)/Inputs!$D$10</f>
        <v>8.7145790554414777</v>
      </c>
      <c r="M790" s="28">
        <f>(M789-Inputs!$D$13)/Inputs!$D$10</f>
        <v>9.716632443531827</v>
      </c>
    </row>
    <row r="791" spans="1:13" ht="15" customHeight="1" x14ac:dyDescent="0.2">
      <c r="A791" s="91"/>
      <c r="B791" s="10" t="s">
        <v>889</v>
      </c>
      <c r="C791" s="10" t="s">
        <v>107</v>
      </c>
      <c r="D791" s="28">
        <f>D790</f>
        <v>0.71457905544147848</v>
      </c>
      <c r="E791" s="28">
        <f>Inputs!$D$7</f>
        <v>1</v>
      </c>
      <c r="F791" s="28">
        <f>Inputs!$D$7</f>
        <v>1</v>
      </c>
      <c r="G791" s="28">
        <f>Inputs!$D$7</f>
        <v>1</v>
      </c>
      <c r="H791" s="28">
        <f>Inputs!$D$7</f>
        <v>1</v>
      </c>
      <c r="I791" s="28">
        <f>Inputs!$D$7</f>
        <v>1</v>
      </c>
      <c r="J791" s="28">
        <f>Inputs!$D$7</f>
        <v>1</v>
      </c>
      <c r="K791" s="28">
        <f>Inputs!$D$7</f>
        <v>1</v>
      </c>
      <c r="L791" s="28">
        <f>Inputs!$D$7</f>
        <v>1</v>
      </c>
      <c r="M791" s="28">
        <f>Inputs!$D$7</f>
        <v>1</v>
      </c>
    </row>
    <row r="792" spans="1:13" ht="15" customHeight="1" x14ac:dyDescent="0.2">
      <c r="A792" s="91"/>
      <c r="B792" s="3" t="s">
        <v>890</v>
      </c>
      <c r="C792" s="10" t="s">
        <v>199</v>
      </c>
      <c r="D792" s="28">
        <f>Inputs!$D$24+(Inputs!$D$80-Inputs!$D$24)*Inputs!$D$83</f>
        <v>305.5</v>
      </c>
      <c r="E792" s="28">
        <f>Inputs!$D$24+(Inputs!$D$80-Inputs!$D$24)*Inputs!$D$84</f>
        <v>651.5</v>
      </c>
      <c r="F792" s="28">
        <f>Inputs!$D$24+(Inputs!$D$80-Inputs!$D$24)*Inputs!$D$85</f>
        <v>911</v>
      </c>
      <c r="G792" s="28">
        <f>Inputs!$D$24+(Inputs!$D$80-Inputs!$D$24)*Inputs!$D$86</f>
        <v>911</v>
      </c>
      <c r="H792" s="28">
        <f>Inputs!$D$24+(Inputs!$D$80-Inputs!$D$24)*Inputs!$D$87</f>
        <v>911</v>
      </c>
      <c r="I792" s="28">
        <f>Inputs!$D$24+(Inputs!$D$80-Inputs!$D$24)*Inputs!$D$88</f>
        <v>911</v>
      </c>
      <c r="J792" s="28">
        <f>Inputs!$D$24+(Inputs!$D$80-Inputs!$D$24)*Inputs!$D$89</f>
        <v>911</v>
      </c>
      <c r="K792" s="28">
        <f>Inputs!$D$24+(Inputs!$D$80-Inputs!$D$24)*Inputs!$D$90</f>
        <v>911</v>
      </c>
      <c r="L792" s="28">
        <f>Inputs!$D$24+(Inputs!$D$80-Inputs!$D$24)*Inputs!$D$91</f>
        <v>911</v>
      </c>
      <c r="M792" s="28">
        <f>Inputs!$D$24+(Inputs!$D$80-Inputs!$D$24)*Inputs!$D$92</f>
        <v>911</v>
      </c>
    </row>
    <row r="793" spans="1:13" ht="15" customHeight="1" x14ac:dyDescent="0.2">
      <c r="A793" s="91"/>
      <c r="B793" s="10" t="s">
        <v>891</v>
      </c>
      <c r="C793" s="10" t="s">
        <v>199</v>
      </c>
      <c r="D793" s="28">
        <f>Inputs!$D$24</f>
        <v>46</v>
      </c>
      <c r="E793" s="28">
        <f t="shared" ref="E793:M793" si="170">D792</f>
        <v>305.5</v>
      </c>
      <c r="F793" s="28">
        <f t="shared" si="170"/>
        <v>651.5</v>
      </c>
      <c r="G793" s="28">
        <f t="shared" si="170"/>
        <v>911</v>
      </c>
      <c r="H793" s="28">
        <f t="shared" si="170"/>
        <v>911</v>
      </c>
      <c r="I793" s="28">
        <f t="shared" si="170"/>
        <v>911</v>
      </c>
      <c r="J793" s="28">
        <f t="shared" si="170"/>
        <v>911</v>
      </c>
      <c r="K793" s="28">
        <f t="shared" si="170"/>
        <v>911</v>
      </c>
      <c r="L793" s="28">
        <f t="shared" si="170"/>
        <v>911</v>
      </c>
      <c r="M793" s="28">
        <f t="shared" si="170"/>
        <v>911</v>
      </c>
    </row>
    <row r="794" spans="1:13" ht="15" customHeight="1" x14ac:dyDescent="0.2">
      <c r="B794" s="10" t="s">
        <v>892</v>
      </c>
      <c r="C794" s="10" t="s">
        <v>199</v>
      </c>
      <c r="D794" s="28">
        <f>(D793+D792)*Inputs!$D$12</f>
        <v>175.75</v>
      </c>
      <c r="E794" s="28">
        <f>(E793+E792)*Inputs!$D$12</f>
        <v>478.5</v>
      </c>
      <c r="F794" s="28">
        <f>(F793+F792)*Inputs!$D$12</f>
        <v>781.25</v>
      </c>
      <c r="G794" s="28">
        <f>(G793+G792)*Inputs!$D$12</f>
        <v>911</v>
      </c>
      <c r="H794" s="28">
        <f>(H793+H792)*Inputs!$D$12</f>
        <v>911</v>
      </c>
      <c r="I794" s="28">
        <f>(I793+I792)*Inputs!$D$12</f>
        <v>911</v>
      </c>
      <c r="J794" s="28">
        <f>(J793+J792)*Inputs!$D$12</f>
        <v>911</v>
      </c>
      <c r="K794" s="28">
        <f>(K793+K792)*Inputs!$D$12</f>
        <v>911</v>
      </c>
      <c r="L794" s="28">
        <f>(L793+L792)*Inputs!$D$12</f>
        <v>911</v>
      </c>
      <c r="M794" s="28">
        <f>(M793+M792)*Inputs!$D$12</f>
        <v>911</v>
      </c>
    </row>
    <row r="795" spans="1:13" ht="15" customHeight="1" x14ac:dyDescent="0.2">
      <c r="B795" s="10" t="s">
        <v>893</v>
      </c>
      <c r="C795" s="10" t="s">
        <v>199</v>
      </c>
      <c r="D795" s="28">
        <f t="shared" ref="D795:M795" si="171">D792-D793</f>
        <v>259.5</v>
      </c>
      <c r="E795" s="28">
        <f t="shared" si="171"/>
        <v>346</v>
      </c>
      <c r="F795" s="28">
        <f t="shared" si="171"/>
        <v>259.5</v>
      </c>
      <c r="G795" s="28">
        <f t="shared" si="171"/>
        <v>0</v>
      </c>
      <c r="H795" s="28">
        <f t="shared" si="171"/>
        <v>0</v>
      </c>
      <c r="I795" s="28">
        <f t="shared" si="171"/>
        <v>0</v>
      </c>
      <c r="J795" s="28">
        <f t="shared" si="171"/>
        <v>0</v>
      </c>
      <c r="K795" s="28">
        <f t="shared" si="171"/>
        <v>0</v>
      </c>
      <c r="L795" s="28">
        <f t="shared" si="171"/>
        <v>0</v>
      </c>
      <c r="M795" s="28">
        <f t="shared" si="171"/>
        <v>0</v>
      </c>
    </row>
    <row r="796" spans="1:13" ht="15" customHeight="1" x14ac:dyDescent="0.2">
      <c r="B796" s="10" t="s">
        <v>894</v>
      </c>
      <c r="C796" s="10" t="s">
        <v>199</v>
      </c>
      <c r="D796" s="28">
        <f>IF(MOD(D788,Inputs!$D$21)=Inputs!$D$6,Inputs!$D$24,Inputs!$D$6)+SUMPRODUCT(--(D788&gt;$D$788:$M$788),--(MOD(D788-$D$788:$M$788,Inputs!$D$21)=Inputs!$D$6),$D$795:$M$795)</f>
        <v>0</v>
      </c>
      <c r="E796" s="28">
        <f>IF(MOD(E788,Inputs!$D$21)=Inputs!$D$6,Inputs!$D$24,Inputs!$D$6)+SUMPRODUCT(--(E788&gt;$D$788:$M$788),--(MOD(E788-$D$788:$M$788,Inputs!$D$21)=Inputs!$D$6),$D$795:$M$795)</f>
        <v>0</v>
      </c>
      <c r="F796" s="28">
        <f>IF(MOD(F788,Inputs!$D$21)=Inputs!$D$6,Inputs!$D$24,Inputs!$D$6)+SUMPRODUCT(--(F788&gt;$D$788:$M$788),--(MOD(F788-$D$788:$M$788,Inputs!$D$21)=Inputs!$D$6),$D$795:$M$795)</f>
        <v>0</v>
      </c>
      <c r="G796" s="28">
        <f>IF(MOD(G788,Inputs!$D$21)=Inputs!$D$6,Inputs!$D$24,Inputs!$D$6)+SUMPRODUCT(--(G788&gt;$D$788:$M$788),--(MOD(G788-$D$788:$M$788,Inputs!$D$21)=Inputs!$D$6),$D$795:$M$795)</f>
        <v>46</v>
      </c>
      <c r="H796" s="28">
        <f>IF(MOD(H788,Inputs!$D$21)=Inputs!$D$6,Inputs!$D$24,Inputs!$D$6)+SUMPRODUCT(--(H788&gt;$D$788:$M$788),--(MOD(H788-$D$788:$M$788,Inputs!$D$21)=Inputs!$D$6),$D$795:$M$795)</f>
        <v>259.5</v>
      </c>
      <c r="I796" s="28">
        <f>IF(MOD(I788,Inputs!$D$21)=Inputs!$D$6,Inputs!$D$24,Inputs!$D$6)+SUMPRODUCT(--(I788&gt;$D$788:$M$788),--(MOD(I788-$D$788:$M$788,Inputs!$D$21)=Inputs!$D$6),$D$795:$M$795)</f>
        <v>346</v>
      </c>
      <c r="J796" s="28">
        <f>IF(MOD(J788,Inputs!$D$21)=Inputs!$D$6,Inputs!$D$24,Inputs!$D$6)+SUMPRODUCT(--(J788&gt;$D$788:$M$788),--(MOD(J788-$D$788:$M$788,Inputs!$D$21)=Inputs!$D$6),$D$795:$M$795)</f>
        <v>259.5</v>
      </c>
      <c r="K796" s="28">
        <f>IF(MOD(K788,Inputs!$D$21)=Inputs!$D$6,Inputs!$D$24,Inputs!$D$6)+SUMPRODUCT(--(K788&gt;$D$788:$M$788),--(MOD(K788-$D$788:$M$788,Inputs!$D$21)=Inputs!$D$6),$D$795:$M$795)</f>
        <v>46</v>
      </c>
      <c r="L796" s="28">
        <f>IF(MOD(L788,Inputs!$D$21)=Inputs!$D$6,Inputs!$D$24,Inputs!$D$6)+SUMPRODUCT(--(L788&gt;$D$788:$M$788),--(MOD(L788-$D$788:$M$788,Inputs!$D$21)=Inputs!$D$6),$D$795:$M$795)</f>
        <v>259.5</v>
      </c>
      <c r="M796" s="28">
        <f>IF(MOD(M788,Inputs!$D$21)=Inputs!$D$6,Inputs!$D$24,Inputs!$D$6)+SUMPRODUCT(--(M788&gt;$D$788:$M$788),--(MOD(M788-$D$788:$M$788,Inputs!$D$21)=Inputs!$D$6),$D$795:$M$795)</f>
        <v>346</v>
      </c>
    </row>
    <row r="797" spans="1:13" ht="15" customHeight="1" x14ac:dyDescent="0.2">
      <c r="B797" s="10" t="s">
        <v>895</v>
      </c>
      <c r="C797" s="10" t="s">
        <v>896</v>
      </c>
      <c r="D797" s="28">
        <f t="shared" ref="D797:M797" si="172">D794*D791</f>
        <v>125.58726899383984</v>
      </c>
      <c r="E797" s="28">
        <f t="shared" si="172"/>
        <v>478.5</v>
      </c>
      <c r="F797" s="28">
        <f t="shared" si="172"/>
        <v>781.25</v>
      </c>
      <c r="G797" s="28">
        <f t="shared" si="172"/>
        <v>911</v>
      </c>
      <c r="H797" s="28">
        <f t="shared" si="172"/>
        <v>911</v>
      </c>
      <c r="I797" s="28">
        <f t="shared" si="172"/>
        <v>911</v>
      </c>
      <c r="J797" s="28">
        <f t="shared" si="172"/>
        <v>911</v>
      </c>
      <c r="K797" s="28">
        <f t="shared" si="172"/>
        <v>911</v>
      </c>
      <c r="L797" s="28">
        <f t="shared" si="172"/>
        <v>911</v>
      </c>
      <c r="M797" s="28">
        <f t="shared" si="172"/>
        <v>911</v>
      </c>
    </row>
    <row r="798" spans="1:13" ht="15" customHeight="1" x14ac:dyDescent="0.2">
      <c r="B798" s="10" t="s">
        <v>897</v>
      </c>
      <c r="C798" s="10" t="s">
        <v>110</v>
      </c>
      <c r="D798" s="16">
        <f>D797*($D$817/Inputs!$D$21+$D$818/Inputs!$D$22)</f>
        <v>1816.9772859324419</v>
      </c>
      <c r="E798" s="16">
        <f>E797*($D$817/Inputs!$D$21+$D$818/Inputs!$D$22)</f>
        <v>6922.8643817497086</v>
      </c>
      <c r="F798" s="16">
        <f>F797*($D$817/Inputs!$D$21+$D$818/Inputs!$D$22)</f>
        <v>11303.0048030135</v>
      </c>
      <c r="G798" s="16">
        <f>G797*($D$817/Inputs!$D$21+$D$818/Inputs!$D$22)</f>
        <v>13180.207840697982</v>
      </c>
      <c r="H798" s="16">
        <f>H797*($D$817/Inputs!$D$21+$D$818/Inputs!$D$22)</f>
        <v>13180.207840697982</v>
      </c>
      <c r="I798" s="16">
        <f>I797*($D$817/Inputs!$D$21+$D$818/Inputs!$D$22)</f>
        <v>13180.207840697982</v>
      </c>
      <c r="J798" s="16">
        <f>J797*($D$817/Inputs!$D$21+$D$818/Inputs!$D$22)</f>
        <v>13180.207840697982</v>
      </c>
      <c r="K798" s="16">
        <f>K797*($D$817/Inputs!$D$21+$D$818/Inputs!$D$22)</f>
        <v>13180.207840697982</v>
      </c>
      <c r="L798" s="16">
        <f>L797*($D$817/Inputs!$D$21+$D$818/Inputs!$D$22)</f>
        <v>13180.207840697982</v>
      </c>
      <c r="M798" s="16">
        <f>M797*($D$817/Inputs!$D$21+$D$818/Inputs!$D$22)</f>
        <v>13180.207840697982</v>
      </c>
    </row>
    <row r="799" spans="1:13" ht="15" customHeight="1" x14ac:dyDescent="0.2">
      <c r="B799" s="10" t="s">
        <v>898</v>
      </c>
      <c r="C799" s="10" t="s">
        <v>110</v>
      </c>
      <c r="D799" s="16">
        <f t="shared" ref="D799:M799" si="173">D795*($D$817+$D$818)</f>
        <v>15560.968620146154</v>
      </c>
      <c r="E799" s="16">
        <f t="shared" si="173"/>
        <v>20747.95816019487</v>
      </c>
      <c r="F799" s="16">
        <f t="shared" si="173"/>
        <v>15560.968620146154</v>
      </c>
      <c r="G799" s="16">
        <f t="shared" si="173"/>
        <v>0</v>
      </c>
      <c r="H799" s="16">
        <f t="shared" si="173"/>
        <v>0</v>
      </c>
      <c r="I799" s="16">
        <f t="shared" si="173"/>
        <v>0</v>
      </c>
      <c r="J799" s="16">
        <f t="shared" si="173"/>
        <v>0</v>
      </c>
      <c r="K799" s="16">
        <f t="shared" si="173"/>
        <v>0</v>
      </c>
      <c r="L799" s="16">
        <f t="shared" si="173"/>
        <v>0</v>
      </c>
      <c r="M799" s="16">
        <f t="shared" si="173"/>
        <v>0</v>
      </c>
    </row>
    <row r="800" spans="1:13" ht="15" customHeight="1" x14ac:dyDescent="0.2">
      <c r="B800" s="10" t="s">
        <v>899</v>
      </c>
      <c r="C800" s="10" t="s">
        <v>110</v>
      </c>
      <c r="D800" s="16">
        <f t="shared" ref="D800:M800" si="174">D796*$D$817</f>
        <v>0</v>
      </c>
      <c r="E800" s="16">
        <f t="shared" si="174"/>
        <v>0</v>
      </c>
      <c r="F800" s="16">
        <f t="shared" si="174"/>
        <v>0</v>
      </c>
      <c r="G800" s="16">
        <f t="shared" si="174"/>
        <v>2638.0048485671714</v>
      </c>
      <c r="H800" s="16">
        <f t="shared" si="174"/>
        <v>14881.788221808281</v>
      </c>
      <c r="I800" s="16">
        <f t="shared" si="174"/>
        <v>19842.384295744378</v>
      </c>
      <c r="J800" s="16">
        <f t="shared" si="174"/>
        <v>14881.788221808281</v>
      </c>
      <c r="K800" s="16">
        <f t="shared" si="174"/>
        <v>2638.0048485671714</v>
      </c>
      <c r="L800" s="16">
        <f t="shared" si="174"/>
        <v>14881.788221808281</v>
      </c>
      <c r="M800" s="16">
        <f t="shared" si="174"/>
        <v>19842.384295744378</v>
      </c>
    </row>
    <row r="801" spans="2:13" ht="15" customHeight="1" x14ac:dyDescent="0.2">
      <c r="B801" s="10" t="s">
        <v>900</v>
      </c>
      <c r="C801" s="10" t="s">
        <v>199</v>
      </c>
      <c r="D801" s="28">
        <f>D795*Inputs!$D$23</f>
        <v>6.4875000000000007</v>
      </c>
      <c r="E801" s="28">
        <f>E795*Inputs!$D$23</f>
        <v>8.65</v>
      </c>
      <c r="F801" s="28">
        <f>F795*Inputs!$D$23</f>
        <v>6.4875000000000007</v>
      </c>
      <c r="G801" s="28">
        <f>G795*Inputs!$D$23</f>
        <v>0</v>
      </c>
      <c r="H801" s="28">
        <f>H795*Inputs!$D$23</f>
        <v>0</v>
      </c>
      <c r="I801" s="28">
        <f>I795*Inputs!$D$23</f>
        <v>0</v>
      </c>
      <c r="J801" s="28">
        <f>J795*Inputs!$D$23</f>
        <v>0</v>
      </c>
      <c r="K801" s="28">
        <f>K795*Inputs!$D$23</f>
        <v>0</v>
      </c>
      <c r="L801" s="28">
        <f>L795*Inputs!$D$23</f>
        <v>0</v>
      </c>
      <c r="M801" s="28">
        <f>M795*Inputs!$D$23</f>
        <v>0</v>
      </c>
    </row>
    <row r="802" spans="2:13" ht="15" customHeight="1" x14ac:dyDescent="0.2">
      <c r="B802" s="3" t="s">
        <v>901</v>
      </c>
      <c r="C802" s="10" t="s">
        <v>896</v>
      </c>
      <c r="D802" s="28">
        <f>(D797*$D$815*(Inputs!$D$7-Inputs!$D$19)-D801)/(Inputs!$D$7+$D$816)^D790</f>
        <v>59.638107928754934</v>
      </c>
      <c r="E802" s="28">
        <f>(E797*$D$815*(Inputs!$D$7-Inputs!$D$19)-E801)/(Inputs!$D$7+$D$816)^E790</f>
        <v>220.17258373064229</v>
      </c>
      <c r="F802" s="28">
        <f>(F797*$D$815*(Inputs!$D$7-Inputs!$D$19)-F801)/(Inputs!$D$7+$D$816)^F790</f>
        <v>332.71278210921628</v>
      </c>
      <c r="G802" s="28">
        <f>(G797*$D$815*(Inputs!$D$7-Inputs!$D$19)-G801)/(Inputs!$D$7+$D$816)^G790</f>
        <v>358.03185685593229</v>
      </c>
      <c r="H802" s="28">
        <f>(H797*$D$815*(Inputs!$D$7-Inputs!$D$19)-H801)/(Inputs!$D$7+$D$816)^H790</f>
        <v>325.50474025278925</v>
      </c>
      <c r="I802" s="28">
        <f>(I797*$D$815*(Inputs!$D$7-Inputs!$D$19)-I801)/(Inputs!$D$7+$D$816)^I790</f>
        <v>295.85549304352458</v>
      </c>
      <c r="J802" s="28">
        <f>(J797*$D$815*(Inputs!$D$7-Inputs!$D$19)-J801)/(Inputs!$D$7+$D$816)^J790</f>
        <v>268.97708561795457</v>
      </c>
      <c r="K802" s="28">
        <f>(K797*$D$815*(Inputs!$D$7-Inputs!$D$19)-K801)/(Inputs!$D$7+$D$816)^K790</f>
        <v>244.54057568194261</v>
      </c>
      <c r="L802" s="28">
        <f>(L797*$D$815*(Inputs!$D$7-Inputs!$D$19)-L801)/(Inputs!$D$7+$D$816)^L790</f>
        <v>222.32411737776735</v>
      </c>
      <c r="M802" s="28">
        <f>(M797*$D$815*(Inputs!$D$7-Inputs!$D$19)-M801)/(Inputs!$D$7+$D$816)^M790</f>
        <v>202.07328259239429</v>
      </c>
    </row>
    <row r="803" spans="2:13" ht="15" customHeight="1" x14ac:dyDescent="0.2">
      <c r="B803" s="10" t="s">
        <v>902</v>
      </c>
      <c r="C803" s="10" t="s">
        <v>110</v>
      </c>
      <c r="D803" s="16">
        <f>(D798*Inputs!$D$19-D799-D800)/(Inputs!$D$7+$D$816)^D790</f>
        <v>-14027.24269342025</v>
      </c>
      <c r="E803" s="16">
        <f>(E798*Inputs!$D$19-E799-E800)/(Inputs!$D$7+$D$816)^E790</f>
        <v>-15853.087323826181</v>
      </c>
      <c r="F803" s="16">
        <f>(F798*Inputs!$D$19-F799-F800)/(Inputs!$D$7+$D$816)^F790</f>
        <v>-9394.4767487293357</v>
      </c>
      <c r="G803" s="16">
        <f>(G798*Inputs!$D$19-G799-G800)/(Inputs!$D$7+$D$816)^G790</f>
        <v>923.61320322684639</v>
      </c>
      <c r="H803" s="16">
        <f>(H798*Inputs!$D$19-H799-H800)/(Inputs!$D$7+$D$816)^H790</f>
        <v>-6972.3744918015345</v>
      </c>
      <c r="I803" s="16">
        <f>(I798*Inputs!$D$19-I799-I800)/(Inputs!$D$7+$D$816)^I790</f>
        <v>-9214.0648467907959</v>
      </c>
      <c r="J803" s="16">
        <f>(J798*Inputs!$D$19-J799-J800)/(Inputs!$D$7+$D$816)^J790</f>
        <v>-5761.5411965591911</v>
      </c>
      <c r="K803" s="16">
        <f>(K798*Inputs!$D$19-K799-K800)/(Inputs!$D$7+$D$816)^K790</f>
        <v>630.8402453567694</v>
      </c>
      <c r="L803" s="16">
        <f>(L798*Inputs!$D$19-L799-L800)/(Inputs!$D$7+$D$816)^L790</f>
        <v>-4762.2255937446444</v>
      </c>
      <c r="M803" s="16">
        <f>(M798*Inputs!$D$19-M799-M800)/(Inputs!$D$7+$D$816)^M790</f>
        <v>-6293.3302689644106</v>
      </c>
    </row>
    <row r="804" spans="2:13" ht="15" customHeight="1" x14ac:dyDescent="0.2">
      <c r="B804" s="10" t="s">
        <v>903</v>
      </c>
      <c r="C804" s="10" t="s">
        <v>110</v>
      </c>
      <c r="D804" s="16">
        <f t="shared" ref="D804:M804" si="175">D797*$D$814</f>
        <v>4074.5775173032062</v>
      </c>
      <c r="E804" s="16">
        <f t="shared" si="175"/>
        <v>15524.546059881419</v>
      </c>
      <c r="F804" s="16">
        <f t="shared" si="175"/>
        <v>25347.025306755189</v>
      </c>
      <c r="G804" s="16">
        <f t="shared" si="175"/>
        <v>29556.659269701089</v>
      </c>
      <c r="H804" s="16">
        <f t="shared" si="175"/>
        <v>29556.659269701089</v>
      </c>
      <c r="I804" s="16">
        <f t="shared" si="175"/>
        <v>29556.659269701089</v>
      </c>
      <c r="J804" s="16">
        <f t="shared" si="175"/>
        <v>29556.659269701089</v>
      </c>
      <c r="K804" s="16">
        <f t="shared" si="175"/>
        <v>29556.659269701089</v>
      </c>
      <c r="L804" s="16">
        <f t="shared" si="175"/>
        <v>29556.659269701089</v>
      </c>
      <c r="M804" s="16">
        <f t="shared" si="175"/>
        <v>29556.659269701089</v>
      </c>
    </row>
    <row r="805" spans="2:13" ht="15" customHeight="1" x14ac:dyDescent="0.2">
      <c r="B805" s="10" t="s">
        <v>904</v>
      </c>
      <c r="C805" s="10" t="s">
        <v>110</v>
      </c>
      <c r="D805" s="16">
        <f t="shared" ref="D805:M805" si="176">D804*$D$815</f>
        <v>3259.6620138425651</v>
      </c>
      <c r="E805" s="16">
        <f t="shared" si="176"/>
        <v>12419.636847905136</v>
      </c>
      <c r="F805" s="16">
        <f t="shared" si="176"/>
        <v>20277.620245404152</v>
      </c>
      <c r="G805" s="16">
        <f t="shared" si="176"/>
        <v>23645.327415760872</v>
      </c>
      <c r="H805" s="16">
        <f t="shared" si="176"/>
        <v>23645.327415760872</v>
      </c>
      <c r="I805" s="16">
        <f t="shared" si="176"/>
        <v>23645.327415760872</v>
      </c>
      <c r="J805" s="16">
        <f t="shared" si="176"/>
        <v>23645.327415760872</v>
      </c>
      <c r="K805" s="16">
        <f t="shared" si="176"/>
        <v>23645.327415760872</v>
      </c>
      <c r="L805" s="16">
        <f t="shared" si="176"/>
        <v>23645.327415760872</v>
      </c>
      <c r="M805" s="16">
        <f t="shared" si="176"/>
        <v>23645.327415760872</v>
      </c>
    </row>
    <row r="806" spans="2:13" ht="15" customHeight="1" x14ac:dyDescent="0.2">
      <c r="B806" s="10" t="s">
        <v>905</v>
      </c>
      <c r="C806" s="10" t="s">
        <v>110</v>
      </c>
      <c r="D806" s="16">
        <f t="shared" ref="D806:M806" si="177">D805-D798</f>
        <v>1442.6847279101232</v>
      </c>
      <c r="E806" s="16">
        <f t="shared" si="177"/>
        <v>5496.7724661554275</v>
      </c>
      <c r="F806" s="16">
        <f t="shared" si="177"/>
        <v>8974.6154423906519</v>
      </c>
      <c r="G806" s="16">
        <f t="shared" si="177"/>
        <v>10465.11957506289</v>
      </c>
      <c r="H806" s="16">
        <f t="shared" si="177"/>
        <v>10465.11957506289</v>
      </c>
      <c r="I806" s="16">
        <f t="shared" si="177"/>
        <v>10465.11957506289</v>
      </c>
      <c r="J806" s="16">
        <f t="shared" si="177"/>
        <v>10465.11957506289</v>
      </c>
      <c r="K806" s="16">
        <f t="shared" si="177"/>
        <v>10465.11957506289</v>
      </c>
      <c r="L806" s="16">
        <f t="shared" si="177"/>
        <v>10465.11957506289</v>
      </c>
      <c r="M806" s="16">
        <f t="shared" si="177"/>
        <v>10465.11957506289</v>
      </c>
    </row>
    <row r="807" spans="2:13" ht="15" customHeight="1" x14ac:dyDescent="0.2">
      <c r="B807" s="10" t="s">
        <v>906</v>
      </c>
      <c r="C807" s="10" t="s">
        <v>110</v>
      </c>
      <c r="D807" s="16">
        <f>MAX(D806,Inputs!$D$6)*Inputs!$D$19</f>
        <v>432.80541837303696</v>
      </c>
      <c r="E807" s="16">
        <f>MAX(E806,Inputs!$D$6)*Inputs!$D$19</f>
        <v>1649.0317398466282</v>
      </c>
      <c r="F807" s="16">
        <f>MAX(F806,Inputs!$D$6)*Inputs!$D$19</f>
        <v>2692.3846327171955</v>
      </c>
      <c r="G807" s="16">
        <f>MAX(G806,Inputs!$D$6)*Inputs!$D$19</f>
        <v>3139.5358725188671</v>
      </c>
      <c r="H807" s="16">
        <f>MAX(H806,Inputs!$D$6)*Inputs!$D$19</f>
        <v>3139.5358725188671</v>
      </c>
      <c r="I807" s="16">
        <f>MAX(I806,Inputs!$D$6)*Inputs!$D$19</f>
        <v>3139.5358725188671</v>
      </c>
      <c r="J807" s="16">
        <f>MAX(J806,Inputs!$D$6)*Inputs!$D$19</f>
        <v>3139.5358725188671</v>
      </c>
      <c r="K807" s="16">
        <f>MAX(K806,Inputs!$D$6)*Inputs!$D$19</f>
        <v>3139.5358725188671</v>
      </c>
      <c r="L807" s="16">
        <f>MAX(L806,Inputs!$D$6)*Inputs!$D$19</f>
        <v>3139.5358725188671</v>
      </c>
      <c r="M807" s="16">
        <f>MAX(M806,Inputs!$D$6)*Inputs!$D$19</f>
        <v>3139.5358725188671</v>
      </c>
    </row>
    <row r="808" spans="2:13" ht="15" customHeight="1" x14ac:dyDescent="0.2">
      <c r="B808" s="10" t="s">
        <v>907</v>
      </c>
      <c r="C808" s="10" t="s">
        <v>110</v>
      </c>
      <c r="D808" s="16">
        <f t="shared" ref="D808:M808" si="178">D801*$D$814</f>
        <v>210.48169814729511</v>
      </c>
      <c r="E808" s="16">
        <f t="shared" si="178"/>
        <v>280.64226419639346</v>
      </c>
      <c r="F808" s="16">
        <f t="shared" si="178"/>
        <v>210.48169814729511</v>
      </c>
      <c r="G808" s="16">
        <f t="shared" si="178"/>
        <v>0</v>
      </c>
      <c r="H808" s="16">
        <f t="shared" si="178"/>
        <v>0</v>
      </c>
      <c r="I808" s="16">
        <f t="shared" si="178"/>
        <v>0</v>
      </c>
      <c r="J808" s="16">
        <f t="shared" si="178"/>
        <v>0</v>
      </c>
      <c r="K808" s="16">
        <f t="shared" si="178"/>
        <v>0</v>
      </c>
      <c r="L808" s="16">
        <f t="shared" si="178"/>
        <v>0</v>
      </c>
      <c r="M808" s="16">
        <f t="shared" si="178"/>
        <v>0</v>
      </c>
    </row>
    <row r="809" spans="2:13" ht="15" customHeight="1" x14ac:dyDescent="0.2">
      <c r="B809" s="10" t="s">
        <v>908</v>
      </c>
      <c r="C809" s="10" t="s">
        <v>110</v>
      </c>
      <c r="D809" s="16">
        <f t="shared" ref="D809:M809" si="179">D805-D807-D799-D800-D808</f>
        <v>-12944.593722823922</v>
      </c>
      <c r="E809" s="16">
        <f t="shared" si="179"/>
        <v>-10257.995316332755</v>
      </c>
      <c r="F809" s="16">
        <f t="shared" si="179"/>
        <v>1813.7852943935077</v>
      </c>
      <c r="G809" s="16">
        <f t="shared" si="179"/>
        <v>17867.786694674833</v>
      </c>
      <c r="H809" s="16">
        <f t="shared" si="179"/>
        <v>5624.0033214337236</v>
      </c>
      <c r="I809" s="16">
        <f t="shared" si="179"/>
        <v>663.4072474976274</v>
      </c>
      <c r="J809" s="16">
        <f t="shared" si="179"/>
        <v>5624.0033214337236</v>
      </c>
      <c r="K809" s="16">
        <f t="shared" si="179"/>
        <v>17867.786694674833</v>
      </c>
      <c r="L809" s="16">
        <f t="shared" si="179"/>
        <v>5624.0033214337236</v>
      </c>
      <c r="M809" s="16">
        <f t="shared" si="179"/>
        <v>663.4072474976274</v>
      </c>
    </row>
    <row r="810" spans="2:13" ht="15" customHeight="1" x14ac:dyDescent="0.2">
      <c r="B810" s="10" t="s">
        <v>909</v>
      </c>
      <c r="C810" s="10" t="s">
        <v>110</v>
      </c>
      <c r="D810" s="16">
        <f>D809/(Inputs!$D$7+$D$816)^D790</f>
        <v>-12092.332445846301</v>
      </c>
      <c r="E810" s="16">
        <f>E809/(Inputs!$D$7+$D$816)^E790</f>
        <v>-8709.7656576831214</v>
      </c>
      <c r="F810" s="16">
        <f>F809/(Inputs!$D$7+$D$816)^F790</f>
        <v>1400.1207655148003</v>
      </c>
      <c r="G810" s="16">
        <f>G809/(Inputs!$D$7+$D$816)^G790</f>
        <v>12539.667649757235</v>
      </c>
      <c r="H810" s="16">
        <f>H809/(Inputs!$D$7+$D$816)^H790</f>
        <v>3588.3639256784304</v>
      </c>
      <c r="I810" s="16">
        <f>I809/(Inputs!$D$7+$D$816)^I790</f>
        <v>384.72768993464416</v>
      </c>
      <c r="J810" s="16">
        <f>J809/(Inputs!$D$7+$D$816)^J790</f>
        <v>2965.2031184431148</v>
      </c>
      <c r="K810" s="16">
        <f>K809/(Inputs!$D$7+$D$816)^K790</f>
        <v>8564.7617305902822</v>
      </c>
      <c r="L810" s="16">
        <f>L809/(Inputs!$D$7+$D$816)^L790</f>
        <v>2450.900843984994</v>
      </c>
      <c r="M810" s="16">
        <f>M809/(Inputs!$D$7+$D$816)^M790</f>
        <v>262.77418887688276</v>
      </c>
    </row>
    <row r="811" spans="2:13" ht="15" customHeight="1" x14ac:dyDescent="0.2">
      <c r="B811" s="3" t="s">
        <v>910</v>
      </c>
      <c r="C811" s="10" t="s">
        <v>896</v>
      </c>
      <c r="D811" s="28">
        <f>(D797*$D$815-D801)/(Inputs!$D$7+$D$816)^D790</f>
        <v>87.794597783729941</v>
      </c>
      <c r="E811" s="28">
        <f>(E797*$D$815-E801)/(Inputs!$D$7+$D$816)^E790</f>
        <v>317.67988971817448</v>
      </c>
      <c r="F811" s="28">
        <f>(F797*$D$815-F801)/(Inputs!$D$7+$D$816)^F790</f>
        <v>477.45022393625862</v>
      </c>
      <c r="G811" s="28">
        <f>(G797*$D$815-G801)/(Inputs!$D$7+$D$816)^G790</f>
        <v>511.4740812227605</v>
      </c>
      <c r="H811" s="28">
        <f>(H797*$D$815-H801)/(Inputs!$D$7+$D$816)^H790</f>
        <v>465.00677178969892</v>
      </c>
      <c r="I811" s="28">
        <f>(I797*$D$815-I801)/(Inputs!$D$7+$D$816)^I790</f>
        <v>422.6507043478922</v>
      </c>
      <c r="J811" s="28">
        <f>(J797*$D$815-J801)/(Inputs!$D$7+$D$816)^J790</f>
        <v>384.25297945422085</v>
      </c>
      <c r="K811" s="28">
        <f>(K797*$D$815-K801)/(Inputs!$D$7+$D$816)^K790</f>
        <v>349.34367954563231</v>
      </c>
      <c r="L811" s="28">
        <f>(L797*$D$815-L801)/(Inputs!$D$7+$D$816)^L790</f>
        <v>317.60588196823909</v>
      </c>
      <c r="M811" s="28">
        <f>(M797*$D$815-M801)/(Inputs!$D$7+$D$816)^M790</f>
        <v>288.6761179891347</v>
      </c>
    </row>
    <row r="812" spans="2:13" ht="15" customHeight="1" x14ac:dyDescent="0.2">
      <c r="B812" s="10" t="s">
        <v>911</v>
      </c>
      <c r="C812" s="10" t="s">
        <v>110</v>
      </c>
      <c r="D812" s="16">
        <f>(-D799-D800)/(Inputs!$D$7+$D$816)^D790</f>
        <v>-14536.447397527105</v>
      </c>
      <c r="E812" s="16">
        <f>(-E799-E800)/(Inputs!$D$7+$D$816)^E790</f>
        <v>-17616.488200475756</v>
      </c>
      <c r="F812" s="16">
        <f>(-F799-F800)/(Inputs!$D$7+$D$816)^F790</f>
        <v>-12012.025548964448</v>
      </c>
      <c r="G812" s="16">
        <f>(-G799-G800)/(Inputs!$D$7+$D$816)^G790</f>
        <v>-1851.359915178487</v>
      </c>
      <c r="H812" s="16">
        <f>(-H799-H800)/(Inputs!$D$7+$D$816)^H790</f>
        <v>-9495.2419037884629</v>
      </c>
      <c r="I812" s="16">
        <f>(-I799-I800)/(Inputs!$D$7+$D$816)^I790</f>
        <v>-11507.131858586603</v>
      </c>
      <c r="J812" s="16">
        <f>(-J799-J800)/(Inputs!$D$7+$D$816)^J790</f>
        <v>-7846.2835672839774</v>
      </c>
      <c r="K812" s="16">
        <f>(-K799-K800)/(Inputs!$D$7+$D$816)^K790</f>
        <v>-1264.5037327904422</v>
      </c>
      <c r="L812" s="16">
        <f>(-L799-L800)/(Inputs!$D$7+$D$816)^L790</f>
        <v>-6485.3779822337692</v>
      </c>
      <c r="M812" s="16">
        <f>(-M799-M800)/(Inputs!$D$7+$D$816)^M790</f>
        <v>-7859.5258920747219</v>
      </c>
    </row>
    <row r="813" spans="2:13" ht="15" customHeight="1" x14ac:dyDescent="0.2">
      <c r="B813" s="10" t="s">
        <v>912</v>
      </c>
      <c r="C813" s="10" t="s">
        <v>110</v>
      </c>
      <c r="D813" s="16">
        <f>Prices!I6</f>
        <v>43700</v>
      </c>
    </row>
    <row r="814" spans="2:13" ht="15" customHeight="1" x14ac:dyDescent="0.2">
      <c r="B814" s="3" t="s">
        <v>913</v>
      </c>
      <c r="C814" s="10" t="s">
        <v>914</v>
      </c>
      <c r="D814" s="28">
        <f>IF(J821&gt;=J817,J821,(D813-J820)/J819)</f>
        <v>32.444192392646642</v>
      </c>
      <c r="G814" s="99" t="s">
        <v>915</v>
      </c>
      <c r="H814" s="91"/>
      <c r="I814" s="91"/>
      <c r="J814" s="28">
        <f>D814*Inputs!$D$15</f>
        <v>22.642801870828091</v>
      </c>
      <c r="K814" s="99" t="s">
        <v>916</v>
      </c>
      <c r="L814" s="91"/>
      <c r="M814" s="91"/>
    </row>
    <row r="815" spans="2:13" ht="15" customHeight="1" x14ac:dyDescent="0.2">
      <c r="B815" s="10" t="s">
        <v>917</v>
      </c>
      <c r="C815" s="10" t="s">
        <v>104</v>
      </c>
      <c r="D815" s="30">
        <f>Inputs!$D$144</f>
        <v>0.8</v>
      </c>
      <c r="G815" s="99" t="s">
        <v>918</v>
      </c>
      <c r="H815" s="91"/>
      <c r="I815" s="91"/>
      <c r="J815" s="28">
        <f>IF(-D826/D825&gt;=J817,-D826/D825,-J820/J819)</f>
        <v>24.180966914247158</v>
      </c>
      <c r="K815" s="99" t="s">
        <v>919</v>
      </c>
      <c r="L815" s="91"/>
      <c r="M815" s="91"/>
    </row>
    <row r="816" spans="2:13" ht="15" customHeight="1" x14ac:dyDescent="0.2">
      <c r="B816" s="10" t="s">
        <v>920</v>
      </c>
      <c r="C816" s="10" t="s">
        <v>104</v>
      </c>
      <c r="D816" s="30">
        <f>Inputs!$D$147</f>
        <v>0.1</v>
      </c>
      <c r="G816" s="99" t="s">
        <v>918</v>
      </c>
      <c r="H816" s="91"/>
      <c r="I816" s="91"/>
      <c r="J816" s="28">
        <f>J815*Inputs!$D$15</f>
        <v>16.875896809453092</v>
      </c>
      <c r="K816" s="99" t="s">
        <v>916</v>
      </c>
      <c r="L816" s="91"/>
      <c r="M816" s="91"/>
    </row>
    <row r="817" spans="2:13" ht="15" customHeight="1" x14ac:dyDescent="0.2">
      <c r="B817" s="3" t="s">
        <v>921</v>
      </c>
      <c r="C817" s="10" t="s">
        <v>848</v>
      </c>
      <c r="D817" s="28">
        <f>Capital!$D$13</f>
        <v>57.347931490590682</v>
      </c>
      <c r="G817" s="99" t="s">
        <v>922</v>
      </c>
      <c r="H817" s="91"/>
      <c r="I817" s="91"/>
      <c r="J817" s="28">
        <f>($D$817/Inputs!$D$21+$D$818/Inputs!$D$22)/$D$815</f>
        <v>18.084807684821598</v>
      </c>
      <c r="K817" s="99" t="s">
        <v>919</v>
      </c>
      <c r="L817" s="91"/>
      <c r="M817" s="91"/>
    </row>
    <row r="818" spans="2:13" ht="15" customHeight="1" x14ac:dyDescent="0.2">
      <c r="B818" s="3" t="s">
        <v>923</v>
      </c>
      <c r="C818" s="10" t="s">
        <v>848</v>
      </c>
      <c r="D818" s="28">
        <f>Capital!$D$14</f>
        <v>2.6172655041921802</v>
      </c>
    </row>
    <row r="819" spans="2:13" ht="15" customHeight="1" x14ac:dyDescent="0.2">
      <c r="B819" s="10" t="s">
        <v>924</v>
      </c>
      <c r="C819" s="10" t="s">
        <v>896</v>
      </c>
      <c r="D819" s="28">
        <f>(M792*(Inputs!$D$7+Inputs!$D$20)*$D$815*(Inputs!$D$7-Inputs!$D$19)-M792*Inputs!$D$20*Inputs!$D$23)/($D$816-Inputs!$D$20)/(Inputs!$D$7+$D$816)^M790</f>
        <v>2758.661152533668</v>
      </c>
      <c r="G819" s="92" t="s">
        <v>910</v>
      </c>
      <c r="H819" s="91"/>
      <c r="I819" s="91"/>
      <c r="J819" s="28">
        <f>SUM(D811:M811)+(M792*(Inputs!$D$7+Inputs!$D$20)*$D$815-M792*Inputs!$D$20*Inputs!$D$23)/($D$816-Inputs!$D$20)/(Inputs!$D$7+$D$816)^M790</f>
        <v>7564.1681640448605</v>
      </c>
      <c r="K819" s="99" t="s">
        <v>896</v>
      </c>
      <c r="L819" s="91"/>
      <c r="M819" s="91"/>
    </row>
    <row r="820" spans="2:13" ht="15" customHeight="1" x14ac:dyDescent="0.2">
      <c r="B820" s="10" t="s">
        <v>925</v>
      </c>
      <c r="C820" s="10" t="s">
        <v>110</v>
      </c>
      <c r="D820" s="16">
        <f>(D823*Inputs!$D$19-D823-D824)/($D$816-Inputs!$D$20)/(Inputs!$D$7+$D$816)^M790</f>
        <v>-57156.954988173631</v>
      </c>
      <c r="G820" s="92" t="s">
        <v>926</v>
      </c>
      <c r="H820" s="91"/>
      <c r="I820" s="91"/>
      <c r="J820" s="16">
        <f>SUM(D812:M812)-(D823+D824)/($D$816-Inputs!$D$20)/(Inputs!$D$7+$D$816)^M790</f>
        <v>-169036.01450291832</v>
      </c>
      <c r="K820" s="99" t="s">
        <v>110</v>
      </c>
      <c r="L820" s="91"/>
      <c r="M820" s="91"/>
    </row>
    <row r="821" spans="2:13" ht="15" customHeight="1" x14ac:dyDescent="0.2">
      <c r="B821" s="10" t="s">
        <v>927</v>
      </c>
      <c r="C821" s="10" t="s">
        <v>928</v>
      </c>
      <c r="D821" s="16">
        <f>(M792*(Inputs!$D$7+Inputs!$D$20)*$D$814*$D$815-D823)-MAX((M792*(Inputs!$D$7+Inputs!$D$20)*$D$814*$D$815-D823),Inputs!$D$6)*Inputs!$D$19-D824-M792*Inputs!$D$20*$D$814*Inputs!$D$23</f>
        <v>6124.5430215078786</v>
      </c>
      <c r="G821" s="99" t="s">
        <v>929</v>
      </c>
      <c r="H821" s="91"/>
      <c r="I821" s="91"/>
      <c r="J821" s="28">
        <f>(D813-D826)/D825</f>
        <v>32.444192392646642</v>
      </c>
      <c r="K821" s="99" t="s">
        <v>919</v>
      </c>
      <c r="L821" s="91"/>
      <c r="M821" s="91"/>
    </row>
    <row r="822" spans="2:13" ht="15" customHeight="1" x14ac:dyDescent="0.2">
      <c r="B822" s="10" t="s">
        <v>930</v>
      </c>
      <c r="C822" s="10" t="s">
        <v>110</v>
      </c>
      <c r="D822" s="16">
        <f>D821/($D$816-Inputs!$D$20)</f>
        <v>81660.573620105031</v>
      </c>
      <c r="G822" s="99" t="s">
        <v>931</v>
      </c>
      <c r="H822" s="91"/>
      <c r="I822" s="91"/>
      <c r="J822" s="16">
        <f>MIN(D806:M806,(M792*(Inputs!$D$7+Inputs!$D$20)*$D$814*$D$815-D823))</f>
        <v>1442.6847279101232</v>
      </c>
      <c r="K822" s="99" t="s">
        <v>110</v>
      </c>
      <c r="L822" s="91"/>
      <c r="M822" s="91"/>
    </row>
    <row r="823" spans="2:13" ht="15" customHeight="1" x14ac:dyDescent="0.2">
      <c r="B823" s="10" t="s">
        <v>932</v>
      </c>
      <c r="C823" s="10" t="s">
        <v>928</v>
      </c>
      <c r="D823" s="16">
        <f>M792*(Inputs!$D$7+Inputs!$D$20)*($D$817/Inputs!$D$21+$D$818/Inputs!$D$22)</f>
        <v>13509.71303671543</v>
      </c>
      <c r="G823" s="99" t="s">
        <v>933</v>
      </c>
      <c r="H823" s="91"/>
      <c r="I823" s="91"/>
      <c r="J823" s="31" t="str">
        <f>IF(J822&lt;Inputs!$D$6,"breached","satisfied")</f>
        <v>satisfied</v>
      </c>
      <c r="K823" s="99" t="s">
        <v>934</v>
      </c>
      <c r="L823" s="91"/>
      <c r="M823" s="91"/>
    </row>
    <row r="824" spans="2:13" ht="15" customHeight="1" x14ac:dyDescent="0.2">
      <c r="B824" s="10" t="s">
        <v>935</v>
      </c>
      <c r="C824" s="10" t="s">
        <v>928</v>
      </c>
      <c r="D824" s="16">
        <f>M792*Inputs!$D$20*($D$817+$D$818)</f>
        <v>1365.7073615561799</v>
      </c>
    </row>
    <row r="825" spans="2:13" ht="15" customHeight="1" x14ac:dyDescent="0.2">
      <c r="B825" s="10" t="s">
        <v>936</v>
      </c>
      <c r="C825" s="10" t="s">
        <v>896</v>
      </c>
      <c r="D825" s="28">
        <f>SUM(D802:M802)+D819</f>
        <v>5288.4917777245864</v>
      </c>
      <c r="G825" s="99" t="s">
        <v>937</v>
      </c>
      <c r="H825" s="91"/>
      <c r="I825" s="91"/>
      <c r="J825" s="16">
        <f>D827-D813</f>
        <v>-5.8207660913467407E-11</v>
      </c>
      <c r="K825" s="99" t="s">
        <v>110</v>
      </c>
      <c r="L825" s="91"/>
      <c r="M825" s="91"/>
    </row>
    <row r="826" spans="2:13" ht="15" customHeight="1" x14ac:dyDescent="0.2">
      <c r="B826" s="10" t="s">
        <v>938</v>
      </c>
      <c r="C826" s="10" t="s">
        <v>110</v>
      </c>
      <c r="D826" s="16">
        <f>SUM(D803:M803)+D820</f>
        <v>-127880.84470342637</v>
      </c>
    </row>
    <row r="827" spans="2:13" ht="15" customHeight="1" x14ac:dyDescent="0.2">
      <c r="B827" s="10" t="s">
        <v>939</v>
      </c>
      <c r="C827" s="10" t="s">
        <v>110</v>
      </c>
      <c r="D827" s="16">
        <f>SUM(D810:M810)+D822/(Inputs!$D$7+$D$816)^M790</f>
        <v>43699.999999999942</v>
      </c>
    </row>
    <row r="828" spans="2:13" ht="15" customHeight="1" x14ac:dyDescent="0.2">
      <c r="B828" s="10" t="s">
        <v>940</v>
      </c>
      <c r="C828" s="10" t="s">
        <v>104</v>
      </c>
      <c r="D828" s="30">
        <f>IF(ABS(D813)&gt;Inputs!$D$6,D827/D813-Inputs!$D$7,Inputs!$D$6)</f>
        <v>-1.3322676295501878E-15</v>
      </c>
    </row>
    <row r="829" spans="2:13" ht="15" customHeight="1" x14ac:dyDescent="0.2">
      <c r="B829" s="10" t="s">
        <v>941</v>
      </c>
      <c r="C829" s="10" t="s">
        <v>104</v>
      </c>
      <c r="D829" s="30">
        <f>IF(ABS(D827)&gt;Inputs!$D$119,D822/(Inputs!$D$7+$D$816)^M790/D827,Inputs!$D$6)</f>
        <v>0.74017341397595027</v>
      </c>
    </row>
    <row r="830" spans="2:13" ht="15" customHeight="1" x14ac:dyDescent="0.2">
      <c r="B830" s="10" t="s">
        <v>942</v>
      </c>
      <c r="C830" s="10" t="s">
        <v>943</v>
      </c>
      <c r="D830" s="26">
        <f>$D$814*Inputs!$D$8/Prices!$P$6/(Inputs!$D$26/Inputs!$D$25)/Inputs!$D$11/Inputs!$D$56</f>
        <v>5.9000749365618157</v>
      </c>
    </row>
    <row r="834" spans="1:13" ht="15" customHeight="1" x14ac:dyDescent="0.2">
      <c r="A834" s="104" t="s">
        <v>2183</v>
      </c>
      <c r="B834" s="10" t="s">
        <v>886</v>
      </c>
      <c r="C834" s="10" t="s">
        <v>107</v>
      </c>
      <c r="D834" s="28">
        <f>Inputs!$D$60</f>
        <v>1</v>
      </c>
      <c r="E834" s="28">
        <f>Inputs!$D$62</f>
        <v>2</v>
      </c>
      <c r="F834" s="28">
        <f>Inputs!$D$64</f>
        <v>3</v>
      </c>
      <c r="G834" s="28">
        <f>Inputs!$D$66</f>
        <v>4</v>
      </c>
      <c r="H834" s="28">
        <f>Inputs!$D$68</f>
        <v>5</v>
      </c>
      <c r="I834" s="28">
        <f>Inputs!$D$70</f>
        <v>6</v>
      </c>
      <c r="J834" s="28">
        <f>Inputs!$D$72</f>
        <v>7</v>
      </c>
      <c r="K834" s="28">
        <f>Inputs!$D$74</f>
        <v>8</v>
      </c>
      <c r="L834" s="28">
        <f>Inputs!$D$76</f>
        <v>9</v>
      </c>
      <c r="M834" s="28">
        <f>Inputs!$D$78</f>
        <v>10</v>
      </c>
    </row>
    <row r="835" spans="1:13" ht="15" customHeight="1" x14ac:dyDescent="0.2">
      <c r="A835" s="91"/>
      <c r="B835" s="10" t="s">
        <v>887</v>
      </c>
      <c r="C835" s="10" t="s">
        <v>161</v>
      </c>
      <c r="D835" s="29">
        <f>Inputs!$D$61</f>
        <v>46568</v>
      </c>
      <c r="E835" s="29">
        <f>Inputs!$D$63</f>
        <v>46934</v>
      </c>
      <c r="F835" s="29">
        <f>Inputs!$D$65</f>
        <v>47299</v>
      </c>
      <c r="G835" s="29">
        <f>Inputs!$D$67</f>
        <v>47664</v>
      </c>
      <c r="H835" s="29">
        <f>Inputs!$D$69</f>
        <v>48029</v>
      </c>
      <c r="I835" s="29">
        <f>Inputs!$D$71</f>
        <v>48395</v>
      </c>
      <c r="J835" s="29">
        <f>Inputs!$D$73</f>
        <v>48760</v>
      </c>
      <c r="K835" s="29">
        <f>Inputs!$D$75</f>
        <v>49125</v>
      </c>
      <c r="L835" s="29">
        <f>Inputs!$D$77</f>
        <v>49490</v>
      </c>
      <c r="M835" s="29">
        <f>Inputs!$D$79</f>
        <v>49856</v>
      </c>
    </row>
    <row r="836" spans="1:13" ht="15" customHeight="1" x14ac:dyDescent="0.2">
      <c r="A836" s="91"/>
      <c r="B836" s="10" t="s">
        <v>888</v>
      </c>
      <c r="C836" s="10" t="s">
        <v>107</v>
      </c>
      <c r="D836" s="28">
        <f>(D835-Inputs!$D$13)/Inputs!$D$10</f>
        <v>0.71457905544147848</v>
      </c>
      <c r="E836" s="28">
        <f>(E835-Inputs!$D$13)/Inputs!$D$10</f>
        <v>1.7166324435318274</v>
      </c>
      <c r="F836" s="28">
        <f>(F835-Inputs!$D$13)/Inputs!$D$10</f>
        <v>2.7159479808350446</v>
      </c>
      <c r="G836" s="28">
        <f>(G835-Inputs!$D$13)/Inputs!$D$10</f>
        <v>3.7152635181382614</v>
      </c>
      <c r="H836" s="28">
        <f>(H835-Inputs!$D$13)/Inputs!$D$10</f>
        <v>4.7145790554414786</v>
      </c>
      <c r="I836" s="28">
        <f>(I835-Inputs!$D$13)/Inputs!$D$10</f>
        <v>5.7166324435318279</v>
      </c>
      <c r="J836" s="28">
        <f>(J835-Inputs!$D$13)/Inputs!$D$10</f>
        <v>6.7159479808350442</v>
      </c>
      <c r="K836" s="28">
        <f>(K835-Inputs!$D$13)/Inputs!$D$10</f>
        <v>7.7152635181382614</v>
      </c>
      <c r="L836" s="28">
        <f>(L835-Inputs!$D$13)/Inputs!$D$10</f>
        <v>8.7145790554414777</v>
      </c>
      <c r="M836" s="28">
        <f>(M835-Inputs!$D$13)/Inputs!$D$10</f>
        <v>9.716632443531827</v>
      </c>
    </row>
    <row r="837" spans="1:13" ht="15" customHeight="1" x14ac:dyDescent="0.2">
      <c r="A837" s="91"/>
      <c r="B837" s="10" t="s">
        <v>889</v>
      </c>
      <c r="C837" s="10" t="s">
        <v>107</v>
      </c>
      <c r="D837" s="28">
        <f>D836</f>
        <v>0.71457905544147848</v>
      </c>
      <c r="E837" s="28">
        <f>Inputs!$D$7</f>
        <v>1</v>
      </c>
      <c r="F837" s="28">
        <f>Inputs!$D$7</f>
        <v>1</v>
      </c>
      <c r="G837" s="28">
        <f>Inputs!$D$7</f>
        <v>1</v>
      </c>
      <c r="H837" s="28">
        <f>Inputs!$D$7</f>
        <v>1</v>
      </c>
      <c r="I837" s="28">
        <f>Inputs!$D$7</f>
        <v>1</v>
      </c>
      <c r="J837" s="28">
        <f>Inputs!$D$7</f>
        <v>1</v>
      </c>
      <c r="K837" s="28">
        <f>Inputs!$D$7</f>
        <v>1</v>
      </c>
      <c r="L837" s="28">
        <f>Inputs!$D$7</f>
        <v>1</v>
      </c>
      <c r="M837" s="28">
        <f>Inputs!$D$7</f>
        <v>1</v>
      </c>
    </row>
    <row r="838" spans="1:13" ht="15" customHeight="1" x14ac:dyDescent="0.2">
      <c r="A838" s="91"/>
      <c r="B838" s="3" t="s">
        <v>890</v>
      </c>
      <c r="C838" s="10" t="s">
        <v>199</v>
      </c>
      <c r="D838" s="28">
        <f>Inputs!$D$24+(Inputs!$D$80-Inputs!$D$24)*Inputs!$D$83</f>
        <v>305.5</v>
      </c>
      <c r="E838" s="28">
        <f>Inputs!$D$24+(Inputs!$D$80-Inputs!$D$24)*Inputs!$D$84</f>
        <v>651.5</v>
      </c>
      <c r="F838" s="28">
        <f>Inputs!$D$24+(Inputs!$D$80-Inputs!$D$24)*Inputs!$D$85</f>
        <v>911</v>
      </c>
      <c r="G838" s="28">
        <f>Inputs!$D$24+(Inputs!$D$80-Inputs!$D$24)*Inputs!$D$86</f>
        <v>911</v>
      </c>
      <c r="H838" s="28">
        <f>Inputs!$D$24+(Inputs!$D$80-Inputs!$D$24)*Inputs!$D$87</f>
        <v>911</v>
      </c>
      <c r="I838" s="28">
        <f>Inputs!$D$24+(Inputs!$D$80-Inputs!$D$24)*Inputs!$D$88</f>
        <v>911</v>
      </c>
      <c r="J838" s="28">
        <f>Inputs!$D$24+(Inputs!$D$80-Inputs!$D$24)*Inputs!$D$89</f>
        <v>911</v>
      </c>
      <c r="K838" s="28">
        <f>Inputs!$D$24+(Inputs!$D$80-Inputs!$D$24)*Inputs!$D$90</f>
        <v>911</v>
      </c>
      <c r="L838" s="28">
        <f>Inputs!$D$24+(Inputs!$D$80-Inputs!$D$24)*Inputs!$D$91</f>
        <v>911</v>
      </c>
      <c r="M838" s="28">
        <f>Inputs!$D$24+(Inputs!$D$80-Inputs!$D$24)*Inputs!$D$92</f>
        <v>911</v>
      </c>
    </row>
    <row r="839" spans="1:13" ht="15" customHeight="1" x14ac:dyDescent="0.2">
      <c r="A839" s="91"/>
      <c r="B839" s="10" t="s">
        <v>891</v>
      </c>
      <c r="C839" s="10" t="s">
        <v>199</v>
      </c>
      <c r="D839" s="28">
        <f>Inputs!$D$24</f>
        <v>46</v>
      </c>
      <c r="E839" s="28">
        <f t="shared" ref="E839:M839" si="180">D838</f>
        <v>305.5</v>
      </c>
      <c r="F839" s="28">
        <f t="shared" si="180"/>
        <v>651.5</v>
      </c>
      <c r="G839" s="28">
        <f t="shared" si="180"/>
        <v>911</v>
      </c>
      <c r="H839" s="28">
        <f t="shared" si="180"/>
        <v>911</v>
      </c>
      <c r="I839" s="28">
        <f t="shared" si="180"/>
        <v>911</v>
      </c>
      <c r="J839" s="28">
        <f t="shared" si="180"/>
        <v>911</v>
      </c>
      <c r="K839" s="28">
        <f t="shared" si="180"/>
        <v>911</v>
      </c>
      <c r="L839" s="28">
        <f t="shared" si="180"/>
        <v>911</v>
      </c>
      <c r="M839" s="28">
        <f t="shared" si="180"/>
        <v>911</v>
      </c>
    </row>
    <row r="840" spans="1:13" ht="15" customHeight="1" x14ac:dyDescent="0.2">
      <c r="B840" s="10" t="s">
        <v>892</v>
      </c>
      <c r="C840" s="10" t="s">
        <v>199</v>
      </c>
      <c r="D840" s="28">
        <f>(D839+D838)*Inputs!$D$12</f>
        <v>175.75</v>
      </c>
      <c r="E840" s="28">
        <f>(E839+E838)*Inputs!$D$12</f>
        <v>478.5</v>
      </c>
      <c r="F840" s="28">
        <f>(F839+F838)*Inputs!$D$12</f>
        <v>781.25</v>
      </c>
      <c r="G840" s="28">
        <f>(G839+G838)*Inputs!$D$12</f>
        <v>911</v>
      </c>
      <c r="H840" s="28">
        <f>(H839+H838)*Inputs!$D$12</f>
        <v>911</v>
      </c>
      <c r="I840" s="28">
        <f>(I839+I838)*Inputs!$D$12</f>
        <v>911</v>
      </c>
      <c r="J840" s="28">
        <f>(J839+J838)*Inputs!$D$12</f>
        <v>911</v>
      </c>
      <c r="K840" s="28">
        <f>(K839+K838)*Inputs!$D$12</f>
        <v>911</v>
      </c>
      <c r="L840" s="28">
        <f>(L839+L838)*Inputs!$D$12</f>
        <v>911</v>
      </c>
      <c r="M840" s="28">
        <f>(M839+M838)*Inputs!$D$12</f>
        <v>911</v>
      </c>
    </row>
    <row r="841" spans="1:13" ht="15" customHeight="1" x14ac:dyDescent="0.2">
      <c r="B841" s="10" t="s">
        <v>893</v>
      </c>
      <c r="C841" s="10" t="s">
        <v>199</v>
      </c>
      <c r="D841" s="28">
        <f t="shared" ref="D841:M841" si="181">D838-D839</f>
        <v>259.5</v>
      </c>
      <c r="E841" s="28">
        <f t="shared" si="181"/>
        <v>346</v>
      </c>
      <c r="F841" s="28">
        <f t="shared" si="181"/>
        <v>259.5</v>
      </c>
      <c r="G841" s="28">
        <f t="shared" si="181"/>
        <v>0</v>
      </c>
      <c r="H841" s="28">
        <f t="shared" si="181"/>
        <v>0</v>
      </c>
      <c r="I841" s="28">
        <f t="shared" si="181"/>
        <v>0</v>
      </c>
      <c r="J841" s="28">
        <f t="shared" si="181"/>
        <v>0</v>
      </c>
      <c r="K841" s="28">
        <f t="shared" si="181"/>
        <v>0</v>
      </c>
      <c r="L841" s="28">
        <f t="shared" si="181"/>
        <v>0</v>
      </c>
      <c r="M841" s="28">
        <f t="shared" si="181"/>
        <v>0</v>
      </c>
    </row>
    <row r="842" spans="1:13" ht="15" customHeight="1" x14ac:dyDescent="0.2">
      <c r="B842" s="10" t="s">
        <v>894</v>
      </c>
      <c r="C842" s="10" t="s">
        <v>199</v>
      </c>
      <c r="D842" s="28">
        <f>IF(MOD(D834,Inputs!$D$21)=Inputs!$D$6,Inputs!$D$24,Inputs!$D$6)+SUMPRODUCT(--(D834&gt;$D$834:$M$834),--(MOD(D834-$D$834:$M$834,Inputs!$D$21)=Inputs!$D$6),$D$841:$M$841)</f>
        <v>0</v>
      </c>
      <c r="E842" s="28">
        <f>IF(MOD(E834,Inputs!$D$21)=Inputs!$D$6,Inputs!$D$24,Inputs!$D$6)+SUMPRODUCT(--(E834&gt;$D$834:$M$834),--(MOD(E834-$D$834:$M$834,Inputs!$D$21)=Inputs!$D$6),$D$841:$M$841)</f>
        <v>0</v>
      </c>
      <c r="F842" s="28">
        <f>IF(MOD(F834,Inputs!$D$21)=Inputs!$D$6,Inputs!$D$24,Inputs!$D$6)+SUMPRODUCT(--(F834&gt;$D$834:$M$834),--(MOD(F834-$D$834:$M$834,Inputs!$D$21)=Inputs!$D$6),$D$841:$M$841)</f>
        <v>0</v>
      </c>
      <c r="G842" s="28">
        <f>IF(MOD(G834,Inputs!$D$21)=Inputs!$D$6,Inputs!$D$24,Inputs!$D$6)+SUMPRODUCT(--(G834&gt;$D$834:$M$834),--(MOD(G834-$D$834:$M$834,Inputs!$D$21)=Inputs!$D$6),$D$841:$M$841)</f>
        <v>46</v>
      </c>
      <c r="H842" s="28">
        <f>IF(MOD(H834,Inputs!$D$21)=Inputs!$D$6,Inputs!$D$24,Inputs!$D$6)+SUMPRODUCT(--(H834&gt;$D$834:$M$834),--(MOD(H834-$D$834:$M$834,Inputs!$D$21)=Inputs!$D$6),$D$841:$M$841)</f>
        <v>259.5</v>
      </c>
      <c r="I842" s="28">
        <f>IF(MOD(I834,Inputs!$D$21)=Inputs!$D$6,Inputs!$D$24,Inputs!$D$6)+SUMPRODUCT(--(I834&gt;$D$834:$M$834),--(MOD(I834-$D$834:$M$834,Inputs!$D$21)=Inputs!$D$6),$D$841:$M$841)</f>
        <v>346</v>
      </c>
      <c r="J842" s="28">
        <f>IF(MOD(J834,Inputs!$D$21)=Inputs!$D$6,Inputs!$D$24,Inputs!$D$6)+SUMPRODUCT(--(J834&gt;$D$834:$M$834),--(MOD(J834-$D$834:$M$834,Inputs!$D$21)=Inputs!$D$6),$D$841:$M$841)</f>
        <v>259.5</v>
      </c>
      <c r="K842" s="28">
        <f>IF(MOD(K834,Inputs!$D$21)=Inputs!$D$6,Inputs!$D$24,Inputs!$D$6)+SUMPRODUCT(--(K834&gt;$D$834:$M$834),--(MOD(K834-$D$834:$M$834,Inputs!$D$21)=Inputs!$D$6),$D$841:$M$841)</f>
        <v>46</v>
      </c>
      <c r="L842" s="28">
        <f>IF(MOD(L834,Inputs!$D$21)=Inputs!$D$6,Inputs!$D$24,Inputs!$D$6)+SUMPRODUCT(--(L834&gt;$D$834:$M$834),--(MOD(L834-$D$834:$M$834,Inputs!$D$21)=Inputs!$D$6),$D$841:$M$841)</f>
        <v>259.5</v>
      </c>
      <c r="M842" s="28">
        <f>IF(MOD(M834,Inputs!$D$21)=Inputs!$D$6,Inputs!$D$24,Inputs!$D$6)+SUMPRODUCT(--(M834&gt;$D$834:$M$834),--(MOD(M834-$D$834:$M$834,Inputs!$D$21)=Inputs!$D$6),$D$841:$M$841)</f>
        <v>346</v>
      </c>
    </row>
    <row r="843" spans="1:13" ht="15" customHeight="1" x14ac:dyDescent="0.2">
      <c r="B843" s="10" t="s">
        <v>895</v>
      </c>
      <c r="C843" s="10" t="s">
        <v>896</v>
      </c>
      <c r="D843" s="28">
        <f t="shared" ref="D843:M843" si="182">D840*D837</f>
        <v>125.58726899383984</v>
      </c>
      <c r="E843" s="28">
        <f t="shared" si="182"/>
        <v>478.5</v>
      </c>
      <c r="F843" s="28">
        <f t="shared" si="182"/>
        <v>781.25</v>
      </c>
      <c r="G843" s="28">
        <f t="shared" si="182"/>
        <v>911</v>
      </c>
      <c r="H843" s="28">
        <f t="shared" si="182"/>
        <v>911</v>
      </c>
      <c r="I843" s="28">
        <f t="shared" si="182"/>
        <v>911</v>
      </c>
      <c r="J843" s="28">
        <f t="shared" si="182"/>
        <v>911</v>
      </c>
      <c r="K843" s="28">
        <f t="shared" si="182"/>
        <v>911</v>
      </c>
      <c r="L843" s="28">
        <f t="shared" si="182"/>
        <v>911</v>
      </c>
      <c r="M843" s="28">
        <f t="shared" si="182"/>
        <v>911</v>
      </c>
    </row>
    <row r="844" spans="1:13" ht="15" customHeight="1" x14ac:dyDescent="0.2">
      <c r="B844" s="10" t="s">
        <v>897</v>
      </c>
      <c r="C844" s="10" t="s">
        <v>110</v>
      </c>
      <c r="D844" s="16">
        <f>D843*($D$863/Inputs!$D$21+$D$864/Inputs!$D$22)</f>
        <v>1816.9772859324419</v>
      </c>
      <c r="E844" s="16">
        <f>E843*($D$863/Inputs!$D$21+$D$864/Inputs!$D$22)</f>
        <v>6922.8643817497086</v>
      </c>
      <c r="F844" s="16">
        <f>F843*($D$863/Inputs!$D$21+$D$864/Inputs!$D$22)</f>
        <v>11303.0048030135</v>
      </c>
      <c r="G844" s="16">
        <f>G843*($D$863/Inputs!$D$21+$D$864/Inputs!$D$22)</f>
        <v>13180.207840697982</v>
      </c>
      <c r="H844" s="16">
        <f>H843*($D$863/Inputs!$D$21+$D$864/Inputs!$D$22)</f>
        <v>13180.207840697982</v>
      </c>
      <c r="I844" s="16">
        <f>I843*($D$863/Inputs!$D$21+$D$864/Inputs!$D$22)</f>
        <v>13180.207840697982</v>
      </c>
      <c r="J844" s="16">
        <f>J843*($D$863/Inputs!$D$21+$D$864/Inputs!$D$22)</f>
        <v>13180.207840697982</v>
      </c>
      <c r="K844" s="16">
        <f>K843*($D$863/Inputs!$D$21+$D$864/Inputs!$D$22)</f>
        <v>13180.207840697982</v>
      </c>
      <c r="L844" s="16">
        <f>L843*($D$863/Inputs!$D$21+$D$864/Inputs!$D$22)</f>
        <v>13180.207840697982</v>
      </c>
      <c r="M844" s="16">
        <f>M843*($D$863/Inputs!$D$21+$D$864/Inputs!$D$22)</f>
        <v>13180.207840697982</v>
      </c>
    </row>
    <row r="845" spans="1:13" ht="15" customHeight="1" x14ac:dyDescent="0.2">
      <c r="B845" s="10" t="s">
        <v>898</v>
      </c>
      <c r="C845" s="10" t="s">
        <v>110</v>
      </c>
      <c r="D845" s="16">
        <f t="shared" ref="D845:M845" si="183">D841*($D$863+$D$864)</f>
        <v>15560.968620146154</v>
      </c>
      <c r="E845" s="16">
        <f t="shared" si="183"/>
        <v>20747.95816019487</v>
      </c>
      <c r="F845" s="16">
        <f t="shared" si="183"/>
        <v>15560.968620146154</v>
      </c>
      <c r="G845" s="16">
        <f t="shared" si="183"/>
        <v>0</v>
      </c>
      <c r="H845" s="16">
        <f t="shared" si="183"/>
        <v>0</v>
      </c>
      <c r="I845" s="16">
        <f t="shared" si="183"/>
        <v>0</v>
      </c>
      <c r="J845" s="16">
        <f t="shared" si="183"/>
        <v>0</v>
      </c>
      <c r="K845" s="16">
        <f t="shared" si="183"/>
        <v>0</v>
      </c>
      <c r="L845" s="16">
        <f t="shared" si="183"/>
        <v>0</v>
      </c>
      <c r="M845" s="16">
        <f t="shared" si="183"/>
        <v>0</v>
      </c>
    </row>
    <row r="846" spans="1:13" ht="15" customHeight="1" x14ac:dyDescent="0.2">
      <c r="B846" s="10" t="s">
        <v>899</v>
      </c>
      <c r="C846" s="10" t="s">
        <v>110</v>
      </c>
      <c r="D846" s="16">
        <f t="shared" ref="D846:M846" si="184">D842*$D$863</f>
        <v>0</v>
      </c>
      <c r="E846" s="16">
        <f t="shared" si="184"/>
        <v>0</v>
      </c>
      <c r="F846" s="16">
        <f t="shared" si="184"/>
        <v>0</v>
      </c>
      <c r="G846" s="16">
        <f t="shared" si="184"/>
        <v>2638.0048485671714</v>
      </c>
      <c r="H846" s="16">
        <f t="shared" si="184"/>
        <v>14881.788221808281</v>
      </c>
      <c r="I846" s="16">
        <f t="shared" si="184"/>
        <v>19842.384295744378</v>
      </c>
      <c r="J846" s="16">
        <f t="shared" si="184"/>
        <v>14881.788221808281</v>
      </c>
      <c r="K846" s="16">
        <f t="shared" si="184"/>
        <v>2638.0048485671714</v>
      </c>
      <c r="L846" s="16">
        <f t="shared" si="184"/>
        <v>14881.788221808281</v>
      </c>
      <c r="M846" s="16">
        <f t="shared" si="184"/>
        <v>19842.384295744378</v>
      </c>
    </row>
    <row r="847" spans="1:13" ht="15" customHeight="1" x14ac:dyDescent="0.2">
      <c r="B847" s="10" t="s">
        <v>900</v>
      </c>
      <c r="C847" s="10" t="s">
        <v>199</v>
      </c>
      <c r="D847" s="28">
        <f>D841*Inputs!$D$23</f>
        <v>6.4875000000000007</v>
      </c>
      <c r="E847" s="28">
        <f>E841*Inputs!$D$23</f>
        <v>8.65</v>
      </c>
      <c r="F847" s="28">
        <f>F841*Inputs!$D$23</f>
        <v>6.4875000000000007</v>
      </c>
      <c r="G847" s="28">
        <f>G841*Inputs!$D$23</f>
        <v>0</v>
      </c>
      <c r="H847" s="28">
        <f>H841*Inputs!$D$23</f>
        <v>0</v>
      </c>
      <c r="I847" s="28">
        <f>I841*Inputs!$D$23</f>
        <v>0</v>
      </c>
      <c r="J847" s="28">
        <f>J841*Inputs!$D$23</f>
        <v>0</v>
      </c>
      <c r="K847" s="28">
        <f>K841*Inputs!$D$23</f>
        <v>0</v>
      </c>
      <c r="L847" s="28">
        <f>L841*Inputs!$D$23</f>
        <v>0</v>
      </c>
      <c r="M847" s="28">
        <f>M841*Inputs!$D$23</f>
        <v>0</v>
      </c>
    </row>
    <row r="848" spans="1:13" ht="15" customHeight="1" x14ac:dyDescent="0.2">
      <c r="B848" s="3" t="s">
        <v>901</v>
      </c>
      <c r="C848" s="10" t="s">
        <v>896</v>
      </c>
      <c r="D848" s="28">
        <f>(D843*$D$861*(Inputs!$D$7-Inputs!$D$19)-D847)/(Inputs!$D$7+$D$862)^D836</f>
        <v>58.875151046606746</v>
      </c>
      <c r="E848" s="28">
        <f>(E843*$D$861*(Inputs!$D$7-Inputs!$D$19)-E847)/(Inputs!$D$7+$D$862)^E836</f>
        <v>213.46663821882674</v>
      </c>
      <c r="F848" s="28">
        <f>(F843*$D$861*(Inputs!$D$7-Inputs!$D$19)-F847)/(Inputs!$D$7+$D$862)^F836</f>
        <v>316.8226894052849</v>
      </c>
      <c r="G848" s="28">
        <f>(G843*$D$861*(Inputs!$D$7-Inputs!$D$19)-G847)/(Inputs!$D$7+$D$862)^G836</f>
        <v>334.84859415909301</v>
      </c>
      <c r="H848" s="28">
        <f>(H843*$D$861*(Inputs!$D$7-Inputs!$D$19)-H847)/(Inputs!$D$7+$D$862)^H836</f>
        <v>298.99515100299641</v>
      </c>
      <c r="I848" s="28">
        <f>(I843*$D$861*(Inputs!$D$7-Inputs!$D$19)-I847)/(Inputs!$D$7+$D$862)^I836</f>
        <v>266.89783982362269</v>
      </c>
      <c r="J848" s="28">
        <f>(J843*$D$861*(Inputs!$D$7-Inputs!$D$19)-J847)/(Inputs!$D$7+$D$862)^J836</f>
        <v>238.32012829811245</v>
      </c>
      <c r="K848" s="28">
        <f>(K843*$D$861*(Inputs!$D$7-Inputs!$D$19)-K847)/(Inputs!$D$7+$D$862)^K836</f>
        <v>212.80233511654592</v>
      </c>
      <c r="L848" s="28">
        <f>(L843*$D$861*(Inputs!$D$7-Inputs!$D$19)-L847)/(Inputs!$D$7+$D$862)^L836</f>
        <v>190.01682381778656</v>
      </c>
      <c r="M848" s="28">
        <f>(M843*$D$861*(Inputs!$D$7-Inputs!$D$19)-M847)/(Inputs!$D$7+$D$862)^M836</f>
        <v>169.61840229510915</v>
      </c>
    </row>
    <row r="849" spans="2:13" ht="15" customHeight="1" x14ac:dyDescent="0.2">
      <c r="B849" s="10" t="s">
        <v>902</v>
      </c>
      <c r="C849" s="10" t="s">
        <v>110</v>
      </c>
      <c r="D849" s="16">
        <f>(D844*Inputs!$D$19-D845-D846)/(Inputs!$D$7+$D$862)^D836</f>
        <v>-13847.790632947557</v>
      </c>
      <c r="E849" s="16">
        <f>(E844*Inputs!$D$19-E845-E846)/(Inputs!$D$7+$D$862)^E836</f>
        <v>-15370.239105459035</v>
      </c>
      <c r="F849" s="16">
        <f>(F844*Inputs!$D$19-F845-F846)/(Inputs!$D$7+$D$862)^F836</f>
        <v>-8945.8041564234754</v>
      </c>
      <c r="G849" s="16">
        <f>(G844*Inputs!$D$19-G845-G846)/(Inputs!$D$7+$D$862)^G836</f>
        <v>863.80744262020482</v>
      </c>
      <c r="H849" s="16">
        <f>(H844*Inputs!$D$19-H845-H846)/(Inputs!$D$7+$D$862)^H836</f>
        <v>-6404.5339628745278</v>
      </c>
      <c r="I849" s="16">
        <f>(I844*Inputs!$D$19-I845-I846)/(Inputs!$D$7+$D$862)^I836</f>
        <v>-8312.2134333380691</v>
      </c>
      <c r="J849" s="16">
        <f>(J844*Inputs!$D$19-J845-J846)/(Inputs!$D$7+$D$862)^J836</f>
        <v>-5104.8632414329013</v>
      </c>
      <c r="K849" s="16">
        <f>(K844*Inputs!$D$19-K845-K846)/(Inputs!$D$7+$D$862)^K836</f>
        <v>548.96524604578394</v>
      </c>
      <c r="L849" s="16">
        <f>(L844*Inputs!$D$19-L845-L846)/(Inputs!$D$7+$D$862)^L836</f>
        <v>-4070.1971171644977</v>
      </c>
      <c r="M849" s="16">
        <f>(M844*Inputs!$D$19-M845-M846)/(Inputs!$D$7+$D$862)^M836</f>
        <v>-5282.5619084458349</v>
      </c>
    </row>
    <row r="850" spans="2:13" ht="15" customHeight="1" x14ac:dyDescent="0.2">
      <c r="B850" s="10" t="s">
        <v>903</v>
      </c>
      <c r="C850" s="10" t="s">
        <v>110</v>
      </c>
      <c r="D850" s="16">
        <f t="shared" ref="D850:M850" si="185">D843*$D$860</f>
        <v>4486.6632679687036</v>
      </c>
      <c r="E850" s="16">
        <f t="shared" si="185"/>
        <v>17094.633802637516</v>
      </c>
      <c r="F850" s="16">
        <f t="shared" si="185"/>
        <v>27910.517572226872</v>
      </c>
      <c r="G850" s="16">
        <f t="shared" si="185"/>
        <v>32545.896330622312</v>
      </c>
      <c r="H850" s="16">
        <f t="shared" si="185"/>
        <v>32545.896330622312</v>
      </c>
      <c r="I850" s="16">
        <f t="shared" si="185"/>
        <v>32545.896330622312</v>
      </c>
      <c r="J850" s="16">
        <f t="shared" si="185"/>
        <v>32545.896330622312</v>
      </c>
      <c r="K850" s="16">
        <f t="shared" si="185"/>
        <v>32545.896330622312</v>
      </c>
      <c r="L850" s="16">
        <f t="shared" si="185"/>
        <v>32545.896330622312</v>
      </c>
      <c r="M850" s="16">
        <f t="shared" si="185"/>
        <v>32545.896330622312</v>
      </c>
    </row>
    <row r="851" spans="2:13" ht="15" customHeight="1" x14ac:dyDescent="0.2">
      <c r="B851" s="10" t="s">
        <v>904</v>
      </c>
      <c r="C851" s="10" t="s">
        <v>110</v>
      </c>
      <c r="D851" s="16">
        <f t="shared" ref="D851:M851" si="186">D850*$D$861</f>
        <v>3589.3306143749633</v>
      </c>
      <c r="E851" s="16">
        <f t="shared" si="186"/>
        <v>13675.707042110014</v>
      </c>
      <c r="F851" s="16">
        <f t="shared" si="186"/>
        <v>22328.414057781498</v>
      </c>
      <c r="G851" s="16">
        <f t="shared" si="186"/>
        <v>26036.717064497851</v>
      </c>
      <c r="H851" s="16">
        <f t="shared" si="186"/>
        <v>26036.717064497851</v>
      </c>
      <c r="I851" s="16">
        <f t="shared" si="186"/>
        <v>26036.717064497851</v>
      </c>
      <c r="J851" s="16">
        <f t="shared" si="186"/>
        <v>26036.717064497851</v>
      </c>
      <c r="K851" s="16">
        <f t="shared" si="186"/>
        <v>26036.717064497851</v>
      </c>
      <c r="L851" s="16">
        <f t="shared" si="186"/>
        <v>26036.717064497851</v>
      </c>
      <c r="M851" s="16">
        <f t="shared" si="186"/>
        <v>26036.717064497851</v>
      </c>
    </row>
    <row r="852" spans="2:13" ht="15" customHeight="1" x14ac:dyDescent="0.2">
      <c r="B852" s="10" t="s">
        <v>905</v>
      </c>
      <c r="C852" s="10" t="s">
        <v>110</v>
      </c>
      <c r="D852" s="16">
        <f t="shared" ref="D852:M852" si="187">D851-D844</f>
        <v>1772.3533284425214</v>
      </c>
      <c r="E852" s="16">
        <f t="shared" si="187"/>
        <v>6752.8426603603057</v>
      </c>
      <c r="F852" s="16">
        <f t="shared" si="187"/>
        <v>11025.409254767997</v>
      </c>
      <c r="G852" s="16">
        <f t="shared" si="187"/>
        <v>12856.509223799869</v>
      </c>
      <c r="H852" s="16">
        <f t="shared" si="187"/>
        <v>12856.509223799869</v>
      </c>
      <c r="I852" s="16">
        <f t="shared" si="187"/>
        <v>12856.509223799869</v>
      </c>
      <c r="J852" s="16">
        <f t="shared" si="187"/>
        <v>12856.509223799869</v>
      </c>
      <c r="K852" s="16">
        <f t="shared" si="187"/>
        <v>12856.509223799869</v>
      </c>
      <c r="L852" s="16">
        <f t="shared" si="187"/>
        <v>12856.509223799869</v>
      </c>
      <c r="M852" s="16">
        <f t="shared" si="187"/>
        <v>12856.509223799869</v>
      </c>
    </row>
    <row r="853" spans="2:13" ht="15" customHeight="1" x14ac:dyDescent="0.2">
      <c r="B853" s="10" t="s">
        <v>906</v>
      </c>
      <c r="C853" s="10" t="s">
        <v>110</v>
      </c>
      <c r="D853" s="16">
        <f>MAX(D852,Inputs!$D$6)*Inputs!$D$19</f>
        <v>531.70599853275644</v>
      </c>
      <c r="E853" s="16">
        <f>MAX(E852,Inputs!$D$6)*Inputs!$D$19</f>
        <v>2025.8527981080915</v>
      </c>
      <c r="F853" s="16">
        <f>MAX(F852,Inputs!$D$6)*Inputs!$D$19</f>
        <v>3307.622776430399</v>
      </c>
      <c r="G853" s="16">
        <f>MAX(G852,Inputs!$D$6)*Inputs!$D$19</f>
        <v>3856.9527671399605</v>
      </c>
      <c r="H853" s="16">
        <f>MAX(H852,Inputs!$D$6)*Inputs!$D$19</f>
        <v>3856.9527671399605</v>
      </c>
      <c r="I853" s="16">
        <f>MAX(I852,Inputs!$D$6)*Inputs!$D$19</f>
        <v>3856.9527671399605</v>
      </c>
      <c r="J853" s="16">
        <f>MAX(J852,Inputs!$D$6)*Inputs!$D$19</f>
        <v>3856.9527671399605</v>
      </c>
      <c r="K853" s="16">
        <f>MAX(K852,Inputs!$D$6)*Inputs!$D$19</f>
        <v>3856.9527671399605</v>
      </c>
      <c r="L853" s="16">
        <f>MAX(L852,Inputs!$D$6)*Inputs!$D$19</f>
        <v>3856.9527671399605</v>
      </c>
      <c r="M853" s="16">
        <f>MAX(M852,Inputs!$D$6)*Inputs!$D$19</f>
        <v>3856.9527671399605</v>
      </c>
    </row>
    <row r="854" spans="2:13" ht="15" customHeight="1" x14ac:dyDescent="0.2">
      <c r="B854" s="10" t="s">
        <v>907</v>
      </c>
      <c r="C854" s="10" t="s">
        <v>110</v>
      </c>
      <c r="D854" s="16">
        <f t="shared" ref="D854:M854" si="188">D847*$D$860</f>
        <v>231.76893791977199</v>
      </c>
      <c r="E854" s="16">
        <f t="shared" si="188"/>
        <v>309.02525055969596</v>
      </c>
      <c r="F854" s="16">
        <f t="shared" si="188"/>
        <v>231.76893791977199</v>
      </c>
      <c r="G854" s="16">
        <f t="shared" si="188"/>
        <v>0</v>
      </c>
      <c r="H854" s="16">
        <f t="shared" si="188"/>
        <v>0</v>
      </c>
      <c r="I854" s="16">
        <f t="shared" si="188"/>
        <v>0</v>
      </c>
      <c r="J854" s="16">
        <f t="shared" si="188"/>
        <v>0</v>
      </c>
      <c r="K854" s="16">
        <f t="shared" si="188"/>
        <v>0</v>
      </c>
      <c r="L854" s="16">
        <f t="shared" si="188"/>
        <v>0</v>
      </c>
      <c r="M854" s="16">
        <f t="shared" si="188"/>
        <v>0</v>
      </c>
    </row>
    <row r="855" spans="2:13" ht="15" customHeight="1" x14ac:dyDescent="0.2">
      <c r="B855" s="10" t="s">
        <v>908</v>
      </c>
      <c r="C855" s="10" t="s">
        <v>110</v>
      </c>
      <c r="D855" s="16">
        <f t="shared" ref="D855:M855" si="189">D851-D853-D845-D846-D854</f>
        <v>-12735.112942223719</v>
      </c>
      <c r="E855" s="16">
        <f t="shared" si="189"/>
        <v>-9407.1291667526439</v>
      </c>
      <c r="F855" s="16">
        <f t="shared" si="189"/>
        <v>3228.0537232851739</v>
      </c>
      <c r="G855" s="16">
        <f t="shared" si="189"/>
        <v>19541.759448790719</v>
      </c>
      <c r="H855" s="16">
        <f t="shared" si="189"/>
        <v>7297.97607554961</v>
      </c>
      <c r="I855" s="16">
        <f t="shared" si="189"/>
        <v>2337.3800016135137</v>
      </c>
      <c r="J855" s="16">
        <f t="shared" si="189"/>
        <v>7297.97607554961</v>
      </c>
      <c r="K855" s="16">
        <f t="shared" si="189"/>
        <v>19541.759448790719</v>
      </c>
      <c r="L855" s="16">
        <f t="shared" si="189"/>
        <v>7297.97607554961</v>
      </c>
      <c r="M855" s="16">
        <f t="shared" si="189"/>
        <v>2337.3800016135137</v>
      </c>
    </row>
    <row r="856" spans="2:13" ht="15" customHeight="1" x14ac:dyDescent="0.2">
      <c r="B856" s="10" t="s">
        <v>909</v>
      </c>
      <c r="C856" s="10" t="s">
        <v>110</v>
      </c>
      <c r="D856" s="16">
        <f>D855/(Inputs!$D$7+$D$862)^D836</f>
        <v>-11744.448632494657</v>
      </c>
      <c r="E856" s="16">
        <f>E855/(Inputs!$D$7+$D$862)^E836</f>
        <v>-7744.0447283828616</v>
      </c>
      <c r="F856" s="16">
        <f>F855/(Inputs!$D$7+$D$862)^F836</f>
        <v>2372.8329506822938</v>
      </c>
      <c r="G856" s="16">
        <f>G855/(Inputs!$D$7+$D$862)^G836</f>
        <v>12826.428333900627</v>
      </c>
      <c r="H856" s="16">
        <f>H855/(Inputs!$D$7+$D$862)^H836</f>
        <v>4277.2060897075635</v>
      </c>
      <c r="I856" s="16">
        <f>I855/(Inputs!$D$7+$D$862)^I836</f>
        <v>1222.835332596798</v>
      </c>
      <c r="J856" s="16">
        <f>J855/(Inputs!$D$7+$D$862)^J836</f>
        <v>3409.233563277282</v>
      </c>
      <c r="K856" s="16">
        <f>K855/(Inputs!$D$7+$D$862)^K836</f>
        <v>8151.427087557805</v>
      </c>
      <c r="L856" s="16">
        <f>L855/(Inputs!$D$7+$D$862)^L836</f>
        <v>2718.2417950723921</v>
      </c>
      <c r="M856" s="16">
        <f>M855/(Inputs!$D$7+$D$862)^M836</f>
        <v>777.13396077744983</v>
      </c>
    </row>
    <row r="857" spans="2:13" ht="15" customHeight="1" x14ac:dyDescent="0.2">
      <c r="B857" s="3" t="s">
        <v>910</v>
      </c>
      <c r="C857" s="10" t="s">
        <v>896</v>
      </c>
      <c r="D857" s="28">
        <f>(D843*$D$861-D847)/(Inputs!$D$7+$D$862)^D836</f>
        <v>86.671431826242667</v>
      </c>
      <c r="E857" s="28">
        <f>(E843*$D$861-E847)/(Inputs!$D$7+$D$862)^E836</f>
        <v>308.00409814343465</v>
      </c>
      <c r="F857" s="28">
        <f>(F843*$D$861-F847)/(Inputs!$D$7+$D$862)^F836</f>
        <v>454.64758836643091</v>
      </c>
      <c r="G857" s="28">
        <f>(G843*$D$861-G847)/(Inputs!$D$7+$D$862)^G836</f>
        <v>478.35513451299005</v>
      </c>
      <c r="H857" s="28">
        <f>(H843*$D$861-H847)/(Inputs!$D$7+$D$862)^H836</f>
        <v>427.13593000428057</v>
      </c>
      <c r="I857" s="28">
        <f>(I843*$D$861-I847)/(Inputs!$D$7+$D$862)^I836</f>
        <v>381.28262831946103</v>
      </c>
      <c r="J857" s="28">
        <f>(J843*$D$861-J847)/(Inputs!$D$7+$D$862)^J836</f>
        <v>340.45732614016066</v>
      </c>
      <c r="K857" s="28">
        <f>(K843*$D$861-K847)/(Inputs!$D$7+$D$862)^K836</f>
        <v>304.0033358807799</v>
      </c>
      <c r="L857" s="28">
        <f>(L843*$D$861-L847)/(Inputs!$D$7+$D$862)^L836</f>
        <v>271.45260545398082</v>
      </c>
      <c r="M857" s="28">
        <f>(M843*$D$861-M847)/(Inputs!$D$7+$D$862)^M836</f>
        <v>242.31200327872736</v>
      </c>
    </row>
    <row r="858" spans="2:13" ht="15" customHeight="1" x14ac:dyDescent="0.2">
      <c r="B858" s="10" t="s">
        <v>911</v>
      </c>
      <c r="C858" s="10" t="s">
        <v>110</v>
      </c>
      <c r="D858" s="16">
        <f>(-D845-D846)/(Inputs!$D$7+$D$862)^D836</f>
        <v>-14350.481025200577</v>
      </c>
      <c r="E858" s="16">
        <f>(-E845-E846)/(Inputs!$D$7+$D$862)^E836</f>
        <v>-17079.930887207098</v>
      </c>
      <c r="F858" s="16">
        <f>(-F845-F846)/(Inputs!$D$7+$D$862)^F836</f>
        <v>-11438.340948315768</v>
      </c>
      <c r="G858" s="16">
        <f>(-G845-G846)/(Inputs!$D$7+$D$862)^G836</f>
        <v>-1731.4807411941122</v>
      </c>
      <c r="H858" s="16">
        <f>(-H845-H846)/(Inputs!$D$7+$D$862)^H836</f>
        <v>-8721.9353076959778</v>
      </c>
      <c r="I858" s="16">
        <f>(-I845-I846)/(Inputs!$D$7+$D$862)^I836</f>
        <v>-10380.8403353543</v>
      </c>
      <c r="J858" s="16">
        <f>(-J845-J846)/(Inputs!$D$7+$D$862)^J836</f>
        <v>-6951.9948218729187</v>
      </c>
      <c r="K858" s="16">
        <f>(-K845-K846)/(Inputs!$D$7+$D$862)^K836</f>
        <v>-1100.3873134386547</v>
      </c>
      <c r="L858" s="16">
        <f>(-L845-L846)/(Inputs!$D$7+$D$862)^L836</f>
        <v>-5542.947566718196</v>
      </c>
      <c r="M858" s="16">
        <f>(-M845-M846)/(Inputs!$D$7+$D$862)^M836</f>
        <v>-6597.2117021517279</v>
      </c>
    </row>
    <row r="859" spans="2:13" ht="15" customHeight="1" x14ac:dyDescent="0.2">
      <c r="B859" s="10" t="s">
        <v>912</v>
      </c>
      <c r="C859" s="10" t="s">
        <v>110</v>
      </c>
      <c r="D859" s="16">
        <f>Prices!I6</f>
        <v>43700</v>
      </c>
    </row>
    <row r="860" spans="2:13" ht="15" customHeight="1" x14ac:dyDescent="0.2">
      <c r="B860" s="3" t="s">
        <v>913</v>
      </c>
      <c r="C860" s="10" t="s">
        <v>914</v>
      </c>
      <c r="D860" s="28">
        <f>IF(J867&gt;=J863,J867,(D859-J866)/J865)</f>
        <v>35.725462492450397</v>
      </c>
      <c r="G860" s="99" t="s">
        <v>915</v>
      </c>
      <c r="H860" s="91"/>
      <c r="I860" s="91"/>
      <c r="J860" s="28">
        <f>D860*Inputs!$D$15</f>
        <v>24.932800273481131</v>
      </c>
      <c r="K860" s="99" t="s">
        <v>916</v>
      </c>
      <c r="L860" s="91"/>
      <c r="M860" s="91"/>
    </row>
    <row r="861" spans="2:13" ht="15" customHeight="1" x14ac:dyDescent="0.2">
      <c r="B861" s="10" t="s">
        <v>917</v>
      </c>
      <c r="C861" s="10" t="s">
        <v>104</v>
      </c>
      <c r="D861" s="30">
        <f>Inputs!$D$144</f>
        <v>0.8</v>
      </c>
      <c r="G861" s="99" t="s">
        <v>918</v>
      </c>
      <c r="H861" s="91"/>
      <c r="I861" s="91"/>
      <c r="J861" s="28">
        <f>IF(-D872/D871&gt;=J863,-D872/D871,-J866/J865)</f>
        <v>25.141181976033842</v>
      </c>
      <c r="K861" s="99" t="s">
        <v>919</v>
      </c>
      <c r="L861" s="91"/>
      <c r="M861" s="91"/>
    </row>
    <row r="862" spans="2:13" ht="15" customHeight="1" x14ac:dyDescent="0.2">
      <c r="B862" s="10" t="s">
        <v>920</v>
      </c>
      <c r="C862" s="10" t="s">
        <v>104</v>
      </c>
      <c r="D862" s="30">
        <f>Inputs!$D$148</f>
        <v>0.12</v>
      </c>
      <c r="G862" s="99" t="s">
        <v>918</v>
      </c>
      <c r="H862" s="91"/>
      <c r="I862" s="91"/>
      <c r="J862" s="28">
        <f>J861*Inputs!$D$15</f>
        <v>17.546030901074019</v>
      </c>
      <c r="K862" s="99" t="s">
        <v>916</v>
      </c>
      <c r="L862" s="91"/>
      <c r="M862" s="91"/>
    </row>
    <row r="863" spans="2:13" ht="15" customHeight="1" x14ac:dyDescent="0.2">
      <c r="B863" s="3" t="s">
        <v>921</v>
      </c>
      <c r="C863" s="10" t="s">
        <v>848</v>
      </c>
      <c r="D863" s="28">
        <f>Capital!$D$13</f>
        <v>57.347931490590682</v>
      </c>
      <c r="G863" s="99" t="s">
        <v>922</v>
      </c>
      <c r="H863" s="91"/>
      <c r="I863" s="91"/>
      <c r="J863" s="28">
        <f>($D$863/Inputs!$D$21+$D$864/Inputs!$D$22)/$D$861</f>
        <v>18.084807684821598</v>
      </c>
      <c r="K863" s="99" t="s">
        <v>919</v>
      </c>
      <c r="L863" s="91"/>
      <c r="M863" s="91"/>
    </row>
    <row r="864" spans="2:13" ht="15" customHeight="1" x14ac:dyDescent="0.2">
      <c r="B864" s="3" t="s">
        <v>923</v>
      </c>
      <c r="C864" s="10" t="s">
        <v>848</v>
      </c>
      <c r="D864" s="28">
        <f>Capital!$D$14</f>
        <v>2.6172655041921802</v>
      </c>
    </row>
    <row r="865" spans="1:13" ht="15" customHeight="1" x14ac:dyDescent="0.2">
      <c r="B865" s="10" t="s">
        <v>924</v>
      </c>
      <c r="C865" s="10" t="s">
        <v>896</v>
      </c>
      <c r="D865" s="28">
        <f>(M838*(Inputs!$D$7+Inputs!$D$20)*$D$861*(Inputs!$D$7-Inputs!$D$19)-M838*Inputs!$D$20*Inputs!$D$23)/($D$862-Inputs!$D$20)/(Inputs!$D$7+$D$862)^M836</f>
        <v>1828.1005905255297</v>
      </c>
      <c r="G865" s="92" t="s">
        <v>910</v>
      </c>
      <c r="H865" s="91"/>
      <c r="I865" s="91"/>
      <c r="J865" s="28">
        <f>SUM(D857:M857)+(M838*(Inputs!$D$7+Inputs!$D$20)*$D$861-M838*Inputs!$D$20*Inputs!$D$23)/($D$862-Inputs!$D$20)/(Inputs!$D$7+$D$862)^M836</f>
        <v>5906.7483672752678</v>
      </c>
      <c r="K865" s="99" t="s">
        <v>896</v>
      </c>
      <c r="L865" s="91"/>
      <c r="M865" s="91"/>
    </row>
    <row r="866" spans="1:13" ht="15" customHeight="1" x14ac:dyDescent="0.2">
      <c r="B866" s="10" t="s">
        <v>925</v>
      </c>
      <c r="C866" s="10" t="s">
        <v>110</v>
      </c>
      <c r="D866" s="16">
        <f>(D869*Inputs!$D$19-D869-D870)/($D$862-Inputs!$D$20)/(Inputs!$D$7+$D$862)^M836</f>
        <v>-37876.58483194092</v>
      </c>
      <c r="G866" s="92" t="s">
        <v>926</v>
      </c>
      <c r="H866" s="91"/>
      <c r="I866" s="91"/>
      <c r="J866" s="16">
        <f>SUM(D858:M858)-(D869+D870)/($D$862-Inputs!$D$20)/(Inputs!$D$7+$D$862)^M836</f>
        <v>-135956.51483423277</v>
      </c>
      <c r="K866" s="99" t="s">
        <v>110</v>
      </c>
      <c r="L866" s="91"/>
      <c r="M866" s="91"/>
    </row>
    <row r="867" spans="1:13" ht="15" customHeight="1" x14ac:dyDescent="0.2">
      <c r="B867" s="10" t="s">
        <v>927</v>
      </c>
      <c r="C867" s="10" t="s">
        <v>928</v>
      </c>
      <c r="D867" s="16">
        <f>(M838*(Inputs!$D$7+Inputs!$D$20)*$D$860*$D$861-D869)-MAX((M838*(Inputs!$D$7+Inputs!$D$20)*$D$860*$D$861-D869),Inputs!$D$6)*Inputs!$D$19-D870-M838*Inputs!$D$20*$D$860*Inputs!$D$23</f>
        <v>7838.4968213135844</v>
      </c>
      <c r="G867" s="99" t="s">
        <v>929</v>
      </c>
      <c r="H867" s="91"/>
      <c r="I867" s="91"/>
      <c r="J867" s="28">
        <f>(D859-D872)/D871</f>
        <v>35.725462492450397</v>
      </c>
      <c r="K867" s="99" t="s">
        <v>919</v>
      </c>
      <c r="L867" s="91"/>
      <c r="M867" s="91"/>
    </row>
    <row r="868" spans="1:13" ht="15" customHeight="1" x14ac:dyDescent="0.2">
      <c r="B868" s="10" t="s">
        <v>930</v>
      </c>
      <c r="C868" s="10" t="s">
        <v>110</v>
      </c>
      <c r="D868" s="16">
        <f>D867/($D$862-Inputs!$D$20)</f>
        <v>82510.492855932462</v>
      </c>
      <c r="G868" s="99" t="s">
        <v>931</v>
      </c>
      <c r="H868" s="91"/>
      <c r="I868" s="91"/>
      <c r="J868" s="16">
        <f>MIN(D852:M852,(M838*(Inputs!$D$7+Inputs!$D$20)*$D$860*$D$861-D869))</f>
        <v>1772.3533284425214</v>
      </c>
      <c r="K868" s="99" t="s">
        <v>110</v>
      </c>
      <c r="L868" s="91"/>
      <c r="M868" s="91"/>
    </row>
    <row r="869" spans="1:13" ht="15" customHeight="1" x14ac:dyDescent="0.2">
      <c r="B869" s="10" t="s">
        <v>932</v>
      </c>
      <c r="C869" s="10" t="s">
        <v>928</v>
      </c>
      <c r="D869" s="16">
        <f>M838*(Inputs!$D$7+Inputs!$D$20)*($D$863/Inputs!$D$21+$D$864/Inputs!$D$22)</f>
        <v>13509.71303671543</v>
      </c>
      <c r="G869" s="99" t="s">
        <v>933</v>
      </c>
      <c r="H869" s="91"/>
      <c r="I869" s="91"/>
      <c r="J869" s="31" t="str">
        <f>IF(J868&lt;Inputs!$D$6,"breached","satisfied")</f>
        <v>satisfied</v>
      </c>
      <c r="K869" s="99" t="s">
        <v>934</v>
      </c>
      <c r="L869" s="91"/>
      <c r="M869" s="91"/>
    </row>
    <row r="870" spans="1:13" ht="15" customHeight="1" x14ac:dyDescent="0.2">
      <c r="B870" s="10" t="s">
        <v>935</v>
      </c>
      <c r="C870" s="10" t="s">
        <v>928</v>
      </c>
      <c r="D870" s="16">
        <f>M838*Inputs!$D$20*($D$863+$D$864)</f>
        <v>1365.7073615561799</v>
      </c>
    </row>
    <row r="871" spans="1:13" ht="15" customHeight="1" x14ac:dyDescent="0.2">
      <c r="B871" s="10" t="s">
        <v>936</v>
      </c>
      <c r="C871" s="10" t="s">
        <v>896</v>
      </c>
      <c r="D871" s="28">
        <f>SUM(D848:M848)+D865</f>
        <v>4128.7643437095139</v>
      </c>
      <c r="G871" s="99" t="s">
        <v>937</v>
      </c>
      <c r="H871" s="91"/>
      <c r="I871" s="91"/>
      <c r="J871" s="16">
        <f>D873-D859</f>
        <v>0</v>
      </c>
      <c r="K871" s="99" t="s">
        <v>110</v>
      </c>
      <c r="L871" s="91"/>
      <c r="M871" s="91"/>
    </row>
    <row r="872" spans="1:13" ht="15" customHeight="1" x14ac:dyDescent="0.2">
      <c r="B872" s="10" t="s">
        <v>938</v>
      </c>
      <c r="C872" s="10" t="s">
        <v>110</v>
      </c>
      <c r="D872" s="16">
        <f>SUM(D849:M849)+D866</f>
        <v>-103802.01570136083</v>
      </c>
    </row>
    <row r="873" spans="1:13" ht="15" customHeight="1" x14ac:dyDescent="0.2">
      <c r="B873" s="10" t="s">
        <v>939</v>
      </c>
      <c r="C873" s="10" t="s">
        <v>110</v>
      </c>
      <c r="D873" s="16">
        <f>SUM(D856:M856)+D868/(Inputs!$D$7+$D$862)^M836</f>
        <v>43700.000000000007</v>
      </c>
    </row>
    <row r="874" spans="1:13" ht="15" customHeight="1" x14ac:dyDescent="0.2">
      <c r="B874" s="10" t="s">
        <v>940</v>
      </c>
      <c r="C874" s="10" t="s">
        <v>104</v>
      </c>
      <c r="D874" s="30">
        <f>IF(ABS(D859)&gt;Inputs!$D$6,D873/D859-Inputs!$D$7,Inputs!$D$6)</f>
        <v>2.2204460492503131E-16</v>
      </c>
    </row>
    <row r="875" spans="1:13" ht="15" customHeight="1" x14ac:dyDescent="0.2">
      <c r="B875" s="10" t="s">
        <v>941</v>
      </c>
      <c r="C875" s="10" t="s">
        <v>104</v>
      </c>
      <c r="D875" s="30">
        <f>IF(ABS(D873)&gt;Inputs!$D$119,D868/(Inputs!$D$7+$D$862)^M836/D873,Inputs!$D$6)</f>
        <v>0.62776096675755866</v>
      </c>
    </row>
    <row r="876" spans="1:13" ht="15" customHeight="1" x14ac:dyDescent="0.2">
      <c r="B876" s="10" t="s">
        <v>942</v>
      </c>
      <c r="C876" s="10" t="s">
        <v>943</v>
      </c>
      <c r="D876" s="26">
        <f>$D$860*Inputs!$D$8/Prices!$P$6/(Inputs!$D$26/Inputs!$D$25)/Inputs!$D$11/Inputs!$D$56</f>
        <v>6.4967838711423438</v>
      </c>
    </row>
    <row r="880" spans="1:13" ht="15" customHeight="1" x14ac:dyDescent="0.2">
      <c r="A880" s="104" t="s">
        <v>2184</v>
      </c>
      <c r="B880" s="10" t="s">
        <v>886</v>
      </c>
      <c r="C880" s="10" t="s">
        <v>107</v>
      </c>
      <c r="D880" s="28">
        <f>Inputs!$D$60</f>
        <v>1</v>
      </c>
      <c r="E880" s="28">
        <f>Inputs!$D$62</f>
        <v>2</v>
      </c>
      <c r="F880" s="28">
        <f>Inputs!$D$64</f>
        <v>3</v>
      </c>
      <c r="G880" s="28">
        <f>Inputs!$D$66</f>
        <v>4</v>
      </c>
      <c r="H880" s="28">
        <f>Inputs!$D$68</f>
        <v>5</v>
      </c>
      <c r="I880" s="28">
        <f>Inputs!$D$70</f>
        <v>6</v>
      </c>
      <c r="J880" s="28">
        <f>Inputs!$D$72</f>
        <v>7</v>
      </c>
      <c r="K880" s="28">
        <f>Inputs!$D$74</f>
        <v>8</v>
      </c>
      <c r="L880" s="28">
        <f>Inputs!$D$76</f>
        <v>9</v>
      </c>
      <c r="M880" s="28">
        <f>Inputs!$D$78</f>
        <v>10</v>
      </c>
    </row>
    <row r="881" spans="1:13" ht="15" customHeight="1" x14ac:dyDescent="0.2">
      <c r="A881" s="91"/>
      <c r="B881" s="10" t="s">
        <v>887</v>
      </c>
      <c r="C881" s="10" t="s">
        <v>161</v>
      </c>
      <c r="D881" s="29">
        <f>Inputs!$D$61</f>
        <v>46568</v>
      </c>
      <c r="E881" s="29">
        <f>Inputs!$D$63</f>
        <v>46934</v>
      </c>
      <c r="F881" s="29">
        <f>Inputs!$D$65</f>
        <v>47299</v>
      </c>
      <c r="G881" s="29">
        <f>Inputs!$D$67</f>
        <v>47664</v>
      </c>
      <c r="H881" s="29">
        <f>Inputs!$D$69</f>
        <v>48029</v>
      </c>
      <c r="I881" s="29">
        <f>Inputs!$D$71</f>
        <v>48395</v>
      </c>
      <c r="J881" s="29">
        <f>Inputs!$D$73</f>
        <v>48760</v>
      </c>
      <c r="K881" s="29">
        <f>Inputs!$D$75</f>
        <v>49125</v>
      </c>
      <c r="L881" s="29">
        <f>Inputs!$D$77</f>
        <v>49490</v>
      </c>
      <c r="M881" s="29">
        <f>Inputs!$D$79</f>
        <v>49856</v>
      </c>
    </row>
    <row r="882" spans="1:13" ht="15" customHeight="1" x14ac:dyDescent="0.2">
      <c r="A882" s="91"/>
      <c r="B882" s="10" t="s">
        <v>888</v>
      </c>
      <c r="C882" s="10" t="s">
        <v>107</v>
      </c>
      <c r="D882" s="28">
        <f>(D881-Inputs!$D$13)/Inputs!$D$10</f>
        <v>0.71457905544147848</v>
      </c>
      <c r="E882" s="28">
        <f>(E881-Inputs!$D$13)/Inputs!$D$10</f>
        <v>1.7166324435318274</v>
      </c>
      <c r="F882" s="28">
        <f>(F881-Inputs!$D$13)/Inputs!$D$10</f>
        <v>2.7159479808350446</v>
      </c>
      <c r="G882" s="28">
        <f>(G881-Inputs!$D$13)/Inputs!$D$10</f>
        <v>3.7152635181382614</v>
      </c>
      <c r="H882" s="28">
        <f>(H881-Inputs!$D$13)/Inputs!$D$10</f>
        <v>4.7145790554414786</v>
      </c>
      <c r="I882" s="28">
        <f>(I881-Inputs!$D$13)/Inputs!$D$10</f>
        <v>5.7166324435318279</v>
      </c>
      <c r="J882" s="28">
        <f>(J881-Inputs!$D$13)/Inputs!$D$10</f>
        <v>6.7159479808350442</v>
      </c>
      <c r="K882" s="28">
        <f>(K881-Inputs!$D$13)/Inputs!$D$10</f>
        <v>7.7152635181382614</v>
      </c>
      <c r="L882" s="28">
        <f>(L881-Inputs!$D$13)/Inputs!$D$10</f>
        <v>8.7145790554414777</v>
      </c>
      <c r="M882" s="28">
        <f>(M881-Inputs!$D$13)/Inputs!$D$10</f>
        <v>9.716632443531827</v>
      </c>
    </row>
    <row r="883" spans="1:13" ht="15" customHeight="1" x14ac:dyDescent="0.2">
      <c r="A883" s="91"/>
      <c r="B883" s="10" t="s">
        <v>889</v>
      </c>
      <c r="C883" s="10" t="s">
        <v>107</v>
      </c>
      <c r="D883" s="28">
        <f>D882</f>
        <v>0.71457905544147848</v>
      </c>
      <c r="E883" s="28">
        <f>Inputs!$D$7</f>
        <v>1</v>
      </c>
      <c r="F883" s="28">
        <f>Inputs!$D$7</f>
        <v>1</v>
      </c>
      <c r="G883" s="28">
        <f>Inputs!$D$7</f>
        <v>1</v>
      </c>
      <c r="H883" s="28">
        <f>Inputs!$D$7</f>
        <v>1</v>
      </c>
      <c r="I883" s="28">
        <f>Inputs!$D$7</f>
        <v>1</v>
      </c>
      <c r="J883" s="28">
        <f>Inputs!$D$7</f>
        <v>1</v>
      </c>
      <c r="K883" s="28">
        <f>Inputs!$D$7</f>
        <v>1</v>
      </c>
      <c r="L883" s="28">
        <f>Inputs!$D$7</f>
        <v>1</v>
      </c>
      <c r="M883" s="28">
        <f>Inputs!$D$7</f>
        <v>1</v>
      </c>
    </row>
    <row r="884" spans="1:13" ht="15" customHeight="1" x14ac:dyDescent="0.2">
      <c r="A884" s="91"/>
      <c r="B884" s="3" t="s">
        <v>890</v>
      </c>
      <c r="C884" s="10" t="s">
        <v>199</v>
      </c>
      <c r="D884" s="28">
        <f>Inputs!$D$24+(Inputs!$D$80-Inputs!$D$24)*Inputs!$D$83</f>
        <v>305.5</v>
      </c>
      <c r="E884" s="28">
        <f>Inputs!$D$24+(Inputs!$D$80-Inputs!$D$24)*Inputs!$D$84</f>
        <v>651.5</v>
      </c>
      <c r="F884" s="28">
        <f>Inputs!$D$24+(Inputs!$D$80-Inputs!$D$24)*Inputs!$D$85</f>
        <v>911</v>
      </c>
      <c r="G884" s="28">
        <f>Inputs!$D$24+(Inputs!$D$80-Inputs!$D$24)*Inputs!$D$86</f>
        <v>911</v>
      </c>
      <c r="H884" s="28">
        <f>Inputs!$D$24+(Inputs!$D$80-Inputs!$D$24)*Inputs!$D$87</f>
        <v>911</v>
      </c>
      <c r="I884" s="28">
        <f>Inputs!$D$24+(Inputs!$D$80-Inputs!$D$24)*Inputs!$D$88</f>
        <v>911</v>
      </c>
      <c r="J884" s="28">
        <f>Inputs!$D$24+(Inputs!$D$80-Inputs!$D$24)*Inputs!$D$89</f>
        <v>911</v>
      </c>
      <c r="K884" s="28">
        <f>Inputs!$D$24+(Inputs!$D$80-Inputs!$D$24)*Inputs!$D$90</f>
        <v>911</v>
      </c>
      <c r="L884" s="28">
        <f>Inputs!$D$24+(Inputs!$D$80-Inputs!$D$24)*Inputs!$D$91</f>
        <v>911</v>
      </c>
      <c r="M884" s="28">
        <f>Inputs!$D$24+(Inputs!$D$80-Inputs!$D$24)*Inputs!$D$92</f>
        <v>911</v>
      </c>
    </row>
    <row r="885" spans="1:13" ht="15" customHeight="1" x14ac:dyDescent="0.2">
      <c r="A885" s="91"/>
      <c r="B885" s="10" t="s">
        <v>891</v>
      </c>
      <c r="C885" s="10" t="s">
        <v>199</v>
      </c>
      <c r="D885" s="28">
        <f>Inputs!$D$24</f>
        <v>46</v>
      </c>
      <c r="E885" s="28">
        <f t="shared" ref="E885:M885" si="190">D884</f>
        <v>305.5</v>
      </c>
      <c r="F885" s="28">
        <f t="shared" si="190"/>
        <v>651.5</v>
      </c>
      <c r="G885" s="28">
        <f t="shared" si="190"/>
        <v>911</v>
      </c>
      <c r="H885" s="28">
        <f t="shared" si="190"/>
        <v>911</v>
      </c>
      <c r="I885" s="28">
        <f t="shared" si="190"/>
        <v>911</v>
      </c>
      <c r="J885" s="28">
        <f t="shared" si="190"/>
        <v>911</v>
      </c>
      <c r="K885" s="28">
        <f t="shared" si="190"/>
        <v>911</v>
      </c>
      <c r="L885" s="28">
        <f t="shared" si="190"/>
        <v>911</v>
      </c>
      <c r="M885" s="28">
        <f t="shared" si="190"/>
        <v>911</v>
      </c>
    </row>
    <row r="886" spans="1:13" ht="15" customHeight="1" x14ac:dyDescent="0.2">
      <c r="B886" s="10" t="s">
        <v>892</v>
      </c>
      <c r="C886" s="10" t="s">
        <v>199</v>
      </c>
      <c r="D886" s="28">
        <f>(D885+D884)*Inputs!$D$12</f>
        <v>175.75</v>
      </c>
      <c r="E886" s="28">
        <f>(E885+E884)*Inputs!$D$12</f>
        <v>478.5</v>
      </c>
      <c r="F886" s="28">
        <f>(F885+F884)*Inputs!$D$12</f>
        <v>781.25</v>
      </c>
      <c r="G886" s="28">
        <f>(G885+G884)*Inputs!$D$12</f>
        <v>911</v>
      </c>
      <c r="H886" s="28">
        <f>(H885+H884)*Inputs!$D$12</f>
        <v>911</v>
      </c>
      <c r="I886" s="28">
        <f>(I885+I884)*Inputs!$D$12</f>
        <v>911</v>
      </c>
      <c r="J886" s="28">
        <f>(J885+J884)*Inputs!$D$12</f>
        <v>911</v>
      </c>
      <c r="K886" s="28">
        <f>(K885+K884)*Inputs!$D$12</f>
        <v>911</v>
      </c>
      <c r="L886" s="28">
        <f>(L885+L884)*Inputs!$D$12</f>
        <v>911</v>
      </c>
      <c r="M886" s="28">
        <f>(M885+M884)*Inputs!$D$12</f>
        <v>911</v>
      </c>
    </row>
    <row r="887" spans="1:13" ht="15" customHeight="1" x14ac:dyDescent="0.2">
      <c r="B887" s="10" t="s">
        <v>893</v>
      </c>
      <c r="C887" s="10" t="s">
        <v>199</v>
      </c>
      <c r="D887" s="28">
        <f t="shared" ref="D887:M887" si="191">D884-D885</f>
        <v>259.5</v>
      </c>
      <c r="E887" s="28">
        <f t="shared" si="191"/>
        <v>346</v>
      </c>
      <c r="F887" s="28">
        <f t="shared" si="191"/>
        <v>259.5</v>
      </c>
      <c r="G887" s="28">
        <f t="shared" si="191"/>
        <v>0</v>
      </c>
      <c r="H887" s="28">
        <f t="shared" si="191"/>
        <v>0</v>
      </c>
      <c r="I887" s="28">
        <f t="shared" si="191"/>
        <v>0</v>
      </c>
      <c r="J887" s="28">
        <f t="shared" si="191"/>
        <v>0</v>
      </c>
      <c r="K887" s="28">
        <f t="shared" si="191"/>
        <v>0</v>
      </c>
      <c r="L887" s="28">
        <f t="shared" si="191"/>
        <v>0</v>
      </c>
      <c r="M887" s="28">
        <f t="shared" si="191"/>
        <v>0</v>
      </c>
    </row>
    <row r="888" spans="1:13" ht="15" customHeight="1" x14ac:dyDescent="0.2">
      <c r="B888" s="10" t="s">
        <v>894</v>
      </c>
      <c r="C888" s="10" t="s">
        <v>199</v>
      </c>
      <c r="D888" s="28">
        <f>IF(MOD(D880,Inputs!$D$21)=Inputs!$D$6,Inputs!$D$24,Inputs!$D$6)+SUMPRODUCT(--(D880&gt;$D$880:$M$880),--(MOD(D880-$D$880:$M$880,Inputs!$D$21)=Inputs!$D$6),$D$887:$M$887)</f>
        <v>0</v>
      </c>
      <c r="E888" s="28">
        <f>IF(MOD(E880,Inputs!$D$21)=Inputs!$D$6,Inputs!$D$24,Inputs!$D$6)+SUMPRODUCT(--(E880&gt;$D$880:$M$880),--(MOD(E880-$D$880:$M$880,Inputs!$D$21)=Inputs!$D$6),$D$887:$M$887)</f>
        <v>0</v>
      </c>
      <c r="F888" s="28">
        <f>IF(MOD(F880,Inputs!$D$21)=Inputs!$D$6,Inputs!$D$24,Inputs!$D$6)+SUMPRODUCT(--(F880&gt;$D$880:$M$880),--(MOD(F880-$D$880:$M$880,Inputs!$D$21)=Inputs!$D$6),$D$887:$M$887)</f>
        <v>0</v>
      </c>
      <c r="G888" s="28">
        <f>IF(MOD(G880,Inputs!$D$21)=Inputs!$D$6,Inputs!$D$24,Inputs!$D$6)+SUMPRODUCT(--(G880&gt;$D$880:$M$880),--(MOD(G880-$D$880:$M$880,Inputs!$D$21)=Inputs!$D$6),$D$887:$M$887)</f>
        <v>46</v>
      </c>
      <c r="H888" s="28">
        <f>IF(MOD(H880,Inputs!$D$21)=Inputs!$D$6,Inputs!$D$24,Inputs!$D$6)+SUMPRODUCT(--(H880&gt;$D$880:$M$880),--(MOD(H880-$D$880:$M$880,Inputs!$D$21)=Inputs!$D$6),$D$887:$M$887)</f>
        <v>259.5</v>
      </c>
      <c r="I888" s="28">
        <f>IF(MOD(I880,Inputs!$D$21)=Inputs!$D$6,Inputs!$D$24,Inputs!$D$6)+SUMPRODUCT(--(I880&gt;$D$880:$M$880),--(MOD(I880-$D$880:$M$880,Inputs!$D$21)=Inputs!$D$6),$D$887:$M$887)</f>
        <v>346</v>
      </c>
      <c r="J888" s="28">
        <f>IF(MOD(J880,Inputs!$D$21)=Inputs!$D$6,Inputs!$D$24,Inputs!$D$6)+SUMPRODUCT(--(J880&gt;$D$880:$M$880),--(MOD(J880-$D$880:$M$880,Inputs!$D$21)=Inputs!$D$6),$D$887:$M$887)</f>
        <v>259.5</v>
      </c>
      <c r="K888" s="28">
        <f>IF(MOD(K880,Inputs!$D$21)=Inputs!$D$6,Inputs!$D$24,Inputs!$D$6)+SUMPRODUCT(--(K880&gt;$D$880:$M$880),--(MOD(K880-$D$880:$M$880,Inputs!$D$21)=Inputs!$D$6),$D$887:$M$887)</f>
        <v>46</v>
      </c>
      <c r="L888" s="28">
        <f>IF(MOD(L880,Inputs!$D$21)=Inputs!$D$6,Inputs!$D$24,Inputs!$D$6)+SUMPRODUCT(--(L880&gt;$D$880:$M$880),--(MOD(L880-$D$880:$M$880,Inputs!$D$21)=Inputs!$D$6),$D$887:$M$887)</f>
        <v>259.5</v>
      </c>
      <c r="M888" s="28">
        <f>IF(MOD(M880,Inputs!$D$21)=Inputs!$D$6,Inputs!$D$24,Inputs!$D$6)+SUMPRODUCT(--(M880&gt;$D$880:$M$880),--(MOD(M880-$D$880:$M$880,Inputs!$D$21)=Inputs!$D$6),$D$887:$M$887)</f>
        <v>346</v>
      </c>
    </row>
    <row r="889" spans="1:13" ht="15" customHeight="1" x14ac:dyDescent="0.2">
      <c r="B889" s="10" t="s">
        <v>895</v>
      </c>
      <c r="C889" s="10" t="s">
        <v>896</v>
      </c>
      <c r="D889" s="28">
        <f t="shared" ref="D889:M889" si="192">D886*D883</f>
        <v>125.58726899383984</v>
      </c>
      <c r="E889" s="28">
        <f t="shared" si="192"/>
        <v>478.5</v>
      </c>
      <c r="F889" s="28">
        <f t="shared" si="192"/>
        <v>781.25</v>
      </c>
      <c r="G889" s="28">
        <f t="shared" si="192"/>
        <v>911</v>
      </c>
      <c r="H889" s="28">
        <f t="shared" si="192"/>
        <v>911</v>
      </c>
      <c r="I889" s="28">
        <f t="shared" si="192"/>
        <v>911</v>
      </c>
      <c r="J889" s="28">
        <f t="shared" si="192"/>
        <v>911</v>
      </c>
      <c r="K889" s="28">
        <f t="shared" si="192"/>
        <v>911</v>
      </c>
      <c r="L889" s="28">
        <f t="shared" si="192"/>
        <v>911</v>
      </c>
      <c r="M889" s="28">
        <f t="shared" si="192"/>
        <v>911</v>
      </c>
    </row>
    <row r="890" spans="1:13" ht="15" customHeight="1" x14ac:dyDescent="0.2">
      <c r="B890" s="10" t="s">
        <v>897</v>
      </c>
      <c r="C890" s="10" t="s">
        <v>110</v>
      </c>
      <c r="D890" s="16">
        <f>D889*($D$909/Inputs!$D$21+$D$910/Inputs!$D$22)</f>
        <v>1816.9772859324419</v>
      </c>
      <c r="E890" s="16">
        <f>E889*($D$909/Inputs!$D$21+$D$910/Inputs!$D$22)</f>
        <v>6922.8643817497086</v>
      </c>
      <c r="F890" s="16">
        <f>F889*($D$909/Inputs!$D$21+$D$910/Inputs!$D$22)</f>
        <v>11303.0048030135</v>
      </c>
      <c r="G890" s="16">
        <f>G889*($D$909/Inputs!$D$21+$D$910/Inputs!$D$22)</f>
        <v>13180.207840697982</v>
      </c>
      <c r="H890" s="16">
        <f>H889*($D$909/Inputs!$D$21+$D$910/Inputs!$D$22)</f>
        <v>13180.207840697982</v>
      </c>
      <c r="I890" s="16">
        <f>I889*($D$909/Inputs!$D$21+$D$910/Inputs!$D$22)</f>
        <v>13180.207840697982</v>
      </c>
      <c r="J890" s="16">
        <f>J889*($D$909/Inputs!$D$21+$D$910/Inputs!$D$22)</f>
        <v>13180.207840697982</v>
      </c>
      <c r="K890" s="16">
        <f>K889*($D$909/Inputs!$D$21+$D$910/Inputs!$D$22)</f>
        <v>13180.207840697982</v>
      </c>
      <c r="L890" s="16">
        <f>L889*($D$909/Inputs!$D$21+$D$910/Inputs!$D$22)</f>
        <v>13180.207840697982</v>
      </c>
      <c r="M890" s="16">
        <f>M889*($D$909/Inputs!$D$21+$D$910/Inputs!$D$22)</f>
        <v>13180.207840697982</v>
      </c>
    </row>
    <row r="891" spans="1:13" ht="15" customHeight="1" x14ac:dyDescent="0.2">
      <c r="B891" s="10" t="s">
        <v>898</v>
      </c>
      <c r="C891" s="10" t="s">
        <v>110</v>
      </c>
      <c r="D891" s="16">
        <f t="shared" ref="D891:M891" si="193">D887*($D$909+$D$910)</f>
        <v>15560.968620146154</v>
      </c>
      <c r="E891" s="16">
        <f t="shared" si="193"/>
        <v>20747.95816019487</v>
      </c>
      <c r="F891" s="16">
        <f t="shared" si="193"/>
        <v>15560.968620146154</v>
      </c>
      <c r="G891" s="16">
        <f t="shared" si="193"/>
        <v>0</v>
      </c>
      <c r="H891" s="16">
        <f t="shared" si="193"/>
        <v>0</v>
      </c>
      <c r="I891" s="16">
        <f t="shared" si="193"/>
        <v>0</v>
      </c>
      <c r="J891" s="16">
        <f t="shared" si="193"/>
        <v>0</v>
      </c>
      <c r="K891" s="16">
        <f t="shared" si="193"/>
        <v>0</v>
      </c>
      <c r="L891" s="16">
        <f t="shared" si="193"/>
        <v>0</v>
      </c>
      <c r="M891" s="16">
        <f t="shared" si="193"/>
        <v>0</v>
      </c>
    </row>
    <row r="892" spans="1:13" ht="15" customHeight="1" x14ac:dyDescent="0.2">
      <c r="B892" s="10" t="s">
        <v>899</v>
      </c>
      <c r="C892" s="10" t="s">
        <v>110</v>
      </c>
      <c r="D892" s="16">
        <f t="shared" ref="D892:M892" si="194">D888*$D$909</f>
        <v>0</v>
      </c>
      <c r="E892" s="16">
        <f t="shared" si="194"/>
        <v>0</v>
      </c>
      <c r="F892" s="16">
        <f t="shared" si="194"/>
        <v>0</v>
      </c>
      <c r="G892" s="16">
        <f t="shared" si="194"/>
        <v>2638.0048485671714</v>
      </c>
      <c r="H892" s="16">
        <f t="shared" si="194"/>
        <v>14881.788221808281</v>
      </c>
      <c r="I892" s="16">
        <f t="shared" si="194"/>
        <v>19842.384295744378</v>
      </c>
      <c r="J892" s="16">
        <f t="shared" si="194"/>
        <v>14881.788221808281</v>
      </c>
      <c r="K892" s="16">
        <f t="shared" si="194"/>
        <v>2638.0048485671714</v>
      </c>
      <c r="L892" s="16">
        <f t="shared" si="194"/>
        <v>14881.788221808281</v>
      </c>
      <c r="M892" s="16">
        <f t="shared" si="194"/>
        <v>19842.384295744378</v>
      </c>
    </row>
    <row r="893" spans="1:13" ht="15" customHeight="1" x14ac:dyDescent="0.2">
      <c r="B893" s="10" t="s">
        <v>900</v>
      </c>
      <c r="C893" s="10" t="s">
        <v>199</v>
      </c>
      <c r="D893" s="28">
        <f>D887*Inputs!$D$23</f>
        <v>6.4875000000000007</v>
      </c>
      <c r="E893" s="28">
        <f>E887*Inputs!$D$23</f>
        <v>8.65</v>
      </c>
      <c r="F893" s="28">
        <f>F887*Inputs!$D$23</f>
        <v>6.4875000000000007</v>
      </c>
      <c r="G893" s="28">
        <f>G887*Inputs!$D$23</f>
        <v>0</v>
      </c>
      <c r="H893" s="28">
        <f>H887*Inputs!$D$23</f>
        <v>0</v>
      </c>
      <c r="I893" s="28">
        <f>I887*Inputs!$D$23</f>
        <v>0</v>
      </c>
      <c r="J893" s="28">
        <f>J887*Inputs!$D$23</f>
        <v>0</v>
      </c>
      <c r="K893" s="28">
        <f>K887*Inputs!$D$23</f>
        <v>0</v>
      </c>
      <c r="L893" s="28">
        <f>L887*Inputs!$D$23</f>
        <v>0</v>
      </c>
      <c r="M893" s="28">
        <f>M887*Inputs!$D$23</f>
        <v>0</v>
      </c>
    </row>
    <row r="894" spans="1:13" ht="15" customHeight="1" x14ac:dyDescent="0.2">
      <c r="B894" s="3" t="s">
        <v>901</v>
      </c>
      <c r="C894" s="10" t="s">
        <v>896</v>
      </c>
      <c r="D894" s="28">
        <f>(D889*$D$907*(Inputs!$D$7-Inputs!$D$19)-D893)/(Inputs!$D$7+$D$908)^D882</f>
        <v>58.135202233109887</v>
      </c>
      <c r="E894" s="28">
        <f>(E889*$D$907*(Inputs!$D$7-Inputs!$D$19)-E893)/(Inputs!$D$7+$D$908)^E882</f>
        <v>207.07828100895995</v>
      </c>
      <c r="F894" s="28">
        <f>(F889*$D$907*(Inputs!$D$7-Inputs!$D$19)-F893)/(Inputs!$D$7+$D$908)^F882</f>
        <v>301.95293090230649</v>
      </c>
      <c r="G894" s="28">
        <f>(G889*$D$907*(Inputs!$D$7-Inputs!$D$19)-G893)/(Inputs!$D$7+$D$908)^G882</f>
        <v>313.53778491139536</v>
      </c>
      <c r="H894" s="28">
        <f>(H889*$D$907*(Inputs!$D$7-Inputs!$D$19)-H893)/(Inputs!$D$7+$D$908)^H882</f>
        <v>275.05781182617739</v>
      </c>
      <c r="I894" s="28">
        <f>(I889*$D$907*(Inputs!$D$7-Inputs!$D$19)-I893)/(Inputs!$D$7+$D$908)^I882</f>
        <v>241.21387452741479</v>
      </c>
      <c r="J894" s="28">
        <f>(J889*$D$907*(Inputs!$D$7-Inputs!$D$19)-J893)/(Inputs!$D$7+$D$908)^J882</f>
        <v>211.61009518637272</v>
      </c>
      <c r="K894" s="28">
        <f>(K889*$D$907*(Inputs!$D$7-Inputs!$D$19)-K893)/(Inputs!$D$7+$D$908)^K882</f>
        <v>185.63953865637379</v>
      </c>
      <c r="L894" s="28">
        <f>(L889*$D$907*(Inputs!$D$7-Inputs!$D$19)-L893)/(Inputs!$D$7+$D$908)^L882</f>
        <v>162.85630551888053</v>
      </c>
      <c r="M894" s="28">
        <f>(M889*$D$907*(Inputs!$D$7-Inputs!$D$19)-M893)/(Inputs!$D$7+$D$908)^M882</f>
        <v>142.81797773572984</v>
      </c>
    </row>
    <row r="895" spans="1:13" ht="15" customHeight="1" x14ac:dyDescent="0.2">
      <c r="B895" s="10" t="s">
        <v>902</v>
      </c>
      <c r="C895" s="10" t="s">
        <v>110</v>
      </c>
      <c r="D895" s="16">
        <f>(D890*Inputs!$D$19-D891-D892)/(Inputs!$D$7+$D$908)^D882</f>
        <v>-13673.750208995338</v>
      </c>
      <c r="E895" s="16">
        <f>(E890*Inputs!$D$19-E891-E892)/(Inputs!$D$7+$D$908)^E882</f>
        <v>-14910.258198718562</v>
      </c>
      <c r="F895" s="16">
        <f>(F890*Inputs!$D$19-F891-F892)/(Inputs!$D$7+$D$908)^F882</f>
        <v>-8525.9417164238148</v>
      </c>
      <c r="G895" s="16">
        <f>(G890*Inputs!$D$19-G891-G892)/(Inputs!$D$7+$D$908)^G882</f>
        <v>808.83204192410847</v>
      </c>
      <c r="H895" s="16">
        <f>(H890*Inputs!$D$19-H891-H892)/(Inputs!$D$7+$D$908)^H882</f>
        <v>-5891.7915280072548</v>
      </c>
      <c r="I895" s="16">
        <f>(I890*Inputs!$D$19-I891-I892)/(Inputs!$D$7+$D$908)^I882</f>
        <v>-7512.3171078465948</v>
      </c>
      <c r="J895" s="16">
        <f>(J890*Inputs!$D$19-J891-J892)/(Inputs!$D$7+$D$908)^J882</f>
        <v>-4532.7291662153211</v>
      </c>
      <c r="K895" s="16">
        <f>(K890*Inputs!$D$19-K891-K892)/(Inputs!$D$7+$D$908)^K882</f>
        <v>478.89349972832292</v>
      </c>
      <c r="L895" s="16">
        <f>(L890*Inputs!$D$19-L891-L892)/(Inputs!$D$7+$D$908)^L882</f>
        <v>-3488.413562109869</v>
      </c>
      <c r="M895" s="16">
        <f>(M890*Inputs!$D$19-M891-M892)/(Inputs!$D$7+$D$908)^M882</f>
        <v>-4447.8947969066312</v>
      </c>
    </row>
    <row r="896" spans="1:13" ht="15" customHeight="1" x14ac:dyDescent="0.2">
      <c r="B896" s="10" t="s">
        <v>903</v>
      </c>
      <c r="C896" s="10" t="s">
        <v>110</v>
      </c>
      <c r="D896" s="16">
        <f t="shared" ref="D896:M896" si="195">D889*$D$906</f>
        <v>4907.3674842236787</v>
      </c>
      <c r="E896" s="16">
        <f t="shared" si="195"/>
        <v>18697.55875745821</v>
      </c>
      <c r="F896" s="16">
        <f t="shared" si="195"/>
        <v>30527.62336314363</v>
      </c>
      <c r="G896" s="16">
        <f t="shared" si="195"/>
        <v>35597.651051294524</v>
      </c>
      <c r="H896" s="16">
        <f t="shared" si="195"/>
        <v>35597.651051294524</v>
      </c>
      <c r="I896" s="16">
        <f t="shared" si="195"/>
        <v>35597.651051294524</v>
      </c>
      <c r="J896" s="16">
        <f t="shared" si="195"/>
        <v>35597.651051294524</v>
      </c>
      <c r="K896" s="16">
        <f t="shared" si="195"/>
        <v>35597.651051294524</v>
      </c>
      <c r="L896" s="16">
        <f t="shared" si="195"/>
        <v>35597.651051294524</v>
      </c>
      <c r="M896" s="16">
        <f t="shared" si="195"/>
        <v>35597.651051294524</v>
      </c>
    </row>
    <row r="897" spans="2:13" ht="15" customHeight="1" x14ac:dyDescent="0.2">
      <c r="B897" s="10" t="s">
        <v>904</v>
      </c>
      <c r="C897" s="10" t="s">
        <v>110</v>
      </c>
      <c r="D897" s="16">
        <f t="shared" ref="D897:M897" si="196">D896*$D$907</f>
        <v>3925.8939873789432</v>
      </c>
      <c r="E897" s="16">
        <f t="shared" si="196"/>
        <v>14958.047005966568</v>
      </c>
      <c r="F897" s="16">
        <f t="shared" si="196"/>
        <v>24422.098690514904</v>
      </c>
      <c r="G897" s="16">
        <f t="shared" si="196"/>
        <v>28478.120841035619</v>
      </c>
      <c r="H897" s="16">
        <f t="shared" si="196"/>
        <v>28478.120841035619</v>
      </c>
      <c r="I897" s="16">
        <f t="shared" si="196"/>
        <v>28478.120841035619</v>
      </c>
      <c r="J897" s="16">
        <f t="shared" si="196"/>
        <v>28478.120841035619</v>
      </c>
      <c r="K897" s="16">
        <f t="shared" si="196"/>
        <v>28478.120841035619</v>
      </c>
      <c r="L897" s="16">
        <f t="shared" si="196"/>
        <v>28478.120841035619</v>
      </c>
      <c r="M897" s="16">
        <f t="shared" si="196"/>
        <v>28478.120841035619</v>
      </c>
    </row>
    <row r="898" spans="2:13" ht="15" customHeight="1" x14ac:dyDescent="0.2">
      <c r="B898" s="10" t="s">
        <v>905</v>
      </c>
      <c r="C898" s="10" t="s">
        <v>110</v>
      </c>
      <c r="D898" s="16">
        <f t="shared" ref="D898:M898" si="197">D897-D890</f>
        <v>2108.9167014465011</v>
      </c>
      <c r="E898" s="16">
        <f t="shared" si="197"/>
        <v>8035.182624216859</v>
      </c>
      <c r="F898" s="16">
        <f t="shared" si="197"/>
        <v>13119.093887501404</v>
      </c>
      <c r="G898" s="16">
        <f t="shared" si="197"/>
        <v>15297.913000337638</v>
      </c>
      <c r="H898" s="16">
        <f t="shared" si="197"/>
        <v>15297.913000337638</v>
      </c>
      <c r="I898" s="16">
        <f t="shared" si="197"/>
        <v>15297.913000337638</v>
      </c>
      <c r="J898" s="16">
        <f t="shared" si="197"/>
        <v>15297.913000337638</v>
      </c>
      <c r="K898" s="16">
        <f t="shared" si="197"/>
        <v>15297.913000337638</v>
      </c>
      <c r="L898" s="16">
        <f t="shared" si="197"/>
        <v>15297.913000337638</v>
      </c>
      <c r="M898" s="16">
        <f t="shared" si="197"/>
        <v>15297.913000337638</v>
      </c>
    </row>
    <row r="899" spans="2:13" ht="15" customHeight="1" x14ac:dyDescent="0.2">
      <c r="B899" s="10" t="s">
        <v>906</v>
      </c>
      <c r="C899" s="10" t="s">
        <v>110</v>
      </c>
      <c r="D899" s="16">
        <f>MAX(D898,Inputs!$D$6)*Inputs!$D$19</f>
        <v>632.67501043395032</v>
      </c>
      <c r="E899" s="16">
        <f>MAX(E898,Inputs!$D$6)*Inputs!$D$19</f>
        <v>2410.5547872650577</v>
      </c>
      <c r="F899" s="16">
        <f>MAX(F898,Inputs!$D$6)*Inputs!$D$19</f>
        <v>3935.7281662504211</v>
      </c>
      <c r="G899" s="16">
        <f>MAX(G898,Inputs!$D$6)*Inputs!$D$19</f>
        <v>4589.3739001012909</v>
      </c>
      <c r="H899" s="16">
        <f>MAX(H898,Inputs!$D$6)*Inputs!$D$19</f>
        <v>4589.3739001012909</v>
      </c>
      <c r="I899" s="16">
        <f>MAX(I898,Inputs!$D$6)*Inputs!$D$19</f>
        <v>4589.3739001012909</v>
      </c>
      <c r="J899" s="16">
        <f>MAX(J898,Inputs!$D$6)*Inputs!$D$19</f>
        <v>4589.3739001012909</v>
      </c>
      <c r="K899" s="16">
        <f>MAX(K898,Inputs!$D$6)*Inputs!$D$19</f>
        <v>4589.3739001012909</v>
      </c>
      <c r="L899" s="16">
        <f>MAX(L898,Inputs!$D$6)*Inputs!$D$19</f>
        <v>4589.3739001012909</v>
      </c>
      <c r="M899" s="16">
        <f>MAX(M898,Inputs!$D$6)*Inputs!$D$19</f>
        <v>4589.3739001012909</v>
      </c>
    </row>
    <row r="900" spans="2:13" ht="15" customHeight="1" x14ac:dyDescent="0.2">
      <c r="B900" s="10" t="s">
        <v>907</v>
      </c>
      <c r="C900" s="10" t="s">
        <v>110</v>
      </c>
      <c r="D900" s="16">
        <f t="shared" ref="D900:M900" si="198">D893*$D$906</f>
        <v>253.50138440754472</v>
      </c>
      <c r="E900" s="16">
        <f t="shared" si="198"/>
        <v>338.00184587672629</v>
      </c>
      <c r="F900" s="16">
        <f t="shared" si="198"/>
        <v>253.50138440754472</v>
      </c>
      <c r="G900" s="16">
        <f t="shared" si="198"/>
        <v>0</v>
      </c>
      <c r="H900" s="16">
        <f t="shared" si="198"/>
        <v>0</v>
      </c>
      <c r="I900" s="16">
        <f t="shared" si="198"/>
        <v>0</v>
      </c>
      <c r="J900" s="16">
        <f t="shared" si="198"/>
        <v>0</v>
      </c>
      <c r="K900" s="16">
        <f t="shared" si="198"/>
        <v>0</v>
      </c>
      <c r="L900" s="16">
        <f t="shared" si="198"/>
        <v>0</v>
      </c>
      <c r="M900" s="16">
        <f t="shared" si="198"/>
        <v>0</v>
      </c>
    </row>
    <row r="901" spans="2:13" ht="15" customHeight="1" x14ac:dyDescent="0.2">
      <c r="B901" s="10" t="s">
        <v>908</v>
      </c>
      <c r="C901" s="10" t="s">
        <v>110</v>
      </c>
      <c r="D901" s="16">
        <f t="shared" ref="D901:M901" si="199">D897-D899-D891-D892-D900</f>
        <v>-12521.251027608705</v>
      </c>
      <c r="E901" s="16">
        <f t="shared" si="199"/>
        <v>-8538.4677873700857</v>
      </c>
      <c r="F901" s="16">
        <f t="shared" si="199"/>
        <v>4671.9005197107845</v>
      </c>
      <c r="G901" s="16">
        <f t="shared" si="199"/>
        <v>21250.742092367156</v>
      </c>
      <c r="H901" s="16">
        <f t="shared" si="199"/>
        <v>9006.9587191260471</v>
      </c>
      <c r="I901" s="16">
        <f t="shared" si="199"/>
        <v>4046.3626451899509</v>
      </c>
      <c r="J901" s="16">
        <f t="shared" si="199"/>
        <v>9006.9587191260471</v>
      </c>
      <c r="K901" s="16">
        <f t="shared" si="199"/>
        <v>21250.742092367156</v>
      </c>
      <c r="L901" s="16">
        <f t="shared" si="199"/>
        <v>9006.9587191260471</v>
      </c>
      <c r="M901" s="16">
        <f t="shared" si="199"/>
        <v>4046.3626451899509</v>
      </c>
    </row>
    <row r="902" spans="2:13" ht="15" customHeight="1" x14ac:dyDescent="0.2">
      <c r="B902" s="10" t="s">
        <v>909</v>
      </c>
      <c r="C902" s="10" t="s">
        <v>110</v>
      </c>
      <c r="D902" s="16">
        <f>D901/(Inputs!$D$7+$D$908)^D882</f>
        <v>-11402.096374867253</v>
      </c>
      <c r="E902" s="16">
        <f>E901/(Inputs!$D$7+$D$908)^E882</f>
        <v>-6818.6002539777674</v>
      </c>
      <c r="F902" s="16">
        <f>F901/(Inputs!$D$7+$D$908)^F882</f>
        <v>3272.9771289943574</v>
      </c>
      <c r="G902" s="16">
        <f>G901/(Inputs!$D$7+$D$908)^G882</f>
        <v>13060.43320402256</v>
      </c>
      <c r="H902" s="16">
        <f>H901/(Inputs!$D$7+$D$908)^H882</f>
        <v>4856.1909136183149</v>
      </c>
      <c r="I902" s="16">
        <f>I901/(Inputs!$D$7+$D$908)^I882</f>
        <v>1913.2013709214109</v>
      </c>
      <c r="J902" s="16">
        <f>J901/(Inputs!$D$7+$D$908)^J882</f>
        <v>3736.0110394660351</v>
      </c>
      <c r="K902" s="16">
        <f>K901/(Inputs!$D$7+$D$908)^K882</f>
        <v>7732.8249140125108</v>
      </c>
      <c r="L902" s="16">
        <f>L901/(Inputs!$D$7+$D$908)^L882</f>
        <v>2875.2548630977267</v>
      </c>
      <c r="M902" s="16">
        <f>M901/(Inputs!$D$7+$D$908)^M882</f>
        <v>1132.7687983601759</v>
      </c>
    </row>
    <row r="903" spans="2:13" ht="15" customHeight="1" x14ac:dyDescent="0.2">
      <c r="B903" s="3" t="s">
        <v>910</v>
      </c>
      <c r="C903" s="10" t="s">
        <v>896</v>
      </c>
      <c r="D903" s="28">
        <f>(D889*$D$907-D893)/(Inputs!$D$7+$D$908)^D882</f>
        <v>85.582136563235466</v>
      </c>
      <c r="E903" s="28">
        <f>(E889*$D$907-E893)/(Inputs!$D$7+$D$908)^E882</f>
        <v>298.78654444295387</v>
      </c>
      <c r="F903" s="28">
        <f>(F889*$D$907-F893)/(Inputs!$D$7+$D$908)^F882</f>
        <v>433.3091550122395</v>
      </c>
      <c r="G903" s="28">
        <f>(G889*$D$907-G893)/(Inputs!$D$7+$D$908)^G882</f>
        <v>447.91112130199338</v>
      </c>
      <c r="H903" s="28">
        <f>(H889*$D$907-H893)/(Inputs!$D$7+$D$908)^H882</f>
        <v>392.93973118025337</v>
      </c>
      <c r="I903" s="28">
        <f>(I889*$D$907-I893)/(Inputs!$D$7+$D$908)^I882</f>
        <v>344.59124932487828</v>
      </c>
      <c r="J903" s="28">
        <f>(J889*$D$907-J893)/(Inputs!$D$7+$D$908)^J882</f>
        <v>302.3001359805325</v>
      </c>
      <c r="K903" s="28">
        <f>(K889*$D$907-K893)/(Inputs!$D$7+$D$908)^K882</f>
        <v>265.19934093767688</v>
      </c>
      <c r="L903" s="28">
        <f>(L889*$D$907-L893)/(Inputs!$D$7+$D$908)^L882</f>
        <v>232.65186502697219</v>
      </c>
      <c r="M903" s="28">
        <f>(M889*$D$907-M893)/(Inputs!$D$7+$D$908)^M882</f>
        <v>204.02568247961406</v>
      </c>
    </row>
    <row r="904" spans="2:13" ht="15" customHeight="1" x14ac:dyDescent="0.2">
      <c r="B904" s="10" t="s">
        <v>911</v>
      </c>
      <c r="C904" s="10" t="s">
        <v>110</v>
      </c>
      <c r="D904" s="16">
        <f>(-D891-D892)/(Inputs!$D$7+$D$908)^D882</f>
        <v>-14170.122737893587</v>
      </c>
      <c r="E904" s="16">
        <f>(-E891-E892)/(Inputs!$D$7+$D$908)^E882</f>
        <v>-16568.784506031301</v>
      </c>
      <c r="F904" s="16">
        <f>(-F891-F892)/(Inputs!$D$7+$D$908)^F882</f>
        <v>-10901.493767656277</v>
      </c>
      <c r="G904" s="16">
        <f>(-G891-G892)/(Inputs!$D$7+$D$908)^G882</f>
        <v>-1621.2839046676961</v>
      </c>
      <c r="H904" s="16">
        <f>(-H891-H892)/(Inputs!$D$7+$D$908)^H882</f>
        <v>-8023.6633690433682</v>
      </c>
      <c r="I904" s="16">
        <f>(-I891-I892)/(Inputs!$D$7+$D$908)^I882</f>
        <v>-9381.8770500204446</v>
      </c>
      <c r="J904" s="16">
        <f>(-J891-J892)/(Inputs!$D$7+$D$908)^J882</f>
        <v>-6172.8411129063252</v>
      </c>
      <c r="K904" s="16">
        <f>(-K891-K892)/(Inputs!$D$7+$D$908)^K882</f>
        <v>-959.93022397147342</v>
      </c>
      <c r="L904" s="16">
        <f>(-L891-L892)/(Inputs!$D$7+$D$908)^L882</f>
        <v>-4750.6528330682277</v>
      </c>
      <c r="M904" s="16">
        <f>(-M891-M892)/(Inputs!$D$7+$D$908)^M882</f>
        <v>-5554.82436602912</v>
      </c>
    </row>
    <row r="905" spans="2:13" ht="15" customHeight="1" x14ac:dyDescent="0.2">
      <c r="B905" s="10" t="s">
        <v>912</v>
      </c>
      <c r="C905" s="10" t="s">
        <v>110</v>
      </c>
      <c r="D905" s="16">
        <f>Prices!I6</f>
        <v>43700</v>
      </c>
    </row>
    <row r="906" spans="2:13" ht="15" customHeight="1" x14ac:dyDescent="0.2">
      <c r="B906" s="3" t="s">
        <v>913</v>
      </c>
      <c r="C906" s="10" t="s">
        <v>914</v>
      </c>
      <c r="D906" s="28">
        <f>IF(J913&gt;=J909,J913,(D905-J912)/J911)</f>
        <v>39.075357904823846</v>
      </c>
      <c r="G906" s="99" t="s">
        <v>915</v>
      </c>
      <c r="H906" s="91"/>
      <c r="I906" s="91"/>
      <c r="J906" s="28">
        <f>D906*Inputs!$D$15</f>
        <v>27.270692281776562</v>
      </c>
      <c r="K906" s="99" t="s">
        <v>916</v>
      </c>
      <c r="L906" s="91"/>
      <c r="M906" s="91"/>
    </row>
    <row r="907" spans="2:13" ht="15" customHeight="1" x14ac:dyDescent="0.2">
      <c r="B907" s="10" t="s">
        <v>917</v>
      </c>
      <c r="C907" s="10" t="s">
        <v>104</v>
      </c>
      <c r="D907" s="30">
        <f>Inputs!$D$144</f>
        <v>0.8</v>
      </c>
      <c r="G907" s="99" t="s">
        <v>918</v>
      </c>
      <c r="H907" s="91"/>
      <c r="I907" s="91"/>
      <c r="J907" s="28">
        <f>IF(-D918/D917&gt;=J909,-D918/D917,-J912/J911)</f>
        <v>26.113601269848285</v>
      </c>
      <c r="K907" s="99" t="s">
        <v>919</v>
      </c>
      <c r="L907" s="91"/>
      <c r="M907" s="91"/>
    </row>
    <row r="908" spans="2:13" ht="15" customHeight="1" x14ac:dyDescent="0.2">
      <c r="B908" s="10" t="s">
        <v>920</v>
      </c>
      <c r="C908" s="10" t="s">
        <v>104</v>
      </c>
      <c r="D908" s="30">
        <f>Inputs!$D$149</f>
        <v>0.14000000000000001</v>
      </c>
      <c r="G908" s="99" t="s">
        <v>918</v>
      </c>
      <c r="H908" s="91"/>
      <c r="I908" s="91"/>
      <c r="J908" s="28">
        <f>J907*Inputs!$D$15</f>
        <v>18.224682326227118</v>
      </c>
      <c r="K908" s="99" t="s">
        <v>916</v>
      </c>
      <c r="L908" s="91"/>
      <c r="M908" s="91"/>
    </row>
    <row r="909" spans="2:13" ht="15" customHeight="1" x14ac:dyDescent="0.2">
      <c r="B909" s="3" t="s">
        <v>921</v>
      </c>
      <c r="C909" s="10" t="s">
        <v>848</v>
      </c>
      <c r="D909" s="28">
        <f>Capital!$D$13</f>
        <v>57.347931490590682</v>
      </c>
      <c r="G909" s="99" t="s">
        <v>922</v>
      </c>
      <c r="H909" s="91"/>
      <c r="I909" s="91"/>
      <c r="J909" s="28">
        <f>($D$909/Inputs!$D$21+$D$910/Inputs!$D$22)/$D$907</f>
        <v>18.084807684821598</v>
      </c>
      <c r="K909" s="99" t="s">
        <v>919</v>
      </c>
      <c r="L909" s="91"/>
      <c r="M909" s="91"/>
    </row>
    <row r="910" spans="2:13" ht="15" customHeight="1" x14ac:dyDescent="0.2">
      <c r="B910" s="3" t="s">
        <v>923</v>
      </c>
      <c r="C910" s="10" t="s">
        <v>848</v>
      </c>
      <c r="D910" s="28">
        <f>Capital!$D$14</f>
        <v>2.6172655041921802</v>
      </c>
    </row>
    <row r="911" spans="2:13" ht="15" customHeight="1" x14ac:dyDescent="0.2">
      <c r="B911" s="10" t="s">
        <v>924</v>
      </c>
      <c r="C911" s="10" t="s">
        <v>896</v>
      </c>
      <c r="D911" s="28">
        <f>(M884*(Inputs!$D$7+Inputs!$D$20)*$D$907*(Inputs!$D$7-Inputs!$D$19)-M884*Inputs!$D$20*Inputs!$D$23)/($D$908-Inputs!$D$20)/(Inputs!$D$7+$D$908)^M882</f>
        <v>1271.5568009972683</v>
      </c>
      <c r="G911" s="92" t="s">
        <v>910</v>
      </c>
      <c r="H911" s="91"/>
      <c r="I911" s="91"/>
      <c r="J911" s="28">
        <f>SUM(D903:M903)+(M884*(Inputs!$D$7+Inputs!$D$20)*$D$907-M884*Inputs!$D$20*Inputs!$D$23)/($D$908-Inputs!$D$20)/(Inputs!$D$7+$D$908)^M882</f>
        <v>4824.400696834412</v>
      </c>
      <c r="K911" s="99" t="s">
        <v>896</v>
      </c>
      <c r="L911" s="91"/>
      <c r="M911" s="91"/>
    </row>
    <row r="912" spans="2:13" ht="15" customHeight="1" x14ac:dyDescent="0.2">
      <c r="B912" s="10" t="s">
        <v>925</v>
      </c>
      <c r="C912" s="10" t="s">
        <v>110</v>
      </c>
      <c r="D912" s="16">
        <f>(D915*Inputs!$D$19-D915-D916)/($D$908-Inputs!$D$20)/(Inputs!$D$7+$D$908)^M882</f>
        <v>-26345.502698929216</v>
      </c>
      <c r="G912" s="92" t="s">
        <v>926</v>
      </c>
      <c r="H912" s="91"/>
      <c r="I912" s="91"/>
      <c r="J912" s="16">
        <f>SUM(D904:M904)-(D915+D916)/($D$908-Inputs!$D$20)/(Inputs!$D$7+$D$908)^M882</f>
        <v>-114317.08794717836</v>
      </c>
      <c r="K912" s="99" t="s">
        <v>110</v>
      </c>
      <c r="L912" s="91"/>
      <c r="M912" s="91"/>
    </row>
    <row r="913" spans="1:13" ht="15" customHeight="1" x14ac:dyDescent="0.2">
      <c r="B913" s="10" t="s">
        <v>927</v>
      </c>
      <c r="C913" s="10" t="s">
        <v>928</v>
      </c>
      <c r="D913" s="16">
        <f>(M884*(Inputs!$D$7+Inputs!$D$20)*$D$906*$D$907-D915)-MAX((M884*(Inputs!$D$7+Inputs!$D$20)*$D$906*$D$907-D915),Inputs!$D$6)*Inputs!$D$19-D916-M884*Inputs!$D$20*$D$906*Inputs!$D$23</f>
        <v>9588.2966842790138</v>
      </c>
      <c r="G913" s="99" t="s">
        <v>929</v>
      </c>
      <c r="H913" s="91"/>
      <c r="I913" s="91"/>
      <c r="J913" s="28">
        <f>(D905-D918)/D917</f>
        <v>39.075357904823846</v>
      </c>
      <c r="K913" s="99" t="s">
        <v>919</v>
      </c>
      <c r="L913" s="91"/>
      <c r="M913" s="91"/>
    </row>
    <row r="914" spans="1:13" ht="15" customHeight="1" x14ac:dyDescent="0.2">
      <c r="B914" s="10" t="s">
        <v>930</v>
      </c>
      <c r="C914" s="10" t="s">
        <v>110</v>
      </c>
      <c r="D914" s="16">
        <f>D913/($D$908-Inputs!$D$20)</f>
        <v>83376.492906774016</v>
      </c>
      <c r="G914" s="99" t="s">
        <v>931</v>
      </c>
      <c r="H914" s="91"/>
      <c r="I914" s="91"/>
      <c r="J914" s="16">
        <f>MIN(D898:M898,(M884*(Inputs!$D$7+Inputs!$D$20)*$D$906*$D$907-D915))</f>
        <v>2108.9167014465011</v>
      </c>
      <c r="K914" s="99" t="s">
        <v>110</v>
      </c>
      <c r="L914" s="91"/>
      <c r="M914" s="91"/>
    </row>
    <row r="915" spans="1:13" ht="15" customHeight="1" x14ac:dyDescent="0.2">
      <c r="B915" s="10" t="s">
        <v>932</v>
      </c>
      <c r="C915" s="10" t="s">
        <v>928</v>
      </c>
      <c r="D915" s="16">
        <f>M884*(Inputs!$D$7+Inputs!$D$20)*($D$909/Inputs!$D$21+$D$910/Inputs!$D$22)</f>
        <v>13509.71303671543</v>
      </c>
      <c r="G915" s="99" t="s">
        <v>933</v>
      </c>
      <c r="H915" s="91"/>
      <c r="I915" s="91"/>
      <c r="J915" s="31" t="str">
        <f>IF(J914&lt;Inputs!$D$6,"breached","satisfied")</f>
        <v>satisfied</v>
      </c>
      <c r="K915" s="99" t="s">
        <v>934</v>
      </c>
      <c r="L915" s="91"/>
      <c r="M915" s="91"/>
    </row>
    <row r="916" spans="1:13" ht="15" customHeight="1" x14ac:dyDescent="0.2">
      <c r="B916" s="10" t="s">
        <v>935</v>
      </c>
      <c r="C916" s="10" t="s">
        <v>928</v>
      </c>
      <c r="D916" s="16">
        <f>M884*Inputs!$D$20*($D$909+$D$910)</f>
        <v>1365.7073615561799</v>
      </c>
    </row>
    <row r="917" spans="1:13" ht="15" customHeight="1" x14ac:dyDescent="0.2">
      <c r="B917" s="10" t="s">
        <v>936</v>
      </c>
      <c r="C917" s="10" t="s">
        <v>896</v>
      </c>
      <c r="D917" s="28">
        <f>SUM(D894:M894)+D911</f>
        <v>3371.4566035039898</v>
      </c>
      <c r="G917" s="99" t="s">
        <v>937</v>
      </c>
      <c r="H917" s="91"/>
      <c r="I917" s="91"/>
      <c r="J917" s="16">
        <f>D919-D905</f>
        <v>0</v>
      </c>
      <c r="K917" s="99" t="s">
        <v>110</v>
      </c>
      <c r="L917" s="91"/>
      <c r="M917" s="91"/>
    </row>
    <row r="918" spans="1:13" ht="15" customHeight="1" x14ac:dyDescent="0.2">
      <c r="B918" s="10" t="s">
        <v>938</v>
      </c>
      <c r="C918" s="10" t="s">
        <v>110</v>
      </c>
      <c r="D918" s="16">
        <f>SUM(D895:M895)+D912</f>
        <v>-88040.873442500175</v>
      </c>
    </row>
    <row r="919" spans="1:13" ht="15" customHeight="1" x14ac:dyDescent="0.2">
      <c r="B919" s="10" t="s">
        <v>939</v>
      </c>
      <c r="C919" s="10" t="s">
        <v>110</v>
      </c>
      <c r="D919" s="16">
        <f>SUM(D902:M902)+D914/(Inputs!$D$7+$D$908)^M882</f>
        <v>43699.999999999971</v>
      </c>
    </row>
    <row r="920" spans="1:13" ht="15" customHeight="1" x14ac:dyDescent="0.2">
      <c r="B920" s="10" t="s">
        <v>940</v>
      </c>
      <c r="C920" s="10" t="s">
        <v>104</v>
      </c>
      <c r="D920" s="30">
        <f>IF(ABS(D905)&gt;Inputs!$D$6,D919/D905-Inputs!$D$7,Inputs!$D$6)</f>
        <v>-6.6613381477509392E-16</v>
      </c>
    </row>
    <row r="921" spans="1:13" ht="15" customHeight="1" x14ac:dyDescent="0.2">
      <c r="B921" s="10" t="s">
        <v>941</v>
      </c>
      <c r="C921" s="10" t="s">
        <v>104</v>
      </c>
      <c r="D921" s="30">
        <f>IF(ABS(D919)&gt;Inputs!$D$119,D914/(Inputs!$D$7+$D$908)^M882/D919,Inputs!$D$6)</f>
        <v>0.534119780236886</v>
      </c>
    </row>
    <row r="922" spans="1:13" ht="15" customHeight="1" x14ac:dyDescent="0.2">
      <c r="B922" s="10" t="s">
        <v>942</v>
      </c>
      <c r="C922" s="10" t="s">
        <v>943</v>
      </c>
      <c r="D922" s="26">
        <f>$D$906*Inputs!$D$8/Prices!$P$6/(Inputs!$D$26/Inputs!$D$25)/Inputs!$D$11/Inputs!$D$56</f>
        <v>7.1059725272645897</v>
      </c>
    </row>
    <row r="926" spans="1:13" ht="15" customHeight="1" x14ac:dyDescent="0.2">
      <c r="A926" s="104" t="s">
        <v>2185</v>
      </c>
      <c r="B926" s="10" t="s">
        <v>886</v>
      </c>
      <c r="C926" s="10" t="s">
        <v>107</v>
      </c>
      <c r="D926" s="28">
        <f>Inputs!$D$60</f>
        <v>1</v>
      </c>
      <c r="E926" s="28">
        <f>Inputs!$D$62</f>
        <v>2</v>
      </c>
      <c r="F926" s="28">
        <f>Inputs!$D$64</f>
        <v>3</v>
      </c>
      <c r="G926" s="28">
        <f>Inputs!$D$66</f>
        <v>4</v>
      </c>
      <c r="H926" s="28">
        <f>Inputs!$D$68</f>
        <v>5</v>
      </c>
      <c r="I926" s="28">
        <f>Inputs!$D$70</f>
        <v>6</v>
      </c>
      <c r="J926" s="28">
        <f>Inputs!$D$72</f>
        <v>7</v>
      </c>
      <c r="K926" s="28">
        <f>Inputs!$D$74</f>
        <v>8</v>
      </c>
      <c r="L926" s="28">
        <f>Inputs!$D$76</f>
        <v>9</v>
      </c>
      <c r="M926" s="28">
        <f>Inputs!$D$78</f>
        <v>10</v>
      </c>
    </row>
    <row r="927" spans="1:13" ht="15" customHeight="1" x14ac:dyDescent="0.2">
      <c r="A927" s="91"/>
      <c r="B927" s="10" t="s">
        <v>887</v>
      </c>
      <c r="C927" s="10" t="s">
        <v>161</v>
      </c>
      <c r="D927" s="29">
        <f>Inputs!$D$61</f>
        <v>46568</v>
      </c>
      <c r="E927" s="29">
        <f>Inputs!$D$63</f>
        <v>46934</v>
      </c>
      <c r="F927" s="29">
        <f>Inputs!$D$65</f>
        <v>47299</v>
      </c>
      <c r="G927" s="29">
        <f>Inputs!$D$67</f>
        <v>47664</v>
      </c>
      <c r="H927" s="29">
        <f>Inputs!$D$69</f>
        <v>48029</v>
      </c>
      <c r="I927" s="29">
        <f>Inputs!$D$71</f>
        <v>48395</v>
      </c>
      <c r="J927" s="29">
        <f>Inputs!$D$73</f>
        <v>48760</v>
      </c>
      <c r="K927" s="29">
        <f>Inputs!$D$75</f>
        <v>49125</v>
      </c>
      <c r="L927" s="29">
        <f>Inputs!$D$77</f>
        <v>49490</v>
      </c>
      <c r="M927" s="29">
        <f>Inputs!$D$79</f>
        <v>49856</v>
      </c>
    </row>
    <row r="928" spans="1:13" ht="15" customHeight="1" x14ac:dyDescent="0.2">
      <c r="A928" s="91"/>
      <c r="B928" s="10" t="s">
        <v>888</v>
      </c>
      <c r="C928" s="10" t="s">
        <v>107</v>
      </c>
      <c r="D928" s="28">
        <f>(D927-Inputs!$D$13)/Inputs!$D$10</f>
        <v>0.71457905544147848</v>
      </c>
      <c r="E928" s="28">
        <f>(E927-Inputs!$D$13)/Inputs!$D$10</f>
        <v>1.7166324435318274</v>
      </c>
      <c r="F928" s="28">
        <f>(F927-Inputs!$D$13)/Inputs!$D$10</f>
        <v>2.7159479808350446</v>
      </c>
      <c r="G928" s="28">
        <f>(G927-Inputs!$D$13)/Inputs!$D$10</f>
        <v>3.7152635181382614</v>
      </c>
      <c r="H928" s="28">
        <f>(H927-Inputs!$D$13)/Inputs!$D$10</f>
        <v>4.7145790554414786</v>
      </c>
      <c r="I928" s="28">
        <f>(I927-Inputs!$D$13)/Inputs!$D$10</f>
        <v>5.7166324435318279</v>
      </c>
      <c r="J928" s="28">
        <f>(J927-Inputs!$D$13)/Inputs!$D$10</f>
        <v>6.7159479808350442</v>
      </c>
      <c r="K928" s="28">
        <f>(K927-Inputs!$D$13)/Inputs!$D$10</f>
        <v>7.7152635181382614</v>
      </c>
      <c r="L928" s="28">
        <f>(L927-Inputs!$D$13)/Inputs!$D$10</f>
        <v>8.7145790554414777</v>
      </c>
      <c r="M928" s="28">
        <f>(M927-Inputs!$D$13)/Inputs!$D$10</f>
        <v>9.716632443531827</v>
      </c>
    </row>
    <row r="929" spans="1:13" ht="15" customHeight="1" x14ac:dyDescent="0.2">
      <c r="A929" s="91"/>
      <c r="B929" s="10" t="s">
        <v>889</v>
      </c>
      <c r="C929" s="10" t="s">
        <v>107</v>
      </c>
      <c r="D929" s="28">
        <f>D928</f>
        <v>0.71457905544147848</v>
      </c>
      <c r="E929" s="28">
        <f>Inputs!$D$7</f>
        <v>1</v>
      </c>
      <c r="F929" s="28">
        <f>Inputs!$D$7</f>
        <v>1</v>
      </c>
      <c r="G929" s="28">
        <f>Inputs!$D$7</f>
        <v>1</v>
      </c>
      <c r="H929" s="28">
        <f>Inputs!$D$7</f>
        <v>1</v>
      </c>
      <c r="I929" s="28">
        <f>Inputs!$D$7</f>
        <v>1</v>
      </c>
      <c r="J929" s="28">
        <f>Inputs!$D$7</f>
        <v>1</v>
      </c>
      <c r="K929" s="28">
        <f>Inputs!$D$7</f>
        <v>1</v>
      </c>
      <c r="L929" s="28">
        <f>Inputs!$D$7</f>
        <v>1</v>
      </c>
      <c r="M929" s="28">
        <f>Inputs!$D$7</f>
        <v>1</v>
      </c>
    </row>
    <row r="930" spans="1:13" ht="15" customHeight="1" x14ac:dyDescent="0.2">
      <c r="A930" s="91"/>
      <c r="B930" s="3" t="s">
        <v>890</v>
      </c>
      <c r="C930" s="10" t="s">
        <v>199</v>
      </c>
      <c r="D930" s="28">
        <f>Inputs!$D$24+(Inputs!$D$80-Inputs!$D$24)*Inputs!$D$83</f>
        <v>305.5</v>
      </c>
      <c r="E930" s="28">
        <f>Inputs!$D$24+(Inputs!$D$80-Inputs!$D$24)*Inputs!$D$84</f>
        <v>651.5</v>
      </c>
      <c r="F930" s="28">
        <f>Inputs!$D$24+(Inputs!$D$80-Inputs!$D$24)*Inputs!$D$85</f>
        <v>911</v>
      </c>
      <c r="G930" s="28">
        <f>Inputs!$D$24+(Inputs!$D$80-Inputs!$D$24)*Inputs!$D$86</f>
        <v>911</v>
      </c>
      <c r="H930" s="28">
        <f>Inputs!$D$24+(Inputs!$D$80-Inputs!$D$24)*Inputs!$D$87</f>
        <v>911</v>
      </c>
      <c r="I930" s="28">
        <f>Inputs!$D$24+(Inputs!$D$80-Inputs!$D$24)*Inputs!$D$88</f>
        <v>911</v>
      </c>
      <c r="J930" s="28">
        <f>Inputs!$D$24+(Inputs!$D$80-Inputs!$D$24)*Inputs!$D$89</f>
        <v>911</v>
      </c>
      <c r="K930" s="28">
        <f>Inputs!$D$24+(Inputs!$D$80-Inputs!$D$24)*Inputs!$D$90</f>
        <v>911</v>
      </c>
      <c r="L930" s="28">
        <f>Inputs!$D$24+(Inputs!$D$80-Inputs!$D$24)*Inputs!$D$91</f>
        <v>911</v>
      </c>
      <c r="M930" s="28">
        <f>Inputs!$D$24+(Inputs!$D$80-Inputs!$D$24)*Inputs!$D$92</f>
        <v>911</v>
      </c>
    </row>
    <row r="931" spans="1:13" ht="15" customHeight="1" x14ac:dyDescent="0.2">
      <c r="A931" s="91"/>
      <c r="B931" s="10" t="s">
        <v>891</v>
      </c>
      <c r="C931" s="10" t="s">
        <v>199</v>
      </c>
      <c r="D931" s="28">
        <f>Inputs!$D$24</f>
        <v>46</v>
      </c>
      <c r="E931" s="28">
        <f t="shared" ref="E931:M931" si="200">D930</f>
        <v>305.5</v>
      </c>
      <c r="F931" s="28">
        <f t="shared" si="200"/>
        <v>651.5</v>
      </c>
      <c r="G931" s="28">
        <f t="shared" si="200"/>
        <v>911</v>
      </c>
      <c r="H931" s="28">
        <f t="shared" si="200"/>
        <v>911</v>
      </c>
      <c r="I931" s="28">
        <f t="shared" si="200"/>
        <v>911</v>
      </c>
      <c r="J931" s="28">
        <f t="shared" si="200"/>
        <v>911</v>
      </c>
      <c r="K931" s="28">
        <f t="shared" si="200"/>
        <v>911</v>
      </c>
      <c r="L931" s="28">
        <f t="shared" si="200"/>
        <v>911</v>
      </c>
      <c r="M931" s="28">
        <f t="shared" si="200"/>
        <v>911</v>
      </c>
    </row>
    <row r="932" spans="1:13" ht="15" customHeight="1" x14ac:dyDescent="0.2">
      <c r="B932" s="10" t="s">
        <v>892</v>
      </c>
      <c r="C932" s="10" t="s">
        <v>199</v>
      </c>
      <c r="D932" s="28">
        <f>(D931+D930)*Inputs!$D$12</f>
        <v>175.75</v>
      </c>
      <c r="E932" s="28">
        <f>(E931+E930)*Inputs!$D$12</f>
        <v>478.5</v>
      </c>
      <c r="F932" s="28">
        <f>(F931+F930)*Inputs!$D$12</f>
        <v>781.25</v>
      </c>
      <c r="G932" s="28">
        <f>(G931+G930)*Inputs!$D$12</f>
        <v>911</v>
      </c>
      <c r="H932" s="28">
        <f>(H931+H930)*Inputs!$D$12</f>
        <v>911</v>
      </c>
      <c r="I932" s="28">
        <f>(I931+I930)*Inputs!$D$12</f>
        <v>911</v>
      </c>
      <c r="J932" s="28">
        <f>(J931+J930)*Inputs!$D$12</f>
        <v>911</v>
      </c>
      <c r="K932" s="28">
        <f>(K931+K930)*Inputs!$D$12</f>
        <v>911</v>
      </c>
      <c r="L932" s="28">
        <f>(L931+L930)*Inputs!$D$12</f>
        <v>911</v>
      </c>
      <c r="M932" s="28">
        <f>(M931+M930)*Inputs!$D$12</f>
        <v>911</v>
      </c>
    </row>
    <row r="933" spans="1:13" ht="15" customHeight="1" x14ac:dyDescent="0.2">
      <c r="B933" s="10" t="s">
        <v>893</v>
      </c>
      <c r="C933" s="10" t="s">
        <v>199</v>
      </c>
      <c r="D933" s="28">
        <f t="shared" ref="D933:M933" si="201">D930-D931</f>
        <v>259.5</v>
      </c>
      <c r="E933" s="28">
        <f t="shared" si="201"/>
        <v>346</v>
      </c>
      <c r="F933" s="28">
        <f t="shared" si="201"/>
        <v>259.5</v>
      </c>
      <c r="G933" s="28">
        <f t="shared" si="201"/>
        <v>0</v>
      </c>
      <c r="H933" s="28">
        <f t="shared" si="201"/>
        <v>0</v>
      </c>
      <c r="I933" s="28">
        <f t="shared" si="201"/>
        <v>0</v>
      </c>
      <c r="J933" s="28">
        <f t="shared" si="201"/>
        <v>0</v>
      </c>
      <c r="K933" s="28">
        <f t="shared" si="201"/>
        <v>0</v>
      </c>
      <c r="L933" s="28">
        <f t="shared" si="201"/>
        <v>0</v>
      </c>
      <c r="M933" s="28">
        <f t="shared" si="201"/>
        <v>0</v>
      </c>
    </row>
    <row r="934" spans="1:13" ht="15" customHeight="1" x14ac:dyDescent="0.2">
      <c r="B934" s="10" t="s">
        <v>894</v>
      </c>
      <c r="C934" s="10" t="s">
        <v>199</v>
      </c>
      <c r="D934" s="28">
        <f>IF(MOD(D926,Inputs!$D$21)=Inputs!$D$6,Inputs!$D$24,Inputs!$D$6)+SUMPRODUCT(--(D926&gt;$D$926:$M$926),--(MOD(D926-$D$926:$M$926,Inputs!$D$21)=Inputs!$D$6),$D$933:$M$933)</f>
        <v>0</v>
      </c>
      <c r="E934" s="28">
        <f>IF(MOD(E926,Inputs!$D$21)=Inputs!$D$6,Inputs!$D$24,Inputs!$D$6)+SUMPRODUCT(--(E926&gt;$D$926:$M$926),--(MOD(E926-$D$926:$M$926,Inputs!$D$21)=Inputs!$D$6),$D$933:$M$933)</f>
        <v>0</v>
      </c>
      <c r="F934" s="28">
        <f>IF(MOD(F926,Inputs!$D$21)=Inputs!$D$6,Inputs!$D$24,Inputs!$D$6)+SUMPRODUCT(--(F926&gt;$D$926:$M$926),--(MOD(F926-$D$926:$M$926,Inputs!$D$21)=Inputs!$D$6),$D$933:$M$933)</f>
        <v>0</v>
      </c>
      <c r="G934" s="28">
        <f>IF(MOD(G926,Inputs!$D$21)=Inputs!$D$6,Inputs!$D$24,Inputs!$D$6)+SUMPRODUCT(--(G926&gt;$D$926:$M$926),--(MOD(G926-$D$926:$M$926,Inputs!$D$21)=Inputs!$D$6),$D$933:$M$933)</f>
        <v>46</v>
      </c>
      <c r="H934" s="28">
        <f>IF(MOD(H926,Inputs!$D$21)=Inputs!$D$6,Inputs!$D$24,Inputs!$D$6)+SUMPRODUCT(--(H926&gt;$D$926:$M$926),--(MOD(H926-$D$926:$M$926,Inputs!$D$21)=Inputs!$D$6),$D$933:$M$933)</f>
        <v>259.5</v>
      </c>
      <c r="I934" s="28">
        <f>IF(MOD(I926,Inputs!$D$21)=Inputs!$D$6,Inputs!$D$24,Inputs!$D$6)+SUMPRODUCT(--(I926&gt;$D$926:$M$926),--(MOD(I926-$D$926:$M$926,Inputs!$D$21)=Inputs!$D$6),$D$933:$M$933)</f>
        <v>346</v>
      </c>
      <c r="J934" s="28">
        <f>IF(MOD(J926,Inputs!$D$21)=Inputs!$D$6,Inputs!$D$24,Inputs!$D$6)+SUMPRODUCT(--(J926&gt;$D$926:$M$926),--(MOD(J926-$D$926:$M$926,Inputs!$D$21)=Inputs!$D$6),$D$933:$M$933)</f>
        <v>259.5</v>
      </c>
      <c r="K934" s="28">
        <f>IF(MOD(K926,Inputs!$D$21)=Inputs!$D$6,Inputs!$D$24,Inputs!$D$6)+SUMPRODUCT(--(K926&gt;$D$926:$M$926),--(MOD(K926-$D$926:$M$926,Inputs!$D$21)=Inputs!$D$6),$D$933:$M$933)</f>
        <v>46</v>
      </c>
      <c r="L934" s="28">
        <f>IF(MOD(L926,Inputs!$D$21)=Inputs!$D$6,Inputs!$D$24,Inputs!$D$6)+SUMPRODUCT(--(L926&gt;$D$926:$M$926),--(MOD(L926-$D$926:$M$926,Inputs!$D$21)=Inputs!$D$6),$D$933:$M$933)</f>
        <v>259.5</v>
      </c>
      <c r="M934" s="28">
        <f>IF(MOD(M926,Inputs!$D$21)=Inputs!$D$6,Inputs!$D$24,Inputs!$D$6)+SUMPRODUCT(--(M926&gt;$D$926:$M$926),--(MOD(M926-$D$926:$M$926,Inputs!$D$21)=Inputs!$D$6),$D$933:$M$933)</f>
        <v>346</v>
      </c>
    </row>
    <row r="935" spans="1:13" ht="15" customHeight="1" x14ac:dyDescent="0.2">
      <c r="B935" s="10" t="s">
        <v>895</v>
      </c>
      <c r="C935" s="10" t="s">
        <v>896</v>
      </c>
      <c r="D935" s="28">
        <f t="shared" ref="D935:M935" si="202">D932*D929</f>
        <v>125.58726899383984</v>
      </c>
      <c r="E935" s="28">
        <f t="shared" si="202"/>
        <v>478.5</v>
      </c>
      <c r="F935" s="28">
        <f t="shared" si="202"/>
        <v>781.25</v>
      </c>
      <c r="G935" s="28">
        <f t="shared" si="202"/>
        <v>911</v>
      </c>
      <c r="H935" s="28">
        <f t="shared" si="202"/>
        <v>911</v>
      </c>
      <c r="I935" s="28">
        <f t="shared" si="202"/>
        <v>911</v>
      </c>
      <c r="J935" s="28">
        <f t="shared" si="202"/>
        <v>911</v>
      </c>
      <c r="K935" s="28">
        <f t="shared" si="202"/>
        <v>911</v>
      </c>
      <c r="L935" s="28">
        <f t="shared" si="202"/>
        <v>911</v>
      </c>
      <c r="M935" s="28">
        <f t="shared" si="202"/>
        <v>911</v>
      </c>
    </row>
    <row r="936" spans="1:13" ht="15" customHeight="1" x14ac:dyDescent="0.2">
      <c r="B936" s="10" t="s">
        <v>897</v>
      </c>
      <c r="C936" s="10" t="s">
        <v>110</v>
      </c>
      <c r="D936" s="16">
        <f>D935*($D$955/Inputs!$D$21+$D$956/Inputs!$D$22)</f>
        <v>1816.9772859324419</v>
      </c>
      <c r="E936" s="16">
        <f>E935*($D$955/Inputs!$D$21+$D$956/Inputs!$D$22)</f>
        <v>6922.8643817497086</v>
      </c>
      <c r="F936" s="16">
        <f>F935*($D$955/Inputs!$D$21+$D$956/Inputs!$D$22)</f>
        <v>11303.0048030135</v>
      </c>
      <c r="G936" s="16">
        <f>G935*($D$955/Inputs!$D$21+$D$956/Inputs!$D$22)</f>
        <v>13180.207840697982</v>
      </c>
      <c r="H936" s="16">
        <f>H935*($D$955/Inputs!$D$21+$D$956/Inputs!$D$22)</f>
        <v>13180.207840697982</v>
      </c>
      <c r="I936" s="16">
        <f>I935*($D$955/Inputs!$D$21+$D$956/Inputs!$D$22)</f>
        <v>13180.207840697982</v>
      </c>
      <c r="J936" s="16">
        <f>J935*($D$955/Inputs!$D$21+$D$956/Inputs!$D$22)</f>
        <v>13180.207840697982</v>
      </c>
      <c r="K936" s="16">
        <f>K935*($D$955/Inputs!$D$21+$D$956/Inputs!$D$22)</f>
        <v>13180.207840697982</v>
      </c>
      <c r="L936" s="16">
        <f>L935*($D$955/Inputs!$D$21+$D$956/Inputs!$D$22)</f>
        <v>13180.207840697982</v>
      </c>
      <c r="M936" s="16">
        <f>M935*($D$955/Inputs!$D$21+$D$956/Inputs!$D$22)</f>
        <v>13180.207840697982</v>
      </c>
    </row>
    <row r="937" spans="1:13" ht="15" customHeight="1" x14ac:dyDescent="0.2">
      <c r="B937" s="10" t="s">
        <v>898</v>
      </c>
      <c r="C937" s="10" t="s">
        <v>110</v>
      </c>
      <c r="D937" s="16">
        <f t="shared" ref="D937:M937" si="203">D933*($D$955+$D$956)</f>
        <v>15560.968620146154</v>
      </c>
      <c r="E937" s="16">
        <f t="shared" si="203"/>
        <v>20747.95816019487</v>
      </c>
      <c r="F937" s="16">
        <f t="shared" si="203"/>
        <v>15560.968620146154</v>
      </c>
      <c r="G937" s="16">
        <f t="shared" si="203"/>
        <v>0</v>
      </c>
      <c r="H937" s="16">
        <f t="shared" si="203"/>
        <v>0</v>
      </c>
      <c r="I937" s="16">
        <f t="shared" si="203"/>
        <v>0</v>
      </c>
      <c r="J937" s="16">
        <f t="shared" si="203"/>
        <v>0</v>
      </c>
      <c r="K937" s="16">
        <f t="shared" si="203"/>
        <v>0</v>
      </c>
      <c r="L937" s="16">
        <f t="shared" si="203"/>
        <v>0</v>
      </c>
      <c r="M937" s="16">
        <f t="shared" si="203"/>
        <v>0</v>
      </c>
    </row>
    <row r="938" spans="1:13" ht="15" customHeight="1" x14ac:dyDescent="0.2">
      <c r="B938" s="10" t="s">
        <v>899</v>
      </c>
      <c r="C938" s="10" t="s">
        <v>110</v>
      </c>
      <c r="D938" s="16">
        <f t="shared" ref="D938:M938" si="204">D934*$D$955</f>
        <v>0</v>
      </c>
      <c r="E938" s="16">
        <f t="shared" si="204"/>
        <v>0</v>
      </c>
      <c r="F938" s="16">
        <f t="shared" si="204"/>
        <v>0</v>
      </c>
      <c r="G938" s="16">
        <f t="shared" si="204"/>
        <v>2638.0048485671714</v>
      </c>
      <c r="H938" s="16">
        <f t="shared" si="204"/>
        <v>14881.788221808281</v>
      </c>
      <c r="I938" s="16">
        <f t="shared" si="204"/>
        <v>19842.384295744378</v>
      </c>
      <c r="J938" s="16">
        <f t="shared" si="204"/>
        <v>14881.788221808281</v>
      </c>
      <c r="K938" s="16">
        <f t="shared" si="204"/>
        <v>2638.0048485671714</v>
      </c>
      <c r="L938" s="16">
        <f t="shared" si="204"/>
        <v>14881.788221808281</v>
      </c>
      <c r="M938" s="16">
        <f t="shared" si="204"/>
        <v>19842.384295744378</v>
      </c>
    </row>
    <row r="939" spans="1:13" ht="15" customHeight="1" x14ac:dyDescent="0.2">
      <c r="B939" s="10" t="s">
        <v>900</v>
      </c>
      <c r="C939" s="10" t="s">
        <v>199</v>
      </c>
      <c r="D939" s="28">
        <f>D933*Inputs!$D$23</f>
        <v>6.4875000000000007</v>
      </c>
      <c r="E939" s="28">
        <f>E933*Inputs!$D$23</f>
        <v>8.65</v>
      </c>
      <c r="F939" s="28">
        <f>F933*Inputs!$D$23</f>
        <v>6.4875000000000007</v>
      </c>
      <c r="G939" s="28">
        <f>G933*Inputs!$D$23</f>
        <v>0</v>
      </c>
      <c r="H939" s="28">
        <f>H933*Inputs!$D$23</f>
        <v>0</v>
      </c>
      <c r="I939" s="28">
        <f>I933*Inputs!$D$23</f>
        <v>0</v>
      </c>
      <c r="J939" s="28">
        <f>J933*Inputs!$D$23</f>
        <v>0</v>
      </c>
      <c r="K939" s="28">
        <f>K933*Inputs!$D$23</f>
        <v>0</v>
      </c>
      <c r="L939" s="28">
        <f>L933*Inputs!$D$23</f>
        <v>0</v>
      </c>
      <c r="M939" s="28">
        <f>M933*Inputs!$D$23</f>
        <v>0</v>
      </c>
    </row>
    <row r="940" spans="1:13" ht="15" customHeight="1" x14ac:dyDescent="0.2">
      <c r="B940" s="3" t="s">
        <v>901</v>
      </c>
      <c r="C940" s="10" t="s">
        <v>896</v>
      </c>
      <c r="D940" s="28">
        <f>(D935*$D$953*(Inputs!$D$7-Inputs!$D$19)-D939)/(Inputs!$D$7+$D$954)^D928</f>
        <v>69.577993884880186</v>
      </c>
      <c r="E940" s="28">
        <f>(E935*$D$953*(Inputs!$D$7-Inputs!$D$19)-E939)/(Inputs!$D$7+$D$954)^E928</f>
        <v>259.5027909120393</v>
      </c>
      <c r="F940" s="28">
        <f>(F935*$D$953*(Inputs!$D$7-Inputs!$D$19)-F939)/(Inputs!$D$7+$D$954)^F928</f>
        <v>398.52314260122478</v>
      </c>
      <c r="G940" s="28">
        <f>(G935*$D$953*(Inputs!$D$7-Inputs!$D$19)-G939)/(Inputs!$D$7+$D$954)^G928</f>
        <v>435.99323422627566</v>
      </c>
      <c r="H940" s="28">
        <f>(H935*$D$953*(Inputs!$D$7-Inputs!$D$19)-H939)/(Inputs!$D$7+$D$954)^H928</f>
        <v>403.71870521307892</v>
      </c>
      <c r="I940" s="28">
        <f>(I935*$D$953*(Inputs!$D$7-Inputs!$D$19)-I939)/(Inputs!$D$7+$D$954)^I928</f>
        <v>373.75454650889594</v>
      </c>
      <c r="J940" s="28">
        <f>(J935*$D$953*(Inputs!$D$7-Inputs!$D$19)-J939)/(Inputs!$D$7+$D$954)^J928</f>
        <v>346.08725489020287</v>
      </c>
      <c r="K940" s="28">
        <f>(K935*$D$953*(Inputs!$D$7-Inputs!$D$19)-K939)/(Inputs!$D$7+$D$954)^K928</f>
        <v>320.46804277358893</v>
      </c>
      <c r="L940" s="28">
        <f>(L935*$D$953*(Inputs!$D$7-Inputs!$D$19)-L939)/(Inputs!$D$7+$D$954)^L928</f>
        <v>296.74530046394409</v>
      </c>
      <c r="M940" s="28">
        <f>(M935*$D$953*(Inputs!$D$7-Inputs!$D$19)-M939)/(Inputs!$D$7+$D$954)^M928</f>
        <v>274.72074930243895</v>
      </c>
    </row>
    <row r="941" spans="1:13" ht="15" customHeight="1" x14ac:dyDescent="0.2">
      <c r="B941" s="10" t="s">
        <v>902</v>
      </c>
      <c r="C941" s="10" t="s">
        <v>110</v>
      </c>
      <c r="D941" s="16">
        <f>(D936*Inputs!$D$19-D937-D938)/(Inputs!$D$7+$D$954)^D928</f>
        <v>-14212.377724210151</v>
      </c>
      <c r="E941" s="16">
        <f>(E936*Inputs!$D$19-E937-E938)/(Inputs!$D$7+$D$954)^E928</f>
        <v>-16360.387094728963</v>
      </c>
      <c r="F941" s="16">
        <f>(F936*Inputs!$D$19-F937-F938)/(Inputs!$D$7+$D$954)^F928</f>
        <v>-9874.5154652847668</v>
      </c>
      <c r="G941" s="16">
        <f>(G936*Inputs!$D$19-G937-G938)/(Inputs!$D$7+$D$954)^G928</f>
        <v>988.77347238742834</v>
      </c>
      <c r="H941" s="16">
        <f>(H936*Inputs!$D$19-H937-H938)/(Inputs!$D$7+$D$954)^H928</f>
        <v>-7602.4024163036647</v>
      </c>
      <c r="I941" s="16">
        <f>(I936*Inputs!$D$19-I937-I938)/(Inputs!$D$7+$D$954)^I928</f>
        <v>-10233.087939303265</v>
      </c>
      <c r="J941" s="16">
        <f>(J936*Inputs!$D$19-J937-J938)/(Inputs!$D$7+$D$954)^J928</f>
        <v>-6517.1480757635773</v>
      </c>
      <c r="K941" s="16">
        <f>(K936*Inputs!$D$19-K937-K938)/(Inputs!$D$7+$D$954)^K928</f>
        <v>726.77801985796941</v>
      </c>
      <c r="L941" s="16">
        <f>(L936*Inputs!$D$19-L937-L938)/(Inputs!$D$7+$D$954)^L928</f>
        <v>-5587.9927289550824</v>
      </c>
      <c r="M941" s="16">
        <f>(M936*Inputs!$D$19-M937-M938)/(Inputs!$D$7+$D$954)^M928</f>
        <v>-7521.6251216792398</v>
      </c>
    </row>
    <row r="942" spans="1:13" ht="15" customHeight="1" x14ac:dyDescent="0.2">
      <c r="B942" s="10" t="s">
        <v>903</v>
      </c>
      <c r="C942" s="10" t="s">
        <v>110</v>
      </c>
      <c r="D942" s="16">
        <f t="shared" ref="D942:M942" si="205">D935*$D$952</f>
        <v>3225.9567165993221</v>
      </c>
      <c r="E942" s="16">
        <f t="shared" si="205"/>
        <v>12291.216309262139</v>
      </c>
      <c r="F942" s="16">
        <f t="shared" si="205"/>
        <v>20067.947213398216</v>
      </c>
      <c r="G942" s="16">
        <f t="shared" si="205"/>
        <v>23400.83188659939</v>
      </c>
      <c r="H942" s="16">
        <f t="shared" si="205"/>
        <v>23400.83188659939</v>
      </c>
      <c r="I942" s="16">
        <f t="shared" si="205"/>
        <v>23400.83188659939</v>
      </c>
      <c r="J942" s="16">
        <f t="shared" si="205"/>
        <v>23400.83188659939</v>
      </c>
      <c r="K942" s="16">
        <f t="shared" si="205"/>
        <v>23400.83188659939</v>
      </c>
      <c r="L942" s="16">
        <f t="shared" si="205"/>
        <v>23400.83188659939</v>
      </c>
      <c r="M942" s="16">
        <f t="shared" si="205"/>
        <v>23400.83188659939</v>
      </c>
    </row>
    <row r="943" spans="1:13" ht="15" customHeight="1" x14ac:dyDescent="0.2">
      <c r="B943" s="10" t="s">
        <v>904</v>
      </c>
      <c r="C943" s="10" t="s">
        <v>110</v>
      </c>
      <c r="D943" s="16">
        <f t="shared" ref="D943:M943" si="206">D942*$D$953</f>
        <v>2935.6206121053833</v>
      </c>
      <c r="E943" s="16">
        <f t="shared" si="206"/>
        <v>11185.006841428547</v>
      </c>
      <c r="F943" s="16">
        <f t="shared" si="206"/>
        <v>18261.831964192377</v>
      </c>
      <c r="G943" s="16">
        <f t="shared" si="206"/>
        <v>21294.757016805444</v>
      </c>
      <c r="H943" s="16">
        <f t="shared" si="206"/>
        <v>21294.757016805444</v>
      </c>
      <c r="I943" s="16">
        <f t="shared" si="206"/>
        <v>21294.757016805444</v>
      </c>
      <c r="J943" s="16">
        <f t="shared" si="206"/>
        <v>21294.757016805444</v>
      </c>
      <c r="K943" s="16">
        <f t="shared" si="206"/>
        <v>21294.757016805444</v>
      </c>
      <c r="L943" s="16">
        <f t="shared" si="206"/>
        <v>21294.757016805444</v>
      </c>
      <c r="M943" s="16">
        <f t="shared" si="206"/>
        <v>21294.757016805444</v>
      </c>
    </row>
    <row r="944" spans="1:13" ht="15" customHeight="1" x14ac:dyDescent="0.2">
      <c r="B944" s="10" t="s">
        <v>905</v>
      </c>
      <c r="C944" s="10" t="s">
        <v>110</v>
      </c>
      <c r="D944" s="16">
        <f t="shared" ref="D944:M944" si="207">D943-D936</f>
        <v>1118.6433261729414</v>
      </c>
      <c r="E944" s="16">
        <f t="shared" si="207"/>
        <v>4262.1424596788383</v>
      </c>
      <c r="F944" s="16">
        <f t="shared" si="207"/>
        <v>6958.8271611788768</v>
      </c>
      <c r="G944" s="16">
        <f t="shared" si="207"/>
        <v>8114.5491761074627</v>
      </c>
      <c r="H944" s="16">
        <f t="shared" si="207"/>
        <v>8114.5491761074627</v>
      </c>
      <c r="I944" s="16">
        <f t="shared" si="207"/>
        <v>8114.5491761074627</v>
      </c>
      <c r="J944" s="16">
        <f t="shared" si="207"/>
        <v>8114.5491761074627</v>
      </c>
      <c r="K944" s="16">
        <f t="shared" si="207"/>
        <v>8114.5491761074627</v>
      </c>
      <c r="L944" s="16">
        <f t="shared" si="207"/>
        <v>8114.5491761074627</v>
      </c>
      <c r="M944" s="16">
        <f t="shared" si="207"/>
        <v>8114.5491761074627</v>
      </c>
    </row>
    <row r="945" spans="2:13" ht="15" customHeight="1" x14ac:dyDescent="0.2">
      <c r="B945" s="10" t="s">
        <v>906</v>
      </c>
      <c r="C945" s="10" t="s">
        <v>110</v>
      </c>
      <c r="D945" s="16">
        <f>MAX(D944,Inputs!$D$6)*Inputs!$D$19</f>
        <v>335.59299785188244</v>
      </c>
      <c r="E945" s="16">
        <f>MAX(E944,Inputs!$D$6)*Inputs!$D$19</f>
        <v>1278.6427379036516</v>
      </c>
      <c r="F945" s="16">
        <f>MAX(F944,Inputs!$D$6)*Inputs!$D$19</f>
        <v>2087.6481483536631</v>
      </c>
      <c r="G945" s="16">
        <f>MAX(G944,Inputs!$D$6)*Inputs!$D$19</f>
        <v>2434.3647528322385</v>
      </c>
      <c r="H945" s="16">
        <f>MAX(H944,Inputs!$D$6)*Inputs!$D$19</f>
        <v>2434.3647528322385</v>
      </c>
      <c r="I945" s="16">
        <f>MAX(I944,Inputs!$D$6)*Inputs!$D$19</f>
        <v>2434.3647528322385</v>
      </c>
      <c r="J945" s="16">
        <f>MAX(J944,Inputs!$D$6)*Inputs!$D$19</f>
        <v>2434.3647528322385</v>
      </c>
      <c r="K945" s="16">
        <f>MAX(K944,Inputs!$D$6)*Inputs!$D$19</f>
        <v>2434.3647528322385</v>
      </c>
      <c r="L945" s="16">
        <f>MAX(L944,Inputs!$D$6)*Inputs!$D$19</f>
        <v>2434.3647528322385</v>
      </c>
      <c r="M945" s="16">
        <f>MAX(M944,Inputs!$D$6)*Inputs!$D$19</f>
        <v>2434.3647528322385</v>
      </c>
    </row>
    <row r="946" spans="2:13" ht="15" customHeight="1" x14ac:dyDescent="0.2">
      <c r="B946" s="10" t="s">
        <v>907</v>
      </c>
      <c r="C946" s="10" t="s">
        <v>110</v>
      </c>
      <c r="D946" s="16">
        <f t="shared" ref="D946:M946" si="208">D939*$D$952</f>
        <v>166.6442336600588</v>
      </c>
      <c r="E946" s="16">
        <f t="shared" si="208"/>
        <v>222.19231154674506</v>
      </c>
      <c r="F946" s="16">
        <f t="shared" si="208"/>
        <v>166.6442336600588</v>
      </c>
      <c r="G946" s="16">
        <f t="shared" si="208"/>
        <v>0</v>
      </c>
      <c r="H946" s="16">
        <f t="shared" si="208"/>
        <v>0</v>
      </c>
      <c r="I946" s="16">
        <f t="shared" si="208"/>
        <v>0</v>
      </c>
      <c r="J946" s="16">
        <f t="shared" si="208"/>
        <v>0</v>
      </c>
      <c r="K946" s="16">
        <f t="shared" si="208"/>
        <v>0</v>
      </c>
      <c r="L946" s="16">
        <f t="shared" si="208"/>
        <v>0</v>
      </c>
      <c r="M946" s="16">
        <f t="shared" si="208"/>
        <v>0</v>
      </c>
    </row>
    <row r="947" spans="2:13" ht="15" customHeight="1" x14ac:dyDescent="0.2">
      <c r="B947" s="10" t="s">
        <v>908</v>
      </c>
      <c r="C947" s="10" t="s">
        <v>110</v>
      </c>
      <c r="D947" s="16">
        <f t="shared" ref="D947:M947" si="209">D943-D945-D937-D938-D946</f>
        <v>-13127.585239552713</v>
      </c>
      <c r="E947" s="16">
        <f t="shared" si="209"/>
        <v>-11063.786368216721</v>
      </c>
      <c r="F947" s="16">
        <f t="shared" si="209"/>
        <v>446.57096203250205</v>
      </c>
      <c r="G947" s="16">
        <f t="shared" si="209"/>
        <v>16222.387415406032</v>
      </c>
      <c r="H947" s="16">
        <f t="shared" si="209"/>
        <v>3978.6040421649232</v>
      </c>
      <c r="I947" s="16">
        <f t="shared" si="209"/>
        <v>-981.99203177117306</v>
      </c>
      <c r="J947" s="16">
        <f t="shared" si="209"/>
        <v>3978.6040421649232</v>
      </c>
      <c r="K947" s="16">
        <f t="shared" si="209"/>
        <v>16222.387415406032</v>
      </c>
      <c r="L947" s="16">
        <f t="shared" si="209"/>
        <v>3978.6040421649232</v>
      </c>
      <c r="M947" s="16">
        <f t="shared" si="209"/>
        <v>-981.99203177117306</v>
      </c>
    </row>
    <row r="948" spans="2:13" ht="15" customHeight="1" x14ac:dyDescent="0.2">
      <c r="B948" s="10" t="s">
        <v>909</v>
      </c>
      <c r="C948" s="10" t="s">
        <v>110</v>
      </c>
      <c r="D948" s="16">
        <f>D947/(Inputs!$D$7+$D$954)^D928</f>
        <v>-12425.129713335376</v>
      </c>
      <c r="E948" s="16">
        <f>E947/(Inputs!$D$7+$D$954)^E928</f>
        <v>-9694.5460582459982</v>
      </c>
      <c r="F948" s="16">
        <f>F947/(Inputs!$D$7+$D$954)^F928</f>
        <v>362.33751268509036</v>
      </c>
      <c r="G948" s="16">
        <f>G947/(Inputs!$D$7+$D$954)^G928</f>
        <v>12188.119660997558</v>
      </c>
      <c r="H948" s="16">
        <f>H947/(Inputs!$D$7+$D$954)^H928</f>
        <v>2767.9088352515914</v>
      </c>
      <c r="I948" s="16">
        <f>I947/(Inputs!$D$7+$D$954)^I928</f>
        <v>-632.46520636487958</v>
      </c>
      <c r="J948" s="16">
        <f>J947/(Inputs!$D$7+$D$954)^J928</f>
        <v>2372.7857000655226</v>
      </c>
      <c r="K948" s="16">
        <f>K947/(Inputs!$D$7+$D$954)^K928</f>
        <v>8958.6318002885928</v>
      </c>
      <c r="L948" s="16">
        <f>L947/(Inputs!$D$7+$D$954)^L928</f>
        <v>2034.4956237289794</v>
      </c>
      <c r="M948" s="16">
        <f>M947/(Inputs!$D$7+$D$954)^M928</f>
        <v>-464.8808075332559</v>
      </c>
    </row>
    <row r="949" spans="2:13" ht="15" customHeight="1" x14ac:dyDescent="0.2">
      <c r="B949" s="3" t="s">
        <v>910</v>
      </c>
      <c r="C949" s="10" t="s">
        <v>896</v>
      </c>
      <c r="D949" s="28">
        <f>(D935*$D$953-D939)/(Inputs!$D$7+$D$954)^D928</f>
        <v>102.02871468379014</v>
      </c>
      <c r="E949" s="28">
        <f>(E935*$D$953-E939)/(Inputs!$D$7+$D$954)^E928</f>
        <v>373.96662424307141</v>
      </c>
      <c r="F949" s="28">
        <f>(F935*$D$953-F939)/(Inputs!$D$7+$D$954)^F928</f>
        <v>571.57469363723339</v>
      </c>
      <c r="G949" s="28">
        <f>(G935*$D$953-G939)/(Inputs!$D$7+$D$954)^G928</f>
        <v>622.84747746610822</v>
      </c>
      <c r="H949" s="28">
        <f>(H935*$D$953-H939)/(Inputs!$D$7+$D$954)^H928</f>
        <v>576.7410074472557</v>
      </c>
      <c r="I949" s="28">
        <f>(I935*$D$953-I939)/(Inputs!$D$7+$D$954)^I928</f>
        <v>533.93506644128001</v>
      </c>
      <c r="J949" s="28">
        <f>(J935*$D$953-J939)/(Inputs!$D$7+$D$954)^J928</f>
        <v>494.41036412886126</v>
      </c>
      <c r="K949" s="28">
        <f>(K935*$D$953-K939)/(Inputs!$D$7+$D$954)^K928</f>
        <v>457.81148967655571</v>
      </c>
      <c r="L949" s="28">
        <f>(L935*$D$953-L939)/(Inputs!$D$7+$D$954)^L928</f>
        <v>423.92185780563449</v>
      </c>
      <c r="M949" s="28">
        <f>(M935*$D$953-M939)/(Inputs!$D$7+$D$954)^M928</f>
        <v>392.45821328919851</v>
      </c>
    </row>
    <row r="950" spans="2:13" ht="15" customHeight="1" x14ac:dyDescent="0.2">
      <c r="B950" s="10" t="s">
        <v>911</v>
      </c>
      <c r="C950" s="10" t="s">
        <v>110</v>
      </c>
      <c r="D950" s="16">
        <f>(-D937-D938)/(Inputs!$D$7+$D$954)^D928</f>
        <v>-14728.303038392241</v>
      </c>
      <c r="E950" s="16">
        <f>(-E937-E938)/(Inputs!$D$7+$D$954)^E928</f>
        <v>-18180.216908055725</v>
      </c>
      <c r="F950" s="16">
        <f>(-F937-F938)/(Inputs!$D$7+$D$954)^F928</f>
        <v>-12625.815702688111</v>
      </c>
      <c r="G950" s="16">
        <f>(-G937-G938)/(Inputs!$D$7+$D$954)^G928</f>
        <v>-1981.9720696655354</v>
      </c>
      <c r="H950" s="16">
        <f>(-H937-H938)/(Inputs!$D$7+$D$954)^H928</f>
        <v>-10353.237634844469</v>
      </c>
      <c r="I950" s="16">
        <f>(-I937-I938)/(Inputs!$D$7+$D$954)^I928</f>
        <v>-12779.755102232404</v>
      </c>
      <c r="J950" s="16">
        <f>(-J937-J938)/(Inputs!$D$7+$D$954)^J928</f>
        <v>-8875.2974434962562</v>
      </c>
      <c r="K950" s="16">
        <f>(-K937-K938)/(Inputs!$D$7+$D$954)^K928</f>
        <v>-1456.8086386129401</v>
      </c>
      <c r="L950" s="16">
        <f>(-L937-L938)/(Inputs!$D$7+$D$954)^L928</f>
        <v>-7609.9387347064285</v>
      </c>
      <c r="M950" s="16">
        <f>(-M937-M938)/(Inputs!$D$7+$D$954)^M928</f>
        <v>-9393.5015115686074</v>
      </c>
    </row>
    <row r="951" spans="2:13" ht="15" customHeight="1" x14ac:dyDescent="0.2">
      <c r="B951" s="10" t="s">
        <v>912</v>
      </c>
      <c r="C951" s="10" t="s">
        <v>110</v>
      </c>
      <c r="D951" s="16">
        <f>Prices!I6</f>
        <v>43700</v>
      </c>
    </row>
    <row r="952" spans="2:13" ht="15" customHeight="1" x14ac:dyDescent="0.2">
      <c r="B952" s="3" t="s">
        <v>913</v>
      </c>
      <c r="C952" s="10" t="s">
        <v>914</v>
      </c>
      <c r="D952" s="28">
        <f>IF(J959&gt;=J955,J959,(D951-J958)/J957)</f>
        <v>25.686972433149716</v>
      </c>
      <c r="G952" s="99" t="s">
        <v>915</v>
      </c>
      <c r="H952" s="91"/>
      <c r="I952" s="91"/>
      <c r="J952" s="28">
        <f>D952*Inputs!$D$15</f>
        <v>17.926938061095186</v>
      </c>
      <c r="K952" s="99" t="s">
        <v>916</v>
      </c>
      <c r="L952" s="91"/>
      <c r="M952" s="91"/>
    </row>
    <row r="953" spans="2:13" ht="15" customHeight="1" x14ac:dyDescent="0.2">
      <c r="B953" s="10" t="s">
        <v>917</v>
      </c>
      <c r="C953" s="10" t="s">
        <v>104</v>
      </c>
      <c r="D953" s="30">
        <f>Inputs!$D$145</f>
        <v>0.91</v>
      </c>
      <c r="G953" s="99" t="s">
        <v>918</v>
      </c>
      <c r="H953" s="91"/>
      <c r="I953" s="91"/>
      <c r="J953" s="28">
        <f>IF(-D964/D963&gt;=J955,-D964/D963,-J958/J957)</f>
        <v>20.418094932582541</v>
      </c>
      <c r="K953" s="99" t="s">
        <v>919</v>
      </c>
      <c r="L953" s="91"/>
      <c r="M953" s="91"/>
    </row>
    <row r="954" spans="2:13" ht="15" customHeight="1" x14ac:dyDescent="0.2">
      <c r="B954" s="10" t="s">
        <v>920</v>
      </c>
      <c r="C954" s="10" t="s">
        <v>104</v>
      </c>
      <c r="D954" s="30">
        <f>Inputs!$D$146</f>
        <v>0.08</v>
      </c>
      <c r="G954" s="99" t="s">
        <v>918</v>
      </c>
      <c r="H954" s="91"/>
      <c r="I954" s="91"/>
      <c r="J954" s="28">
        <f>J953*Inputs!$D$15</f>
        <v>14.249788453449355</v>
      </c>
      <c r="K954" s="99" t="s">
        <v>916</v>
      </c>
      <c r="L954" s="91"/>
      <c r="M954" s="91"/>
    </row>
    <row r="955" spans="2:13" ht="15" customHeight="1" x14ac:dyDescent="0.2">
      <c r="B955" s="3" t="s">
        <v>921</v>
      </c>
      <c r="C955" s="10" t="s">
        <v>848</v>
      </c>
      <c r="D955" s="28">
        <f>Capital!$D$13</f>
        <v>57.347931490590682</v>
      </c>
      <c r="G955" s="99" t="s">
        <v>922</v>
      </c>
      <c r="H955" s="91"/>
      <c r="I955" s="91"/>
      <c r="J955" s="28">
        <f>($D$955/Inputs!$D$21+$D$956/Inputs!$D$22)/$D$953</f>
        <v>15.898732030612395</v>
      </c>
      <c r="K955" s="99" t="s">
        <v>919</v>
      </c>
      <c r="L955" s="91"/>
      <c r="M955" s="91"/>
    </row>
    <row r="956" spans="2:13" ht="15" customHeight="1" x14ac:dyDescent="0.2">
      <c r="B956" s="3" t="s">
        <v>923</v>
      </c>
      <c r="C956" s="10" t="s">
        <v>848</v>
      </c>
      <c r="D956" s="28">
        <f>Capital!$D$14</f>
        <v>2.6172655041921802</v>
      </c>
    </row>
    <row r="957" spans="2:13" ht="15" customHeight="1" x14ac:dyDescent="0.2">
      <c r="B957" s="10" t="s">
        <v>924</v>
      </c>
      <c r="C957" s="10" t="s">
        <v>896</v>
      </c>
      <c r="D957" s="28">
        <f>(M930*(Inputs!$D$7+Inputs!$D$20)*$D$953*(Inputs!$D$7-Inputs!$D$19)-M930*Inputs!$D$20*Inputs!$D$23)/($D$954-Inputs!$D$20)/(Inputs!$D$7+$D$954)^M928</f>
        <v>5114.8949556152684</v>
      </c>
      <c r="G957" s="92" t="s">
        <v>910</v>
      </c>
      <c r="H957" s="91"/>
      <c r="I957" s="91"/>
      <c r="J957" s="28">
        <f>SUM(D949:M949)+(M930*(Inputs!$D$7+Inputs!$D$20)*$D$953-M930*Inputs!$D$20*Inputs!$D$23)/($D$954-Inputs!$D$20)/(Inputs!$D$7+$D$954)^M928</f>
        <v>11858.788656914776</v>
      </c>
      <c r="K957" s="99" t="s">
        <v>896</v>
      </c>
      <c r="L957" s="91"/>
      <c r="M957" s="91"/>
    </row>
    <row r="958" spans="2:13" ht="15" customHeight="1" x14ac:dyDescent="0.2">
      <c r="B958" s="10" t="s">
        <v>925</v>
      </c>
      <c r="C958" s="10" t="s">
        <v>110</v>
      </c>
      <c r="D958" s="16">
        <f>(D961*Inputs!$D$19-D961-D962)/($D$954-Inputs!$D$20)/(Inputs!$D$7+$D$954)^M928</f>
        <v>-93153.423070883771</v>
      </c>
      <c r="G958" s="92" t="s">
        <v>926</v>
      </c>
      <c r="H958" s="91"/>
      <c r="I958" s="91"/>
      <c r="J958" s="16">
        <f>SUM(D950:M950)-(D961+D962)/($D$954-Inputs!$D$20)/(Inputs!$D$7+$D$954)^M928</f>
        <v>-226023.23893944838</v>
      </c>
      <c r="K958" s="99" t="s">
        <v>110</v>
      </c>
      <c r="L958" s="91"/>
      <c r="M958" s="91"/>
    </row>
    <row r="959" spans="2:13" ht="15" customHeight="1" x14ac:dyDescent="0.2">
      <c r="B959" s="10" t="s">
        <v>927</v>
      </c>
      <c r="C959" s="10" t="s">
        <v>928</v>
      </c>
      <c r="D959" s="16">
        <f>(M930*(Inputs!$D$7+Inputs!$D$20)*$D$952*$D$953-D961)-MAX((M930*(Inputs!$D$7+Inputs!$D$20)*$D$952*$D$953-D961),Inputs!$D$6)*Inputs!$D$19-D962-M930*Inputs!$D$20*$D$952*Inputs!$D$23</f>
        <v>4441.8561523717999</v>
      </c>
      <c r="G959" s="99" t="s">
        <v>929</v>
      </c>
      <c r="H959" s="91"/>
      <c r="I959" s="91"/>
      <c r="J959" s="28">
        <f>(D951-D964)/D963</f>
        <v>25.686972433149716</v>
      </c>
      <c r="K959" s="99" t="s">
        <v>919</v>
      </c>
      <c r="L959" s="91"/>
      <c r="M959" s="91"/>
    </row>
    <row r="960" spans="2:13" ht="15" customHeight="1" x14ac:dyDescent="0.2">
      <c r="B960" s="10" t="s">
        <v>930</v>
      </c>
      <c r="C960" s="10" t="s">
        <v>110</v>
      </c>
      <c r="D960" s="16">
        <f>D959/($D$954-Inputs!$D$20)</f>
        <v>80761.020952214545</v>
      </c>
      <c r="G960" s="99" t="s">
        <v>931</v>
      </c>
      <c r="H960" s="91"/>
      <c r="I960" s="91"/>
      <c r="J960" s="16">
        <f>MIN(D944:M944,(M930*(Inputs!$D$7+Inputs!$D$20)*$D$952*$D$953-D961))</f>
        <v>1118.6433261729414</v>
      </c>
      <c r="K960" s="99" t="s">
        <v>110</v>
      </c>
      <c r="L960" s="91"/>
      <c r="M960" s="91"/>
    </row>
    <row r="961" spans="1:13" ht="15" customHeight="1" x14ac:dyDescent="0.2">
      <c r="B961" s="10" t="s">
        <v>932</v>
      </c>
      <c r="C961" s="10" t="s">
        <v>928</v>
      </c>
      <c r="D961" s="16">
        <f>M930*(Inputs!$D$7+Inputs!$D$20)*($D$955/Inputs!$D$21+$D$956/Inputs!$D$22)</f>
        <v>13509.71303671543</v>
      </c>
      <c r="G961" s="99" t="s">
        <v>933</v>
      </c>
      <c r="H961" s="91"/>
      <c r="I961" s="91"/>
      <c r="J961" s="31" t="str">
        <f>IF(J960&lt;Inputs!$D$6,"breached","satisfied")</f>
        <v>satisfied</v>
      </c>
      <c r="K961" s="99" t="s">
        <v>934</v>
      </c>
      <c r="L961" s="91"/>
      <c r="M961" s="91"/>
    </row>
    <row r="962" spans="1:13" ht="15" customHeight="1" x14ac:dyDescent="0.2">
      <c r="B962" s="10" t="s">
        <v>935</v>
      </c>
      <c r="C962" s="10" t="s">
        <v>928</v>
      </c>
      <c r="D962" s="16">
        <f>M930*Inputs!$D$20*($D$955+$D$956)</f>
        <v>1365.7073615561799</v>
      </c>
    </row>
    <row r="963" spans="1:13" ht="15" customHeight="1" x14ac:dyDescent="0.2">
      <c r="B963" s="10" t="s">
        <v>936</v>
      </c>
      <c r="C963" s="10" t="s">
        <v>896</v>
      </c>
      <c r="D963" s="28">
        <f>SUM(D940:M940)+D957</f>
        <v>8293.9867163918389</v>
      </c>
      <c r="G963" s="99" t="s">
        <v>937</v>
      </c>
      <c r="H963" s="91"/>
      <c r="I963" s="91"/>
      <c r="J963" s="16">
        <f>D965-D951</f>
        <v>0</v>
      </c>
      <c r="K963" s="99" t="s">
        <v>110</v>
      </c>
      <c r="L963" s="91"/>
      <c r="M963" s="91"/>
    </row>
    <row r="964" spans="1:13" ht="15" customHeight="1" x14ac:dyDescent="0.2">
      <c r="B964" s="10" t="s">
        <v>938</v>
      </c>
      <c r="C964" s="10" t="s">
        <v>110</v>
      </c>
      <c r="D964" s="16">
        <f>SUM(D941:M941)+D958</f>
        <v>-169347.40814486711</v>
      </c>
    </row>
    <row r="965" spans="1:13" ht="15" customHeight="1" x14ac:dyDescent="0.2">
      <c r="B965" s="10" t="s">
        <v>939</v>
      </c>
      <c r="C965" s="10" t="s">
        <v>110</v>
      </c>
      <c r="D965" s="16">
        <f>SUM(D948:M948)+D960/(Inputs!$D$7+$D$954)^M928</f>
        <v>43699.999999999985</v>
      </c>
    </row>
    <row r="966" spans="1:13" ht="15" customHeight="1" x14ac:dyDescent="0.2">
      <c r="B966" s="10" t="s">
        <v>940</v>
      </c>
      <c r="C966" s="10" t="s">
        <v>104</v>
      </c>
      <c r="D966" s="30">
        <f>IF(ABS(D951)&gt;Inputs!$D$6,D965/D951-Inputs!$D$7,Inputs!$D$6)</f>
        <v>-3.3306690738754696E-16</v>
      </c>
    </row>
    <row r="967" spans="1:13" ht="15" customHeight="1" x14ac:dyDescent="0.2">
      <c r="B967" s="10" t="s">
        <v>941</v>
      </c>
      <c r="C967" s="10" t="s">
        <v>104</v>
      </c>
      <c r="D967" s="30">
        <f>IF(ABS(D965)&gt;Inputs!$D$119,D960/(Inputs!$D$7+$D$954)^M928/D965,Inputs!$D$6)</f>
        <v>0.87489113621194892</v>
      </c>
    </row>
    <row r="968" spans="1:13" ht="15" customHeight="1" x14ac:dyDescent="0.2">
      <c r="B968" s="10" t="s">
        <v>942</v>
      </c>
      <c r="C968" s="10" t="s">
        <v>943</v>
      </c>
      <c r="D968" s="26">
        <f>$D$952*Inputs!$D$8/Prices!$P$6/(Inputs!$D$26/Inputs!$D$25)/Inputs!$D$11/Inputs!$D$56</f>
        <v>4.6712539617207538</v>
      </c>
    </row>
    <row r="972" spans="1:13" ht="15" customHeight="1" x14ac:dyDescent="0.2">
      <c r="A972" s="104" t="s">
        <v>2186</v>
      </c>
      <c r="B972" s="10" t="s">
        <v>886</v>
      </c>
      <c r="C972" s="10" t="s">
        <v>107</v>
      </c>
      <c r="D972" s="28">
        <f>Inputs!$D$60</f>
        <v>1</v>
      </c>
      <c r="E972" s="28">
        <f>Inputs!$D$62</f>
        <v>2</v>
      </c>
      <c r="F972" s="28">
        <f>Inputs!$D$64</f>
        <v>3</v>
      </c>
      <c r="G972" s="28">
        <f>Inputs!$D$66</f>
        <v>4</v>
      </c>
      <c r="H972" s="28">
        <f>Inputs!$D$68</f>
        <v>5</v>
      </c>
      <c r="I972" s="28">
        <f>Inputs!$D$70</f>
        <v>6</v>
      </c>
      <c r="J972" s="28">
        <f>Inputs!$D$72</f>
        <v>7</v>
      </c>
      <c r="K972" s="28">
        <f>Inputs!$D$74</f>
        <v>8</v>
      </c>
      <c r="L972" s="28">
        <f>Inputs!$D$76</f>
        <v>9</v>
      </c>
      <c r="M972" s="28">
        <f>Inputs!$D$78</f>
        <v>10</v>
      </c>
    </row>
    <row r="973" spans="1:13" ht="15" customHeight="1" x14ac:dyDescent="0.2">
      <c r="A973" s="91"/>
      <c r="B973" s="10" t="s">
        <v>887</v>
      </c>
      <c r="C973" s="10" t="s">
        <v>161</v>
      </c>
      <c r="D973" s="29">
        <f>Inputs!$D$61</f>
        <v>46568</v>
      </c>
      <c r="E973" s="29">
        <f>Inputs!$D$63</f>
        <v>46934</v>
      </c>
      <c r="F973" s="29">
        <f>Inputs!$D$65</f>
        <v>47299</v>
      </c>
      <c r="G973" s="29">
        <f>Inputs!$D$67</f>
        <v>47664</v>
      </c>
      <c r="H973" s="29">
        <f>Inputs!$D$69</f>
        <v>48029</v>
      </c>
      <c r="I973" s="29">
        <f>Inputs!$D$71</f>
        <v>48395</v>
      </c>
      <c r="J973" s="29">
        <f>Inputs!$D$73</f>
        <v>48760</v>
      </c>
      <c r="K973" s="29">
        <f>Inputs!$D$75</f>
        <v>49125</v>
      </c>
      <c r="L973" s="29">
        <f>Inputs!$D$77</f>
        <v>49490</v>
      </c>
      <c r="M973" s="29">
        <f>Inputs!$D$79</f>
        <v>49856</v>
      </c>
    </row>
    <row r="974" spans="1:13" ht="15" customHeight="1" x14ac:dyDescent="0.2">
      <c r="A974" s="91"/>
      <c r="B974" s="10" t="s">
        <v>888</v>
      </c>
      <c r="C974" s="10" t="s">
        <v>107</v>
      </c>
      <c r="D974" s="28">
        <f>(D973-Inputs!$D$13)/Inputs!$D$10</f>
        <v>0.71457905544147848</v>
      </c>
      <c r="E974" s="28">
        <f>(E973-Inputs!$D$13)/Inputs!$D$10</f>
        <v>1.7166324435318274</v>
      </c>
      <c r="F974" s="28">
        <f>(F973-Inputs!$D$13)/Inputs!$D$10</f>
        <v>2.7159479808350446</v>
      </c>
      <c r="G974" s="28">
        <f>(G973-Inputs!$D$13)/Inputs!$D$10</f>
        <v>3.7152635181382614</v>
      </c>
      <c r="H974" s="28">
        <f>(H973-Inputs!$D$13)/Inputs!$D$10</f>
        <v>4.7145790554414786</v>
      </c>
      <c r="I974" s="28">
        <f>(I973-Inputs!$D$13)/Inputs!$D$10</f>
        <v>5.7166324435318279</v>
      </c>
      <c r="J974" s="28">
        <f>(J973-Inputs!$D$13)/Inputs!$D$10</f>
        <v>6.7159479808350442</v>
      </c>
      <c r="K974" s="28">
        <f>(K973-Inputs!$D$13)/Inputs!$D$10</f>
        <v>7.7152635181382614</v>
      </c>
      <c r="L974" s="28">
        <f>(L973-Inputs!$D$13)/Inputs!$D$10</f>
        <v>8.7145790554414777</v>
      </c>
      <c r="M974" s="28">
        <f>(M973-Inputs!$D$13)/Inputs!$D$10</f>
        <v>9.716632443531827</v>
      </c>
    </row>
    <row r="975" spans="1:13" ht="15" customHeight="1" x14ac:dyDescent="0.2">
      <c r="A975" s="91"/>
      <c r="B975" s="10" t="s">
        <v>889</v>
      </c>
      <c r="C975" s="10" t="s">
        <v>107</v>
      </c>
      <c r="D975" s="28">
        <f>D974</f>
        <v>0.71457905544147848</v>
      </c>
      <c r="E975" s="28">
        <f>Inputs!$D$7</f>
        <v>1</v>
      </c>
      <c r="F975" s="28">
        <f>Inputs!$D$7</f>
        <v>1</v>
      </c>
      <c r="G975" s="28">
        <f>Inputs!$D$7</f>
        <v>1</v>
      </c>
      <c r="H975" s="28">
        <f>Inputs!$D$7</f>
        <v>1</v>
      </c>
      <c r="I975" s="28">
        <f>Inputs!$D$7</f>
        <v>1</v>
      </c>
      <c r="J975" s="28">
        <f>Inputs!$D$7</f>
        <v>1</v>
      </c>
      <c r="K975" s="28">
        <f>Inputs!$D$7</f>
        <v>1</v>
      </c>
      <c r="L975" s="28">
        <f>Inputs!$D$7</f>
        <v>1</v>
      </c>
      <c r="M975" s="28">
        <f>Inputs!$D$7</f>
        <v>1</v>
      </c>
    </row>
    <row r="976" spans="1:13" ht="15" customHeight="1" x14ac:dyDescent="0.2">
      <c r="A976" s="91"/>
      <c r="B976" s="3" t="s">
        <v>890</v>
      </c>
      <c r="C976" s="10" t="s">
        <v>199</v>
      </c>
      <c r="D976" s="28">
        <f>Inputs!$D$24+(Inputs!$D$80-Inputs!$D$24)*Inputs!$D$83</f>
        <v>305.5</v>
      </c>
      <c r="E976" s="28">
        <f>Inputs!$D$24+(Inputs!$D$80-Inputs!$D$24)*Inputs!$D$84</f>
        <v>651.5</v>
      </c>
      <c r="F976" s="28">
        <f>Inputs!$D$24+(Inputs!$D$80-Inputs!$D$24)*Inputs!$D$85</f>
        <v>911</v>
      </c>
      <c r="G976" s="28">
        <f>Inputs!$D$24+(Inputs!$D$80-Inputs!$D$24)*Inputs!$D$86</f>
        <v>911</v>
      </c>
      <c r="H976" s="28">
        <f>Inputs!$D$24+(Inputs!$D$80-Inputs!$D$24)*Inputs!$D$87</f>
        <v>911</v>
      </c>
      <c r="I976" s="28">
        <f>Inputs!$D$24+(Inputs!$D$80-Inputs!$D$24)*Inputs!$D$88</f>
        <v>911</v>
      </c>
      <c r="J976" s="28">
        <f>Inputs!$D$24+(Inputs!$D$80-Inputs!$D$24)*Inputs!$D$89</f>
        <v>911</v>
      </c>
      <c r="K976" s="28">
        <f>Inputs!$D$24+(Inputs!$D$80-Inputs!$D$24)*Inputs!$D$90</f>
        <v>911</v>
      </c>
      <c r="L976" s="28">
        <f>Inputs!$D$24+(Inputs!$D$80-Inputs!$D$24)*Inputs!$D$91</f>
        <v>911</v>
      </c>
      <c r="M976" s="28">
        <f>Inputs!$D$24+(Inputs!$D$80-Inputs!$D$24)*Inputs!$D$92</f>
        <v>911</v>
      </c>
    </row>
    <row r="977" spans="1:13" ht="15" customHeight="1" x14ac:dyDescent="0.2">
      <c r="A977" s="91"/>
      <c r="B977" s="10" t="s">
        <v>891</v>
      </c>
      <c r="C977" s="10" t="s">
        <v>199</v>
      </c>
      <c r="D977" s="28">
        <f>Inputs!$D$24</f>
        <v>46</v>
      </c>
      <c r="E977" s="28">
        <f t="shared" ref="E977:M977" si="210">D976</f>
        <v>305.5</v>
      </c>
      <c r="F977" s="28">
        <f t="shared" si="210"/>
        <v>651.5</v>
      </c>
      <c r="G977" s="28">
        <f t="shared" si="210"/>
        <v>911</v>
      </c>
      <c r="H977" s="28">
        <f t="shared" si="210"/>
        <v>911</v>
      </c>
      <c r="I977" s="28">
        <f t="shared" si="210"/>
        <v>911</v>
      </c>
      <c r="J977" s="28">
        <f t="shared" si="210"/>
        <v>911</v>
      </c>
      <c r="K977" s="28">
        <f t="shared" si="210"/>
        <v>911</v>
      </c>
      <c r="L977" s="28">
        <f t="shared" si="210"/>
        <v>911</v>
      </c>
      <c r="M977" s="28">
        <f t="shared" si="210"/>
        <v>911</v>
      </c>
    </row>
    <row r="978" spans="1:13" ht="15" customHeight="1" x14ac:dyDescent="0.2">
      <c r="B978" s="10" t="s">
        <v>892</v>
      </c>
      <c r="C978" s="10" t="s">
        <v>199</v>
      </c>
      <c r="D978" s="28">
        <f>(D977+D976)*Inputs!$D$12</f>
        <v>175.75</v>
      </c>
      <c r="E978" s="28">
        <f>(E977+E976)*Inputs!$D$12</f>
        <v>478.5</v>
      </c>
      <c r="F978" s="28">
        <f>(F977+F976)*Inputs!$D$12</f>
        <v>781.25</v>
      </c>
      <c r="G978" s="28">
        <f>(G977+G976)*Inputs!$D$12</f>
        <v>911</v>
      </c>
      <c r="H978" s="28">
        <f>(H977+H976)*Inputs!$D$12</f>
        <v>911</v>
      </c>
      <c r="I978" s="28">
        <f>(I977+I976)*Inputs!$D$12</f>
        <v>911</v>
      </c>
      <c r="J978" s="28">
        <f>(J977+J976)*Inputs!$D$12</f>
        <v>911</v>
      </c>
      <c r="K978" s="28">
        <f>(K977+K976)*Inputs!$D$12</f>
        <v>911</v>
      </c>
      <c r="L978" s="28">
        <f>(L977+L976)*Inputs!$D$12</f>
        <v>911</v>
      </c>
      <c r="M978" s="28">
        <f>(M977+M976)*Inputs!$D$12</f>
        <v>911</v>
      </c>
    </row>
    <row r="979" spans="1:13" ht="15" customHeight="1" x14ac:dyDescent="0.2">
      <c r="B979" s="10" t="s">
        <v>893</v>
      </c>
      <c r="C979" s="10" t="s">
        <v>199</v>
      </c>
      <c r="D979" s="28">
        <f t="shared" ref="D979:M979" si="211">D976-D977</f>
        <v>259.5</v>
      </c>
      <c r="E979" s="28">
        <f t="shared" si="211"/>
        <v>346</v>
      </c>
      <c r="F979" s="28">
        <f t="shared" si="211"/>
        <v>259.5</v>
      </c>
      <c r="G979" s="28">
        <f t="shared" si="211"/>
        <v>0</v>
      </c>
      <c r="H979" s="28">
        <f t="shared" si="211"/>
        <v>0</v>
      </c>
      <c r="I979" s="28">
        <f t="shared" si="211"/>
        <v>0</v>
      </c>
      <c r="J979" s="28">
        <f t="shared" si="211"/>
        <v>0</v>
      </c>
      <c r="K979" s="28">
        <f t="shared" si="211"/>
        <v>0</v>
      </c>
      <c r="L979" s="28">
        <f t="shared" si="211"/>
        <v>0</v>
      </c>
      <c r="M979" s="28">
        <f t="shared" si="211"/>
        <v>0</v>
      </c>
    </row>
    <row r="980" spans="1:13" ht="15" customHeight="1" x14ac:dyDescent="0.2">
      <c r="B980" s="10" t="s">
        <v>894</v>
      </c>
      <c r="C980" s="10" t="s">
        <v>199</v>
      </c>
      <c r="D980" s="28">
        <f>IF(MOD(D972,Inputs!$D$21)=Inputs!$D$6,Inputs!$D$24,Inputs!$D$6)+SUMPRODUCT(--(D972&gt;$D$972:$M$972),--(MOD(D972-$D$972:$M$972,Inputs!$D$21)=Inputs!$D$6),$D$979:$M$979)</f>
        <v>0</v>
      </c>
      <c r="E980" s="28">
        <f>IF(MOD(E972,Inputs!$D$21)=Inputs!$D$6,Inputs!$D$24,Inputs!$D$6)+SUMPRODUCT(--(E972&gt;$D$972:$M$972),--(MOD(E972-$D$972:$M$972,Inputs!$D$21)=Inputs!$D$6),$D$979:$M$979)</f>
        <v>0</v>
      </c>
      <c r="F980" s="28">
        <f>IF(MOD(F972,Inputs!$D$21)=Inputs!$D$6,Inputs!$D$24,Inputs!$D$6)+SUMPRODUCT(--(F972&gt;$D$972:$M$972),--(MOD(F972-$D$972:$M$972,Inputs!$D$21)=Inputs!$D$6),$D$979:$M$979)</f>
        <v>0</v>
      </c>
      <c r="G980" s="28">
        <f>IF(MOD(G972,Inputs!$D$21)=Inputs!$D$6,Inputs!$D$24,Inputs!$D$6)+SUMPRODUCT(--(G972&gt;$D$972:$M$972),--(MOD(G972-$D$972:$M$972,Inputs!$D$21)=Inputs!$D$6),$D$979:$M$979)</f>
        <v>46</v>
      </c>
      <c r="H980" s="28">
        <f>IF(MOD(H972,Inputs!$D$21)=Inputs!$D$6,Inputs!$D$24,Inputs!$D$6)+SUMPRODUCT(--(H972&gt;$D$972:$M$972),--(MOD(H972-$D$972:$M$972,Inputs!$D$21)=Inputs!$D$6),$D$979:$M$979)</f>
        <v>259.5</v>
      </c>
      <c r="I980" s="28">
        <f>IF(MOD(I972,Inputs!$D$21)=Inputs!$D$6,Inputs!$D$24,Inputs!$D$6)+SUMPRODUCT(--(I972&gt;$D$972:$M$972),--(MOD(I972-$D$972:$M$972,Inputs!$D$21)=Inputs!$D$6),$D$979:$M$979)</f>
        <v>346</v>
      </c>
      <c r="J980" s="28">
        <f>IF(MOD(J972,Inputs!$D$21)=Inputs!$D$6,Inputs!$D$24,Inputs!$D$6)+SUMPRODUCT(--(J972&gt;$D$972:$M$972),--(MOD(J972-$D$972:$M$972,Inputs!$D$21)=Inputs!$D$6),$D$979:$M$979)</f>
        <v>259.5</v>
      </c>
      <c r="K980" s="28">
        <f>IF(MOD(K972,Inputs!$D$21)=Inputs!$D$6,Inputs!$D$24,Inputs!$D$6)+SUMPRODUCT(--(K972&gt;$D$972:$M$972),--(MOD(K972-$D$972:$M$972,Inputs!$D$21)=Inputs!$D$6),$D$979:$M$979)</f>
        <v>46</v>
      </c>
      <c r="L980" s="28">
        <f>IF(MOD(L972,Inputs!$D$21)=Inputs!$D$6,Inputs!$D$24,Inputs!$D$6)+SUMPRODUCT(--(L972&gt;$D$972:$M$972),--(MOD(L972-$D$972:$M$972,Inputs!$D$21)=Inputs!$D$6),$D$979:$M$979)</f>
        <v>259.5</v>
      </c>
      <c r="M980" s="28">
        <f>IF(MOD(M972,Inputs!$D$21)=Inputs!$D$6,Inputs!$D$24,Inputs!$D$6)+SUMPRODUCT(--(M972&gt;$D$972:$M$972),--(MOD(M972-$D$972:$M$972,Inputs!$D$21)=Inputs!$D$6),$D$979:$M$979)</f>
        <v>346</v>
      </c>
    </row>
    <row r="981" spans="1:13" ht="15" customHeight="1" x14ac:dyDescent="0.2">
      <c r="B981" s="10" t="s">
        <v>895</v>
      </c>
      <c r="C981" s="10" t="s">
        <v>896</v>
      </c>
      <c r="D981" s="28">
        <f t="shared" ref="D981:M981" si="212">D978*D975</f>
        <v>125.58726899383984</v>
      </c>
      <c r="E981" s="28">
        <f t="shared" si="212"/>
        <v>478.5</v>
      </c>
      <c r="F981" s="28">
        <f t="shared" si="212"/>
        <v>781.25</v>
      </c>
      <c r="G981" s="28">
        <f t="shared" si="212"/>
        <v>911</v>
      </c>
      <c r="H981" s="28">
        <f t="shared" si="212"/>
        <v>911</v>
      </c>
      <c r="I981" s="28">
        <f t="shared" si="212"/>
        <v>911</v>
      </c>
      <c r="J981" s="28">
        <f t="shared" si="212"/>
        <v>911</v>
      </c>
      <c r="K981" s="28">
        <f t="shared" si="212"/>
        <v>911</v>
      </c>
      <c r="L981" s="28">
        <f t="shared" si="212"/>
        <v>911</v>
      </c>
      <c r="M981" s="28">
        <f t="shared" si="212"/>
        <v>911</v>
      </c>
    </row>
    <row r="982" spans="1:13" ht="15" customHeight="1" x14ac:dyDescent="0.2">
      <c r="B982" s="10" t="s">
        <v>897</v>
      </c>
      <c r="C982" s="10" t="s">
        <v>110</v>
      </c>
      <c r="D982" s="16">
        <f>D981*($D$1001/Inputs!$D$21+$D$1002/Inputs!$D$22)</f>
        <v>1816.9772859324419</v>
      </c>
      <c r="E982" s="16">
        <f>E981*($D$1001/Inputs!$D$21+$D$1002/Inputs!$D$22)</f>
        <v>6922.8643817497086</v>
      </c>
      <c r="F982" s="16">
        <f>F981*($D$1001/Inputs!$D$21+$D$1002/Inputs!$D$22)</f>
        <v>11303.0048030135</v>
      </c>
      <c r="G982" s="16">
        <f>G981*($D$1001/Inputs!$D$21+$D$1002/Inputs!$D$22)</f>
        <v>13180.207840697982</v>
      </c>
      <c r="H982" s="16">
        <f>H981*($D$1001/Inputs!$D$21+$D$1002/Inputs!$D$22)</f>
        <v>13180.207840697982</v>
      </c>
      <c r="I982" s="16">
        <f>I981*($D$1001/Inputs!$D$21+$D$1002/Inputs!$D$22)</f>
        <v>13180.207840697982</v>
      </c>
      <c r="J982" s="16">
        <f>J981*($D$1001/Inputs!$D$21+$D$1002/Inputs!$D$22)</f>
        <v>13180.207840697982</v>
      </c>
      <c r="K982" s="16">
        <f>K981*($D$1001/Inputs!$D$21+$D$1002/Inputs!$D$22)</f>
        <v>13180.207840697982</v>
      </c>
      <c r="L982" s="16">
        <f>L981*($D$1001/Inputs!$D$21+$D$1002/Inputs!$D$22)</f>
        <v>13180.207840697982</v>
      </c>
      <c r="M982" s="16">
        <f>M981*($D$1001/Inputs!$D$21+$D$1002/Inputs!$D$22)</f>
        <v>13180.207840697982</v>
      </c>
    </row>
    <row r="983" spans="1:13" ht="15" customHeight="1" x14ac:dyDescent="0.2">
      <c r="B983" s="10" t="s">
        <v>898</v>
      </c>
      <c r="C983" s="10" t="s">
        <v>110</v>
      </c>
      <c r="D983" s="16">
        <f t="shared" ref="D983:M983" si="213">D979*($D$1001+$D$1002)</f>
        <v>15560.968620146154</v>
      </c>
      <c r="E983" s="16">
        <f t="shared" si="213"/>
        <v>20747.95816019487</v>
      </c>
      <c r="F983" s="16">
        <f t="shared" si="213"/>
        <v>15560.968620146154</v>
      </c>
      <c r="G983" s="16">
        <f t="shared" si="213"/>
        <v>0</v>
      </c>
      <c r="H983" s="16">
        <f t="shared" si="213"/>
        <v>0</v>
      </c>
      <c r="I983" s="16">
        <f t="shared" si="213"/>
        <v>0</v>
      </c>
      <c r="J983" s="16">
        <f t="shared" si="213"/>
        <v>0</v>
      </c>
      <c r="K983" s="16">
        <f t="shared" si="213"/>
        <v>0</v>
      </c>
      <c r="L983" s="16">
        <f t="shared" si="213"/>
        <v>0</v>
      </c>
      <c r="M983" s="16">
        <f t="shared" si="213"/>
        <v>0</v>
      </c>
    </row>
    <row r="984" spans="1:13" ht="15" customHeight="1" x14ac:dyDescent="0.2">
      <c r="B984" s="10" t="s">
        <v>899</v>
      </c>
      <c r="C984" s="10" t="s">
        <v>110</v>
      </c>
      <c r="D984" s="16">
        <f t="shared" ref="D984:M984" si="214">D980*$D$1001</f>
        <v>0</v>
      </c>
      <c r="E984" s="16">
        <f t="shared" si="214"/>
        <v>0</v>
      </c>
      <c r="F984" s="16">
        <f t="shared" si="214"/>
        <v>0</v>
      </c>
      <c r="G984" s="16">
        <f t="shared" si="214"/>
        <v>2638.0048485671714</v>
      </c>
      <c r="H984" s="16">
        <f t="shared" si="214"/>
        <v>14881.788221808281</v>
      </c>
      <c r="I984" s="16">
        <f t="shared" si="214"/>
        <v>19842.384295744378</v>
      </c>
      <c r="J984" s="16">
        <f t="shared" si="214"/>
        <v>14881.788221808281</v>
      </c>
      <c r="K984" s="16">
        <f t="shared" si="214"/>
        <v>2638.0048485671714</v>
      </c>
      <c r="L984" s="16">
        <f t="shared" si="214"/>
        <v>14881.788221808281</v>
      </c>
      <c r="M984" s="16">
        <f t="shared" si="214"/>
        <v>19842.384295744378</v>
      </c>
    </row>
    <row r="985" spans="1:13" ht="15" customHeight="1" x14ac:dyDescent="0.2">
      <c r="B985" s="10" t="s">
        <v>900</v>
      </c>
      <c r="C985" s="10" t="s">
        <v>199</v>
      </c>
      <c r="D985" s="28">
        <f>D979*Inputs!$D$23</f>
        <v>6.4875000000000007</v>
      </c>
      <c r="E985" s="28">
        <f>E979*Inputs!$D$23</f>
        <v>8.65</v>
      </c>
      <c r="F985" s="28">
        <f>F979*Inputs!$D$23</f>
        <v>6.4875000000000007</v>
      </c>
      <c r="G985" s="28">
        <f>G979*Inputs!$D$23</f>
        <v>0</v>
      </c>
      <c r="H985" s="28">
        <f>H979*Inputs!$D$23</f>
        <v>0</v>
      </c>
      <c r="I985" s="28">
        <f>I979*Inputs!$D$23</f>
        <v>0</v>
      </c>
      <c r="J985" s="28">
        <f>J979*Inputs!$D$23</f>
        <v>0</v>
      </c>
      <c r="K985" s="28">
        <f>K979*Inputs!$D$23</f>
        <v>0</v>
      </c>
      <c r="L985" s="28">
        <f>L979*Inputs!$D$23</f>
        <v>0</v>
      </c>
      <c r="M985" s="28">
        <f>M979*Inputs!$D$23</f>
        <v>0</v>
      </c>
    </row>
    <row r="986" spans="1:13" ht="15" customHeight="1" x14ac:dyDescent="0.2">
      <c r="B986" s="3" t="s">
        <v>901</v>
      </c>
      <c r="C986" s="10" t="s">
        <v>896</v>
      </c>
      <c r="D986" s="28">
        <f>(D981*$D$999*(Inputs!$D$7-Inputs!$D$19)-D985)/(Inputs!$D$7+$D$1000)^D974</f>
        <v>68.671648423892748</v>
      </c>
      <c r="E986" s="28">
        <f>(E981*$D$999*(Inputs!$D$7-Inputs!$D$19)-E985)/(Inputs!$D$7+$D$1000)^E974</f>
        <v>251.45617773497551</v>
      </c>
      <c r="F986" s="28">
        <f>(F981*$D$999*(Inputs!$D$7-Inputs!$D$19)-F985)/(Inputs!$D$7+$D$1000)^F974</f>
        <v>379.14937802872566</v>
      </c>
      <c r="G986" s="28">
        <f>(G981*$D$999*(Inputs!$D$7-Inputs!$D$19)-G985)/(Inputs!$D$7+$D$1000)^G974</f>
        <v>407.26123717362293</v>
      </c>
      <c r="H986" s="28">
        <f>(H981*$D$999*(Inputs!$D$7-Inputs!$D$19)-H985)/(Inputs!$D$7+$D$1000)^H974</f>
        <v>370.26164203754769</v>
      </c>
      <c r="I986" s="28">
        <f>(I981*$D$999*(Inputs!$D$7-Inputs!$D$19)-I985)/(Inputs!$D$7+$D$1000)^I974</f>
        <v>336.5356233370091</v>
      </c>
      <c r="J986" s="28">
        <f>(J981*$D$999*(Inputs!$D$7-Inputs!$D$19)-J985)/(Inputs!$D$7+$D$1000)^J974</f>
        <v>305.96143489042328</v>
      </c>
      <c r="K986" s="28">
        <f>(K981*$D$999*(Inputs!$D$7-Inputs!$D$19)-K985)/(Inputs!$D$7+$D$1000)^K974</f>
        <v>278.16490483820968</v>
      </c>
      <c r="L986" s="28">
        <f>(L981*$D$999*(Inputs!$D$7-Inputs!$D$19)-L985)/(Inputs!$D$7+$D$1000)^L974</f>
        <v>252.89368351721029</v>
      </c>
      <c r="M986" s="28">
        <f>(M981*$D$999*(Inputs!$D$7-Inputs!$D$19)-M985)/(Inputs!$D$7+$D$1000)^M974</f>
        <v>229.85835894884846</v>
      </c>
    </row>
    <row r="987" spans="1:13" ht="15" customHeight="1" x14ac:dyDescent="0.2">
      <c r="B987" s="10" t="s">
        <v>902</v>
      </c>
      <c r="C987" s="10" t="s">
        <v>110</v>
      </c>
      <c r="D987" s="16">
        <f>(D982*Inputs!$D$19-D983-D984)/(Inputs!$D$7+$D$1000)^D974</f>
        <v>-14027.24269342025</v>
      </c>
      <c r="E987" s="16">
        <f>(E982*Inputs!$D$19-E983-E984)/(Inputs!$D$7+$D$1000)^E974</f>
        <v>-15853.087323826181</v>
      </c>
      <c r="F987" s="16">
        <f>(F982*Inputs!$D$19-F983-F984)/(Inputs!$D$7+$D$1000)^F974</f>
        <v>-9394.4767487293357</v>
      </c>
      <c r="G987" s="16">
        <f>(G982*Inputs!$D$19-G983-G984)/(Inputs!$D$7+$D$1000)^G974</f>
        <v>923.61320322684639</v>
      </c>
      <c r="H987" s="16">
        <f>(H982*Inputs!$D$19-H983-H984)/(Inputs!$D$7+$D$1000)^H974</f>
        <v>-6972.3744918015345</v>
      </c>
      <c r="I987" s="16">
        <f>(I982*Inputs!$D$19-I983-I984)/(Inputs!$D$7+$D$1000)^I974</f>
        <v>-9214.0648467907959</v>
      </c>
      <c r="J987" s="16">
        <f>(J982*Inputs!$D$19-J983-J984)/(Inputs!$D$7+$D$1000)^J974</f>
        <v>-5761.5411965591911</v>
      </c>
      <c r="K987" s="16">
        <f>(K982*Inputs!$D$19-K983-K984)/(Inputs!$D$7+$D$1000)^K974</f>
        <v>630.8402453567694</v>
      </c>
      <c r="L987" s="16">
        <f>(L982*Inputs!$D$19-L983-L984)/(Inputs!$D$7+$D$1000)^L974</f>
        <v>-4762.2255937446444</v>
      </c>
      <c r="M987" s="16">
        <f>(M982*Inputs!$D$19-M983-M984)/(Inputs!$D$7+$D$1000)^M974</f>
        <v>-6293.3302689644106</v>
      </c>
    </row>
    <row r="988" spans="1:13" ht="15" customHeight="1" x14ac:dyDescent="0.2">
      <c r="B988" s="10" t="s">
        <v>903</v>
      </c>
      <c r="C988" s="10" t="s">
        <v>110</v>
      </c>
      <c r="D988" s="16">
        <f t="shared" ref="D988:M988" si="215">D981*$D$998</f>
        <v>3580.293284644812</v>
      </c>
      <c r="E988" s="16">
        <f t="shared" si="215"/>
        <v>13641.273915961776</v>
      </c>
      <c r="F988" s="16">
        <f t="shared" si="215"/>
        <v>22272.194873239576</v>
      </c>
      <c r="G988" s="16">
        <f t="shared" si="215"/>
        <v>25971.160997787203</v>
      </c>
      <c r="H988" s="16">
        <f t="shared" si="215"/>
        <v>25971.160997787203</v>
      </c>
      <c r="I988" s="16">
        <f t="shared" si="215"/>
        <v>25971.160997787203</v>
      </c>
      <c r="J988" s="16">
        <f t="shared" si="215"/>
        <v>25971.160997787203</v>
      </c>
      <c r="K988" s="16">
        <f t="shared" si="215"/>
        <v>25971.160997787203</v>
      </c>
      <c r="L988" s="16">
        <f t="shared" si="215"/>
        <v>25971.160997787203</v>
      </c>
      <c r="M988" s="16">
        <f t="shared" si="215"/>
        <v>25971.160997787203</v>
      </c>
    </row>
    <row r="989" spans="1:13" ht="15" customHeight="1" x14ac:dyDescent="0.2">
      <c r="B989" s="10" t="s">
        <v>904</v>
      </c>
      <c r="C989" s="10" t="s">
        <v>110</v>
      </c>
      <c r="D989" s="16">
        <f t="shared" ref="D989:M989" si="216">D988*$D$999</f>
        <v>3258.0668890267789</v>
      </c>
      <c r="E989" s="16">
        <f t="shared" si="216"/>
        <v>12413.559263525216</v>
      </c>
      <c r="F989" s="16">
        <f t="shared" si="216"/>
        <v>20267.697334648015</v>
      </c>
      <c r="G989" s="16">
        <f t="shared" si="216"/>
        <v>23633.756507986356</v>
      </c>
      <c r="H989" s="16">
        <f t="shared" si="216"/>
        <v>23633.756507986356</v>
      </c>
      <c r="I989" s="16">
        <f t="shared" si="216"/>
        <v>23633.756507986356</v>
      </c>
      <c r="J989" s="16">
        <f t="shared" si="216"/>
        <v>23633.756507986356</v>
      </c>
      <c r="K989" s="16">
        <f t="shared" si="216"/>
        <v>23633.756507986356</v>
      </c>
      <c r="L989" s="16">
        <f t="shared" si="216"/>
        <v>23633.756507986356</v>
      </c>
      <c r="M989" s="16">
        <f t="shared" si="216"/>
        <v>23633.756507986356</v>
      </c>
    </row>
    <row r="990" spans="1:13" ht="15" customHeight="1" x14ac:dyDescent="0.2">
      <c r="B990" s="10" t="s">
        <v>905</v>
      </c>
      <c r="C990" s="10" t="s">
        <v>110</v>
      </c>
      <c r="D990" s="16">
        <f t="shared" ref="D990:M990" si="217">D989-D982</f>
        <v>1441.089603094337</v>
      </c>
      <c r="E990" s="16">
        <f t="shared" si="217"/>
        <v>5490.6948817755074</v>
      </c>
      <c r="F990" s="16">
        <f t="shared" si="217"/>
        <v>8964.692531634515</v>
      </c>
      <c r="G990" s="16">
        <f t="shared" si="217"/>
        <v>10453.548667288374</v>
      </c>
      <c r="H990" s="16">
        <f t="shared" si="217"/>
        <v>10453.548667288374</v>
      </c>
      <c r="I990" s="16">
        <f t="shared" si="217"/>
        <v>10453.548667288374</v>
      </c>
      <c r="J990" s="16">
        <f t="shared" si="217"/>
        <v>10453.548667288374</v>
      </c>
      <c r="K990" s="16">
        <f t="shared" si="217"/>
        <v>10453.548667288374</v>
      </c>
      <c r="L990" s="16">
        <f t="shared" si="217"/>
        <v>10453.548667288374</v>
      </c>
      <c r="M990" s="16">
        <f t="shared" si="217"/>
        <v>10453.548667288374</v>
      </c>
    </row>
    <row r="991" spans="1:13" ht="15" customHeight="1" x14ac:dyDescent="0.2">
      <c r="B991" s="10" t="s">
        <v>906</v>
      </c>
      <c r="C991" s="10" t="s">
        <v>110</v>
      </c>
      <c r="D991" s="16">
        <f>MAX(D990,Inputs!$D$6)*Inputs!$D$19</f>
        <v>432.32688092830108</v>
      </c>
      <c r="E991" s="16">
        <f>MAX(E990,Inputs!$D$6)*Inputs!$D$19</f>
        <v>1647.2084645326522</v>
      </c>
      <c r="F991" s="16">
        <f>MAX(F990,Inputs!$D$6)*Inputs!$D$19</f>
        <v>2689.4077594903542</v>
      </c>
      <c r="G991" s="16">
        <f>MAX(G990,Inputs!$D$6)*Inputs!$D$19</f>
        <v>3136.0646001865121</v>
      </c>
      <c r="H991" s="16">
        <f>MAX(H990,Inputs!$D$6)*Inputs!$D$19</f>
        <v>3136.0646001865121</v>
      </c>
      <c r="I991" s="16">
        <f>MAX(I990,Inputs!$D$6)*Inputs!$D$19</f>
        <v>3136.0646001865121</v>
      </c>
      <c r="J991" s="16">
        <f>MAX(J990,Inputs!$D$6)*Inputs!$D$19</f>
        <v>3136.0646001865121</v>
      </c>
      <c r="K991" s="16">
        <f>MAX(K990,Inputs!$D$6)*Inputs!$D$19</f>
        <v>3136.0646001865121</v>
      </c>
      <c r="L991" s="16">
        <f>MAX(L990,Inputs!$D$6)*Inputs!$D$19</f>
        <v>3136.0646001865121</v>
      </c>
      <c r="M991" s="16">
        <f>MAX(M990,Inputs!$D$6)*Inputs!$D$19</f>
        <v>3136.0646001865121</v>
      </c>
    </row>
    <row r="992" spans="1:13" ht="15" customHeight="1" x14ac:dyDescent="0.2">
      <c r="B992" s="10" t="s">
        <v>907</v>
      </c>
      <c r="C992" s="10" t="s">
        <v>110</v>
      </c>
      <c r="D992" s="16">
        <f t="shared" ref="D992:M992" si="218">D985*$D$998</f>
        <v>184.94830622738147</v>
      </c>
      <c r="E992" s="16">
        <f t="shared" si="218"/>
        <v>246.5977416365086</v>
      </c>
      <c r="F992" s="16">
        <f t="shared" si="218"/>
        <v>184.94830622738147</v>
      </c>
      <c r="G992" s="16">
        <f t="shared" si="218"/>
        <v>0</v>
      </c>
      <c r="H992" s="16">
        <f t="shared" si="218"/>
        <v>0</v>
      </c>
      <c r="I992" s="16">
        <f t="shared" si="218"/>
        <v>0</v>
      </c>
      <c r="J992" s="16">
        <f t="shared" si="218"/>
        <v>0</v>
      </c>
      <c r="K992" s="16">
        <f t="shared" si="218"/>
        <v>0</v>
      </c>
      <c r="L992" s="16">
        <f t="shared" si="218"/>
        <v>0</v>
      </c>
      <c r="M992" s="16">
        <f t="shared" si="218"/>
        <v>0</v>
      </c>
    </row>
    <row r="993" spans="2:13" ht="15" customHeight="1" x14ac:dyDescent="0.2">
      <c r="B993" s="10" t="s">
        <v>908</v>
      </c>
      <c r="C993" s="10" t="s">
        <v>110</v>
      </c>
      <c r="D993" s="16">
        <f t="shared" ref="D993:M993" si="219">D989-D991-D983-D984-D992</f>
        <v>-12920.176918275056</v>
      </c>
      <c r="E993" s="16">
        <f t="shared" si="219"/>
        <v>-10228.205102838816</v>
      </c>
      <c r="F993" s="16">
        <f t="shared" si="219"/>
        <v>1832.3726487841266</v>
      </c>
      <c r="G993" s="16">
        <f t="shared" si="219"/>
        <v>17859.68705923267</v>
      </c>
      <c r="H993" s="16">
        <f t="shared" si="219"/>
        <v>5615.9036859915614</v>
      </c>
      <c r="I993" s="16">
        <f t="shared" si="219"/>
        <v>655.30761205546514</v>
      </c>
      <c r="J993" s="16">
        <f t="shared" si="219"/>
        <v>5615.9036859915614</v>
      </c>
      <c r="K993" s="16">
        <f t="shared" si="219"/>
        <v>17859.68705923267</v>
      </c>
      <c r="L993" s="16">
        <f t="shared" si="219"/>
        <v>5615.9036859915614</v>
      </c>
      <c r="M993" s="16">
        <f t="shared" si="219"/>
        <v>655.30761205546514</v>
      </c>
    </row>
    <row r="994" spans="2:13" ht="15" customHeight="1" x14ac:dyDescent="0.2">
      <c r="B994" s="10" t="s">
        <v>909</v>
      </c>
      <c r="C994" s="10" t="s">
        <v>110</v>
      </c>
      <c r="D994" s="16">
        <f>D993/(Inputs!$D$7+$D$1000)^D974</f>
        <v>-12069.523223386925</v>
      </c>
      <c r="E994" s="16">
        <f>E993/(Inputs!$D$7+$D$1000)^E974</f>
        <v>-8684.4716533067058</v>
      </c>
      <c r="F994" s="16">
        <f>F993/(Inputs!$D$7+$D$1000)^F974</f>
        <v>1414.4689581805646</v>
      </c>
      <c r="G994" s="16">
        <f>G993/(Inputs!$D$7+$D$1000)^G974</f>
        <v>12533.983300695738</v>
      </c>
      <c r="H994" s="16">
        <f>H993/(Inputs!$D$7+$D$1000)^H974</f>
        <v>3583.195998497265</v>
      </c>
      <c r="I994" s="16">
        <f>I993/(Inputs!$D$7+$D$1000)^I974</f>
        <v>380.03049368794956</v>
      </c>
      <c r="J994" s="16">
        <f>J993/(Inputs!$D$7+$D$1000)^J974</f>
        <v>2960.932661457462</v>
      </c>
      <c r="K994" s="16">
        <f>K993/(Inputs!$D$7+$D$1000)^K974</f>
        <v>8560.8792436962867</v>
      </c>
      <c r="L994" s="16">
        <f>L993/(Inputs!$D$7+$D$1000)^L974</f>
        <v>2447.3710801839111</v>
      </c>
      <c r="M994" s="16">
        <f>M993/(Inputs!$D$7+$D$1000)^M974</f>
        <v>259.56594063790004</v>
      </c>
    </row>
    <row r="995" spans="2:13" ht="15" customHeight="1" x14ac:dyDescent="0.2">
      <c r="B995" s="3" t="s">
        <v>910</v>
      </c>
      <c r="C995" s="10" t="s">
        <v>896</v>
      </c>
      <c r="D995" s="28">
        <f>(D981*$D$999-D985)/(Inputs!$D$7+$D$1000)^D974</f>
        <v>100.69965563392681</v>
      </c>
      <c r="E995" s="28">
        <f>(E981*$D$999-E985)/(Inputs!$D$7+$D$1000)^E974</f>
        <v>362.37073829579333</v>
      </c>
      <c r="F995" s="28">
        <f>(F981*$D$999-F985)/(Inputs!$D$7+$D$1000)^F974</f>
        <v>543.78821810698628</v>
      </c>
      <c r="G995" s="28">
        <f>(G981*$D$999-G985)/(Inputs!$D$7+$D$1000)^G974</f>
        <v>581.80176739088995</v>
      </c>
      <c r="H995" s="28">
        <f>(H981*$D$999-H985)/(Inputs!$D$7+$D$1000)^H974</f>
        <v>528.94520291078243</v>
      </c>
      <c r="I995" s="28">
        <f>(I981*$D$999-I985)/(Inputs!$D$7+$D$1000)^I974</f>
        <v>480.76517619572735</v>
      </c>
      <c r="J995" s="28">
        <f>(J981*$D$999-J985)/(Inputs!$D$7+$D$1000)^J974</f>
        <v>437.08776412917615</v>
      </c>
      <c r="K995" s="28">
        <f>(K981*$D$999-K985)/(Inputs!$D$7+$D$1000)^K974</f>
        <v>397.37843548315675</v>
      </c>
      <c r="L995" s="28">
        <f>(L981*$D$999-L985)/(Inputs!$D$7+$D$1000)^L974</f>
        <v>361.27669073887188</v>
      </c>
      <c r="M995" s="28">
        <f>(M981*$D$999-M985)/(Inputs!$D$7+$D$1000)^M974</f>
        <v>328.3690842126407</v>
      </c>
    </row>
    <row r="996" spans="2:13" ht="15" customHeight="1" x14ac:dyDescent="0.2">
      <c r="B996" s="10" t="s">
        <v>911</v>
      </c>
      <c r="C996" s="10" t="s">
        <v>110</v>
      </c>
      <c r="D996" s="16">
        <f>(-D983-D984)/(Inputs!$D$7+$D$1000)^D974</f>
        <v>-14536.447397527105</v>
      </c>
      <c r="E996" s="16">
        <f>(-E983-E984)/(Inputs!$D$7+$D$1000)^E974</f>
        <v>-17616.488200475756</v>
      </c>
      <c r="F996" s="16">
        <f>(-F983-F984)/(Inputs!$D$7+$D$1000)^F974</f>
        <v>-12012.025548964448</v>
      </c>
      <c r="G996" s="16">
        <f>(-G983-G984)/(Inputs!$D$7+$D$1000)^G974</f>
        <v>-1851.359915178487</v>
      </c>
      <c r="H996" s="16">
        <f>(-H983-H984)/(Inputs!$D$7+$D$1000)^H974</f>
        <v>-9495.2419037884629</v>
      </c>
      <c r="I996" s="16">
        <f>(-I983-I984)/(Inputs!$D$7+$D$1000)^I974</f>
        <v>-11507.131858586603</v>
      </c>
      <c r="J996" s="16">
        <f>(-J983-J984)/(Inputs!$D$7+$D$1000)^J974</f>
        <v>-7846.2835672839774</v>
      </c>
      <c r="K996" s="16">
        <f>(-K983-K984)/(Inputs!$D$7+$D$1000)^K974</f>
        <v>-1264.5037327904422</v>
      </c>
      <c r="L996" s="16">
        <f>(-L983-L984)/(Inputs!$D$7+$D$1000)^L974</f>
        <v>-6485.3779822337692</v>
      </c>
      <c r="M996" s="16">
        <f>(-M983-M984)/(Inputs!$D$7+$D$1000)^M974</f>
        <v>-7859.5258920747219</v>
      </c>
    </row>
    <row r="997" spans="2:13" ht="15" customHeight="1" x14ac:dyDescent="0.2">
      <c r="B997" s="10" t="s">
        <v>912</v>
      </c>
      <c r="C997" s="10" t="s">
        <v>110</v>
      </c>
      <c r="D997" s="16">
        <f>Prices!I6</f>
        <v>43700</v>
      </c>
    </row>
    <row r="998" spans="2:13" ht="15" customHeight="1" x14ac:dyDescent="0.2">
      <c r="B998" s="3" t="s">
        <v>913</v>
      </c>
      <c r="C998" s="10" t="s">
        <v>914</v>
      </c>
      <c r="D998" s="28">
        <f>IF(J1005&gt;=J1001,J1005,(D997-J1004)/J1003)</f>
        <v>28.508409437746657</v>
      </c>
      <c r="G998" s="99" t="s">
        <v>915</v>
      </c>
      <c r="H998" s="91"/>
      <c r="I998" s="91"/>
      <c r="J998" s="28">
        <f>D998*Inputs!$D$15</f>
        <v>19.896018946603391</v>
      </c>
      <c r="K998" s="99" t="s">
        <v>916</v>
      </c>
      <c r="L998" s="91"/>
      <c r="M998" s="91"/>
    </row>
    <row r="999" spans="2:13" ht="15" customHeight="1" x14ac:dyDescent="0.2">
      <c r="B999" s="10" t="s">
        <v>917</v>
      </c>
      <c r="C999" s="10" t="s">
        <v>104</v>
      </c>
      <c r="D999" s="30">
        <f>Inputs!$D$145</f>
        <v>0.91</v>
      </c>
      <c r="G999" s="99" t="s">
        <v>918</v>
      </c>
      <c r="H999" s="91"/>
      <c r="I999" s="91"/>
      <c r="J999" s="28">
        <f>IF(-D1010/D1009&gt;=J1001,-D1010/D1009,-J1004/J1003)</f>
        <v>21.247590232765496</v>
      </c>
      <c r="K999" s="99" t="s">
        <v>919</v>
      </c>
      <c r="L999" s="91"/>
      <c r="M999" s="91"/>
    </row>
    <row r="1000" spans="2:13" ht="15" customHeight="1" x14ac:dyDescent="0.2">
      <c r="B1000" s="10" t="s">
        <v>920</v>
      </c>
      <c r="C1000" s="10" t="s">
        <v>104</v>
      </c>
      <c r="D1000" s="30">
        <f>Inputs!$D$147</f>
        <v>0.1</v>
      </c>
      <c r="G1000" s="99" t="s">
        <v>918</v>
      </c>
      <c r="H1000" s="91"/>
      <c r="I1000" s="91"/>
      <c r="J1000" s="28">
        <f>J999*Inputs!$D$15</f>
        <v>14.82869322344704</v>
      </c>
      <c r="K1000" s="99" t="s">
        <v>916</v>
      </c>
      <c r="L1000" s="91"/>
      <c r="M1000" s="91"/>
    </row>
    <row r="1001" spans="2:13" ht="15" customHeight="1" x14ac:dyDescent="0.2">
      <c r="B1001" s="3" t="s">
        <v>921</v>
      </c>
      <c r="C1001" s="10" t="s">
        <v>848</v>
      </c>
      <c r="D1001" s="28">
        <f>Capital!$D$13</f>
        <v>57.347931490590682</v>
      </c>
      <c r="G1001" s="99" t="s">
        <v>922</v>
      </c>
      <c r="H1001" s="91"/>
      <c r="I1001" s="91"/>
      <c r="J1001" s="28">
        <f>($D$1001/Inputs!$D$21+$D$1002/Inputs!$D$22)/$D$999</f>
        <v>15.898732030612395</v>
      </c>
      <c r="K1001" s="99" t="s">
        <v>919</v>
      </c>
      <c r="L1001" s="91"/>
      <c r="M1001" s="91"/>
    </row>
    <row r="1002" spans="2:13" ht="15" customHeight="1" x14ac:dyDescent="0.2">
      <c r="B1002" s="3" t="s">
        <v>923</v>
      </c>
      <c r="C1002" s="10" t="s">
        <v>848</v>
      </c>
      <c r="D1002" s="28">
        <f>Capital!$D$14</f>
        <v>2.6172655041921802</v>
      </c>
    </row>
    <row r="1003" spans="2:13" ht="15" customHeight="1" x14ac:dyDescent="0.2">
      <c r="B1003" s="10" t="s">
        <v>924</v>
      </c>
      <c r="C1003" s="10" t="s">
        <v>896</v>
      </c>
      <c r="D1003" s="28">
        <f>(M976*(Inputs!$D$7+Inputs!$D$20)*$D$999*(Inputs!$D$7-Inputs!$D$19)-M976*Inputs!$D$20*Inputs!$D$23)/($D$1000-Inputs!$D$20)/(Inputs!$D$7+$D$1000)^M974</f>
        <v>3138.3905294052083</v>
      </c>
      <c r="G1003" s="92" t="s">
        <v>910</v>
      </c>
      <c r="H1003" s="91"/>
      <c r="I1003" s="91"/>
      <c r="J1003" s="28">
        <f>SUM(D995:M995)+(M976*(Inputs!$D$7+Inputs!$D$20)*$D$999-M976*Inputs!$D$20*Inputs!$D$23)/($D$1000-Inputs!$D$20)/(Inputs!$D$7+$D$1000)^M974</f>
        <v>8607.1865077749862</v>
      </c>
      <c r="K1003" s="99" t="s">
        <v>896</v>
      </c>
      <c r="L1003" s="91"/>
      <c r="M1003" s="91"/>
    </row>
    <row r="1004" spans="2:13" ht="15" customHeight="1" x14ac:dyDescent="0.2">
      <c r="B1004" s="10" t="s">
        <v>925</v>
      </c>
      <c r="C1004" s="10" t="s">
        <v>110</v>
      </c>
      <c r="D1004" s="16">
        <f>(D1007*Inputs!$D$19-D1007-D1008)/($D$1000-Inputs!$D$20)/(Inputs!$D$7+$D$1000)^M974</f>
        <v>-57156.954988173631</v>
      </c>
      <c r="G1004" s="92" t="s">
        <v>926</v>
      </c>
      <c r="H1004" s="91"/>
      <c r="I1004" s="91"/>
      <c r="J1004" s="16">
        <f>SUM(D996:M996)-(D1007+D1008)/($D$1000-Inputs!$D$20)/(Inputs!$D$7+$D$1000)^M974</f>
        <v>-169036.01450291832</v>
      </c>
      <c r="K1004" s="99" t="s">
        <v>110</v>
      </c>
      <c r="L1004" s="91"/>
      <c r="M1004" s="91"/>
    </row>
    <row r="1005" spans="2:13" ht="15" customHeight="1" x14ac:dyDescent="0.2">
      <c r="B1005" s="10" t="s">
        <v>927</v>
      </c>
      <c r="C1005" s="10" t="s">
        <v>928</v>
      </c>
      <c r="D1005" s="16">
        <f>(M976*(Inputs!$D$7+Inputs!$D$20)*$D$998*$D$999-D1007)-MAX((M976*(Inputs!$D$7+Inputs!$D$20)*$D$998*$D$999-D1007),Inputs!$D$6)*Inputs!$D$19-D1008-M976*Inputs!$D$20*$D$998*Inputs!$D$23</f>
        <v>6118.4818315996117</v>
      </c>
      <c r="G1005" s="99" t="s">
        <v>929</v>
      </c>
      <c r="H1005" s="91"/>
      <c r="I1005" s="91"/>
      <c r="J1005" s="28">
        <f>(D997-D1010)/D1009</f>
        <v>28.508409437746657</v>
      </c>
      <c r="K1005" s="99" t="s">
        <v>919</v>
      </c>
      <c r="L1005" s="91"/>
      <c r="M1005" s="91"/>
    </row>
    <row r="1006" spans="2:13" ht="15" customHeight="1" x14ac:dyDescent="0.2">
      <c r="B1006" s="10" t="s">
        <v>930</v>
      </c>
      <c r="C1006" s="10" t="s">
        <v>110</v>
      </c>
      <c r="D1006" s="16">
        <f>D1005/($D$1000-Inputs!$D$20)</f>
        <v>81579.757754661478</v>
      </c>
      <c r="G1006" s="99" t="s">
        <v>931</v>
      </c>
      <c r="H1006" s="91"/>
      <c r="I1006" s="91"/>
      <c r="J1006" s="16">
        <f>MIN(D990:M990,(M976*(Inputs!$D$7+Inputs!$D$20)*$D$998*$D$999-D1007))</f>
        <v>1441.089603094337</v>
      </c>
      <c r="K1006" s="99" t="s">
        <v>110</v>
      </c>
      <c r="L1006" s="91"/>
      <c r="M1006" s="91"/>
    </row>
    <row r="1007" spans="2:13" ht="15" customHeight="1" x14ac:dyDescent="0.2">
      <c r="B1007" s="10" t="s">
        <v>932</v>
      </c>
      <c r="C1007" s="10" t="s">
        <v>928</v>
      </c>
      <c r="D1007" s="16">
        <f>M976*(Inputs!$D$7+Inputs!$D$20)*($D$1001/Inputs!$D$21+$D$1002/Inputs!$D$22)</f>
        <v>13509.71303671543</v>
      </c>
      <c r="G1007" s="99" t="s">
        <v>933</v>
      </c>
      <c r="H1007" s="91"/>
      <c r="I1007" s="91"/>
      <c r="J1007" s="31" t="str">
        <f>IF(J1006&lt;Inputs!$D$6,"breached","satisfied")</f>
        <v>satisfied</v>
      </c>
      <c r="K1007" s="99" t="s">
        <v>934</v>
      </c>
      <c r="L1007" s="91"/>
      <c r="M1007" s="91"/>
    </row>
    <row r="1008" spans="2:13" ht="15" customHeight="1" x14ac:dyDescent="0.2">
      <c r="B1008" s="10" t="s">
        <v>935</v>
      </c>
      <c r="C1008" s="10" t="s">
        <v>928</v>
      </c>
      <c r="D1008" s="16">
        <f>M976*Inputs!$D$20*($D$1001+$D$1002)</f>
        <v>1365.7073615561799</v>
      </c>
    </row>
    <row r="1009" spans="1:13" ht="15" customHeight="1" x14ac:dyDescent="0.2">
      <c r="B1009" s="10" t="s">
        <v>936</v>
      </c>
      <c r="C1009" s="10" t="s">
        <v>896</v>
      </c>
      <c r="D1009" s="28">
        <f>SUM(D986:M986)+D1003</f>
        <v>6018.6046183356739</v>
      </c>
      <c r="G1009" s="99" t="s">
        <v>937</v>
      </c>
      <c r="H1009" s="91"/>
      <c r="I1009" s="91"/>
      <c r="J1009" s="16">
        <f>D1011-D997</f>
        <v>0</v>
      </c>
      <c r="K1009" s="99" t="s">
        <v>110</v>
      </c>
      <c r="L1009" s="91"/>
      <c r="M1009" s="91"/>
    </row>
    <row r="1010" spans="1:13" ht="15" customHeight="1" x14ac:dyDescent="0.2">
      <c r="B1010" s="10" t="s">
        <v>938</v>
      </c>
      <c r="C1010" s="10" t="s">
        <v>110</v>
      </c>
      <c r="D1010" s="16">
        <f>SUM(D987:M987)+D1004</f>
        <v>-127880.84470342637</v>
      </c>
    </row>
    <row r="1011" spans="1:13" ht="15" customHeight="1" x14ac:dyDescent="0.2">
      <c r="B1011" s="10" t="s">
        <v>939</v>
      </c>
      <c r="C1011" s="10" t="s">
        <v>110</v>
      </c>
      <c r="D1011" s="16">
        <f>SUM(D994:M994)+D1006/(Inputs!$D$7+$D$1000)^M974</f>
        <v>43699.999999999985</v>
      </c>
    </row>
    <row r="1012" spans="1:13" ht="15" customHeight="1" x14ac:dyDescent="0.2">
      <c r="B1012" s="10" t="s">
        <v>940</v>
      </c>
      <c r="C1012" s="10" t="s">
        <v>104</v>
      </c>
      <c r="D1012" s="30">
        <f>IF(ABS(D997)&gt;Inputs!$D$6,D1011/D997-Inputs!$D$7,Inputs!$D$6)</f>
        <v>-3.3306690738754696E-16</v>
      </c>
    </row>
    <row r="1013" spans="1:13" ht="15" customHeight="1" x14ac:dyDescent="0.2">
      <c r="B1013" s="10" t="s">
        <v>941</v>
      </c>
      <c r="C1013" s="10" t="s">
        <v>104</v>
      </c>
      <c r="D1013" s="30">
        <f>IF(ABS(D1011)&gt;Inputs!$D$119,D1006/(Inputs!$D$7+$D$1000)^M974/D1011,Inputs!$D$6)</f>
        <v>0.7394408970173123</v>
      </c>
    </row>
    <row r="1014" spans="1:13" ht="15" customHeight="1" x14ac:dyDescent="0.2">
      <c r="B1014" s="10" t="s">
        <v>942</v>
      </c>
      <c r="C1014" s="10" t="s">
        <v>943</v>
      </c>
      <c r="D1014" s="26">
        <f>$D$998*Inputs!$D$8/Prices!$P$6/(Inputs!$D$26/Inputs!$D$25)/Inputs!$D$11/Inputs!$D$56</f>
        <v>5.1843408511846238</v>
      </c>
    </row>
    <row r="1018" spans="1:13" ht="15" customHeight="1" x14ac:dyDescent="0.2">
      <c r="A1018" s="104" t="s">
        <v>2187</v>
      </c>
      <c r="B1018" s="10" t="s">
        <v>886</v>
      </c>
      <c r="C1018" s="10" t="s">
        <v>107</v>
      </c>
      <c r="D1018" s="28">
        <f>Inputs!$D$60</f>
        <v>1</v>
      </c>
      <c r="E1018" s="28">
        <f>Inputs!$D$62</f>
        <v>2</v>
      </c>
      <c r="F1018" s="28">
        <f>Inputs!$D$64</f>
        <v>3</v>
      </c>
      <c r="G1018" s="28">
        <f>Inputs!$D$66</f>
        <v>4</v>
      </c>
      <c r="H1018" s="28">
        <f>Inputs!$D$68</f>
        <v>5</v>
      </c>
      <c r="I1018" s="28">
        <f>Inputs!$D$70</f>
        <v>6</v>
      </c>
      <c r="J1018" s="28">
        <f>Inputs!$D$72</f>
        <v>7</v>
      </c>
      <c r="K1018" s="28">
        <f>Inputs!$D$74</f>
        <v>8</v>
      </c>
      <c r="L1018" s="28">
        <f>Inputs!$D$76</f>
        <v>9</v>
      </c>
      <c r="M1018" s="28">
        <f>Inputs!$D$78</f>
        <v>10</v>
      </c>
    </row>
    <row r="1019" spans="1:13" ht="15" customHeight="1" x14ac:dyDescent="0.2">
      <c r="A1019" s="91"/>
      <c r="B1019" s="10" t="s">
        <v>887</v>
      </c>
      <c r="C1019" s="10" t="s">
        <v>161</v>
      </c>
      <c r="D1019" s="29">
        <f>Inputs!$D$61</f>
        <v>46568</v>
      </c>
      <c r="E1019" s="29">
        <f>Inputs!$D$63</f>
        <v>46934</v>
      </c>
      <c r="F1019" s="29">
        <f>Inputs!$D$65</f>
        <v>47299</v>
      </c>
      <c r="G1019" s="29">
        <f>Inputs!$D$67</f>
        <v>47664</v>
      </c>
      <c r="H1019" s="29">
        <f>Inputs!$D$69</f>
        <v>48029</v>
      </c>
      <c r="I1019" s="29">
        <f>Inputs!$D$71</f>
        <v>48395</v>
      </c>
      <c r="J1019" s="29">
        <f>Inputs!$D$73</f>
        <v>48760</v>
      </c>
      <c r="K1019" s="29">
        <f>Inputs!$D$75</f>
        <v>49125</v>
      </c>
      <c r="L1019" s="29">
        <f>Inputs!$D$77</f>
        <v>49490</v>
      </c>
      <c r="M1019" s="29">
        <f>Inputs!$D$79</f>
        <v>49856</v>
      </c>
    </row>
    <row r="1020" spans="1:13" ht="15" customHeight="1" x14ac:dyDescent="0.2">
      <c r="A1020" s="91"/>
      <c r="B1020" s="10" t="s">
        <v>888</v>
      </c>
      <c r="C1020" s="10" t="s">
        <v>107</v>
      </c>
      <c r="D1020" s="28">
        <f>(D1019-Inputs!$D$13)/Inputs!$D$10</f>
        <v>0.71457905544147848</v>
      </c>
      <c r="E1020" s="28">
        <f>(E1019-Inputs!$D$13)/Inputs!$D$10</f>
        <v>1.7166324435318274</v>
      </c>
      <c r="F1020" s="28">
        <f>(F1019-Inputs!$D$13)/Inputs!$D$10</f>
        <v>2.7159479808350446</v>
      </c>
      <c r="G1020" s="28">
        <f>(G1019-Inputs!$D$13)/Inputs!$D$10</f>
        <v>3.7152635181382614</v>
      </c>
      <c r="H1020" s="28">
        <f>(H1019-Inputs!$D$13)/Inputs!$D$10</f>
        <v>4.7145790554414786</v>
      </c>
      <c r="I1020" s="28">
        <f>(I1019-Inputs!$D$13)/Inputs!$D$10</f>
        <v>5.7166324435318279</v>
      </c>
      <c r="J1020" s="28">
        <f>(J1019-Inputs!$D$13)/Inputs!$D$10</f>
        <v>6.7159479808350442</v>
      </c>
      <c r="K1020" s="28">
        <f>(K1019-Inputs!$D$13)/Inputs!$D$10</f>
        <v>7.7152635181382614</v>
      </c>
      <c r="L1020" s="28">
        <f>(L1019-Inputs!$D$13)/Inputs!$D$10</f>
        <v>8.7145790554414777</v>
      </c>
      <c r="M1020" s="28">
        <f>(M1019-Inputs!$D$13)/Inputs!$D$10</f>
        <v>9.716632443531827</v>
      </c>
    </row>
    <row r="1021" spans="1:13" ht="15" customHeight="1" x14ac:dyDescent="0.2">
      <c r="A1021" s="91"/>
      <c r="B1021" s="10" t="s">
        <v>889</v>
      </c>
      <c r="C1021" s="10" t="s">
        <v>107</v>
      </c>
      <c r="D1021" s="28">
        <f>D1020</f>
        <v>0.71457905544147848</v>
      </c>
      <c r="E1021" s="28">
        <f>Inputs!$D$7</f>
        <v>1</v>
      </c>
      <c r="F1021" s="28">
        <f>Inputs!$D$7</f>
        <v>1</v>
      </c>
      <c r="G1021" s="28">
        <f>Inputs!$D$7</f>
        <v>1</v>
      </c>
      <c r="H1021" s="28">
        <f>Inputs!$D$7</f>
        <v>1</v>
      </c>
      <c r="I1021" s="28">
        <f>Inputs!$D$7</f>
        <v>1</v>
      </c>
      <c r="J1021" s="28">
        <f>Inputs!$D$7</f>
        <v>1</v>
      </c>
      <c r="K1021" s="28">
        <f>Inputs!$D$7</f>
        <v>1</v>
      </c>
      <c r="L1021" s="28">
        <f>Inputs!$D$7</f>
        <v>1</v>
      </c>
      <c r="M1021" s="28">
        <f>Inputs!$D$7</f>
        <v>1</v>
      </c>
    </row>
    <row r="1022" spans="1:13" ht="15" customHeight="1" x14ac:dyDescent="0.2">
      <c r="A1022" s="91"/>
      <c r="B1022" s="3" t="s">
        <v>890</v>
      </c>
      <c r="C1022" s="10" t="s">
        <v>199</v>
      </c>
      <c r="D1022" s="28">
        <f>Inputs!$D$24+(Inputs!$D$80-Inputs!$D$24)*Inputs!$D$83</f>
        <v>305.5</v>
      </c>
      <c r="E1022" s="28">
        <f>Inputs!$D$24+(Inputs!$D$80-Inputs!$D$24)*Inputs!$D$84</f>
        <v>651.5</v>
      </c>
      <c r="F1022" s="28">
        <f>Inputs!$D$24+(Inputs!$D$80-Inputs!$D$24)*Inputs!$D$85</f>
        <v>911</v>
      </c>
      <c r="G1022" s="28">
        <f>Inputs!$D$24+(Inputs!$D$80-Inputs!$D$24)*Inputs!$D$86</f>
        <v>911</v>
      </c>
      <c r="H1022" s="28">
        <f>Inputs!$D$24+(Inputs!$D$80-Inputs!$D$24)*Inputs!$D$87</f>
        <v>911</v>
      </c>
      <c r="I1022" s="28">
        <f>Inputs!$D$24+(Inputs!$D$80-Inputs!$D$24)*Inputs!$D$88</f>
        <v>911</v>
      </c>
      <c r="J1022" s="28">
        <f>Inputs!$D$24+(Inputs!$D$80-Inputs!$D$24)*Inputs!$D$89</f>
        <v>911</v>
      </c>
      <c r="K1022" s="28">
        <f>Inputs!$D$24+(Inputs!$D$80-Inputs!$D$24)*Inputs!$D$90</f>
        <v>911</v>
      </c>
      <c r="L1022" s="28">
        <f>Inputs!$D$24+(Inputs!$D$80-Inputs!$D$24)*Inputs!$D$91</f>
        <v>911</v>
      </c>
      <c r="M1022" s="28">
        <f>Inputs!$D$24+(Inputs!$D$80-Inputs!$D$24)*Inputs!$D$92</f>
        <v>911</v>
      </c>
    </row>
    <row r="1023" spans="1:13" ht="15" customHeight="1" x14ac:dyDescent="0.2">
      <c r="A1023" s="91"/>
      <c r="B1023" s="10" t="s">
        <v>891</v>
      </c>
      <c r="C1023" s="10" t="s">
        <v>199</v>
      </c>
      <c r="D1023" s="28">
        <f>Inputs!$D$24</f>
        <v>46</v>
      </c>
      <c r="E1023" s="28">
        <f t="shared" ref="E1023:M1023" si="220">D1022</f>
        <v>305.5</v>
      </c>
      <c r="F1023" s="28">
        <f t="shared" si="220"/>
        <v>651.5</v>
      </c>
      <c r="G1023" s="28">
        <f t="shared" si="220"/>
        <v>911</v>
      </c>
      <c r="H1023" s="28">
        <f t="shared" si="220"/>
        <v>911</v>
      </c>
      <c r="I1023" s="28">
        <f t="shared" si="220"/>
        <v>911</v>
      </c>
      <c r="J1023" s="28">
        <f t="shared" si="220"/>
        <v>911</v>
      </c>
      <c r="K1023" s="28">
        <f t="shared" si="220"/>
        <v>911</v>
      </c>
      <c r="L1023" s="28">
        <f t="shared" si="220"/>
        <v>911</v>
      </c>
      <c r="M1023" s="28">
        <f t="shared" si="220"/>
        <v>911</v>
      </c>
    </row>
    <row r="1024" spans="1:13" ht="15" customHeight="1" x14ac:dyDescent="0.2">
      <c r="B1024" s="10" t="s">
        <v>892</v>
      </c>
      <c r="C1024" s="10" t="s">
        <v>199</v>
      </c>
      <c r="D1024" s="28">
        <f>(D1023+D1022)*Inputs!$D$12</f>
        <v>175.75</v>
      </c>
      <c r="E1024" s="28">
        <f>(E1023+E1022)*Inputs!$D$12</f>
        <v>478.5</v>
      </c>
      <c r="F1024" s="28">
        <f>(F1023+F1022)*Inputs!$D$12</f>
        <v>781.25</v>
      </c>
      <c r="G1024" s="28">
        <f>(G1023+G1022)*Inputs!$D$12</f>
        <v>911</v>
      </c>
      <c r="H1024" s="28">
        <f>(H1023+H1022)*Inputs!$D$12</f>
        <v>911</v>
      </c>
      <c r="I1024" s="28">
        <f>(I1023+I1022)*Inputs!$D$12</f>
        <v>911</v>
      </c>
      <c r="J1024" s="28">
        <f>(J1023+J1022)*Inputs!$D$12</f>
        <v>911</v>
      </c>
      <c r="K1024" s="28">
        <f>(K1023+K1022)*Inputs!$D$12</f>
        <v>911</v>
      </c>
      <c r="L1024" s="28">
        <f>(L1023+L1022)*Inputs!$D$12</f>
        <v>911</v>
      </c>
      <c r="M1024" s="28">
        <f>(M1023+M1022)*Inputs!$D$12</f>
        <v>911</v>
      </c>
    </row>
    <row r="1025" spans="2:13" ht="15" customHeight="1" x14ac:dyDescent="0.2">
      <c r="B1025" s="10" t="s">
        <v>893</v>
      </c>
      <c r="C1025" s="10" t="s">
        <v>199</v>
      </c>
      <c r="D1025" s="28">
        <f t="shared" ref="D1025:M1025" si="221">D1022-D1023</f>
        <v>259.5</v>
      </c>
      <c r="E1025" s="28">
        <f t="shared" si="221"/>
        <v>346</v>
      </c>
      <c r="F1025" s="28">
        <f t="shared" si="221"/>
        <v>259.5</v>
      </c>
      <c r="G1025" s="28">
        <f t="shared" si="221"/>
        <v>0</v>
      </c>
      <c r="H1025" s="28">
        <f t="shared" si="221"/>
        <v>0</v>
      </c>
      <c r="I1025" s="28">
        <f t="shared" si="221"/>
        <v>0</v>
      </c>
      <c r="J1025" s="28">
        <f t="shared" si="221"/>
        <v>0</v>
      </c>
      <c r="K1025" s="28">
        <f t="shared" si="221"/>
        <v>0</v>
      </c>
      <c r="L1025" s="28">
        <f t="shared" si="221"/>
        <v>0</v>
      </c>
      <c r="M1025" s="28">
        <f t="shared" si="221"/>
        <v>0</v>
      </c>
    </row>
    <row r="1026" spans="2:13" ht="15" customHeight="1" x14ac:dyDescent="0.2">
      <c r="B1026" s="10" t="s">
        <v>894</v>
      </c>
      <c r="C1026" s="10" t="s">
        <v>199</v>
      </c>
      <c r="D1026" s="28">
        <f>IF(MOD(D1018,Inputs!$D$21)=Inputs!$D$6,Inputs!$D$24,Inputs!$D$6)+SUMPRODUCT(--(D1018&gt;$D$1018:$M$1018),--(MOD(D1018-$D$1018:$M$1018,Inputs!$D$21)=Inputs!$D$6),$D$1025:$M$1025)</f>
        <v>0</v>
      </c>
      <c r="E1026" s="28">
        <f>IF(MOD(E1018,Inputs!$D$21)=Inputs!$D$6,Inputs!$D$24,Inputs!$D$6)+SUMPRODUCT(--(E1018&gt;$D$1018:$M$1018),--(MOD(E1018-$D$1018:$M$1018,Inputs!$D$21)=Inputs!$D$6),$D$1025:$M$1025)</f>
        <v>0</v>
      </c>
      <c r="F1026" s="28">
        <f>IF(MOD(F1018,Inputs!$D$21)=Inputs!$D$6,Inputs!$D$24,Inputs!$D$6)+SUMPRODUCT(--(F1018&gt;$D$1018:$M$1018),--(MOD(F1018-$D$1018:$M$1018,Inputs!$D$21)=Inputs!$D$6),$D$1025:$M$1025)</f>
        <v>0</v>
      </c>
      <c r="G1026" s="28">
        <f>IF(MOD(G1018,Inputs!$D$21)=Inputs!$D$6,Inputs!$D$24,Inputs!$D$6)+SUMPRODUCT(--(G1018&gt;$D$1018:$M$1018),--(MOD(G1018-$D$1018:$M$1018,Inputs!$D$21)=Inputs!$D$6),$D$1025:$M$1025)</f>
        <v>46</v>
      </c>
      <c r="H1026" s="28">
        <f>IF(MOD(H1018,Inputs!$D$21)=Inputs!$D$6,Inputs!$D$24,Inputs!$D$6)+SUMPRODUCT(--(H1018&gt;$D$1018:$M$1018),--(MOD(H1018-$D$1018:$M$1018,Inputs!$D$21)=Inputs!$D$6),$D$1025:$M$1025)</f>
        <v>259.5</v>
      </c>
      <c r="I1026" s="28">
        <f>IF(MOD(I1018,Inputs!$D$21)=Inputs!$D$6,Inputs!$D$24,Inputs!$D$6)+SUMPRODUCT(--(I1018&gt;$D$1018:$M$1018),--(MOD(I1018-$D$1018:$M$1018,Inputs!$D$21)=Inputs!$D$6),$D$1025:$M$1025)</f>
        <v>346</v>
      </c>
      <c r="J1026" s="28">
        <f>IF(MOD(J1018,Inputs!$D$21)=Inputs!$D$6,Inputs!$D$24,Inputs!$D$6)+SUMPRODUCT(--(J1018&gt;$D$1018:$M$1018),--(MOD(J1018-$D$1018:$M$1018,Inputs!$D$21)=Inputs!$D$6),$D$1025:$M$1025)</f>
        <v>259.5</v>
      </c>
      <c r="K1026" s="28">
        <f>IF(MOD(K1018,Inputs!$D$21)=Inputs!$D$6,Inputs!$D$24,Inputs!$D$6)+SUMPRODUCT(--(K1018&gt;$D$1018:$M$1018),--(MOD(K1018-$D$1018:$M$1018,Inputs!$D$21)=Inputs!$D$6),$D$1025:$M$1025)</f>
        <v>46</v>
      </c>
      <c r="L1026" s="28">
        <f>IF(MOD(L1018,Inputs!$D$21)=Inputs!$D$6,Inputs!$D$24,Inputs!$D$6)+SUMPRODUCT(--(L1018&gt;$D$1018:$M$1018),--(MOD(L1018-$D$1018:$M$1018,Inputs!$D$21)=Inputs!$D$6),$D$1025:$M$1025)</f>
        <v>259.5</v>
      </c>
      <c r="M1026" s="28">
        <f>IF(MOD(M1018,Inputs!$D$21)=Inputs!$D$6,Inputs!$D$24,Inputs!$D$6)+SUMPRODUCT(--(M1018&gt;$D$1018:$M$1018),--(MOD(M1018-$D$1018:$M$1018,Inputs!$D$21)=Inputs!$D$6),$D$1025:$M$1025)</f>
        <v>346</v>
      </c>
    </row>
    <row r="1027" spans="2:13" ht="15" customHeight="1" x14ac:dyDescent="0.2">
      <c r="B1027" s="10" t="s">
        <v>895</v>
      </c>
      <c r="C1027" s="10" t="s">
        <v>896</v>
      </c>
      <c r="D1027" s="28">
        <f t="shared" ref="D1027:M1027" si="222">D1024*D1021</f>
        <v>125.58726899383984</v>
      </c>
      <c r="E1027" s="28">
        <f t="shared" si="222"/>
        <v>478.5</v>
      </c>
      <c r="F1027" s="28">
        <f t="shared" si="222"/>
        <v>781.25</v>
      </c>
      <c r="G1027" s="28">
        <f t="shared" si="222"/>
        <v>911</v>
      </c>
      <c r="H1027" s="28">
        <f t="shared" si="222"/>
        <v>911</v>
      </c>
      <c r="I1027" s="28">
        <f t="shared" si="222"/>
        <v>911</v>
      </c>
      <c r="J1027" s="28">
        <f t="shared" si="222"/>
        <v>911</v>
      </c>
      <c r="K1027" s="28">
        <f t="shared" si="222"/>
        <v>911</v>
      </c>
      <c r="L1027" s="28">
        <f t="shared" si="222"/>
        <v>911</v>
      </c>
      <c r="M1027" s="28">
        <f t="shared" si="222"/>
        <v>911</v>
      </c>
    </row>
    <row r="1028" spans="2:13" ht="15" customHeight="1" x14ac:dyDescent="0.2">
      <c r="B1028" s="10" t="s">
        <v>897</v>
      </c>
      <c r="C1028" s="10" t="s">
        <v>110</v>
      </c>
      <c r="D1028" s="16">
        <f>D1027*($D$1047/Inputs!$D$21+$D$1048/Inputs!$D$22)</f>
        <v>1816.9772859324419</v>
      </c>
      <c r="E1028" s="16">
        <f>E1027*($D$1047/Inputs!$D$21+$D$1048/Inputs!$D$22)</f>
        <v>6922.8643817497086</v>
      </c>
      <c r="F1028" s="16">
        <f>F1027*($D$1047/Inputs!$D$21+$D$1048/Inputs!$D$22)</f>
        <v>11303.0048030135</v>
      </c>
      <c r="G1028" s="16">
        <f>G1027*($D$1047/Inputs!$D$21+$D$1048/Inputs!$D$22)</f>
        <v>13180.207840697982</v>
      </c>
      <c r="H1028" s="16">
        <f>H1027*($D$1047/Inputs!$D$21+$D$1048/Inputs!$D$22)</f>
        <v>13180.207840697982</v>
      </c>
      <c r="I1028" s="16">
        <f>I1027*($D$1047/Inputs!$D$21+$D$1048/Inputs!$D$22)</f>
        <v>13180.207840697982</v>
      </c>
      <c r="J1028" s="16">
        <f>J1027*($D$1047/Inputs!$D$21+$D$1048/Inputs!$D$22)</f>
        <v>13180.207840697982</v>
      </c>
      <c r="K1028" s="16">
        <f>K1027*($D$1047/Inputs!$D$21+$D$1048/Inputs!$D$22)</f>
        <v>13180.207840697982</v>
      </c>
      <c r="L1028" s="16">
        <f>L1027*($D$1047/Inputs!$D$21+$D$1048/Inputs!$D$22)</f>
        <v>13180.207840697982</v>
      </c>
      <c r="M1028" s="16">
        <f>M1027*($D$1047/Inputs!$D$21+$D$1048/Inputs!$D$22)</f>
        <v>13180.207840697982</v>
      </c>
    </row>
    <row r="1029" spans="2:13" ht="15" customHeight="1" x14ac:dyDescent="0.2">
      <c r="B1029" s="10" t="s">
        <v>898</v>
      </c>
      <c r="C1029" s="10" t="s">
        <v>110</v>
      </c>
      <c r="D1029" s="16">
        <f t="shared" ref="D1029:M1029" si="223">D1025*($D$1047+$D$1048)</f>
        <v>15560.968620146154</v>
      </c>
      <c r="E1029" s="16">
        <f t="shared" si="223"/>
        <v>20747.95816019487</v>
      </c>
      <c r="F1029" s="16">
        <f t="shared" si="223"/>
        <v>15560.968620146154</v>
      </c>
      <c r="G1029" s="16">
        <f t="shared" si="223"/>
        <v>0</v>
      </c>
      <c r="H1029" s="16">
        <f t="shared" si="223"/>
        <v>0</v>
      </c>
      <c r="I1029" s="16">
        <f t="shared" si="223"/>
        <v>0</v>
      </c>
      <c r="J1029" s="16">
        <f t="shared" si="223"/>
        <v>0</v>
      </c>
      <c r="K1029" s="16">
        <f t="shared" si="223"/>
        <v>0</v>
      </c>
      <c r="L1029" s="16">
        <f t="shared" si="223"/>
        <v>0</v>
      </c>
      <c r="M1029" s="16">
        <f t="shared" si="223"/>
        <v>0</v>
      </c>
    </row>
    <row r="1030" spans="2:13" ht="15" customHeight="1" x14ac:dyDescent="0.2">
      <c r="B1030" s="10" t="s">
        <v>899</v>
      </c>
      <c r="C1030" s="10" t="s">
        <v>110</v>
      </c>
      <c r="D1030" s="16">
        <f t="shared" ref="D1030:M1030" si="224">D1026*$D$1047</f>
        <v>0</v>
      </c>
      <c r="E1030" s="16">
        <f t="shared" si="224"/>
        <v>0</v>
      </c>
      <c r="F1030" s="16">
        <f t="shared" si="224"/>
        <v>0</v>
      </c>
      <c r="G1030" s="16">
        <f t="shared" si="224"/>
        <v>2638.0048485671714</v>
      </c>
      <c r="H1030" s="16">
        <f t="shared" si="224"/>
        <v>14881.788221808281</v>
      </c>
      <c r="I1030" s="16">
        <f t="shared" si="224"/>
        <v>19842.384295744378</v>
      </c>
      <c r="J1030" s="16">
        <f t="shared" si="224"/>
        <v>14881.788221808281</v>
      </c>
      <c r="K1030" s="16">
        <f t="shared" si="224"/>
        <v>2638.0048485671714</v>
      </c>
      <c r="L1030" s="16">
        <f t="shared" si="224"/>
        <v>14881.788221808281</v>
      </c>
      <c r="M1030" s="16">
        <f t="shared" si="224"/>
        <v>19842.384295744378</v>
      </c>
    </row>
    <row r="1031" spans="2:13" ht="15" customHeight="1" x14ac:dyDescent="0.2">
      <c r="B1031" s="10" t="s">
        <v>900</v>
      </c>
      <c r="C1031" s="10" t="s">
        <v>199</v>
      </c>
      <c r="D1031" s="28">
        <f>D1025*Inputs!$D$23</f>
        <v>6.4875000000000007</v>
      </c>
      <c r="E1031" s="28">
        <f>E1025*Inputs!$D$23</f>
        <v>8.65</v>
      </c>
      <c r="F1031" s="28">
        <f>F1025*Inputs!$D$23</f>
        <v>6.4875000000000007</v>
      </c>
      <c r="G1031" s="28">
        <f>G1025*Inputs!$D$23</f>
        <v>0</v>
      </c>
      <c r="H1031" s="28">
        <f>H1025*Inputs!$D$23</f>
        <v>0</v>
      </c>
      <c r="I1031" s="28">
        <f>I1025*Inputs!$D$23</f>
        <v>0</v>
      </c>
      <c r="J1031" s="28">
        <f>J1025*Inputs!$D$23</f>
        <v>0</v>
      </c>
      <c r="K1031" s="28">
        <f>K1025*Inputs!$D$23</f>
        <v>0</v>
      </c>
      <c r="L1031" s="28">
        <f>L1025*Inputs!$D$23</f>
        <v>0</v>
      </c>
      <c r="M1031" s="28">
        <f>M1025*Inputs!$D$23</f>
        <v>0</v>
      </c>
    </row>
    <row r="1032" spans="2:13" ht="15" customHeight="1" x14ac:dyDescent="0.2">
      <c r="B1032" s="3" t="s">
        <v>901</v>
      </c>
      <c r="C1032" s="10" t="s">
        <v>896</v>
      </c>
      <c r="D1032" s="28">
        <f>(D1027*$D$1045*(Inputs!$D$7-Inputs!$D$19)-D1031)/(Inputs!$D$7+$D$1046)^D1020</f>
        <v>67.793124463406599</v>
      </c>
      <c r="E1032" s="28">
        <f>(E1027*$D$1045*(Inputs!$D$7-Inputs!$D$19)-E1031)/(Inputs!$D$7+$D$1046)^E1020</f>
        <v>243.79740661130509</v>
      </c>
      <c r="F1032" s="28">
        <f>(F1027*$D$1045*(Inputs!$D$7-Inputs!$D$19)-F1031)/(Inputs!$D$7+$D$1046)^F1020</f>
        <v>361.0415111553192</v>
      </c>
      <c r="G1032" s="28">
        <f>(G1027*$D$1045*(Inputs!$D$7-Inputs!$D$19)-G1031)/(Inputs!$D$7+$D$1046)^G1020</f>
        <v>380.89027585596818</v>
      </c>
      <c r="H1032" s="28">
        <f>(H1027*$D$1045*(Inputs!$D$7-Inputs!$D$19)-H1031)/(Inputs!$D$7+$D$1046)^H1020</f>
        <v>340.1069842659083</v>
      </c>
      <c r="I1032" s="28">
        <f>(I1027*$D$1045*(Inputs!$D$7-Inputs!$D$19)-I1031)/(Inputs!$D$7+$D$1046)^I1020</f>
        <v>303.59629279937076</v>
      </c>
      <c r="J1032" s="28">
        <f>(J1027*$D$1045*(Inputs!$D$7-Inputs!$D$19)-J1031)/(Inputs!$D$7+$D$1046)^J1020</f>
        <v>271.08914593910282</v>
      </c>
      <c r="K1032" s="28">
        <f>(K1027*$D$1045*(Inputs!$D$7-Inputs!$D$19)-K1031)/(Inputs!$D$7+$D$1046)^K1020</f>
        <v>242.06265619507093</v>
      </c>
      <c r="L1032" s="28">
        <f>(L1027*$D$1045*(Inputs!$D$7-Inputs!$D$19)-L1031)/(Inputs!$D$7+$D$1046)^L1020</f>
        <v>216.14413709273217</v>
      </c>
      <c r="M1032" s="28">
        <f>(M1027*$D$1045*(Inputs!$D$7-Inputs!$D$19)-M1031)/(Inputs!$D$7+$D$1046)^M1020</f>
        <v>192.94093261068662</v>
      </c>
    </row>
    <row r="1033" spans="2:13" ht="15" customHeight="1" x14ac:dyDescent="0.2">
      <c r="B1033" s="10" t="s">
        <v>902</v>
      </c>
      <c r="C1033" s="10" t="s">
        <v>110</v>
      </c>
      <c r="D1033" s="16">
        <f>(D1028*Inputs!$D$19-D1029-D1030)/(Inputs!$D$7+$D$1046)^D1020</f>
        <v>-13847.790632947557</v>
      </c>
      <c r="E1033" s="16">
        <f>(E1028*Inputs!$D$19-E1029-E1030)/(Inputs!$D$7+$D$1046)^E1020</f>
        <v>-15370.239105459035</v>
      </c>
      <c r="F1033" s="16">
        <f>(F1028*Inputs!$D$19-F1029-F1030)/(Inputs!$D$7+$D$1046)^F1020</f>
        <v>-8945.8041564234754</v>
      </c>
      <c r="G1033" s="16">
        <f>(G1028*Inputs!$D$19-G1029-G1030)/(Inputs!$D$7+$D$1046)^G1020</f>
        <v>863.80744262020482</v>
      </c>
      <c r="H1033" s="16">
        <f>(H1028*Inputs!$D$19-H1029-H1030)/(Inputs!$D$7+$D$1046)^H1020</f>
        <v>-6404.5339628745278</v>
      </c>
      <c r="I1033" s="16">
        <f>(I1028*Inputs!$D$19-I1029-I1030)/(Inputs!$D$7+$D$1046)^I1020</f>
        <v>-8312.2134333380691</v>
      </c>
      <c r="J1033" s="16">
        <f>(J1028*Inputs!$D$19-J1029-J1030)/(Inputs!$D$7+$D$1046)^J1020</f>
        <v>-5104.8632414329013</v>
      </c>
      <c r="K1033" s="16">
        <f>(K1028*Inputs!$D$19-K1029-K1030)/(Inputs!$D$7+$D$1046)^K1020</f>
        <v>548.96524604578394</v>
      </c>
      <c r="L1033" s="16">
        <f>(L1028*Inputs!$D$19-L1029-L1030)/(Inputs!$D$7+$D$1046)^L1020</f>
        <v>-4070.1971171644977</v>
      </c>
      <c r="M1033" s="16">
        <f>(M1028*Inputs!$D$19-M1029-M1030)/(Inputs!$D$7+$D$1046)^M1020</f>
        <v>-5282.5619084458349</v>
      </c>
    </row>
    <row r="1034" spans="2:13" ht="15" customHeight="1" x14ac:dyDescent="0.2">
      <c r="B1034" s="10" t="s">
        <v>903</v>
      </c>
      <c r="C1034" s="10" t="s">
        <v>110</v>
      </c>
      <c r="D1034" s="16">
        <f t="shared" ref="D1034:M1034" si="225">D1027*$D$1044</f>
        <v>3942.0266930306598</v>
      </c>
      <c r="E1034" s="16">
        <f t="shared" si="225"/>
        <v>15019.514220885665</v>
      </c>
      <c r="F1034" s="16">
        <f t="shared" si="225"/>
        <v>24522.456604110608</v>
      </c>
      <c r="G1034" s="16">
        <f t="shared" si="225"/>
        <v>28595.146196921298</v>
      </c>
      <c r="H1034" s="16">
        <f t="shared" si="225"/>
        <v>28595.146196921298</v>
      </c>
      <c r="I1034" s="16">
        <f t="shared" si="225"/>
        <v>28595.146196921298</v>
      </c>
      <c r="J1034" s="16">
        <f t="shared" si="225"/>
        <v>28595.146196921298</v>
      </c>
      <c r="K1034" s="16">
        <f t="shared" si="225"/>
        <v>28595.146196921298</v>
      </c>
      <c r="L1034" s="16">
        <f t="shared" si="225"/>
        <v>28595.146196921298</v>
      </c>
      <c r="M1034" s="16">
        <f t="shared" si="225"/>
        <v>28595.146196921298</v>
      </c>
    </row>
    <row r="1035" spans="2:13" ht="15" customHeight="1" x14ac:dyDescent="0.2">
      <c r="B1035" s="10" t="s">
        <v>904</v>
      </c>
      <c r="C1035" s="10" t="s">
        <v>110</v>
      </c>
      <c r="D1035" s="16">
        <f t="shared" ref="D1035:M1035" si="226">D1034*$D$1045</f>
        <v>3587.2442906579004</v>
      </c>
      <c r="E1035" s="16">
        <f t="shared" si="226"/>
        <v>13667.757941005955</v>
      </c>
      <c r="F1035" s="16">
        <f t="shared" si="226"/>
        <v>22315.435509740655</v>
      </c>
      <c r="G1035" s="16">
        <f t="shared" si="226"/>
        <v>26021.583039198384</v>
      </c>
      <c r="H1035" s="16">
        <f t="shared" si="226"/>
        <v>26021.583039198384</v>
      </c>
      <c r="I1035" s="16">
        <f t="shared" si="226"/>
        <v>26021.583039198384</v>
      </c>
      <c r="J1035" s="16">
        <f t="shared" si="226"/>
        <v>26021.583039198384</v>
      </c>
      <c r="K1035" s="16">
        <f t="shared" si="226"/>
        <v>26021.583039198384</v>
      </c>
      <c r="L1035" s="16">
        <f t="shared" si="226"/>
        <v>26021.583039198384</v>
      </c>
      <c r="M1035" s="16">
        <f t="shared" si="226"/>
        <v>26021.583039198384</v>
      </c>
    </row>
    <row r="1036" spans="2:13" ht="15" customHeight="1" x14ac:dyDescent="0.2">
      <c r="B1036" s="10" t="s">
        <v>905</v>
      </c>
      <c r="C1036" s="10" t="s">
        <v>110</v>
      </c>
      <c r="D1036" s="16">
        <f t="shared" ref="D1036:M1036" si="227">D1035-D1028</f>
        <v>1770.2670047254585</v>
      </c>
      <c r="E1036" s="16">
        <f t="shared" si="227"/>
        <v>6744.8935592562466</v>
      </c>
      <c r="F1036" s="16">
        <f t="shared" si="227"/>
        <v>11012.430706727155</v>
      </c>
      <c r="G1036" s="16">
        <f t="shared" si="227"/>
        <v>12841.375198500402</v>
      </c>
      <c r="H1036" s="16">
        <f t="shared" si="227"/>
        <v>12841.375198500402</v>
      </c>
      <c r="I1036" s="16">
        <f t="shared" si="227"/>
        <v>12841.375198500402</v>
      </c>
      <c r="J1036" s="16">
        <f t="shared" si="227"/>
        <v>12841.375198500402</v>
      </c>
      <c r="K1036" s="16">
        <f t="shared" si="227"/>
        <v>12841.375198500402</v>
      </c>
      <c r="L1036" s="16">
        <f t="shared" si="227"/>
        <v>12841.375198500402</v>
      </c>
      <c r="M1036" s="16">
        <f t="shared" si="227"/>
        <v>12841.375198500402</v>
      </c>
    </row>
    <row r="1037" spans="2:13" ht="15" customHeight="1" x14ac:dyDescent="0.2">
      <c r="B1037" s="10" t="s">
        <v>906</v>
      </c>
      <c r="C1037" s="10" t="s">
        <v>110</v>
      </c>
      <c r="D1037" s="16">
        <f>MAX(D1036,Inputs!$D$6)*Inputs!$D$19</f>
        <v>531.08010141763748</v>
      </c>
      <c r="E1037" s="16">
        <f>MAX(E1036,Inputs!$D$6)*Inputs!$D$19</f>
        <v>2023.4680677768738</v>
      </c>
      <c r="F1037" s="16">
        <f>MAX(F1036,Inputs!$D$6)*Inputs!$D$19</f>
        <v>3303.7292120181464</v>
      </c>
      <c r="G1037" s="16">
        <f>MAX(G1036,Inputs!$D$6)*Inputs!$D$19</f>
        <v>3852.4125595501205</v>
      </c>
      <c r="H1037" s="16">
        <f>MAX(H1036,Inputs!$D$6)*Inputs!$D$19</f>
        <v>3852.4125595501205</v>
      </c>
      <c r="I1037" s="16">
        <f>MAX(I1036,Inputs!$D$6)*Inputs!$D$19</f>
        <v>3852.4125595501205</v>
      </c>
      <c r="J1037" s="16">
        <f>MAX(J1036,Inputs!$D$6)*Inputs!$D$19</f>
        <v>3852.4125595501205</v>
      </c>
      <c r="K1037" s="16">
        <f>MAX(K1036,Inputs!$D$6)*Inputs!$D$19</f>
        <v>3852.4125595501205</v>
      </c>
      <c r="L1037" s="16">
        <f>MAX(L1036,Inputs!$D$6)*Inputs!$D$19</f>
        <v>3852.4125595501205</v>
      </c>
      <c r="M1037" s="16">
        <f>MAX(M1036,Inputs!$D$6)*Inputs!$D$19</f>
        <v>3852.4125595501205</v>
      </c>
    </row>
    <row r="1038" spans="2:13" ht="15" customHeight="1" x14ac:dyDescent="0.2">
      <c r="B1038" s="10" t="s">
        <v>907</v>
      </c>
      <c r="C1038" s="10" t="s">
        <v>110</v>
      </c>
      <c r="D1038" s="16">
        <f t="shared" ref="D1038:M1038" si="228">D1031*$D$1044</f>
        <v>203.63447964053449</v>
      </c>
      <c r="E1038" s="16">
        <f t="shared" si="228"/>
        <v>271.51263952071264</v>
      </c>
      <c r="F1038" s="16">
        <f t="shared" si="228"/>
        <v>203.63447964053449</v>
      </c>
      <c r="G1038" s="16">
        <f t="shared" si="228"/>
        <v>0</v>
      </c>
      <c r="H1038" s="16">
        <f t="shared" si="228"/>
        <v>0</v>
      </c>
      <c r="I1038" s="16">
        <f t="shared" si="228"/>
        <v>0</v>
      </c>
      <c r="J1038" s="16">
        <f t="shared" si="228"/>
        <v>0</v>
      </c>
      <c r="K1038" s="16">
        <f t="shared" si="228"/>
        <v>0</v>
      </c>
      <c r="L1038" s="16">
        <f t="shared" si="228"/>
        <v>0</v>
      </c>
      <c r="M1038" s="16">
        <f t="shared" si="228"/>
        <v>0</v>
      </c>
    </row>
    <row r="1039" spans="2:13" ht="15" customHeight="1" x14ac:dyDescent="0.2">
      <c r="B1039" s="10" t="s">
        <v>908</v>
      </c>
      <c r="C1039" s="10" t="s">
        <v>110</v>
      </c>
      <c r="D1039" s="16">
        <f t="shared" ref="D1039:M1039" si="229">D1035-D1037-D1029-D1030-D1038</f>
        <v>-12708.438910546423</v>
      </c>
      <c r="E1039" s="16">
        <f t="shared" si="229"/>
        <v>-9375.1809264865024</v>
      </c>
      <c r="F1039" s="16">
        <f t="shared" si="229"/>
        <v>3247.1031979358186</v>
      </c>
      <c r="G1039" s="16">
        <f t="shared" si="229"/>
        <v>19531.16563108109</v>
      </c>
      <c r="H1039" s="16">
        <f t="shared" si="229"/>
        <v>7287.3822578399813</v>
      </c>
      <c r="I1039" s="16">
        <f t="shared" si="229"/>
        <v>2326.7861839038851</v>
      </c>
      <c r="J1039" s="16">
        <f t="shared" si="229"/>
        <v>7287.3822578399813</v>
      </c>
      <c r="K1039" s="16">
        <f t="shared" si="229"/>
        <v>19531.16563108109</v>
      </c>
      <c r="L1039" s="16">
        <f t="shared" si="229"/>
        <v>7287.3822578399813</v>
      </c>
      <c r="M1039" s="16">
        <f t="shared" si="229"/>
        <v>2326.7861839038851</v>
      </c>
    </row>
    <row r="1040" spans="2:13" ht="15" customHeight="1" x14ac:dyDescent="0.2">
      <c r="B1040" s="10" t="s">
        <v>909</v>
      </c>
      <c r="C1040" s="10" t="s">
        <v>110</v>
      </c>
      <c r="D1040" s="16">
        <f>D1039/(Inputs!$D$7+$D$1046)^D1020</f>
        <v>-11719.849573477532</v>
      </c>
      <c r="E1040" s="16">
        <f>E1039/(Inputs!$D$7+$D$1046)^E1020</f>
        <v>-7717.7446109688763</v>
      </c>
      <c r="F1040" s="16">
        <f>F1039/(Inputs!$D$7+$D$1046)^F1020</f>
        <v>2386.8355742502299</v>
      </c>
      <c r="G1040" s="16">
        <f>G1039/(Inputs!$D$7+$D$1046)^G1020</f>
        <v>12819.474976195503</v>
      </c>
      <c r="H1040" s="16">
        <f>H1039/(Inputs!$D$7+$D$1046)^H1020</f>
        <v>4270.9972530175273</v>
      </c>
      <c r="I1040" s="16">
        <f>I1039/(Inputs!$D$7+$D$1046)^I1020</f>
        <v>1217.2930182989599</v>
      </c>
      <c r="J1040" s="16">
        <f>J1039/(Inputs!$D$7+$D$1046)^J1020</f>
        <v>3404.2846845025338</v>
      </c>
      <c r="K1040" s="16">
        <f>K1039/(Inputs!$D$7+$D$1046)^K1020</f>
        <v>8147.0081030305819</v>
      </c>
      <c r="L1040" s="16">
        <f>L1039/(Inputs!$D$7+$D$1046)^L1020</f>
        <v>2714.2959671100111</v>
      </c>
      <c r="M1040" s="16">
        <f>M1039/(Inputs!$D$7+$D$1046)^M1020</f>
        <v>773.61171984497207</v>
      </c>
    </row>
    <row r="1041" spans="2:13" ht="15" customHeight="1" x14ac:dyDescent="0.2">
      <c r="B1041" s="3" t="s">
        <v>910</v>
      </c>
      <c r="C1041" s="10" t="s">
        <v>896</v>
      </c>
      <c r="D1041" s="28">
        <f>(D1027*$D$1045-D1031)/(Inputs!$D$7+$D$1046)^D1020</f>
        <v>99.411393850242476</v>
      </c>
      <c r="E1041" s="28">
        <f>(E1027*$D$1045-E1031)/(Inputs!$D$7+$D$1046)^E1020</f>
        <v>351.33376727554656</v>
      </c>
      <c r="F1041" s="28">
        <f>(F1027*$D$1045-F1031)/(Inputs!$D$7+$D$1046)^F1020</f>
        <v>517.81733372362282</v>
      </c>
      <c r="G1041" s="28">
        <f>(G1027*$D$1045-G1031)/(Inputs!$D$7+$D$1046)^G1020</f>
        <v>544.12896550852611</v>
      </c>
      <c r="H1041" s="28">
        <f>(H1027*$D$1045-H1031)/(Inputs!$D$7+$D$1046)^H1020</f>
        <v>485.86712037986911</v>
      </c>
      <c r="I1041" s="28">
        <f>(I1027*$D$1045-I1031)/(Inputs!$D$7+$D$1046)^I1020</f>
        <v>433.70898971338687</v>
      </c>
      <c r="J1041" s="28">
        <f>(J1027*$D$1045-J1031)/(Inputs!$D$7+$D$1046)^J1020</f>
        <v>387.27020848443271</v>
      </c>
      <c r="K1041" s="28">
        <f>(K1027*$D$1045-K1031)/(Inputs!$D$7+$D$1046)^K1020</f>
        <v>345.80379456438709</v>
      </c>
      <c r="L1041" s="28">
        <f>(L1027*$D$1045-L1031)/(Inputs!$D$7+$D$1046)^L1020</f>
        <v>308.77733870390313</v>
      </c>
      <c r="M1041" s="28">
        <f>(M1027*$D$1045-M1031)/(Inputs!$D$7+$D$1046)^M1020</f>
        <v>275.62990372955232</v>
      </c>
    </row>
    <row r="1042" spans="2:13" ht="15" customHeight="1" x14ac:dyDescent="0.2">
      <c r="B1042" s="10" t="s">
        <v>911</v>
      </c>
      <c r="C1042" s="10" t="s">
        <v>110</v>
      </c>
      <c r="D1042" s="16">
        <f>(-D1029-D1030)/(Inputs!$D$7+$D$1046)^D1020</f>
        <v>-14350.481025200577</v>
      </c>
      <c r="E1042" s="16">
        <f>(-E1029-E1030)/(Inputs!$D$7+$D$1046)^E1020</f>
        <v>-17079.930887207098</v>
      </c>
      <c r="F1042" s="16">
        <f>(-F1029-F1030)/(Inputs!$D$7+$D$1046)^F1020</f>
        <v>-11438.340948315768</v>
      </c>
      <c r="G1042" s="16">
        <f>(-G1029-G1030)/(Inputs!$D$7+$D$1046)^G1020</f>
        <v>-1731.4807411941122</v>
      </c>
      <c r="H1042" s="16">
        <f>(-H1029-H1030)/(Inputs!$D$7+$D$1046)^H1020</f>
        <v>-8721.9353076959778</v>
      </c>
      <c r="I1042" s="16">
        <f>(-I1029-I1030)/(Inputs!$D$7+$D$1046)^I1020</f>
        <v>-10380.8403353543</v>
      </c>
      <c r="J1042" s="16">
        <f>(-J1029-J1030)/(Inputs!$D$7+$D$1046)^J1020</f>
        <v>-6951.9948218729187</v>
      </c>
      <c r="K1042" s="16">
        <f>(-K1029-K1030)/(Inputs!$D$7+$D$1046)^K1020</f>
        <v>-1100.3873134386547</v>
      </c>
      <c r="L1042" s="16">
        <f>(-L1029-L1030)/(Inputs!$D$7+$D$1046)^L1020</f>
        <v>-5542.947566718196</v>
      </c>
      <c r="M1042" s="16">
        <f>(-M1029-M1030)/(Inputs!$D$7+$D$1046)^M1020</f>
        <v>-6597.2117021517279</v>
      </c>
    </row>
    <row r="1043" spans="2:13" ht="15" customHeight="1" x14ac:dyDescent="0.2">
      <c r="B1043" s="10" t="s">
        <v>912</v>
      </c>
      <c r="C1043" s="10" t="s">
        <v>110</v>
      </c>
      <c r="D1043" s="16">
        <f>Prices!I6</f>
        <v>43700</v>
      </c>
    </row>
    <row r="1044" spans="2:13" ht="15" customHeight="1" x14ac:dyDescent="0.2">
      <c r="B1044" s="3" t="s">
        <v>913</v>
      </c>
      <c r="C1044" s="10" t="s">
        <v>914</v>
      </c>
      <c r="D1044" s="28">
        <f>IF(J1051&gt;=J1047,J1051,(D1043-J1050)/J1049)</f>
        <v>31.388744453261577</v>
      </c>
      <c r="G1044" s="99" t="s">
        <v>915</v>
      </c>
      <c r="H1044" s="91"/>
      <c r="I1044" s="91"/>
      <c r="J1044" s="28">
        <f>D1044*Inputs!$D$15</f>
        <v>21.906204753931252</v>
      </c>
      <c r="K1044" s="99" t="s">
        <v>916</v>
      </c>
      <c r="L1044" s="91"/>
      <c r="M1044" s="91"/>
    </row>
    <row r="1045" spans="2:13" ht="15" customHeight="1" x14ac:dyDescent="0.2">
      <c r="B1045" s="10" t="s">
        <v>917</v>
      </c>
      <c r="C1045" s="10" t="s">
        <v>104</v>
      </c>
      <c r="D1045" s="30">
        <f>Inputs!$D$145</f>
        <v>0.91</v>
      </c>
      <c r="G1045" s="99" t="s">
        <v>918</v>
      </c>
      <c r="H1045" s="91"/>
      <c r="I1045" s="91"/>
      <c r="J1045" s="28">
        <f>IF(-D1056/D1055&gt;=J1047,-D1056/D1055,-J1050/J1049)</f>
        <v>22.089290977420866</v>
      </c>
      <c r="K1045" s="99" t="s">
        <v>919</v>
      </c>
      <c r="L1045" s="91"/>
      <c r="M1045" s="91"/>
    </row>
    <row r="1046" spans="2:13" ht="15" customHeight="1" x14ac:dyDescent="0.2">
      <c r="B1046" s="10" t="s">
        <v>920</v>
      </c>
      <c r="C1046" s="10" t="s">
        <v>104</v>
      </c>
      <c r="D1046" s="30">
        <f>Inputs!$D$148</f>
        <v>0.12</v>
      </c>
      <c r="G1046" s="99" t="s">
        <v>918</v>
      </c>
      <c r="H1046" s="91"/>
      <c r="I1046" s="91"/>
      <c r="J1046" s="28">
        <f>J1045*Inputs!$D$15</f>
        <v>15.416116173142022</v>
      </c>
      <c r="K1046" s="99" t="s">
        <v>916</v>
      </c>
      <c r="L1046" s="91"/>
      <c r="M1046" s="91"/>
    </row>
    <row r="1047" spans="2:13" ht="15" customHeight="1" x14ac:dyDescent="0.2">
      <c r="B1047" s="3" t="s">
        <v>921</v>
      </c>
      <c r="C1047" s="10" t="s">
        <v>848</v>
      </c>
      <c r="D1047" s="28">
        <f>Capital!$D$13</f>
        <v>57.347931490590682</v>
      </c>
      <c r="G1047" s="99" t="s">
        <v>922</v>
      </c>
      <c r="H1047" s="91"/>
      <c r="I1047" s="91"/>
      <c r="J1047" s="28">
        <f>($D$1047/Inputs!$D$21+$D$1048/Inputs!$D$22)/$D$1045</f>
        <v>15.898732030612395</v>
      </c>
      <c r="K1047" s="99" t="s">
        <v>919</v>
      </c>
      <c r="L1047" s="91"/>
      <c r="M1047" s="91"/>
    </row>
    <row r="1048" spans="2:13" ht="15" customHeight="1" x14ac:dyDescent="0.2">
      <c r="B1048" s="3" t="s">
        <v>923</v>
      </c>
      <c r="C1048" s="10" t="s">
        <v>848</v>
      </c>
      <c r="D1048" s="28">
        <f>Capital!$D$14</f>
        <v>2.6172655041921802</v>
      </c>
    </row>
    <row r="1049" spans="2:13" ht="15" customHeight="1" x14ac:dyDescent="0.2">
      <c r="B1049" s="10" t="s">
        <v>924</v>
      </c>
      <c r="C1049" s="10" t="s">
        <v>896</v>
      </c>
      <c r="D1049" s="28">
        <f>(M1022*(Inputs!$D$7+Inputs!$D$20)*$D$1045*(Inputs!$D$7-Inputs!$D$19)-M1022*Inputs!$D$20*Inputs!$D$23)/($D$1046-Inputs!$D$20)/(Inputs!$D$7+$D$1046)^M1020</f>
        <v>2079.7384176146556</v>
      </c>
      <c r="G1049" s="92" t="s">
        <v>910</v>
      </c>
      <c r="H1049" s="91"/>
      <c r="I1049" s="91"/>
      <c r="J1049" s="28">
        <f>SUM(D1041:M1041)+(M1022*(Inputs!$D$7+Inputs!$D$20)*$D$1045-M1022*Inputs!$D$20*Inputs!$D$23)/($D$1046-Inputs!$D$20)/(Inputs!$D$7+$D$1046)^M1020</f>
        <v>6721.6577114095699</v>
      </c>
      <c r="K1049" s="99" t="s">
        <v>896</v>
      </c>
      <c r="L1049" s="91"/>
      <c r="M1049" s="91"/>
    </row>
    <row r="1050" spans="2:13" ht="15" customHeight="1" x14ac:dyDescent="0.2">
      <c r="B1050" s="10" t="s">
        <v>925</v>
      </c>
      <c r="C1050" s="10" t="s">
        <v>110</v>
      </c>
      <c r="D1050" s="16">
        <f>(D1053*Inputs!$D$19-D1053-D1054)/($D$1046-Inputs!$D$20)/(Inputs!$D$7+$D$1046)^M1020</f>
        <v>-37876.58483194092</v>
      </c>
      <c r="G1050" s="92" t="s">
        <v>926</v>
      </c>
      <c r="H1050" s="91"/>
      <c r="I1050" s="91"/>
      <c r="J1050" s="16">
        <f>SUM(D1042:M1042)-(D1053+D1054)/($D$1046-Inputs!$D$20)/(Inputs!$D$7+$D$1046)^M1020</f>
        <v>-135956.51483423277</v>
      </c>
      <c r="K1050" s="99" t="s">
        <v>110</v>
      </c>
      <c r="L1050" s="91"/>
      <c r="M1050" s="91"/>
    </row>
    <row r="1051" spans="2:13" ht="15" customHeight="1" x14ac:dyDescent="0.2">
      <c r="B1051" s="10" t="s">
        <v>927</v>
      </c>
      <c r="C1051" s="10" t="s">
        <v>928</v>
      </c>
      <c r="D1051" s="16">
        <f>(M1022*(Inputs!$D$7+Inputs!$D$20)*$D$1044*$D$1045-D1053)-MAX((M1022*(Inputs!$D$7+Inputs!$D$20)*$D$1044*$D$1045-D1053),Inputs!$D$6)*Inputs!$D$19-D1054-M1022*Inputs!$D$20*$D$1044*Inputs!$D$23</f>
        <v>7830.1073769947789</v>
      </c>
      <c r="G1051" s="99" t="s">
        <v>929</v>
      </c>
      <c r="H1051" s="91"/>
      <c r="I1051" s="91"/>
      <c r="J1051" s="28">
        <f>(D1043-D1056)/D1055</f>
        <v>31.388744453261577</v>
      </c>
      <c r="K1051" s="99" t="s">
        <v>919</v>
      </c>
      <c r="L1051" s="91"/>
      <c r="M1051" s="91"/>
    </row>
    <row r="1052" spans="2:13" ht="15" customHeight="1" x14ac:dyDescent="0.2">
      <c r="B1052" s="10" t="s">
        <v>930</v>
      </c>
      <c r="C1052" s="10" t="s">
        <v>110</v>
      </c>
      <c r="D1052" s="16">
        <f>D1051/($D$1046-Inputs!$D$20)</f>
        <v>82422.18291573452</v>
      </c>
      <c r="G1052" s="99" t="s">
        <v>931</v>
      </c>
      <c r="H1052" s="91"/>
      <c r="I1052" s="91"/>
      <c r="J1052" s="16">
        <f>MIN(D1036:M1036,(M1022*(Inputs!$D$7+Inputs!$D$20)*$D$1044*$D$1045-D1053))</f>
        <v>1770.2670047254585</v>
      </c>
      <c r="K1052" s="99" t="s">
        <v>110</v>
      </c>
      <c r="L1052" s="91"/>
      <c r="M1052" s="91"/>
    </row>
    <row r="1053" spans="2:13" ht="15" customHeight="1" x14ac:dyDescent="0.2">
      <c r="B1053" s="10" t="s">
        <v>932</v>
      </c>
      <c r="C1053" s="10" t="s">
        <v>928</v>
      </c>
      <c r="D1053" s="16">
        <f>M1022*(Inputs!$D$7+Inputs!$D$20)*($D$1047/Inputs!$D$21+$D$1048/Inputs!$D$22)</f>
        <v>13509.71303671543</v>
      </c>
      <c r="G1053" s="99" t="s">
        <v>933</v>
      </c>
      <c r="H1053" s="91"/>
      <c r="I1053" s="91"/>
      <c r="J1053" s="31" t="str">
        <f>IF(J1052&lt;Inputs!$D$6,"breached","satisfied")</f>
        <v>satisfied</v>
      </c>
      <c r="K1053" s="99" t="s">
        <v>934</v>
      </c>
      <c r="L1053" s="91"/>
      <c r="M1053" s="91"/>
    </row>
    <row r="1054" spans="2:13" ht="15" customHeight="1" x14ac:dyDescent="0.2">
      <c r="B1054" s="10" t="s">
        <v>935</v>
      </c>
      <c r="C1054" s="10" t="s">
        <v>928</v>
      </c>
      <c r="D1054" s="16">
        <f>M1022*Inputs!$D$20*($D$1047+$D$1048)</f>
        <v>1365.7073615561799</v>
      </c>
    </row>
    <row r="1055" spans="2:13" ht="15" customHeight="1" x14ac:dyDescent="0.2">
      <c r="B1055" s="10" t="s">
        <v>936</v>
      </c>
      <c r="C1055" s="10" t="s">
        <v>896</v>
      </c>
      <c r="D1055" s="28">
        <f>SUM(D1032:M1032)+D1049</f>
        <v>4699.200884603526</v>
      </c>
      <c r="G1055" s="99" t="s">
        <v>937</v>
      </c>
      <c r="H1055" s="91"/>
      <c r="I1055" s="91"/>
      <c r="J1055" s="16">
        <f>D1057-D1043</f>
        <v>0</v>
      </c>
      <c r="K1055" s="99" t="s">
        <v>110</v>
      </c>
      <c r="L1055" s="91"/>
      <c r="M1055" s="91"/>
    </row>
    <row r="1056" spans="2:13" ht="15" customHeight="1" x14ac:dyDescent="0.2">
      <c r="B1056" s="10" t="s">
        <v>938</v>
      </c>
      <c r="C1056" s="10" t="s">
        <v>110</v>
      </c>
      <c r="D1056" s="16">
        <f>SUM(D1033:M1033)+D1050</f>
        <v>-103802.01570136083</v>
      </c>
    </row>
    <row r="1057" spans="1:13" ht="15" customHeight="1" x14ac:dyDescent="0.2">
      <c r="B1057" s="10" t="s">
        <v>939</v>
      </c>
      <c r="C1057" s="10" t="s">
        <v>110</v>
      </c>
      <c r="D1057" s="16">
        <f>SUM(D1040:M1040)+D1052/(Inputs!$D$7+$D$1046)^M1020</f>
        <v>43700.000000000022</v>
      </c>
    </row>
    <row r="1058" spans="1:13" ht="15" customHeight="1" x14ac:dyDescent="0.2">
      <c r="B1058" s="10" t="s">
        <v>940</v>
      </c>
      <c r="C1058" s="10" t="s">
        <v>104</v>
      </c>
      <c r="D1058" s="30">
        <f>IF(ABS(D1043)&gt;Inputs!$D$6,D1057/D1043-Inputs!$D$7,Inputs!$D$6)</f>
        <v>4.4408920985006262E-16</v>
      </c>
    </row>
    <row r="1059" spans="1:13" ht="15" customHeight="1" x14ac:dyDescent="0.2">
      <c r="B1059" s="10" t="s">
        <v>941</v>
      </c>
      <c r="C1059" s="10" t="s">
        <v>104</v>
      </c>
      <c r="D1059" s="30">
        <f>IF(ABS(D1057)&gt;Inputs!$D$119,D1052/(Inputs!$D$7+$D$1046)^M1020/D1057,Inputs!$D$6)</f>
        <v>0.62708908210975056</v>
      </c>
    </row>
    <row r="1060" spans="1:13" ht="15" customHeight="1" x14ac:dyDescent="0.2">
      <c r="B1060" s="10" t="s">
        <v>942</v>
      </c>
      <c r="C1060" s="10" t="s">
        <v>943</v>
      </c>
      <c r="D1060" s="26">
        <f>$D$1044*Inputs!$D$8/Prices!$P$6/(Inputs!$D$26/Inputs!$D$25)/Inputs!$D$11/Inputs!$D$56</f>
        <v>5.7081385228379533</v>
      </c>
    </row>
    <row r="1064" spans="1:13" ht="15" customHeight="1" x14ac:dyDescent="0.2">
      <c r="A1064" s="104" t="s">
        <v>2188</v>
      </c>
      <c r="B1064" s="10" t="s">
        <v>886</v>
      </c>
      <c r="C1064" s="10" t="s">
        <v>107</v>
      </c>
      <c r="D1064" s="28">
        <f>Inputs!$D$60</f>
        <v>1</v>
      </c>
      <c r="E1064" s="28">
        <f>Inputs!$D$62</f>
        <v>2</v>
      </c>
      <c r="F1064" s="28">
        <f>Inputs!$D$64</f>
        <v>3</v>
      </c>
      <c r="G1064" s="28">
        <f>Inputs!$D$66</f>
        <v>4</v>
      </c>
      <c r="H1064" s="28">
        <f>Inputs!$D$68</f>
        <v>5</v>
      </c>
      <c r="I1064" s="28">
        <f>Inputs!$D$70</f>
        <v>6</v>
      </c>
      <c r="J1064" s="28">
        <f>Inputs!$D$72</f>
        <v>7</v>
      </c>
      <c r="K1064" s="28">
        <f>Inputs!$D$74</f>
        <v>8</v>
      </c>
      <c r="L1064" s="28">
        <f>Inputs!$D$76</f>
        <v>9</v>
      </c>
      <c r="M1064" s="28">
        <f>Inputs!$D$78</f>
        <v>10</v>
      </c>
    </row>
    <row r="1065" spans="1:13" ht="15" customHeight="1" x14ac:dyDescent="0.2">
      <c r="A1065" s="91"/>
      <c r="B1065" s="10" t="s">
        <v>887</v>
      </c>
      <c r="C1065" s="10" t="s">
        <v>161</v>
      </c>
      <c r="D1065" s="29">
        <f>Inputs!$D$61</f>
        <v>46568</v>
      </c>
      <c r="E1065" s="29">
        <f>Inputs!$D$63</f>
        <v>46934</v>
      </c>
      <c r="F1065" s="29">
        <f>Inputs!$D$65</f>
        <v>47299</v>
      </c>
      <c r="G1065" s="29">
        <f>Inputs!$D$67</f>
        <v>47664</v>
      </c>
      <c r="H1065" s="29">
        <f>Inputs!$D$69</f>
        <v>48029</v>
      </c>
      <c r="I1065" s="29">
        <f>Inputs!$D$71</f>
        <v>48395</v>
      </c>
      <c r="J1065" s="29">
        <f>Inputs!$D$73</f>
        <v>48760</v>
      </c>
      <c r="K1065" s="29">
        <f>Inputs!$D$75</f>
        <v>49125</v>
      </c>
      <c r="L1065" s="29">
        <f>Inputs!$D$77</f>
        <v>49490</v>
      </c>
      <c r="M1065" s="29">
        <f>Inputs!$D$79</f>
        <v>49856</v>
      </c>
    </row>
    <row r="1066" spans="1:13" ht="15" customHeight="1" x14ac:dyDescent="0.2">
      <c r="A1066" s="91"/>
      <c r="B1066" s="10" t="s">
        <v>888</v>
      </c>
      <c r="C1066" s="10" t="s">
        <v>107</v>
      </c>
      <c r="D1066" s="28">
        <f>(D1065-Inputs!$D$13)/Inputs!$D$10</f>
        <v>0.71457905544147848</v>
      </c>
      <c r="E1066" s="28">
        <f>(E1065-Inputs!$D$13)/Inputs!$D$10</f>
        <v>1.7166324435318274</v>
      </c>
      <c r="F1066" s="28">
        <f>(F1065-Inputs!$D$13)/Inputs!$D$10</f>
        <v>2.7159479808350446</v>
      </c>
      <c r="G1066" s="28">
        <f>(G1065-Inputs!$D$13)/Inputs!$D$10</f>
        <v>3.7152635181382614</v>
      </c>
      <c r="H1066" s="28">
        <f>(H1065-Inputs!$D$13)/Inputs!$D$10</f>
        <v>4.7145790554414786</v>
      </c>
      <c r="I1066" s="28">
        <f>(I1065-Inputs!$D$13)/Inputs!$D$10</f>
        <v>5.7166324435318279</v>
      </c>
      <c r="J1066" s="28">
        <f>(J1065-Inputs!$D$13)/Inputs!$D$10</f>
        <v>6.7159479808350442</v>
      </c>
      <c r="K1066" s="28">
        <f>(K1065-Inputs!$D$13)/Inputs!$D$10</f>
        <v>7.7152635181382614</v>
      </c>
      <c r="L1066" s="28">
        <f>(L1065-Inputs!$D$13)/Inputs!$D$10</f>
        <v>8.7145790554414777</v>
      </c>
      <c r="M1066" s="28">
        <f>(M1065-Inputs!$D$13)/Inputs!$D$10</f>
        <v>9.716632443531827</v>
      </c>
    </row>
    <row r="1067" spans="1:13" ht="15" customHeight="1" x14ac:dyDescent="0.2">
      <c r="A1067" s="91"/>
      <c r="B1067" s="10" t="s">
        <v>889</v>
      </c>
      <c r="C1067" s="10" t="s">
        <v>107</v>
      </c>
      <c r="D1067" s="28">
        <f>D1066</f>
        <v>0.71457905544147848</v>
      </c>
      <c r="E1067" s="28">
        <f>Inputs!$D$7</f>
        <v>1</v>
      </c>
      <c r="F1067" s="28">
        <f>Inputs!$D$7</f>
        <v>1</v>
      </c>
      <c r="G1067" s="28">
        <f>Inputs!$D$7</f>
        <v>1</v>
      </c>
      <c r="H1067" s="28">
        <f>Inputs!$D$7</f>
        <v>1</v>
      </c>
      <c r="I1067" s="28">
        <f>Inputs!$D$7</f>
        <v>1</v>
      </c>
      <c r="J1067" s="28">
        <f>Inputs!$D$7</f>
        <v>1</v>
      </c>
      <c r="K1067" s="28">
        <f>Inputs!$D$7</f>
        <v>1</v>
      </c>
      <c r="L1067" s="28">
        <f>Inputs!$D$7</f>
        <v>1</v>
      </c>
      <c r="M1067" s="28">
        <f>Inputs!$D$7</f>
        <v>1</v>
      </c>
    </row>
    <row r="1068" spans="1:13" ht="15" customHeight="1" x14ac:dyDescent="0.2">
      <c r="A1068" s="91"/>
      <c r="B1068" s="3" t="s">
        <v>890</v>
      </c>
      <c r="C1068" s="10" t="s">
        <v>199</v>
      </c>
      <c r="D1068" s="28">
        <f>Inputs!$D$24+(Inputs!$D$80-Inputs!$D$24)*Inputs!$D$83</f>
        <v>305.5</v>
      </c>
      <c r="E1068" s="28">
        <f>Inputs!$D$24+(Inputs!$D$80-Inputs!$D$24)*Inputs!$D$84</f>
        <v>651.5</v>
      </c>
      <c r="F1068" s="28">
        <f>Inputs!$D$24+(Inputs!$D$80-Inputs!$D$24)*Inputs!$D$85</f>
        <v>911</v>
      </c>
      <c r="G1068" s="28">
        <f>Inputs!$D$24+(Inputs!$D$80-Inputs!$D$24)*Inputs!$D$86</f>
        <v>911</v>
      </c>
      <c r="H1068" s="28">
        <f>Inputs!$D$24+(Inputs!$D$80-Inputs!$D$24)*Inputs!$D$87</f>
        <v>911</v>
      </c>
      <c r="I1068" s="28">
        <f>Inputs!$D$24+(Inputs!$D$80-Inputs!$D$24)*Inputs!$D$88</f>
        <v>911</v>
      </c>
      <c r="J1068" s="28">
        <f>Inputs!$D$24+(Inputs!$D$80-Inputs!$D$24)*Inputs!$D$89</f>
        <v>911</v>
      </c>
      <c r="K1068" s="28">
        <f>Inputs!$D$24+(Inputs!$D$80-Inputs!$D$24)*Inputs!$D$90</f>
        <v>911</v>
      </c>
      <c r="L1068" s="28">
        <f>Inputs!$D$24+(Inputs!$D$80-Inputs!$D$24)*Inputs!$D$91</f>
        <v>911</v>
      </c>
      <c r="M1068" s="28">
        <f>Inputs!$D$24+(Inputs!$D$80-Inputs!$D$24)*Inputs!$D$92</f>
        <v>911</v>
      </c>
    </row>
    <row r="1069" spans="1:13" ht="15" customHeight="1" x14ac:dyDescent="0.2">
      <c r="A1069" s="91"/>
      <c r="B1069" s="10" t="s">
        <v>891</v>
      </c>
      <c r="C1069" s="10" t="s">
        <v>199</v>
      </c>
      <c r="D1069" s="28">
        <f>Inputs!$D$24</f>
        <v>46</v>
      </c>
      <c r="E1069" s="28">
        <f t="shared" ref="E1069:M1069" si="230">D1068</f>
        <v>305.5</v>
      </c>
      <c r="F1069" s="28">
        <f t="shared" si="230"/>
        <v>651.5</v>
      </c>
      <c r="G1069" s="28">
        <f t="shared" si="230"/>
        <v>911</v>
      </c>
      <c r="H1069" s="28">
        <f t="shared" si="230"/>
        <v>911</v>
      </c>
      <c r="I1069" s="28">
        <f t="shared" si="230"/>
        <v>911</v>
      </c>
      <c r="J1069" s="28">
        <f t="shared" si="230"/>
        <v>911</v>
      </c>
      <c r="K1069" s="28">
        <f t="shared" si="230"/>
        <v>911</v>
      </c>
      <c r="L1069" s="28">
        <f t="shared" si="230"/>
        <v>911</v>
      </c>
      <c r="M1069" s="28">
        <f t="shared" si="230"/>
        <v>911</v>
      </c>
    </row>
    <row r="1070" spans="1:13" ht="15" customHeight="1" x14ac:dyDescent="0.2">
      <c r="B1070" s="10" t="s">
        <v>892</v>
      </c>
      <c r="C1070" s="10" t="s">
        <v>199</v>
      </c>
      <c r="D1070" s="28">
        <f>(D1069+D1068)*Inputs!$D$12</f>
        <v>175.75</v>
      </c>
      <c r="E1070" s="28">
        <f>(E1069+E1068)*Inputs!$D$12</f>
        <v>478.5</v>
      </c>
      <c r="F1070" s="28">
        <f>(F1069+F1068)*Inputs!$D$12</f>
        <v>781.25</v>
      </c>
      <c r="G1070" s="28">
        <f>(G1069+G1068)*Inputs!$D$12</f>
        <v>911</v>
      </c>
      <c r="H1070" s="28">
        <f>(H1069+H1068)*Inputs!$D$12</f>
        <v>911</v>
      </c>
      <c r="I1070" s="28">
        <f>(I1069+I1068)*Inputs!$D$12</f>
        <v>911</v>
      </c>
      <c r="J1070" s="28">
        <f>(J1069+J1068)*Inputs!$D$12</f>
        <v>911</v>
      </c>
      <c r="K1070" s="28">
        <f>(K1069+K1068)*Inputs!$D$12</f>
        <v>911</v>
      </c>
      <c r="L1070" s="28">
        <f>(L1069+L1068)*Inputs!$D$12</f>
        <v>911</v>
      </c>
      <c r="M1070" s="28">
        <f>(M1069+M1068)*Inputs!$D$12</f>
        <v>911</v>
      </c>
    </row>
    <row r="1071" spans="1:13" ht="15" customHeight="1" x14ac:dyDescent="0.2">
      <c r="B1071" s="10" t="s">
        <v>893</v>
      </c>
      <c r="C1071" s="10" t="s">
        <v>199</v>
      </c>
      <c r="D1071" s="28">
        <f t="shared" ref="D1071:M1071" si="231">D1068-D1069</f>
        <v>259.5</v>
      </c>
      <c r="E1071" s="28">
        <f t="shared" si="231"/>
        <v>346</v>
      </c>
      <c r="F1071" s="28">
        <f t="shared" si="231"/>
        <v>259.5</v>
      </c>
      <c r="G1071" s="28">
        <f t="shared" si="231"/>
        <v>0</v>
      </c>
      <c r="H1071" s="28">
        <f t="shared" si="231"/>
        <v>0</v>
      </c>
      <c r="I1071" s="28">
        <f t="shared" si="231"/>
        <v>0</v>
      </c>
      <c r="J1071" s="28">
        <f t="shared" si="231"/>
        <v>0</v>
      </c>
      <c r="K1071" s="28">
        <f t="shared" si="231"/>
        <v>0</v>
      </c>
      <c r="L1071" s="28">
        <f t="shared" si="231"/>
        <v>0</v>
      </c>
      <c r="M1071" s="28">
        <f t="shared" si="231"/>
        <v>0</v>
      </c>
    </row>
    <row r="1072" spans="1:13" ht="15" customHeight="1" x14ac:dyDescent="0.2">
      <c r="B1072" s="10" t="s">
        <v>894</v>
      </c>
      <c r="C1072" s="10" t="s">
        <v>199</v>
      </c>
      <c r="D1072" s="28">
        <f>IF(MOD(D1064,Inputs!$D$21)=Inputs!$D$6,Inputs!$D$24,Inputs!$D$6)+SUMPRODUCT(--(D1064&gt;$D$1064:$M$1064),--(MOD(D1064-$D$1064:$M$1064,Inputs!$D$21)=Inputs!$D$6),$D$1071:$M$1071)</f>
        <v>0</v>
      </c>
      <c r="E1072" s="28">
        <f>IF(MOD(E1064,Inputs!$D$21)=Inputs!$D$6,Inputs!$D$24,Inputs!$D$6)+SUMPRODUCT(--(E1064&gt;$D$1064:$M$1064),--(MOD(E1064-$D$1064:$M$1064,Inputs!$D$21)=Inputs!$D$6),$D$1071:$M$1071)</f>
        <v>0</v>
      </c>
      <c r="F1072" s="28">
        <f>IF(MOD(F1064,Inputs!$D$21)=Inputs!$D$6,Inputs!$D$24,Inputs!$D$6)+SUMPRODUCT(--(F1064&gt;$D$1064:$M$1064),--(MOD(F1064-$D$1064:$M$1064,Inputs!$D$21)=Inputs!$D$6),$D$1071:$M$1071)</f>
        <v>0</v>
      </c>
      <c r="G1072" s="28">
        <f>IF(MOD(G1064,Inputs!$D$21)=Inputs!$D$6,Inputs!$D$24,Inputs!$D$6)+SUMPRODUCT(--(G1064&gt;$D$1064:$M$1064),--(MOD(G1064-$D$1064:$M$1064,Inputs!$D$21)=Inputs!$D$6),$D$1071:$M$1071)</f>
        <v>46</v>
      </c>
      <c r="H1072" s="28">
        <f>IF(MOD(H1064,Inputs!$D$21)=Inputs!$D$6,Inputs!$D$24,Inputs!$D$6)+SUMPRODUCT(--(H1064&gt;$D$1064:$M$1064),--(MOD(H1064-$D$1064:$M$1064,Inputs!$D$21)=Inputs!$D$6),$D$1071:$M$1071)</f>
        <v>259.5</v>
      </c>
      <c r="I1072" s="28">
        <f>IF(MOD(I1064,Inputs!$D$21)=Inputs!$D$6,Inputs!$D$24,Inputs!$D$6)+SUMPRODUCT(--(I1064&gt;$D$1064:$M$1064),--(MOD(I1064-$D$1064:$M$1064,Inputs!$D$21)=Inputs!$D$6),$D$1071:$M$1071)</f>
        <v>346</v>
      </c>
      <c r="J1072" s="28">
        <f>IF(MOD(J1064,Inputs!$D$21)=Inputs!$D$6,Inputs!$D$24,Inputs!$D$6)+SUMPRODUCT(--(J1064&gt;$D$1064:$M$1064),--(MOD(J1064-$D$1064:$M$1064,Inputs!$D$21)=Inputs!$D$6),$D$1071:$M$1071)</f>
        <v>259.5</v>
      </c>
      <c r="K1072" s="28">
        <f>IF(MOD(K1064,Inputs!$D$21)=Inputs!$D$6,Inputs!$D$24,Inputs!$D$6)+SUMPRODUCT(--(K1064&gt;$D$1064:$M$1064),--(MOD(K1064-$D$1064:$M$1064,Inputs!$D$21)=Inputs!$D$6),$D$1071:$M$1071)</f>
        <v>46</v>
      </c>
      <c r="L1072" s="28">
        <f>IF(MOD(L1064,Inputs!$D$21)=Inputs!$D$6,Inputs!$D$24,Inputs!$D$6)+SUMPRODUCT(--(L1064&gt;$D$1064:$M$1064),--(MOD(L1064-$D$1064:$M$1064,Inputs!$D$21)=Inputs!$D$6),$D$1071:$M$1071)</f>
        <v>259.5</v>
      </c>
      <c r="M1072" s="28">
        <f>IF(MOD(M1064,Inputs!$D$21)=Inputs!$D$6,Inputs!$D$24,Inputs!$D$6)+SUMPRODUCT(--(M1064&gt;$D$1064:$M$1064),--(MOD(M1064-$D$1064:$M$1064,Inputs!$D$21)=Inputs!$D$6),$D$1071:$M$1071)</f>
        <v>346</v>
      </c>
    </row>
    <row r="1073" spans="2:13" ht="15" customHeight="1" x14ac:dyDescent="0.2">
      <c r="B1073" s="10" t="s">
        <v>895</v>
      </c>
      <c r="C1073" s="10" t="s">
        <v>896</v>
      </c>
      <c r="D1073" s="28">
        <f t="shared" ref="D1073:M1073" si="232">D1070*D1067</f>
        <v>125.58726899383984</v>
      </c>
      <c r="E1073" s="28">
        <f t="shared" si="232"/>
        <v>478.5</v>
      </c>
      <c r="F1073" s="28">
        <f t="shared" si="232"/>
        <v>781.25</v>
      </c>
      <c r="G1073" s="28">
        <f t="shared" si="232"/>
        <v>911</v>
      </c>
      <c r="H1073" s="28">
        <f t="shared" si="232"/>
        <v>911</v>
      </c>
      <c r="I1073" s="28">
        <f t="shared" si="232"/>
        <v>911</v>
      </c>
      <c r="J1073" s="28">
        <f t="shared" si="232"/>
        <v>911</v>
      </c>
      <c r="K1073" s="28">
        <f t="shared" si="232"/>
        <v>911</v>
      </c>
      <c r="L1073" s="28">
        <f t="shared" si="232"/>
        <v>911</v>
      </c>
      <c r="M1073" s="28">
        <f t="shared" si="232"/>
        <v>911</v>
      </c>
    </row>
    <row r="1074" spans="2:13" ht="15" customHeight="1" x14ac:dyDescent="0.2">
      <c r="B1074" s="10" t="s">
        <v>897</v>
      </c>
      <c r="C1074" s="10" t="s">
        <v>110</v>
      </c>
      <c r="D1074" s="16">
        <f>D1073*($D$1093/Inputs!$D$21+$D$1094/Inputs!$D$22)</f>
        <v>1816.9772859324419</v>
      </c>
      <c r="E1074" s="16">
        <f>E1073*($D$1093/Inputs!$D$21+$D$1094/Inputs!$D$22)</f>
        <v>6922.8643817497086</v>
      </c>
      <c r="F1074" s="16">
        <f>F1073*($D$1093/Inputs!$D$21+$D$1094/Inputs!$D$22)</f>
        <v>11303.0048030135</v>
      </c>
      <c r="G1074" s="16">
        <f>G1073*($D$1093/Inputs!$D$21+$D$1094/Inputs!$D$22)</f>
        <v>13180.207840697982</v>
      </c>
      <c r="H1074" s="16">
        <f>H1073*($D$1093/Inputs!$D$21+$D$1094/Inputs!$D$22)</f>
        <v>13180.207840697982</v>
      </c>
      <c r="I1074" s="16">
        <f>I1073*($D$1093/Inputs!$D$21+$D$1094/Inputs!$D$22)</f>
        <v>13180.207840697982</v>
      </c>
      <c r="J1074" s="16">
        <f>J1073*($D$1093/Inputs!$D$21+$D$1094/Inputs!$D$22)</f>
        <v>13180.207840697982</v>
      </c>
      <c r="K1074" s="16">
        <f>K1073*($D$1093/Inputs!$D$21+$D$1094/Inputs!$D$22)</f>
        <v>13180.207840697982</v>
      </c>
      <c r="L1074" s="16">
        <f>L1073*($D$1093/Inputs!$D$21+$D$1094/Inputs!$D$22)</f>
        <v>13180.207840697982</v>
      </c>
      <c r="M1074" s="16">
        <f>M1073*($D$1093/Inputs!$D$21+$D$1094/Inputs!$D$22)</f>
        <v>13180.207840697982</v>
      </c>
    </row>
    <row r="1075" spans="2:13" ht="15" customHeight="1" x14ac:dyDescent="0.2">
      <c r="B1075" s="10" t="s">
        <v>898</v>
      </c>
      <c r="C1075" s="10" t="s">
        <v>110</v>
      </c>
      <c r="D1075" s="16">
        <f t="shared" ref="D1075:M1075" si="233">D1071*($D$1093+$D$1094)</f>
        <v>15560.968620146154</v>
      </c>
      <c r="E1075" s="16">
        <f t="shared" si="233"/>
        <v>20747.95816019487</v>
      </c>
      <c r="F1075" s="16">
        <f t="shared" si="233"/>
        <v>15560.968620146154</v>
      </c>
      <c r="G1075" s="16">
        <f t="shared" si="233"/>
        <v>0</v>
      </c>
      <c r="H1075" s="16">
        <f t="shared" si="233"/>
        <v>0</v>
      </c>
      <c r="I1075" s="16">
        <f t="shared" si="233"/>
        <v>0</v>
      </c>
      <c r="J1075" s="16">
        <f t="shared" si="233"/>
        <v>0</v>
      </c>
      <c r="K1075" s="16">
        <f t="shared" si="233"/>
        <v>0</v>
      </c>
      <c r="L1075" s="16">
        <f t="shared" si="233"/>
        <v>0</v>
      </c>
      <c r="M1075" s="16">
        <f t="shared" si="233"/>
        <v>0</v>
      </c>
    </row>
    <row r="1076" spans="2:13" ht="15" customHeight="1" x14ac:dyDescent="0.2">
      <c r="B1076" s="10" t="s">
        <v>899</v>
      </c>
      <c r="C1076" s="10" t="s">
        <v>110</v>
      </c>
      <c r="D1076" s="16">
        <f t="shared" ref="D1076:M1076" si="234">D1072*$D$1093</f>
        <v>0</v>
      </c>
      <c r="E1076" s="16">
        <f t="shared" si="234"/>
        <v>0</v>
      </c>
      <c r="F1076" s="16">
        <f t="shared" si="234"/>
        <v>0</v>
      </c>
      <c r="G1076" s="16">
        <f t="shared" si="234"/>
        <v>2638.0048485671714</v>
      </c>
      <c r="H1076" s="16">
        <f t="shared" si="234"/>
        <v>14881.788221808281</v>
      </c>
      <c r="I1076" s="16">
        <f t="shared" si="234"/>
        <v>19842.384295744378</v>
      </c>
      <c r="J1076" s="16">
        <f t="shared" si="234"/>
        <v>14881.788221808281</v>
      </c>
      <c r="K1076" s="16">
        <f t="shared" si="234"/>
        <v>2638.0048485671714</v>
      </c>
      <c r="L1076" s="16">
        <f t="shared" si="234"/>
        <v>14881.788221808281</v>
      </c>
      <c r="M1076" s="16">
        <f t="shared" si="234"/>
        <v>19842.384295744378</v>
      </c>
    </row>
    <row r="1077" spans="2:13" ht="15" customHeight="1" x14ac:dyDescent="0.2">
      <c r="B1077" s="10" t="s">
        <v>900</v>
      </c>
      <c r="C1077" s="10" t="s">
        <v>199</v>
      </c>
      <c r="D1077" s="28">
        <f>D1071*Inputs!$D$23</f>
        <v>6.4875000000000007</v>
      </c>
      <c r="E1077" s="28">
        <f>E1071*Inputs!$D$23</f>
        <v>8.65</v>
      </c>
      <c r="F1077" s="28">
        <f>F1071*Inputs!$D$23</f>
        <v>6.4875000000000007</v>
      </c>
      <c r="G1077" s="28">
        <f>G1071*Inputs!$D$23</f>
        <v>0</v>
      </c>
      <c r="H1077" s="28">
        <f>H1071*Inputs!$D$23</f>
        <v>0</v>
      </c>
      <c r="I1077" s="28">
        <f>I1071*Inputs!$D$23</f>
        <v>0</v>
      </c>
      <c r="J1077" s="28">
        <f>J1071*Inputs!$D$23</f>
        <v>0</v>
      </c>
      <c r="K1077" s="28">
        <f>K1071*Inputs!$D$23</f>
        <v>0</v>
      </c>
      <c r="L1077" s="28">
        <f>L1071*Inputs!$D$23</f>
        <v>0</v>
      </c>
      <c r="M1077" s="28">
        <f>M1071*Inputs!$D$23</f>
        <v>0</v>
      </c>
    </row>
    <row r="1078" spans="2:13" ht="15" customHeight="1" x14ac:dyDescent="0.2">
      <c r="B1078" s="3" t="s">
        <v>901</v>
      </c>
      <c r="C1078" s="10" t="s">
        <v>896</v>
      </c>
      <c r="D1078" s="28">
        <f>(D1073*$D$1091*(Inputs!$D$7-Inputs!$D$19)-D1077)/(Inputs!$D$7+$D$1092)^D1066</f>
        <v>66.941093664025175</v>
      </c>
      <c r="E1078" s="28">
        <f>(E1073*$D$1091*(Inputs!$D$7-Inputs!$D$19)-E1077)/(Inputs!$D$7+$D$1092)^E1066</f>
        <v>236.50134886069964</v>
      </c>
      <c r="F1078" s="28">
        <f>(F1073*$D$1091*(Inputs!$D$7-Inputs!$D$19)-F1077)/(Inputs!$D$7+$D$1092)^F1066</f>
        <v>344.09638613757659</v>
      </c>
      <c r="G1078" s="28">
        <f>(G1073*$D$1091*(Inputs!$D$7-Inputs!$D$19)-G1077)/(Inputs!$D$7+$D$1092)^G1066</f>
        <v>356.64923033671215</v>
      </c>
      <c r="H1078" s="28">
        <f>(H1073*$D$1091*(Inputs!$D$7-Inputs!$D$19)-H1077)/(Inputs!$D$7+$D$1092)^H1066</f>
        <v>312.87826095227666</v>
      </c>
      <c r="I1078" s="28">
        <f>(I1073*$D$1091*(Inputs!$D$7-Inputs!$D$19)-I1077)/(Inputs!$D$7+$D$1092)^I1066</f>
        <v>274.38078227493429</v>
      </c>
      <c r="J1078" s="28">
        <f>(J1073*$D$1091*(Inputs!$D$7-Inputs!$D$19)-J1077)/(Inputs!$D$7+$D$1092)^J1066</f>
        <v>240.70648327449891</v>
      </c>
      <c r="K1078" s="28">
        <f>(K1073*$D$1091*(Inputs!$D$7-Inputs!$D$19)-K1077)/(Inputs!$D$7+$D$1092)^K1066</f>
        <v>211.16497522162516</v>
      </c>
      <c r="L1078" s="28">
        <f>(L1073*$D$1091*(Inputs!$D$7-Inputs!$D$19)-L1077)/(Inputs!$D$7+$D$1092)^L1066</f>
        <v>185.24904752772656</v>
      </c>
      <c r="M1078" s="28">
        <f>(M1073*$D$1091*(Inputs!$D$7-Inputs!$D$19)-M1077)/(Inputs!$D$7+$D$1092)^M1066</f>
        <v>162.45544967439267</v>
      </c>
    </row>
    <row r="1079" spans="2:13" ht="15" customHeight="1" x14ac:dyDescent="0.2">
      <c r="B1079" s="10" t="s">
        <v>902</v>
      </c>
      <c r="C1079" s="10" t="s">
        <v>110</v>
      </c>
      <c r="D1079" s="16">
        <f>(D1074*Inputs!$D$19-D1075-D1076)/(Inputs!$D$7+$D$1092)^D1066</f>
        <v>-13673.750208995338</v>
      </c>
      <c r="E1079" s="16">
        <f>(E1074*Inputs!$D$19-E1075-E1076)/(Inputs!$D$7+$D$1092)^E1066</f>
        <v>-14910.258198718562</v>
      </c>
      <c r="F1079" s="16">
        <f>(F1074*Inputs!$D$19-F1075-F1076)/(Inputs!$D$7+$D$1092)^F1066</f>
        <v>-8525.9417164238148</v>
      </c>
      <c r="G1079" s="16">
        <f>(G1074*Inputs!$D$19-G1075-G1076)/(Inputs!$D$7+$D$1092)^G1066</f>
        <v>808.83204192410847</v>
      </c>
      <c r="H1079" s="16">
        <f>(H1074*Inputs!$D$19-H1075-H1076)/(Inputs!$D$7+$D$1092)^H1066</f>
        <v>-5891.7915280072548</v>
      </c>
      <c r="I1079" s="16">
        <f>(I1074*Inputs!$D$19-I1075-I1076)/(Inputs!$D$7+$D$1092)^I1066</f>
        <v>-7512.3171078465948</v>
      </c>
      <c r="J1079" s="16">
        <f>(J1074*Inputs!$D$19-J1075-J1076)/(Inputs!$D$7+$D$1092)^J1066</f>
        <v>-4532.7291662153211</v>
      </c>
      <c r="K1079" s="16">
        <f>(K1074*Inputs!$D$19-K1075-K1076)/(Inputs!$D$7+$D$1092)^K1066</f>
        <v>478.89349972832292</v>
      </c>
      <c r="L1079" s="16">
        <f>(L1074*Inputs!$D$19-L1075-L1076)/(Inputs!$D$7+$D$1092)^L1066</f>
        <v>-3488.413562109869</v>
      </c>
      <c r="M1079" s="16">
        <f>(M1074*Inputs!$D$19-M1075-M1076)/(Inputs!$D$7+$D$1092)^M1066</f>
        <v>-4447.8947969066312</v>
      </c>
    </row>
    <row r="1080" spans="2:13" ht="15" customHeight="1" x14ac:dyDescent="0.2">
      <c r="B1080" s="10" t="s">
        <v>903</v>
      </c>
      <c r="C1080" s="10" t="s">
        <v>110</v>
      </c>
      <c r="D1080" s="16">
        <f t="shared" ref="D1080:M1080" si="235">D1073*$D$1090</f>
        <v>4311.2715116049412</v>
      </c>
      <c r="E1080" s="16">
        <f t="shared" si="235"/>
        <v>16426.373746563066</v>
      </c>
      <c r="F1080" s="16">
        <f t="shared" si="235"/>
        <v>26819.44511912726</v>
      </c>
      <c r="G1080" s="16">
        <f t="shared" si="235"/>
        <v>31273.618564511915</v>
      </c>
      <c r="H1080" s="16">
        <f t="shared" si="235"/>
        <v>31273.618564511915</v>
      </c>
      <c r="I1080" s="16">
        <f t="shared" si="235"/>
        <v>31273.618564511915</v>
      </c>
      <c r="J1080" s="16">
        <f t="shared" si="235"/>
        <v>31273.618564511915</v>
      </c>
      <c r="K1080" s="16">
        <f t="shared" si="235"/>
        <v>31273.618564511915</v>
      </c>
      <c r="L1080" s="16">
        <f t="shared" si="235"/>
        <v>31273.618564511915</v>
      </c>
      <c r="M1080" s="16">
        <f t="shared" si="235"/>
        <v>31273.618564511915</v>
      </c>
    </row>
    <row r="1081" spans="2:13" ht="15" customHeight="1" x14ac:dyDescent="0.2">
      <c r="B1081" s="10" t="s">
        <v>904</v>
      </c>
      <c r="C1081" s="10" t="s">
        <v>110</v>
      </c>
      <c r="D1081" s="16">
        <f t="shared" ref="D1081:M1081" si="236">D1080*$D$1091</f>
        <v>3923.2570755604966</v>
      </c>
      <c r="E1081" s="16">
        <f t="shared" si="236"/>
        <v>14948.000109372389</v>
      </c>
      <c r="F1081" s="16">
        <f t="shared" si="236"/>
        <v>24405.695058405807</v>
      </c>
      <c r="G1081" s="16">
        <f t="shared" si="236"/>
        <v>28458.992893705843</v>
      </c>
      <c r="H1081" s="16">
        <f t="shared" si="236"/>
        <v>28458.992893705843</v>
      </c>
      <c r="I1081" s="16">
        <f t="shared" si="236"/>
        <v>28458.992893705843</v>
      </c>
      <c r="J1081" s="16">
        <f t="shared" si="236"/>
        <v>28458.992893705843</v>
      </c>
      <c r="K1081" s="16">
        <f t="shared" si="236"/>
        <v>28458.992893705843</v>
      </c>
      <c r="L1081" s="16">
        <f t="shared" si="236"/>
        <v>28458.992893705843</v>
      </c>
      <c r="M1081" s="16">
        <f t="shared" si="236"/>
        <v>28458.992893705843</v>
      </c>
    </row>
    <row r="1082" spans="2:13" ht="15" customHeight="1" x14ac:dyDescent="0.2">
      <c r="B1082" s="10" t="s">
        <v>905</v>
      </c>
      <c r="C1082" s="10" t="s">
        <v>110</v>
      </c>
      <c r="D1082" s="16">
        <f t="shared" ref="D1082:M1082" si="237">D1081-D1074</f>
        <v>2106.2797896280545</v>
      </c>
      <c r="E1082" s="16">
        <f t="shared" si="237"/>
        <v>8025.1357276226809</v>
      </c>
      <c r="F1082" s="16">
        <f t="shared" si="237"/>
        <v>13102.690255392306</v>
      </c>
      <c r="G1082" s="16">
        <f t="shared" si="237"/>
        <v>15278.785053007861</v>
      </c>
      <c r="H1082" s="16">
        <f t="shared" si="237"/>
        <v>15278.785053007861</v>
      </c>
      <c r="I1082" s="16">
        <f t="shared" si="237"/>
        <v>15278.785053007861</v>
      </c>
      <c r="J1082" s="16">
        <f t="shared" si="237"/>
        <v>15278.785053007861</v>
      </c>
      <c r="K1082" s="16">
        <f t="shared" si="237"/>
        <v>15278.785053007861</v>
      </c>
      <c r="L1082" s="16">
        <f t="shared" si="237"/>
        <v>15278.785053007861</v>
      </c>
      <c r="M1082" s="16">
        <f t="shared" si="237"/>
        <v>15278.785053007861</v>
      </c>
    </row>
    <row r="1083" spans="2:13" ht="15" customHeight="1" x14ac:dyDescent="0.2">
      <c r="B1083" s="10" t="s">
        <v>906</v>
      </c>
      <c r="C1083" s="10" t="s">
        <v>110</v>
      </c>
      <c r="D1083" s="16">
        <f>MAX(D1082,Inputs!$D$6)*Inputs!$D$19</f>
        <v>631.88393688841632</v>
      </c>
      <c r="E1083" s="16">
        <f>MAX(E1082,Inputs!$D$6)*Inputs!$D$19</f>
        <v>2407.5407182868043</v>
      </c>
      <c r="F1083" s="16">
        <f>MAX(F1082,Inputs!$D$6)*Inputs!$D$19</f>
        <v>3930.8070766176916</v>
      </c>
      <c r="G1083" s="16">
        <f>MAX(G1082,Inputs!$D$6)*Inputs!$D$19</f>
        <v>4583.6355159023578</v>
      </c>
      <c r="H1083" s="16">
        <f>MAX(H1082,Inputs!$D$6)*Inputs!$D$19</f>
        <v>4583.6355159023578</v>
      </c>
      <c r="I1083" s="16">
        <f>MAX(I1082,Inputs!$D$6)*Inputs!$D$19</f>
        <v>4583.6355159023578</v>
      </c>
      <c r="J1083" s="16">
        <f>MAX(J1082,Inputs!$D$6)*Inputs!$D$19</f>
        <v>4583.6355159023578</v>
      </c>
      <c r="K1083" s="16">
        <f>MAX(K1082,Inputs!$D$6)*Inputs!$D$19</f>
        <v>4583.6355159023578</v>
      </c>
      <c r="L1083" s="16">
        <f>MAX(L1082,Inputs!$D$6)*Inputs!$D$19</f>
        <v>4583.6355159023578</v>
      </c>
      <c r="M1083" s="16">
        <f>MAX(M1082,Inputs!$D$6)*Inputs!$D$19</f>
        <v>4583.6355159023578</v>
      </c>
    </row>
    <row r="1084" spans="2:13" ht="15" customHeight="1" x14ac:dyDescent="0.2">
      <c r="B1084" s="10" t="s">
        <v>907</v>
      </c>
      <c r="C1084" s="10" t="s">
        <v>110</v>
      </c>
      <c r="D1084" s="16">
        <f t="shared" ref="D1084:M1084" si="238">D1077*$D$1090</f>
        <v>222.70867226923281</v>
      </c>
      <c r="E1084" s="16">
        <f t="shared" si="238"/>
        <v>296.94489635897702</v>
      </c>
      <c r="F1084" s="16">
        <f t="shared" si="238"/>
        <v>222.70867226923281</v>
      </c>
      <c r="G1084" s="16">
        <f t="shared" si="238"/>
        <v>0</v>
      </c>
      <c r="H1084" s="16">
        <f t="shared" si="238"/>
        <v>0</v>
      </c>
      <c r="I1084" s="16">
        <f t="shared" si="238"/>
        <v>0</v>
      </c>
      <c r="J1084" s="16">
        <f t="shared" si="238"/>
        <v>0</v>
      </c>
      <c r="K1084" s="16">
        <f t="shared" si="238"/>
        <v>0</v>
      </c>
      <c r="L1084" s="16">
        <f t="shared" si="238"/>
        <v>0</v>
      </c>
      <c r="M1084" s="16">
        <f t="shared" si="238"/>
        <v>0</v>
      </c>
    </row>
    <row r="1085" spans="2:13" ht="15" customHeight="1" x14ac:dyDescent="0.2">
      <c r="B1085" s="10" t="s">
        <v>908</v>
      </c>
      <c r="C1085" s="10" t="s">
        <v>110</v>
      </c>
      <c r="D1085" s="16">
        <f t="shared" ref="D1085:M1085" si="239">D1081-D1083-D1075-D1076-D1084</f>
        <v>-12492.304153743306</v>
      </c>
      <c r="E1085" s="16">
        <f t="shared" si="239"/>
        <v>-8504.4436654682613</v>
      </c>
      <c r="F1085" s="16">
        <f t="shared" si="239"/>
        <v>4691.2106893727305</v>
      </c>
      <c r="G1085" s="16">
        <f t="shared" si="239"/>
        <v>21237.352529236312</v>
      </c>
      <c r="H1085" s="16">
        <f t="shared" si="239"/>
        <v>8993.5691559952029</v>
      </c>
      <c r="I1085" s="16">
        <f t="shared" si="239"/>
        <v>4032.9730820591067</v>
      </c>
      <c r="J1085" s="16">
        <f t="shared" si="239"/>
        <v>8993.5691559952029</v>
      </c>
      <c r="K1085" s="16">
        <f t="shared" si="239"/>
        <v>21237.352529236312</v>
      </c>
      <c r="L1085" s="16">
        <f t="shared" si="239"/>
        <v>8993.5691559952029</v>
      </c>
      <c r="M1085" s="16">
        <f t="shared" si="239"/>
        <v>4032.9730820591067</v>
      </c>
    </row>
    <row r="1086" spans="2:13" ht="15" customHeight="1" x14ac:dyDescent="0.2">
      <c r="B1086" s="10" t="s">
        <v>909</v>
      </c>
      <c r="C1086" s="10" t="s">
        <v>110</v>
      </c>
      <c r="D1086" s="16">
        <f>D1085/(Inputs!$D$7+$D$1092)^D1066</f>
        <v>-11375.736784692386</v>
      </c>
      <c r="E1086" s="16">
        <f>E1085/(Inputs!$D$7+$D$1092)^E1066</f>
        <v>-6791.4294673661097</v>
      </c>
      <c r="F1086" s="16">
        <f>F1085/(Inputs!$D$7+$D$1092)^F1066</f>
        <v>3286.5051875208392</v>
      </c>
      <c r="G1086" s="16">
        <f>G1085/(Inputs!$D$7+$D$1092)^G1066</f>
        <v>13052.204150460979</v>
      </c>
      <c r="H1086" s="16">
        <f>H1085/(Inputs!$D$7+$D$1092)^H1066</f>
        <v>4848.9717981720269</v>
      </c>
      <c r="I1086" s="16">
        <f>I1085/(Inputs!$D$7+$D$1092)^I1066</f>
        <v>1906.8705170696383</v>
      </c>
      <c r="J1086" s="16">
        <f>J1085/(Inputs!$D$7+$D$1092)^J1066</f>
        <v>3730.4571608228216</v>
      </c>
      <c r="K1086" s="16">
        <f>K1085/(Inputs!$D$7+$D$1092)^K1066</f>
        <v>7727.9526536972753</v>
      </c>
      <c r="L1086" s="16">
        <f>L1085/(Inputs!$D$7+$D$1092)^L1066</f>
        <v>2870.9805672219209</v>
      </c>
      <c r="M1086" s="16">
        <f>M1085/(Inputs!$D$7+$D$1092)^M1066</f>
        <v>1129.0204246556282</v>
      </c>
    </row>
    <row r="1087" spans="2:13" ht="15" customHeight="1" x14ac:dyDescent="0.2">
      <c r="B1087" s="3" t="s">
        <v>910</v>
      </c>
      <c r="C1087" s="10" t="s">
        <v>896</v>
      </c>
      <c r="D1087" s="28">
        <f>(D1073*$D$1091-D1077)/(Inputs!$D$7+$D$1092)^D1066</f>
        <v>98.161981464543032</v>
      </c>
      <c r="E1087" s="28">
        <f>(E1073*$D$1091-E1077)/(Inputs!$D$7+$D$1092)^E1066</f>
        <v>340.81949851686772</v>
      </c>
      <c r="F1087" s="28">
        <f>(F1073*$D$1091-F1077)/(Inputs!$D$7+$D$1092)^F1066</f>
        <v>493.51409106262543</v>
      </c>
      <c r="G1087" s="28">
        <f>(G1073*$D$1091-G1077)/(Inputs!$D$7+$D$1092)^G1066</f>
        <v>509.49890048101742</v>
      </c>
      <c r="H1087" s="28">
        <f>(H1073*$D$1091-H1077)/(Inputs!$D$7+$D$1092)^H1066</f>
        <v>446.96894421753819</v>
      </c>
      <c r="I1087" s="28">
        <f>(I1073*$D$1091-I1077)/(Inputs!$D$7+$D$1092)^I1066</f>
        <v>391.97254610704903</v>
      </c>
      <c r="J1087" s="28">
        <f>(J1073*$D$1091-J1077)/(Inputs!$D$7+$D$1092)^J1066</f>
        <v>343.86640467785566</v>
      </c>
      <c r="K1087" s="28">
        <f>(K1073*$D$1091-K1077)/(Inputs!$D$7+$D$1092)^K1066</f>
        <v>301.66425031660742</v>
      </c>
      <c r="L1087" s="28">
        <f>(L1073*$D$1091-L1077)/(Inputs!$D$7+$D$1092)^L1066</f>
        <v>264.64149646818083</v>
      </c>
      <c r="M1087" s="28">
        <f>(M1073*$D$1091-M1077)/(Inputs!$D$7+$D$1092)^M1066</f>
        <v>232.07921382056099</v>
      </c>
    </row>
    <row r="1088" spans="2:13" ht="15" customHeight="1" x14ac:dyDescent="0.2">
      <c r="B1088" s="10" t="s">
        <v>911</v>
      </c>
      <c r="C1088" s="10" t="s">
        <v>110</v>
      </c>
      <c r="D1088" s="16">
        <f>(-D1075-D1076)/(Inputs!$D$7+$D$1092)^D1066</f>
        <v>-14170.122737893587</v>
      </c>
      <c r="E1088" s="16">
        <f>(-E1075-E1076)/(Inputs!$D$7+$D$1092)^E1066</f>
        <v>-16568.784506031301</v>
      </c>
      <c r="F1088" s="16">
        <f>(-F1075-F1076)/(Inputs!$D$7+$D$1092)^F1066</f>
        <v>-10901.493767656277</v>
      </c>
      <c r="G1088" s="16">
        <f>(-G1075-G1076)/(Inputs!$D$7+$D$1092)^G1066</f>
        <v>-1621.2839046676961</v>
      </c>
      <c r="H1088" s="16">
        <f>(-H1075-H1076)/(Inputs!$D$7+$D$1092)^H1066</f>
        <v>-8023.6633690433682</v>
      </c>
      <c r="I1088" s="16">
        <f>(-I1075-I1076)/(Inputs!$D$7+$D$1092)^I1066</f>
        <v>-9381.8770500204446</v>
      </c>
      <c r="J1088" s="16">
        <f>(-J1075-J1076)/(Inputs!$D$7+$D$1092)^J1066</f>
        <v>-6172.8411129063252</v>
      </c>
      <c r="K1088" s="16">
        <f>(-K1075-K1076)/(Inputs!$D$7+$D$1092)^K1066</f>
        <v>-959.93022397147342</v>
      </c>
      <c r="L1088" s="16">
        <f>(-L1075-L1076)/(Inputs!$D$7+$D$1092)^L1066</f>
        <v>-4750.6528330682277</v>
      </c>
      <c r="M1088" s="16">
        <f>(-M1075-M1076)/(Inputs!$D$7+$D$1092)^M1066</f>
        <v>-5554.82436602912</v>
      </c>
    </row>
    <row r="1089" spans="2:13" ht="15" customHeight="1" x14ac:dyDescent="0.2">
      <c r="B1089" s="10" t="s">
        <v>912</v>
      </c>
      <c r="C1089" s="10" t="s">
        <v>110</v>
      </c>
      <c r="D1089" s="16">
        <f>Prices!I6</f>
        <v>43700</v>
      </c>
    </row>
    <row r="1090" spans="2:13" ht="15" customHeight="1" x14ac:dyDescent="0.2">
      <c r="B1090" s="3" t="s">
        <v>913</v>
      </c>
      <c r="C1090" s="10" t="s">
        <v>914</v>
      </c>
      <c r="D1090" s="28">
        <f>IF(J1097&gt;=J1093,J1097,(D1089-J1096)/J1095)</f>
        <v>34.328889752482894</v>
      </c>
      <c r="G1090" s="99" t="s">
        <v>915</v>
      </c>
      <c r="H1090" s="91"/>
      <c r="I1090" s="91"/>
      <c r="J1090" s="28">
        <f>D1090*Inputs!$D$15</f>
        <v>23.958132158257811</v>
      </c>
      <c r="K1090" s="99" t="s">
        <v>916</v>
      </c>
      <c r="L1090" s="91"/>
      <c r="M1090" s="91"/>
    </row>
    <row r="1091" spans="2:13" ht="15" customHeight="1" x14ac:dyDescent="0.2">
      <c r="B1091" s="10" t="s">
        <v>917</v>
      </c>
      <c r="C1091" s="10" t="s">
        <v>104</v>
      </c>
      <c r="D1091" s="30">
        <f>Inputs!$D$145</f>
        <v>0.91</v>
      </c>
      <c r="G1091" s="99" t="s">
        <v>918</v>
      </c>
      <c r="H1091" s="91"/>
      <c r="I1091" s="91"/>
      <c r="J1091" s="28">
        <f>IF(-D1102/D1101&gt;=J1093,-D1102/D1101,-J1096/J1095)</f>
        <v>22.941592530423179</v>
      </c>
      <c r="K1091" s="99" t="s">
        <v>919</v>
      </c>
      <c r="L1091" s="91"/>
      <c r="M1091" s="91"/>
    </row>
    <row r="1092" spans="2:13" ht="15" customHeight="1" x14ac:dyDescent="0.2">
      <c r="B1092" s="10" t="s">
        <v>920</v>
      </c>
      <c r="C1092" s="10" t="s">
        <v>104</v>
      </c>
      <c r="D1092" s="30">
        <f>Inputs!$D$149</f>
        <v>0.14000000000000001</v>
      </c>
      <c r="G1092" s="99" t="s">
        <v>918</v>
      </c>
      <c r="H1092" s="91"/>
      <c r="I1092" s="91"/>
      <c r="J1092" s="28">
        <f>J1091*Inputs!$D$15</f>
        <v>16.010937426982338</v>
      </c>
      <c r="K1092" s="99" t="s">
        <v>916</v>
      </c>
      <c r="L1092" s="91"/>
      <c r="M1092" s="91"/>
    </row>
    <row r="1093" spans="2:13" ht="15" customHeight="1" x14ac:dyDescent="0.2">
      <c r="B1093" s="3" t="s">
        <v>921</v>
      </c>
      <c r="C1093" s="10" t="s">
        <v>848</v>
      </c>
      <c r="D1093" s="28">
        <f>Capital!$D$13</f>
        <v>57.347931490590682</v>
      </c>
      <c r="G1093" s="99" t="s">
        <v>922</v>
      </c>
      <c r="H1093" s="91"/>
      <c r="I1093" s="91"/>
      <c r="J1093" s="28">
        <f>($D$1093/Inputs!$D$21+$D$1094/Inputs!$D$22)/$D$1091</f>
        <v>15.898732030612395</v>
      </c>
      <c r="K1093" s="99" t="s">
        <v>919</v>
      </c>
      <c r="L1093" s="91"/>
      <c r="M1093" s="91"/>
    </row>
    <row r="1094" spans="2:13" ht="15" customHeight="1" x14ac:dyDescent="0.2">
      <c r="B1094" s="3" t="s">
        <v>923</v>
      </c>
      <c r="C1094" s="10" t="s">
        <v>848</v>
      </c>
      <c r="D1094" s="28">
        <f>Capital!$D$14</f>
        <v>2.6172655041921802</v>
      </c>
    </row>
    <row r="1095" spans="2:13" ht="15" customHeight="1" x14ac:dyDescent="0.2">
      <c r="B1095" s="10" t="s">
        <v>924</v>
      </c>
      <c r="C1095" s="10" t="s">
        <v>896</v>
      </c>
      <c r="D1095" s="28">
        <f>(M1068*(Inputs!$D$7+Inputs!$D$20)*$D$1091*(Inputs!$D$7-Inputs!$D$19)-M1068*Inputs!$D$20*Inputs!$D$23)/($D$1092-Inputs!$D$20)/(Inputs!$D$7+$D$1092)^M1066</f>
        <v>1446.5864421896979</v>
      </c>
      <c r="G1095" s="92" t="s">
        <v>910</v>
      </c>
      <c r="H1095" s="91"/>
      <c r="I1095" s="91"/>
      <c r="J1095" s="28">
        <f>SUM(D1087:M1087)+(M1068*(Inputs!$D$7+Inputs!$D$20)*$D$1091-M1068*Inputs!$D$20*Inputs!$D$23)/($D$1092-Inputs!$D$20)/(Inputs!$D$7+$D$1092)^M1066</f>
        <v>5490.3334062775211</v>
      </c>
      <c r="K1095" s="99" t="s">
        <v>896</v>
      </c>
      <c r="L1095" s="91"/>
      <c r="M1095" s="91"/>
    </row>
    <row r="1096" spans="2:13" ht="15" customHeight="1" x14ac:dyDescent="0.2">
      <c r="B1096" s="10" t="s">
        <v>925</v>
      </c>
      <c r="C1096" s="10" t="s">
        <v>110</v>
      </c>
      <c r="D1096" s="16">
        <f>(D1099*Inputs!$D$19-D1099-D1100)/($D$1092-Inputs!$D$20)/(Inputs!$D$7+$D$1092)^M1066</f>
        <v>-26345.502698929216</v>
      </c>
      <c r="G1096" s="92" t="s">
        <v>926</v>
      </c>
      <c r="H1096" s="91"/>
      <c r="I1096" s="91"/>
      <c r="J1096" s="16">
        <f>SUM(D1088:M1088)-(D1099+D1100)/($D$1092-Inputs!$D$20)/(Inputs!$D$7+$D$1092)^M1066</f>
        <v>-114317.08794717836</v>
      </c>
      <c r="K1096" s="99" t="s">
        <v>110</v>
      </c>
      <c r="L1096" s="91"/>
      <c r="M1096" s="91"/>
    </row>
    <row r="1097" spans="2:13" ht="15" customHeight="1" x14ac:dyDescent="0.2">
      <c r="B1097" s="10" t="s">
        <v>927</v>
      </c>
      <c r="C1097" s="10" t="s">
        <v>928</v>
      </c>
      <c r="D1097" s="16">
        <f>(M1068*(Inputs!$D$7+Inputs!$D$20)*$D$1090*$D$1091-D1099)-MAX((M1068*(Inputs!$D$7+Inputs!$D$20)*$D$1090*$D$1091-D1099),Inputs!$D$6)*Inputs!$D$19-D1100-M1068*Inputs!$D$20*$D$1090*Inputs!$D$23</f>
        <v>9577.2749023741417</v>
      </c>
      <c r="G1097" s="99" t="s">
        <v>929</v>
      </c>
      <c r="H1097" s="91"/>
      <c r="I1097" s="91"/>
      <c r="J1097" s="28">
        <f>(D1089-D1102)/D1101</f>
        <v>34.328889752482894</v>
      </c>
      <c r="K1097" s="99" t="s">
        <v>919</v>
      </c>
      <c r="L1097" s="91"/>
      <c r="M1097" s="91"/>
    </row>
    <row r="1098" spans="2:13" ht="15" customHeight="1" x14ac:dyDescent="0.2">
      <c r="B1098" s="10" t="s">
        <v>930</v>
      </c>
      <c r="C1098" s="10" t="s">
        <v>110</v>
      </c>
      <c r="D1098" s="16">
        <f>D1097/($D$1092-Inputs!$D$20)</f>
        <v>83280.651324992519</v>
      </c>
      <c r="G1098" s="99" t="s">
        <v>931</v>
      </c>
      <c r="H1098" s="91"/>
      <c r="I1098" s="91"/>
      <c r="J1098" s="16">
        <f>MIN(D1082:M1082,(M1068*(Inputs!$D$7+Inputs!$D$20)*$D$1090*$D$1091-D1099))</f>
        <v>2106.2797896280545</v>
      </c>
      <c r="K1098" s="99" t="s">
        <v>110</v>
      </c>
      <c r="L1098" s="91"/>
      <c r="M1098" s="91"/>
    </row>
    <row r="1099" spans="2:13" ht="15" customHeight="1" x14ac:dyDescent="0.2">
      <c r="B1099" s="10" t="s">
        <v>932</v>
      </c>
      <c r="C1099" s="10" t="s">
        <v>928</v>
      </c>
      <c r="D1099" s="16">
        <f>M1068*(Inputs!$D$7+Inputs!$D$20)*($D$1093/Inputs!$D$21+$D$1094/Inputs!$D$22)</f>
        <v>13509.71303671543</v>
      </c>
      <c r="G1099" s="99" t="s">
        <v>933</v>
      </c>
      <c r="H1099" s="91"/>
      <c r="I1099" s="91"/>
      <c r="J1099" s="31" t="str">
        <f>IF(J1098&lt;Inputs!$D$6,"breached","satisfied")</f>
        <v>satisfied</v>
      </c>
      <c r="K1099" s="99" t="s">
        <v>934</v>
      </c>
      <c r="L1099" s="91"/>
      <c r="M1099" s="91"/>
    </row>
    <row r="1100" spans="2:13" ht="15" customHeight="1" x14ac:dyDescent="0.2">
      <c r="B1100" s="10" t="s">
        <v>935</v>
      </c>
      <c r="C1100" s="10" t="s">
        <v>928</v>
      </c>
      <c r="D1100" s="16">
        <f>M1068*Inputs!$D$20*($D$1093+$D$1094)</f>
        <v>1365.7073615561799</v>
      </c>
    </row>
    <row r="1101" spans="2:13" ht="15" customHeight="1" x14ac:dyDescent="0.2">
      <c r="B1101" s="10" t="s">
        <v>936</v>
      </c>
      <c r="C1101" s="10" t="s">
        <v>896</v>
      </c>
      <c r="D1101" s="28">
        <f>SUM(D1078:M1078)+D1095</f>
        <v>3837.6095001141657</v>
      </c>
      <c r="G1101" s="99" t="s">
        <v>937</v>
      </c>
      <c r="H1101" s="91"/>
      <c r="I1101" s="91"/>
      <c r="J1101" s="16">
        <f>D1103-D1089</f>
        <v>0</v>
      </c>
      <c r="K1101" s="99" t="s">
        <v>110</v>
      </c>
      <c r="L1101" s="91"/>
      <c r="M1101" s="91"/>
    </row>
    <row r="1102" spans="2:13" ht="15" customHeight="1" x14ac:dyDescent="0.2">
      <c r="B1102" s="10" t="s">
        <v>938</v>
      </c>
      <c r="C1102" s="10" t="s">
        <v>110</v>
      </c>
      <c r="D1102" s="16">
        <f>SUM(D1079:M1079)+D1096</f>
        <v>-88040.873442500175</v>
      </c>
    </row>
    <row r="1103" spans="2:13" ht="15" customHeight="1" x14ac:dyDescent="0.2">
      <c r="B1103" s="10" t="s">
        <v>939</v>
      </c>
      <c r="C1103" s="10" t="s">
        <v>110</v>
      </c>
      <c r="D1103" s="16">
        <f>SUM(D1086:M1086)+D1098/(Inputs!$D$7+$D$1092)^M1066</f>
        <v>43700.000000000029</v>
      </c>
    </row>
    <row r="1104" spans="2:13" ht="15" customHeight="1" x14ac:dyDescent="0.2">
      <c r="B1104" s="10" t="s">
        <v>940</v>
      </c>
      <c r="C1104" s="10" t="s">
        <v>104</v>
      </c>
      <c r="D1104" s="30">
        <f>IF(ABS(D1089)&gt;Inputs!$D$6,D1103/D1089-Inputs!$D$7,Inputs!$D$6)</f>
        <v>6.6613381477509392E-16</v>
      </c>
    </row>
    <row r="1105" spans="1:13" ht="15" customHeight="1" x14ac:dyDescent="0.2">
      <c r="B1105" s="10" t="s">
        <v>941</v>
      </c>
      <c r="C1105" s="10" t="s">
        <v>104</v>
      </c>
      <c r="D1105" s="30">
        <f>IF(ABS(D1103)&gt;Inputs!$D$119,D1098/(Inputs!$D$7+$D$1092)^M1066/D1103,Inputs!$D$6)</f>
        <v>0.53350580760726263</v>
      </c>
    </row>
    <row r="1106" spans="1:13" ht="15" customHeight="1" x14ac:dyDescent="0.2">
      <c r="B1106" s="10" t="s">
        <v>942</v>
      </c>
      <c r="C1106" s="10" t="s">
        <v>943</v>
      </c>
      <c r="D1106" s="26">
        <f>$D$1090*Inputs!$D$8/Prices!$P$6/(Inputs!$D$26/Inputs!$D$25)/Inputs!$D$11/Inputs!$D$56</f>
        <v>6.2428128762583635</v>
      </c>
    </row>
    <row r="1110" spans="1:13" ht="15" customHeight="1" x14ac:dyDescent="0.2">
      <c r="A1110" s="104" t="s">
        <v>2189</v>
      </c>
      <c r="B1110" s="10" t="s">
        <v>886</v>
      </c>
      <c r="C1110" s="10" t="s">
        <v>107</v>
      </c>
      <c r="D1110" s="28">
        <f>Inputs!$D$60</f>
        <v>1</v>
      </c>
      <c r="E1110" s="28">
        <f>Inputs!$D$62</f>
        <v>2</v>
      </c>
      <c r="F1110" s="28">
        <f>Inputs!$D$64</f>
        <v>3</v>
      </c>
      <c r="G1110" s="28">
        <f>Inputs!$D$66</f>
        <v>4</v>
      </c>
      <c r="H1110" s="28">
        <f>Inputs!$D$68</f>
        <v>5</v>
      </c>
      <c r="I1110" s="28">
        <f>Inputs!$D$70</f>
        <v>6</v>
      </c>
      <c r="J1110" s="28">
        <f>Inputs!$D$72</f>
        <v>7</v>
      </c>
      <c r="K1110" s="28">
        <f>Inputs!$D$74</f>
        <v>8</v>
      </c>
      <c r="L1110" s="28">
        <f>Inputs!$D$76</f>
        <v>9</v>
      </c>
      <c r="M1110" s="28">
        <f>Inputs!$D$78</f>
        <v>10</v>
      </c>
    </row>
    <row r="1111" spans="1:13" ht="15" customHeight="1" x14ac:dyDescent="0.2">
      <c r="A1111" s="91"/>
      <c r="B1111" s="10" t="s">
        <v>887</v>
      </c>
      <c r="C1111" s="10" t="s">
        <v>161</v>
      </c>
      <c r="D1111" s="29">
        <f>Inputs!$D$61</f>
        <v>46568</v>
      </c>
      <c r="E1111" s="29">
        <f>Inputs!$D$63</f>
        <v>46934</v>
      </c>
      <c r="F1111" s="29">
        <f>Inputs!$D$65</f>
        <v>47299</v>
      </c>
      <c r="G1111" s="29">
        <f>Inputs!$D$67</f>
        <v>47664</v>
      </c>
      <c r="H1111" s="29">
        <f>Inputs!$D$69</f>
        <v>48029</v>
      </c>
      <c r="I1111" s="29">
        <f>Inputs!$D$71</f>
        <v>48395</v>
      </c>
      <c r="J1111" s="29">
        <f>Inputs!$D$73</f>
        <v>48760</v>
      </c>
      <c r="K1111" s="29">
        <f>Inputs!$D$75</f>
        <v>49125</v>
      </c>
      <c r="L1111" s="29">
        <f>Inputs!$D$77</f>
        <v>49490</v>
      </c>
      <c r="M1111" s="29">
        <f>Inputs!$D$79</f>
        <v>49856</v>
      </c>
    </row>
    <row r="1112" spans="1:13" ht="15" customHeight="1" x14ac:dyDescent="0.2">
      <c r="A1112" s="91"/>
      <c r="B1112" s="10" t="s">
        <v>888</v>
      </c>
      <c r="C1112" s="10" t="s">
        <v>107</v>
      </c>
      <c r="D1112" s="28">
        <f>(D1111-Inputs!$D$13)/Inputs!$D$10</f>
        <v>0.71457905544147848</v>
      </c>
      <c r="E1112" s="28">
        <f>(E1111-Inputs!$D$13)/Inputs!$D$10</f>
        <v>1.7166324435318274</v>
      </c>
      <c r="F1112" s="28">
        <f>(F1111-Inputs!$D$13)/Inputs!$D$10</f>
        <v>2.7159479808350446</v>
      </c>
      <c r="G1112" s="28">
        <f>(G1111-Inputs!$D$13)/Inputs!$D$10</f>
        <v>3.7152635181382614</v>
      </c>
      <c r="H1112" s="28">
        <f>(H1111-Inputs!$D$13)/Inputs!$D$10</f>
        <v>4.7145790554414786</v>
      </c>
      <c r="I1112" s="28">
        <f>(I1111-Inputs!$D$13)/Inputs!$D$10</f>
        <v>5.7166324435318279</v>
      </c>
      <c r="J1112" s="28">
        <f>(J1111-Inputs!$D$13)/Inputs!$D$10</f>
        <v>6.7159479808350442</v>
      </c>
      <c r="K1112" s="28">
        <f>(K1111-Inputs!$D$13)/Inputs!$D$10</f>
        <v>7.7152635181382614</v>
      </c>
      <c r="L1112" s="28">
        <f>(L1111-Inputs!$D$13)/Inputs!$D$10</f>
        <v>8.7145790554414777</v>
      </c>
      <c r="M1112" s="28">
        <f>(M1111-Inputs!$D$13)/Inputs!$D$10</f>
        <v>9.716632443531827</v>
      </c>
    </row>
    <row r="1113" spans="1:13" ht="15" customHeight="1" x14ac:dyDescent="0.2">
      <c r="A1113" s="91"/>
      <c r="B1113" s="10" t="s">
        <v>889</v>
      </c>
      <c r="C1113" s="10" t="s">
        <v>107</v>
      </c>
      <c r="D1113" s="28">
        <f>D1112</f>
        <v>0.71457905544147848</v>
      </c>
      <c r="E1113" s="28">
        <f>Inputs!$D$7</f>
        <v>1</v>
      </c>
      <c r="F1113" s="28">
        <f>Inputs!$D$7</f>
        <v>1</v>
      </c>
      <c r="G1113" s="28">
        <f>Inputs!$D$7</f>
        <v>1</v>
      </c>
      <c r="H1113" s="28">
        <f>Inputs!$D$7</f>
        <v>1</v>
      </c>
      <c r="I1113" s="28">
        <f>Inputs!$D$7</f>
        <v>1</v>
      </c>
      <c r="J1113" s="28">
        <f>Inputs!$D$7</f>
        <v>1</v>
      </c>
      <c r="K1113" s="28">
        <f>Inputs!$D$7</f>
        <v>1</v>
      </c>
      <c r="L1113" s="28">
        <f>Inputs!$D$7</f>
        <v>1</v>
      </c>
      <c r="M1113" s="28">
        <f>Inputs!$D$7</f>
        <v>1</v>
      </c>
    </row>
    <row r="1114" spans="1:13" ht="15" customHeight="1" x14ac:dyDescent="0.2">
      <c r="A1114" s="91"/>
      <c r="B1114" s="3" t="s">
        <v>890</v>
      </c>
      <c r="C1114" s="10" t="s">
        <v>199</v>
      </c>
      <c r="D1114" s="28">
        <f>Inputs!$D$24+(Inputs!$D$80-Inputs!$D$24)*Inputs!$D$83</f>
        <v>305.5</v>
      </c>
      <c r="E1114" s="28">
        <f>Inputs!$D$24+(Inputs!$D$80-Inputs!$D$24)*Inputs!$D$84</f>
        <v>651.5</v>
      </c>
      <c r="F1114" s="28">
        <f>Inputs!$D$24+(Inputs!$D$80-Inputs!$D$24)*Inputs!$D$85</f>
        <v>911</v>
      </c>
      <c r="G1114" s="28">
        <f>Inputs!$D$24+(Inputs!$D$80-Inputs!$D$24)*Inputs!$D$86</f>
        <v>911</v>
      </c>
      <c r="H1114" s="28">
        <f>Inputs!$D$24+(Inputs!$D$80-Inputs!$D$24)*Inputs!$D$87</f>
        <v>911</v>
      </c>
      <c r="I1114" s="28">
        <f>Inputs!$D$24+(Inputs!$D$80-Inputs!$D$24)*Inputs!$D$88</f>
        <v>911</v>
      </c>
      <c r="J1114" s="28">
        <f>Inputs!$D$24+(Inputs!$D$80-Inputs!$D$24)*Inputs!$D$89</f>
        <v>911</v>
      </c>
      <c r="K1114" s="28">
        <f>Inputs!$D$24+(Inputs!$D$80-Inputs!$D$24)*Inputs!$D$90</f>
        <v>911</v>
      </c>
      <c r="L1114" s="28">
        <f>Inputs!$D$24+(Inputs!$D$80-Inputs!$D$24)*Inputs!$D$91</f>
        <v>911</v>
      </c>
      <c r="M1114" s="28">
        <f>Inputs!$D$24+(Inputs!$D$80-Inputs!$D$24)*Inputs!$D$92</f>
        <v>911</v>
      </c>
    </row>
    <row r="1115" spans="1:13" ht="15" customHeight="1" x14ac:dyDescent="0.2">
      <c r="A1115" s="91"/>
      <c r="B1115" s="10" t="s">
        <v>891</v>
      </c>
      <c r="C1115" s="10" t="s">
        <v>199</v>
      </c>
      <c r="D1115" s="28">
        <f>Inputs!$D$24</f>
        <v>46</v>
      </c>
      <c r="E1115" s="28">
        <f t="shared" ref="E1115:M1115" si="240">D1114</f>
        <v>305.5</v>
      </c>
      <c r="F1115" s="28">
        <f t="shared" si="240"/>
        <v>651.5</v>
      </c>
      <c r="G1115" s="28">
        <f t="shared" si="240"/>
        <v>911</v>
      </c>
      <c r="H1115" s="28">
        <f t="shared" si="240"/>
        <v>911</v>
      </c>
      <c r="I1115" s="28">
        <f t="shared" si="240"/>
        <v>911</v>
      </c>
      <c r="J1115" s="28">
        <f t="shared" si="240"/>
        <v>911</v>
      </c>
      <c r="K1115" s="28">
        <f t="shared" si="240"/>
        <v>911</v>
      </c>
      <c r="L1115" s="28">
        <f t="shared" si="240"/>
        <v>911</v>
      </c>
      <c r="M1115" s="28">
        <f t="shared" si="240"/>
        <v>911</v>
      </c>
    </row>
    <row r="1116" spans="1:13" ht="15" customHeight="1" x14ac:dyDescent="0.2">
      <c r="B1116" s="10" t="s">
        <v>892</v>
      </c>
      <c r="C1116" s="10" t="s">
        <v>199</v>
      </c>
      <c r="D1116" s="28">
        <f>(D1115+D1114)*Inputs!$D$12</f>
        <v>175.75</v>
      </c>
      <c r="E1116" s="28">
        <f>(E1115+E1114)*Inputs!$D$12</f>
        <v>478.5</v>
      </c>
      <c r="F1116" s="28">
        <f>(F1115+F1114)*Inputs!$D$12</f>
        <v>781.25</v>
      </c>
      <c r="G1116" s="28">
        <f>(G1115+G1114)*Inputs!$D$12</f>
        <v>911</v>
      </c>
      <c r="H1116" s="28">
        <f>(H1115+H1114)*Inputs!$D$12</f>
        <v>911</v>
      </c>
      <c r="I1116" s="28">
        <f>(I1115+I1114)*Inputs!$D$12</f>
        <v>911</v>
      </c>
      <c r="J1116" s="28">
        <f>(J1115+J1114)*Inputs!$D$12</f>
        <v>911</v>
      </c>
      <c r="K1116" s="28">
        <f>(K1115+K1114)*Inputs!$D$12</f>
        <v>911</v>
      </c>
      <c r="L1116" s="28">
        <f>(L1115+L1114)*Inputs!$D$12</f>
        <v>911</v>
      </c>
      <c r="M1116" s="28">
        <f>(M1115+M1114)*Inputs!$D$12</f>
        <v>911</v>
      </c>
    </row>
    <row r="1117" spans="1:13" ht="15" customHeight="1" x14ac:dyDescent="0.2">
      <c r="B1117" s="10" t="s">
        <v>893</v>
      </c>
      <c r="C1117" s="10" t="s">
        <v>199</v>
      </c>
      <c r="D1117" s="28">
        <f t="shared" ref="D1117:M1117" si="241">D1114-D1115</f>
        <v>259.5</v>
      </c>
      <c r="E1117" s="28">
        <f t="shared" si="241"/>
        <v>346</v>
      </c>
      <c r="F1117" s="28">
        <f t="shared" si="241"/>
        <v>259.5</v>
      </c>
      <c r="G1117" s="28">
        <f t="shared" si="241"/>
        <v>0</v>
      </c>
      <c r="H1117" s="28">
        <f t="shared" si="241"/>
        <v>0</v>
      </c>
      <c r="I1117" s="28">
        <f t="shared" si="241"/>
        <v>0</v>
      </c>
      <c r="J1117" s="28">
        <f t="shared" si="241"/>
        <v>0</v>
      </c>
      <c r="K1117" s="28">
        <f t="shared" si="241"/>
        <v>0</v>
      </c>
      <c r="L1117" s="28">
        <f t="shared" si="241"/>
        <v>0</v>
      </c>
      <c r="M1117" s="28">
        <f t="shared" si="241"/>
        <v>0</v>
      </c>
    </row>
    <row r="1118" spans="1:13" ht="15" customHeight="1" x14ac:dyDescent="0.2">
      <c r="B1118" s="10" t="s">
        <v>894</v>
      </c>
      <c r="C1118" s="10" t="s">
        <v>199</v>
      </c>
      <c r="D1118" s="28">
        <f>IF(MOD(D1110,Inputs!$D$21)=Inputs!$D$6,Inputs!$D$24,Inputs!$D$6)+SUMPRODUCT(--(D1110&gt;$D$1110:$M$1110),--(MOD(D1110-$D$1110:$M$1110,Inputs!$D$21)=Inputs!$D$6),$D$1117:$M$1117)</f>
        <v>0</v>
      </c>
      <c r="E1118" s="28">
        <f>IF(MOD(E1110,Inputs!$D$21)=Inputs!$D$6,Inputs!$D$24,Inputs!$D$6)+SUMPRODUCT(--(E1110&gt;$D$1110:$M$1110),--(MOD(E1110-$D$1110:$M$1110,Inputs!$D$21)=Inputs!$D$6),$D$1117:$M$1117)</f>
        <v>0</v>
      </c>
      <c r="F1118" s="28">
        <f>IF(MOD(F1110,Inputs!$D$21)=Inputs!$D$6,Inputs!$D$24,Inputs!$D$6)+SUMPRODUCT(--(F1110&gt;$D$1110:$M$1110),--(MOD(F1110-$D$1110:$M$1110,Inputs!$D$21)=Inputs!$D$6),$D$1117:$M$1117)</f>
        <v>0</v>
      </c>
      <c r="G1118" s="28">
        <f>IF(MOD(G1110,Inputs!$D$21)=Inputs!$D$6,Inputs!$D$24,Inputs!$D$6)+SUMPRODUCT(--(G1110&gt;$D$1110:$M$1110),--(MOD(G1110-$D$1110:$M$1110,Inputs!$D$21)=Inputs!$D$6),$D$1117:$M$1117)</f>
        <v>46</v>
      </c>
      <c r="H1118" s="28">
        <f>IF(MOD(H1110,Inputs!$D$21)=Inputs!$D$6,Inputs!$D$24,Inputs!$D$6)+SUMPRODUCT(--(H1110&gt;$D$1110:$M$1110),--(MOD(H1110-$D$1110:$M$1110,Inputs!$D$21)=Inputs!$D$6),$D$1117:$M$1117)</f>
        <v>259.5</v>
      </c>
      <c r="I1118" s="28">
        <f>IF(MOD(I1110,Inputs!$D$21)=Inputs!$D$6,Inputs!$D$24,Inputs!$D$6)+SUMPRODUCT(--(I1110&gt;$D$1110:$M$1110),--(MOD(I1110-$D$1110:$M$1110,Inputs!$D$21)=Inputs!$D$6),$D$1117:$M$1117)</f>
        <v>346</v>
      </c>
      <c r="J1118" s="28">
        <f>IF(MOD(J1110,Inputs!$D$21)=Inputs!$D$6,Inputs!$D$24,Inputs!$D$6)+SUMPRODUCT(--(J1110&gt;$D$1110:$M$1110),--(MOD(J1110-$D$1110:$M$1110,Inputs!$D$21)=Inputs!$D$6),$D$1117:$M$1117)</f>
        <v>259.5</v>
      </c>
      <c r="K1118" s="28">
        <f>IF(MOD(K1110,Inputs!$D$21)=Inputs!$D$6,Inputs!$D$24,Inputs!$D$6)+SUMPRODUCT(--(K1110&gt;$D$1110:$M$1110),--(MOD(K1110-$D$1110:$M$1110,Inputs!$D$21)=Inputs!$D$6),$D$1117:$M$1117)</f>
        <v>46</v>
      </c>
      <c r="L1118" s="28">
        <f>IF(MOD(L1110,Inputs!$D$21)=Inputs!$D$6,Inputs!$D$24,Inputs!$D$6)+SUMPRODUCT(--(L1110&gt;$D$1110:$M$1110),--(MOD(L1110-$D$1110:$M$1110,Inputs!$D$21)=Inputs!$D$6),$D$1117:$M$1117)</f>
        <v>259.5</v>
      </c>
      <c r="M1118" s="28">
        <f>IF(MOD(M1110,Inputs!$D$21)=Inputs!$D$6,Inputs!$D$24,Inputs!$D$6)+SUMPRODUCT(--(M1110&gt;$D$1110:$M$1110),--(MOD(M1110-$D$1110:$M$1110,Inputs!$D$21)=Inputs!$D$6),$D$1117:$M$1117)</f>
        <v>346</v>
      </c>
    </row>
    <row r="1119" spans="1:13" ht="15" customHeight="1" x14ac:dyDescent="0.2">
      <c r="B1119" s="10" t="s">
        <v>895</v>
      </c>
      <c r="C1119" s="10" t="s">
        <v>896</v>
      </c>
      <c r="D1119" s="28">
        <f t="shared" ref="D1119:M1119" si="242">D1116*D1113</f>
        <v>125.58726899383984</v>
      </c>
      <c r="E1119" s="28">
        <f t="shared" si="242"/>
        <v>478.5</v>
      </c>
      <c r="F1119" s="28">
        <f t="shared" si="242"/>
        <v>781.25</v>
      </c>
      <c r="G1119" s="28">
        <f t="shared" si="242"/>
        <v>911</v>
      </c>
      <c r="H1119" s="28">
        <f t="shared" si="242"/>
        <v>911</v>
      </c>
      <c r="I1119" s="28">
        <f t="shared" si="242"/>
        <v>911</v>
      </c>
      <c r="J1119" s="28">
        <f t="shared" si="242"/>
        <v>911</v>
      </c>
      <c r="K1119" s="28">
        <f t="shared" si="242"/>
        <v>911</v>
      </c>
      <c r="L1119" s="28">
        <f t="shared" si="242"/>
        <v>911</v>
      </c>
      <c r="M1119" s="28">
        <f t="shared" si="242"/>
        <v>911</v>
      </c>
    </row>
    <row r="1120" spans="1:13" ht="15" customHeight="1" x14ac:dyDescent="0.2">
      <c r="B1120" s="10" t="s">
        <v>897</v>
      </c>
      <c r="C1120" s="10" t="s">
        <v>110</v>
      </c>
      <c r="D1120" s="16">
        <f>D1119*($D$1139/Inputs!$D$21+$D$1140/Inputs!$D$22)</f>
        <v>1816.9772859324419</v>
      </c>
      <c r="E1120" s="16">
        <f>E1119*($D$1139/Inputs!$D$21+$D$1140/Inputs!$D$22)</f>
        <v>6922.8643817497086</v>
      </c>
      <c r="F1120" s="16">
        <f>F1119*($D$1139/Inputs!$D$21+$D$1140/Inputs!$D$22)</f>
        <v>11303.0048030135</v>
      </c>
      <c r="G1120" s="16">
        <f>G1119*($D$1139/Inputs!$D$21+$D$1140/Inputs!$D$22)</f>
        <v>13180.207840697982</v>
      </c>
      <c r="H1120" s="16">
        <f>H1119*($D$1139/Inputs!$D$21+$D$1140/Inputs!$D$22)</f>
        <v>13180.207840697982</v>
      </c>
      <c r="I1120" s="16">
        <f>I1119*($D$1139/Inputs!$D$21+$D$1140/Inputs!$D$22)</f>
        <v>13180.207840697982</v>
      </c>
      <c r="J1120" s="16">
        <f>J1119*($D$1139/Inputs!$D$21+$D$1140/Inputs!$D$22)</f>
        <v>13180.207840697982</v>
      </c>
      <c r="K1120" s="16">
        <f>K1119*($D$1139/Inputs!$D$21+$D$1140/Inputs!$D$22)</f>
        <v>13180.207840697982</v>
      </c>
      <c r="L1120" s="16">
        <f>L1119*($D$1139/Inputs!$D$21+$D$1140/Inputs!$D$22)</f>
        <v>13180.207840697982</v>
      </c>
      <c r="M1120" s="16">
        <f>M1119*($D$1139/Inputs!$D$21+$D$1140/Inputs!$D$22)</f>
        <v>13180.207840697982</v>
      </c>
    </row>
    <row r="1121" spans="2:13" ht="15" customHeight="1" x14ac:dyDescent="0.2">
      <c r="B1121" s="10" t="s">
        <v>898</v>
      </c>
      <c r="C1121" s="10" t="s">
        <v>110</v>
      </c>
      <c r="D1121" s="16">
        <f t="shared" ref="D1121:M1121" si="243">D1117*($D$1139+$D$1140)</f>
        <v>15560.968620146154</v>
      </c>
      <c r="E1121" s="16">
        <f t="shared" si="243"/>
        <v>20747.95816019487</v>
      </c>
      <c r="F1121" s="16">
        <f t="shared" si="243"/>
        <v>15560.968620146154</v>
      </c>
      <c r="G1121" s="16">
        <f t="shared" si="243"/>
        <v>0</v>
      </c>
      <c r="H1121" s="16">
        <f t="shared" si="243"/>
        <v>0</v>
      </c>
      <c r="I1121" s="16">
        <f t="shared" si="243"/>
        <v>0</v>
      </c>
      <c r="J1121" s="16">
        <f t="shared" si="243"/>
        <v>0</v>
      </c>
      <c r="K1121" s="16">
        <f t="shared" si="243"/>
        <v>0</v>
      </c>
      <c r="L1121" s="16">
        <f t="shared" si="243"/>
        <v>0</v>
      </c>
      <c r="M1121" s="16">
        <f t="shared" si="243"/>
        <v>0</v>
      </c>
    </row>
    <row r="1122" spans="2:13" ht="15" customHeight="1" x14ac:dyDescent="0.2">
      <c r="B1122" s="10" t="s">
        <v>899</v>
      </c>
      <c r="C1122" s="10" t="s">
        <v>110</v>
      </c>
      <c r="D1122" s="16">
        <f t="shared" ref="D1122:M1122" si="244">D1118*$D$1139</f>
        <v>0</v>
      </c>
      <c r="E1122" s="16">
        <f t="shared" si="244"/>
        <v>0</v>
      </c>
      <c r="F1122" s="16">
        <f t="shared" si="244"/>
        <v>0</v>
      </c>
      <c r="G1122" s="16">
        <f t="shared" si="244"/>
        <v>2638.0048485671714</v>
      </c>
      <c r="H1122" s="16">
        <f t="shared" si="244"/>
        <v>14881.788221808281</v>
      </c>
      <c r="I1122" s="16">
        <f t="shared" si="244"/>
        <v>19842.384295744378</v>
      </c>
      <c r="J1122" s="16">
        <f t="shared" si="244"/>
        <v>14881.788221808281</v>
      </c>
      <c r="K1122" s="16">
        <f t="shared" si="244"/>
        <v>2638.0048485671714</v>
      </c>
      <c r="L1122" s="16">
        <f t="shared" si="244"/>
        <v>14881.788221808281</v>
      </c>
      <c r="M1122" s="16">
        <f t="shared" si="244"/>
        <v>19842.384295744378</v>
      </c>
    </row>
    <row r="1123" spans="2:13" ht="15" customHeight="1" x14ac:dyDescent="0.2">
      <c r="B1123" s="10" t="s">
        <v>900</v>
      </c>
      <c r="C1123" s="10" t="s">
        <v>199</v>
      </c>
      <c r="D1123" s="28">
        <f>D1117*Inputs!$D$23</f>
        <v>6.4875000000000007</v>
      </c>
      <c r="E1123" s="28">
        <f>E1117*Inputs!$D$23</f>
        <v>8.65</v>
      </c>
      <c r="F1123" s="28">
        <f>F1117*Inputs!$D$23</f>
        <v>6.4875000000000007</v>
      </c>
      <c r="G1123" s="28">
        <f>G1117*Inputs!$D$23</f>
        <v>0</v>
      </c>
      <c r="H1123" s="28">
        <f>H1117*Inputs!$D$23</f>
        <v>0</v>
      </c>
      <c r="I1123" s="28">
        <f>I1117*Inputs!$D$23</f>
        <v>0</v>
      </c>
      <c r="J1123" s="28">
        <f>J1117*Inputs!$D$23</f>
        <v>0</v>
      </c>
      <c r="K1123" s="28">
        <f>K1117*Inputs!$D$23</f>
        <v>0</v>
      </c>
      <c r="L1123" s="28">
        <f>L1117*Inputs!$D$23</f>
        <v>0</v>
      </c>
      <c r="M1123" s="28">
        <f>M1117*Inputs!$D$23</f>
        <v>0</v>
      </c>
    </row>
    <row r="1124" spans="2:13" ht="15" customHeight="1" x14ac:dyDescent="0.2">
      <c r="B1124" s="3" t="s">
        <v>901</v>
      </c>
      <c r="C1124" s="10" t="s">
        <v>896</v>
      </c>
      <c r="D1124" s="28">
        <f>(D1119*$D$1137*(Inputs!$D$7-Inputs!$D$19)-D1123)/(Inputs!$D$7+$D$1138)^D1112</f>
        <v>35.463133557820996</v>
      </c>
      <c r="E1124" s="28">
        <f>(E1119*$D$1137*(Inputs!$D$7-Inputs!$D$19)-E1123)/(Inputs!$D$7+$D$1138)^E1112</f>
        <v>139.16901741018501</v>
      </c>
      <c r="F1124" s="28">
        <f>(F1119*$D$1137*(Inputs!$D$7-Inputs!$D$19)-F1123)/(Inputs!$D$7+$D$1138)^F1112</f>
        <v>216.59715305054928</v>
      </c>
      <c r="G1124" s="28">
        <f>(G1119*$D$1137*(Inputs!$D$7-Inputs!$D$19)-G1123)/(Inputs!$D$7+$D$1138)^G1112</f>
        <v>239.55672210234928</v>
      </c>
      <c r="H1124" s="28">
        <f>(H1119*$D$1137*(Inputs!$D$7-Inputs!$D$19)-H1123)/(Inputs!$D$7+$D$1138)^H1112</f>
        <v>221.82346440279065</v>
      </c>
      <c r="I1124" s="28">
        <f>(I1119*$D$1137*(Inputs!$D$7-Inputs!$D$19)-I1123)/(Inputs!$D$7+$D$1138)^I1112</f>
        <v>205.35964093895382</v>
      </c>
      <c r="J1124" s="28">
        <f>(J1119*$D$1137*(Inputs!$D$7-Inputs!$D$19)-J1123)/(Inputs!$D$7+$D$1138)^J1112</f>
        <v>190.15783235725434</v>
      </c>
      <c r="K1124" s="28">
        <f>(K1119*$D$1137*(Inputs!$D$7-Inputs!$D$19)-K1123)/(Inputs!$D$7+$D$1138)^K1112</f>
        <v>176.08134218329064</v>
      </c>
      <c r="L1124" s="28">
        <f>(L1119*$D$1137*(Inputs!$D$7-Inputs!$D$19)-L1123)/(Inputs!$D$7+$D$1138)^L1112</f>
        <v>163.04686838678248</v>
      </c>
      <c r="M1124" s="28">
        <f>(M1119*$D$1137*(Inputs!$D$7-Inputs!$D$19)-M1123)/(Inputs!$D$7+$D$1138)^M1112</f>
        <v>150.94546664969172</v>
      </c>
    </row>
    <row r="1125" spans="2:13" ht="15" customHeight="1" x14ac:dyDescent="0.2">
      <c r="B1125" s="10" t="s">
        <v>902</v>
      </c>
      <c r="C1125" s="10" t="s">
        <v>110</v>
      </c>
      <c r="D1125" s="16">
        <f>(D1120*Inputs!$D$19-D1121-D1122)/(Inputs!$D$7+$D$1138)^D1112</f>
        <v>-14212.377724210151</v>
      </c>
      <c r="E1125" s="16">
        <f>(E1120*Inputs!$D$19-E1121-E1122)/(Inputs!$D$7+$D$1138)^E1112</f>
        <v>-16360.387094728963</v>
      </c>
      <c r="F1125" s="16">
        <f>(F1120*Inputs!$D$19-F1121-F1122)/(Inputs!$D$7+$D$1138)^F1112</f>
        <v>-9874.5154652847668</v>
      </c>
      <c r="G1125" s="16">
        <f>(G1120*Inputs!$D$19-G1121-G1122)/(Inputs!$D$7+$D$1138)^G1112</f>
        <v>988.77347238742834</v>
      </c>
      <c r="H1125" s="16">
        <f>(H1120*Inputs!$D$19-H1121-H1122)/(Inputs!$D$7+$D$1138)^H1112</f>
        <v>-7602.4024163036647</v>
      </c>
      <c r="I1125" s="16">
        <f>(I1120*Inputs!$D$19-I1121-I1122)/(Inputs!$D$7+$D$1138)^I1112</f>
        <v>-10233.087939303265</v>
      </c>
      <c r="J1125" s="16">
        <f>(J1120*Inputs!$D$19-J1121-J1122)/(Inputs!$D$7+$D$1138)^J1112</f>
        <v>-6517.1480757635773</v>
      </c>
      <c r="K1125" s="16">
        <f>(K1120*Inputs!$D$19-K1121-K1122)/(Inputs!$D$7+$D$1138)^K1112</f>
        <v>726.77801985796941</v>
      </c>
      <c r="L1125" s="16">
        <f>(L1120*Inputs!$D$19-L1121-L1122)/(Inputs!$D$7+$D$1138)^L1112</f>
        <v>-5587.9927289550824</v>
      </c>
      <c r="M1125" s="16">
        <f>(M1120*Inputs!$D$19-M1121-M1122)/(Inputs!$D$7+$D$1138)^M1112</f>
        <v>-7521.6251216792398</v>
      </c>
    </row>
    <row r="1126" spans="2:13" ht="15" customHeight="1" x14ac:dyDescent="0.2">
      <c r="B1126" s="10" t="s">
        <v>903</v>
      </c>
      <c r="C1126" s="10" t="s">
        <v>110</v>
      </c>
      <c r="D1126" s="16">
        <f t="shared" ref="D1126:M1126" si="245">D1119*$D$1136</f>
        <v>5665.6561555625449</v>
      </c>
      <c r="E1126" s="16">
        <f t="shared" si="245"/>
        <v>21586.714100532397</v>
      </c>
      <c r="F1126" s="16">
        <f t="shared" si="245"/>
        <v>35244.765707504564</v>
      </c>
      <c r="G1126" s="16">
        <f t="shared" si="245"/>
        <v>41098.216396206924</v>
      </c>
      <c r="H1126" s="16">
        <f t="shared" si="245"/>
        <v>41098.216396206924</v>
      </c>
      <c r="I1126" s="16">
        <f t="shared" si="245"/>
        <v>41098.216396206924</v>
      </c>
      <c r="J1126" s="16">
        <f t="shared" si="245"/>
        <v>41098.216396206924</v>
      </c>
      <c r="K1126" s="16">
        <f t="shared" si="245"/>
        <v>41098.216396206924</v>
      </c>
      <c r="L1126" s="16">
        <f t="shared" si="245"/>
        <v>41098.216396206924</v>
      </c>
      <c r="M1126" s="16">
        <f t="shared" si="245"/>
        <v>41098.216396206924</v>
      </c>
    </row>
    <row r="1127" spans="2:13" ht="15" customHeight="1" x14ac:dyDescent="0.2">
      <c r="B1127" s="10" t="s">
        <v>904</v>
      </c>
      <c r="C1127" s="10" t="s">
        <v>110</v>
      </c>
      <c r="D1127" s="16">
        <f t="shared" ref="D1127:M1127" si="246">D1126*$D$1137</f>
        <v>2832.8280777812724</v>
      </c>
      <c r="E1127" s="16">
        <f t="shared" si="246"/>
        <v>10793.357050266199</v>
      </c>
      <c r="F1127" s="16">
        <f t="shared" si="246"/>
        <v>17622.382853752282</v>
      </c>
      <c r="G1127" s="16">
        <f t="shared" si="246"/>
        <v>20549.108198103462</v>
      </c>
      <c r="H1127" s="16">
        <f t="shared" si="246"/>
        <v>20549.108198103462</v>
      </c>
      <c r="I1127" s="16">
        <f t="shared" si="246"/>
        <v>20549.108198103462</v>
      </c>
      <c r="J1127" s="16">
        <f t="shared" si="246"/>
        <v>20549.108198103462</v>
      </c>
      <c r="K1127" s="16">
        <f t="shared" si="246"/>
        <v>20549.108198103462</v>
      </c>
      <c r="L1127" s="16">
        <f t="shared" si="246"/>
        <v>20549.108198103462</v>
      </c>
      <c r="M1127" s="16">
        <f t="shared" si="246"/>
        <v>20549.108198103462</v>
      </c>
    </row>
    <row r="1128" spans="2:13" ht="15" customHeight="1" x14ac:dyDescent="0.2">
      <c r="B1128" s="10" t="s">
        <v>905</v>
      </c>
      <c r="C1128" s="10" t="s">
        <v>110</v>
      </c>
      <c r="D1128" s="16">
        <f t="shared" ref="D1128:M1128" si="247">D1127-D1120</f>
        <v>1015.8507918488306</v>
      </c>
      <c r="E1128" s="16">
        <f t="shared" si="247"/>
        <v>3870.4926685164901</v>
      </c>
      <c r="F1128" s="16">
        <f t="shared" si="247"/>
        <v>6319.3780507387819</v>
      </c>
      <c r="G1128" s="16">
        <f t="shared" si="247"/>
        <v>7368.9003574054805</v>
      </c>
      <c r="H1128" s="16">
        <f t="shared" si="247"/>
        <v>7368.9003574054805</v>
      </c>
      <c r="I1128" s="16">
        <f t="shared" si="247"/>
        <v>7368.9003574054805</v>
      </c>
      <c r="J1128" s="16">
        <f t="shared" si="247"/>
        <v>7368.9003574054805</v>
      </c>
      <c r="K1128" s="16">
        <f t="shared" si="247"/>
        <v>7368.9003574054805</v>
      </c>
      <c r="L1128" s="16">
        <f t="shared" si="247"/>
        <v>7368.9003574054805</v>
      </c>
      <c r="M1128" s="16">
        <f t="shared" si="247"/>
        <v>7368.9003574054805</v>
      </c>
    </row>
    <row r="1129" spans="2:13" ht="15" customHeight="1" x14ac:dyDescent="0.2">
      <c r="B1129" s="10" t="s">
        <v>906</v>
      </c>
      <c r="C1129" s="10" t="s">
        <v>110</v>
      </c>
      <c r="D1129" s="16">
        <f>MAX(D1128,Inputs!$D$6)*Inputs!$D$19</f>
        <v>304.75523755464917</v>
      </c>
      <c r="E1129" s="16">
        <f>MAX(E1128,Inputs!$D$6)*Inputs!$D$19</f>
        <v>1161.147800554947</v>
      </c>
      <c r="F1129" s="16">
        <f>MAX(F1128,Inputs!$D$6)*Inputs!$D$19</f>
        <v>1895.8134152216344</v>
      </c>
      <c r="G1129" s="16">
        <f>MAX(G1128,Inputs!$D$6)*Inputs!$D$19</f>
        <v>2210.6701072216442</v>
      </c>
      <c r="H1129" s="16">
        <f>MAX(H1128,Inputs!$D$6)*Inputs!$D$19</f>
        <v>2210.6701072216442</v>
      </c>
      <c r="I1129" s="16">
        <f>MAX(I1128,Inputs!$D$6)*Inputs!$D$19</f>
        <v>2210.6701072216442</v>
      </c>
      <c r="J1129" s="16">
        <f>MAX(J1128,Inputs!$D$6)*Inputs!$D$19</f>
        <v>2210.6701072216442</v>
      </c>
      <c r="K1129" s="16">
        <f>MAX(K1128,Inputs!$D$6)*Inputs!$D$19</f>
        <v>2210.6701072216442</v>
      </c>
      <c r="L1129" s="16">
        <f>MAX(L1128,Inputs!$D$6)*Inputs!$D$19</f>
        <v>2210.6701072216442</v>
      </c>
      <c r="M1129" s="16">
        <f>MAX(M1128,Inputs!$D$6)*Inputs!$D$19</f>
        <v>2210.6701072216442</v>
      </c>
    </row>
    <row r="1130" spans="2:13" ht="15" customHeight="1" x14ac:dyDescent="0.2">
      <c r="B1130" s="10" t="s">
        <v>907</v>
      </c>
      <c r="C1130" s="10" t="s">
        <v>110</v>
      </c>
      <c r="D1130" s="16">
        <f t="shared" ref="D1130:M1130" si="248">D1123*$D$1136</f>
        <v>292.67253443511794</v>
      </c>
      <c r="E1130" s="16">
        <f t="shared" si="248"/>
        <v>390.23004591349059</v>
      </c>
      <c r="F1130" s="16">
        <f t="shared" si="248"/>
        <v>292.67253443511794</v>
      </c>
      <c r="G1130" s="16">
        <f t="shared" si="248"/>
        <v>0</v>
      </c>
      <c r="H1130" s="16">
        <f t="shared" si="248"/>
        <v>0</v>
      </c>
      <c r="I1130" s="16">
        <f t="shared" si="248"/>
        <v>0</v>
      </c>
      <c r="J1130" s="16">
        <f t="shared" si="248"/>
        <v>0</v>
      </c>
      <c r="K1130" s="16">
        <f t="shared" si="248"/>
        <v>0</v>
      </c>
      <c r="L1130" s="16">
        <f t="shared" si="248"/>
        <v>0</v>
      </c>
      <c r="M1130" s="16">
        <f t="shared" si="248"/>
        <v>0</v>
      </c>
    </row>
    <row r="1131" spans="2:13" ht="15" customHeight="1" x14ac:dyDescent="0.2">
      <c r="B1131" s="10" t="s">
        <v>908</v>
      </c>
      <c r="C1131" s="10" t="s">
        <v>110</v>
      </c>
      <c r="D1131" s="16">
        <f t="shared" ref="D1131:M1131" si="249">D1127-D1129-D1121-D1122-D1130</f>
        <v>-13325.568314354648</v>
      </c>
      <c r="E1131" s="16">
        <f t="shared" si="249"/>
        <v>-11505.97895639711</v>
      </c>
      <c r="F1131" s="16">
        <f t="shared" si="249"/>
        <v>-127.0717160506228</v>
      </c>
      <c r="G1131" s="16">
        <f t="shared" si="249"/>
        <v>15700.433242314644</v>
      </c>
      <c r="H1131" s="16">
        <f t="shared" si="249"/>
        <v>3456.6498690735352</v>
      </c>
      <c r="I1131" s="16">
        <f t="shared" si="249"/>
        <v>-1503.946204862561</v>
      </c>
      <c r="J1131" s="16">
        <f t="shared" si="249"/>
        <v>3456.6498690735352</v>
      </c>
      <c r="K1131" s="16">
        <f t="shared" si="249"/>
        <v>15700.433242314644</v>
      </c>
      <c r="L1131" s="16">
        <f t="shared" si="249"/>
        <v>3456.6498690735352</v>
      </c>
      <c r="M1131" s="16">
        <f t="shared" si="249"/>
        <v>-1503.946204862561</v>
      </c>
    </row>
    <row r="1132" spans="2:13" ht="15" customHeight="1" x14ac:dyDescent="0.2">
      <c r="B1132" s="10" t="s">
        <v>909</v>
      </c>
      <c r="C1132" s="10" t="s">
        <v>110</v>
      </c>
      <c r="D1132" s="16">
        <f>D1131/(Inputs!$D$7+$D$1138)^D1112</f>
        <v>-12612.518737330993</v>
      </c>
      <c r="E1132" s="16">
        <f>E1131/(Inputs!$D$7+$D$1138)^E1112</f>
        <v>-10082.013446901003</v>
      </c>
      <c r="F1132" s="16">
        <f>F1131/(Inputs!$D$7+$D$1138)^F1112</f>
        <v>-103.1030976954961</v>
      </c>
      <c r="G1132" s="16">
        <f>G1131/(Inputs!$D$7+$D$1138)^G1112</f>
        <v>11795.967768905932</v>
      </c>
      <c r="H1132" s="16">
        <f>H1131/(Inputs!$D$7+$D$1138)^H1112</f>
        <v>2404.7861037646053</v>
      </c>
      <c r="I1132" s="16">
        <f>I1131/(Inputs!$D$7+$D$1138)^I1112</f>
        <v>-968.63682804477924</v>
      </c>
      <c r="J1132" s="16">
        <f>J1131/(Inputs!$D$7+$D$1138)^J1112</f>
        <v>2061.499282800723</v>
      </c>
      <c r="K1132" s="16">
        <f>K1131/(Inputs!$D$7+$D$1138)^K1112</f>
        <v>8670.3884527706341</v>
      </c>
      <c r="L1132" s="16">
        <f>L1131/(Inputs!$D$7+$D$1138)^L1112</f>
        <v>1767.5895758570539</v>
      </c>
      <c r="M1132" s="16">
        <f>M1131/(Inputs!$D$7+$D$1138)^M1112</f>
        <v>-711.97698513097748</v>
      </c>
    </row>
    <row r="1133" spans="2:13" ht="15" customHeight="1" x14ac:dyDescent="0.2">
      <c r="B1133" s="3" t="s">
        <v>910</v>
      </c>
      <c r="C1133" s="10" t="s">
        <v>896</v>
      </c>
      <c r="D1133" s="28">
        <f>(D1119*$D$1137-D1123)/(Inputs!$D$7+$D$1138)^D1112</f>
        <v>53.293199930848452</v>
      </c>
      <c r="E1133" s="28">
        <f>(E1119*$D$1137-E1123)/(Inputs!$D$7+$D$1138)^E1112</f>
        <v>202.06123352613673</v>
      </c>
      <c r="F1133" s="28">
        <f>(F1119*$D$1137-F1123)/(Inputs!$D$7+$D$1138)^F1112</f>
        <v>311.68042285055395</v>
      </c>
      <c r="G1133" s="28">
        <f>(G1119*$D$1137-G1123)/(Inputs!$D$7+$D$1138)^G1112</f>
        <v>342.22388871764184</v>
      </c>
      <c r="H1133" s="28">
        <f>(H1119*$D$1137-H1123)/(Inputs!$D$7+$D$1138)^H1112</f>
        <v>316.89066343255809</v>
      </c>
      <c r="I1133" s="28">
        <f>(I1119*$D$1137-I1123)/(Inputs!$D$7+$D$1138)^I1112</f>
        <v>293.37091562707695</v>
      </c>
      <c r="J1133" s="28">
        <f>(J1119*$D$1137-J1123)/(Inputs!$D$7+$D$1138)^J1112</f>
        <v>271.65404622464905</v>
      </c>
      <c r="K1133" s="28">
        <f>(K1119*$D$1137-K1123)/(Inputs!$D$7+$D$1138)^K1112</f>
        <v>251.54477454755809</v>
      </c>
      <c r="L1133" s="28">
        <f>(L1119*$D$1137-L1123)/(Inputs!$D$7+$D$1138)^L1112</f>
        <v>232.92409769540356</v>
      </c>
      <c r="M1133" s="28">
        <f>(M1119*$D$1137-M1123)/(Inputs!$D$7+$D$1138)^M1112</f>
        <v>215.63638092813108</v>
      </c>
    </row>
    <row r="1134" spans="2:13" ht="15" customHeight="1" x14ac:dyDescent="0.2">
      <c r="B1134" s="10" t="s">
        <v>911</v>
      </c>
      <c r="C1134" s="10" t="s">
        <v>110</v>
      </c>
      <c r="D1134" s="16">
        <f>(-D1121-D1122)/(Inputs!$D$7+$D$1138)^D1112</f>
        <v>-14728.303038392241</v>
      </c>
      <c r="E1134" s="16">
        <f>(-E1121-E1122)/(Inputs!$D$7+$D$1138)^E1112</f>
        <v>-18180.216908055725</v>
      </c>
      <c r="F1134" s="16">
        <f>(-F1121-F1122)/(Inputs!$D$7+$D$1138)^F1112</f>
        <v>-12625.815702688111</v>
      </c>
      <c r="G1134" s="16">
        <f>(-G1121-G1122)/(Inputs!$D$7+$D$1138)^G1112</f>
        <v>-1981.9720696655354</v>
      </c>
      <c r="H1134" s="16">
        <f>(-H1121-H1122)/(Inputs!$D$7+$D$1138)^H1112</f>
        <v>-10353.237634844469</v>
      </c>
      <c r="I1134" s="16">
        <f>(-I1121-I1122)/(Inputs!$D$7+$D$1138)^I1112</f>
        <v>-12779.755102232404</v>
      </c>
      <c r="J1134" s="16">
        <f>(-J1121-J1122)/(Inputs!$D$7+$D$1138)^J1112</f>
        <v>-8875.2974434962562</v>
      </c>
      <c r="K1134" s="16">
        <f>(-K1121-K1122)/(Inputs!$D$7+$D$1138)^K1112</f>
        <v>-1456.8086386129401</v>
      </c>
      <c r="L1134" s="16">
        <f>(-L1121-L1122)/(Inputs!$D$7+$D$1138)^L1112</f>
        <v>-7609.9387347064285</v>
      </c>
      <c r="M1134" s="16">
        <f>(-M1121-M1122)/(Inputs!$D$7+$D$1138)^M1112</f>
        <v>-9393.5015115686074</v>
      </c>
    </row>
    <row r="1135" spans="2:13" ht="15" customHeight="1" x14ac:dyDescent="0.2">
      <c r="B1135" s="10" t="s">
        <v>912</v>
      </c>
      <c r="C1135" s="10" t="s">
        <v>110</v>
      </c>
      <c r="D1135" s="16">
        <f>Prices!I7</f>
        <v>35754.545454545456</v>
      </c>
    </row>
    <row r="1136" spans="2:13" ht="15" customHeight="1" x14ac:dyDescent="0.2">
      <c r="B1136" s="3" t="s">
        <v>913</v>
      </c>
      <c r="C1136" s="10" t="s">
        <v>914</v>
      </c>
      <c r="D1136" s="28">
        <f>IF(J1143&gt;=J1139,J1143,(D1135-J1142)/J1141)</f>
        <v>45.113300105605845</v>
      </c>
      <c r="G1136" s="99" t="s">
        <v>915</v>
      </c>
      <c r="H1136" s="91"/>
      <c r="I1136" s="91"/>
      <c r="J1136" s="28">
        <f>D1136*Inputs!$D$15</f>
        <v>31.484572143702316</v>
      </c>
      <c r="K1136" s="99" t="s">
        <v>916</v>
      </c>
      <c r="L1136" s="91"/>
      <c r="M1136" s="91"/>
    </row>
    <row r="1137" spans="2:13" ht="15" customHeight="1" x14ac:dyDescent="0.2">
      <c r="B1137" s="10" t="s">
        <v>917</v>
      </c>
      <c r="C1137" s="10" t="s">
        <v>104</v>
      </c>
      <c r="D1137" s="30">
        <f>Inputs!$D$140</f>
        <v>0.5</v>
      </c>
      <c r="G1137" s="99" t="s">
        <v>918</v>
      </c>
      <c r="H1137" s="91"/>
      <c r="I1137" s="91"/>
      <c r="J1137" s="28">
        <f>IF(-D1148/D1147&gt;=J1139,-D1148/D1147,-J1142/J1141)</f>
        <v>37.248891644724878</v>
      </c>
      <c r="K1137" s="99" t="s">
        <v>919</v>
      </c>
      <c r="L1137" s="91"/>
      <c r="M1137" s="91"/>
    </row>
    <row r="1138" spans="2:13" ht="15" customHeight="1" x14ac:dyDescent="0.2">
      <c r="B1138" s="10" t="s">
        <v>920</v>
      </c>
      <c r="C1138" s="10" t="s">
        <v>104</v>
      </c>
      <c r="D1138" s="30">
        <f>Inputs!$D$146</f>
        <v>0.08</v>
      </c>
      <c r="G1138" s="99" t="s">
        <v>918</v>
      </c>
      <c r="H1138" s="91"/>
      <c r="I1138" s="91"/>
      <c r="J1138" s="28">
        <f>J1137*Inputs!$D$15</f>
        <v>25.99600147885349</v>
      </c>
      <c r="K1138" s="99" t="s">
        <v>916</v>
      </c>
      <c r="L1138" s="91"/>
      <c r="M1138" s="91"/>
    </row>
    <row r="1139" spans="2:13" ht="15" customHeight="1" x14ac:dyDescent="0.2">
      <c r="B1139" s="3" t="s">
        <v>921</v>
      </c>
      <c r="C1139" s="10" t="s">
        <v>848</v>
      </c>
      <c r="D1139" s="28">
        <f>Capital!$D$13</f>
        <v>57.347931490590682</v>
      </c>
      <c r="G1139" s="99" t="s">
        <v>922</v>
      </c>
      <c r="H1139" s="91"/>
      <c r="I1139" s="91"/>
      <c r="J1139" s="28">
        <f>($D$1139/Inputs!$D$21+$D$1140/Inputs!$D$22)/$D$1137</f>
        <v>28.93569229571456</v>
      </c>
      <c r="K1139" s="99" t="s">
        <v>919</v>
      </c>
      <c r="L1139" s="91"/>
      <c r="M1139" s="91"/>
    </row>
    <row r="1140" spans="2:13" ht="15" customHeight="1" x14ac:dyDescent="0.2">
      <c r="B1140" s="3" t="s">
        <v>923</v>
      </c>
      <c r="C1140" s="10" t="s">
        <v>848</v>
      </c>
      <c r="D1140" s="28">
        <f>Capital!$D$14</f>
        <v>2.6172655041921802</v>
      </c>
    </row>
    <row r="1141" spans="2:13" ht="15" customHeight="1" x14ac:dyDescent="0.2">
      <c r="B1141" s="10" t="s">
        <v>924</v>
      </c>
      <c r="C1141" s="10" t="s">
        <v>896</v>
      </c>
      <c r="D1141" s="28">
        <f>(M1114*(Inputs!$D$7+Inputs!$D$20)*$D$1137*(Inputs!$D$7-Inputs!$D$19)-M1114*Inputs!$D$20*Inputs!$D$23)/($D$1138-Inputs!$D$20)/(Inputs!$D$7+$D$1138)^M1112</f>
        <v>2808.1737789049789</v>
      </c>
      <c r="G1141" s="92" t="s">
        <v>910</v>
      </c>
      <c r="H1141" s="91"/>
      <c r="I1141" s="91"/>
      <c r="J1141" s="28">
        <f>SUM(D1133:M1133)+(M1114*(Inputs!$D$7+Inputs!$D$20)*$D$1137-M1114*Inputs!$D$20*Inputs!$D$23)/($D$1138-Inputs!$D$20)/(Inputs!$D$7+$D$1138)^M1112</f>
        <v>6505.0568048473606</v>
      </c>
      <c r="K1141" s="99" t="s">
        <v>896</v>
      </c>
      <c r="L1141" s="91"/>
      <c r="M1141" s="91"/>
    </row>
    <row r="1142" spans="2:13" ht="15" customHeight="1" x14ac:dyDescent="0.2">
      <c r="B1142" s="10" t="s">
        <v>925</v>
      </c>
      <c r="C1142" s="10" t="s">
        <v>110</v>
      </c>
      <c r="D1142" s="16">
        <f>(D1145*Inputs!$D$19-D1145-D1146)/($D$1138-Inputs!$D$20)/(Inputs!$D$7+$D$1138)^M1112</f>
        <v>-93153.423070883771</v>
      </c>
      <c r="G1142" s="92" t="s">
        <v>926</v>
      </c>
      <c r="H1142" s="91"/>
      <c r="I1142" s="91"/>
      <c r="J1142" s="16">
        <f>SUM(D1134:M1134)-(D1145+D1146)/($D$1138-Inputs!$D$20)/(Inputs!$D$7+$D$1138)^M1112</f>
        <v>-226023.23893944838</v>
      </c>
      <c r="K1142" s="99" t="s">
        <v>110</v>
      </c>
      <c r="L1142" s="91"/>
      <c r="M1142" s="91"/>
    </row>
    <row r="1143" spans="2:13" ht="15" customHeight="1" x14ac:dyDescent="0.2">
      <c r="B1143" s="10" t="s">
        <v>927</v>
      </c>
      <c r="C1143" s="10" t="s">
        <v>928</v>
      </c>
      <c r="D1143" s="16">
        <f>(M1114*(Inputs!$D$7+Inputs!$D$20)*$D$1136*$D$1137-D1145)-MAX((M1114*(Inputs!$D$7+Inputs!$D$20)*$D$1136*$D$1137-D1145),Inputs!$D$6)*Inputs!$D$19-D1146-M1114*Inputs!$D$20*$D$1136*Inputs!$D$23</f>
        <v>3895.7922596346216</v>
      </c>
      <c r="G1143" s="99" t="s">
        <v>929</v>
      </c>
      <c r="H1143" s="91"/>
      <c r="I1143" s="91"/>
      <c r="J1143" s="28">
        <f>(D1135-D1148)/D1147</f>
        <v>45.113300105605845</v>
      </c>
      <c r="K1143" s="99" t="s">
        <v>919</v>
      </c>
      <c r="L1143" s="91"/>
      <c r="M1143" s="91"/>
    </row>
    <row r="1144" spans="2:13" ht="15" customHeight="1" x14ac:dyDescent="0.2">
      <c r="B1144" s="10" t="s">
        <v>930</v>
      </c>
      <c r="C1144" s="10" t="s">
        <v>110</v>
      </c>
      <c r="D1144" s="16">
        <f>D1143/($D$1138-Inputs!$D$20)</f>
        <v>70832.586538811302</v>
      </c>
      <c r="G1144" s="99" t="s">
        <v>931</v>
      </c>
      <c r="H1144" s="91"/>
      <c r="I1144" s="91"/>
      <c r="J1144" s="16">
        <f>MIN(D1128:M1128,(M1114*(Inputs!$D$7+Inputs!$D$20)*$D$1136*$D$1137-D1145))</f>
        <v>1015.8507918488306</v>
      </c>
      <c r="K1144" s="99" t="s">
        <v>110</v>
      </c>
      <c r="L1144" s="91"/>
      <c r="M1144" s="91"/>
    </row>
    <row r="1145" spans="2:13" ht="15" customHeight="1" x14ac:dyDescent="0.2">
      <c r="B1145" s="10" t="s">
        <v>932</v>
      </c>
      <c r="C1145" s="10" t="s">
        <v>928</v>
      </c>
      <c r="D1145" s="16">
        <f>M1114*(Inputs!$D$7+Inputs!$D$20)*($D$1139/Inputs!$D$21+$D$1140/Inputs!$D$22)</f>
        <v>13509.71303671543</v>
      </c>
      <c r="G1145" s="99" t="s">
        <v>933</v>
      </c>
      <c r="H1145" s="91"/>
      <c r="I1145" s="91"/>
      <c r="J1145" s="31" t="str">
        <f>IF(J1144&lt;Inputs!$D$6,"breached","satisfied")</f>
        <v>satisfied</v>
      </c>
      <c r="K1145" s="99" t="s">
        <v>934</v>
      </c>
      <c r="L1145" s="91"/>
      <c r="M1145" s="91"/>
    </row>
    <row r="1146" spans="2:13" ht="15" customHeight="1" x14ac:dyDescent="0.2">
      <c r="B1146" s="10" t="s">
        <v>935</v>
      </c>
      <c r="C1146" s="10" t="s">
        <v>928</v>
      </c>
      <c r="D1146" s="16">
        <f>M1114*Inputs!$D$20*($D$1139+$D$1140)</f>
        <v>1365.7073615561799</v>
      </c>
    </row>
    <row r="1147" spans="2:13" ht="15" customHeight="1" x14ac:dyDescent="0.2">
      <c r="B1147" s="10" t="s">
        <v>936</v>
      </c>
      <c r="C1147" s="10" t="s">
        <v>896</v>
      </c>
      <c r="D1147" s="28">
        <f>SUM(D1124:M1124)+D1141</f>
        <v>4546.3744199446473</v>
      </c>
      <c r="G1147" s="99" t="s">
        <v>937</v>
      </c>
      <c r="H1147" s="91"/>
      <c r="I1147" s="91"/>
      <c r="J1147" s="16">
        <f>D1149-D1135</f>
        <v>0</v>
      </c>
      <c r="K1147" s="99" t="s">
        <v>110</v>
      </c>
      <c r="L1147" s="91"/>
      <c r="M1147" s="91"/>
    </row>
    <row r="1148" spans="2:13" ht="15" customHeight="1" x14ac:dyDescent="0.2">
      <c r="B1148" s="10" t="s">
        <v>938</v>
      </c>
      <c r="C1148" s="10" t="s">
        <v>110</v>
      </c>
      <c r="D1148" s="16">
        <f>SUM(D1125:M1125)+D1142</f>
        <v>-169347.40814486711</v>
      </c>
    </row>
    <row r="1149" spans="2:13" ht="15" customHeight="1" x14ac:dyDescent="0.2">
      <c r="B1149" s="10" t="s">
        <v>939</v>
      </c>
      <c r="C1149" s="10" t="s">
        <v>110</v>
      </c>
      <c r="D1149" s="16">
        <f>SUM(D1132:M1132)+D1144/(Inputs!$D$7+$D$1138)^M1112</f>
        <v>35754.54545454547</v>
      </c>
    </row>
    <row r="1150" spans="2:13" ht="15" customHeight="1" x14ac:dyDescent="0.2">
      <c r="B1150" s="10" t="s">
        <v>940</v>
      </c>
      <c r="C1150" s="10" t="s">
        <v>104</v>
      </c>
      <c r="D1150" s="30">
        <f>IF(ABS(D1135)&gt;Inputs!$D$6,D1149/D1135-Inputs!$D$7,Inputs!$D$6)</f>
        <v>4.4408920985006262E-16</v>
      </c>
    </row>
    <row r="1151" spans="2:13" ht="15" customHeight="1" x14ac:dyDescent="0.2">
      <c r="B1151" s="10" t="s">
        <v>941</v>
      </c>
      <c r="C1151" s="10" t="s">
        <v>104</v>
      </c>
      <c r="D1151" s="30">
        <f>IF(ABS(D1149)&gt;Inputs!$D$119,D1144/(Inputs!$D$7+$D$1138)^M1112/D1149,Inputs!$D$6)</f>
        <v>0.93785455637184678</v>
      </c>
    </row>
    <row r="1152" spans="2:13" ht="15" customHeight="1" x14ac:dyDescent="0.2">
      <c r="B1152" s="10" t="s">
        <v>942</v>
      </c>
      <c r="C1152" s="10" t="s">
        <v>943</v>
      </c>
      <c r="D1152" s="26">
        <f>$D$1136*Inputs!$D$8/Prices!$P$6/(Inputs!$D$26/Inputs!$D$25)/Inputs!$D$11/Inputs!$D$56</f>
        <v>8.2039906568610874</v>
      </c>
    </row>
    <row r="1156" spans="1:13" ht="15" customHeight="1" x14ac:dyDescent="0.2">
      <c r="A1156" s="104" t="s">
        <v>2190</v>
      </c>
      <c r="B1156" s="10" t="s">
        <v>886</v>
      </c>
      <c r="C1156" s="10" t="s">
        <v>107</v>
      </c>
      <c r="D1156" s="28">
        <f>Inputs!$D$60</f>
        <v>1</v>
      </c>
      <c r="E1156" s="28">
        <f>Inputs!$D$62</f>
        <v>2</v>
      </c>
      <c r="F1156" s="28">
        <f>Inputs!$D$64</f>
        <v>3</v>
      </c>
      <c r="G1156" s="28">
        <f>Inputs!$D$66</f>
        <v>4</v>
      </c>
      <c r="H1156" s="28">
        <f>Inputs!$D$68</f>
        <v>5</v>
      </c>
      <c r="I1156" s="28">
        <f>Inputs!$D$70</f>
        <v>6</v>
      </c>
      <c r="J1156" s="28">
        <f>Inputs!$D$72</f>
        <v>7</v>
      </c>
      <c r="K1156" s="28">
        <f>Inputs!$D$74</f>
        <v>8</v>
      </c>
      <c r="L1156" s="28">
        <f>Inputs!$D$76</f>
        <v>9</v>
      </c>
      <c r="M1156" s="28">
        <f>Inputs!$D$78</f>
        <v>10</v>
      </c>
    </row>
    <row r="1157" spans="1:13" ht="15" customHeight="1" x14ac:dyDescent="0.2">
      <c r="A1157" s="91"/>
      <c r="B1157" s="10" t="s">
        <v>887</v>
      </c>
      <c r="C1157" s="10" t="s">
        <v>161</v>
      </c>
      <c r="D1157" s="29">
        <f>Inputs!$D$61</f>
        <v>46568</v>
      </c>
      <c r="E1157" s="29">
        <f>Inputs!$D$63</f>
        <v>46934</v>
      </c>
      <c r="F1157" s="29">
        <f>Inputs!$D$65</f>
        <v>47299</v>
      </c>
      <c r="G1157" s="29">
        <f>Inputs!$D$67</f>
        <v>47664</v>
      </c>
      <c r="H1157" s="29">
        <f>Inputs!$D$69</f>
        <v>48029</v>
      </c>
      <c r="I1157" s="29">
        <f>Inputs!$D$71</f>
        <v>48395</v>
      </c>
      <c r="J1157" s="29">
        <f>Inputs!$D$73</f>
        <v>48760</v>
      </c>
      <c r="K1157" s="29">
        <f>Inputs!$D$75</f>
        <v>49125</v>
      </c>
      <c r="L1157" s="29">
        <f>Inputs!$D$77</f>
        <v>49490</v>
      </c>
      <c r="M1157" s="29">
        <f>Inputs!$D$79</f>
        <v>49856</v>
      </c>
    </row>
    <row r="1158" spans="1:13" ht="15" customHeight="1" x14ac:dyDescent="0.2">
      <c r="A1158" s="91"/>
      <c r="B1158" s="10" t="s">
        <v>888</v>
      </c>
      <c r="C1158" s="10" t="s">
        <v>107</v>
      </c>
      <c r="D1158" s="28">
        <f>(D1157-Inputs!$D$13)/Inputs!$D$10</f>
        <v>0.71457905544147848</v>
      </c>
      <c r="E1158" s="28">
        <f>(E1157-Inputs!$D$13)/Inputs!$D$10</f>
        <v>1.7166324435318274</v>
      </c>
      <c r="F1158" s="28">
        <f>(F1157-Inputs!$D$13)/Inputs!$D$10</f>
        <v>2.7159479808350446</v>
      </c>
      <c r="G1158" s="28">
        <f>(G1157-Inputs!$D$13)/Inputs!$D$10</f>
        <v>3.7152635181382614</v>
      </c>
      <c r="H1158" s="28">
        <f>(H1157-Inputs!$D$13)/Inputs!$D$10</f>
        <v>4.7145790554414786</v>
      </c>
      <c r="I1158" s="28">
        <f>(I1157-Inputs!$D$13)/Inputs!$D$10</f>
        <v>5.7166324435318279</v>
      </c>
      <c r="J1158" s="28">
        <f>(J1157-Inputs!$D$13)/Inputs!$D$10</f>
        <v>6.7159479808350442</v>
      </c>
      <c r="K1158" s="28">
        <f>(K1157-Inputs!$D$13)/Inputs!$D$10</f>
        <v>7.7152635181382614</v>
      </c>
      <c r="L1158" s="28">
        <f>(L1157-Inputs!$D$13)/Inputs!$D$10</f>
        <v>8.7145790554414777</v>
      </c>
      <c r="M1158" s="28">
        <f>(M1157-Inputs!$D$13)/Inputs!$D$10</f>
        <v>9.716632443531827</v>
      </c>
    </row>
    <row r="1159" spans="1:13" ht="15" customHeight="1" x14ac:dyDescent="0.2">
      <c r="A1159" s="91"/>
      <c r="B1159" s="10" t="s">
        <v>889</v>
      </c>
      <c r="C1159" s="10" t="s">
        <v>107</v>
      </c>
      <c r="D1159" s="28">
        <f>D1158</f>
        <v>0.71457905544147848</v>
      </c>
      <c r="E1159" s="28">
        <f>Inputs!$D$7</f>
        <v>1</v>
      </c>
      <c r="F1159" s="28">
        <f>Inputs!$D$7</f>
        <v>1</v>
      </c>
      <c r="G1159" s="28">
        <f>Inputs!$D$7</f>
        <v>1</v>
      </c>
      <c r="H1159" s="28">
        <f>Inputs!$D$7</f>
        <v>1</v>
      </c>
      <c r="I1159" s="28">
        <f>Inputs!$D$7</f>
        <v>1</v>
      </c>
      <c r="J1159" s="28">
        <f>Inputs!$D$7</f>
        <v>1</v>
      </c>
      <c r="K1159" s="28">
        <f>Inputs!$D$7</f>
        <v>1</v>
      </c>
      <c r="L1159" s="28">
        <f>Inputs!$D$7</f>
        <v>1</v>
      </c>
      <c r="M1159" s="28">
        <f>Inputs!$D$7</f>
        <v>1</v>
      </c>
    </row>
    <row r="1160" spans="1:13" ht="15" customHeight="1" x14ac:dyDescent="0.2">
      <c r="A1160" s="91"/>
      <c r="B1160" s="3" t="s">
        <v>890</v>
      </c>
      <c r="C1160" s="10" t="s">
        <v>199</v>
      </c>
      <c r="D1160" s="28">
        <f>Inputs!$D$24+(Inputs!$D$80-Inputs!$D$24)*Inputs!$D$83</f>
        <v>305.5</v>
      </c>
      <c r="E1160" s="28">
        <f>Inputs!$D$24+(Inputs!$D$80-Inputs!$D$24)*Inputs!$D$84</f>
        <v>651.5</v>
      </c>
      <c r="F1160" s="28">
        <f>Inputs!$D$24+(Inputs!$D$80-Inputs!$D$24)*Inputs!$D$85</f>
        <v>911</v>
      </c>
      <c r="G1160" s="28">
        <f>Inputs!$D$24+(Inputs!$D$80-Inputs!$D$24)*Inputs!$D$86</f>
        <v>911</v>
      </c>
      <c r="H1160" s="28">
        <f>Inputs!$D$24+(Inputs!$D$80-Inputs!$D$24)*Inputs!$D$87</f>
        <v>911</v>
      </c>
      <c r="I1160" s="28">
        <f>Inputs!$D$24+(Inputs!$D$80-Inputs!$D$24)*Inputs!$D$88</f>
        <v>911</v>
      </c>
      <c r="J1160" s="28">
        <f>Inputs!$D$24+(Inputs!$D$80-Inputs!$D$24)*Inputs!$D$89</f>
        <v>911</v>
      </c>
      <c r="K1160" s="28">
        <f>Inputs!$D$24+(Inputs!$D$80-Inputs!$D$24)*Inputs!$D$90</f>
        <v>911</v>
      </c>
      <c r="L1160" s="28">
        <f>Inputs!$D$24+(Inputs!$D$80-Inputs!$D$24)*Inputs!$D$91</f>
        <v>911</v>
      </c>
      <c r="M1160" s="28">
        <f>Inputs!$D$24+(Inputs!$D$80-Inputs!$D$24)*Inputs!$D$92</f>
        <v>911</v>
      </c>
    </row>
    <row r="1161" spans="1:13" ht="15" customHeight="1" x14ac:dyDescent="0.2">
      <c r="A1161" s="91"/>
      <c r="B1161" s="10" t="s">
        <v>891</v>
      </c>
      <c r="C1161" s="10" t="s">
        <v>199</v>
      </c>
      <c r="D1161" s="28">
        <f>Inputs!$D$24</f>
        <v>46</v>
      </c>
      <c r="E1161" s="28">
        <f t="shared" ref="E1161:M1161" si="250">D1160</f>
        <v>305.5</v>
      </c>
      <c r="F1161" s="28">
        <f t="shared" si="250"/>
        <v>651.5</v>
      </c>
      <c r="G1161" s="28">
        <f t="shared" si="250"/>
        <v>911</v>
      </c>
      <c r="H1161" s="28">
        <f t="shared" si="250"/>
        <v>911</v>
      </c>
      <c r="I1161" s="28">
        <f t="shared" si="250"/>
        <v>911</v>
      </c>
      <c r="J1161" s="28">
        <f t="shared" si="250"/>
        <v>911</v>
      </c>
      <c r="K1161" s="28">
        <f t="shared" si="250"/>
        <v>911</v>
      </c>
      <c r="L1161" s="28">
        <f t="shared" si="250"/>
        <v>911</v>
      </c>
      <c r="M1161" s="28">
        <f t="shared" si="250"/>
        <v>911</v>
      </c>
    </row>
    <row r="1162" spans="1:13" ht="15" customHeight="1" x14ac:dyDescent="0.2">
      <c r="B1162" s="10" t="s">
        <v>892</v>
      </c>
      <c r="C1162" s="10" t="s">
        <v>199</v>
      </c>
      <c r="D1162" s="28">
        <f>(D1161+D1160)*Inputs!$D$12</f>
        <v>175.75</v>
      </c>
      <c r="E1162" s="28">
        <f>(E1161+E1160)*Inputs!$D$12</f>
        <v>478.5</v>
      </c>
      <c r="F1162" s="28">
        <f>(F1161+F1160)*Inputs!$D$12</f>
        <v>781.25</v>
      </c>
      <c r="G1162" s="28">
        <f>(G1161+G1160)*Inputs!$D$12</f>
        <v>911</v>
      </c>
      <c r="H1162" s="28">
        <f>(H1161+H1160)*Inputs!$D$12</f>
        <v>911</v>
      </c>
      <c r="I1162" s="28">
        <f>(I1161+I1160)*Inputs!$D$12</f>
        <v>911</v>
      </c>
      <c r="J1162" s="28">
        <f>(J1161+J1160)*Inputs!$D$12</f>
        <v>911</v>
      </c>
      <c r="K1162" s="28">
        <f>(K1161+K1160)*Inputs!$D$12</f>
        <v>911</v>
      </c>
      <c r="L1162" s="28">
        <f>(L1161+L1160)*Inputs!$D$12</f>
        <v>911</v>
      </c>
      <c r="M1162" s="28">
        <f>(M1161+M1160)*Inputs!$D$12</f>
        <v>911</v>
      </c>
    </row>
    <row r="1163" spans="1:13" ht="15" customHeight="1" x14ac:dyDescent="0.2">
      <c r="B1163" s="10" t="s">
        <v>893</v>
      </c>
      <c r="C1163" s="10" t="s">
        <v>199</v>
      </c>
      <c r="D1163" s="28">
        <f t="shared" ref="D1163:M1163" si="251">D1160-D1161</f>
        <v>259.5</v>
      </c>
      <c r="E1163" s="28">
        <f t="shared" si="251"/>
        <v>346</v>
      </c>
      <c r="F1163" s="28">
        <f t="shared" si="251"/>
        <v>259.5</v>
      </c>
      <c r="G1163" s="28">
        <f t="shared" si="251"/>
        <v>0</v>
      </c>
      <c r="H1163" s="28">
        <f t="shared" si="251"/>
        <v>0</v>
      </c>
      <c r="I1163" s="28">
        <f t="shared" si="251"/>
        <v>0</v>
      </c>
      <c r="J1163" s="28">
        <f t="shared" si="251"/>
        <v>0</v>
      </c>
      <c r="K1163" s="28">
        <f t="shared" si="251"/>
        <v>0</v>
      </c>
      <c r="L1163" s="28">
        <f t="shared" si="251"/>
        <v>0</v>
      </c>
      <c r="M1163" s="28">
        <f t="shared" si="251"/>
        <v>0</v>
      </c>
    </row>
    <row r="1164" spans="1:13" ht="15" customHeight="1" x14ac:dyDescent="0.2">
      <c r="B1164" s="10" t="s">
        <v>894</v>
      </c>
      <c r="C1164" s="10" t="s">
        <v>199</v>
      </c>
      <c r="D1164" s="28">
        <f>IF(MOD(D1156,Inputs!$D$21)=Inputs!$D$6,Inputs!$D$24,Inputs!$D$6)+SUMPRODUCT(--(D1156&gt;$D$1156:$M$1156),--(MOD(D1156-$D$1156:$M$1156,Inputs!$D$21)=Inputs!$D$6),$D$1163:$M$1163)</f>
        <v>0</v>
      </c>
      <c r="E1164" s="28">
        <f>IF(MOD(E1156,Inputs!$D$21)=Inputs!$D$6,Inputs!$D$24,Inputs!$D$6)+SUMPRODUCT(--(E1156&gt;$D$1156:$M$1156),--(MOD(E1156-$D$1156:$M$1156,Inputs!$D$21)=Inputs!$D$6),$D$1163:$M$1163)</f>
        <v>0</v>
      </c>
      <c r="F1164" s="28">
        <f>IF(MOD(F1156,Inputs!$D$21)=Inputs!$D$6,Inputs!$D$24,Inputs!$D$6)+SUMPRODUCT(--(F1156&gt;$D$1156:$M$1156),--(MOD(F1156-$D$1156:$M$1156,Inputs!$D$21)=Inputs!$D$6),$D$1163:$M$1163)</f>
        <v>0</v>
      </c>
      <c r="G1164" s="28">
        <f>IF(MOD(G1156,Inputs!$D$21)=Inputs!$D$6,Inputs!$D$24,Inputs!$D$6)+SUMPRODUCT(--(G1156&gt;$D$1156:$M$1156),--(MOD(G1156-$D$1156:$M$1156,Inputs!$D$21)=Inputs!$D$6),$D$1163:$M$1163)</f>
        <v>46</v>
      </c>
      <c r="H1164" s="28">
        <f>IF(MOD(H1156,Inputs!$D$21)=Inputs!$D$6,Inputs!$D$24,Inputs!$D$6)+SUMPRODUCT(--(H1156&gt;$D$1156:$M$1156),--(MOD(H1156-$D$1156:$M$1156,Inputs!$D$21)=Inputs!$D$6),$D$1163:$M$1163)</f>
        <v>259.5</v>
      </c>
      <c r="I1164" s="28">
        <f>IF(MOD(I1156,Inputs!$D$21)=Inputs!$D$6,Inputs!$D$24,Inputs!$D$6)+SUMPRODUCT(--(I1156&gt;$D$1156:$M$1156),--(MOD(I1156-$D$1156:$M$1156,Inputs!$D$21)=Inputs!$D$6),$D$1163:$M$1163)</f>
        <v>346</v>
      </c>
      <c r="J1164" s="28">
        <f>IF(MOD(J1156,Inputs!$D$21)=Inputs!$D$6,Inputs!$D$24,Inputs!$D$6)+SUMPRODUCT(--(J1156&gt;$D$1156:$M$1156),--(MOD(J1156-$D$1156:$M$1156,Inputs!$D$21)=Inputs!$D$6),$D$1163:$M$1163)</f>
        <v>259.5</v>
      </c>
      <c r="K1164" s="28">
        <f>IF(MOD(K1156,Inputs!$D$21)=Inputs!$D$6,Inputs!$D$24,Inputs!$D$6)+SUMPRODUCT(--(K1156&gt;$D$1156:$M$1156),--(MOD(K1156-$D$1156:$M$1156,Inputs!$D$21)=Inputs!$D$6),$D$1163:$M$1163)</f>
        <v>46</v>
      </c>
      <c r="L1164" s="28">
        <f>IF(MOD(L1156,Inputs!$D$21)=Inputs!$D$6,Inputs!$D$24,Inputs!$D$6)+SUMPRODUCT(--(L1156&gt;$D$1156:$M$1156),--(MOD(L1156-$D$1156:$M$1156,Inputs!$D$21)=Inputs!$D$6),$D$1163:$M$1163)</f>
        <v>259.5</v>
      </c>
      <c r="M1164" s="28">
        <f>IF(MOD(M1156,Inputs!$D$21)=Inputs!$D$6,Inputs!$D$24,Inputs!$D$6)+SUMPRODUCT(--(M1156&gt;$D$1156:$M$1156),--(MOD(M1156-$D$1156:$M$1156,Inputs!$D$21)=Inputs!$D$6),$D$1163:$M$1163)</f>
        <v>346</v>
      </c>
    </row>
    <row r="1165" spans="1:13" ht="15" customHeight="1" x14ac:dyDescent="0.2">
      <c r="B1165" s="10" t="s">
        <v>895</v>
      </c>
      <c r="C1165" s="10" t="s">
        <v>896</v>
      </c>
      <c r="D1165" s="28">
        <f t="shared" ref="D1165:M1165" si="252">D1162*D1159</f>
        <v>125.58726899383984</v>
      </c>
      <c r="E1165" s="28">
        <f t="shared" si="252"/>
        <v>478.5</v>
      </c>
      <c r="F1165" s="28">
        <f t="shared" si="252"/>
        <v>781.25</v>
      </c>
      <c r="G1165" s="28">
        <f t="shared" si="252"/>
        <v>911</v>
      </c>
      <c r="H1165" s="28">
        <f t="shared" si="252"/>
        <v>911</v>
      </c>
      <c r="I1165" s="28">
        <f t="shared" si="252"/>
        <v>911</v>
      </c>
      <c r="J1165" s="28">
        <f t="shared" si="252"/>
        <v>911</v>
      </c>
      <c r="K1165" s="28">
        <f t="shared" si="252"/>
        <v>911</v>
      </c>
      <c r="L1165" s="28">
        <f t="shared" si="252"/>
        <v>911</v>
      </c>
      <c r="M1165" s="28">
        <f t="shared" si="252"/>
        <v>911</v>
      </c>
    </row>
    <row r="1166" spans="1:13" ht="15" customHeight="1" x14ac:dyDescent="0.2">
      <c r="B1166" s="10" t="s">
        <v>897</v>
      </c>
      <c r="C1166" s="10" t="s">
        <v>110</v>
      </c>
      <c r="D1166" s="16">
        <f>D1165*($D$1185/Inputs!$D$21+$D$1186/Inputs!$D$22)</f>
        <v>1816.9772859324419</v>
      </c>
      <c r="E1166" s="16">
        <f>E1165*($D$1185/Inputs!$D$21+$D$1186/Inputs!$D$22)</f>
        <v>6922.8643817497086</v>
      </c>
      <c r="F1166" s="16">
        <f>F1165*($D$1185/Inputs!$D$21+$D$1186/Inputs!$D$22)</f>
        <v>11303.0048030135</v>
      </c>
      <c r="G1166" s="16">
        <f>G1165*($D$1185/Inputs!$D$21+$D$1186/Inputs!$D$22)</f>
        <v>13180.207840697982</v>
      </c>
      <c r="H1166" s="16">
        <f>H1165*($D$1185/Inputs!$D$21+$D$1186/Inputs!$D$22)</f>
        <v>13180.207840697982</v>
      </c>
      <c r="I1166" s="16">
        <f>I1165*($D$1185/Inputs!$D$21+$D$1186/Inputs!$D$22)</f>
        <v>13180.207840697982</v>
      </c>
      <c r="J1166" s="16">
        <f>J1165*($D$1185/Inputs!$D$21+$D$1186/Inputs!$D$22)</f>
        <v>13180.207840697982</v>
      </c>
      <c r="K1166" s="16">
        <f>K1165*($D$1185/Inputs!$D$21+$D$1186/Inputs!$D$22)</f>
        <v>13180.207840697982</v>
      </c>
      <c r="L1166" s="16">
        <f>L1165*($D$1185/Inputs!$D$21+$D$1186/Inputs!$D$22)</f>
        <v>13180.207840697982</v>
      </c>
      <c r="M1166" s="16">
        <f>M1165*($D$1185/Inputs!$D$21+$D$1186/Inputs!$D$22)</f>
        <v>13180.207840697982</v>
      </c>
    </row>
    <row r="1167" spans="1:13" ht="15" customHeight="1" x14ac:dyDescent="0.2">
      <c r="B1167" s="10" t="s">
        <v>898</v>
      </c>
      <c r="C1167" s="10" t="s">
        <v>110</v>
      </c>
      <c r="D1167" s="16">
        <f t="shared" ref="D1167:M1167" si="253">D1163*($D$1185+$D$1186)</f>
        <v>15560.968620146154</v>
      </c>
      <c r="E1167" s="16">
        <f t="shared" si="253"/>
        <v>20747.95816019487</v>
      </c>
      <c r="F1167" s="16">
        <f t="shared" si="253"/>
        <v>15560.968620146154</v>
      </c>
      <c r="G1167" s="16">
        <f t="shared" si="253"/>
        <v>0</v>
      </c>
      <c r="H1167" s="16">
        <f t="shared" si="253"/>
        <v>0</v>
      </c>
      <c r="I1167" s="16">
        <f t="shared" si="253"/>
        <v>0</v>
      </c>
      <c r="J1167" s="16">
        <f t="shared" si="253"/>
        <v>0</v>
      </c>
      <c r="K1167" s="16">
        <f t="shared" si="253"/>
        <v>0</v>
      </c>
      <c r="L1167" s="16">
        <f t="shared" si="253"/>
        <v>0</v>
      </c>
      <c r="M1167" s="16">
        <f t="shared" si="253"/>
        <v>0</v>
      </c>
    </row>
    <row r="1168" spans="1:13" ht="15" customHeight="1" x14ac:dyDescent="0.2">
      <c r="B1168" s="10" t="s">
        <v>899</v>
      </c>
      <c r="C1168" s="10" t="s">
        <v>110</v>
      </c>
      <c r="D1168" s="16">
        <f t="shared" ref="D1168:M1168" si="254">D1164*$D$1185</f>
        <v>0</v>
      </c>
      <c r="E1168" s="16">
        <f t="shared" si="254"/>
        <v>0</v>
      </c>
      <c r="F1168" s="16">
        <f t="shared" si="254"/>
        <v>0</v>
      </c>
      <c r="G1168" s="16">
        <f t="shared" si="254"/>
        <v>2638.0048485671714</v>
      </c>
      <c r="H1168" s="16">
        <f t="shared" si="254"/>
        <v>14881.788221808281</v>
      </c>
      <c r="I1168" s="16">
        <f t="shared" si="254"/>
        <v>19842.384295744378</v>
      </c>
      <c r="J1168" s="16">
        <f t="shared" si="254"/>
        <v>14881.788221808281</v>
      </c>
      <c r="K1168" s="16">
        <f t="shared" si="254"/>
        <v>2638.0048485671714</v>
      </c>
      <c r="L1168" s="16">
        <f t="shared" si="254"/>
        <v>14881.788221808281</v>
      </c>
      <c r="M1168" s="16">
        <f t="shared" si="254"/>
        <v>19842.384295744378</v>
      </c>
    </row>
    <row r="1169" spans="2:13" ht="15" customHeight="1" x14ac:dyDescent="0.2">
      <c r="B1169" s="10" t="s">
        <v>900</v>
      </c>
      <c r="C1169" s="10" t="s">
        <v>199</v>
      </c>
      <c r="D1169" s="28">
        <f>D1163*Inputs!$D$23</f>
        <v>6.4875000000000007</v>
      </c>
      <c r="E1169" s="28">
        <f>E1163*Inputs!$D$23</f>
        <v>8.65</v>
      </c>
      <c r="F1169" s="28">
        <f>F1163*Inputs!$D$23</f>
        <v>6.4875000000000007</v>
      </c>
      <c r="G1169" s="28">
        <f>G1163*Inputs!$D$23</f>
        <v>0</v>
      </c>
      <c r="H1169" s="28">
        <f>H1163*Inputs!$D$23</f>
        <v>0</v>
      </c>
      <c r="I1169" s="28">
        <f>I1163*Inputs!$D$23</f>
        <v>0</v>
      </c>
      <c r="J1169" s="28">
        <f>J1163*Inputs!$D$23</f>
        <v>0</v>
      </c>
      <c r="K1169" s="28">
        <f>K1163*Inputs!$D$23</f>
        <v>0</v>
      </c>
      <c r="L1169" s="28">
        <f>L1163*Inputs!$D$23</f>
        <v>0</v>
      </c>
      <c r="M1169" s="28">
        <f>M1163*Inputs!$D$23</f>
        <v>0</v>
      </c>
    </row>
    <row r="1170" spans="2:13" ht="15" customHeight="1" x14ac:dyDescent="0.2">
      <c r="B1170" s="3" t="s">
        <v>901</v>
      </c>
      <c r="C1170" s="10" t="s">
        <v>896</v>
      </c>
      <c r="D1170" s="28">
        <f>(D1165*$D$1183*(Inputs!$D$7-Inputs!$D$19)-D1169)/(Inputs!$D$7+$D$1184)^D1158</f>
        <v>35.001179305651803</v>
      </c>
      <c r="E1170" s="28">
        <f>(E1165*$D$1183*(Inputs!$D$7-Inputs!$D$19)-E1169)/(Inputs!$D$7+$D$1184)^E1158</f>
        <v>134.85369099155164</v>
      </c>
      <c r="F1170" s="28">
        <f>(F1165*$D$1183*(Inputs!$D$7-Inputs!$D$19)-F1169)/(Inputs!$D$7+$D$1184)^F1158</f>
        <v>206.06752051055432</v>
      </c>
      <c r="G1170" s="28">
        <f>(G1165*$D$1183*(Inputs!$D$7-Inputs!$D$19)-G1169)/(Inputs!$D$7+$D$1184)^G1158</f>
        <v>223.76991053495766</v>
      </c>
      <c r="H1170" s="28">
        <f>(H1165*$D$1183*(Inputs!$D$7-Inputs!$D$19)-H1169)/(Inputs!$D$7+$D$1184)^H1158</f>
        <v>203.44046265799324</v>
      </c>
      <c r="I1170" s="28">
        <f>(I1165*$D$1183*(Inputs!$D$7-Inputs!$D$19)-I1169)/(Inputs!$D$7+$D$1184)^I1158</f>
        <v>184.9096831522028</v>
      </c>
      <c r="J1170" s="28">
        <f>(J1165*$D$1183*(Inputs!$D$7-Inputs!$D$19)-J1169)/(Inputs!$D$7+$D$1184)^J1158</f>
        <v>168.11067851122158</v>
      </c>
      <c r="K1170" s="28">
        <f>(K1165*$D$1183*(Inputs!$D$7-Inputs!$D$19)-K1169)/(Inputs!$D$7+$D$1184)^K1158</f>
        <v>152.83785980121411</v>
      </c>
      <c r="L1170" s="28">
        <f>(L1165*$D$1183*(Inputs!$D$7-Inputs!$D$19)-L1169)/(Inputs!$D$7+$D$1184)^L1158</f>
        <v>138.95257336110456</v>
      </c>
      <c r="M1170" s="28">
        <f>(M1165*$D$1183*(Inputs!$D$7-Inputs!$D$19)-M1169)/(Inputs!$D$7+$D$1184)^M1158</f>
        <v>126.29580162024641</v>
      </c>
    </row>
    <row r="1171" spans="2:13" ht="15" customHeight="1" x14ac:dyDescent="0.2">
      <c r="B1171" s="10" t="s">
        <v>902</v>
      </c>
      <c r="C1171" s="10" t="s">
        <v>110</v>
      </c>
      <c r="D1171" s="16">
        <f>(D1166*Inputs!$D$19-D1167-D1168)/(Inputs!$D$7+$D$1184)^D1158</f>
        <v>-14027.24269342025</v>
      </c>
      <c r="E1171" s="16">
        <f>(E1166*Inputs!$D$19-E1167-E1168)/(Inputs!$D$7+$D$1184)^E1158</f>
        <v>-15853.087323826181</v>
      </c>
      <c r="F1171" s="16">
        <f>(F1166*Inputs!$D$19-F1167-F1168)/(Inputs!$D$7+$D$1184)^F1158</f>
        <v>-9394.4767487293357</v>
      </c>
      <c r="G1171" s="16">
        <f>(G1166*Inputs!$D$19-G1167-G1168)/(Inputs!$D$7+$D$1184)^G1158</f>
        <v>923.61320322684639</v>
      </c>
      <c r="H1171" s="16">
        <f>(H1166*Inputs!$D$19-H1167-H1168)/(Inputs!$D$7+$D$1184)^H1158</f>
        <v>-6972.3744918015345</v>
      </c>
      <c r="I1171" s="16">
        <f>(I1166*Inputs!$D$19-I1167-I1168)/(Inputs!$D$7+$D$1184)^I1158</f>
        <v>-9214.0648467907959</v>
      </c>
      <c r="J1171" s="16">
        <f>(J1166*Inputs!$D$19-J1167-J1168)/(Inputs!$D$7+$D$1184)^J1158</f>
        <v>-5761.5411965591911</v>
      </c>
      <c r="K1171" s="16">
        <f>(K1166*Inputs!$D$19-K1167-K1168)/(Inputs!$D$7+$D$1184)^K1158</f>
        <v>630.8402453567694</v>
      </c>
      <c r="L1171" s="16">
        <f>(L1166*Inputs!$D$19-L1167-L1168)/(Inputs!$D$7+$D$1184)^L1158</f>
        <v>-4762.2255937446444</v>
      </c>
      <c r="M1171" s="16">
        <f>(M1166*Inputs!$D$19-M1167-M1168)/(Inputs!$D$7+$D$1184)^M1158</f>
        <v>-6293.3302689644106</v>
      </c>
    </row>
    <row r="1172" spans="2:13" ht="15" customHeight="1" x14ac:dyDescent="0.2">
      <c r="B1172" s="10" t="s">
        <v>903</v>
      </c>
      <c r="C1172" s="10" t="s">
        <v>110</v>
      </c>
      <c r="D1172" s="16">
        <f t="shared" ref="D1172:M1172" si="255">D1165*$D$1182</f>
        <v>6232.5775485941604</v>
      </c>
      <c r="E1172" s="16">
        <f t="shared" si="255"/>
        <v>23746.741058192685</v>
      </c>
      <c r="F1172" s="16">
        <f t="shared" si="255"/>
        <v>38771.455489473425</v>
      </c>
      <c r="G1172" s="16">
        <f t="shared" si="255"/>
        <v>45210.618817165174</v>
      </c>
      <c r="H1172" s="16">
        <f t="shared" si="255"/>
        <v>45210.618817165174</v>
      </c>
      <c r="I1172" s="16">
        <f t="shared" si="255"/>
        <v>45210.618817165174</v>
      </c>
      <c r="J1172" s="16">
        <f t="shared" si="255"/>
        <v>45210.618817165174</v>
      </c>
      <c r="K1172" s="16">
        <f t="shared" si="255"/>
        <v>45210.618817165174</v>
      </c>
      <c r="L1172" s="16">
        <f t="shared" si="255"/>
        <v>45210.618817165174</v>
      </c>
      <c r="M1172" s="16">
        <f t="shared" si="255"/>
        <v>45210.618817165174</v>
      </c>
    </row>
    <row r="1173" spans="2:13" ht="15" customHeight="1" x14ac:dyDescent="0.2">
      <c r="B1173" s="10" t="s">
        <v>904</v>
      </c>
      <c r="C1173" s="10" t="s">
        <v>110</v>
      </c>
      <c r="D1173" s="16">
        <f t="shared" ref="D1173:M1173" si="256">D1172*$D$1183</f>
        <v>3116.2887742970802</v>
      </c>
      <c r="E1173" s="16">
        <f t="shared" si="256"/>
        <v>11873.370529096343</v>
      </c>
      <c r="F1173" s="16">
        <f t="shared" si="256"/>
        <v>19385.727744736712</v>
      </c>
      <c r="G1173" s="16">
        <f t="shared" si="256"/>
        <v>22605.309408582587</v>
      </c>
      <c r="H1173" s="16">
        <f t="shared" si="256"/>
        <v>22605.309408582587</v>
      </c>
      <c r="I1173" s="16">
        <f t="shared" si="256"/>
        <v>22605.309408582587</v>
      </c>
      <c r="J1173" s="16">
        <f t="shared" si="256"/>
        <v>22605.309408582587</v>
      </c>
      <c r="K1173" s="16">
        <f t="shared" si="256"/>
        <v>22605.309408582587</v>
      </c>
      <c r="L1173" s="16">
        <f t="shared" si="256"/>
        <v>22605.309408582587</v>
      </c>
      <c r="M1173" s="16">
        <f t="shared" si="256"/>
        <v>22605.309408582587</v>
      </c>
    </row>
    <row r="1174" spans="2:13" ht="15" customHeight="1" x14ac:dyDescent="0.2">
      <c r="B1174" s="10" t="s">
        <v>905</v>
      </c>
      <c r="C1174" s="10" t="s">
        <v>110</v>
      </c>
      <c r="D1174" s="16">
        <f t="shared" ref="D1174:M1174" si="257">D1173-D1166</f>
        <v>1299.3114883646383</v>
      </c>
      <c r="E1174" s="16">
        <f t="shared" si="257"/>
        <v>4950.506147346634</v>
      </c>
      <c r="F1174" s="16">
        <f t="shared" si="257"/>
        <v>8082.722941723212</v>
      </c>
      <c r="G1174" s="16">
        <f t="shared" si="257"/>
        <v>9425.1015678846052</v>
      </c>
      <c r="H1174" s="16">
        <f t="shared" si="257"/>
        <v>9425.1015678846052</v>
      </c>
      <c r="I1174" s="16">
        <f t="shared" si="257"/>
        <v>9425.1015678846052</v>
      </c>
      <c r="J1174" s="16">
        <f t="shared" si="257"/>
        <v>9425.1015678846052</v>
      </c>
      <c r="K1174" s="16">
        <f t="shared" si="257"/>
        <v>9425.1015678846052</v>
      </c>
      <c r="L1174" s="16">
        <f t="shared" si="257"/>
        <v>9425.1015678846052</v>
      </c>
      <c r="M1174" s="16">
        <f t="shared" si="257"/>
        <v>9425.1015678846052</v>
      </c>
    </row>
    <row r="1175" spans="2:13" ht="15" customHeight="1" x14ac:dyDescent="0.2">
      <c r="B1175" s="10" t="s">
        <v>906</v>
      </c>
      <c r="C1175" s="10" t="s">
        <v>110</v>
      </c>
      <c r="D1175" s="16">
        <f>MAX(D1174,Inputs!$D$6)*Inputs!$D$19</f>
        <v>389.79344650939146</v>
      </c>
      <c r="E1175" s="16">
        <f>MAX(E1174,Inputs!$D$6)*Inputs!$D$19</f>
        <v>1485.1518442039901</v>
      </c>
      <c r="F1175" s="16">
        <f>MAX(F1174,Inputs!$D$6)*Inputs!$D$19</f>
        <v>2424.8168825169637</v>
      </c>
      <c r="G1175" s="16">
        <f>MAX(G1174,Inputs!$D$6)*Inputs!$D$19</f>
        <v>2827.5304703653815</v>
      </c>
      <c r="H1175" s="16">
        <f>MAX(H1174,Inputs!$D$6)*Inputs!$D$19</f>
        <v>2827.5304703653815</v>
      </c>
      <c r="I1175" s="16">
        <f>MAX(I1174,Inputs!$D$6)*Inputs!$D$19</f>
        <v>2827.5304703653815</v>
      </c>
      <c r="J1175" s="16">
        <f>MAX(J1174,Inputs!$D$6)*Inputs!$D$19</f>
        <v>2827.5304703653815</v>
      </c>
      <c r="K1175" s="16">
        <f>MAX(K1174,Inputs!$D$6)*Inputs!$D$19</f>
        <v>2827.5304703653815</v>
      </c>
      <c r="L1175" s="16">
        <f>MAX(L1174,Inputs!$D$6)*Inputs!$D$19</f>
        <v>2827.5304703653815</v>
      </c>
      <c r="M1175" s="16">
        <f>MAX(M1174,Inputs!$D$6)*Inputs!$D$19</f>
        <v>2827.5304703653815</v>
      </c>
    </row>
    <row r="1176" spans="2:13" ht="15" customHeight="1" x14ac:dyDescent="0.2">
      <c r="B1176" s="10" t="s">
        <v>907</v>
      </c>
      <c r="C1176" s="10" t="s">
        <v>110</v>
      </c>
      <c r="D1176" s="16">
        <f t="shared" ref="D1176:M1176" si="258">D1169*$D$1182</f>
        <v>321.9581663845874</v>
      </c>
      <c r="E1176" s="16">
        <f t="shared" si="258"/>
        <v>429.27755517944979</v>
      </c>
      <c r="F1176" s="16">
        <f t="shared" si="258"/>
        <v>321.9581663845874</v>
      </c>
      <c r="G1176" s="16">
        <f t="shared" si="258"/>
        <v>0</v>
      </c>
      <c r="H1176" s="16">
        <f t="shared" si="258"/>
        <v>0</v>
      </c>
      <c r="I1176" s="16">
        <f t="shared" si="258"/>
        <v>0</v>
      </c>
      <c r="J1176" s="16">
        <f t="shared" si="258"/>
        <v>0</v>
      </c>
      <c r="K1176" s="16">
        <f t="shared" si="258"/>
        <v>0</v>
      </c>
      <c r="L1176" s="16">
        <f t="shared" si="258"/>
        <v>0</v>
      </c>
      <c r="M1176" s="16">
        <f t="shared" si="258"/>
        <v>0</v>
      </c>
    </row>
    <row r="1177" spans="2:13" ht="15" customHeight="1" x14ac:dyDescent="0.2">
      <c r="B1177" s="10" t="s">
        <v>908</v>
      </c>
      <c r="C1177" s="10" t="s">
        <v>110</v>
      </c>
      <c r="D1177" s="16">
        <f t="shared" ref="D1177:M1177" si="259">D1173-D1175-D1167-D1168-D1176</f>
        <v>-13156.431458743053</v>
      </c>
      <c r="E1177" s="16">
        <f t="shared" si="259"/>
        <v>-10789.017030481968</v>
      </c>
      <c r="F1177" s="16">
        <f t="shared" si="259"/>
        <v>1077.984075689008</v>
      </c>
      <c r="G1177" s="16">
        <f t="shared" si="259"/>
        <v>17139.774089650033</v>
      </c>
      <c r="H1177" s="16">
        <f t="shared" si="259"/>
        <v>4895.9907164089236</v>
      </c>
      <c r="I1177" s="16">
        <f t="shared" si="259"/>
        <v>-64.6053575271726</v>
      </c>
      <c r="J1177" s="16">
        <f t="shared" si="259"/>
        <v>4895.9907164089236</v>
      </c>
      <c r="K1177" s="16">
        <f t="shared" si="259"/>
        <v>17139.774089650033</v>
      </c>
      <c r="L1177" s="16">
        <f t="shared" si="259"/>
        <v>4895.9907164089236</v>
      </c>
      <c r="M1177" s="16">
        <f t="shared" si="259"/>
        <v>-64.6053575271726</v>
      </c>
    </row>
    <row r="1178" spans="2:13" ht="15" customHeight="1" x14ac:dyDescent="0.2">
      <c r="B1178" s="10" t="s">
        <v>909</v>
      </c>
      <c r="C1178" s="10" t="s">
        <v>110</v>
      </c>
      <c r="D1178" s="16">
        <f>D1177/(Inputs!$D$7+$D$1184)^D1158</f>
        <v>-12290.22296154421</v>
      </c>
      <c r="E1178" s="16">
        <f>E1177/(Inputs!$D$7+$D$1184)^E1158</f>
        <v>-9160.6407601523915</v>
      </c>
      <c r="F1178" s="16">
        <f>F1177/(Inputs!$D$7+$D$1184)^F1158</f>
        <v>832.13150637608385</v>
      </c>
      <c r="G1178" s="16">
        <f>G1177/(Inputs!$D$7+$D$1184)^G1158</f>
        <v>12028.746164749486</v>
      </c>
      <c r="H1178" s="16">
        <f>H1177/(Inputs!$D$7+$D$1184)^H1158</f>
        <v>3123.8595468573662</v>
      </c>
      <c r="I1178" s="16">
        <f>I1177/(Inputs!$D$7+$D$1184)^I1158</f>
        <v>-37.466382908214733</v>
      </c>
      <c r="J1178" s="16">
        <f>J1177/(Inputs!$D$7+$D$1184)^J1158</f>
        <v>2581.3652856206559</v>
      </c>
      <c r="K1178" s="16">
        <f>K1177/(Inputs!$D$7+$D$1184)^K1158</f>
        <v>8215.7954816948859</v>
      </c>
      <c r="L1178" s="16">
        <f>L1177/(Inputs!$D$7+$D$1184)^L1158</f>
        <v>2133.6381031742135</v>
      </c>
      <c r="M1178" s="16">
        <f>M1177/(Inputs!$D$7+$D$1184)^M1158</f>
        <v>-25.590043650170568</v>
      </c>
    </row>
    <row r="1179" spans="2:13" ht="15" customHeight="1" x14ac:dyDescent="0.2">
      <c r="B1179" s="3" t="s">
        <v>910</v>
      </c>
      <c r="C1179" s="10" t="s">
        <v>896</v>
      </c>
      <c r="D1179" s="28">
        <f>(D1165*$D$1183-D1169)/(Inputs!$D$7+$D$1184)^D1158</f>
        <v>52.598985465011189</v>
      </c>
      <c r="E1179" s="28">
        <f>(E1165*$D$1183-E1169)/(Inputs!$D$7+$D$1184)^E1158</f>
        <v>195.79575723375925</v>
      </c>
      <c r="F1179" s="28">
        <f>(F1165*$D$1183-F1169)/(Inputs!$D$7+$D$1184)^F1158</f>
        <v>296.52842165245573</v>
      </c>
      <c r="G1179" s="28">
        <f>(G1165*$D$1183-G1169)/(Inputs!$D$7+$D$1184)^G1158</f>
        <v>319.67130076422529</v>
      </c>
      <c r="H1179" s="28">
        <f>(H1165*$D$1183-H1169)/(Inputs!$D$7+$D$1184)^H1158</f>
        <v>290.62923236856182</v>
      </c>
      <c r="I1179" s="28">
        <f>(I1165*$D$1183-I1169)/(Inputs!$D$7+$D$1184)^I1158</f>
        <v>264.15669021743264</v>
      </c>
      <c r="J1179" s="28">
        <f>(J1165*$D$1183-J1169)/(Inputs!$D$7+$D$1184)^J1158</f>
        <v>240.158112158888</v>
      </c>
      <c r="K1179" s="28">
        <f>(K1165*$D$1183-K1169)/(Inputs!$D$7+$D$1184)^K1158</f>
        <v>218.3397997160202</v>
      </c>
      <c r="L1179" s="28">
        <f>(L1165*$D$1183-L1169)/(Inputs!$D$7+$D$1184)^L1158</f>
        <v>198.50367623014941</v>
      </c>
      <c r="M1179" s="28">
        <f>(M1165*$D$1183-M1169)/(Inputs!$D$7+$D$1184)^M1158</f>
        <v>180.42257374320917</v>
      </c>
    </row>
    <row r="1180" spans="2:13" ht="15" customHeight="1" x14ac:dyDescent="0.2">
      <c r="B1180" s="10" t="s">
        <v>911</v>
      </c>
      <c r="C1180" s="10" t="s">
        <v>110</v>
      </c>
      <c r="D1180" s="16">
        <f>(-D1167-D1168)/(Inputs!$D$7+$D$1184)^D1158</f>
        <v>-14536.447397527105</v>
      </c>
      <c r="E1180" s="16">
        <f>(-E1167-E1168)/(Inputs!$D$7+$D$1184)^E1158</f>
        <v>-17616.488200475756</v>
      </c>
      <c r="F1180" s="16">
        <f>(-F1167-F1168)/(Inputs!$D$7+$D$1184)^F1158</f>
        <v>-12012.025548964448</v>
      </c>
      <c r="G1180" s="16">
        <f>(-G1167-G1168)/(Inputs!$D$7+$D$1184)^G1158</f>
        <v>-1851.359915178487</v>
      </c>
      <c r="H1180" s="16">
        <f>(-H1167-H1168)/(Inputs!$D$7+$D$1184)^H1158</f>
        <v>-9495.2419037884629</v>
      </c>
      <c r="I1180" s="16">
        <f>(-I1167-I1168)/(Inputs!$D$7+$D$1184)^I1158</f>
        <v>-11507.131858586603</v>
      </c>
      <c r="J1180" s="16">
        <f>(-J1167-J1168)/(Inputs!$D$7+$D$1184)^J1158</f>
        <v>-7846.2835672839774</v>
      </c>
      <c r="K1180" s="16">
        <f>(-K1167-K1168)/(Inputs!$D$7+$D$1184)^K1158</f>
        <v>-1264.5037327904422</v>
      </c>
      <c r="L1180" s="16">
        <f>(-L1167-L1168)/(Inputs!$D$7+$D$1184)^L1158</f>
        <v>-6485.3779822337692</v>
      </c>
      <c r="M1180" s="16">
        <f>(-M1167-M1168)/(Inputs!$D$7+$D$1184)^M1158</f>
        <v>-7859.5258920747219</v>
      </c>
    </row>
    <row r="1181" spans="2:13" ht="15" customHeight="1" x14ac:dyDescent="0.2">
      <c r="B1181" s="10" t="s">
        <v>912</v>
      </c>
      <c r="C1181" s="10" t="s">
        <v>110</v>
      </c>
      <c r="D1181" s="16">
        <f>Prices!I7</f>
        <v>35754.545454545456</v>
      </c>
    </row>
    <row r="1182" spans="2:13" ht="15" customHeight="1" x14ac:dyDescent="0.2">
      <c r="B1182" s="3" t="s">
        <v>913</v>
      </c>
      <c r="C1182" s="10" t="s">
        <v>914</v>
      </c>
      <c r="D1182" s="28">
        <f>IF(J1189&gt;=J1185,J1189,(D1181-J1188)/J1187)</f>
        <v>49.627463026525987</v>
      </c>
      <c r="G1182" s="99" t="s">
        <v>915</v>
      </c>
      <c r="H1182" s="91"/>
      <c r="I1182" s="91"/>
      <c r="J1182" s="28">
        <f>D1182*Inputs!$D$15</f>
        <v>34.635006446212486</v>
      </c>
      <c r="K1182" s="99" t="s">
        <v>916</v>
      </c>
      <c r="L1182" s="91"/>
      <c r="M1182" s="91"/>
    </row>
    <row r="1183" spans="2:13" ht="15" customHeight="1" x14ac:dyDescent="0.2">
      <c r="B1183" s="10" t="s">
        <v>917</v>
      </c>
      <c r="C1183" s="10" t="s">
        <v>104</v>
      </c>
      <c r="D1183" s="30">
        <f>Inputs!$D$140</f>
        <v>0.5</v>
      </c>
      <c r="G1183" s="99" t="s">
        <v>918</v>
      </c>
      <c r="H1183" s="91"/>
      <c r="I1183" s="91"/>
      <c r="J1183" s="28">
        <f>IF(-D1194/D1193&gt;=J1185,-D1194/D1193,-J1188/J1187)</f>
        <v>38.783797845890525</v>
      </c>
      <c r="K1183" s="99" t="s">
        <v>919</v>
      </c>
      <c r="L1183" s="91"/>
      <c r="M1183" s="91"/>
    </row>
    <row r="1184" spans="2:13" ht="15" customHeight="1" x14ac:dyDescent="0.2">
      <c r="B1184" s="10" t="s">
        <v>920</v>
      </c>
      <c r="C1184" s="10" t="s">
        <v>104</v>
      </c>
      <c r="D1184" s="30">
        <f>Inputs!$D$147</f>
        <v>0.1</v>
      </c>
      <c r="G1184" s="99" t="s">
        <v>918</v>
      </c>
      <c r="H1184" s="91"/>
      <c r="I1184" s="91"/>
      <c r="J1184" s="28">
        <f>J1183*Inputs!$D$15</f>
        <v>27.067212516646997</v>
      </c>
      <c r="K1184" s="99" t="s">
        <v>916</v>
      </c>
      <c r="L1184" s="91"/>
      <c r="M1184" s="91"/>
    </row>
    <row r="1185" spans="2:13" ht="15" customHeight="1" x14ac:dyDescent="0.2">
      <c r="B1185" s="3" t="s">
        <v>921</v>
      </c>
      <c r="C1185" s="10" t="s">
        <v>848</v>
      </c>
      <c r="D1185" s="28">
        <f>Capital!$D$13</f>
        <v>57.347931490590682</v>
      </c>
      <c r="G1185" s="99" t="s">
        <v>922</v>
      </c>
      <c r="H1185" s="91"/>
      <c r="I1185" s="91"/>
      <c r="J1185" s="28">
        <f>($D$1185/Inputs!$D$21+$D$1186/Inputs!$D$22)/$D$1183</f>
        <v>28.93569229571456</v>
      </c>
      <c r="K1185" s="99" t="s">
        <v>919</v>
      </c>
      <c r="L1185" s="91"/>
      <c r="M1185" s="91"/>
    </row>
    <row r="1186" spans="2:13" ht="15" customHeight="1" x14ac:dyDescent="0.2">
      <c r="B1186" s="3" t="s">
        <v>923</v>
      </c>
      <c r="C1186" s="10" t="s">
        <v>848</v>
      </c>
      <c r="D1186" s="28">
        <f>Capital!$D$14</f>
        <v>2.6172655041921802</v>
      </c>
    </row>
    <row r="1187" spans="2:13" ht="15" customHeight="1" x14ac:dyDescent="0.2">
      <c r="B1187" s="10" t="s">
        <v>924</v>
      </c>
      <c r="C1187" s="10" t="s">
        <v>896</v>
      </c>
      <c r="D1187" s="28">
        <f>(M1160*(Inputs!$D$7+Inputs!$D$20)*$D$1183*(Inputs!$D$7-Inputs!$D$19)-M1160*Inputs!$D$20*Inputs!$D$23)/($D$1184-Inputs!$D$20)/(Inputs!$D$7+$D$1184)^M1158</f>
        <v>1723.0355792476471</v>
      </c>
      <c r="G1187" s="92" t="s">
        <v>910</v>
      </c>
      <c r="H1187" s="91"/>
      <c r="I1187" s="91"/>
      <c r="J1187" s="28">
        <f>SUM(D1179:M1179)+(M1160*(Inputs!$D$7+Inputs!$D$20)*$D$1183-M1160*Inputs!$D$20*Inputs!$D$23)/($D$1184-Inputs!$D$20)/(Inputs!$D$7+$D$1184)^M1158</f>
        <v>4719.5726811445174</v>
      </c>
      <c r="K1187" s="99" t="s">
        <v>896</v>
      </c>
      <c r="L1187" s="91"/>
      <c r="M1187" s="91"/>
    </row>
    <row r="1188" spans="2:13" ht="15" customHeight="1" x14ac:dyDescent="0.2">
      <c r="B1188" s="10" t="s">
        <v>925</v>
      </c>
      <c r="C1188" s="10" t="s">
        <v>110</v>
      </c>
      <c r="D1188" s="16">
        <f>(D1191*Inputs!$D$19-D1191-D1192)/($D$1184-Inputs!$D$20)/(Inputs!$D$7+$D$1184)^M1158</f>
        <v>-57156.954988173631</v>
      </c>
      <c r="G1188" s="92" t="s">
        <v>926</v>
      </c>
      <c r="H1188" s="91"/>
      <c r="I1188" s="91"/>
      <c r="J1188" s="16">
        <f>SUM(D1180:M1180)-(D1191+D1192)/($D$1184-Inputs!$D$20)/(Inputs!$D$7+$D$1184)^M1158</f>
        <v>-169036.01450291832</v>
      </c>
      <c r="K1188" s="99" t="s">
        <v>110</v>
      </c>
      <c r="L1188" s="91"/>
      <c r="M1188" s="91"/>
    </row>
    <row r="1189" spans="2:13" ht="15" customHeight="1" x14ac:dyDescent="0.2">
      <c r="B1189" s="10" t="s">
        <v>927</v>
      </c>
      <c r="C1189" s="10" t="s">
        <v>928</v>
      </c>
      <c r="D1189" s="16">
        <f>(M1160*(Inputs!$D$7+Inputs!$D$20)*$D$1182*$D$1183-D1191)-MAX((M1160*(Inputs!$D$7+Inputs!$D$20)*$D$1182*$D$1183-D1191),Inputs!$D$6)*Inputs!$D$19-D1192-M1160*Inputs!$D$20*$D$1182*Inputs!$D$23</f>
        <v>5368.5463766402945</v>
      </c>
      <c r="G1189" s="99" t="s">
        <v>929</v>
      </c>
      <c r="H1189" s="91"/>
      <c r="I1189" s="91"/>
      <c r="J1189" s="28">
        <f>(D1181-D1194)/D1193</f>
        <v>49.627463026525987</v>
      </c>
      <c r="K1189" s="99" t="s">
        <v>919</v>
      </c>
      <c r="L1189" s="91"/>
      <c r="M1189" s="91"/>
    </row>
    <row r="1190" spans="2:13" ht="15" customHeight="1" x14ac:dyDescent="0.2">
      <c r="B1190" s="10" t="s">
        <v>930</v>
      </c>
      <c r="C1190" s="10" t="s">
        <v>110</v>
      </c>
      <c r="D1190" s="16">
        <f>D1189/($D$1184-Inputs!$D$20)</f>
        <v>71580.618355203915</v>
      </c>
      <c r="G1190" s="99" t="s">
        <v>931</v>
      </c>
      <c r="H1190" s="91"/>
      <c r="I1190" s="91"/>
      <c r="J1190" s="16">
        <f>MIN(D1174:M1174,(M1160*(Inputs!$D$7+Inputs!$D$20)*$D$1182*$D$1183-D1191))</f>
        <v>1299.3114883646383</v>
      </c>
      <c r="K1190" s="99" t="s">
        <v>110</v>
      </c>
      <c r="L1190" s="91"/>
      <c r="M1190" s="91"/>
    </row>
    <row r="1191" spans="2:13" ht="15" customHeight="1" x14ac:dyDescent="0.2">
      <c r="B1191" s="10" t="s">
        <v>932</v>
      </c>
      <c r="C1191" s="10" t="s">
        <v>928</v>
      </c>
      <c r="D1191" s="16">
        <f>M1160*(Inputs!$D$7+Inputs!$D$20)*($D$1185/Inputs!$D$21+$D$1186/Inputs!$D$22)</f>
        <v>13509.71303671543</v>
      </c>
      <c r="G1191" s="99" t="s">
        <v>933</v>
      </c>
      <c r="H1191" s="91"/>
      <c r="I1191" s="91"/>
      <c r="J1191" s="31" t="str">
        <f>IF(J1190&lt;Inputs!$D$6,"breached","satisfied")</f>
        <v>satisfied</v>
      </c>
      <c r="K1191" s="99" t="s">
        <v>934</v>
      </c>
      <c r="L1191" s="91"/>
      <c r="M1191" s="91"/>
    </row>
    <row r="1192" spans="2:13" ht="15" customHeight="1" x14ac:dyDescent="0.2">
      <c r="B1192" s="10" t="s">
        <v>935</v>
      </c>
      <c r="C1192" s="10" t="s">
        <v>928</v>
      </c>
      <c r="D1192" s="16">
        <f>M1160*Inputs!$D$20*($D$1185+$D$1186)</f>
        <v>1365.7073615561799</v>
      </c>
    </row>
    <row r="1193" spans="2:13" ht="15" customHeight="1" x14ac:dyDescent="0.2">
      <c r="B1193" s="10" t="s">
        <v>936</v>
      </c>
      <c r="C1193" s="10" t="s">
        <v>896</v>
      </c>
      <c r="D1193" s="28">
        <f>SUM(D1170:M1170)+D1187</f>
        <v>3297.2749396943454</v>
      </c>
      <c r="G1193" s="99" t="s">
        <v>937</v>
      </c>
      <c r="H1193" s="91"/>
      <c r="I1193" s="91"/>
      <c r="J1193" s="16">
        <f>D1195-D1181</f>
        <v>0</v>
      </c>
      <c r="K1193" s="99" t="s">
        <v>110</v>
      </c>
      <c r="L1193" s="91"/>
      <c r="M1193" s="91"/>
    </row>
    <row r="1194" spans="2:13" ht="15" customHeight="1" x14ac:dyDescent="0.2">
      <c r="B1194" s="10" t="s">
        <v>938</v>
      </c>
      <c r="C1194" s="10" t="s">
        <v>110</v>
      </c>
      <c r="D1194" s="16">
        <f>SUM(D1171:M1171)+D1188</f>
        <v>-127880.84470342637</v>
      </c>
    </row>
    <row r="1195" spans="2:13" ht="15" customHeight="1" x14ac:dyDescent="0.2">
      <c r="B1195" s="10" t="s">
        <v>939</v>
      </c>
      <c r="C1195" s="10" t="s">
        <v>110</v>
      </c>
      <c r="D1195" s="16">
        <f>SUM(D1178:M1178)+D1190/(Inputs!$D$7+$D$1184)^M1158</f>
        <v>35754.545454545456</v>
      </c>
    </row>
    <row r="1196" spans="2:13" ht="15" customHeight="1" x14ac:dyDescent="0.2">
      <c r="B1196" s="10" t="s">
        <v>940</v>
      </c>
      <c r="C1196" s="10" t="s">
        <v>104</v>
      </c>
      <c r="D1196" s="30">
        <f>IF(ABS(D1181)&gt;Inputs!$D$6,D1195/D1181-Inputs!$D$7,Inputs!$D$6)</f>
        <v>0</v>
      </c>
    </row>
    <row r="1197" spans="2:13" ht="15" customHeight="1" x14ac:dyDescent="0.2">
      <c r="B1197" s="10" t="s">
        <v>941</v>
      </c>
      <c r="C1197" s="10" t="s">
        <v>104</v>
      </c>
      <c r="D1197" s="30">
        <f>IF(ABS(D1195)&gt;Inputs!$D$119,D1190/(Inputs!$D$7+$D$1184)^M1158/D1195,Inputs!$D$6)</f>
        <v>0.7929881125288718</v>
      </c>
    </row>
    <row r="1198" spans="2:13" ht="15" customHeight="1" x14ac:dyDescent="0.2">
      <c r="B1198" s="10" t="s">
        <v>942</v>
      </c>
      <c r="C1198" s="10" t="s">
        <v>943</v>
      </c>
      <c r="D1198" s="26">
        <f>$D$1182*Inputs!$D$8/Prices!$P$6/(Inputs!$D$26/Inputs!$D$25)/Inputs!$D$11/Inputs!$D$56</f>
        <v>9.0249048959011091</v>
      </c>
    </row>
    <row r="1202" spans="1:13" ht="15" customHeight="1" x14ac:dyDescent="0.2">
      <c r="A1202" s="104" t="s">
        <v>2191</v>
      </c>
      <c r="B1202" s="10" t="s">
        <v>886</v>
      </c>
      <c r="C1202" s="10" t="s">
        <v>107</v>
      </c>
      <c r="D1202" s="28">
        <f>Inputs!$D$60</f>
        <v>1</v>
      </c>
      <c r="E1202" s="28">
        <f>Inputs!$D$62</f>
        <v>2</v>
      </c>
      <c r="F1202" s="28">
        <f>Inputs!$D$64</f>
        <v>3</v>
      </c>
      <c r="G1202" s="28">
        <f>Inputs!$D$66</f>
        <v>4</v>
      </c>
      <c r="H1202" s="28">
        <f>Inputs!$D$68</f>
        <v>5</v>
      </c>
      <c r="I1202" s="28">
        <f>Inputs!$D$70</f>
        <v>6</v>
      </c>
      <c r="J1202" s="28">
        <f>Inputs!$D$72</f>
        <v>7</v>
      </c>
      <c r="K1202" s="28">
        <f>Inputs!$D$74</f>
        <v>8</v>
      </c>
      <c r="L1202" s="28">
        <f>Inputs!$D$76</f>
        <v>9</v>
      </c>
      <c r="M1202" s="28">
        <f>Inputs!$D$78</f>
        <v>10</v>
      </c>
    </row>
    <row r="1203" spans="1:13" ht="15" customHeight="1" x14ac:dyDescent="0.2">
      <c r="A1203" s="91"/>
      <c r="B1203" s="10" t="s">
        <v>887</v>
      </c>
      <c r="C1203" s="10" t="s">
        <v>161</v>
      </c>
      <c r="D1203" s="29">
        <f>Inputs!$D$61</f>
        <v>46568</v>
      </c>
      <c r="E1203" s="29">
        <f>Inputs!$D$63</f>
        <v>46934</v>
      </c>
      <c r="F1203" s="29">
        <f>Inputs!$D$65</f>
        <v>47299</v>
      </c>
      <c r="G1203" s="29">
        <f>Inputs!$D$67</f>
        <v>47664</v>
      </c>
      <c r="H1203" s="29">
        <f>Inputs!$D$69</f>
        <v>48029</v>
      </c>
      <c r="I1203" s="29">
        <f>Inputs!$D$71</f>
        <v>48395</v>
      </c>
      <c r="J1203" s="29">
        <f>Inputs!$D$73</f>
        <v>48760</v>
      </c>
      <c r="K1203" s="29">
        <f>Inputs!$D$75</f>
        <v>49125</v>
      </c>
      <c r="L1203" s="29">
        <f>Inputs!$D$77</f>
        <v>49490</v>
      </c>
      <c r="M1203" s="29">
        <f>Inputs!$D$79</f>
        <v>49856</v>
      </c>
    </row>
    <row r="1204" spans="1:13" ht="15" customHeight="1" x14ac:dyDescent="0.2">
      <c r="A1204" s="91"/>
      <c r="B1204" s="10" t="s">
        <v>888</v>
      </c>
      <c r="C1204" s="10" t="s">
        <v>107</v>
      </c>
      <c r="D1204" s="28">
        <f>(D1203-Inputs!$D$13)/Inputs!$D$10</f>
        <v>0.71457905544147848</v>
      </c>
      <c r="E1204" s="28">
        <f>(E1203-Inputs!$D$13)/Inputs!$D$10</f>
        <v>1.7166324435318274</v>
      </c>
      <c r="F1204" s="28">
        <f>(F1203-Inputs!$D$13)/Inputs!$D$10</f>
        <v>2.7159479808350446</v>
      </c>
      <c r="G1204" s="28">
        <f>(G1203-Inputs!$D$13)/Inputs!$D$10</f>
        <v>3.7152635181382614</v>
      </c>
      <c r="H1204" s="28">
        <f>(H1203-Inputs!$D$13)/Inputs!$D$10</f>
        <v>4.7145790554414786</v>
      </c>
      <c r="I1204" s="28">
        <f>(I1203-Inputs!$D$13)/Inputs!$D$10</f>
        <v>5.7166324435318279</v>
      </c>
      <c r="J1204" s="28">
        <f>(J1203-Inputs!$D$13)/Inputs!$D$10</f>
        <v>6.7159479808350442</v>
      </c>
      <c r="K1204" s="28">
        <f>(K1203-Inputs!$D$13)/Inputs!$D$10</f>
        <v>7.7152635181382614</v>
      </c>
      <c r="L1204" s="28">
        <f>(L1203-Inputs!$D$13)/Inputs!$D$10</f>
        <v>8.7145790554414777</v>
      </c>
      <c r="M1204" s="28">
        <f>(M1203-Inputs!$D$13)/Inputs!$D$10</f>
        <v>9.716632443531827</v>
      </c>
    </row>
    <row r="1205" spans="1:13" ht="15" customHeight="1" x14ac:dyDescent="0.2">
      <c r="A1205" s="91"/>
      <c r="B1205" s="10" t="s">
        <v>889</v>
      </c>
      <c r="C1205" s="10" t="s">
        <v>107</v>
      </c>
      <c r="D1205" s="28">
        <f>D1204</f>
        <v>0.71457905544147848</v>
      </c>
      <c r="E1205" s="28">
        <f>Inputs!$D$7</f>
        <v>1</v>
      </c>
      <c r="F1205" s="28">
        <f>Inputs!$D$7</f>
        <v>1</v>
      </c>
      <c r="G1205" s="28">
        <f>Inputs!$D$7</f>
        <v>1</v>
      </c>
      <c r="H1205" s="28">
        <f>Inputs!$D$7</f>
        <v>1</v>
      </c>
      <c r="I1205" s="28">
        <f>Inputs!$D$7</f>
        <v>1</v>
      </c>
      <c r="J1205" s="28">
        <f>Inputs!$D$7</f>
        <v>1</v>
      </c>
      <c r="K1205" s="28">
        <f>Inputs!$D$7</f>
        <v>1</v>
      </c>
      <c r="L1205" s="28">
        <f>Inputs!$D$7</f>
        <v>1</v>
      </c>
      <c r="M1205" s="28">
        <f>Inputs!$D$7</f>
        <v>1</v>
      </c>
    </row>
    <row r="1206" spans="1:13" ht="15" customHeight="1" x14ac:dyDescent="0.2">
      <c r="A1206" s="91"/>
      <c r="B1206" s="3" t="s">
        <v>890</v>
      </c>
      <c r="C1206" s="10" t="s">
        <v>199</v>
      </c>
      <c r="D1206" s="28">
        <f>Inputs!$D$24+(Inputs!$D$80-Inputs!$D$24)*Inputs!$D$83</f>
        <v>305.5</v>
      </c>
      <c r="E1206" s="28">
        <f>Inputs!$D$24+(Inputs!$D$80-Inputs!$D$24)*Inputs!$D$84</f>
        <v>651.5</v>
      </c>
      <c r="F1206" s="28">
        <f>Inputs!$D$24+(Inputs!$D$80-Inputs!$D$24)*Inputs!$D$85</f>
        <v>911</v>
      </c>
      <c r="G1206" s="28">
        <f>Inputs!$D$24+(Inputs!$D$80-Inputs!$D$24)*Inputs!$D$86</f>
        <v>911</v>
      </c>
      <c r="H1206" s="28">
        <f>Inputs!$D$24+(Inputs!$D$80-Inputs!$D$24)*Inputs!$D$87</f>
        <v>911</v>
      </c>
      <c r="I1206" s="28">
        <f>Inputs!$D$24+(Inputs!$D$80-Inputs!$D$24)*Inputs!$D$88</f>
        <v>911</v>
      </c>
      <c r="J1206" s="28">
        <f>Inputs!$D$24+(Inputs!$D$80-Inputs!$D$24)*Inputs!$D$89</f>
        <v>911</v>
      </c>
      <c r="K1206" s="28">
        <f>Inputs!$D$24+(Inputs!$D$80-Inputs!$D$24)*Inputs!$D$90</f>
        <v>911</v>
      </c>
      <c r="L1206" s="28">
        <f>Inputs!$D$24+(Inputs!$D$80-Inputs!$D$24)*Inputs!$D$91</f>
        <v>911</v>
      </c>
      <c r="M1206" s="28">
        <f>Inputs!$D$24+(Inputs!$D$80-Inputs!$D$24)*Inputs!$D$92</f>
        <v>911</v>
      </c>
    </row>
    <row r="1207" spans="1:13" ht="15" customHeight="1" x14ac:dyDescent="0.2">
      <c r="A1207" s="91"/>
      <c r="B1207" s="10" t="s">
        <v>891</v>
      </c>
      <c r="C1207" s="10" t="s">
        <v>199</v>
      </c>
      <c r="D1207" s="28">
        <f>Inputs!$D$24</f>
        <v>46</v>
      </c>
      <c r="E1207" s="28">
        <f t="shared" ref="E1207:M1207" si="260">D1206</f>
        <v>305.5</v>
      </c>
      <c r="F1207" s="28">
        <f t="shared" si="260"/>
        <v>651.5</v>
      </c>
      <c r="G1207" s="28">
        <f t="shared" si="260"/>
        <v>911</v>
      </c>
      <c r="H1207" s="28">
        <f t="shared" si="260"/>
        <v>911</v>
      </c>
      <c r="I1207" s="28">
        <f t="shared" si="260"/>
        <v>911</v>
      </c>
      <c r="J1207" s="28">
        <f t="shared" si="260"/>
        <v>911</v>
      </c>
      <c r="K1207" s="28">
        <f t="shared" si="260"/>
        <v>911</v>
      </c>
      <c r="L1207" s="28">
        <f t="shared" si="260"/>
        <v>911</v>
      </c>
      <c r="M1207" s="28">
        <f t="shared" si="260"/>
        <v>911</v>
      </c>
    </row>
    <row r="1208" spans="1:13" ht="15" customHeight="1" x14ac:dyDescent="0.2">
      <c r="B1208" s="10" t="s">
        <v>892</v>
      </c>
      <c r="C1208" s="10" t="s">
        <v>199</v>
      </c>
      <c r="D1208" s="28">
        <f>(D1207+D1206)*Inputs!$D$12</f>
        <v>175.75</v>
      </c>
      <c r="E1208" s="28">
        <f>(E1207+E1206)*Inputs!$D$12</f>
        <v>478.5</v>
      </c>
      <c r="F1208" s="28">
        <f>(F1207+F1206)*Inputs!$D$12</f>
        <v>781.25</v>
      </c>
      <c r="G1208" s="28">
        <f>(G1207+G1206)*Inputs!$D$12</f>
        <v>911</v>
      </c>
      <c r="H1208" s="28">
        <f>(H1207+H1206)*Inputs!$D$12</f>
        <v>911</v>
      </c>
      <c r="I1208" s="28">
        <f>(I1207+I1206)*Inputs!$D$12</f>
        <v>911</v>
      </c>
      <c r="J1208" s="28">
        <f>(J1207+J1206)*Inputs!$D$12</f>
        <v>911</v>
      </c>
      <c r="K1208" s="28">
        <f>(K1207+K1206)*Inputs!$D$12</f>
        <v>911</v>
      </c>
      <c r="L1208" s="28">
        <f>(L1207+L1206)*Inputs!$D$12</f>
        <v>911</v>
      </c>
      <c r="M1208" s="28">
        <f>(M1207+M1206)*Inputs!$D$12</f>
        <v>911</v>
      </c>
    </row>
    <row r="1209" spans="1:13" ht="15" customHeight="1" x14ac:dyDescent="0.2">
      <c r="B1209" s="10" t="s">
        <v>893</v>
      </c>
      <c r="C1209" s="10" t="s">
        <v>199</v>
      </c>
      <c r="D1209" s="28">
        <f t="shared" ref="D1209:M1209" si="261">D1206-D1207</f>
        <v>259.5</v>
      </c>
      <c r="E1209" s="28">
        <f t="shared" si="261"/>
        <v>346</v>
      </c>
      <c r="F1209" s="28">
        <f t="shared" si="261"/>
        <v>259.5</v>
      </c>
      <c r="G1209" s="28">
        <f t="shared" si="261"/>
        <v>0</v>
      </c>
      <c r="H1209" s="28">
        <f t="shared" si="261"/>
        <v>0</v>
      </c>
      <c r="I1209" s="28">
        <f t="shared" si="261"/>
        <v>0</v>
      </c>
      <c r="J1209" s="28">
        <f t="shared" si="261"/>
        <v>0</v>
      </c>
      <c r="K1209" s="28">
        <f t="shared" si="261"/>
        <v>0</v>
      </c>
      <c r="L1209" s="28">
        <f t="shared" si="261"/>
        <v>0</v>
      </c>
      <c r="M1209" s="28">
        <f t="shared" si="261"/>
        <v>0</v>
      </c>
    </row>
    <row r="1210" spans="1:13" ht="15" customHeight="1" x14ac:dyDescent="0.2">
      <c r="B1210" s="10" t="s">
        <v>894</v>
      </c>
      <c r="C1210" s="10" t="s">
        <v>199</v>
      </c>
      <c r="D1210" s="28">
        <f>IF(MOD(D1202,Inputs!$D$21)=Inputs!$D$6,Inputs!$D$24,Inputs!$D$6)+SUMPRODUCT(--(D1202&gt;$D$1202:$M$1202),--(MOD(D1202-$D$1202:$M$1202,Inputs!$D$21)=Inputs!$D$6),$D$1209:$M$1209)</f>
        <v>0</v>
      </c>
      <c r="E1210" s="28">
        <f>IF(MOD(E1202,Inputs!$D$21)=Inputs!$D$6,Inputs!$D$24,Inputs!$D$6)+SUMPRODUCT(--(E1202&gt;$D$1202:$M$1202),--(MOD(E1202-$D$1202:$M$1202,Inputs!$D$21)=Inputs!$D$6),$D$1209:$M$1209)</f>
        <v>0</v>
      </c>
      <c r="F1210" s="28">
        <f>IF(MOD(F1202,Inputs!$D$21)=Inputs!$D$6,Inputs!$D$24,Inputs!$D$6)+SUMPRODUCT(--(F1202&gt;$D$1202:$M$1202),--(MOD(F1202-$D$1202:$M$1202,Inputs!$D$21)=Inputs!$D$6),$D$1209:$M$1209)</f>
        <v>0</v>
      </c>
      <c r="G1210" s="28">
        <f>IF(MOD(G1202,Inputs!$D$21)=Inputs!$D$6,Inputs!$D$24,Inputs!$D$6)+SUMPRODUCT(--(G1202&gt;$D$1202:$M$1202),--(MOD(G1202-$D$1202:$M$1202,Inputs!$D$21)=Inputs!$D$6),$D$1209:$M$1209)</f>
        <v>46</v>
      </c>
      <c r="H1210" s="28">
        <f>IF(MOD(H1202,Inputs!$D$21)=Inputs!$D$6,Inputs!$D$24,Inputs!$D$6)+SUMPRODUCT(--(H1202&gt;$D$1202:$M$1202),--(MOD(H1202-$D$1202:$M$1202,Inputs!$D$21)=Inputs!$D$6),$D$1209:$M$1209)</f>
        <v>259.5</v>
      </c>
      <c r="I1210" s="28">
        <f>IF(MOD(I1202,Inputs!$D$21)=Inputs!$D$6,Inputs!$D$24,Inputs!$D$6)+SUMPRODUCT(--(I1202&gt;$D$1202:$M$1202),--(MOD(I1202-$D$1202:$M$1202,Inputs!$D$21)=Inputs!$D$6),$D$1209:$M$1209)</f>
        <v>346</v>
      </c>
      <c r="J1210" s="28">
        <f>IF(MOD(J1202,Inputs!$D$21)=Inputs!$D$6,Inputs!$D$24,Inputs!$D$6)+SUMPRODUCT(--(J1202&gt;$D$1202:$M$1202),--(MOD(J1202-$D$1202:$M$1202,Inputs!$D$21)=Inputs!$D$6),$D$1209:$M$1209)</f>
        <v>259.5</v>
      </c>
      <c r="K1210" s="28">
        <f>IF(MOD(K1202,Inputs!$D$21)=Inputs!$D$6,Inputs!$D$24,Inputs!$D$6)+SUMPRODUCT(--(K1202&gt;$D$1202:$M$1202),--(MOD(K1202-$D$1202:$M$1202,Inputs!$D$21)=Inputs!$D$6),$D$1209:$M$1209)</f>
        <v>46</v>
      </c>
      <c r="L1210" s="28">
        <f>IF(MOD(L1202,Inputs!$D$21)=Inputs!$D$6,Inputs!$D$24,Inputs!$D$6)+SUMPRODUCT(--(L1202&gt;$D$1202:$M$1202),--(MOD(L1202-$D$1202:$M$1202,Inputs!$D$21)=Inputs!$D$6),$D$1209:$M$1209)</f>
        <v>259.5</v>
      </c>
      <c r="M1210" s="28">
        <f>IF(MOD(M1202,Inputs!$D$21)=Inputs!$D$6,Inputs!$D$24,Inputs!$D$6)+SUMPRODUCT(--(M1202&gt;$D$1202:$M$1202),--(MOD(M1202-$D$1202:$M$1202,Inputs!$D$21)=Inputs!$D$6),$D$1209:$M$1209)</f>
        <v>346</v>
      </c>
    </row>
    <row r="1211" spans="1:13" ht="15" customHeight="1" x14ac:dyDescent="0.2">
      <c r="B1211" s="10" t="s">
        <v>895</v>
      </c>
      <c r="C1211" s="10" t="s">
        <v>896</v>
      </c>
      <c r="D1211" s="28">
        <f t="shared" ref="D1211:M1211" si="262">D1208*D1205</f>
        <v>125.58726899383984</v>
      </c>
      <c r="E1211" s="28">
        <f t="shared" si="262"/>
        <v>478.5</v>
      </c>
      <c r="F1211" s="28">
        <f t="shared" si="262"/>
        <v>781.25</v>
      </c>
      <c r="G1211" s="28">
        <f t="shared" si="262"/>
        <v>911</v>
      </c>
      <c r="H1211" s="28">
        <f t="shared" si="262"/>
        <v>911</v>
      </c>
      <c r="I1211" s="28">
        <f t="shared" si="262"/>
        <v>911</v>
      </c>
      <c r="J1211" s="28">
        <f t="shared" si="262"/>
        <v>911</v>
      </c>
      <c r="K1211" s="28">
        <f t="shared" si="262"/>
        <v>911</v>
      </c>
      <c r="L1211" s="28">
        <f t="shared" si="262"/>
        <v>911</v>
      </c>
      <c r="M1211" s="28">
        <f t="shared" si="262"/>
        <v>911</v>
      </c>
    </row>
    <row r="1212" spans="1:13" ht="15" customHeight="1" x14ac:dyDescent="0.2">
      <c r="B1212" s="10" t="s">
        <v>897</v>
      </c>
      <c r="C1212" s="10" t="s">
        <v>110</v>
      </c>
      <c r="D1212" s="16">
        <f>D1211*($D$1231/Inputs!$D$21+$D$1232/Inputs!$D$22)</f>
        <v>1816.9772859324419</v>
      </c>
      <c r="E1212" s="16">
        <f>E1211*($D$1231/Inputs!$D$21+$D$1232/Inputs!$D$22)</f>
        <v>6922.8643817497086</v>
      </c>
      <c r="F1212" s="16">
        <f>F1211*($D$1231/Inputs!$D$21+$D$1232/Inputs!$D$22)</f>
        <v>11303.0048030135</v>
      </c>
      <c r="G1212" s="16">
        <f>G1211*($D$1231/Inputs!$D$21+$D$1232/Inputs!$D$22)</f>
        <v>13180.207840697982</v>
      </c>
      <c r="H1212" s="16">
        <f>H1211*($D$1231/Inputs!$D$21+$D$1232/Inputs!$D$22)</f>
        <v>13180.207840697982</v>
      </c>
      <c r="I1212" s="16">
        <f>I1211*($D$1231/Inputs!$D$21+$D$1232/Inputs!$D$22)</f>
        <v>13180.207840697982</v>
      </c>
      <c r="J1212" s="16">
        <f>J1211*($D$1231/Inputs!$D$21+$D$1232/Inputs!$D$22)</f>
        <v>13180.207840697982</v>
      </c>
      <c r="K1212" s="16">
        <f>K1211*($D$1231/Inputs!$D$21+$D$1232/Inputs!$D$22)</f>
        <v>13180.207840697982</v>
      </c>
      <c r="L1212" s="16">
        <f>L1211*($D$1231/Inputs!$D$21+$D$1232/Inputs!$D$22)</f>
        <v>13180.207840697982</v>
      </c>
      <c r="M1212" s="16">
        <f>M1211*($D$1231/Inputs!$D$21+$D$1232/Inputs!$D$22)</f>
        <v>13180.207840697982</v>
      </c>
    </row>
    <row r="1213" spans="1:13" ht="15" customHeight="1" x14ac:dyDescent="0.2">
      <c r="B1213" s="10" t="s">
        <v>898</v>
      </c>
      <c r="C1213" s="10" t="s">
        <v>110</v>
      </c>
      <c r="D1213" s="16">
        <f t="shared" ref="D1213:M1213" si="263">D1209*($D$1231+$D$1232)</f>
        <v>15560.968620146154</v>
      </c>
      <c r="E1213" s="16">
        <f t="shared" si="263"/>
        <v>20747.95816019487</v>
      </c>
      <c r="F1213" s="16">
        <f t="shared" si="263"/>
        <v>15560.968620146154</v>
      </c>
      <c r="G1213" s="16">
        <f t="shared" si="263"/>
        <v>0</v>
      </c>
      <c r="H1213" s="16">
        <f t="shared" si="263"/>
        <v>0</v>
      </c>
      <c r="I1213" s="16">
        <f t="shared" si="263"/>
        <v>0</v>
      </c>
      <c r="J1213" s="16">
        <f t="shared" si="263"/>
        <v>0</v>
      </c>
      <c r="K1213" s="16">
        <f t="shared" si="263"/>
        <v>0</v>
      </c>
      <c r="L1213" s="16">
        <f t="shared" si="263"/>
        <v>0</v>
      </c>
      <c r="M1213" s="16">
        <f t="shared" si="263"/>
        <v>0</v>
      </c>
    </row>
    <row r="1214" spans="1:13" ht="15" customHeight="1" x14ac:dyDescent="0.2">
      <c r="B1214" s="10" t="s">
        <v>899</v>
      </c>
      <c r="C1214" s="10" t="s">
        <v>110</v>
      </c>
      <c r="D1214" s="16">
        <f t="shared" ref="D1214:M1214" si="264">D1210*$D$1231</f>
        <v>0</v>
      </c>
      <c r="E1214" s="16">
        <f t="shared" si="264"/>
        <v>0</v>
      </c>
      <c r="F1214" s="16">
        <f t="shared" si="264"/>
        <v>0</v>
      </c>
      <c r="G1214" s="16">
        <f t="shared" si="264"/>
        <v>2638.0048485671714</v>
      </c>
      <c r="H1214" s="16">
        <f t="shared" si="264"/>
        <v>14881.788221808281</v>
      </c>
      <c r="I1214" s="16">
        <f t="shared" si="264"/>
        <v>19842.384295744378</v>
      </c>
      <c r="J1214" s="16">
        <f t="shared" si="264"/>
        <v>14881.788221808281</v>
      </c>
      <c r="K1214" s="16">
        <f t="shared" si="264"/>
        <v>2638.0048485671714</v>
      </c>
      <c r="L1214" s="16">
        <f t="shared" si="264"/>
        <v>14881.788221808281</v>
      </c>
      <c r="M1214" s="16">
        <f t="shared" si="264"/>
        <v>19842.384295744378</v>
      </c>
    </row>
    <row r="1215" spans="1:13" ht="15" customHeight="1" x14ac:dyDescent="0.2">
      <c r="B1215" s="10" t="s">
        <v>900</v>
      </c>
      <c r="C1215" s="10" t="s">
        <v>199</v>
      </c>
      <c r="D1215" s="28">
        <f>D1209*Inputs!$D$23</f>
        <v>6.4875000000000007</v>
      </c>
      <c r="E1215" s="28">
        <f>E1209*Inputs!$D$23</f>
        <v>8.65</v>
      </c>
      <c r="F1215" s="28">
        <f>F1209*Inputs!$D$23</f>
        <v>6.4875000000000007</v>
      </c>
      <c r="G1215" s="28">
        <f>G1209*Inputs!$D$23</f>
        <v>0</v>
      </c>
      <c r="H1215" s="28">
        <f>H1209*Inputs!$D$23</f>
        <v>0</v>
      </c>
      <c r="I1215" s="28">
        <f>I1209*Inputs!$D$23</f>
        <v>0</v>
      </c>
      <c r="J1215" s="28">
        <f>J1209*Inputs!$D$23</f>
        <v>0</v>
      </c>
      <c r="K1215" s="28">
        <f>K1209*Inputs!$D$23</f>
        <v>0</v>
      </c>
      <c r="L1215" s="28">
        <f>L1209*Inputs!$D$23</f>
        <v>0</v>
      </c>
      <c r="M1215" s="28">
        <f>M1209*Inputs!$D$23</f>
        <v>0</v>
      </c>
    </row>
    <row r="1216" spans="1:13" ht="15" customHeight="1" x14ac:dyDescent="0.2">
      <c r="B1216" s="3" t="s">
        <v>901</v>
      </c>
      <c r="C1216" s="10" t="s">
        <v>896</v>
      </c>
      <c r="D1216" s="28">
        <f>(D1211*$D$1229*(Inputs!$D$7-Inputs!$D$19)-D1215)/(Inputs!$D$7+$D$1230)^D1204</f>
        <v>34.553405364425309</v>
      </c>
      <c r="E1216" s="28">
        <f>(E1211*$D$1229*(Inputs!$D$7-Inputs!$D$19)-E1215)/(Inputs!$D$7+$D$1230)^E1204</f>
        <v>130.74636078479486</v>
      </c>
      <c r="F1216" s="28">
        <f>(F1211*$D$1229*(Inputs!$D$7-Inputs!$D$19)-F1215)/(Inputs!$D$7+$D$1230)^F1204</f>
        <v>196.22590281428219</v>
      </c>
      <c r="G1216" s="28">
        <f>(G1211*$D$1229*(Inputs!$D$7-Inputs!$D$19)-G1215)/(Inputs!$D$7+$D$1230)^G1204</f>
        <v>209.2803713494331</v>
      </c>
      <c r="H1216" s="28">
        <f>(H1211*$D$1229*(Inputs!$D$7-Inputs!$D$19)-H1215)/(Inputs!$D$7+$D$1230)^H1204</f>
        <v>186.8719693768727</v>
      </c>
      <c r="I1216" s="28">
        <f>(I1211*$D$1229*(Inputs!$D$7-Inputs!$D$19)-I1215)/(Inputs!$D$7+$D$1230)^I1204</f>
        <v>166.81114988976415</v>
      </c>
      <c r="J1216" s="28">
        <f>(J1211*$D$1229*(Inputs!$D$7-Inputs!$D$19)-J1215)/(Inputs!$D$7+$D$1230)^J1204</f>
        <v>148.95008018632026</v>
      </c>
      <c r="K1216" s="28">
        <f>(K1211*$D$1229*(Inputs!$D$7-Inputs!$D$19)-K1215)/(Inputs!$D$7+$D$1230)^K1204</f>
        <v>133.00145944784117</v>
      </c>
      <c r="L1216" s="28">
        <f>(L1211*$D$1229*(Inputs!$D$7-Inputs!$D$19)-L1215)/(Inputs!$D$7+$D$1230)^L1204</f>
        <v>118.76051488611658</v>
      </c>
      <c r="M1216" s="28">
        <f>(M1211*$D$1229*(Inputs!$D$7-Inputs!$D$19)-M1215)/(Inputs!$D$7+$D$1230)^M1204</f>
        <v>106.01150143444319</v>
      </c>
    </row>
    <row r="1217" spans="2:13" ht="15" customHeight="1" x14ac:dyDescent="0.2">
      <c r="B1217" s="10" t="s">
        <v>902</v>
      </c>
      <c r="C1217" s="10" t="s">
        <v>110</v>
      </c>
      <c r="D1217" s="16">
        <f>(D1212*Inputs!$D$19-D1213-D1214)/(Inputs!$D$7+$D$1230)^D1204</f>
        <v>-13847.790632947557</v>
      </c>
      <c r="E1217" s="16">
        <f>(E1212*Inputs!$D$19-E1213-E1214)/(Inputs!$D$7+$D$1230)^E1204</f>
        <v>-15370.239105459035</v>
      </c>
      <c r="F1217" s="16">
        <f>(F1212*Inputs!$D$19-F1213-F1214)/(Inputs!$D$7+$D$1230)^F1204</f>
        <v>-8945.8041564234754</v>
      </c>
      <c r="G1217" s="16">
        <f>(G1212*Inputs!$D$19-G1213-G1214)/(Inputs!$D$7+$D$1230)^G1204</f>
        <v>863.80744262020482</v>
      </c>
      <c r="H1217" s="16">
        <f>(H1212*Inputs!$D$19-H1213-H1214)/(Inputs!$D$7+$D$1230)^H1204</f>
        <v>-6404.5339628745278</v>
      </c>
      <c r="I1217" s="16">
        <f>(I1212*Inputs!$D$19-I1213-I1214)/(Inputs!$D$7+$D$1230)^I1204</f>
        <v>-8312.2134333380691</v>
      </c>
      <c r="J1217" s="16">
        <f>(J1212*Inputs!$D$19-J1213-J1214)/(Inputs!$D$7+$D$1230)^J1204</f>
        <v>-5104.8632414329013</v>
      </c>
      <c r="K1217" s="16">
        <f>(K1212*Inputs!$D$19-K1213-K1214)/(Inputs!$D$7+$D$1230)^K1204</f>
        <v>548.96524604578394</v>
      </c>
      <c r="L1217" s="16">
        <f>(L1212*Inputs!$D$19-L1213-L1214)/(Inputs!$D$7+$D$1230)^L1204</f>
        <v>-4070.1971171644977</v>
      </c>
      <c r="M1217" s="16">
        <f>(M1212*Inputs!$D$19-M1213-M1214)/(Inputs!$D$7+$D$1230)^M1204</f>
        <v>-5282.5619084458349</v>
      </c>
    </row>
    <row r="1218" spans="2:13" ht="15" customHeight="1" x14ac:dyDescent="0.2">
      <c r="B1218" s="10" t="s">
        <v>903</v>
      </c>
      <c r="C1218" s="10" t="s">
        <v>110</v>
      </c>
      <c r="D1218" s="16">
        <f t="shared" ref="D1218:M1218" si="265">D1211*$D$1228</f>
        <v>6811.634068877117</v>
      </c>
      <c r="E1218" s="16">
        <f t="shared" si="265"/>
        <v>25953.004059014733</v>
      </c>
      <c r="F1218" s="16">
        <f t="shared" si="265"/>
        <v>42373.635153824995</v>
      </c>
      <c r="G1218" s="16">
        <f t="shared" si="265"/>
        <v>49411.048480172249</v>
      </c>
      <c r="H1218" s="16">
        <f t="shared" si="265"/>
        <v>49411.048480172249</v>
      </c>
      <c r="I1218" s="16">
        <f t="shared" si="265"/>
        <v>49411.048480172249</v>
      </c>
      <c r="J1218" s="16">
        <f t="shared" si="265"/>
        <v>49411.048480172249</v>
      </c>
      <c r="K1218" s="16">
        <f t="shared" si="265"/>
        <v>49411.048480172249</v>
      </c>
      <c r="L1218" s="16">
        <f t="shared" si="265"/>
        <v>49411.048480172249</v>
      </c>
      <c r="M1218" s="16">
        <f t="shared" si="265"/>
        <v>49411.048480172249</v>
      </c>
    </row>
    <row r="1219" spans="2:13" ht="15" customHeight="1" x14ac:dyDescent="0.2">
      <c r="B1219" s="10" t="s">
        <v>904</v>
      </c>
      <c r="C1219" s="10" t="s">
        <v>110</v>
      </c>
      <c r="D1219" s="16">
        <f t="shared" ref="D1219:M1219" si="266">D1218*$D$1229</f>
        <v>3405.8170344385585</v>
      </c>
      <c r="E1219" s="16">
        <f t="shared" si="266"/>
        <v>12976.502029507366</v>
      </c>
      <c r="F1219" s="16">
        <f t="shared" si="266"/>
        <v>21186.817576912497</v>
      </c>
      <c r="G1219" s="16">
        <f t="shared" si="266"/>
        <v>24705.524240086124</v>
      </c>
      <c r="H1219" s="16">
        <f t="shared" si="266"/>
        <v>24705.524240086124</v>
      </c>
      <c r="I1219" s="16">
        <f t="shared" si="266"/>
        <v>24705.524240086124</v>
      </c>
      <c r="J1219" s="16">
        <f t="shared" si="266"/>
        <v>24705.524240086124</v>
      </c>
      <c r="K1219" s="16">
        <f t="shared" si="266"/>
        <v>24705.524240086124</v>
      </c>
      <c r="L1219" s="16">
        <f t="shared" si="266"/>
        <v>24705.524240086124</v>
      </c>
      <c r="M1219" s="16">
        <f t="shared" si="266"/>
        <v>24705.524240086124</v>
      </c>
    </row>
    <row r="1220" spans="2:13" ht="15" customHeight="1" x14ac:dyDescent="0.2">
      <c r="B1220" s="10" t="s">
        <v>905</v>
      </c>
      <c r="C1220" s="10" t="s">
        <v>110</v>
      </c>
      <c r="D1220" s="16">
        <f t="shared" ref="D1220:M1220" si="267">D1219-D1212</f>
        <v>1588.8397485061166</v>
      </c>
      <c r="E1220" s="16">
        <f t="shared" si="267"/>
        <v>6053.6376477576578</v>
      </c>
      <c r="F1220" s="16">
        <f t="shared" si="267"/>
        <v>9883.812773898997</v>
      </c>
      <c r="G1220" s="16">
        <f t="shared" si="267"/>
        <v>11525.316399388143</v>
      </c>
      <c r="H1220" s="16">
        <f t="shared" si="267"/>
        <v>11525.316399388143</v>
      </c>
      <c r="I1220" s="16">
        <f t="shared" si="267"/>
        <v>11525.316399388143</v>
      </c>
      <c r="J1220" s="16">
        <f t="shared" si="267"/>
        <v>11525.316399388143</v>
      </c>
      <c r="K1220" s="16">
        <f t="shared" si="267"/>
        <v>11525.316399388143</v>
      </c>
      <c r="L1220" s="16">
        <f t="shared" si="267"/>
        <v>11525.316399388143</v>
      </c>
      <c r="M1220" s="16">
        <f t="shared" si="267"/>
        <v>11525.316399388143</v>
      </c>
    </row>
    <row r="1221" spans="2:13" ht="15" customHeight="1" x14ac:dyDescent="0.2">
      <c r="B1221" s="10" t="s">
        <v>906</v>
      </c>
      <c r="C1221" s="10" t="s">
        <v>110</v>
      </c>
      <c r="D1221" s="16">
        <f>MAX(D1220,Inputs!$D$6)*Inputs!$D$19</f>
        <v>476.65192455183495</v>
      </c>
      <c r="E1221" s="16">
        <f>MAX(E1220,Inputs!$D$6)*Inputs!$D$19</f>
        <v>1816.0912943272972</v>
      </c>
      <c r="F1221" s="16">
        <f>MAX(F1220,Inputs!$D$6)*Inputs!$D$19</f>
        <v>2965.1438321696992</v>
      </c>
      <c r="G1221" s="16">
        <f>MAX(G1220,Inputs!$D$6)*Inputs!$D$19</f>
        <v>3457.5949198164426</v>
      </c>
      <c r="H1221" s="16">
        <f>MAX(H1220,Inputs!$D$6)*Inputs!$D$19</f>
        <v>3457.5949198164426</v>
      </c>
      <c r="I1221" s="16">
        <f>MAX(I1220,Inputs!$D$6)*Inputs!$D$19</f>
        <v>3457.5949198164426</v>
      </c>
      <c r="J1221" s="16">
        <f>MAX(J1220,Inputs!$D$6)*Inputs!$D$19</f>
        <v>3457.5949198164426</v>
      </c>
      <c r="K1221" s="16">
        <f>MAX(K1220,Inputs!$D$6)*Inputs!$D$19</f>
        <v>3457.5949198164426</v>
      </c>
      <c r="L1221" s="16">
        <f>MAX(L1220,Inputs!$D$6)*Inputs!$D$19</f>
        <v>3457.5949198164426</v>
      </c>
      <c r="M1221" s="16">
        <f>MAX(M1220,Inputs!$D$6)*Inputs!$D$19</f>
        <v>3457.5949198164426</v>
      </c>
    </row>
    <row r="1222" spans="2:13" ht="15" customHeight="1" x14ac:dyDescent="0.2">
      <c r="B1222" s="10" t="s">
        <v>907</v>
      </c>
      <c r="C1222" s="10" t="s">
        <v>110</v>
      </c>
      <c r="D1222" s="16">
        <f t="shared" ref="D1222:M1222" si="268">D1215*$D$1228</f>
        <v>351.8706663173628</v>
      </c>
      <c r="E1222" s="16">
        <f t="shared" si="268"/>
        <v>469.16088842315037</v>
      </c>
      <c r="F1222" s="16">
        <f t="shared" si="268"/>
        <v>351.8706663173628</v>
      </c>
      <c r="G1222" s="16">
        <f t="shared" si="268"/>
        <v>0</v>
      </c>
      <c r="H1222" s="16">
        <f t="shared" si="268"/>
        <v>0</v>
      </c>
      <c r="I1222" s="16">
        <f t="shared" si="268"/>
        <v>0</v>
      </c>
      <c r="J1222" s="16">
        <f t="shared" si="268"/>
        <v>0</v>
      </c>
      <c r="K1222" s="16">
        <f t="shared" si="268"/>
        <v>0</v>
      </c>
      <c r="L1222" s="16">
        <f t="shared" si="268"/>
        <v>0</v>
      </c>
      <c r="M1222" s="16">
        <f t="shared" si="268"/>
        <v>0</v>
      </c>
    </row>
    <row r="1223" spans="2:13" ht="15" customHeight="1" x14ac:dyDescent="0.2">
      <c r="B1223" s="10" t="s">
        <v>908</v>
      </c>
      <c r="C1223" s="10" t="s">
        <v>110</v>
      </c>
      <c r="D1223" s="16">
        <f t="shared" ref="D1223:M1223" si="269">D1219-D1221-D1213-D1214-D1222</f>
        <v>-12983.674176576793</v>
      </c>
      <c r="E1223" s="16">
        <f t="shared" si="269"/>
        <v>-10056.708313437952</v>
      </c>
      <c r="F1223" s="16">
        <f t="shared" si="269"/>
        <v>2308.834458279282</v>
      </c>
      <c r="G1223" s="16">
        <f t="shared" si="269"/>
        <v>18609.92447170251</v>
      </c>
      <c r="H1223" s="16">
        <f t="shared" si="269"/>
        <v>6366.1410984614013</v>
      </c>
      <c r="I1223" s="16">
        <f t="shared" si="269"/>
        <v>1405.5450245253051</v>
      </c>
      <c r="J1223" s="16">
        <f t="shared" si="269"/>
        <v>6366.1410984614013</v>
      </c>
      <c r="K1223" s="16">
        <f t="shared" si="269"/>
        <v>18609.92447170251</v>
      </c>
      <c r="L1223" s="16">
        <f t="shared" si="269"/>
        <v>6366.1410984614013</v>
      </c>
      <c r="M1223" s="16">
        <f t="shared" si="269"/>
        <v>1405.5450245253051</v>
      </c>
    </row>
    <row r="1224" spans="2:13" ht="15" customHeight="1" x14ac:dyDescent="0.2">
      <c r="B1224" s="10" t="s">
        <v>909</v>
      </c>
      <c r="C1224" s="10" t="s">
        <v>110</v>
      </c>
      <c r="D1224" s="16">
        <f>D1223/(Inputs!$D$7+$D$1230)^D1204</f>
        <v>-11973.674290887555</v>
      </c>
      <c r="E1224" s="16">
        <f>E1223/(Inputs!$D$7+$D$1230)^E1204</f>
        <v>-8278.784910789891</v>
      </c>
      <c r="F1224" s="16">
        <f>F1223/(Inputs!$D$7+$D$1230)^F1204</f>
        <v>1697.146004961889</v>
      </c>
      <c r="G1224" s="16">
        <f>G1223/(Inputs!$D$7+$D$1230)^G1204</f>
        <v>12214.809171155102</v>
      </c>
      <c r="H1224" s="16">
        <f>H1223/(Inputs!$D$7+$D$1230)^H1204</f>
        <v>3731.0751902164966</v>
      </c>
      <c r="I1224" s="16">
        <f>I1223/(Inputs!$D$7+$D$1230)^I1204</f>
        <v>735.33191708609979</v>
      </c>
      <c r="J1224" s="16">
        <f>J1223/(Inputs!$D$7+$D$1230)^J1204</f>
        <v>2973.9288916206829</v>
      </c>
      <c r="K1224" s="16">
        <f>K1223/(Inputs!$D$7+$D$1230)^K1204</f>
        <v>7762.7320525341975</v>
      </c>
      <c r="L1224" s="16">
        <f>L1223/(Inputs!$D$7+$D$1230)^L1204</f>
        <v>2371.1657352703273</v>
      </c>
      <c r="M1224" s="16">
        <f>M1223/(Inputs!$D$7+$D$1230)^M1204</f>
        <v>467.31672693629883</v>
      </c>
    </row>
    <row r="1225" spans="2:13" ht="15" customHeight="1" x14ac:dyDescent="0.2">
      <c r="B1225" s="3" t="s">
        <v>910</v>
      </c>
      <c r="C1225" s="10" t="s">
        <v>896</v>
      </c>
      <c r="D1225" s="28">
        <f>(D1211*$D$1229-D1215)/(Inputs!$D$7+$D$1230)^D1204</f>
        <v>51.926080851697769</v>
      </c>
      <c r="E1225" s="28">
        <f>(E1211*$D$1229-E1215)/(Inputs!$D$7+$D$1230)^E1204</f>
        <v>189.83227323767477</v>
      </c>
      <c r="F1225" s="28">
        <f>(F1211*$D$1229-F1215)/(Inputs!$D$7+$D$1230)^F1204</f>
        <v>282.36646466499843</v>
      </c>
      <c r="G1225" s="28">
        <f>(G1211*$D$1229-G1215)/(Inputs!$D$7+$D$1230)^G1204</f>
        <v>298.97195907061871</v>
      </c>
      <c r="H1225" s="28">
        <f>(H1211*$D$1229-H1215)/(Inputs!$D$7+$D$1230)^H1204</f>
        <v>266.95995625267534</v>
      </c>
      <c r="I1225" s="28">
        <f>(I1211*$D$1229-I1215)/(Inputs!$D$7+$D$1230)^I1204</f>
        <v>238.30164269966312</v>
      </c>
      <c r="J1225" s="28">
        <f>(J1211*$D$1229-J1215)/(Inputs!$D$7+$D$1230)^J1204</f>
        <v>212.78582883760038</v>
      </c>
      <c r="K1225" s="28">
        <f>(K1211*$D$1229-K1215)/(Inputs!$D$7+$D$1230)^K1204</f>
        <v>190.00208492548742</v>
      </c>
      <c r="L1225" s="28">
        <f>(L1211*$D$1229-L1215)/(Inputs!$D$7+$D$1230)^L1204</f>
        <v>169.65787840873799</v>
      </c>
      <c r="M1225" s="28">
        <f>(M1211*$D$1229-M1215)/(Inputs!$D$7+$D$1230)^M1204</f>
        <v>151.44500204920459</v>
      </c>
    </row>
    <row r="1226" spans="2:13" ht="15" customHeight="1" x14ac:dyDescent="0.2">
      <c r="B1226" s="10" t="s">
        <v>911</v>
      </c>
      <c r="C1226" s="10" t="s">
        <v>110</v>
      </c>
      <c r="D1226" s="16">
        <f>(-D1213-D1214)/(Inputs!$D$7+$D$1230)^D1204</f>
        <v>-14350.481025200577</v>
      </c>
      <c r="E1226" s="16">
        <f>(-E1213-E1214)/(Inputs!$D$7+$D$1230)^E1204</f>
        <v>-17079.930887207098</v>
      </c>
      <c r="F1226" s="16">
        <f>(-F1213-F1214)/(Inputs!$D$7+$D$1230)^F1204</f>
        <v>-11438.340948315768</v>
      </c>
      <c r="G1226" s="16">
        <f>(-G1213-G1214)/(Inputs!$D$7+$D$1230)^G1204</f>
        <v>-1731.4807411941122</v>
      </c>
      <c r="H1226" s="16">
        <f>(-H1213-H1214)/(Inputs!$D$7+$D$1230)^H1204</f>
        <v>-8721.9353076959778</v>
      </c>
      <c r="I1226" s="16">
        <f>(-I1213-I1214)/(Inputs!$D$7+$D$1230)^I1204</f>
        <v>-10380.8403353543</v>
      </c>
      <c r="J1226" s="16">
        <f>(-J1213-J1214)/(Inputs!$D$7+$D$1230)^J1204</f>
        <v>-6951.9948218729187</v>
      </c>
      <c r="K1226" s="16">
        <f>(-K1213-K1214)/(Inputs!$D$7+$D$1230)^K1204</f>
        <v>-1100.3873134386547</v>
      </c>
      <c r="L1226" s="16">
        <f>(-L1213-L1214)/(Inputs!$D$7+$D$1230)^L1204</f>
        <v>-5542.947566718196</v>
      </c>
      <c r="M1226" s="16">
        <f>(-M1213-M1214)/(Inputs!$D$7+$D$1230)^M1204</f>
        <v>-6597.2117021517279</v>
      </c>
    </row>
    <row r="1227" spans="2:13" ht="15" customHeight="1" x14ac:dyDescent="0.2">
      <c r="B1227" s="10" t="s">
        <v>912</v>
      </c>
      <c r="C1227" s="10" t="s">
        <v>110</v>
      </c>
      <c r="D1227" s="16">
        <f>Prices!I7</f>
        <v>35754.545454545456</v>
      </c>
    </row>
    <row r="1228" spans="2:13" ht="15" customHeight="1" x14ac:dyDescent="0.2">
      <c r="B1228" s="3" t="s">
        <v>913</v>
      </c>
      <c r="C1228" s="10" t="s">
        <v>914</v>
      </c>
      <c r="D1228" s="28">
        <f>IF(J1235&gt;=J1231,J1235,(D1227-J1234)/J1233)</f>
        <v>54.238252996895994</v>
      </c>
      <c r="G1228" s="99" t="s">
        <v>915</v>
      </c>
      <c r="H1228" s="91"/>
      <c r="I1228" s="91"/>
      <c r="J1228" s="28">
        <f>D1228*Inputs!$D$15</f>
        <v>37.852876766533711</v>
      </c>
      <c r="K1228" s="99" t="s">
        <v>916</v>
      </c>
      <c r="L1228" s="91"/>
      <c r="M1228" s="91"/>
    </row>
    <row r="1229" spans="2:13" ht="15" customHeight="1" x14ac:dyDescent="0.2">
      <c r="B1229" s="10" t="s">
        <v>917</v>
      </c>
      <c r="C1229" s="10" t="s">
        <v>104</v>
      </c>
      <c r="D1229" s="30">
        <f>Inputs!$D$140</f>
        <v>0.5</v>
      </c>
      <c r="G1229" s="99" t="s">
        <v>918</v>
      </c>
      <c r="H1229" s="91"/>
      <c r="I1229" s="91"/>
      <c r="J1229" s="28">
        <f>IF(-D1240/D1239&gt;=J1231,-D1240/D1239,-J1234/J1233)</f>
        <v>40.342352538398764</v>
      </c>
      <c r="K1229" s="99" t="s">
        <v>919</v>
      </c>
      <c r="L1229" s="91"/>
      <c r="M1229" s="91"/>
    </row>
    <row r="1230" spans="2:13" ht="15" customHeight="1" x14ac:dyDescent="0.2">
      <c r="B1230" s="10" t="s">
        <v>920</v>
      </c>
      <c r="C1230" s="10" t="s">
        <v>104</v>
      </c>
      <c r="D1230" s="30">
        <f>Inputs!$D$148</f>
        <v>0.12</v>
      </c>
      <c r="G1230" s="99" t="s">
        <v>918</v>
      </c>
      <c r="H1230" s="91"/>
      <c r="I1230" s="91"/>
      <c r="J1230" s="28">
        <f>J1229*Inputs!$D$15</f>
        <v>28.154927836548495</v>
      </c>
      <c r="K1230" s="99" t="s">
        <v>916</v>
      </c>
      <c r="L1230" s="91"/>
      <c r="M1230" s="91"/>
    </row>
    <row r="1231" spans="2:13" ht="15" customHeight="1" x14ac:dyDescent="0.2">
      <c r="B1231" s="3" t="s">
        <v>921</v>
      </c>
      <c r="C1231" s="10" t="s">
        <v>848</v>
      </c>
      <c r="D1231" s="28">
        <f>Capital!$D$13</f>
        <v>57.347931490590682</v>
      </c>
      <c r="G1231" s="99" t="s">
        <v>922</v>
      </c>
      <c r="H1231" s="91"/>
      <c r="I1231" s="91"/>
      <c r="J1231" s="28">
        <f>($D$1231/Inputs!$D$21+$D$1232/Inputs!$D$22)/$D$1229</f>
        <v>28.93569229571456</v>
      </c>
      <c r="K1231" s="99" t="s">
        <v>919</v>
      </c>
      <c r="L1231" s="91"/>
      <c r="M1231" s="91"/>
    </row>
    <row r="1232" spans="2:13" ht="15" customHeight="1" x14ac:dyDescent="0.2">
      <c r="B1232" s="3" t="s">
        <v>923</v>
      </c>
      <c r="C1232" s="10" t="s">
        <v>848</v>
      </c>
      <c r="D1232" s="28">
        <f>Capital!$D$14</f>
        <v>2.6172655041921802</v>
      </c>
    </row>
    <row r="1233" spans="1:13" ht="15" customHeight="1" x14ac:dyDescent="0.2">
      <c r="B1233" s="10" t="s">
        <v>924</v>
      </c>
      <c r="C1233" s="10" t="s">
        <v>896</v>
      </c>
      <c r="D1233" s="28">
        <f>(M1206*(Inputs!$D$7+Inputs!$D$20)*$D$1229*(Inputs!$D$7-Inputs!$D$19)-M1206*Inputs!$D$20*Inputs!$D$23)/($D$1230-Inputs!$D$20)/(Inputs!$D$7+$D$1230)^M1204</f>
        <v>1141.8156075551869</v>
      </c>
      <c r="G1233" s="92" t="s">
        <v>910</v>
      </c>
      <c r="H1233" s="91"/>
      <c r="I1233" s="91"/>
      <c r="J1233" s="28">
        <f>SUM(D1225:M1225)+(M1206*(Inputs!$D$7+Inputs!$D$20)*$D$1229-M1206*Inputs!$D$20*Inputs!$D$23)/($D$1230-Inputs!$D$20)/(Inputs!$D$7+$D$1230)^M1204</f>
        <v>3684.2683378180759</v>
      </c>
      <c r="K1233" s="99" t="s">
        <v>896</v>
      </c>
      <c r="L1233" s="91"/>
      <c r="M1233" s="91"/>
    </row>
    <row r="1234" spans="1:13" ht="15" customHeight="1" x14ac:dyDescent="0.2">
      <c r="B1234" s="10" t="s">
        <v>925</v>
      </c>
      <c r="C1234" s="10" t="s">
        <v>110</v>
      </c>
      <c r="D1234" s="16">
        <f>(D1237*Inputs!$D$19-D1237-D1238)/($D$1230-Inputs!$D$20)/(Inputs!$D$7+$D$1230)^M1204</f>
        <v>-37876.58483194092</v>
      </c>
      <c r="G1234" s="92" t="s">
        <v>926</v>
      </c>
      <c r="H1234" s="91"/>
      <c r="I1234" s="91"/>
      <c r="J1234" s="16">
        <f>SUM(D1226:M1226)-(D1237+D1238)/($D$1230-Inputs!$D$20)/(Inputs!$D$7+$D$1230)^M1204</f>
        <v>-135956.51483423277</v>
      </c>
      <c r="K1234" s="99" t="s">
        <v>110</v>
      </c>
      <c r="L1234" s="91"/>
      <c r="M1234" s="91"/>
    </row>
    <row r="1235" spans="1:13" ht="15" customHeight="1" x14ac:dyDescent="0.2">
      <c r="B1235" s="10" t="s">
        <v>927</v>
      </c>
      <c r="C1235" s="10" t="s">
        <v>928</v>
      </c>
      <c r="D1235" s="16">
        <f>(M1206*(Inputs!$D$7+Inputs!$D$20)*$D$1228*$D$1229-D1237)-MAX((M1206*(Inputs!$D$7+Inputs!$D$20)*$D$1228*$D$1229-D1237),Inputs!$D$6)*Inputs!$D$19-D1238-M1206*Inputs!$D$20*$D$1228*Inputs!$D$23</f>
        <v>6872.8252497047051</v>
      </c>
      <c r="G1235" s="99" t="s">
        <v>929</v>
      </c>
      <c r="H1235" s="91"/>
      <c r="I1235" s="91"/>
      <c r="J1235" s="28">
        <f>(D1227-D1240)/D1239</f>
        <v>54.238252996895994</v>
      </c>
      <c r="K1235" s="99" t="s">
        <v>919</v>
      </c>
      <c r="L1235" s="91"/>
      <c r="M1235" s="91"/>
    </row>
    <row r="1236" spans="1:13" ht="15" customHeight="1" x14ac:dyDescent="0.2">
      <c r="B1236" s="10" t="s">
        <v>930</v>
      </c>
      <c r="C1236" s="10" t="s">
        <v>110</v>
      </c>
      <c r="D1236" s="16">
        <f>D1235/($D$1230-Inputs!$D$20)</f>
        <v>72345.528944260048</v>
      </c>
      <c r="G1236" s="99" t="s">
        <v>931</v>
      </c>
      <c r="H1236" s="91"/>
      <c r="I1236" s="91"/>
      <c r="J1236" s="16">
        <f>MIN(D1220:M1220,(M1206*(Inputs!$D$7+Inputs!$D$20)*$D$1228*$D$1229-D1237))</f>
        <v>1588.8397485061166</v>
      </c>
      <c r="K1236" s="99" t="s">
        <v>110</v>
      </c>
      <c r="L1236" s="91"/>
      <c r="M1236" s="91"/>
    </row>
    <row r="1237" spans="1:13" ht="15" customHeight="1" x14ac:dyDescent="0.2">
      <c r="B1237" s="10" t="s">
        <v>932</v>
      </c>
      <c r="C1237" s="10" t="s">
        <v>928</v>
      </c>
      <c r="D1237" s="16">
        <f>M1206*(Inputs!$D$7+Inputs!$D$20)*($D$1231/Inputs!$D$21+$D$1232/Inputs!$D$22)</f>
        <v>13509.71303671543</v>
      </c>
      <c r="G1237" s="99" t="s">
        <v>933</v>
      </c>
      <c r="H1237" s="91"/>
      <c r="I1237" s="91"/>
      <c r="J1237" s="31" t="str">
        <f>IF(J1236&lt;Inputs!$D$6,"breached","satisfied")</f>
        <v>satisfied</v>
      </c>
      <c r="K1237" s="99" t="s">
        <v>934</v>
      </c>
      <c r="L1237" s="91"/>
      <c r="M1237" s="91"/>
    </row>
    <row r="1238" spans="1:13" ht="15" customHeight="1" x14ac:dyDescent="0.2">
      <c r="B1238" s="10" t="s">
        <v>935</v>
      </c>
      <c r="C1238" s="10" t="s">
        <v>928</v>
      </c>
      <c r="D1238" s="16">
        <f>M1206*Inputs!$D$20*($D$1231+$D$1232)</f>
        <v>1365.7073615561799</v>
      </c>
    </row>
    <row r="1239" spans="1:13" ht="15" customHeight="1" x14ac:dyDescent="0.2">
      <c r="B1239" s="10" t="s">
        <v>936</v>
      </c>
      <c r="C1239" s="10" t="s">
        <v>896</v>
      </c>
      <c r="D1239" s="28">
        <f>SUM(D1216:M1216)+D1233</f>
        <v>2573.0283230894806</v>
      </c>
      <c r="G1239" s="99" t="s">
        <v>937</v>
      </c>
      <c r="H1239" s="91"/>
      <c r="I1239" s="91"/>
      <c r="J1239" s="16">
        <f>D1241-D1227</f>
        <v>0</v>
      </c>
      <c r="K1239" s="99" t="s">
        <v>110</v>
      </c>
      <c r="L1239" s="91"/>
      <c r="M1239" s="91"/>
    </row>
    <row r="1240" spans="1:13" ht="15" customHeight="1" x14ac:dyDescent="0.2">
      <c r="B1240" s="10" t="s">
        <v>938</v>
      </c>
      <c r="C1240" s="10" t="s">
        <v>110</v>
      </c>
      <c r="D1240" s="16">
        <f>SUM(D1217:M1217)+D1234</f>
        <v>-103802.01570136083</v>
      </c>
    </row>
    <row r="1241" spans="1:13" ht="15" customHeight="1" x14ac:dyDescent="0.2">
      <c r="B1241" s="10" t="s">
        <v>939</v>
      </c>
      <c r="C1241" s="10" t="s">
        <v>110</v>
      </c>
      <c r="D1241" s="16">
        <f>SUM(D1224:M1224)+D1236/(Inputs!$D$7+$D$1230)^M1204</f>
        <v>35754.545454545478</v>
      </c>
    </row>
    <row r="1242" spans="1:13" ht="15" customHeight="1" x14ac:dyDescent="0.2">
      <c r="B1242" s="10" t="s">
        <v>940</v>
      </c>
      <c r="C1242" s="10" t="s">
        <v>104</v>
      </c>
      <c r="D1242" s="30">
        <f>IF(ABS(D1227)&gt;Inputs!$D$6,D1241/D1227-Inputs!$D$7,Inputs!$D$6)</f>
        <v>6.6613381477509392E-16</v>
      </c>
    </row>
    <row r="1243" spans="1:13" ht="15" customHeight="1" x14ac:dyDescent="0.2">
      <c r="B1243" s="10" t="s">
        <v>941</v>
      </c>
      <c r="C1243" s="10" t="s">
        <v>104</v>
      </c>
      <c r="D1243" s="30">
        <f>IF(ABS(D1241)&gt;Inputs!$D$119,D1236/(Inputs!$D$7+$D$1230)^M1204/D1241,Inputs!$D$6)</f>
        <v>0.6727396100454105</v>
      </c>
    </row>
    <row r="1244" spans="1:13" ht="15" customHeight="1" x14ac:dyDescent="0.2">
      <c r="B1244" s="10" t="s">
        <v>942</v>
      </c>
      <c r="C1244" s="10" t="s">
        <v>943</v>
      </c>
      <c r="D1244" s="26">
        <f>$D$1228*Inputs!$D$8/Prices!$P$6/(Inputs!$D$26/Inputs!$D$25)/Inputs!$D$11/Inputs!$D$56</f>
        <v>9.8633910573904107</v>
      </c>
    </row>
    <row r="1248" spans="1:13" ht="15" customHeight="1" x14ac:dyDescent="0.2">
      <c r="A1248" s="104" t="s">
        <v>2192</v>
      </c>
      <c r="B1248" s="10" t="s">
        <v>886</v>
      </c>
      <c r="C1248" s="10" t="s">
        <v>107</v>
      </c>
      <c r="D1248" s="28">
        <f>Inputs!$D$60</f>
        <v>1</v>
      </c>
      <c r="E1248" s="28">
        <f>Inputs!$D$62</f>
        <v>2</v>
      </c>
      <c r="F1248" s="28">
        <f>Inputs!$D$64</f>
        <v>3</v>
      </c>
      <c r="G1248" s="28">
        <f>Inputs!$D$66</f>
        <v>4</v>
      </c>
      <c r="H1248" s="28">
        <f>Inputs!$D$68</f>
        <v>5</v>
      </c>
      <c r="I1248" s="28">
        <f>Inputs!$D$70</f>
        <v>6</v>
      </c>
      <c r="J1248" s="28">
        <f>Inputs!$D$72</f>
        <v>7</v>
      </c>
      <c r="K1248" s="28">
        <f>Inputs!$D$74</f>
        <v>8</v>
      </c>
      <c r="L1248" s="28">
        <f>Inputs!$D$76</f>
        <v>9</v>
      </c>
      <c r="M1248" s="28">
        <f>Inputs!$D$78</f>
        <v>10</v>
      </c>
    </row>
    <row r="1249" spans="1:13" ht="15" customHeight="1" x14ac:dyDescent="0.2">
      <c r="A1249" s="91"/>
      <c r="B1249" s="10" t="s">
        <v>887</v>
      </c>
      <c r="C1249" s="10" t="s">
        <v>161</v>
      </c>
      <c r="D1249" s="29">
        <f>Inputs!$D$61</f>
        <v>46568</v>
      </c>
      <c r="E1249" s="29">
        <f>Inputs!$D$63</f>
        <v>46934</v>
      </c>
      <c r="F1249" s="29">
        <f>Inputs!$D$65</f>
        <v>47299</v>
      </c>
      <c r="G1249" s="29">
        <f>Inputs!$D$67</f>
        <v>47664</v>
      </c>
      <c r="H1249" s="29">
        <f>Inputs!$D$69</f>
        <v>48029</v>
      </c>
      <c r="I1249" s="29">
        <f>Inputs!$D$71</f>
        <v>48395</v>
      </c>
      <c r="J1249" s="29">
        <f>Inputs!$D$73</f>
        <v>48760</v>
      </c>
      <c r="K1249" s="29">
        <f>Inputs!$D$75</f>
        <v>49125</v>
      </c>
      <c r="L1249" s="29">
        <f>Inputs!$D$77</f>
        <v>49490</v>
      </c>
      <c r="M1249" s="29">
        <f>Inputs!$D$79</f>
        <v>49856</v>
      </c>
    </row>
    <row r="1250" spans="1:13" ht="15" customHeight="1" x14ac:dyDescent="0.2">
      <c r="A1250" s="91"/>
      <c r="B1250" s="10" t="s">
        <v>888</v>
      </c>
      <c r="C1250" s="10" t="s">
        <v>107</v>
      </c>
      <c r="D1250" s="28">
        <f>(D1249-Inputs!$D$13)/Inputs!$D$10</f>
        <v>0.71457905544147848</v>
      </c>
      <c r="E1250" s="28">
        <f>(E1249-Inputs!$D$13)/Inputs!$D$10</f>
        <v>1.7166324435318274</v>
      </c>
      <c r="F1250" s="28">
        <f>(F1249-Inputs!$D$13)/Inputs!$D$10</f>
        <v>2.7159479808350446</v>
      </c>
      <c r="G1250" s="28">
        <f>(G1249-Inputs!$D$13)/Inputs!$D$10</f>
        <v>3.7152635181382614</v>
      </c>
      <c r="H1250" s="28">
        <f>(H1249-Inputs!$D$13)/Inputs!$D$10</f>
        <v>4.7145790554414786</v>
      </c>
      <c r="I1250" s="28">
        <f>(I1249-Inputs!$D$13)/Inputs!$D$10</f>
        <v>5.7166324435318279</v>
      </c>
      <c r="J1250" s="28">
        <f>(J1249-Inputs!$D$13)/Inputs!$D$10</f>
        <v>6.7159479808350442</v>
      </c>
      <c r="K1250" s="28">
        <f>(K1249-Inputs!$D$13)/Inputs!$D$10</f>
        <v>7.7152635181382614</v>
      </c>
      <c r="L1250" s="28">
        <f>(L1249-Inputs!$D$13)/Inputs!$D$10</f>
        <v>8.7145790554414777</v>
      </c>
      <c r="M1250" s="28">
        <f>(M1249-Inputs!$D$13)/Inputs!$D$10</f>
        <v>9.716632443531827</v>
      </c>
    </row>
    <row r="1251" spans="1:13" ht="15" customHeight="1" x14ac:dyDescent="0.2">
      <c r="A1251" s="91"/>
      <c r="B1251" s="10" t="s">
        <v>889</v>
      </c>
      <c r="C1251" s="10" t="s">
        <v>107</v>
      </c>
      <c r="D1251" s="28">
        <f>D1250</f>
        <v>0.71457905544147848</v>
      </c>
      <c r="E1251" s="28">
        <f>Inputs!$D$7</f>
        <v>1</v>
      </c>
      <c r="F1251" s="28">
        <f>Inputs!$D$7</f>
        <v>1</v>
      </c>
      <c r="G1251" s="28">
        <f>Inputs!$D$7</f>
        <v>1</v>
      </c>
      <c r="H1251" s="28">
        <f>Inputs!$D$7</f>
        <v>1</v>
      </c>
      <c r="I1251" s="28">
        <f>Inputs!$D$7</f>
        <v>1</v>
      </c>
      <c r="J1251" s="28">
        <f>Inputs!$D$7</f>
        <v>1</v>
      </c>
      <c r="K1251" s="28">
        <f>Inputs!$D$7</f>
        <v>1</v>
      </c>
      <c r="L1251" s="28">
        <f>Inputs!$D$7</f>
        <v>1</v>
      </c>
      <c r="M1251" s="28">
        <f>Inputs!$D$7</f>
        <v>1</v>
      </c>
    </row>
    <row r="1252" spans="1:13" ht="15" customHeight="1" x14ac:dyDescent="0.2">
      <c r="A1252" s="91"/>
      <c r="B1252" s="3" t="s">
        <v>890</v>
      </c>
      <c r="C1252" s="10" t="s">
        <v>199</v>
      </c>
      <c r="D1252" s="28">
        <f>Inputs!$D$24+(Inputs!$D$80-Inputs!$D$24)*Inputs!$D$83</f>
        <v>305.5</v>
      </c>
      <c r="E1252" s="28">
        <f>Inputs!$D$24+(Inputs!$D$80-Inputs!$D$24)*Inputs!$D$84</f>
        <v>651.5</v>
      </c>
      <c r="F1252" s="28">
        <f>Inputs!$D$24+(Inputs!$D$80-Inputs!$D$24)*Inputs!$D$85</f>
        <v>911</v>
      </c>
      <c r="G1252" s="28">
        <f>Inputs!$D$24+(Inputs!$D$80-Inputs!$D$24)*Inputs!$D$86</f>
        <v>911</v>
      </c>
      <c r="H1252" s="28">
        <f>Inputs!$D$24+(Inputs!$D$80-Inputs!$D$24)*Inputs!$D$87</f>
        <v>911</v>
      </c>
      <c r="I1252" s="28">
        <f>Inputs!$D$24+(Inputs!$D$80-Inputs!$D$24)*Inputs!$D$88</f>
        <v>911</v>
      </c>
      <c r="J1252" s="28">
        <f>Inputs!$D$24+(Inputs!$D$80-Inputs!$D$24)*Inputs!$D$89</f>
        <v>911</v>
      </c>
      <c r="K1252" s="28">
        <f>Inputs!$D$24+(Inputs!$D$80-Inputs!$D$24)*Inputs!$D$90</f>
        <v>911</v>
      </c>
      <c r="L1252" s="28">
        <f>Inputs!$D$24+(Inputs!$D$80-Inputs!$D$24)*Inputs!$D$91</f>
        <v>911</v>
      </c>
      <c r="M1252" s="28">
        <f>Inputs!$D$24+(Inputs!$D$80-Inputs!$D$24)*Inputs!$D$92</f>
        <v>911</v>
      </c>
    </row>
    <row r="1253" spans="1:13" ht="15" customHeight="1" x14ac:dyDescent="0.2">
      <c r="A1253" s="91"/>
      <c r="B1253" s="10" t="s">
        <v>891</v>
      </c>
      <c r="C1253" s="10" t="s">
        <v>199</v>
      </c>
      <c r="D1253" s="28">
        <f>Inputs!$D$24</f>
        <v>46</v>
      </c>
      <c r="E1253" s="28">
        <f t="shared" ref="E1253:M1253" si="270">D1252</f>
        <v>305.5</v>
      </c>
      <c r="F1253" s="28">
        <f t="shared" si="270"/>
        <v>651.5</v>
      </c>
      <c r="G1253" s="28">
        <f t="shared" si="270"/>
        <v>911</v>
      </c>
      <c r="H1253" s="28">
        <f t="shared" si="270"/>
        <v>911</v>
      </c>
      <c r="I1253" s="28">
        <f t="shared" si="270"/>
        <v>911</v>
      </c>
      <c r="J1253" s="28">
        <f t="shared" si="270"/>
        <v>911</v>
      </c>
      <c r="K1253" s="28">
        <f t="shared" si="270"/>
        <v>911</v>
      </c>
      <c r="L1253" s="28">
        <f t="shared" si="270"/>
        <v>911</v>
      </c>
      <c r="M1253" s="28">
        <f t="shared" si="270"/>
        <v>911</v>
      </c>
    </row>
    <row r="1254" spans="1:13" ht="15" customHeight="1" x14ac:dyDescent="0.2">
      <c r="B1254" s="10" t="s">
        <v>892</v>
      </c>
      <c r="C1254" s="10" t="s">
        <v>199</v>
      </c>
      <c r="D1254" s="28">
        <f>(D1253+D1252)*Inputs!$D$12</f>
        <v>175.75</v>
      </c>
      <c r="E1254" s="28">
        <f>(E1253+E1252)*Inputs!$D$12</f>
        <v>478.5</v>
      </c>
      <c r="F1254" s="28">
        <f>(F1253+F1252)*Inputs!$D$12</f>
        <v>781.25</v>
      </c>
      <c r="G1254" s="28">
        <f>(G1253+G1252)*Inputs!$D$12</f>
        <v>911</v>
      </c>
      <c r="H1254" s="28">
        <f>(H1253+H1252)*Inputs!$D$12</f>
        <v>911</v>
      </c>
      <c r="I1254" s="28">
        <f>(I1253+I1252)*Inputs!$D$12</f>
        <v>911</v>
      </c>
      <c r="J1254" s="28">
        <f>(J1253+J1252)*Inputs!$D$12</f>
        <v>911</v>
      </c>
      <c r="K1254" s="28">
        <f>(K1253+K1252)*Inputs!$D$12</f>
        <v>911</v>
      </c>
      <c r="L1254" s="28">
        <f>(L1253+L1252)*Inputs!$D$12</f>
        <v>911</v>
      </c>
      <c r="M1254" s="28">
        <f>(M1253+M1252)*Inputs!$D$12</f>
        <v>911</v>
      </c>
    </row>
    <row r="1255" spans="1:13" ht="15" customHeight="1" x14ac:dyDescent="0.2">
      <c r="B1255" s="10" t="s">
        <v>893</v>
      </c>
      <c r="C1255" s="10" t="s">
        <v>199</v>
      </c>
      <c r="D1255" s="28">
        <f t="shared" ref="D1255:M1255" si="271">D1252-D1253</f>
        <v>259.5</v>
      </c>
      <c r="E1255" s="28">
        <f t="shared" si="271"/>
        <v>346</v>
      </c>
      <c r="F1255" s="28">
        <f t="shared" si="271"/>
        <v>259.5</v>
      </c>
      <c r="G1255" s="28">
        <f t="shared" si="271"/>
        <v>0</v>
      </c>
      <c r="H1255" s="28">
        <f t="shared" si="271"/>
        <v>0</v>
      </c>
      <c r="I1255" s="28">
        <f t="shared" si="271"/>
        <v>0</v>
      </c>
      <c r="J1255" s="28">
        <f t="shared" si="271"/>
        <v>0</v>
      </c>
      <c r="K1255" s="28">
        <f t="shared" si="271"/>
        <v>0</v>
      </c>
      <c r="L1255" s="28">
        <f t="shared" si="271"/>
        <v>0</v>
      </c>
      <c r="M1255" s="28">
        <f t="shared" si="271"/>
        <v>0</v>
      </c>
    </row>
    <row r="1256" spans="1:13" ht="15" customHeight="1" x14ac:dyDescent="0.2">
      <c r="B1256" s="10" t="s">
        <v>894</v>
      </c>
      <c r="C1256" s="10" t="s">
        <v>199</v>
      </c>
      <c r="D1256" s="28">
        <f>IF(MOD(D1248,Inputs!$D$21)=Inputs!$D$6,Inputs!$D$24,Inputs!$D$6)+SUMPRODUCT(--(D1248&gt;$D$1248:$M$1248),--(MOD(D1248-$D$1248:$M$1248,Inputs!$D$21)=Inputs!$D$6),$D$1255:$M$1255)</f>
        <v>0</v>
      </c>
      <c r="E1256" s="28">
        <f>IF(MOD(E1248,Inputs!$D$21)=Inputs!$D$6,Inputs!$D$24,Inputs!$D$6)+SUMPRODUCT(--(E1248&gt;$D$1248:$M$1248),--(MOD(E1248-$D$1248:$M$1248,Inputs!$D$21)=Inputs!$D$6),$D$1255:$M$1255)</f>
        <v>0</v>
      </c>
      <c r="F1256" s="28">
        <f>IF(MOD(F1248,Inputs!$D$21)=Inputs!$D$6,Inputs!$D$24,Inputs!$D$6)+SUMPRODUCT(--(F1248&gt;$D$1248:$M$1248),--(MOD(F1248-$D$1248:$M$1248,Inputs!$D$21)=Inputs!$D$6),$D$1255:$M$1255)</f>
        <v>0</v>
      </c>
      <c r="G1256" s="28">
        <f>IF(MOD(G1248,Inputs!$D$21)=Inputs!$D$6,Inputs!$D$24,Inputs!$D$6)+SUMPRODUCT(--(G1248&gt;$D$1248:$M$1248),--(MOD(G1248-$D$1248:$M$1248,Inputs!$D$21)=Inputs!$D$6),$D$1255:$M$1255)</f>
        <v>46</v>
      </c>
      <c r="H1256" s="28">
        <f>IF(MOD(H1248,Inputs!$D$21)=Inputs!$D$6,Inputs!$D$24,Inputs!$D$6)+SUMPRODUCT(--(H1248&gt;$D$1248:$M$1248),--(MOD(H1248-$D$1248:$M$1248,Inputs!$D$21)=Inputs!$D$6),$D$1255:$M$1255)</f>
        <v>259.5</v>
      </c>
      <c r="I1256" s="28">
        <f>IF(MOD(I1248,Inputs!$D$21)=Inputs!$D$6,Inputs!$D$24,Inputs!$D$6)+SUMPRODUCT(--(I1248&gt;$D$1248:$M$1248),--(MOD(I1248-$D$1248:$M$1248,Inputs!$D$21)=Inputs!$D$6),$D$1255:$M$1255)</f>
        <v>346</v>
      </c>
      <c r="J1256" s="28">
        <f>IF(MOD(J1248,Inputs!$D$21)=Inputs!$D$6,Inputs!$D$24,Inputs!$D$6)+SUMPRODUCT(--(J1248&gt;$D$1248:$M$1248),--(MOD(J1248-$D$1248:$M$1248,Inputs!$D$21)=Inputs!$D$6),$D$1255:$M$1255)</f>
        <v>259.5</v>
      </c>
      <c r="K1256" s="28">
        <f>IF(MOD(K1248,Inputs!$D$21)=Inputs!$D$6,Inputs!$D$24,Inputs!$D$6)+SUMPRODUCT(--(K1248&gt;$D$1248:$M$1248),--(MOD(K1248-$D$1248:$M$1248,Inputs!$D$21)=Inputs!$D$6),$D$1255:$M$1255)</f>
        <v>46</v>
      </c>
      <c r="L1256" s="28">
        <f>IF(MOD(L1248,Inputs!$D$21)=Inputs!$D$6,Inputs!$D$24,Inputs!$D$6)+SUMPRODUCT(--(L1248&gt;$D$1248:$M$1248),--(MOD(L1248-$D$1248:$M$1248,Inputs!$D$21)=Inputs!$D$6),$D$1255:$M$1255)</f>
        <v>259.5</v>
      </c>
      <c r="M1256" s="28">
        <f>IF(MOD(M1248,Inputs!$D$21)=Inputs!$D$6,Inputs!$D$24,Inputs!$D$6)+SUMPRODUCT(--(M1248&gt;$D$1248:$M$1248),--(MOD(M1248-$D$1248:$M$1248,Inputs!$D$21)=Inputs!$D$6),$D$1255:$M$1255)</f>
        <v>346</v>
      </c>
    </row>
    <row r="1257" spans="1:13" ht="15" customHeight="1" x14ac:dyDescent="0.2">
      <c r="B1257" s="10" t="s">
        <v>895</v>
      </c>
      <c r="C1257" s="10" t="s">
        <v>896</v>
      </c>
      <c r="D1257" s="28">
        <f t="shared" ref="D1257:M1257" si="272">D1254*D1251</f>
        <v>125.58726899383984</v>
      </c>
      <c r="E1257" s="28">
        <f t="shared" si="272"/>
        <v>478.5</v>
      </c>
      <c r="F1257" s="28">
        <f t="shared" si="272"/>
        <v>781.25</v>
      </c>
      <c r="G1257" s="28">
        <f t="shared" si="272"/>
        <v>911</v>
      </c>
      <c r="H1257" s="28">
        <f t="shared" si="272"/>
        <v>911</v>
      </c>
      <c r="I1257" s="28">
        <f t="shared" si="272"/>
        <v>911</v>
      </c>
      <c r="J1257" s="28">
        <f t="shared" si="272"/>
        <v>911</v>
      </c>
      <c r="K1257" s="28">
        <f t="shared" si="272"/>
        <v>911</v>
      </c>
      <c r="L1257" s="28">
        <f t="shared" si="272"/>
        <v>911</v>
      </c>
      <c r="M1257" s="28">
        <f t="shared" si="272"/>
        <v>911</v>
      </c>
    </row>
    <row r="1258" spans="1:13" ht="15" customHeight="1" x14ac:dyDescent="0.2">
      <c r="B1258" s="10" t="s">
        <v>897</v>
      </c>
      <c r="C1258" s="10" t="s">
        <v>110</v>
      </c>
      <c r="D1258" s="16">
        <f>D1257*($D$1277/Inputs!$D$21+$D$1278/Inputs!$D$22)</f>
        <v>1816.9772859324419</v>
      </c>
      <c r="E1258" s="16">
        <f>E1257*($D$1277/Inputs!$D$21+$D$1278/Inputs!$D$22)</f>
        <v>6922.8643817497086</v>
      </c>
      <c r="F1258" s="16">
        <f>F1257*($D$1277/Inputs!$D$21+$D$1278/Inputs!$D$22)</f>
        <v>11303.0048030135</v>
      </c>
      <c r="G1258" s="16">
        <f>G1257*($D$1277/Inputs!$D$21+$D$1278/Inputs!$D$22)</f>
        <v>13180.207840697982</v>
      </c>
      <c r="H1258" s="16">
        <f>H1257*($D$1277/Inputs!$D$21+$D$1278/Inputs!$D$22)</f>
        <v>13180.207840697982</v>
      </c>
      <c r="I1258" s="16">
        <f>I1257*($D$1277/Inputs!$D$21+$D$1278/Inputs!$D$22)</f>
        <v>13180.207840697982</v>
      </c>
      <c r="J1258" s="16">
        <f>J1257*($D$1277/Inputs!$D$21+$D$1278/Inputs!$D$22)</f>
        <v>13180.207840697982</v>
      </c>
      <c r="K1258" s="16">
        <f>K1257*($D$1277/Inputs!$D$21+$D$1278/Inputs!$D$22)</f>
        <v>13180.207840697982</v>
      </c>
      <c r="L1258" s="16">
        <f>L1257*($D$1277/Inputs!$D$21+$D$1278/Inputs!$D$22)</f>
        <v>13180.207840697982</v>
      </c>
      <c r="M1258" s="16">
        <f>M1257*($D$1277/Inputs!$D$21+$D$1278/Inputs!$D$22)</f>
        <v>13180.207840697982</v>
      </c>
    </row>
    <row r="1259" spans="1:13" ht="15" customHeight="1" x14ac:dyDescent="0.2">
      <c r="B1259" s="10" t="s">
        <v>898</v>
      </c>
      <c r="C1259" s="10" t="s">
        <v>110</v>
      </c>
      <c r="D1259" s="16">
        <f t="shared" ref="D1259:M1259" si="273">D1255*($D$1277+$D$1278)</f>
        <v>15560.968620146154</v>
      </c>
      <c r="E1259" s="16">
        <f t="shared" si="273"/>
        <v>20747.95816019487</v>
      </c>
      <c r="F1259" s="16">
        <f t="shared" si="273"/>
        <v>15560.968620146154</v>
      </c>
      <c r="G1259" s="16">
        <f t="shared" si="273"/>
        <v>0</v>
      </c>
      <c r="H1259" s="16">
        <f t="shared" si="273"/>
        <v>0</v>
      </c>
      <c r="I1259" s="16">
        <f t="shared" si="273"/>
        <v>0</v>
      </c>
      <c r="J1259" s="16">
        <f t="shared" si="273"/>
        <v>0</v>
      </c>
      <c r="K1259" s="16">
        <f t="shared" si="273"/>
        <v>0</v>
      </c>
      <c r="L1259" s="16">
        <f t="shared" si="273"/>
        <v>0</v>
      </c>
      <c r="M1259" s="16">
        <f t="shared" si="273"/>
        <v>0</v>
      </c>
    </row>
    <row r="1260" spans="1:13" ht="15" customHeight="1" x14ac:dyDescent="0.2">
      <c r="B1260" s="10" t="s">
        <v>899</v>
      </c>
      <c r="C1260" s="10" t="s">
        <v>110</v>
      </c>
      <c r="D1260" s="16">
        <f t="shared" ref="D1260:M1260" si="274">D1256*$D$1277</f>
        <v>0</v>
      </c>
      <c r="E1260" s="16">
        <f t="shared" si="274"/>
        <v>0</v>
      </c>
      <c r="F1260" s="16">
        <f t="shared" si="274"/>
        <v>0</v>
      </c>
      <c r="G1260" s="16">
        <f t="shared" si="274"/>
        <v>2638.0048485671714</v>
      </c>
      <c r="H1260" s="16">
        <f t="shared" si="274"/>
        <v>14881.788221808281</v>
      </c>
      <c r="I1260" s="16">
        <f t="shared" si="274"/>
        <v>19842.384295744378</v>
      </c>
      <c r="J1260" s="16">
        <f t="shared" si="274"/>
        <v>14881.788221808281</v>
      </c>
      <c r="K1260" s="16">
        <f t="shared" si="274"/>
        <v>2638.0048485671714</v>
      </c>
      <c r="L1260" s="16">
        <f t="shared" si="274"/>
        <v>14881.788221808281</v>
      </c>
      <c r="M1260" s="16">
        <f t="shared" si="274"/>
        <v>19842.384295744378</v>
      </c>
    </row>
    <row r="1261" spans="1:13" ht="15" customHeight="1" x14ac:dyDescent="0.2">
      <c r="B1261" s="10" t="s">
        <v>900</v>
      </c>
      <c r="C1261" s="10" t="s">
        <v>199</v>
      </c>
      <c r="D1261" s="28">
        <f>D1255*Inputs!$D$23</f>
        <v>6.4875000000000007</v>
      </c>
      <c r="E1261" s="28">
        <f>E1255*Inputs!$D$23</f>
        <v>8.65</v>
      </c>
      <c r="F1261" s="28">
        <f>F1255*Inputs!$D$23</f>
        <v>6.4875000000000007</v>
      </c>
      <c r="G1261" s="28">
        <f>G1255*Inputs!$D$23</f>
        <v>0</v>
      </c>
      <c r="H1261" s="28">
        <f>H1255*Inputs!$D$23</f>
        <v>0</v>
      </c>
      <c r="I1261" s="28">
        <f>I1255*Inputs!$D$23</f>
        <v>0</v>
      </c>
      <c r="J1261" s="28">
        <f>J1255*Inputs!$D$23</f>
        <v>0</v>
      </c>
      <c r="K1261" s="28">
        <f>K1255*Inputs!$D$23</f>
        <v>0</v>
      </c>
      <c r="L1261" s="28">
        <f>L1255*Inputs!$D$23</f>
        <v>0</v>
      </c>
      <c r="M1261" s="28">
        <f>M1255*Inputs!$D$23</f>
        <v>0</v>
      </c>
    </row>
    <row r="1262" spans="1:13" ht="15" customHeight="1" x14ac:dyDescent="0.2">
      <c r="B1262" s="3" t="s">
        <v>901</v>
      </c>
      <c r="C1262" s="10" t="s">
        <v>896</v>
      </c>
      <c r="D1262" s="28">
        <f>(D1257*$D$1275*(Inputs!$D$7-Inputs!$D$19)-D1261)/(Inputs!$D$7+$D$1276)^D1250</f>
        <v>34.11913469425</v>
      </c>
      <c r="E1262" s="28">
        <f>(E1257*$D$1275*(Inputs!$D$7-Inputs!$D$19)-E1261)/(Inputs!$D$7+$D$1276)^E1250</f>
        <v>126.83355050421525</v>
      </c>
      <c r="F1262" s="28">
        <f>(F1257*$D$1275*(Inputs!$D$7-Inputs!$D$19)-F1261)/(Inputs!$D$7+$D$1276)^F1250</f>
        <v>187.01623480611519</v>
      </c>
      <c r="G1262" s="28">
        <f>(G1257*$D$1275*(Inputs!$D$7-Inputs!$D$19)-G1261)/(Inputs!$D$7+$D$1276)^G1250</f>
        <v>195.96111556962208</v>
      </c>
      <c r="H1262" s="28">
        <f>(H1257*$D$1275*(Inputs!$D$7-Inputs!$D$19)-H1261)/(Inputs!$D$7+$D$1276)^H1250</f>
        <v>171.91113239136084</v>
      </c>
      <c r="I1262" s="28">
        <f>(I1257*$D$1275*(Inputs!$D$7-Inputs!$D$19)-I1261)/(Inputs!$D$7+$D$1276)^I1250</f>
        <v>150.75867157963424</v>
      </c>
      <c r="J1262" s="28">
        <f>(J1257*$D$1275*(Inputs!$D$7-Inputs!$D$19)-J1261)/(Inputs!$D$7+$D$1276)^J1250</f>
        <v>132.25630949148294</v>
      </c>
      <c r="K1262" s="28">
        <f>(K1257*$D$1275*(Inputs!$D$7-Inputs!$D$19)-K1261)/(Inputs!$D$7+$D$1276)^K1250</f>
        <v>116.02471166023361</v>
      </c>
      <c r="L1262" s="28">
        <f>(L1257*$D$1275*(Inputs!$D$7-Inputs!$D$19)-L1261)/(Inputs!$D$7+$D$1276)^L1250</f>
        <v>101.78519094930031</v>
      </c>
      <c r="M1262" s="28">
        <f>(M1257*$D$1275*(Inputs!$D$7-Inputs!$D$19)-M1261)/(Inputs!$D$7+$D$1276)^M1250</f>
        <v>89.26123608483114</v>
      </c>
    </row>
    <row r="1263" spans="1:13" ht="15" customHeight="1" x14ac:dyDescent="0.2">
      <c r="B1263" s="10" t="s">
        <v>902</v>
      </c>
      <c r="C1263" s="10" t="s">
        <v>110</v>
      </c>
      <c r="D1263" s="16">
        <f>(D1258*Inputs!$D$19-D1259-D1260)/(Inputs!$D$7+$D$1276)^D1250</f>
        <v>-13673.750208995338</v>
      </c>
      <c r="E1263" s="16">
        <f>(E1258*Inputs!$D$19-E1259-E1260)/(Inputs!$D$7+$D$1276)^E1250</f>
        <v>-14910.258198718562</v>
      </c>
      <c r="F1263" s="16">
        <f>(F1258*Inputs!$D$19-F1259-F1260)/(Inputs!$D$7+$D$1276)^F1250</f>
        <v>-8525.9417164238148</v>
      </c>
      <c r="G1263" s="16">
        <f>(G1258*Inputs!$D$19-G1259-G1260)/(Inputs!$D$7+$D$1276)^G1250</f>
        <v>808.83204192410847</v>
      </c>
      <c r="H1263" s="16">
        <f>(H1258*Inputs!$D$19-H1259-H1260)/(Inputs!$D$7+$D$1276)^H1250</f>
        <v>-5891.7915280072548</v>
      </c>
      <c r="I1263" s="16">
        <f>(I1258*Inputs!$D$19-I1259-I1260)/(Inputs!$D$7+$D$1276)^I1250</f>
        <v>-7512.3171078465948</v>
      </c>
      <c r="J1263" s="16">
        <f>(J1258*Inputs!$D$19-J1259-J1260)/(Inputs!$D$7+$D$1276)^J1250</f>
        <v>-4532.7291662153211</v>
      </c>
      <c r="K1263" s="16">
        <f>(K1258*Inputs!$D$19-K1259-K1260)/(Inputs!$D$7+$D$1276)^K1250</f>
        <v>478.89349972832292</v>
      </c>
      <c r="L1263" s="16">
        <f>(L1258*Inputs!$D$19-L1259-L1260)/(Inputs!$D$7+$D$1276)^L1250</f>
        <v>-3488.413562109869</v>
      </c>
      <c r="M1263" s="16">
        <f>(M1258*Inputs!$D$19-M1259-M1260)/(Inputs!$D$7+$D$1276)^M1250</f>
        <v>-4447.8947969066312</v>
      </c>
    </row>
    <row r="1264" spans="1:13" ht="15" customHeight="1" x14ac:dyDescent="0.2">
      <c r="B1264" s="10" t="s">
        <v>903</v>
      </c>
      <c r="C1264" s="10" t="s">
        <v>110</v>
      </c>
      <c r="D1264" s="16">
        <f t="shared" ref="D1264:M1264" si="275">D1257*$D$1274</f>
        <v>7402.9344421926316</v>
      </c>
      <c r="E1264" s="16">
        <f t="shared" si="275"/>
        <v>28205.917359051156</v>
      </c>
      <c r="F1264" s="16">
        <f t="shared" si="275"/>
        <v>46051.981059056881</v>
      </c>
      <c r="G1264" s="16">
        <f t="shared" si="275"/>
        <v>53700.294073345045</v>
      </c>
      <c r="H1264" s="16">
        <f t="shared" si="275"/>
        <v>53700.294073345045</v>
      </c>
      <c r="I1264" s="16">
        <f t="shared" si="275"/>
        <v>53700.294073345045</v>
      </c>
      <c r="J1264" s="16">
        <f t="shared" si="275"/>
        <v>53700.294073345045</v>
      </c>
      <c r="K1264" s="16">
        <f t="shared" si="275"/>
        <v>53700.294073345045</v>
      </c>
      <c r="L1264" s="16">
        <f t="shared" si="275"/>
        <v>53700.294073345045</v>
      </c>
      <c r="M1264" s="16">
        <f t="shared" si="275"/>
        <v>53700.294073345045</v>
      </c>
    </row>
    <row r="1265" spans="2:13" ht="15" customHeight="1" x14ac:dyDescent="0.2">
      <c r="B1265" s="10" t="s">
        <v>904</v>
      </c>
      <c r="C1265" s="10" t="s">
        <v>110</v>
      </c>
      <c r="D1265" s="16">
        <f t="shared" ref="D1265:M1265" si="276">D1264*$D$1275</f>
        <v>3701.4672210963158</v>
      </c>
      <c r="E1265" s="16">
        <f t="shared" si="276"/>
        <v>14102.958679525578</v>
      </c>
      <c r="F1265" s="16">
        <f t="shared" si="276"/>
        <v>23025.990529528441</v>
      </c>
      <c r="G1265" s="16">
        <f t="shared" si="276"/>
        <v>26850.147036672523</v>
      </c>
      <c r="H1265" s="16">
        <f t="shared" si="276"/>
        <v>26850.147036672523</v>
      </c>
      <c r="I1265" s="16">
        <f t="shared" si="276"/>
        <v>26850.147036672523</v>
      </c>
      <c r="J1265" s="16">
        <f t="shared" si="276"/>
        <v>26850.147036672523</v>
      </c>
      <c r="K1265" s="16">
        <f t="shared" si="276"/>
        <v>26850.147036672523</v>
      </c>
      <c r="L1265" s="16">
        <f t="shared" si="276"/>
        <v>26850.147036672523</v>
      </c>
      <c r="M1265" s="16">
        <f t="shared" si="276"/>
        <v>26850.147036672523</v>
      </c>
    </row>
    <row r="1266" spans="2:13" ht="15" customHeight="1" x14ac:dyDescent="0.2">
      <c r="B1266" s="10" t="s">
        <v>905</v>
      </c>
      <c r="C1266" s="10" t="s">
        <v>110</v>
      </c>
      <c r="D1266" s="16">
        <f t="shared" ref="D1266:M1266" si="277">D1265-D1258</f>
        <v>1884.489935163874</v>
      </c>
      <c r="E1266" s="16">
        <f t="shared" si="277"/>
        <v>7180.0942977758696</v>
      </c>
      <c r="F1266" s="16">
        <f t="shared" si="277"/>
        <v>11722.98572651494</v>
      </c>
      <c r="G1266" s="16">
        <f t="shared" si="277"/>
        <v>13669.939195974541</v>
      </c>
      <c r="H1266" s="16">
        <f t="shared" si="277"/>
        <v>13669.939195974541</v>
      </c>
      <c r="I1266" s="16">
        <f t="shared" si="277"/>
        <v>13669.939195974541</v>
      </c>
      <c r="J1266" s="16">
        <f t="shared" si="277"/>
        <v>13669.939195974541</v>
      </c>
      <c r="K1266" s="16">
        <f t="shared" si="277"/>
        <v>13669.939195974541</v>
      </c>
      <c r="L1266" s="16">
        <f t="shared" si="277"/>
        <v>13669.939195974541</v>
      </c>
      <c r="M1266" s="16">
        <f t="shared" si="277"/>
        <v>13669.939195974541</v>
      </c>
    </row>
    <row r="1267" spans="2:13" ht="15" customHeight="1" x14ac:dyDescent="0.2">
      <c r="B1267" s="10" t="s">
        <v>906</v>
      </c>
      <c r="C1267" s="10" t="s">
        <v>110</v>
      </c>
      <c r="D1267" s="16">
        <f>MAX(D1266,Inputs!$D$6)*Inputs!$D$19</f>
        <v>565.34698054916214</v>
      </c>
      <c r="E1267" s="16">
        <f>MAX(E1266,Inputs!$D$6)*Inputs!$D$19</f>
        <v>2154.0282893327608</v>
      </c>
      <c r="F1267" s="16">
        <f>MAX(F1266,Inputs!$D$6)*Inputs!$D$19</f>
        <v>3516.8957179544818</v>
      </c>
      <c r="G1267" s="16">
        <f>MAX(G1266,Inputs!$D$6)*Inputs!$D$19</f>
        <v>4100.9817587923617</v>
      </c>
      <c r="H1267" s="16">
        <f>MAX(H1266,Inputs!$D$6)*Inputs!$D$19</f>
        <v>4100.9817587923617</v>
      </c>
      <c r="I1267" s="16">
        <f>MAX(I1266,Inputs!$D$6)*Inputs!$D$19</f>
        <v>4100.9817587923617</v>
      </c>
      <c r="J1267" s="16">
        <f>MAX(J1266,Inputs!$D$6)*Inputs!$D$19</f>
        <v>4100.9817587923617</v>
      </c>
      <c r="K1267" s="16">
        <f>MAX(K1266,Inputs!$D$6)*Inputs!$D$19</f>
        <v>4100.9817587923617</v>
      </c>
      <c r="L1267" s="16">
        <f>MAX(L1266,Inputs!$D$6)*Inputs!$D$19</f>
        <v>4100.9817587923617</v>
      </c>
      <c r="M1267" s="16">
        <f>MAX(M1266,Inputs!$D$6)*Inputs!$D$19</f>
        <v>4100.9817587923617</v>
      </c>
    </row>
    <row r="1268" spans="2:13" ht="15" customHeight="1" x14ac:dyDescent="0.2">
      <c r="B1268" s="10" t="s">
        <v>907</v>
      </c>
      <c r="C1268" s="10" t="s">
        <v>110</v>
      </c>
      <c r="D1268" s="16">
        <f t="shared" ref="D1268:M1268" si="278">D1261*$D$1274</f>
        <v>382.41565071440834</v>
      </c>
      <c r="E1268" s="16">
        <f t="shared" si="278"/>
        <v>509.88753428587779</v>
      </c>
      <c r="F1268" s="16">
        <f t="shared" si="278"/>
        <v>382.41565071440834</v>
      </c>
      <c r="G1268" s="16">
        <f t="shared" si="278"/>
        <v>0</v>
      </c>
      <c r="H1268" s="16">
        <f t="shared" si="278"/>
        <v>0</v>
      </c>
      <c r="I1268" s="16">
        <f t="shared" si="278"/>
        <v>0</v>
      </c>
      <c r="J1268" s="16">
        <f t="shared" si="278"/>
        <v>0</v>
      </c>
      <c r="K1268" s="16">
        <f t="shared" si="278"/>
        <v>0</v>
      </c>
      <c r="L1268" s="16">
        <f t="shared" si="278"/>
        <v>0</v>
      </c>
      <c r="M1268" s="16">
        <f t="shared" si="278"/>
        <v>0</v>
      </c>
    </row>
    <row r="1269" spans="2:13" ht="15" customHeight="1" x14ac:dyDescent="0.2">
      <c r="B1269" s="10" t="s">
        <v>908</v>
      </c>
      <c r="C1269" s="10" t="s">
        <v>110</v>
      </c>
      <c r="D1269" s="16">
        <f t="shared" ref="D1269:M1269" si="279">D1265-D1267-D1259-D1260-D1268</f>
        <v>-12807.264030313409</v>
      </c>
      <c r="E1269" s="16">
        <f t="shared" si="279"/>
        <v>-9308.9153042879298</v>
      </c>
      <c r="F1269" s="16">
        <f t="shared" si="279"/>
        <v>3565.7105407133972</v>
      </c>
      <c r="G1269" s="16">
        <f t="shared" si="279"/>
        <v>20111.160429312989</v>
      </c>
      <c r="H1269" s="16">
        <f t="shared" si="279"/>
        <v>7867.3770560718804</v>
      </c>
      <c r="I1269" s="16">
        <f t="shared" si="279"/>
        <v>2906.7809821357841</v>
      </c>
      <c r="J1269" s="16">
        <f t="shared" si="279"/>
        <v>7867.3770560718804</v>
      </c>
      <c r="K1269" s="16">
        <f t="shared" si="279"/>
        <v>20111.160429312989</v>
      </c>
      <c r="L1269" s="16">
        <f t="shared" si="279"/>
        <v>7867.3770560718804</v>
      </c>
      <c r="M1269" s="16">
        <f t="shared" si="279"/>
        <v>2906.7809821357841</v>
      </c>
    </row>
    <row r="1270" spans="2:13" ht="15" customHeight="1" x14ac:dyDescent="0.2">
      <c r="B1270" s="10" t="s">
        <v>909</v>
      </c>
      <c r="C1270" s="10" t="s">
        <v>110</v>
      </c>
      <c r="D1270" s="16">
        <f>D1269/(Inputs!$D$7+$D$1276)^D1250</f>
        <v>-11662.545415790843</v>
      </c>
      <c r="E1270" s="16">
        <f>E1269/(Inputs!$D$7+$D$1276)^E1250</f>
        <v>-7433.8597789130527</v>
      </c>
      <c r="F1270" s="16">
        <f>F1269/(Inputs!$D$7+$D$1276)^F1250</f>
        <v>2498.0174554511955</v>
      </c>
      <c r="G1270" s="16">
        <f>G1269/(Inputs!$D$7+$D$1276)^G1250</f>
        <v>12360.060947554692</v>
      </c>
      <c r="H1270" s="16">
        <f>H1269/(Inputs!$D$7+$D$1276)^H1250</f>
        <v>4241.7741842845471</v>
      </c>
      <c r="I1270" s="16">
        <f>I1269/(Inputs!$D$7+$D$1276)^I1250</f>
        <v>1374.3843168879891</v>
      </c>
      <c r="J1270" s="16">
        <f>J1269/(Inputs!$D$7+$D$1276)^J1250</f>
        <v>3263.3221101271274</v>
      </c>
      <c r="K1270" s="16">
        <f>K1269/(Inputs!$D$7+$D$1276)^K1250</f>
        <v>7318.1483141406297</v>
      </c>
      <c r="L1270" s="16">
        <f>L1269/(Inputs!$D$7+$D$1276)^L1250</f>
        <v>2511.4708355729044</v>
      </c>
      <c r="M1270" s="16">
        <f>M1269/(Inputs!$D$7+$D$1276)^M1250</f>
        <v>813.74584755627905</v>
      </c>
    </row>
    <row r="1271" spans="2:13" ht="15" customHeight="1" x14ac:dyDescent="0.2">
      <c r="B1271" s="3" t="s">
        <v>910</v>
      </c>
      <c r="C1271" s="10" t="s">
        <v>896</v>
      </c>
      <c r="D1271" s="28">
        <f>(D1257*$D$1275-D1261)/(Inputs!$D$7+$D$1276)^D1250</f>
        <v>51.273468650578494</v>
      </c>
      <c r="E1271" s="28">
        <f>(E1257*$D$1275-E1261)/(Inputs!$D$7+$D$1276)^E1250</f>
        <v>184.15121515046144</v>
      </c>
      <c r="F1271" s="28">
        <f>(F1257*$D$1275-F1261)/(Inputs!$D$7+$D$1276)^F1250</f>
        <v>269.11387487482324</v>
      </c>
      <c r="G1271" s="28">
        <f>(G1257*$D$1275-G1261)/(Inputs!$D$7+$D$1276)^G1250</f>
        <v>279.94445081374585</v>
      </c>
      <c r="H1271" s="28">
        <f>(H1257*$D$1275-H1261)/(Inputs!$D$7+$D$1276)^H1250</f>
        <v>245.58733198765836</v>
      </c>
      <c r="I1271" s="28">
        <f>(I1257*$D$1275-I1261)/(Inputs!$D$7+$D$1276)^I1250</f>
        <v>215.36953082804891</v>
      </c>
      <c r="J1271" s="28">
        <f>(J1257*$D$1275-J1261)/(Inputs!$D$7+$D$1276)^J1250</f>
        <v>188.93758498783279</v>
      </c>
      <c r="K1271" s="28">
        <f>(K1257*$D$1275-K1261)/(Inputs!$D$7+$D$1276)^K1250</f>
        <v>165.74958808604802</v>
      </c>
      <c r="L1271" s="28">
        <f>(L1257*$D$1275-L1261)/(Inputs!$D$7+$D$1276)^L1250</f>
        <v>145.4074156418576</v>
      </c>
      <c r="M1271" s="28">
        <f>(M1257*$D$1275-M1261)/(Inputs!$D$7+$D$1276)^M1250</f>
        <v>127.51605154975879</v>
      </c>
    </row>
    <row r="1272" spans="2:13" ht="15" customHeight="1" x14ac:dyDescent="0.2">
      <c r="B1272" s="10" t="s">
        <v>911</v>
      </c>
      <c r="C1272" s="10" t="s">
        <v>110</v>
      </c>
      <c r="D1272" s="16">
        <f>(-D1259-D1260)/(Inputs!$D$7+$D$1276)^D1250</f>
        <v>-14170.122737893587</v>
      </c>
      <c r="E1272" s="16">
        <f>(-E1259-E1260)/(Inputs!$D$7+$D$1276)^E1250</f>
        <v>-16568.784506031301</v>
      </c>
      <c r="F1272" s="16">
        <f>(-F1259-F1260)/(Inputs!$D$7+$D$1276)^F1250</f>
        <v>-10901.493767656277</v>
      </c>
      <c r="G1272" s="16">
        <f>(-G1259-G1260)/(Inputs!$D$7+$D$1276)^G1250</f>
        <v>-1621.2839046676961</v>
      </c>
      <c r="H1272" s="16">
        <f>(-H1259-H1260)/(Inputs!$D$7+$D$1276)^H1250</f>
        <v>-8023.6633690433682</v>
      </c>
      <c r="I1272" s="16">
        <f>(-I1259-I1260)/(Inputs!$D$7+$D$1276)^I1250</f>
        <v>-9381.8770500204446</v>
      </c>
      <c r="J1272" s="16">
        <f>(-J1259-J1260)/(Inputs!$D$7+$D$1276)^J1250</f>
        <v>-6172.8411129063252</v>
      </c>
      <c r="K1272" s="16">
        <f>(-K1259-K1260)/(Inputs!$D$7+$D$1276)^K1250</f>
        <v>-959.93022397147342</v>
      </c>
      <c r="L1272" s="16">
        <f>(-L1259-L1260)/(Inputs!$D$7+$D$1276)^L1250</f>
        <v>-4750.6528330682277</v>
      </c>
      <c r="M1272" s="16">
        <f>(-M1259-M1260)/(Inputs!$D$7+$D$1276)^M1250</f>
        <v>-5554.82436602912</v>
      </c>
    </row>
    <row r="1273" spans="2:13" ht="15" customHeight="1" x14ac:dyDescent="0.2">
      <c r="B1273" s="10" t="s">
        <v>912</v>
      </c>
      <c r="C1273" s="10" t="s">
        <v>110</v>
      </c>
      <c r="D1273" s="16">
        <f>Prices!I7</f>
        <v>35754.545454545456</v>
      </c>
    </row>
    <row r="1274" spans="2:13" ht="15" customHeight="1" x14ac:dyDescent="0.2">
      <c r="B1274" s="3" t="s">
        <v>913</v>
      </c>
      <c r="C1274" s="10" t="s">
        <v>914</v>
      </c>
      <c r="D1274" s="28">
        <f>IF(J1281&gt;=J1277,J1281,(D1273-J1280)/J1279)</f>
        <v>58.946535755592805</v>
      </c>
      <c r="G1274" s="99" t="s">
        <v>915</v>
      </c>
      <c r="H1274" s="91"/>
      <c r="I1274" s="91"/>
      <c r="J1274" s="28">
        <f>D1274*Inputs!$D$15</f>
        <v>41.138787303828217</v>
      </c>
      <c r="K1274" s="99" t="s">
        <v>916</v>
      </c>
      <c r="L1274" s="91"/>
      <c r="M1274" s="91"/>
    </row>
    <row r="1275" spans="2:13" ht="15" customHeight="1" x14ac:dyDescent="0.2">
      <c r="B1275" s="10" t="s">
        <v>917</v>
      </c>
      <c r="C1275" s="10" t="s">
        <v>104</v>
      </c>
      <c r="D1275" s="30">
        <f>Inputs!$D$140</f>
        <v>0.5</v>
      </c>
      <c r="G1275" s="99" t="s">
        <v>918</v>
      </c>
      <c r="H1275" s="91"/>
      <c r="I1275" s="91"/>
      <c r="J1275" s="28">
        <f>IF(-D1286/D1285&gt;=J1277,-D1286/D1285,-J1280/J1279)</f>
        <v>41.921619883591745</v>
      </c>
      <c r="K1275" s="99" t="s">
        <v>919</v>
      </c>
      <c r="L1275" s="91"/>
      <c r="M1275" s="91"/>
    </row>
    <row r="1276" spans="2:13" ht="15" customHeight="1" x14ac:dyDescent="0.2">
      <c r="B1276" s="10" t="s">
        <v>920</v>
      </c>
      <c r="C1276" s="10" t="s">
        <v>104</v>
      </c>
      <c r="D1276" s="30">
        <f>Inputs!$D$149</f>
        <v>0.14000000000000001</v>
      </c>
      <c r="G1276" s="99" t="s">
        <v>918</v>
      </c>
      <c r="H1276" s="91"/>
      <c r="I1276" s="91"/>
      <c r="J1276" s="28">
        <f>J1275*Inputs!$D$15</f>
        <v>29.257098516758678</v>
      </c>
      <c r="K1276" s="99" t="s">
        <v>916</v>
      </c>
      <c r="L1276" s="91"/>
      <c r="M1276" s="91"/>
    </row>
    <row r="1277" spans="2:13" ht="15" customHeight="1" x14ac:dyDescent="0.2">
      <c r="B1277" s="3" t="s">
        <v>921</v>
      </c>
      <c r="C1277" s="10" t="s">
        <v>848</v>
      </c>
      <c r="D1277" s="28">
        <f>Capital!$D$13</f>
        <v>57.347931490590682</v>
      </c>
      <c r="G1277" s="99" t="s">
        <v>922</v>
      </c>
      <c r="H1277" s="91"/>
      <c r="I1277" s="91"/>
      <c r="J1277" s="28">
        <f>($D$1277/Inputs!$D$21+$D$1278/Inputs!$D$22)/$D$1275</f>
        <v>28.93569229571456</v>
      </c>
      <c r="K1277" s="99" t="s">
        <v>919</v>
      </c>
      <c r="L1277" s="91"/>
      <c r="M1277" s="91"/>
    </row>
    <row r="1278" spans="2:13" ht="15" customHeight="1" x14ac:dyDescent="0.2">
      <c r="B1278" s="3" t="s">
        <v>923</v>
      </c>
      <c r="C1278" s="10" t="s">
        <v>848</v>
      </c>
      <c r="D1278" s="28">
        <f>Capital!$D$14</f>
        <v>2.6172655041921802</v>
      </c>
    </row>
    <row r="1279" spans="2:13" ht="15" customHeight="1" x14ac:dyDescent="0.2">
      <c r="B1279" s="10" t="s">
        <v>924</v>
      </c>
      <c r="C1279" s="10" t="s">
        <v>896</v>
      </c>
      <c r="D1279" s="28">
        <f>(M1252*(Inputs!$D$7+Inputs!$D$20)*$D$1275*(Inputs!$D$7-Inputs!$D$19)-M1252*Inputs!$D$20*Inputs!$D$23)/($D$1276-Inputs!$D$20)/(Inputs!$D$7+$D$1276)^M1250</f>
        <v>794.20323410882349</v>
      </c>
      <c r="G1279" s="92" t="s">
        <v>910</v>
      </c>
      <c r="H1279" s="91"/>
      <c r="I1279" s="91"/>
      <c r="J1279" s="28">
        <f>SUM(D1271:M1271)+(M1252*(Inputs!$D$7+Inputs!$D$20)*$D$1275-M1252*Inputs!$D$20*Inputs!$D$23)/($D$1276-Inputs!$D$20)/(Inputs!$D$7+$D$1276)^M1250</f>
        <v>3008.2205801713835</v>
      </c>
      <c r="K1279" s="99" t="s">
        <v>896</v>
      </c>
      <c r="L1279" s="91"/>
      <c r="M1279" s="91"/>
    </row>
    <row r="1280" spans="2:13" ht="15" customHeight="1" x14ac:dyDescent="0.2">
      <c r="B1280" s="10" t="s">
        <v>925</v>
      </c>
      <c r="C1280" s="10" t="s">
        <v>110</v>
      </c>
      <c r="D1280" s="16">
        <f>(D1283*Inputs!$D$19-D1283-D1284)/($D$1276-Inputs!$D$20)/(Inputs!$D$7+$D$1276)^M1250</f>
        <v>-26345.502698929216</v>
      </c>
      <c r="G1280" s="92" t="s">
        <v>926</v>
      </c>
      <c r="H1280" s="91"/>
      <c r="I1280" s="91"/>
      <c r="J1280" s="16">
        <f>SUM(D1272:M1272)-(D1283+D1284)/($D$1276-Inputs!$D$20)/(Inputs!$D$7+$D$1276)^M1250</f>
        <v>-114317.08794717836</v>
      </c>
      <c r="K1280" s="99" t="s">
        <v>110</v>
      </c>
      <c r="L1280" s="91"/>
      <c r="M1280" s="91"/>
    </row>
    <row r="1281" spans="1:13" ht="15" customHeight="1" x14ac:dyDescent="0.2">
      <c r="B1281" s="10" t="s">
        <v>927</v>
      </c>
      <c r="C1281" s="10" t="s">
        <v>928</v>
      </c>
      <c r="D1281" s="16">
        <f>(M1252*(Inputs!$D$7+Inputs!$D$20)*$D$1274*$D$1275-D1283)-MAX((M1252*(Inputs!$D$7+Inputs!$D$20)*$D$1274*$D$1275-D1283),Inputs!$D$6)*Inputs!$D$19-D1284-M1252*Inputs!$D$20*$D$1274*Inputs!$D$23</f>
        <v>8408.9113277597116</v>
      </c>
      <c r="G1281" s="99" t="s">
        <v>929</v>
      </c>
      <c r="H1281" s="91"/>
      <c r="I1281" s="91"/>
      <c r="J1281" s="28">
        <f>(D1273-D1286)/D1285</f>
        <v>58.946535755592805</v>
      </c>
      <c r="K1281" s="99" t="s">
        <v>919</v>
      </c>
      <c r="L1281" s="91"/>
      <c r="M1281" s="91"/>
    </row>
    <row r="1282" spans="1:13" ht="15" customHeight="1" x14ac:dyDescent="0.2">
      <c r="B1282" s="10" t="s">
        <v>930</v>
      </c>
      <c r="C1282" s="10" t="s">
        <v>110</v>
      </c>
      <c r="D1282" s="16">
        <f>D1281/($D$1276-Inputs!$D$20)</f>
        <v>73120.96806747574</v>
      </c>
      <c r="G1282" s="99" t="s">
        <v>931</v>
      </c>
      <c r="H1282" s="91"/>
      <c r="I1282" s="91"/>
      <c r="J1282" s="16">
        <f>MIN(D1266:M1266,(M1252*(Inputs!$D$7+Inputs!$D$20)*$D$1274*$D$1275-D1283))</f>
        <v>1884.489935163874</v>
      </c>
      <c r="K1282" s="99" t="s">
        <v>110</v>
      </c>
      <c r="L1282" s="91"/>
      <c r="M1282" s="91"/>
    </row>
    <row r="1283" spans="1:13" ht="15" customHeight="1" x14ac:dyDescent="0.2">
      <c r="B1283" s="10" t="s">
        <v>932</v>
      </c>
      <c r="C1283" s="10" t="s">
        <v>928</v>
      </c>
      <c r="D1283" s="16">
        <f>M1252*(Inputs!$D$7+Inputs!$D$20)*($D$1277/Inputs!$D$21+$D$1278/Inputs!$D$22)</f>
        <v>13509.71303671543</v>
      </c>
      <c r="G1283" s="99" t="s">
        <v>933</v>
      </c>
      <c r="H1283" s="91"/>
      <c r="I1283" s="91"/>
      <c r="J1283" s="31" t="str">
        <f>IF(J1282&lt;Inputs!$D$6,"breached","satisfied")</f>
        <v>satisfied</v>
      </c>
      <c r="K1283" s="99" t="s">
        <v>934</v>
      </c>
      <c r="L1283" s="91"/>
      <c r="M1283" s="91"/>
    </row>
    <row r="1284" spans="1:13" ht="15" customHeight="1" x14ac:dyDescent="0.2">
      <c r="B1284" s="10" t="s">
        <v>935</v>
      </c>
      <c r="C1284" s="10" t="s">
        <v>928</v>
      </c>
      <c r="D1284" s="16">
        <f>M1252*Inputs!$D$20*($D$1277+$D$1278)</f>
        <v>1365.7073615561799</v>
      </c>
    </row>
    <row r="1285" spans="1:13" ht="15" customHeight="1" x14ac:dyDescent="0.2">
      <c r="B1285" s="10" t="s">
        <v>936</v>
      </c>
      <c r="C1285" s="10" t="s">
        <v>896</v>
      </c>
      <c r="D1285" s="28">
        <f>SUM(D1262:M1262)+D1279</f>
        <v>2100.1305218398693</v>
      </c>
      <c r="G1285" s="99" t="s">
        <v>937</v>
      </c>
      <c r="H1285" s="91"/>
      <c r="I1285" s="91"/>
      <c r="J1285" s="16">
        <f>D1287-D1273</f>
        <v>0</v>
      </c>
      <c r="K1285" s="99" t="s">
        <v>110</v>
      </c>
      <c r="L1285" s="91"/>
      <c r="M1285" s="91"/>
    </row>
    <row r="1286" spans="1:13" ht="15" customHeight="1" x14ac:dyDescent="0.2">
      <c r="B1286" s="10" t="s">
        <v>938</v>
      </c>
      <c r="C1286" s="10" t="s">
        <v>110</v>
      </c>
      <c r="D1286" s="16">
        <f>SUM(D1263:M1263)+D1280</f>
        <v>-88040.873442500175</v>
      </c>
    </row>
    <row r="1287" spans="1:13" ht="15" customHeight="1" x14ac:dyDescent="0.2">
      <c r="B1287" s="10" t="s">
        <v>939</v>
      </c>
      <c r="C1287" s="10" t="s">
        <v>110</v>
      </c>
      <c r="D1287" s="16">
        <f>SUM(D1270:M1270)+D1282/(Inputs!$D$7+$D$1276)^M1250</f>
        <v>35754.545454545456</v>
      </c>
    </row>
    <row r="1288" spans="1:13" ht="15" customHeight="1" x14ac:dyDescent="0.2">
      <c r="B1288" s="10" t="s">
        <v>940</v>
      </c>
      <c r="C1288" s="10" t="s">
        <v>104</v>
      </c>
      <c r="D1288" s="30">
        <f>IF(ABS(D1273)&gt;Inputs!$D$6,D1287/D1273-Inputs!$D$7,Inputs!$D$6)</f>
        <v>0</v>
      </c>
    </row>
    <row r="1289" spans="1:13" ht="15" customHeight="1" x14ac:dyDescent="0.2">
      <c r="B1289" s="10" t="s">
        <v>941</v>
      </c>
      <c r="C1289" s="10" t="s">
        <v>104</v>
      </c>
      <c r="D1289" s="30">
        <f>IF(ABS(D1287)&gt;Inputs!$D$119,D1282/(Inputs!$D$7+$D$1276)^M1250/D1287,Inputs!$D$6)</f>
        <v>0.57251536489807753</v>
      </c>
    </row>
    <row r="1290" spans="1:13" ht="15" customHeight="1" x14ac:dyDescent="0.2">
      <c r="B1290" s="10" t="s">
        <v>942</v>
      </c>
      <c r="C1290" s="10" t="s">
        <v>943</v>
      </c>
      <c r="D1290" s="26">
        <f>$D$1274*Inputs!$D$8/Prices!$P$6/(Inputs!$D$26/Inputs!$D$25)/Inputs!$D$11/Inputs!$D$56</f>
        <v>10.719606578573464</v>
      </c>
    </row>
    <row r="1294" spans="1:13" ht="15" customHeight="1" x14ac:dyDescent="0.2">
      <c r="A1294" s="104" t="s">
        <v>2193</v>
      </c>
      <c r="B1294" s="10" t="s">
        <v>886</v>
      </c>
      <c r="C1294" s="10" t="s">
        <v>107</v>
      </c>
      <c r="D1294" s="28">
        <f>Inputs!$D$60</f>
        <v>1</v>
      </c>
      <c r="E1294" s="28">
        <f>Inputs!$D$62</f>
        <v>2</v>
      </c>
      <c r="F1294" s="28">
        <f>Inputs!$D$64</f>
        <v>3</v>
      </c>
      <c r="G1294" s="28">
        <f>Inputs!$D$66</f>
        <v>4</v>
      </c>
      <c r="H1294" s="28">
        <f>Inputs!$D$68</f>
        <v>5</v>
      </c>
      <c r="I1294" s="28">
        <f>Inputs!$D$70</f>
        <v>6</v>
      </c>
      <c r="J1294" s="28">
        <f>Inputs!$D$72</f>
        <v>7</v>
      </c>
      <c r="K1294" s="28">
        <f>Inputs!$D$74</f>
        <v>8</v>
      </c>
      <c r="L1294" s="28">
        <f>Inputs!$D$76</f>
        <v>9</v>
      </c>
      <c r="M1294" s="28">
        <f>Inputs!$D$78</f>
        <v>10</v>
      </c>
    </row>
    <row r="1295" spans="1:13" ht="15" customHeight="1" x14ac:dyDescent="0.2">
      <c r="A1295" s="91"/>
      <c r="B1295" s="10" t="s">
        <v>887</v>
      </c>
      <c r="C1295" s="10" t="s">
        <v>161</v>
      </c>
      <c r="D1295" s="29">
        <f>Inputs!$D$61</f>
        <v>46568</v>
      </c>
      <c r="E1295" s="29">
        <f>Inputs!$D$63</f>
        <v>46934</v>
      </c>
      <c r="F1295" s="29">
        <f>Inputs!$D$65</f>
        <v>47299</v>
      </c>
      <c r="G1295" s="29">
        <f>Inputs!$D$67</f>
        <v>47664</v>
      </c>
      <c r="H1295" s="29">
        <f>Inputs!$D$69</f>
        <v>48029</v>
      </c>
      <c r="I1295" s="29">
        <f>Inputs!$D$71</f>
        <v>48395</v>
      </c>
      <c r="J1295" s="29">
        <f>Inputs!$D$73</f>
        <v>48760</v>
      </c>
      <c r="K1295" s="29">
        <f>Inputs!$D$75</f>
        <v>49125</v>
      </c>
      <c r="L1295" s="29">
        <f>Inputs!$D$77</f>
        <v>49490</v>
      </c>
      <c r="M1295" s="29">
        <f>Inputs!$D$79</f>
        <v>49856</v>
      </c>
    </row>
    <row r="1296" spans="1:13" ht="15" customHeight="1" x14ac:dyDescent="0.2">
      <c r="A1296" s="91"/>
      <c r="B1296" s="10" t="s">
        <v>888</v>
      </c>
      <c r="C1296" s="10" t="s">
        <v>107</v>
      </c>
      <c r="D1296" s="28">
        <f>(D1295-Inputs!$D$13)/Inputs!$D$10</f>
        <v>0.71457905544147848</v>
      </c>
      <c r="E1296" s="28">
        <f>(E1295-Inputs!$D$13)/Inputs!$D$10</f>
        <v>1.7166324435318274</v>
      </c>
      <c r="F1296" s="28">
        <f>(F1295-Inputs!$D$13)/Inputs!$D$10</f>
        <v>2.7159479808350446</v>
      </c>
      <c r="G1296" s="28">
        <f>(G1295-Inputs!$D$13)/Inputs!$D$10</f>
        <v>3.7152635181382614</v>
      </c>
      <c r="H1296" s="28">
        <f>(H1295-Inputs!$D$13)/Inputs!$D$10</f>
        <v>4.7145790554414786</v>
      </c>
      <c r="I1296" s="28">
        <f>(I1295-Inputs!$D$13)/Inputs!$D$10</f>
        <v>5.7166324435318279</v>
      </c>
      <c r="J1296" s="28">
        <f>(J1295-Inputs!$D$13)/Inputs!$D$10</f>
        <v>6.7159479808350442</v>
      </c>
      <c r="K1296" s="28">
        <f>(K1295-Inputs!$D$13)/Inputs!$D$10</f>
        <v>7.7152635181382614</v>
      </c>
      <c r="L1296" s="28">
        <f>(L1295-Inputs!$D$13)/Inputs!$D$10</f>
        <v>8.7145790554414777</v>
      </c>
      <c r="M1296" s="28">
        <f>(M1295-Inputs!$D$13)/Inputs!$D$10</f>
        <v>9.716632443531827</v>
      </c>
    </row>
    <row r="1297" spans="1:13" ht="15" customHeight="1" x14ac:dyDescent="0.2">
      <c r="A1297" s="91"/>
      <c r="B1297" s="10" t="s">
        <v>889</v>
      </c>
      <c r="C1297" s="10" t="s">
        <v>107</v>
      </c>
      <c r="D1297" s="28">
        <f>D1296</f>
        <v>0.71457905544147848</v>
      </c>
      <c r="E1297" s="28">
        <f>Inputs!$D$7</f>
        <v>1</v>
      </c>
      <c r="F1297" s="28">
        <f>Inputs!$D$7</f>
        <v>1</v>
      </c>
      <c r="G1297" s="28">
        <f>Inputs!$D$7</f>
        <v>1</v>
      </c>
      <c r="H1297" s="28">
        <f>Inputs!$D$7</f>
        <v>1</v>
      </c>
      <c r="I1297" s="28">
        <f>Inputs!$D$7</f>
        <v>1</v>
      </c>
      <c r="J1297" s="28">
        <f>Inputs!$D$7</f>
        <v>1</v>
      </c>
      <c r="K1297" s="28">
        <f>Inputs!$D$7</f>
        <v>1</v>
      </c>
      <c r="L1297" s="28">
        <f>Inputs!$D$7</f>
        <v>1</v>
      </c>
      <c r="M1297" s="28">
        <f>Inputs!$D$7</f>
        <v>1</v>
      </c>
    </row>
    <row r="1298" spans="1:13" ht="15" customHeight="1" x14ac:dyDescent="0.2">
      <c r="A1298" s="91"/>
      <c r="B1298" s="3" t="s">
        <v>890</v>
      </c>
      <c r="C1298" s="10" t="s">
        <v>199</v>
      </c>
      <c r="D1298" s="28">
        <f>Inputs!$D$24+(Inputs!$D$80-Inputs!$D$24)*Inputs!$D$83</f>
        <v>305.5</v>
      </c>
      <c r="E1298" s="28">
        <f>Inputs!$D$24+(Inputs!$D$80-Inputs!$D$24)*Inputs!$D$84</f>
        <v>651.5</v>
      </c>
      <c r="F1298" s="28">
        <f>Inputs!$D$24+(Inputs!$D$80-Inputs!$D$24)*Inputs!$D$85</f>
        <v>911</v>
      </c>
      <c r="G1298" s="28">
        <f>Inputs!$D$24+(Inputs!$D$80-Inputs!$D$24)*Inputs!$D$86</f>
        <v>911</v>
      </c>
      <c r="H1298" s="28">
        <f>Inputs!$D$24+(Inputs!$D$80-Inputs!$D$24)*Inputs!$D$87</f>
        <v>911</v>
      </c>
      <c r="I1298" s="28">
        <f>Inputs!$D$24+(Inputs!$D$80-Inputs!$D$24)*Inputs!$D$88</f>
        <v>911</v>
      </c>
      <c r="J1298" s="28">
        <f>Inputs!$D$24+(Inputs!$D$80-Inputs!$D$24)*Inputs!$D$89</f>
        <v>911</v>
      </c>
      <c r="K1298" s="28">
        <f>Inputs!$D$24+(Inputs!$D$80-Inputs!$D$24)*Inputs!$D$90</f>
        <v>911</v>
      </c>
      <c r="L1298" s="28">
        <f>Inputs!$D$24+(Inputs!$D$80-Inputs!$D$24)*Inputs!$D$91</f>
        <v>911</v>
      </c>
      <c r="M1298" s="28">
        <f>Inputs!$D$24+(Inputs!$D$80-Inputs!$D$24)*Inputs!$D$92</f>
        <v>911</v>
      </c>
    </row>
    <row r="1299" spans="1:13" ht="15" customHeight="1" x14ac:dyDescent="0.2">
      <c r="A1299" s="91"/>
      <c r="B1299" s="10" t="s">
        <v>891</v>
      </c>
      <c r="C1299" s="10" t="s">
        <v>199</v>
      </c>
      <c r="D1299" s="28">
        <f>Inputs!$D$24</f>
        <v>46</v>
      </c>
      <c r="E1299" s="28">
        <f t="shared" ref="E1299:M1299" si="280">D1298</f>
        <v>305.5</v>
      </c>
      <c r="F1299" s="28">
        <f t="shared" si="280"/>
        <v>651.5</v>
      </c>
      <c r="G1299" s="28">
        <f t="shared" si="280"/>
        <v>911</v>
      </c>
      <c r="H1299" s="28">
        <f t="shared" si="280"/>
        <v>911</v>
      </c>
      <c r="I1299" s="28">
        <f t="shared" si="280"/>
        <v>911</v>
      </c>
      <c r="J1299" s="28">
        <f t="shared" si="280"/>
        <v>911</v>
      </c>
      <c r="K1299" s="28">
        <f t="shared" si="280"/>
        <v>911</v>
      </c>
      <c r="L1299" s="28">
        <f t="shared" si="280"/>
        <v>911</v>
      </c>
      <c r="M1299" s="28">
        <f t="shared" si="280"/>
        <v>911</v>
      </c>
    </row>
    <row r="1300" spans="1:13" ht="15" customHeight="1" x14ac:dyDescent="0.2">
      <c r="B1300" s="10" t="s">
        <v>892</v>
      </c>
      <c r="C1300" s="10" t="s">
        <v>199</v>
      </c>
      <c r="D1300" s="28">
        <f>(D1299+D1298)*Inputs!$D$12</f>
        <v>175.75</v>
      </c>
      <c r="E1300" s="28">
        <f>(E1299+E1298)*Inputs!$D$12</f>
        <v>478.5</v>
      </c>
      <c r="F1300" s="28">
        <f>(F1299+F1298)*Inputs!$D$12</f>
        <v>781.25</v>
      </c>
      <c r="G1300" s="28">
        <f>(G1299+G1298)*Inputs!$D$12</f>
        <v>911</v>
      </c>
      <c r="H1300" s="28">
        <f>(H1299+H1298)*Inputs!$D$12</f>
        <v>911</v>
      </c>
      <c r="I1300" s="28">
        <f>(I1299+I1298)*Inputs!$D$12</f>
        <v>911</v>
      </c>
      <c r="J1300" s="28">
        <f>(J1299+J1298)*Inputs!$D$12</f>
        <v>911</v>
      </c>
      <c r="K1300" s="28">
        <f>(K1299+K1298)*Inputs!$D$12</f>
        <v>911</v>
      </c>
      <c r="L1300" s="28">
        <f>(L1299+L1298)*Inputs!$D$12</f>
        <v>911</v>
      </c>
      <c r="M1300" s="28">
        <f>(M1299+M1298)*Inputs!$D$12</f>
        <v>911</v>
      </c>
    </row>
    <row r="1301" spans="1:13" ht="15" customHeight="1" x14ac:dyDescent="0.2">
      <c r="B1301" s="10" t="s">
        <v>893</v>
      </c>
      <c r="C1301" s="10" t="s">
        <v>199</v>
      </c>
      <c r="D1301" s="28">
        <f t="shared" ref="D1301:M1301" si="281">D1298-D1299</f>
        <v>259.5</v>
      </c>
      <c r="E1301" s="28">
        <f t="shared" si="281"/>
        <v>346</v>
      </c>
      <c r="F1301" s="28">
        <f t="shared" si="281"/>
        <v>259.5</v>
      </c>
      <c r="G1301" s="28">
        <f t="shared" si="281"/>
        <v>0</v>
      </c>
      <c r="H1301" s="28">
        <f t="shared" si="281"/>
        <v>0</v>
      </c>
      <c r="I1301" s="28">
        <f t="shared" si="281"/>
        <v>0</v>
      </c>
      <c r="J1301" s="28">
        <f t="shared" si="281"/>
        <v>0</v>
      </c>
      <c r="K1301" s="28">
        <f t="shared" si="281"/>
        <v>0</v>
      </c>
      <c r="L1301" s="28">
        <f t="shared" si="281"/>
        <v>0</v>
      </c>
      <c r="M1301" s="28">
        <f t="shared" si="281"/>
        <v>0</v>
      </c>
    </row>
    <row r="1302" spans="1:13" ht="15" customHeight="1" x14ac:dyDescent="0.2">
      <c r="B1302" s="10" t="s">
        <v>894</v>
      </c>
      <c r="C1302" s="10" t="s">
        <v>199</v>
      </c>
      <c r="D1302" s="28">
        <f>IF(MOD(D1294,Inputs!$D$21)=Inputs!$D$6,Inputs!$D$24,Inputs!$D$6)+SUMPRODUCT(--(D1294&gt;$D$1294:$M$1294),--(MOD(D1294-$D$1294:$M$1294,Inputs!$D$21)=Inputs!$D$6),$D$1301:$M$1301)</f>
        <v>0</v>
      </c>
      <c r="E1302" s="28">
        <f>IF(MOD(E1294,Inputs!$D$21)=Inputs!$D$6,Inputs!$D$24,Inputs!$D$6)+SUMPRODUCT(--(E1294&gt;$D$1294:$M$1294),--(MOD(E1294-$D$1294:$M$1294,Inputs!$D$21)=Inputs!$D$6),$D$1301:$M$1301)</f>
        <v>0</v>
      </c>
      <c r="F1302" s="28">
        <f>IF(MOD(F1294,Inputs!$D$21)=Inputs!$D$6,Inputs!$D$24,Inputs!$D$6)+SUMPRODUCT(--(F1294&gt;$D$1294:$M$1294),--(MOD(F1294-$D$1294:$M$1294,Inputs!$D$21)=Inputs!$D$6),$D$1301:$M$1301)</f>
        <v>0</v>
      </c>
      <c r="G1302" s="28">
        <f>IF(MOD(G1294,Inputs!$D$21)=Inputs!$D$6,Inputs!$D$24,Inputs!$D$6)+SUMPRODUCT(--(G1294&gt;$D$1294:$M$1294),--(MOD(G1294-$D$1294:$M$1294,Inputs!$D$21)=Inputs!$D$6),$D$1301:$M$1301)</f>
        <v>46</v>
      </c>
      <c r="H1302" s="28">
        <f>IF(MOD(H1294,Inputs!$D$21)=Inputs!$D$6,Inputs!$D$24,Inputs!$D$6)+SUMPRODUCT(--(H1294&gt;$D$1294:$M$1294),--(MOD(H1294-$D$1294:$M$1294,Inputs!$D$21)=Inputs!$D$6),$D$1301:$M$1301)</f>
        <v>259.5</v>
      </c>
      <c r="I1302" s="28">
        <f>IF(MOD(I1294,Inputs!$D$21)=Inputs!$D$6,Inputs!$D$24,Inputs!$D$6)+SUMPRODUCT(--(I1294&gt;$D$1294:$M$1294),--(MOD(I1294-$D$1294:$M$1294,Inputs!$D$21)=Inputs!$D$6),$D$1301:$M$1301)</f>
        <v>346</v>
      </c>
      <c r="J1302" s="28">
        <f>IF(MOD(J1294,Inputs!$D$21)=Inputs!$D$6,Inputs!$D$24,Inputs!$D$6)+SUMPRODUCT(--(J1294&gt;$D$1294:$M$1294),--(MOD(J1294-$D$1294:$M$1294,Inputs!$D$21)=Inputs!$D$6),$D$1301:$M$1301)</f>
        <v>259.5</v>
      </c>
      <c r="K1302" s="28">
        <f>IF(MOD(K1294,Inputs!$D$21)=Inputs!$D$6,Inputs!$D$24,Inputs!$D$6)+SUMPRODUCT(--(K1294&gt;$D$1294:$M$1294),--(MOD(K1294-$D$1294:$M$1294,Inputs!$D$21)=Inputs!$D$6),$D$1301:$M$1301)</f>
        <v>46</v>
      </c>
      <c r="L1302" s="28">
        <f>IF(MOD(L1294,Inputs!$D$21)=Inputs!$D$6,Inputs!$D$24,Inputs!$D$6)+SUMPRODUCT(--(L1294&gt;$D$1294:$M$1294),--(MOD(L1294-$D$1294:$M$1294,Inputs!$D$21)=Inputs!$D$6),$D$1301:$M$1301)</f>
        <v>259.5</v>
      </c>
      <c r="M1302" s="28">
        <f>IF(MOD(M1294,Inputs!$D$21)=Inputs!$D$6,Inputs!$D$24,Inputs!$D$6)+SUMPRODUCT(--(M1294&gt;$D$1294:$M$1294),--(MOD(M1294-$D$1294:$M$1294,Inputs!$D$21)=Inputs!$D$6),$D$1301:$M$1301)</f>
        <v>346</v>
      </c>
    </row>
    <row r="1303" spans="1:13" ht="15" customHeight="1" x14ac:dyDescent="0.2">
      <c r="B1303" s="10" t="s">
        <v>895</v>
      </c>
      <c r="C1303" s="10" t="s">
        <v>896</v>
      </c>
      <c r="D1303" s="28">
        <f t="shared" ref="D1303:M1303" si="282">D1300*D1297</f>
        <v>125.58726899383984</v>
      </c>
      <c r="E1303" s="28">
        <f t="shared" si="282"/>
        <v>478.5</v>
      </c>
      <c r="F1303" s="28">
        <f t="shared" si="282"/>
        <v>781.25</v>
      </c>
      <c r="G1303" s="28">
        <f t="shared" si="282"/>
        <v>911</v>
      </c>
      <c r="H1303" s="28">
        <f t="shared" si="282"/>
        <v>911</v>
      </c>
      <c r="I1303" s="28">
        <f t="shared" si="282"/>
        <v>911</v>
      </c>
      <c r="J1303" s="28">
        <f t="shared" si="282"/>
        <v>911</v>
      </c>
      <c r="K1303" s="28">
        <f t="shared" si="282"/>
        <v>911</v>
      </c>
      <c r="L1303" s="28">
        <f t="shared" si="282"/>
        <v>911</v>
      </c>
      <c r="M1303" s="28">
        <f t="shared" si="282"/>
        <v>911</v>
      </c>
    </row>
    <row r="1304" spans="1:13" ht="15" customHeight="1" x14ac:dyDescent="0.2">
      <c r="B1304" s="10" t="s">
        <v>897</v>
      </c>
      <c r="C1304" s="10" t="s">
        <v>110</v>
      </c>
      <c r="D1304" s="16">
        <f>D1303*($D$1323/Inputs!$D$21+$D$1324/Inputs!$D$22)</f>
        <v>1816.9772859324419</v>
      </c>
      <c r="E1304" s="16">
        <f>E1303*($D$1323/Inputs!$D$21+$D$1324/Inputs!$D$22)</f>
        <v>6922.8643817497086</v>
      </c>
      <c r="F1304" s="16">
        <f>F1303*($D$1323/Inputs!$D$21+$D$1324/Inputs!$D$22)</f>
        <v>11303.0048030135</v>
      </c>
      <c r="G1304" s="16">
        <f>G1303*($D$1323/Inputs!$D$21+$D$1324/Inputs!$D$22)</f>
        <v>13180.207840697982</v>
      </c>
      <c r="H1304" s="16">
        <f>H1303*($D$1323/Inputs!$D$21+$D$1324/Inputs!$D$22)</f>
        <v>13180.207840697982</v>
      </c>
      <c r="I1304" s="16">
        <f>I1303*($D$1323/Inputs!$D$21+$D$1324/Inputs!$D$22)</f>
        <v>13180.207840697982</v>
      </c>
      <c r="J1304" s="16">
        <f>J1303*($D$1323/Inputs!$D$21+$D$1324/Inputs!$D$22)</f>
        <v>13180.207840697982</v>
      </c>
      <c r="K1304" s="16">
        <f>K1303*($D$1323/Inputs!$D$21+$D$1324/Inputs!$D$22)</f>
        <v>13180.207840697982</v>
      </c>
      <c r="L1304" s="16">
        <f>L1303*($D$1323/Inputs!$D$21+$D$1324/Inputs!$D$22)</f>
        <v>13180.207840697982</v>
      </c>
      <c r="M1304" s="16">
        <f>M1303*($D$1323/Inputs!$D$21+$D$1324/Inputs!$D$22)</f>
        <v>13180.207840697982</v>
      </c>
    </row>
    <row r="1305" spans="1:13" ht="15" customHeight="1" x14ac:dyDescent="0.2">
      <c r="B1305" s="10" t="s">
        <v>898</v>
      </c>
      <c r="C1305" s="10" t="s">
        <v>110</v>
      </c>
      <c r="D1305" s="16">
        <f t="shared" ref="D1305:M1305" si="283">D1301*($D$1323+$D$1324)</f>
        <v>15560.968620146154</v>
      </c>
      <c r="E1305" s="16">
        <f t="shared" si="283"/>
        <v>20747.95816019487</v>
      </c>
      <c r="F1305" s="16">
        <f t="shared" si="283"/>
        <v>15560.968620146154</v>
      </c>
      <c r="G1305" s="16">
        <f t="shared" si="283"/>
        <v>0</v>
      </c>
      <c r="H1305" s="16">
        <f t="shared" si="283"/>
        <v>0</v>
      </c>
      <c r="I1305" s="16">
        <f t="shared" si="283"/>
        <v>0</v>
      </c>
      <c r="J1305" s="16">
        <f t="shared" si="283"/>
        <v>0</v>
      </c>
      <c r="K1305" s="16">
        <f t="shared" si="283"/>
        <v>0</v>
      </c>
      <c r="L1305" s="16">
        <f t="shared" si="283"/>
        <v>0</v>
      </c>
      <c r="M1305" s="16">
        <f t="shared" si="283"/>
        <v>0</v>
      </c>
    </row>
    <row r="1306" spans="1:13" ht="15" customHeight="1" x14ac:dyDescent="0.2">
      <c r="B1306" s="10" t="s">
        <v>899</v>
      </c>
      <c r="C1306" s="10" t="s">
        <v>110</v>
      </c>
      <c r="D1306" s="16">
        <f t="shared" ref="D1306:M1306" si="284">D1302*$D$1323</f>
        <v>0</v>
      </c>
      <c r="E1306" s="16">
        <f t="shared" si="284"/>
        <v>0</v>
      </c>
      <c r="F1306" s="16">
        <f t="shared" si="284"/>
        <v>0</v>
      </c>
      <c r="G1306" s="16">
        <f t="shared" si="284"/>
        <v>2638.0048485671714</v>
      </c>
      <c r="H1306" s="16">
        <f t="shared" si="284"/>
        <v>14881.788221808281</v>
      </c>
      <c r="I1306" s="16">
        <f t="shared" si="284"/>
        <v>19842.384295744378</v>
      </c>
      <c r="J1306" s="16">
        <f t="shared" si="284"/>
        <v>14881.788221808281</v>
      </c>
      <c r="K1306" s="16">
        <f t="shared" si="284"/>
        <v>2638.0048485671714</v>
      </c>
      <c r="L1306" s="16">
        <f t="shared" si="284"/>
        <v>14881.788221808281</v>
      </c>
      <c r="M1306" s="16">
        <f t="shared" si="284"/>
        <v>19842.384295744378</v>
      </c>
    </row>
    <row r="1307" spans="1:13" ht="15" customHeight="1" x14ac:dyDescent="0.2">
      <c r="B1307" s="10" t="s">
        <v>900</v>
      </c>
      <c r="C1307" s="10" t="s">
        <v>199</v>
      </c>
      <c r="D1307" s="28">
        <f>D1301*Inputs!$D$23</f>
        <v>6.4875000000000007</v>
      </c>
      <c r="E1307" s="28">
        <f>E1301*Inputs!$D$23</f>
        <v>8.65</v>
      </c>
      <c r="F1307" s="28">
        <f>F1301*Inputs!$D$23</f>
        <v>6.4875000000000007</v>
      </c>
      <c r="G1307" s="28">
        <f>G1301*Inputs!$D$23</f>
        <v>0</v>
      </c>
      <c r="H1307" s="28">
        <f>H1301*Inputs!$D$23</f>
        <v>0</v>
      </c>
      <c r="I1307" s="28">
        <f>I1301*Inputs!$D$23</f>
        <v>0</v>
      </c>
      <c r="J1307" s="28">
        <f>J1301*Inputs!$D$23</f>
        <v>0</v>
      </c>
      <c r="K1307" s="28">
        <f>K1301*Inputs!$D$23</f>
        <v>0</v>
      </c>
      <c r="L1307" s="28">
        <f>L1301*Inputs!$D$23</f>
        <v>0</v>
      </c>
      <c r="M1307" s="28">
        <f>M1301*Inputs!$D$23</f>
        <v>0</v>
      </c>
    </row>
    <row r="1308" spans="1:13" ht="15" customHeight="1" x14ac:dyDescent="0.2">
      <c r="B1308" s="3" t="s">
        <v>901</v>
      </c>
      <c r="C1308" s="10" t="s">
        <v>896</v>
      </c>
      <c r="D1308" s="28">
        <f>(D1303*$D$1321*(Inputs!$D$7-Inputs!$D$19)-D1307)/(Inputs!$D$7+$D$1322)^D1296</f>
        <v>42.951761434492518</v>
      </c>
      <c r="E1308" s="28">
        <f>(E1303*$D$1321*(Inputs!$D$7-Inputs!$D$19)-E1307)/(Inputs!$D$7+$D$1322)^E1296</f>
        <v>165.58374817888472</v>
      </c>
      <c r="F1308" s="28">
        <f>(F1303*$D$1321*(Inputs!$D$7-Inputs!$D$19)-F1307)/(Inputs!$D$7+$D$1322)^F1296</f>
        <v>256.53212636655121</v>
      </c>
      <c r="G1308" s="28">
        <f>(G1303*$D$1321*(Inputs!$D$7-Inputs!$D$19)-G1307)/(Inputs!$D$7+$D$1322)^G1296</f>
        <v>282.67693208077219</v>
      </c>
      <c r="H1308" s="28">
        <f>(H1303*$D$1321*(Inputs!$D$7-Inputs!$D$19)-H1307)/(Inputs!$D$7+$D$1322)^H1296</f>
        <v>261.75168799529297</v>
      </c>
      <c r="I1308" s="28">
        <f>(I1303*$D$1321*(Inputs!$D$7-Inputs!$D$19)-I1307)/(Inputs!$D$7+$D$1322)^I1296</f>
        <v>242.32437630796554</v>
      </c>
      <c r="J1308" s="28">
        <f>(J1303*$D$1321*(Inputs!$D$7-Inputs!$D$19)-J1307)/(Inputs!$D$7+$D$1322)^J1296</f>
        <v>224.38624218156014</v>
      </c>
      <c r="K1308" s="28">
        <f>(K1303*$D$1321*(Inputs!$D$7-Inputs!$D$19)-K1307)/(Inputs!$D$7+$D$1322)^K1296</f>
        <v>207.77598377628297</v>
      </c>
      <c r="L1308" s="28">
        <f>(L1303*$D$1321*(Inputs!$D$7-Inputs!$D$19)-L1307)/(Inputs!$D$7+$D$1322)^L1296</f>
        <v>192.39530469640334</v>
      </c>
      <c r="M1308" s="28">
        <f>(M1303*$D$1321*(Inputs!$D$7-Inputs!$D$19)-M1307)/(Inputs!$D$7+$D$1322)^M1296</f>
        <v>178.11565064663625</v>
      </c>
    </row>
    <row r="1309" spans="1:13" ht="15" customHeight="1" x14ac:dyDescent="0.2">
      <c r="B1309" s="10" t="s">
        <v>902</v>
      </c>
      <c r="C1309" s="10" t="s">
        <v>110</v>
      </c>
      <c r="D1309" s="16">
        <f>(D1304*Inputs!$D$19-D1305-D1306)/(Inputs!$D$7+$D$1322)^D1296</f>
        <v>-14212.377724210151</v>
      </c>
      <c r="E1309" s="16">
        <f>(E1304*Inputs!$D$19-E1305-E1306)/(Inputs!$D$7+$D$1322)^E1296</f>
        <v>-16360.387094728963</v>
      </c>
      <c r="F1309" s="16">
        <f>(F1304*Inputs!$D$19-F1305-F1306)/(Inputs!$D$7+$D$1322)^F1296</f>
        <v>-9874.5154652847668</v>
      </c>
      <c r="G1309" s="16">
        <f>(G1304*Inputs!$D$19-G1305-G1306)/(Inputs!$D$7+$D$1322)^G1296</f>
        <v>988.77347238742834</v>
      </c>
      <c r="H1309" s="16">
        <f>(H1304*Inputs!$D$19-H1305-H1306)/(Inputs!$D$7+$D$1322)^H1296</f>
        <v>-7602.4024163036647</v>
      </c>
      <c r="I1309" s="16">
        <f>(I1304*Inputs!$D$19-I1305-I1306)/(Inputs!$D$7+$D$1322)^I1296</f>
        <v>-10233.087939303265</v>
      </c>
      <c r="J1309" s="16">
        <f>(J1304*Inputs!$D$19-J1305-J1306)/(Inputs!$D$7+$D$1322)^J1296</f>
        <v>-6517.1480757635773</v>
      </c>
      <c r="K1309" s="16">
        <f>(K1304*Inputs!$D$19-K1305-K1306)/(Inputs!$D$7+$D$1322)^K1296</f>
        <v>726.77801985796941</v>
      </c>
      <c r="L1309" s="16">
        <f>(L1304*Inputs!$D$19-L1305-L1306)/(Inputs!$D$7+$D$1322)^L1296</f>
        <v>-5587.9927289550824</v>
      </c>
      <c r="M1309" s="16">
        <f>(M1304*Inputs!$D$19-M1305-M1306)/(Inputs!$D$7+$D$1322)^M1296</f>
        <v>-7521.6251216792398</v>
      </c>
    </row>
    <row r="1310" spans="1:13" ht="15" customHeight="1" x14ac:dyDescent="0.2">
      <c r="B1310" s="10" t="s">
        <v>903</v>
      </c>
      <c r="C1310" s="10" t="s">
        <v>110</v>
      </c>
      <c r="D1310" s="16">
        <f t="shared" ref="D1310:M1310" si="285">D1303*$D$1320</f>
        <v>4797.5588313411417</v>
      </c>
      <c r="E1310" s="16">
        <f t="shared" si="285"/>
        <v>18279.17685597048</v>
      </c>
      <c r="F1310" s="16">
        <f t="shared" si="285"/>
        <v>29844.528565782526</v>
      </c>
      <c r="G1310" s="16">
        <f t="shared" si="285"/>
        <v>34801.107869987689</v>
      </c>
      <c r="H1310" s="16">
        <f t="shared" si="285"/>
        <v>34801.107869987689</v>
      </c>
      <c r="I1310" s="16">
        <f t="shared" si="285"/>
        <v>34801.107869987689</v>
      </c>
      <c r="J1310" s="16">
        <f t="shared" si="285"/>
        <v>34801.107869987689</v>
      </c>
      <c r="K1310" s="16">
        <f t="shared" si="285"/>
        <v>34801.107869987689</v>
      </c>
      <c r="L1310" s="16">
        <f t="shared" si="285"/>
        <v>34801.107869987689</v>
      </c>
      <c r="M1310" s="16">
        <f t="shared" si="285"/>
        <v>34801.107869987689</v>
      </c>
    </row>
    <row r="1311" spans="1:13" ht="15" customHeight="1" x14ac:dyDescent="0.2">
      <c r="B1311" s="10" t="s">
        <v>904</v>
      </c>
      <c r="C1311" s="10" t="s">
        <v>110</v>
      </c>
      <c r="D1311" s="16">
        <f t="shared" ref="D1311:M1311" si="286">D1310*$D$1321</f>
        <v>2830.5597104912736</v>
      </c>
      <c r="E1311" s="16">
        <f t="shared" si="286"/>
        <v>10784.714345022583</v>
      </c>
      <c r="F1311" s="16">
        <f t="shared" si="286"/>
        <v>17608.27185381169</v>
      </c>
      <c r="G1311" s="16">
        <f t="shared" si="286"/>
        <v>20532.653643292735</v>
      </c>
      <c r="H1311" s="16">
        <f t="shared" si="286"/>
        <v>20532.653643292735</v>
      </c>
      <c r="I1311" s="16">
        <f t="shared" si="286"/>
        <v>20532.653643292735</v>
      </c>
      <c r="J1311" s="16">
        <f t="shared" si="286"/>
        <v>20532.653643292735</v>
      </c>
      <c r="K1311" s="16">
        <f t="shared" si="286"/>
        <v>20532.653643292735</v>
      </c>
      <c r="L1311" s="16">
        <f t="shared" si="286"/>
        <v>20532.653643292735</v>
      </c>
      <c r="M1311" s="16">
        <f t="shared" si="286"/>
        <v>20532.653643292735</v>
      </c>
    </row>
    <row r="1312" spans="1:13" ht="15" customHeight="1" x14ac:dyDescent="0.2">
      <c r="B1312" s="10" t="s">
        <v>905</v>
      </c>
      <c r="C1312" s="10" t="s">
        <v>110</v>
      </c>
      <c r="D1312" s="16">
        <f t="shared" ref="D1312:M1312" si="287">D1311-D1304</f>
        <v>1013.5824245588317</v>
      </c>
      <c r="E1312" s="16">
        <f t="shared" si="287"/>
        <v>3861.8499632728744</v>
      </c>
      <c r="F1312" s="16">
        <f t="shared" si="287"/>
        <v>6305.2670507981893</v>
      </c>
      <c r="G1312" s="16">
        <f t="shared" si="287"/>
        <v>7352.4458025947533</v>
      </c>
      <c r="H1312" s="16">
        <f t="shared" si="287"/>
        <v>7352.4458025947533</v>
      </c>
      <c r="I1312" s="16">
        <f t="shared" si="287"/>
        <v>7352.4458025947533</v>
      </c>
      <c r="J1312" s="16">
        <f t="shared" si="287"/>
        <v>7352.4458025947533</v>
      </c>
      <c r="K1312" s="16">
        <f t="shared" si="287"/>
        <v>7352.4458025947533</v>
      </c>
      <c r="L1312" s="16">
        <f t="shared" si="287"/>
        <v>7352.4458025947533</v>
      </c>
      <c r="M1312" s="16">
        <f t="shared" si="287"/>
        <v>7352.4458025947533</v>
      </c>
    </row>
    <row r="1313" spans="2:13" ht="15" customHeight="1" x14ac:dyDescent="0.2">
      <c r="B1313" s="10" t="s">
        <v>906</v>
      </c>
      <c r="C1313" s="10" t="s">
        <v>110</v>
      </c>
      <c r="D1313" s="16">
        <f>MAX(D1312,Inputs!$D$6)*Inputs!$D$19</f>
        <v>304.07472736764947</v>
      </c>
      <c r="E1313" s="16">
        <f>MAX(E1312,Inputs!$D$6)*Inputs!$D$19</f>
        <v>1158.5549889818624</v>
      </c>
      <c r="F1313" s="16">
        <f>MAX(F1312,Inputs!$D$6)*Inputs!$D$19</f>
        <v>1891.5801152394567</v>
      </c>
      <c r="G1313" s="16">
        <f>MAX(G1312,Inputs!$D$6)*Inputs!$D$19</f>
        <v>2205.7337407784257</v>
      </c>
      <c r="H1313" s="16">
        <f>MAX(H1312,Inputs!$D$6)*Inputs!$D$19</f>
        <v>2205.7337407784257</v>
      </c>
      <c r="I1313" s="16">
        <f>MAX(I1312,Inputs!$D$6)*Inputs!$D$19</f>
        <v>2205.7337407784257</v>
      </c>
      <c r="J1313" s="16">
        <f>MAX(J1312,Inputs!$D$6)*Inputs!$D$19</f>
        <v>2205.7337407784257</v>
      </c>
      <c r="K1313" s="16">
        <f>MAX(K1312,Inputs!$D$6)*Inputs!$D$19</f>
        <v>2205.7337407784257</v>
      </c>
      <c r="L1313" s="16">
        <f>MAX(L1312,Inputs!$D$6)*Inputs!$D$19</f>
        <v>2205.7337407784257</v>
      </c>
      <c r="M1313" s="16">
        <f>MAX(M1312,Inputs!$D$6)*Inputs!$D$19</f>
        <v>2205.7337407784257</v>
      </c>
    </row>
    <row r="1314" spans="2:13" ht="15" customHeight="1" x14ac:dyDescent="0.2">
      <c r="B1314" s="10" t="s">
        <v>907</v>
      </c>
      <c r="C1314" s="10" t="s">
        <v>110</v>
      </c>
      <c r="D1314" s="16">
        <f t="shared" ref="D1314:M1314" si="288">D1307*$D$1320</f>
        <v>247.8289652102581</v>
      </c>
      <c r="E1314" s="16">
        <f t="shared" si="288"/>
        <v>330.43862028034414</v>
      </c>
      <c r="F1314" s="16">
        <f t="shared" si="288"/>
        <v>247.8289652102581</v>
      </c>
      <c r="G1314" s="16">
        <f t="shared" si="288"/>
        <v>0</v>
      </c>
      <c r="H1314" s="16">
        <f t="shared" si="288"/>
        <v>0</v>
      </c>
      <c r="I1314" s="16">
        <f t="shared" si="288"/>
        <v>0</v>
      </c>
      <c r="J1314" s="16">
        <f t="shared" si="288"/>
        <v>0</v>
      </c>
      <c r="K1314" s="16">
        <f t="shared" si="288"/>
        <v>0</v>
      </c>
      <c r="L1314" s="16">
        <f t="shared" si="288"/>
        <v>0</v>
      </c>
      <c r="M1314" s="16">
        <f t="shared" si="288"/>
        <v>0</v>
      </c>
    </row>
    <row r="1315" spans="2:13" ht="15" customHeight="1" x14ac:dyDescent="0.2">
      <c r="B1315" s="10" t="s">
        <v>908</v>
      </c>
      <c r="C1315" s="10" t="s">
        <v>110</v>
      </c>
      <c r="D1315" s="16">
        <f t="shared" ref="D1315:M1315" si="289">D1311-D1313-D1305-D1306-D1314</f>
        <v>-13282.312602232787</v>
      </c>
      <c r="E1315" s="16">
        <f t="shared" si="289"/>
        <v>-11452.237424434494</v>
      </c>
      <c r="F1315" s="16">
        <f t="shared" si="289"/>
        <v>-92.105846784178141</v>
      </c>
      <c r="G1315" s="16">
        <f t="shared" si="289"/>
        <v>15688.915053947137</v>
      </c>
      <c r="H1315" s="16">
        <f t="shared" si="289"/>
        <v>3445.1316807060284</v>
      </c>
      <c r="I1315" s="16">
        <f t="shared" si="289"/>
        <v>-1515.4643932300678</v>
      </c>
      <c r="J1315" s="16">
        <f t="shared" si="289"/>
        <v>3445.1316807060284</v>
      </c>
      <c r="K1315" s="16">
        <f t="shared" si="289"/>
        <v>15688.915053947137</v>
      </c>
      <c r="L1315" s="16">
        <f t="shared" si="289"/>
        <v>3445.1316807060284</v>
      </c>
      <c r="M1315" s="16">
        <f t="shared" si="289"/>
        <v>-1515.4643932300678</v>
      </c>
    </row>
    <row r="1316" spans="2:13" ht="15" customHeight="1" x14ac:dyDescent="0.2">
      <c r="B1316" s="10" t="s">
        <v>909</v>
      </c>
      <c r="C1316" s="10" t="s">
        <v>110</v>
      </c>
      <c r="D1316" s="16">
        <f>D1315/(Inputs!$D$7+$D$1322)^D1296</f>
        <v>-12571.577633224695</v>
      </c>
      <c r="E1316" s="16">
        <f>E1315/(Inputs!$D$7+$D$1322)^E1296</f>
        <v>-10034.922899459762</v>
      </c>
      <c r="F1316" s="16">
        <f>F1315/(Inputs!$D$7+$D$1322)^F1296</f>
        <v>-74.73258734880342</v>
      </c>
      <c r="G1316" s="16">
        <f>G1315/(Inputs!$D$7+$D$1322)^G1296</f>
        <v>11787.313983584065</v>
      </c>
      <c r="H1316" s="16">
        <f>H1315/(Inputs!$D$7+$D$1322)^H1296</f>
        <v>2396.7729174785009</v>
      </c>
      <c r="I1316" s="16">
        <f>I1315/(Inputs!$D$7+$D$1322)^I1296</f>
        <v>-976.05527254036781</v>
      </c>
      <c r="J1316" s="16">
        <f>J1315/(Inputs!$D$7+$D$1322)^J1296</f>
        <v>2054.6299908683168</v>
      </c>
      <c r="K1316" s="16">
        <f>K1315/(Inputs!$D$7+$D$1322)^K1296</f>
        <v>8664.0276622193687</v>
      </c>
      <c r="L1316" s="16">
        <f>L1315/(Inputs!$D$7+$D$1322)^L1296</f>
        <v>1761.6996447207482</v>
      </c>
      <c r="M1316" s="16">
        <f>M1315/(Inputs!$D$7+$D$1322)^M1296</f>
        <v>-717.42976329654869</v>
      </c>
    </row>
    <row r="1317" spans="2:13" ht="15" customHeight="1" x14ac:dyDescent="0.2">
      <c r="B1317" s="3" t="s">
        <v>910</v>
      </c>
      <c r="C1317" s="10" t="s">
        <v>896</v>
      </c>
      <c r="D1317" s="28">
        <f>(D1303*$D$1321-D1307)/(Inputs!$D$7+$D$1322)^D1296</f>
        <v>63.991239754664917</v>
      </c>
      <c r="E1317" s="28">
        <f>(E1303*$D$1321-E1307)/(Inputs!$D$7+$D$1322)^E1296</f>
        <v>239.79656319570776</v>
      </c>
      <c r="F1317" s="28">
        <f>(F1303*$D$1321-F1307)/(Inputs!$D$7+$D$1322)^F1296</f>
        <v>368.73038473055669</v>
      </c>
      <c r="G1317" s="28">
        <f>(G1303*$D$1321-G1307)/(Inputs!$D$7+$D$1322)^G1296</f>
        <v>403.82418868681742</v>
      </c>
      <c r="H1317" s="28">
        <f>(H1303*$D$1321-H1307)/(Inputs!$D$7+$D$1322)^H1296</f>
        <v>373.93098285041856</v>
      </c>
      <c r="I1317" s="28">
        <f>(I1303*$D$1321-I1307)/(Inputs!$D$7+$D$1322)^I1296</f>
        <v>346.17768043995079</v>
      </c>
      <c r="J1317" s="28">
        <f>(J1303*$D$1321-J1307)/(Inputs!$D$7+$D$1322)^J1296</f>
        <v>320.55177454508589</v>
      </c>
      <c r="K1317" s="28">
        <f>(K1303*$D$1321-K1307)/(Inputs!$D$7+$D$1322)^K1296</f>
        <v>296.82283396611854</v>
      </c>
      <c r="L1317" s="28">
        <f>(L1303*$D$1321-L1307)/(Inputs!$D$7+$D$1322)^L1296</f>
        <v>274.85043528057622</v>
      </c>
      <c r="M1317" s="28">
        <f>(M1303*$D$1321-M1307)/(Inputs!$D$7+$D$1322)^M1296</f>
        <v>254.45092949519466</v>
      </c>
    </row>
    <row r="1318" spans="2:13" ht="15" customHeight="1" x14ac:dyDescent="0.2">
      <c r="B1318" s="10" t="s">
        <v>911</v>
      </c>
      <c r="C1318" s="10" t="s">
        <v>110</v>
      </c>
      <c r="D1318" s="16">
        <f>(-D1305-D1306)/(Inputs!$D$7+$D$1322)^D1296</f>
        <v>-14728.303038392241</v>
      </c>
      <c r="E1318" s="16">
        <f>(-E1305-E1306)/(Inputs!$D$7+$D$1322)^E1296</f>
        <v>-18180.216908055725</v>
      </c>
      <c r="F1318" s="16">
        <f>(-F1305-F1306)/(Inputs!$D$7+$D$1322)^F1296</f>
        <v>-12625.815702688111</v>
      </c>
      <c r="G1318" s="16">
        <f>(-G1305-G1306)/(Inputs!$D$7+$D$1322)^G1296</f>
        <v>-1981.9720696655354</v>
      </c>
      <c r="H1318" s="16">
        <f>(-H1305-H1306)/(Inputs!$D$7+$D$1322)^H1296</f>
        <v>-10353.237634844469</v>
      </c>
      <c r="I1318" s="16">
        <f>(-I1305-I1306)/(Inputs!$D$7+$D$1322)^I1296</f>
        <v>-12779.755102232404</v>
      </c>
      <c r="J1318" s="16">
        <f>(-J1305-J1306)/(Inputs!$D$7+$D$1322)^J1296</f>
        <v>-8875.2974434962562</v>
      </c>
      <c r="K1318" s="16">
        <f>(-K1305-K1306)/(Inputs!$D$7+$D$1322)^K1296</f>
        <v>-1456.8086386129401</v>
      </c>
      <c r="L1318" s="16">
        <f>(-L1305-L1306)/(Inputs!$D$7+$D$1322)^L1296</f>
        <v>-7609.9387347064285</v>
      </c>
      <c r="M1318" s="16">
        <f>(-M1305-M1306)/(Inputs!$D$7+$D$1322)^M1296</f>
        <v>-9393.5015115686074</v>
      </c>
    </row>
    <row r="1319" spans="2:13" ht="15" customHeight="1" x14ac:dyDescent="0.2">
      <c r="B1319" s="10" t="s">
        <v>912</v>
      </c>
      <c r="C1319" s="10" t="s">
        <v>110</v>
      </c>
      <c r="D1319" s="16">
        <f>Prices!I7</f>
        <v>35754.545454545456</v>
      </c>
    </row>
    <row r="1320" spans="2:13" ht="15" customHeight="1" x14ac:dyDescent="0.2">
      <c r="B1320" s="3" t="s">
        <v>913</v>
      </c>
      <c r="C1320" s="10" t="s">
        <v>914</v>
      </c>
      <c r="D1320" s="28">
        <f>IF(J1327&gt;=J1323,J1327,(D1319-J1326)/J1325)</f>
        <v>38.200996564201631</v>
      </c>
      <c r="G1320" s="99" t="s">
        <v>915</v>
      </c>
      <c r="H1320" s="91"/>
      <c r="I1320" s="91"/>
      <c r="J1320" s="28">
        <f>D1320*Inputs!$D$15</f>
        <v>26.660475502156316</v>
      </c>
      <c r="K1320" s="99" t="s">
        <v>916</v>
      </c>
      <c r="L1320" s="91"/>
      <c r="M1320" s="91"/>
    </row>
    <row r="1321" spans="2:13" ht="15" customHeight="1" x14ac:dyDescent="0.2">
      <c r="B1321" s="10" t="s">
        <v>917</v>
      </c>
      <c r="C1321" s="10" t="s">
        <v>104</v>
      </c>
      <c r="D1321" s="30">
        <f>Inputs!$D$141</f>
        <v>0.59</v>
      </c>
      <c r="G1321" s="99" t="s">
        <v>918</v>
      </c>
      <c r="H1321" s="91"/>
      <c r="I1321" s="91"/>
      <c r="J1321" s="28">
        <f>IF(-D1332/D1331&gt;=J1323,-D1332/D1331,-J1326/J1325)</f>
        <v>31.541580385595349</v>
      </c>
      <c r="K1321" s="99" t="s">
        <v>919</v>
      </c>
      <c r="L1321" s="91"/>
      <c r="M1321" s="91"/>
    </row>
    <row r="1322" spans="2:13" ht="15" customHeight="1" x14ac:dyDescent="0.2">
      <c r="B1322" s="10" t="s">
        <v>920</v>
      </c>
      <c r="C1322" s="10" t="s">
        <v>104</v>
      </c>
      <c r="D1322" s="30">
        <f>Inputs!$D$146</f>
        <v>0.08</v>
      </c>
      <c r="G1322" s="99" t="s">
        <v>918</v>
      </c>
      <c r="H1322" s="91"/>
      <c r="I1322" s="91"/>
      <c r="J1322" s="28">
        <f>J1321*Inputs!$D$15</f>
        <v>22.012868951106991</v>
      </c>
      <c r="K1322" s="99" t="s">
        <v>916</v>
      </c>
      <c r="L1322" s="91"/>
      <c r="M1322" s="91"/>
    </row>
    <row r="1323" spans="2:13" ht="15" customHeight="1" x14ac:dyDescent="0.2">
      <c r="B1323" s="3" t="s">
        <v>921</v>
      </c>
      <c r="C1323" s="10" t="s">
        <v>848</v>
      </c>
      <c r="D1323" s="28">
        <f>Capital!$D$13</f>
        <v>57.347931490590682</v>
      </c>
      <c r="G1323" s="99" t="s">
        <v>922</v>
      </c>
      <c r="H1323" s="91"/>
      <c r="I1323" s="91"/>
      <c r="J1323" s="28">
        <f>($D$1323/Inputs!$D$21+$D$1324/Inputs!$D$22)/$D$1321</f>
        <v>24.521773131961492</v>
      </c>
      <c r="K1323" s="99" t="s">
        <v>919</v>
      </c>
      <c r="L1323" s="91"/>
      <c r="M1323" s="91"/>
    </row>
    <row r="1324" spans="2:13" ht="15" customHeight="1" x14ac:dyDescent="0.2">
      <c r="B1324" s="3" t="s">
        <v>923</v>
      </c>
      <c r="C1324" s="10" t="s">
        <v>848</v>
      </c>
      <c r="D1324" s="28">
        <f>Capital!$D$14</f>
        <v>2.6172655041921802</v>
      </c>
    </row>
    <row r="1325" spans="2:13" ht="15" customHeight="1" x14ac:dyDescent="0.2">
      <c r="B1325" s="10" t="s">
        <v>924</v>
      </c>
      <c r="C1325" s="10" t="s">
        <v>896</v>
      </c>
      <c r="D1325" s="28">
        <f>(M1298*(Inputs!$D$7+Inputs!$D$20)*$D$1321*(Inputs!$D$7-Inputs!$D$19)-M1298*Inputs!$D$20*Inputs!$D$23)/($D$1322-Inputs!$D$20)/(Inputs!$D$7+$D$1322)^M1296</f>
        <v>3314.5272079389447</v>
      </c>
      <c r="G1325" s="92" t="s">
        <v>910</v>
      </c>
      <c r="H1325" s="91"/>
      <c r="I1325" s="91"/>
      <c r="J1325" s="28">
        <f>SUM(D1317:M1317)+(M1298*(Inputs!$D$7+Inputs!$D$20)*$D$1321-M1298*Inputs!$D$20*Inputs!$D$23)/($D$1322-Inputs!$D$20)/(Inputs!$D$7+$D$1322)^M1296</f>
        <v>7680.2662357889876</v>
      </c>
      <c r="K1325" s="99" t="s">
        <v>896</v>
      </c>
      <c r="L1325" s="91"/>
      <c r="M1325" s="91"/>
    </row>
    <row r="1326" spans="2:13" ht="15" customHeight="1" x14ac:dyDescent="0.2">
      <c r="B1326" s="10" t="s">
        <v>925</v>
      </c>
      <c r="C1326" s="10" t="s">
        <v>110</v>
      </c>
      <c r="D1326" s="16">
        <f>(D1329*Inputs!$D$19-D1329-D1330)/($D$1322-Inputs!$D$20)/(Inputs!$D$7+$D$1322)^M1296</f>
        <v>-93153.423070883771</v>
      </c>
      <c r="G1326" s="92" t="s">
        <v>926</v>
      </c>
      <c r="H1326" s="91"/>
      <c r="I1326" s="91"/>
      <c r="J1326" s="16">
        <f>SUM(D1318:M1318)-(D1329+D1330)/($D$1322-Inputs!$D$20)/(Inputs!$D$7+$D$1322)^M1296</f>
        <v>-226023.23893944838</v>
      </c>
      <c r="K1326" s="99" t="s">
        <v>110</v>
      </c>
      <c r="L1326" s="91"/>
      <c r="M1326" s="91"/>
    </row>
    <row r="1327" spans="2:13" ht="15" customHeight="1" x14ac:dyDescent="0.2">
      <c r="B1327" s="10" t="s">
        <v>927</v>
      </c>
      <c r="C1327" s="10" t="s">
        <v>928</v>
      </c>
      <c r="D1327" s="16">
        <f>(M1298*(Inputs!$D$7+Inputs!$D$20)*$D$1320*$D$1321-D1329)-MAX((M1298*(Inputs!$D$7+Inputs!$D$20)*$D$1320*$D$1321-D1329),Inputs!$D$6)*Inputs!$D$19-D1330-M1298*Inputs!$D$20*$D$1320*Inputs!$D$23</f>
        <v>3887.9218093868112</v>
      </c>
      <c r="G1327" s="99" t="s">
        <v>929</v>
      </c>
      <c r="H1327" s="91"/>
      <c r="I1327" s="91"/>
      <c r="J1327" s="28">
        <f>(D1319-D1332)/D1331</f>
        <v>38.200996564201631</v>
      </c>
      <c r="K1327" s="99" t="s">
        <v>919</v>
      </c>
      <c r="L1327" s="91"/>
      <c r="M1327" s="91"/>
    </row>
    <row r="1328" spans="2:13" ht="15" customHeight="1" x14ac:dyDescent="0.2">
      <c r="B1328" s="10" t="s">
        <v>930</v>
      </c>
      <c r="C1328" s="10" t="s">
        <v>110</v>
      </c>
      <c r="D1328" s="16">
        <f>D1327/($D$1322-Inputs!$D$20)</f>
        <v>70689.487443396574</v>
      </c>
      <c r="G1328" s="99" t="s">
        <v>931</v>
      </c>
      <c r="H1328" s="91"/>
      <c r="I1328" s="91"/>
      <c r="J1328" s="16">
        <f>MIN(D1312:M1312,(M1298*(Inputs!$D$7+Inputs!$D$20)*$D$1320*$D$1321-D1329))</f>
        <v>1013.5824245588317</v>
      </c>
      <c r="K1328" s="99" t="s">
        <v>110</v>
      </c>
      <c r="L1328" s="91"/>
      <c r="M1328" s="91"/>
    </row>
    <row r="1329" spans="1:13" ht="15" customHeight="1" x14ac:dyDescent="0.2">
      <c r="B1329" s="10" t="s">
        <v>932</v>
      </c>
      <c r="C1329" s="10" t="s">
        <v>928</v>
      </c>
      <c r="D1329" s="16">
        <f>M1298*(Inputs!$D$7+Inputs!$D$20)*($D$1323/Inputs!$D$21+$D$1324/Inputs!$D$22)</f>
        <v>13509.71303671543</v>
      </c>
      <c r="G1329" s="99" t="s">
        <v>933</v>
      </c>
      <c r="H1329" s="91"/>
      <c r="I1329" s="91"/>
      <c r="J1329" s="31" t="str">
        <f>IF(J1328&lt;Inputs!$D$6,"breached","satisfied")</f>
        <v>satisfied</v>
      </c>
      <c r="K1329" s="99" t="s">
        <v>934</v>
      </c>
      <c r="L1329" s="91"/>
      <c r="M1329" s="91"/>
    </row>
    <row r="1330" spans="1:13" ht="15" customHeight="1" x14ac:dyDescent="0.2">
      <c r="B1330" s="10" t="s">
        <v>935</v>
      </c>
      <c r="C1330" s="10" t="s">
        <v>928</v>
      </c>
      <c r="D1330" s="16">
        <f>M1298*Inputs!$D$20*($D$1323+$D$1324)</f>
        <v>1365.7073615561799</v>
      </c>
    </row>
    <row r="1331" spans="1:13" ht="15" customHeight="1" x14ac:dyDescent="0.2">
      <c r="B1331" s="10" t="s">
        <v>936</v>
      </c>
      <c r="C1331" s="10" t="s">
        <v>896</v>
      </c>
      <c r="D1331" s="28">
        <f>SUM(D1308:M1308)+D1325</f>
        <v>5369.0210216037867</v>
      </c>
      <c r="G1331" s="99" t="s">
        <v>937</v>
      </c>
      <c r="H1331" s="91"/>
      <c r="I1331" s="91"/>
      <c r="J1331" s="16">
        <f>D1333-D1319</f>
        <v>0</v>
      </c>
      <c r="K1331" s="99" t="s">
        <v>110</v>
      </c>
      <c r="L1331" s="91"/>
      <c r="M1331" s="91"/>
    </row>
    <row r="1332" spans="1:13" ht="15" customHeight="1" x14ac:dyDescent="0.2">
      <c r="B1332" s="10" t="s">
        <v>938</v>
      </c>
      <c r="C1332" s="10" t="s">
        <v>110</v>
      </c>
      <c r="D1332" s="16">
        <f>SUM(D1309:M1309)+D1326</f>
        <v>-169347.40814486711</v>
      </c>
    </row>
    <row r="1333" spans="1:13" ht="15" customHeight="1" x14ac:dyDescent="0.2">
      <c r="B1333" s="10" t="s">
        <v>939</v>
      </c>
      <c r="C1333" s="10" t="s">
        <v>110</v>
      </c>
      <c r="D1333" s="16">
        <f>SUM(D1316:M1316)+D1328/(Inputs!$D$7+$D$1322)^M1296</f>
        <v>35754.545454545507</v>
      </c>
    </row>
    <row r="1334" spans="1:13" ht="15" customHeight="1" x14ac:dyDescent="0.2">
      <c r="B1334" s="10" t="s">
        <v>940</v>
      </c>
      <c r="C1334" s="10" t="s">
        <v>104</v>
      </c>
      <c r="D1334" s="30">
        <f>IF(ABS(D1319)&gt;Inputs!$D$6,D1333/D1319-Inputs!$D$7,Inputs!$D$6)</f>
        <v>1.3322676295501878E-15</v>
      </c>
    </row>
    <row r="1335" spans="1:13" ht="15" customHeight="1" x14ac:dyDescent="0.2">
      <c r="B1335" s="10" t="s">
        <v>941</v>
      </c>
      <c r="C1335" s="10" t="s">
        <v>104</v>
      </c>
      <c r="D1335" s="30">
        <f>IF(ABS(D1333)&gt;Inputs!$D$119,D1328/(Inputs!$D$7+$D$1322)^M1296/D1333,Inputs!$D$6)</f>
        <v>0.93595986149756161</v>
      </c>
    </row>
    <row r="1336" spans="1:13" ht="15" customHeight="1" x14ac:dyDescent="0.2">
      <c r="B1336" s="10" t="s">
        <v>942</v>
      </c>
      <c r="C1336" s="10" t="s">
        <v>943</v>
      </c>
      <c r="D1336" s="26">
        <f>$D$1320*Inputs!$D$8/Prices!$P$6/(Inputs!$D$26/Inputs!$D$25)/Inputs!$D$11/Inputs!$D$56</f>
        <v>6.9469672615803395</v>
      </c>
    </row>
    <row r="1340" spans="1:13" ht="15" customHeight="1" x14ac:dyDescent="0.2">
      <c r="A1340" s="104" t="s">
        <v>2194</v>
      </c>
      <c r="B1340" s="10" t="s">
        <v>886</v>
      </c>
      <c r="C1340" s="10" t="s">
        <v>107</v>
      </c>
      <c r="D1340" s="28">
        <f>Inputs!$D$60</f>
        <v>1</v>
      </c>
      <c r="E1340" s="28">
        <f>Inputs!$D$62</f>
        <v>2</v>
      </c>
      <c r="F1340" s="28">
        <f>Inputs!$D$64</f>
        <v>3</v>
      </c>
      <c r="G1340" s="28">
        <f>Inputs!$D$66</f>
        <v>4</v>
      </c>
      <c r="H1340" s="28">
        <f>Inputs!$D$68</f>
        <v>5</v>
      </c>
      <c r="I1340" s="28">
        <f>Inputs!$D$70</f>
        <v>6</v>
      </c>
      <c r="J1340" s="28">
        <f>Inputs!$D$72</f>
        <v>7</v>
      </c>
      <c r="K1340" s="28">
        <f>Inputs!$D$74</f>
        <v>8</v>
      </c>
      <c r="L1340" s="28">
        <f>Inputs!$D$76</f>
        <v>9</v>
      </c>
      <c r="M1340" s="28">
        <f>Inputs!$D$78</f>
        <v>10</v>
      </c>
    </row>
    <row r="1341" spans="1:13" ht="15" customHeight="1" x14ac:dyDescent="0.2">
      <c r="A1341" s="91"/>
      <c r="B1341" s="10" t="s">
        <v>887</v>
      </c>
      <c r="C1341" s="10" t="s">
        <v>161</v>
      </c>
      <c r="D1341" s="29">
        <f>Inputs!$D$61</f>
        <v>46568</v>
      </c>
      <c r="E1341" s="29">
        <f>Inputs!$D$63</f>
        <v>46934</v>
      </c>
      <c r="F1341" s="29">
        <f>Inputs!$D$65</f>
        <v>47299</v>
      </c>
      <c r="G1341" s="29">
        <f>Inputs!$D$67</f>
        <v>47664</v>
      </c>
      <c r="H1341" s="29">
        <f>Inputs!$D$69</f>
        <v>48029</v>
      </c>
      <c r="I1341" s="29">
        <f>Inputs!$D$71</f>
        <v>48395</v>
      </c>
      <c r="J1341" s="29">
        <f>Inputs!$D$73</f>
        <v>48760</v>
      </c>
      <c r="K1341" s="29">
        <f>Inputs!$D$75</f>
        <v>49125</v>
      </c>
      <c r="L1341" s="29">
        <f>Inputs!$D$77</f>
        <v>49490</v>
      </c>
      <c r="M1341" s="29">
        <f>Inputs!$D$79</f>
        <v>49856</v>
      </c>
    </row>
    <row r="1342" spans="1:13" ht="15" customHeight="1" x14ac:dyDescent="0.2">
      <c r="A1342" s="91"/>
      <c r="B1342" s="10" t="s">
        <v>888</v>
      </c>
      <c r="C1342" s="10" t="s">
        <v>107</v>
      </c>
      <c r="D1342" s="28">
        <f>(D1341-Inputs!$D$13)/Inputs!$D$10</f>
        <v>0.71457905544147848</v>
      </c>
      <c r="E1342" s="28">
        <f>(E1341-Inputs!$D$13)/Inputs!$D$10</f>
        <v>1.7166324435318274</v>
      </c>
      <c r="F1342" s="28">
        <f>(F1341-Inputs!$D$13)/Inputs!$D$10</f>
        <v>2.7159479808350446</v>
      </c>
      <c r="G1342" s="28">
        <f>(G1341-Inputs!$D$13)/Inputs!$D$10</f>
        <v>3.7152635181382614</v>
      </c>
      <c r="H1342" s="28">
        <f>(H1341-Inputs!$D$13)/Inputs!$D$10</f>
        <v>4.7145790554414786</v>
      </c>
      <c r="I1342" s="28">
        <f>(I1341-Inputs!$D$13)/Inputs!$D$10</f>
        <v>5.7166324435318279</v>
      </c>
      <c r="J1342" s="28">
        <f>(J1341-Inputs!$D$13)/Inputs!$D$10</f>
        <v>6.7159479808350442</v>
      </c>
      <c r="K1342" s="28">
        <f>(K1341-Inputs!$D$13)/Inputs!$D$10</f>
        <v>7.7152635181382614</v>
      </c>
      <c r="L1342" s="28">
        <f>(L1341-Inputs!$D$13)/Inputs!$D$10</f>
        <v>8.7145790554414777</v>
      </c>
      <c r="M1342" s="28">
        <f>(M1341-Inputs!$D$13)/Inputs!$D$10</f>
        <v>9.716632443531827</v>
      </c>
    </row>
    <row r="1343" spans="1:13" ht="15" customHeight="1" x14ac:dyDescent="0.2">
      <c r="A1343" s="91"/>
      <c r="B1343" s="10" t="s">
        <v>889</v>
      </c>
      <c r="C1343" s="10" t="s">
        <v>107</v>
      </c>
      <c r="D1343" s="28">
        <f>D1342</f>
        <v>0.71457905544147848</v>
      </c>
      <c r="E1343" s="28">
        <f>Inputs!$D$7</f>
        <v>1</v>
      </c>
      <c r="F1343" s="28">
        <f>Inputs!$D$7</f>
        <v>1</v>
      </c>
      <c r="G1343" s="28">
        <f>Inputs!$D$7</f>
        <v>1</v>
      </c>
      <c r="H1343" s="28">
        <f>Inputs!$D$7</f>
        <v>1</v>
      </c>
      <c r="I1343" s="28">
        <f>Inputs!$D$7</f>
        <v>1</v>
      </c>
      <c r="J1343" s="28">
        <f>Inputs!$D$7</f>
        <v>1</v>
      </c>
      <c r="K1343" s="28">
        <f>Inputs!$D$7</f>
        <v>1</v>
      </c>
      <c r="L1343" s="28">
        <f>Inputs!$D$7</f>
        <v>1</v>
      </c>
      <c r="M1343" s="28">
        <f>Inputs!$D$7</f>
        <v>1</v>
      </c>
    </row>
    <row r="1344" spans="1:13" ht="15" customHeight="1" x14ac:dyDescent="0.2">
      <c r="A1344" s="91"/>
      <c r="B1344" s="3" t="s">
        <v>890</v>
      </c>
      <c r="C1344" s="10" t="s">
        <v>199</v>
      </c>
      <c r="D1344" s="28">
        <f>Inputs!$D$24+(Inputs!$D$80-Inputs!$D$24)*Inputs!$D$83</f>
        <v>305.5</v>
      </c>
      <c r="E1344" s="28">
        <f>Inputs!$D$24+(Inputs!$D$80-Inputs!$D$24)*Inputs!$D$84</f>
        <v>651.5</v>
      </c>
      <c r="F1344" s="28">
        <f>Inputs!$D$24+(Inputs!$D$80-Inputs!$D$24)*Inputs!$D$85</f>
        <v>911</v>
      </c>
      <c r="G1344" s="28">
        <f>Inputs!$D$24+(Inputs!$D$80-Inputs!$D$24)*Inputs!$D$86</f>
        <v>911</v>
      </c>
      <c r="H1344" s="28">
        <f>Inputs!$D$24+(Inputs!$D$80-Inputs!$D$24)*Inputs!$D$87</f>
        <v>911</v>
      </c>
      <c r="I1344" s="28">
        <f>Inputs!$D$24+(Inputs!$D$80-Inputs!$D$24)*Inputs!$D$88</f>
        <v>911</v>
      </c>
      <c r="J1344" s="28">
        <f>Inputs!$D$24+(Inputs!$D$80-Inputs!$D$24)*Inputs!$D$89</f>
        <v>911</v>
      </c>
      <c r="K1344" s="28">
        <f>Inputs!$D$24+(Inputs!$D$80-Inputs!$D$24)*Inputs!$D$90</f>
        <v>911</v>
      </c>
      <c r="L1344" s="28">
        <f>Inputs!$D$24+(Inputs!$D$80-Inputs!$D$24)*Inputs!$D$91</f>
        <v>911</v>
      </c>
      <c r="M1344" s="28">
        <f>Inputs!$D$24+(Inputs!$D$80-Inputs!$D$24)*Inputs!$D$92</f>
        <v>911</v>
      </c>
    </row>
    <row r="1345" spans="1:13" ht="15" customHeight="1" x14ac:dyDescent="0.2">
      <c r="A1345" s="91"/>
      <c r="B1345" s="10" t="s">
        <v>891</v>
      </c>
      <c r="C1345" s="10" t="s">
        <v>199</v>
      </c>
      <c r="D1345" s="28">
        <f>Inputs!$D$24</f>
        <v>46</v>
      </c>
      <c r="E1345" s="28">
        <f t="shared" ref="E1345:M1345" si="290">D1344</f>
        <v>305.5</v>
      </c>
      <c r="F1345" s="28">
        <f t="shared" si="290"/>
        <v>651.5</v>
      </c>
      <c r="G1345" s="28">
        <f t="shared" si="290"/>
        <v>911</v>
      </c>
      <c r="H1345" s="28">
        <f t="shared" si="290"/>
        <v>911</v>
      </c>
      <c r="I1345" s="28">
        <f t="shared" si="290"/>
        <v>911</v>
      </c>
      <c r="J1345" s="28">
        <f t="shared" si="290"/>
        <v>911</v>
      </c>
      <c r="K1345" s="28">
        <f t="shared" si="290"/>
        <v>911</v>
      </c>
      <c r="L1345" s="28">
        <f t="shared" si="290"/>
        <v>911</v>
      </c>
      <c r="M1345" s="28">
        <f t="shared" si="290"/>
        <v>911</v>
      </c>
    </row>
    <row r="1346" spans="1:13" ht="15" customHeight="1" x14ac:dyDescent="0.2">
      <c r="B1346" s="10" t="s">
        <v>892</v>
      </c>
      <c r="C1346" s="10" t="s">
        <v>199</v>
      </c>
      <c r="D1346" s="28">
        <f>(D1345+D1344)*Inputs!$D$12</f>
        <v>175.75</v>
      </c>
      <c r="E1346" s="28">
        <f>(E1345+E1344)*Inputs!$D$12</f>
        <v>478.5</v>
      </c>
      <c r="F1346" s="28">
        <f>(F1345+F1344)*Inputs!$D$12</f>
        <v>781.25</v>
      </c>
      <c r="G1346" s="28">
        <f>(G1345+G1344)*Inputs!$D$12</f>
        <v>911</v>
      </c>
      <c r="H1346" s="28">
        <f>(H1345+H1344)*Inputs!$D$12</f>
        <v>911</v>
      </c>
      <c r="I1346" s="28">
        <f>(I1345+I1344)*Inputs!$D$12</f>
        <v>911</v>
      </c>
      <c r="J1346" s="28">
        <f>(J1345+J1344)*Inputs!$D$12</f>
        <v>911</v>
      </c>
      <c r="K1346" s="28">
        <f>(K1345+K1344)*Inputs!$D$12</f>
        <v>911</v>
      </c>
      <c r="L1346" s="28">
        <f>(L1345+L1344)*Inputs!$D$12</f>
        <v>911</v>
      </c>
      <c r="M1346" s="28">
        <f>(M1345+M1344)*Inputs!$D$12</f>
        <v>911</v>
      </c>
    </row>
    <row r="1347" spans="1:13" ht="15" customHeight="1" x14ac:dyDescent="0.2">
      <c r="B1347" s="10" t="s">
        <v>893</v>
      </c>
      <c r="C1347" s="10" t="s">
        <v>199</v>
      </c>
      <c r="D1347" s="28">
        <f t="shared" ref="D1347:M1347" si="291">D1344-D1345</f>
        <v>259.5</v>
      </c>
      <c r="E1347" s="28">
        <f t="shared" si="291"/>
        <v>346</v>
      </c>
      <c r="F1347" s="28">
        <f t="shared" si="291"/>
        <v>259.5</v>
      </c>
      <c r="G1347" s="28">
        <f t="shared" si="291"/>
        <v>0</v>
      </c>
      <c r="H1347" s="28">
        <f t="shared" si="291"/>
        <v>0</v>
      </c>
      <c r="I1347" s="28">
        <f t="shared" si="291"/>
        <v>0</v>
      </c>
      <c r="J1347" s="28">
        <f t="shared" si="291"/>
        <v>0</v>
      </c>
      <c r="K1347" s="28">
        <f t="shared" si="291"/>
        <v>0</v>
      </c>
      <c r="L1347" s="28">
        <f t="shared" si="291"/>
        <v>0</v>
      </c>
      <c r="M1347" s="28">
        <f t="shared" si="291"/>
        <v>0</v>
      </c>
    </row>
    <row r="1348" spans="1:13" ht="15" customHeight="1" x14ac:dyDescent="0.2">
      <c r="B1348" s="10" t="s">
        <v>894</v>
      </c>
      <c r="C1348" s="10" t="s">
        <v>199</v>
      </c>
      <c r="D1348" s="28">
        <f>IF(MOD(D1340,Inputs!$D$21)=Inputs!$D$6,Inputs!$D$24,Inputs!$D$6)+SUMPRODUCT(--(D1340&gt;$D$1340:$M$1340),--(MOD(D1340-$D$1340:$M$1340,Inputs!$D$21)=Inputs!$D$6),$D$1347:$M$1347)</f>
        <v>0</v>
      </c>
      <c r="E1348" s="28">
        <f>IF(MOD(E1340,Inputs!$D$21)=Inputs!$D$6,Inputs!$D$24,Inputs!$D$6)+SUMPRODUCT(--(E1340&gt;$D$1340:$M$1340),--(MOD(E1340-$D$1340:$M$1340,Inputs!$D$21)=Inputs!$D$6),$D$1347:$M$1347)</f>
        <v>0</v>
      </c>
      <c r="F1348" s="28">
        <f>IF(MOD(F1340,Inputs!$D$21)=Inputs!$D$6,Inputs!$D$24,Inputs!$D$6)+SUMPRODUCT(--(F1340&gt;$D$1340:$M$1340),--(MOD(F1340-$D$1340:$M$1340,Inputs!$D$21)=Inputs!$D$6),$D$1347:$M$1347)</f>
        <v>0</v>
      </c>
      <c r="G1348" s="28">
        <f>IF(MOD(G1340,Inputs!$D$21)=Inputs!$D$6,Inputs!$D$24,Inputs!$D$6)+SUMPRODUCT(--(G1340&gt;$D$1340:$M$1340),--(MOD(G1340-$D$1340:$M$1340,Inputs!$D$21)=Inputs!$D$6),$D$1347:$M$1347)</f>
        <v>46</v>
      </c>
      <c r="H1348" s="28">
        <f>IF(MOD(H1340,Inputs!$D$21)=Inputs!$D$6,Inputs!$D$24,Inputs!$D$6)+SUMPRODUCT(--(H1340&gt;$D$1340:$M$1340),--(MOD(H1340-$D$1340:$M$1340,Inputs!$D$21)=Inputs!$D$6),$D$1347:$M$1347)</f>
        <v>259.5</v>
      </c>
      <c r="I1348" s="28">
        <f>IF(MOD(I1340,Inputs!$D$21)=Inputs!$D$6,Inputs!$D$24,Inputs!$D$6)+SUMPRODUCT(--(I1340&gt;$D$1340:$M$1340),--(MOD(I1340-$D$1340:$M$1340,Inputs!$D$21)=Inputs!$D$6),$D$1347:$M$1347)</f>
        <v>346</v>
      </c>
      <c r="J1348" s="28">
        <f>IF(MOD(J1340,Inputs!$D$21)=Inputs!$D$6,Inputs!$D$24,Inputs!$D$6)+SUMPRODUCT(--(J1340&gt;$D$1340:$M$1340),--(MOD(J1340-$D$1340:$M$1340,Inputs!$D$21)=Inputs!$D$6),$D$1347:$M$1347)</f>
        <v>259.5</v>
      </c>
      <c r="K1348" s="28">
        <f>IF(MOD(K1340,Inputs!$D$21)=Inputs!$D$6,Inputs!$D$24,Inputs!$D$6)+SUMPRODUCT(--(K1340&gt;$D$1340:$M$1340),--(MOD(K1340-$D$1340:$M$1340,Inputs!$D$21)=Inputs!$D$6),$D$1347:$M$1347)</f>
        <v>46</v>
      </c>
      <c r="L1348" s="28">
        <f>IF(MOD(L1340,Inputs!$D$21)=Inputs!$D$6,Inputs!$D$24,Inputs!$D$6)+SUMPRODUCT(--(L1340&gt;$D$1340:$M$1340),--(MOD(L1340-$D$1340:$M$1340,Inputs!$D$21)=Inputs!$D$6),$D$1347:$M$1347)</f>
        <v>259.5</v>
      </c>
      <c r="M1348" s="28">
        <f>IF(MOD(M1340,Inputs!$D$21)=Inputs!$D$6,Inputs!$D$24,Inputs!$D$6)+SUMPRODUCT(--(M1340&gt;$D$1340:$M$1340),--(MOD(M1340-$D$1340:$M$1340,Inputs!$D$21)=Inputs!$D$6),$D$1347:$M$1347)</f>
        <v>346</v>
      </c>
    </row>
    <row r="1349" spans="1:13" ht="15" customHeight="1" x14ac:dyDescent="0.2">
      <c r="B1349" s="10" t="s">
        <v>895</v>
      </c>
      <c r="C1349" s="10" t="s">
        <v>896</v>
      </c>
      <c r="D1349" s="28">
        <f t="shared" ref="D1349:M1349" si="292">D1346*D1343</f>
        <v>125.58726899383984</v>
      </c>
      <c r="E1349" s="28">
        <f t="shared" si="292"/>
        <v>478.5</v>
      </c>
      <c r="F1349" s="28">
        <f t="shared" si="292"/>
        <v>781.25</v>
      </c>
      <c r="G1349" s="28">
        <f t="shared" si="292"/>
        <v>911</v>
      </c>
      <c r="H1349" s="28">
        <f t="shared" si="292"/>
        <v>911</v>
      </c>
      <c r="I1349" s="28">
        <f t="shared" si="292"/>
        <v>911</v>
      </c>
      <c r="J1349" s="28">
        <f t="shared" si="292"/>
        <v>911</v>
      </c>
      <c r="K1349" s="28">
        <f t="shared" si="292"/>
        <v>911</v>
      </c>
      <c r="L1349" s="28">
        <f t="shared" si="292"/>
        <v>911</v>
      </c>
      <c r="M1349" s="28">
        <f t="shared" si="292"/>
        <v>911</v>
      </c>
    </row>
    <row r="1350" spans="1:13" ht="15" customHeight="1" x14ac:dyDescent="0.2">
      <c r="B1350" s="10" t="s">
        <v>897</v>
      </c>
      <c r="C1350" s="10" t="s">
        <v>110</v>
      </c>
      <c r="D1350" s="16">
        <f>D1349*($D$1369/Inputs!$D$21+$D$1370/Inputs!$D$22)</f>
        <v>1816.9772859324419</v>
      </c>
      <c r="E1350" s="16">
        <f>E1349*($D$1369/Inputs!$D$21+$D$1370/Inputs!$D$22)</f>
        <v>6922.8643817497086</v>
      </c>
      <c r="F1350" s="16">
        <f>F1349*($D$1369/Inputs!$D$21+$D$1370/Inputs!$D$22)</f>
        <v>11303.0048030135</v>
      </c>
      <c r="G1350" s="16">
        <f>G1349*($D$1369/Inputs!$D$21+$D$1370/Inputs!$D$22)</f>
        <v>13180.207840697982</v>
      </c>
      <c r="H1350" s="16">
        <f>H1349*($D$1369/Inputs!$D$21+$D$1370/Inputs!$D$22)</f>
        <v>13180.207840697982</v>
      </c>
      <c r="I1350" s="16">
        <f>I1349*($D$1369/Inputs!$D$21+$D$1370/Inputs!$D$22)</f>
        <v>13180.207840697982</v>
      </c>
      <c r="J1350" s="16">
        <f>J1349*($D$1369/Inputs!$D$21+$D$1370/Inputs!$D$22)</f>
        <v>13180.207840697982</v>
      </c>
      <c r="K1350" s="16">
        <f>K1349*($D$1369/Inputs!$D$21+$D$1370/Inputs!$D$22)</f>
        <v>13180.207840697982</v>
      </c>
      <c r="L1350" s="16">
        <f>L1349*($D$1369/Inputs!$D$21+$D$1370/Inputs!$D$22)</f>
        <v>13180.207840697982</v>
      </c>
      <c r="M1350" s="16">
        <f>M1349*($D$1369/Inputs!$D$21+$D$1370/Inputs!$D$22)</f>
        <v>13180.207840697982</v>
      </c>
    </row>
    <row r="1351" spans="1:13" ht="15" customHeight="1" x14ac:dyDescent="0.2">
      <c r="B1351" s="10" t="s">
        <v>898</v>
      </c>
      <c r="C1351" s="10" t="s">
        <v>110</v>
      </c>
      <c r="D1351" s="16">
        <f t="shared" ref="D1351:M1351" si="293">D1347*($D$1369+$D$1370)</f>
        <v>15560.968620146154</v>
      </c>
      <c r="E1351" s="16">
        <f t="shared" si="293"/>
        <v>20747.95816019487</v>
      </c>
      <c r="F1351" s="16">
        <f t="shared" si="293"/>
        <v>15560.968620146154</v>
      </c>
      <c r="G1351" s="16">
        <f t="shared" si="293"/>
        <v>0</v>
      </c>
      <c r="H1351" s="16">
        <f t="shared" si="293"/>
        <v>0</v>
      </c>
      <c r="I1351" s="16">
        <f t="shared" si="293"/>
        <v>0</v>
      </c>
      <c r="J1351" s="16">
        <f t="shared" si="293"/>
        <v>0</v>
      </c>
      <c r="K1351" s="16">
        <f t="shared" si="293"/>
        <v>0</v>
      </c>
      <c r="L1351" s="16">
        <f t="shared" si="293"/>
        <v>0</v>
      </c>
      <c r="M1351" s="16">
        <f t="shared" si="293"/>
        <v>0</v>
      </c>
    </row>
    <row r="1352" spans="1:13" ht="15" customHeight="1" x14ac:dyDescent="0.2">
      <c r="B1352" s="10" t="s">
        <v>899</v>
      </c>
      <c r="C1352" s="10" t="s">
        <v>110</v>
      </c>
      <c r="D1352" s="16">
        <f t="shared" ref="D1352:M1352" si="294">D1348*$D$1369</f>
        <v>0</v>
      </c>
      <c r="E1352" s="16">
        <f t="shared" si="294"/>
        <v>0</v>
      </c>
      <c r="F1352" s="16">
        <f t="shared" si="294"/>
        <v>0</v>
      </c>
      <c r="G1352" s="16">
        <f t="shared" si="294"/>
        <v>2638.0048485671714</v>
      </c>
      <c r="H1352" s="16">
        <f t="shared" si="294"/>
        <v>14881.788221808281</v>
      </c>
      <c r="I1352" s="16">
        <f t="shared" si="294"/>
        <v>19842.384295744378</v>
      </c>
      <c r="J1352" s="16">
        <f t="shared" si="294"/>
        <v>14881.788221808281</v>
      </c>
      <c r="K1352" s="16">
        <f t="shared" si="294"/>
        <v>2638.0048485671714</v>
      </c>
      <c r="L1352" s="16">
        <f t="shared" si="294"/>
        <v>14881.788221808281</v>
      </c>
      <c r="M1352" s="16">
        <f t="shared" si="294"/>
        <v>19842.384295744378</v>
      </c>
    </row>
    <row r="1353" spans="1:13" ht="15" customHeight="1" x14ac:dyDescent="0.2">
      <c r="B1353" s="10" t="s">
        <v>900</v>
      </c>
      <c r="C1353" s="10" t="s">
        <v>199</v>
      </c>
      <c r="D1353" s="28">
        <f>D1347*Inputs!$D$23</f>
        <v>6.4875000000000007</v>
      </c>
      <c r="E1353" s="28">
        <f>E1347*Inputs!$D$23</f>
        <v>8.65</v>
      </c>
      <c r="F1353" s="28">
        <f>F1347*Inputs!$D$23</f>
        <v>6.4875000000000007</v>
      </c>
      <c r="G1353" s="28">
        <f>G1347*Inputs!$D$23</f>
        <v>0</v>
      </c>
      <c r="H1353" s="28">
        <f>H1347*Inputs!$D$23</f>
        <v>0</v>
      </c>
      <c r="I1353" s="28">
        <f>I1347*Inputs!$D$23</f>
        <v>0</v>
      </c>
      <c r="J1353" s="28">
        <f>J1347*Inputs!$D$23</f>
        <v>0</v>
      </c>
      <c r="K1353" s="28">
        <f>K1347*Inputs!$D$23</f>
        <v>0</v>
      </c>
      <c r="L1353" s="28">
        <f>L1347*Inputs!$D$23</f>
        <v>0</v>
      </c>
      <c r="M1353" s="28">
        <f>M1347*Inputs!$D$23</f>
        <v>0</v>
      </c>
    </row>
    <row r="1354" spans="1:13" ht="15" customHeight="1" x14ac:dyDescent="0.2">
      <c r="B1354" s="3" t="s">
        <v>901</v>
      </c>
      <c r="C1354" s="10" t="s">
        <v>896</v>
      </c>
      <c r="D1354" s="28">
        <f>(D1349*$D$1367*(Inputs!$D$7-Inputs!$D$19)-D1353)/(Inputs!$D$7+$D$1368)^D1342</f>
        <v>42.392257892582741</v>
      </c>
      <c r="E1354" s="28">
        <f>(E1349*$D$1367*(Inputs!$D$7-Inputs!$D$19)-E1353)/(Inputs!$D$7+$D$1368)^E1342</f>
        <v>160.44935881327885</v>
      </c>
      <c r="F1354" s="28">
        <f>(F1349*$D$1367*(Inputs!$D$7-Inputs!$D$19)-F1353)/(Inputs!$D$7+$D$1368)^F1342</f>
        <v>244.06109899015289</v>
      </c>
      <c r="G1354" s="28">
        <f>(G1349*$D$1367*(Inputs!$D$7-Inputs!$D$19)-G1353)/(Inputs!$D$7+$D$1368)^G1342</f>
        <v>264.04849443125005</v>
      </c>
      <c r="H1354" s="28">
        <f>(H1349*$D$1367*(Inputs!$D$7-Inputs!$D$19)-H1353)/(Inputs!$D$7+$D$1368)^H1342</f>
        <v>240.05974593643205</v>
      </c>
      <c r="I1354" s="28">
        <f>(I1349*$D$1367*(Inputs!$D$7-Inputs!$D$19)-I1353)/(Inputs!$D$7+$D$1368)^I1342</f>
        <v>218.19342611959934</v>
      </c>
      <c r="J1354" s="28">
        <f>(J1349*$D$1367*(Inputs!$D$7-Inputs!$D$19)-J1353)/(Inputs!$D$7+$D$1368)^J1342</f>
        <v>198.37060064324149</v>
      </c>
      <c r="K1354" s="28">
        <f>(K1349*$D$1367*(Inputs!$D$7-Inputs!$D$19)-K1353)/(Inputs!$D$7+$D$1368)^K1342</f>
        <v>180.34867456543267</v>
      </c>
      <c r="L1354" s="28">
        <f>(L1349*$D$1367*(Inputs!$D$7-Inputs!$D$19)-L1353)/(Inputs!$D$7+$D$1368)^L1342</f>
        <v>163.9640365661034</v>
      </c>
      <c r="M1354" s="28">
        <f>(M1349*$D$1367*(Inputs!$D$7-Inputs!$D$19)-M1353)/(Inputs!$D$7+$D$1368)^M1342</f>
        <v>149.02904591189079</v>
      </c>
    </row>
    <row r="1355" spans="1:13" ht="15" customHeight="1" x14ac:dyDescent="0.2">
      <c r="B1355" s="10" t="s">
        <v>902</v>
      </c>
      <c r="C1355" s="10" t="s">
        <v>110</v>
      </c>
      <c r="D1355" s="16">
        <f>(D1350*Inputs!$D$19-D1351-D1352)/(Inputs!$D$7+$D$1368)^D1342</f>
        <v>-14027.24269342025</v>
      </c>
      <c r="E1355" s="16">
        <f>(E1350*Inputs!$D$19-E1351-E1352)/(Inputs!$D$7+$D$1368)^E1342</f>
        <v>-15853.087323826181</v>
      </c>
      <c r="F1355" s="16">
        <f>(F1350*Inputs!$D$19-F1351-F1352)/(Inputs!$D$7+$D$1368)^F1342</f>
        <v>-9394.4767487293357</v>
      </c>
      <c r="G1355" s="16">
        <f>(G1350*Inputs!$D$19-G1351-G1352)/(Inputs!$D$7+$D$1368)^G1342</f>
        <v>923.61320322684639</v>
      </c>
      <c r="H1355" s="16">
        <f>(H1350*Inputs!$D$19-H1351-H1352)/(Inputs!$D$7+$D$1368)^H1342</f>
        <v>-6972.3744918015345</v>
      </c>
      <c r="I1355" s="16">
        <f>(I1350*Inputs!$D$19-I1351-I1352)/(Inputs!$D$7+$D$1368)^I1342</f>
        <v>-9214.0648467907959</v>
      </c>
      <c r="J1355" s="16">
        <f>(J1350*Inputs!$D$19-J1351-J1352)/(Inputs!$D$7+$D$1368)^J1342</f>
        <v>-5761.5411965591911</v>
      </c>
      <c r="K1355" s="16">
        <f>(K1350*Inputs!$D$19-K1351-K1352)/(Inputs!$D$7+$D$1368)^K1342</f>
        <v>630.8402453567694</v>
      </c>
      <c r="L1355" s="16">
        <f>(L1350*Inputs!$D$19-L1351-L1352)/(Inputs!$D$7+$D$1368)^L1342</f>
        <v>-4762.2255937446444</v>
      </c>
      <c r="M1355" s="16">
        <f>(M1350*Inputs!$D$19-M1351-M1352)/(Inputs!$D$7+$D$1368)^M1342</f>
        <v>-6293.3302689644106</v>
      </c>
    </row>
    <row r="1356" spans="1:13" ht="15" customHeight="1" x14ac:dyDescent="0.2">
      <c r="B1356" s="10" t="s">
        <v>903</v>
      </c>
      <c r="C1356" s="10" t="s">
        <v>110</v>
      </c>
      <c r="D1356" s="16">
        <f t="shared" ref="D1356:M1356" si="295">D1349*$D$1366</f>
        <v>5276.6165313417914</v>
      </c>
      <c r="E1356" s="16">
        <f t="shared" si="295"/>
        <v>20104.434394308657</v>
      </c>
      <c r="F1356" s="16">
        <f t="shared" si="295"/>
        <v>32824.638182975214</v>
      </c>
      <c r="G1356" s="16">
        <f t="shared" si="295"/>
        <v>38276.15409240374</v>
      </c>
      <c r="H1356" s="16">
        <f t="shared" si="295"/>
        <v>38276.15409240374</v>
      </c>
      <c r="I1356" s="16">
        <f t="shared" si="295"/>
        <v>38276.15409240374</v>
      </c>
      <c r="J1356" s="16">
        <f t="shared" si="295"/>
        <v>38276.15409240374</v>
      </c>
      <c r="K1356" s="16">
        <f t="shared" si="295"/>
        <v>38276.15409240374</v>
      </c>
      <c r="L1356" s="16">
        <f t="shared" si="295"/>
        <v>38276.15409240374</v>
      </c>
      <c r="M1356" s="16">
        <f t="shared" si="295"/>
        <v>38276.15409240374</v>
      </c>
    </row>
    <row r="1357" spans="1:13" ht="15" customHeight="1" x14ac:dyDescent="0.2">
      <c r="B1357" s="10" t="s">
        <v>904</v>
      </c>
      <c r="C1357" s="10" t="s">
        <v>110</v>
      </c>
      <c r="D1357" s="16">
        <f t="shared" ref="D1357:M1357" si="296">D1356*$D$1367</f>
        <v>3113.2037534916567</v>
      </c>
      <c r="E1357" s="16">
        <f t="shared" si="296"/>
        <v>11861.616292642108</v>
      </c>
      <c r="F1357" s="16">
        <f t="shared" si="296"/>
        <v>19366.536527955373</v>
      </c>
      <c r="G1357" s="16">
        <f t="shared" si="296"/>
        <v>22582.930914518205</v>
      </c>
      <c r="H1357" s="16">
        <f t="shared" si="296"/>
        <v>22582.930914518205</v>
      </c>
      <c r="I1357" s="16">
        <f t="shared" si="296"/>
        <v>22582.930914518205</v>
      </c>
      <c r="J1357" s="16">
        <f t="shared" si="296"/>
        <v>22582.930914518205</v>
      </c>
      <c r="K1357" s="16">
        <f t="shared" si="296"/>
        <v>22582.930914518205</v>
      </c>
      <c r="L1357" s="16">
        <f t="shared" si="296"/>
        <v>22582.930914518205</v>
      </c>
      <c r="M1357" s="16">
        <f t="shared" si="296"/>
        <v>22582.930914518205</v>
      </c>
    </row>
    <row r="1358" spans="1:13" ht="15" customHeight="1" x14ac:dyDescent="0.2">
      <c r="B1358" s="10" t="s">
        <v>905</v>
      </c>
      <c r="C1358" s="10" t="s">
        <v>110</v>
      </c>
      <c r="D1358" s="16">
        <f t="shared" ref="D1358:M1358" si="297">D1357-D1350</f>
        <v>1296.2264675592148</v>
      </c>
      <c r="E1358" s="16">
        <f t="shared" si="297"/>
        <v>4938.7519108923989</v>
      </c>
      <c r="F1358" s="16">
        <f t="shared" si="297"/>
        <v>8063.5317249418731</v>
      </c>
      <c r="G1358" s="16">
        <f t="shared" si="297"/>
        <v>9402.7230738202234</v>
      </c>
      <c r="H1358" s="16">
        <f t="shared" si="297"/>
        <v>9402.7230738202234</v>
      </c>
      <c r="I1358" s="16">
        <f t="shared" si="297"/>
        <v>9402.7230738202234</v>
      </c>
      <c r="J1358" s="16">
        <f t="shared" si="297"/>
        <v>9402.7230738202234</v>
      </c>
      <c r="K1358" s="16">
        <f t="shared" si="297"/>
        <v>9402.7230738202234</v>
      </c>
      <c r="L1358" s="16">
        <f t="shared" si="297"/>
        <v>9402.7230738202234</v>
      </c>
      <c r="M1358" s="16">
        <f t="shared" si="297"/>
        <v>9402.7230738202234</v>
      </c>
    </row>
    <row r="1359" spans="1:13" ht="15" customHeight="1" x14ac:dyDescent="0.2">
      <c r="B1359" s="10" t="s">
        <v>906</v>
      </c>
      <c r="C1359" s="10" t="s">
        <v>110</v>
      </c>
      <c r="D1359" s="16">
        <f>MAX(D1358,Inputs!$D$6)*Inputs!$D$19</f>
        <v>388.86794026776442</v>
      </c>
      <c r="E1359" s="16">
        <f>MAX(E1358,Inputs!$D$6)*Inputs!$D$19</f>
        <v>1481.6255732677196</v>
      </c>
      <c r="F1359" s="16">
        <f>MAX(F1358,Inputs!$D$6)*Inputs!$D$19</f>
        <v>2419.0595174825617</v>
      </c>
      <c r="G1359" s="16">
        <f>MAX(G1358,Inputs!$D$6)*Inputs!$D$19</f>
        <v>2820.8169221460671</v>
      </c>
      <c r="H1359" s="16">
        <f>MAX(H1358,Inputs!$D$6)*Inputs!$D$19</f>
        <v>2820.8169221460671</v>
      </c>
      <c r="I1359" s="16">
        <f>MAX(I1358,Inputs!$D$6)*Inputs!$D$19</f>
        <v>2820.8169221460671</v>
      </c>
      <c r="J1359" s="16">
        <f>MAX(J1358,Inputs!$D$6)*Inputs!$D$19</f>
        <v>2820.8169221460671</v>
      </c>
      <c r="K1359" s="16">
        <f>MAX(K1358,Inputs!$D$6)*Inputs!$D$19</f>
        <v>2820.8169221460671</v>
      </c>
      <c r="L1359" s="16">
        <f>MAX(L1358,Inputs!$D$6)*Inputs!$D$19</f>
        <v>2820.8169221460671</v>
      </c>
      <c r="M1359" s="16">
        <f>MAX(M1358,Inputs!$D$6)*Inputs!$D$19</f>
        <v>2820.8169221460671</v>
      </c>
    </row>
    <row r="1360" spans="1:13" ht="15" customHeight="1" x14ac:dyDescent="0.2">
      <c r="B1360" s="10" t="s">
        <v>907</v>
      </c>
      <c r="C1360" s="10" t="s">
        <v>110</v>
      </c>
      <c r="D1360" s="16">
        <f t="shared" ref="D1360:M1360" si="298">D1353*$D$1366</f>
        <v>272.5757954714262</v>
      </c>
      <c r="E1360" s="16">
        <f t="shared" si="298"/>
        <v>363.43439396190155</v>
      </c>
      <c r="F1360" s="16">
        <f t="shared" si="298"/>
        <v>272.5757954714262</v>
      </c>
      <c r="G1360" s="16">
        <f t="shared" si="298"/>
        <v>0</v>
      </c>
      <c r="H1360" s="16">
        <f t="shared" si="298"/>
        <v>0</v>
      </c>
      <c r="I1360" s="16">
        <f t="shared" si="298"/>
        <v>0</v>
      </c>
      <c r="J1360" s="16">
        <f t="shared" si="298"/>
        <v>0</v>
      </c>
      <c r="K1360" s="16">
        <f t="shared" si="298"/>
        <v>0</v>
      </c>
      <c r="L1360" s="16">
        <f t="shared" si="298"/>
        <v>0</v>
      </c>
      <c r="M1360" s="16">
        <f t="shared" si="298"/>
        <v>0</v>
      </c>
    </row>
    <row r="1361" spans="2:13" ht="15" customHeight="1" x14ac:dyDescent="0.2">
      <c r="B1361" s="10" t="s">
        <v>908</v>
      </c>
      <c r="C1361" s="10" t="s">
        <v>110</v>
      </c>
      <c r="D1361" s="16">
        <f t="shared" ref="D1361:M1361" si="299">D1357-D1359-D1351-D1352-D1360</f>
        <v>-13109.208602393688</v>
      </c>
      <c r="E1361" s="16">
        <f t="shared" si="299"/>
        <v>-10731.401834782384</v>
      </c>
      <c r="F1361" s="16">
        <f t="shared" si="299"/>
        <v>1113.9325948552323</v>
      </c>
      <c r="G1361" s="16">
        <f t="shared" si="299"/>
        <v>17124.109143804966</v>
      </c>
      <c r="H1361" s="16">
        <f t="shared" si="299"/>
        <v>4880.3257705638571</v>
      </c>
      <c r="I1361" s="16">
        <f t="shared" si="299"/>
        <v>-80.270303372239141</v>
      </c>
      <c r="J1361" s="16">
        <f t="shared" si="299"/>
        <v>4880.3257705638571</v>
      </c>
      <c r="K1361" s="16">
        <f t="shared" si="299"/>
        <v>17124.109143804966</v>
      </c>
      <c r="L1361" s="16">
        <f t="shared" si="299"/>
        <v>4880.3257705638571</v>
      </c>
      <c r="M1361" s="16">
        <f t="shared" si="299"/>
        <v>-80.270303372239141</v>
      </c>
    </row>
    <row r="1362" spans="2:13" ht="15" customHeight="1" x14ac:dyDescent="0.2">
      <c r="B1362" s="10" t="s">
        <v>909</v>
      </c>
      <c r="C1362" s="10" t="s">
        <v>110</v>
      </c>
      <c r="D1362" s="16">
        <f>D1361/(Inputs!$D$7+$D$1368)^D1342</f>
        <v>-12246.109218753494</v>
      </c>
      <c r="E1362" s="16">
        <f>E1361/(Inputs!$D$7+$D$1368)^E1342</f>
        <v>-9111.7213721637909</v>
      </c>
      <c r="F1362" s="16">
        <f>F1361/(Inputs!$D$7+$D$1368)^F1342</f>
        <v>859.88135545122896</v>
      </c>
      <c r="G1362" s="16">
        <f>G1361/(Inputs!$D$7+$D$1368)^G1342</f>
        <v>12017.752457582212</v>
      </c>
      <c r="H1362" s="16">
        <f>H1361/(Inputs!$D$7+$D$1368)^H1342</f>
        <v>3113.8646156036962</v>
      </c>
      <c r="I1362" s="16">
        <f>I1361/(Inputs!$D$7+$D$1368)^I1342</f>
        <v>-46.550905952930648</v>
      </c>
      <c r="J1362" s="16">
        <f>J1361/(Inputs!$D$7+$D$1368)^J1342</f>
        <v>2573.1060895257656</v>
      </c>
      <c r="K1362" s="16">
        <f>K1361/(Inputs!$D$7+$D$1368)^K1342</f>
        <v>8208.2866317752942</v>
      </c>
      <c r="L1362" s="16">
        <f>L1361/(Inputs!$D$7+$D$1368)^L1342</f>
        <v>2126.8114306425077</v>
      </c>
      <c r="M1362" s="16">
        <f>M1361/(Inputs!$D$7+$D$1368)^M1342</f>
        <v>-31.794895125285596</v>
      </c>
    </row>
    <row r="1363" spans="2:13" ht="15" customHeight="1" x14ac:dyDescent="0.2">
      <c r="B1363" s="3" t="s">
        <v>910</v>
      </c>
      <c r="C1363" s="10" t="s">
        <v>896</v>
      </c>
      <c r="D1363" s="28">
        <f>(D1349*$D$1367-D1353)/(Inputs!$D$7+$D$1368)^D1342</f>
        <v>63.15766916062681</v>
      </c>
      <c r="E1363" s="28">
        <f>(E1349*$D$1367-E1353)/(Inputs!$D$7+$D$1368)^E1342</f>
        <v>232.36099697908384</v>
      </c>
      <c r="F1363" s="28">
        <f>(F1349*$D$1367-F1353)/(Inputs!$D$7+$D$1368)^F1342</f>
        <v>350.80496233759658</v>
      </c>
      <c r="G1363" s="28">
        <f>(G1349*$D$1367-G1353)/(Inputs!$D$7+$D$1368)^G1342</f>
        <v>377.21213490178582</v>
      </c>
      <c r="H1363" s="28">
        <f>(H1349*$D$1367-H1353)/(Inputs!$D$7+$D$1368)^H1342</f>
        <v>342.94249419490291</v>
      </c>
      <c r="I1363" s="28">
        <f>(I1349*$D$1367-I1353)/(Inputs!$D$7+$D$1368)^I1342</f>
        <v>311.70489445657051</v>
      </c>
      <c r="J1363" s="28">
        <f>(J1349*$D$1367-J1353)/(Inputs!$D$7+$D$1368)^J1342</f>
        <v>283.38657234748786</v>
      </c>
      <c r="K1363" s="28">
        <f>(K1349*$D$1367-K1353)/(Inputs!$D$7+$D$1368)^K1342</f>
        <v>257.64096366490384</v>
      </c>
      <c r="L1363" s="28">
        <f>(L1349*$D$1367-L1353)/(Inputs!$D$7+$D$1368)^L1342</f>
        <v>234.23433795157629</v>
      </c>
      <c r="M1363" s="28">
        <f>(M1349*$D$1367-M1353)/(Inputs!$D$7+$D$1368)^M1342</f>
        <v>212.89863701698684</v>
      </c>
    </row>
    <row r="1364" spans="2:13" ht="15" customHeight="1" x14ac:dyDescent="0.2">
      <c r="B1364" s="10" t="s">
        <v>911</v>
      </c>
      <c r="C1364" s="10" t="s">
        <v>110</v>
      </c>
      <c r="D1364" s="16">
        <f>(-D1351-D1352)/(Inputs!$D$7+$D$1368)^D1342</f>
        <v>-14536.447397527105</v>
      </c>
      <c r="E1364" s="16">
        <f>(-E1351-E1352)/(Inputs!$D$7+$D$1368)^E1342</f>
        <v>-17616.488200475756</v>
      </c>
      <c r="F1364" s="16">
        <f>(-F1351-F1352)/(Inputs!$D$7+$D$1368)^F1342</f>
        <v>-12012.025548964448</v>
      </c>
      <c r="G1364" s="16">
        <f>(-G1351-G1352)/(Inputs!$D$7+$D$1368)^G1342</f>
        <v>-1851.359915178487</v>
      </c>
      <c r="H1364" s="16">
        <f>(-H1351-H1352)/(Inputs!$D$7+$D$1368)^H1342</f>
        <v>-9495.2419037884629</v>
      </c>
      <c r="I1364" s="16">
        <f>(-I1351-I1352)/(Inputs!$D$7+$D$1368)^I1342</f>
        <v>-11507.131858586603</v>
      </c>
      <c r="J1364" s="16">
        <f>(-J1351-J1352)/(Inputs!$D$7+$D$1368)^J1342</f>
        <v>-7846.2835672839774</v>
      </c>
      <c r="K1364" s="16">
        <f>(-K1351-K1352)/(Inputs!$D$7+$D$1368)^K1342</f>
        <v>-1264.5037327904422</v>
      </c>
      <c r="L1364" s="16">
        <f>(-L1351-L1352)/(Inputs!$D$7+$D$1368)^L1342</f>
        <v>-6485.3779822337692</v>
      </c>
      <c r="M1364" s="16">
        <f>(-M1351-M1352)/(Inputs!$D$7+$D$1368)^M1342</f>
        <v>-7859.5258920747219</v>
      </c>
    </row>
    <row r="1365" spans="2:13" ht="15" customHeight="1" x14ac:dyDescent="0.2">
      <c r="B1365" s="10" t="s">
        <v>912</v>
      </c>
      <c r="C1365" s="10" t="s">
        <v>110</v>
      </c>
      <c r="D1365" s="16">
        <f>Prices!I7</f>
        <v>35754.545454545456</v>
      </c>
    </row>
    <row r="1366" spans="2:13" ht="15" customHeight="1" x14ac:dyDescent="0.2">
      <c r="B1366" s="3" t="s">
        <v>913</v>
      </c>
      <c r="C1366" s="10" t="s">
        <v>914</v>
      </c>
      <c r="D1366" s="28">
        <f>IF(J1373&gt;=J1369,J1373,(D1365-J1372)/J1371)</f>
        <v>42.015536874208273</v>
      </c>
      <c r="G1366" s="99" t="s">
        <v>915</v>
      </c>
      <c r="H1366" s="91"/>
      <c r="I1366" s="91"/>
      <c r="J1366" s="28">
        <f>D1366*Inputs!$D$15</f>
        <v>29.322643184509953</v>
      </c>
      <c r="K1366" s="99" t="s">
        <v>916</v>
      </c>
      <c r="L1366" s="91"/>
      <c r="M1366" s="91"/>
    </row>
    <row r="1367" spans="2:13" ht="15" customHeight="1" x14ac:dyDescent="0.2">
      <c r="B1367" s="10" t="s">
        <v>917</v>
      </c>
      <c r="C1367" s="10" t="s">
        <v>104</v>
      </c>
      <c r="D1367" s="30">
        <f>Inputs!$D$141</f>
        <v>0.59</v>
      </c>
      <c r="G1367" s="99" t="s">
        <v>918</v>
      </c>
      <c r="H1367" s="91"/>
      <c r="I1367" s="91"/>
      <c r="J1367" s="28">
        <f>IF(-D1378/D1377&gt;=J1369,-D1378/D1377,-J1372/J1371)</f>
        <v>32.835087452382361</v>
      </c>
      <c r="K1367" s="99" t="s">
        <v>919</v>
      </c>
      <c r="L1367" s="91"/>
      <c r="M1367" s="91"/>
    </row>
    <row r="1368" spans="2:13" ht="15" customHeight="1" x14ac:dyDescent="0.2">
      <c r="B1368" s="10" t="s">
        <v>920</v>
      </c>
      <c r="C1368" s="10" t="s">
        <v>104</v>
      </c>
      <c r="D1368" s="30">
        <f>Inputs!$D$147</f>
        <v>0.1</v>
      </c>
      <c r="G1368" s="99" t="s">
        <v>918</v>
      </c>
      <c r="H1368" s="91"/>
      <c r="I1368" s="91"/>
      <c r="J1368" s="28">
        <f>J1367*Inputs!$D$15</f>
        <v>22.915607533017649</v>
      </c>
      <c r="K1368" s="99" t="s">
        <v>916</v>
      </c>
      <c r="L1368" s="91"/>
      <c r="M1368" s="91"/>
    </row>
    <row r="1369" spans="2:13" ht="15" customHeight="1" x14ac:dyDescent="0.2">
      <c r="B1369" s="3" t="s">
        <v>921</v>
      </c>
      <c r="C1369" s="10" t="s">
        <v>848</v>
      </c>
      <c r="D1369" s="28">
        <f>Capital!$D$13</f>
        <v>57.347931490590682</v>
      </c>
      <c r="G1369" s="99" t="s">
        <v>922</v>
      </c>
      <c r="H1369" s="91"/>
      <c r="I1369" s="91"/>
      <c r="J1369" s="28">
        <f>($D$1369/Inputs!$D$21+$D$1370/Inputs!$D$22)/$D$1367</f>
        <v>24.521773131961492</v>
      </c>
      <c r="K1369" s="99" t="s">
        <v>919</v>
      </c>
      <c r="L1369" s="91"/>
      <c r="M1369" s="91"/>
    </row>
    <row r="1370" spans="2:13" ht="15" customHeight="1" x14ac:dyDescent="0.2">
      <c r="B1370" s="3" t="s">
        <v>923</v>
      </c>
      <c r="C1370" s="10" t="s">
        <v>848</v>
      </c>
      <c r="D1370" s="28">
        <f>Capital!$D$14</f>
        <v>2.6172655041921802</v>
      </c>
    </row>
    <row r="1371" spans="2:13" ht="15" customHeight="1" x14ac:dyDescent="0.2">
      <c r="B1371" s="10" t="s">
        <v>924</v>
      </c>
      <c r="C1371" s="10" t="s">
        <v>896</v>
      </c>
      <c r="D1371" s="28">
        <f>(M1344*(Inputs!$D$7+Inputs!$D$20)*$D$1367*(Inputs!$D$7-Inputs!$D$19)-M1344*Inputs!$D$20*Inputs!$D$23)/($D$1368-Inputs!$D$20)/(Inputs!$D$7+$D$1368)^M1342</f>
        <v>2033.7232512334531</v>
      </c>
      <c r="G1371" s="92" t="s">
        <v>910</v>
      </c>
      <c r="H1371" s="91"/>
      <c r="I1371" s="91"/>
      <c r="J1371" s="28">
        <f>SUM(D1363:M1363)+(M1344*(Inputs!$D$7+Inputs!$D$20)*$D$1367-M1344*Inputs!$D$20*Inputs!$D$23)/($D$1368-Inputs!$D$20)/(Inputs!$D$7+$D$1368)^M1342</f>
        <v>5572.9513260146196</v>
      </c>
      <c r="K1371" s="99" t="s">
        <v>896</v>
      </c>
      <c r="L1371" s="91"/>
      <c r="M1371" s="91"/>
    </row>
    <row r="1372" spans="2:13" ht="15" customHeight="1" x14ac:dyDescent="0.2">
      <c r="B1372" s="10" t="s">
        <v>925</v>
      </c>
      <c r="C1372" s="10" t="s">
        <v>110</v>
      </c>
      <c r="D1372" s="16">
        <f>(D1375*Inputs!$D$19-D1375-D1376)/($D$1368-Inputs!$D$20)/(Inputs!$D$7+$D$1368)^M1342</f>
        <v>-57156.954988173631</v>
      </c>
      <c r="G1372" s="92" t="s">
        <v>926</v>
      </c>
      <c r="H1372" s="91"/>
      <c r="I1372" s="91"/>
      <c r="J1372" s="16">
        <f>SUM(D1364:M1364)-(D1375+D1376)/($D$1368-Inputs!$D$20)/(Inputs!$D$7+$D$1368)^M1342</f>
        <v>-169036.01450291832</v>
      </c>
      <c r="K1372" s="99" t="s">
        <v>110</v>
      </c>
      <c r="L1372" s="91"/>
      <c r="M1372" s="91"/>
    </row>
    <row r="1373" spans="2:13" ht="15" customHeight="1" x14ac:dyDescent="0.2">
      <c r="B1373" s="10" t="s">
        <v>927</v>
      </c>
      <c r="C1373" s="10" t="s">
        <v>928</v>
      </c>
      <c r="D1373" s="16">
        <f>(M1344*(Inputs!$D$7+Inputs!$D$20)*$D$1366*$D$1367-D1375)-MAX((M1344*(Inputs!$D$7+Inputs!$D$20)*$D$1366*$D$1367-D1375),Inputs!$D$6)*Inputs!$D$19-D1376-M1344*Inputs!$D$20*$D$1366*Inputs!$D$23</f>
        <v>5356.8238476020733</v>
      </c>
      <c r="G1373" s="99" t="s">
        <v>929</v>
      </c>
      <c r="H1373" s="91"/>
      <c r="I1373" s="91"/>
      <c r="J1373" s="28">
        <f>(D1365-D1378)/D1377</f>
        <v>42.015536874208273</v>
      </c>
      <c r="K1373" s="99" t="s">
        <v>919</v>
      </c>
      <c r="L1373" s="91"/>
      <c r="M1373" s="91"/>
    </row>
    <row r="1374" spans="2:13" ht="15" customHeight="1" x14ac:dyDescent="0.2">
      <c r="B1374" s="10" t="s">
        <v>930</v>
      </c>
      <c r="C1374" s="10" t="s">
        <v>110</v>
      </c>
      <c r="D1374" s="16">
        <f>D1373/($D$1368-Inputs!$D$20)</f>
        <v>71424.317968027637</v>
      </c>
      <c r="G1374" s="99" t="s">
        <v>931</v>
      </c>
      <c r="H1374" s="91"/>
      <c r="I1374" s="91"/>
      <c r="J1374" s="16">
        <f>MIN(D1358:M1358,(M1344*(Inputs!$D$7+Inputs!$D$20)*$D$1366*$D$1367-D1375))</f>
        <v>1296.2264675592148</v>
      </c>
      <c r="K1374" s="99" t="s">
        <v>110</v>
      </c>
      <c r="L1374" s="91"/>
      <c r="M1374" s="91"/>
    </row>
    <row r="1375" spans="2:13" ht="15" customHeight="1" x14ac:dyDescent="0.2">
      <c r="B1375" s="10" t="s">
        <v>932</v>
      </c>
      <c r="C1375" s="10" t="s">
        <v>928</v>
      </c>
      <c r="D1375" s="16">
        <f>M1344*(Inputs!$D$7+Inputs!$D$20)*($D$1369/Inputs!$D$21+$D$1370/Inputs!$D$22)</f>
        <v>13509.71303671543</v>
      </c>
      <c r="G1375" s="99" t="s">
        <v>933</v>
      </c>
      <c r="H1375" s="91"/>
      <c r="I1375" s="91"/>
      <c r="J1375" s="31" t="str">
        <f>IF(J1374&lt;Inputs!$D$6,"breached","satisfied")</f>
        <v>satisfied</v>
      </c>
      <c r="K1375" s="99" t="s">
        <v>934</v>
      </c>
      <c r="L1375" s="91"/>
      <c r="M1375" s="91"/>
    </row>
    <row r="1376" spans="2:13" ht="15" customHeight="1" x14ac:dyDescent="0.2">
      <c r="B1376" s="10" t="s">
        <v>935</v>
      </c>
      <c r="C1376" s="10" t="s">
        <v>928</v>
      </c>
      <c r="D1376" s="16">
        <f>M1344*Inputs!$D$20*($D$1369+$D$1370)</f>
        <v>1365.7073615561799</v>
      </c>
    </row>
    <row r="1377" spans="1:13" ht="15" customHeight="1" x14ac:dyDescent="0.2">
      <c r="B1377" s="10" t="s">
        <v>936</v>
      </c>
      <c r="C1377" s="10" t="s">
        <v>896</v>
      </c>
      <c r="D1377" s="28">
        <f>SUM(D1354:M1354)+D1371</f>
        <v>3894.6399911034173</v>
      </c>
      <c r="G1377" s="99" t="s">
        <v>937</v>
      </c>
      <c r="H1377" s="91"/>
      <c r="I1377" s="91"/>
      <c r="J1377" s="16">
        <f>D1379-D1365</f>
        <v>0</v>
      </c>
      <c r="K1377" s="99" t="s">
        <v>110</v>
      </c>
      <c r="L1377" s="91"/>
      <c r="M1377" s="91"/>
    </row>
    <row r="1378" spans="1:13" ht="15" customHeight="1" x14ac:dyDescent="0.2">
      <c r="B1378" s="10" t="s">
        <v>938</v>
      </c>
      <c r="C1378" s="10" t="s">
        <v>110</v>
      </c>
      <c r="D1378" s="16">
        <f>SUM(D1355:M1355)+D1372</f>
        <v>-127880.84470342637</v>
      </c>
    </row>
    <row r="1379" spans="1:13" ht="15" customHeight="1" x14ac:dyDescent="0.2">
      <c r="B1379" s="10" t="s">
        <v>939</v>
      </c>
      <c r="C1379" s="10" t="s">
        <v>110</v>
      </c>
      <c r="D1379" s="16">
        <f>SUM(D1362:M1362)+D1374/(Inputs!$D$7+$D$1368)^M1342</f>
        <v>35754.545454545441</v>
      </c>
    </row>
    <row r="1380" spans="1:13" ht="15" customHeight="1" x14ac:dyDescent="0.2">
      <c r="B1380" s="10" t="s">
        <v>940</v>
      </c>
      <c r="C1380" s="10" t="s">
        <v>104</v>
      </c>
      <c r="D1380" s="30">
        <f>IF(ABS(D1365)&gt;Inputs!$D$6,D1379/D1365-Inputs!$D$7,Inputs!$D$6)</f>
        <v>-4.4408920985006262E-16</v>
      </c>
    </row>
    <row r="1381" spans="1:13" ht="15" customHeight="1" x14ac:dyDescent="0.2">
      <c r="B1381" s="10" t="s">
        <v>941</v>
      </c>
      <c r="C1381" s="10" t="s">
        <v>104</v>
      </c>
      <c r="D1381" s="30">
        <f>IF(ABS(D1379)&gt;Inputs!$D$119,D1374/(Inputs!$D$7+$D$1368)^M1342/D1379,Inputs!$D$6)</f>
        <v>0.79125657748681089</v>
      </c>
    </row>
    <row r="1382" spans="1:13" ht="15" customHeight="1" x14ac:dyDescent="0.2">
      <c r="B1382" s="10" t="s">
        <v>942</v>
      </c>
      <c r="C1382" s="10" t="s">
        <v>943</v>
      </c>
      <c r="D1382" s="26">
        <f>$D$1366*Inputs!$D$8/Prices!$P$6/(Inputs!$D$26/Inputs!$D$25)/Inputs!$D$11/Inputs!$D$56</f>
        <v>7.6406530037064346</v>
      </c>
    </row>
    <row r="1386" spans="1:13" ht="15" customHeight="1" x14ac:dyDescent="0.2">
      <c r="A1386" s="104" t="s">
        <v>2195</v>
      </c>
      <c r="B1386" s="10" t="s">
        <v>886</v>
      </c>
      <c r="C1386" s="10" t="s">
        <v>107</v>
      </c>
      <c r="D1386" s="28">
        <f>Inputs!$D$60</f>
        <v>1</v>
      </c>
      <c r="E1386" s="28">
        <f>Inputs!$D$62</f>
        <v>2</v>
      </c>
      <c r="F1386" s="28">
        <f>Inputs!$D$64</f>
        <v>3</v>
      </c>
      <c r="G1386" s="28">
        <f>Inputs!$D$66</f>
        <v>4</v>
      </c>
      <c r="H1386" s="28">
        <f>Inputs!$D$68</f>
        <v>5</v>
      </c>
      <c r="I1386" s="28">
        <f>Inputs!$D$70</f>
        <v>6</v>
      </c>
      <c r="J1386" s="28">
        <f>Inputs!$D$72</f>
        <v>7</v>
      </c>
      <c r="K1386" s="28">
        <f>Inputs!$D$74</f>
        <v>8</v>
      </c>
      <c r="L1386" s="28">
        <f>Inputs!$D$76</f>
        <v>9</v>
      </c>
      <c r="M1386" s="28">
        <f>Inputs!$D$78</f>
        <v>10</v>
      </c>
    </row>
    <row r="1387" spans="1:13" ht="15" customHeight="1" x14ac:dyDescent="0.2">
      <c r="A1387" s="91"/>
      <c r="B1387" s="10" t="s">
        <v>887</v>
      </c>
      <c r="C1387" s="10" t="s">
        <v>161</v>
      </c>
      <c r="D1387" s="29">
        <f>Inputs!$D$61</f>
        <v>46568</v>
      </c>
      <c r="E1387" s="29">
        <f>Inputs!$D$63</f>
        <v>46934</v>
      </c>
      <c r="F1387" s="29">
        <f>Inputs!$D$65</f>
        <v>47299</v>
      </c>
      <c r="G1387" s="29">
        <f>Inputs!$D$67</f>
        <v>47664</v>
      </c>
      <c r="H1387" s="29">
        <f>Inputs!$D$69</f>
        <v>48029</v>
      </c>
      <c r="I1387" s="29">
        <f>Inputs!$D$71</f>
        <v>48395</v>
      </c>
      <c r="J1387" s="29">
        <f>Inputs!$D$73</f>
        <v>48760</v>
      </c>
      <c r="K1387" s="29">
        <f>Inputs!$D$75</f>
        <v>49125</v>
      </c>
      <c r="L1387" s="29">
        <f>Inputs!$D$77</f>
        <v>49490</v>
      </c>
      <c r="M1387" s="29">
        <f>Inputs!$D$79</f>
        <v>49856</v>
      </c>
    </row>
    <row r="1388" spans="1:13" ht="15" customHeight="1" x14ac:dyDescent="0.2">
      <c r="A1388" s="91"/>
      <c r="B1388" s="10" t="s">
        <v>888</v>
      </c>
      <c r="C1388" s="10" t="s">
        <v>107</v>
      </c>
      <c r="D1388" s="28">
        <f>(D1387-Inputs!$D$13)/Inputs!$D$10</f>
        <v>0.71457905544147848</v>
      </c>
      <c r="E1388" s="28">
        <f>(E1387-Inputs!$D$13)/Inputs!$D$10</f>
        <v>1.7166324435318274</v>
      </c>
      <c r="F1388" s="28">
        <f>(F1387-Inputs!$D$13)/Inputs!$D$10</f>
        <v>2.7159479808350446</v>
      </c>
      <c r="G1388" s="28">
        <f>(G1387-Inputs!$D$13)/Inputs!$D$10</f>
        <v>3.7152635181382614</v>
      </c>
      <c r="H1388" s="28">
        <f>(H1387-Inputs!$D$13)/Inputs!$D$10</f>
        <v>4.7145790554414786</v>
      </c>
      <c r="I1388" s="28">
        <f>(I1387-Inputs!$D$13)/Inputs!$D$10</f>
        <v>5.7166324435318279</v>
      </c>
      <c r="J1388" s="28">
        <f>(J1387-Inputs!$D$13)/Inputs!$D$10</f>
        <v>6.7159479808350442</v>
      </c>
      <c r="K1388" s="28">
        <f>(K1387-Inputs!$D$13)/Inputs!$D$10</f>
        <v>7.7152635181382614</v>
      </c>
      <c r="L1388" s="28">
        <f>(L1387-Inputs!$D$13)/Inputs!$D$10</f>
        <v>8.7145790554414777</v>
      </c>
      <c r="M1388" s="28">
        <f>(M1387-Inputs!$D$13)/Inputs!$D$10</f>
        <v>9.716632443531827</v>
      </c>
    </row>
    <row r="1389" spans="1:13" ht="15" customHeight="1" x14ac:dyDescent="0.2">
      <c r="A1389" s="91"/>
      <c r="B1389" s="10" t="s">
        <v>889</v>
      </c>
      <c r="C1389" s="10" t="s">
        <v>107</v>
      </c>
      <c r="D1389" s="28">
        <f>D1388</f>
        <v>0.71457905544147848</v>
      </c>
      <c r="E1389" s="28">
        <f>Inputs!$D$7</f>
        <v>1</v>
      </c>
      <c r="F1389" s="28">
        <f>Inputs!$D$7</f>
        <v>1</v>
      </c>
      <c r="G1389" s="28">
        <f>Inputs!$D$7</f>
        <v>1</v>
      </c>
      <c r="H1389" s="28">
        <f>Inputs!$D$7</f>
        <v>1</v>
      </c>
      <c r="I1389" s="28">
        <f>Inputs!$D$7</f>
        <v>1</v>
      </c>
      <c r="J1389" s="28">
        <f>Inputs!$D$7</f>
        <v>1</v>
      </c>
      <c r="K1389" s="28">
        <f>Inputs!$D$7</f>
        <v>1</v>
      </c>
      <c r="L1389" s="28">
        <f>Inputs!$D$7</f>
        <v>1</v>
      </c>
      <c r="M1389" s="28">
        <f>Inputs!$D$7</f>
        <v>1</v>
      </c>
    </row>
    <row r="1390" spans="1:13" ht="15" customHeight="1" x14ac:dyDescent="0.2">
      <c r="A1390" s="91"/>
      <c r="B1390" s="3" t="s">
        <v>890</v>
      </c>
      <c r="C1390" s="10" t="s">
        <v>199</v>
      </c>
      <c r="D1390" s="28">
        <f>Inputs!$D$24+(Inputs!$D$80-Inputs!$D$24)*Inputs!$D$83</f>
        <v>305.5</v>
      </c>
      <c r="E1390" s="28">
        <f>Inputs!$D$24+(Inputs!$D$80-Inputs!$D$24)*Inputs!$D$84</f>
        <v>651.5</v>
      </c>
      <c r="F1390" s="28">
        <f>Inputs!$D$24+(Inputs!$D$80-Inputs!$D$24)*Inputs!$D$85</f>
        <v>911</v>
      </c>
      <c r="G1390" s="28">
        <f>Inputs!$D$24+(Inputs!$D$80-Inputs!$D$24)*Inputs!$D$86</f>
        <v>911</v>
      </c>
      <c r="H1390" s="28">
        <f>Inputs!$D$24+(Inputs!$D$80-Inputs!$D$24)*Inputs!$D$87</f>
        <v>911</v>
      </c>
      <c r="I1390" s="28">
        <f>Inputs!$D$24+(Inputs!$D$80-Inputs!$D$24)*Inputs!$D$88</f>
        <v>911</v>
      </c>
      <c r="J1390" s="28">
        <f>Inputs!$D$24+(Inputs!$D$80-Inputs!$D$24)*Inputs!$D$89</f>
        <v>911</v>
      </c>
      <c r="K1390" s="28">
        <f>Inputs!$D$24+(Inputs!$D$80-Inputs!$D$24)*Inputs!$D$90</f>
        <v>911</v>
      </c>
      <c r="L1390" s="28">
        <f>Inputs!$D$24+(Inputs!$D$80-Inputs!$D$24)*Inputs!$D$91</f>
        <v>911</v>
      </c>
      <c r="M1390" s="28">
        <f>Inputs!$D$24+(Inputs!$D$80-Inputs!$D$24)*Inputs!$D$92</f>
        <v>911</v>
      </c>
    </row>
    <row r="1391" spans="1:13" ht="15" customHeight="1" x14ac:dyDescent="0.2">
      <c r="A1391" s="91"/>
      <c r="B1391" s="10" t="s">
        <v>891</v>
      </c>
      <c r="C1391" s="10" t="s">
        <v>199</v>
      </c>
      <c r="D1391" s="28">
        <f>Inputs!$D$24</f>
        <v>46</v>
      </c>
      <c r="E1391" s="28">
        <f t="shared" ref="E1391:M1391" si="300">D1390</f>
        <v>305.5</v>
      </c>
      <c r="F1391" s="28">
        <f t="shared" si="300"/>
        <v>651.5</v>
      </c>
      <c r="G1391" s="28">
        <f t="shared" si="300"/>
        <v>911</v>
      </c>
      <c r="H1391" s="28">
        <f t="shared" si="300"/>
        <v>911</v>
      </c>
      <c r="I1391" s="28">
        <f t="shared" si="300"/>
        <v>911</v>
      </c>
      <c r="J1391" s="28">
        <f t="shared" si="300"/>
        <v>911</v>
      </c>
      <c r="K1391" s="28">
        <f t="shared" si="300"/>
        <v>911</v>
      </c>
      <c r="L1391" s="28">
        <f t="shared" si="300"/>
        <v>911</v>
      </c>
      <c r="M1391" s="28">
        <f t="shared" si="300"/>
        <v>911</v>
      </c>
    </row>
    <row r="1392" spans="1:13" ht="15" customHeight="1" x14ac:dyDescent="0.2">
      <c r="B1392" s="10" t="s">
        <v>892</v>
      </c>
      <c r="C1392" s="10" t="s">
        <v>199</v>
      </c>
      <c r="D1392" s="28">
        <f>(D1391+D1390)*Inputs!$D$12</f>
        <v>175.75</v>
      </c>
      <c r="E1392" s="28">
        <f>(E1391+E1390)*Inputs!$D$12</f>
        <v>478.5</v>
      </c>
      <c r="F1392" s="28">
        <f>(F1391+F1390)*Inputs!$D$12</f>
        <v>781.25</v>
      </c>
      <c r="G1392" s="28">
        <f>(G1391+G1390)*Inputs!$D$12</f>
        <v>911</v>
      </c>
      <c r="H1392" s="28">
        <f>(H1391+H1390)*Inputs!$D$12</f>
        <v>911</v>
      </c>
      <c r="I1392" s="28">
        <f>(I1391+I1390)*Inputs!$D$12</f>
        <v>911</v>
      </c>
      <c r="J1392" s="28">
        <f>(J1391+J1390)*Inputs!$D$12</f>
        <v>911</v>
      </c>
      <c r="K1392" s="28">
        <f>(K1391+K1390)*Inputs!$D$12</f>
        <v>911</v>
      </c>
      <c r="L1392" s="28">
        <f>(L1391+L1390)*Inputs!$D$12</f>
        <v>911</v>
      </c>
      <c r="M1392" s="28">
        <f>(M1391+M1390)*Inputs!$D$12</f>
        <v>911</v>
      </c>
    </row>
    <row r="1393" spans="2:13" ht="15" customHeight="1" x14ac:dyDescent="0.2">
      <c r="B1393" s="10" t="s">
        <v>893</v>
      </c>
      <c r="C1393" s="10" t="s">
        <v>199</v>
      </c>
      <c r="D1393" s="28">
        <f t="shared" ref="D1393:M1393" si="301">D1390-D1391</f>
        <v>259.5</v>
      </c>
      <c r="E1393" s="28">
        <f t="shared" si="301"/>
        <v>346</v>
      </c>
      <c r="F1393" s="28">
        <f t="shared" si="301"/>
        <v>259.5</v>
      </c>
      <c r="G1393" s="28">
        <f t="shared" si="301"/>
        <v>0</v>
      </c>
      <c r="H1393" s="28">
        <f t="shared" si="301"/>
        <v>0</v>
      </c>
      <c r="I1393" s="28">
        <f t="shared" si="301"/>
        <v>0</v>
      </c>
      <c r="J1393" s="28">
        <f t="shared" si="301"/>
        <v>0</v>
      </c>
      <c r="K1393" s="28">
        <f t="shared" si="301"/>
        <v>0</v>
      </c>
      <c r="L1393" s="28">
        <f t="shared" si="301"/>
        <v>0</v>
      </c>
      <c r="M1393" s="28">
        <f t="shared" si="301"/>
        <v>0</v>
      </c>
    </row>
    <row r="1394" spans="2:13" ht="15" customHeight="1" x14ac:dyDescent="0.2">
      <c r="B1394" s="10" t="s">
        <v>894</v>
      </c>
      <c r="C1394" s="10" t="s">
        <v>199</v>
      </c>
      <c r="D1394" s="28">
        <f>IF(MOD(D1386,Inputs!$D$21)=Inputs!$D$6,Inputs!$D$24,Inputs!$D$6)+SUMPRODUCT(--(D1386&gt;$D$1386:$M$1386),--(MOD(D1386-$D$1386:$M$1386,Inputs!$D$21)=Inputs!$D$6),$D$1393:$M$1393)</f>
        <v>0</v>
      </c>
      <c r="E1394" s="28">
        <f>IF(MOD(E1386,Inputs!$D$21)=Inputs!$D$6,Inputs!$D$24,Inputs!$D$6)+SUMPRODUCT(--(E1386&gt;$D$1386:$M$1386),--(MOD(E1386-$D$1386:$M$1386,Inputs!$D$21)=Inputs!$D$6),$D$1393:$M$1393)</f>
        <v>0</v>
      </c>
      <c r="F1394" s="28">
        <f>IF(MOD(F1386,Inputs!$D$21)=Inputs!$D$6,Inputs!$D$24,Inputs!$D$6)+SUMPRODUCT(--(F1386&gt;$D$1386:$M$1386),--(MOD(F1386-$D$1386:$M$1386,Inputs!$D$21)=Inputs!$D$6),$D$1393:$M$1393)</f>
        <v>0</v>
      </c>
      <c r="G1394" s="28">
        <f>IF(MOD(G1386,Inputs!$D$21)=Inputs!$D$6,Inputs!$D$24,Inputs!$D$6)+SUMPRODUCT(--(G1386&gt;$D$1386:$M$1386),--(MOD(G1386-$D$1386:$M$1386,Inputs!$D$21)=Inputs!$D$6),$D$1393:$M$1393)</f>
        <v>46</v>
      </c>
      <c r="H1394" s="28">
        <f>IF(MOD(H1386,Inputs!$D$21)=Inputs!$D$6,Inputs!$D$24,Inputs!$D$6)+SUMPRODUCT(--(H1386&gt;$D$1386:$M$1386),--(MOD(H1386-$D$1386:$M$1386,Inputs!$D$21)=Inputs!$D$6),$D$1393:$M$1393)</f>
        <v>259.5</v>
      </c>
      <c r="I1394" s="28">
        <f>IF(MOD(I1386,Inputs!$D$21)=Inputs!$D$6,Inputs!$D$24,Inputs!$D$6)+SUMPRODUCT(--(I1386&gt;$D$1386:$M$1386),--(MOD(I1386-$D$1386:$M$1386,Inputs!$D$21)=Inputs!$D$6),$D$1393:$M$1393)</f>
        <v>346</v>
      </c>
      <c r="J1394" s="28">
        <f>IF(MOD(J1386,Inputs!$D$21)=Inputs!$D$6,Inputs!$D$24,Inputs!$D$6)+SUMPRODUCT(--(J1386&gt;$D$1386:$M$1386),--(MOD(J1386-$D$1386:$M$1386,Inputs!$D$21)=Inputs!$D$6),$D$1393:$M$1393)</f>
        <v>259.5</v>
      </c>
      <c r="K1394" s="28">
        <f>IF(MOD(K1386,Inputs!$D$21)=Inputs!$D$6,Inputs!$D$24,Inputs!$D$6)+SUMPRODUCT(--(K1386&gt;$D$1386:$M$1386),--(MOD(K1386-$D$1386:$M$1386,Inputs!$D$21)=Inputs!$D$6),$D$1393:$M$1393)</f>
        <v>46</v>
      </c>
      <c r="L1394" s="28">
        <f>IF(MOD(L1386,Inputs!$D$21)=Inputs!$D$6,Inputs!$D$24,Inputs!$D$6)+SUMPRODUCT(--(L1386&gt;$D$1386:$M$1386),--(MOD(L1386-$D$1386:$M$1386,Inputs!$D$21)=Inputs!$D$6),$D$1393:$M$1393)</f>
        <v>259.5</v>
      </c>
      <c r="M1394" s="28">
        <f>IF(MOD(M1386,Inputs!$D$21)=Inputs!$D$6,Inputs!$D$24,Inputs!$D$6)+SUMPRODUCT(--(M1386&gt;$D$1386:$M$1386),--(MOD(M1386-$D$1386:$M$1386,Inputs!$D$21)=Inputs!$D$6),$D$1393:$M$1393)</f>
        <v>346</v>
      </c>
    </row>
    <row r="1395" spans="2:13" ht="15" customHeight="1" x14ac:dyDescent="0.2">
      <c r="B1395" s="10" t="s">
        <v>895</v>
      </c>
      <c r="C1395" s="10" t="s">
        <v>896</v>
      </c>
      <c r="D1395" s="28">
        <f t="shared" ref="D1395:M1395" si="302">D1392*D1389</f>
        <v>125.58726899383984</v>
      </c>
      <c r="E1395" s="28">
        <f t="shared" si="302"/>
        <v>478.5</v>
      </c>
      <c r="F1395" s="28">
        <f t="shared" si="302"/>
        <v>781.25</v>
      </c>
      <c r="G1395" s="28">
        <f t="shared" si="302"/>
        <v>911</v>
      </c>
      <c r="H1395" s="28">
        <f t="shared" si="302"/>
        <v>911</v>
      </c>
      <c r="I1395" s="28">
        <f t="shared" si="302"/>
        <v>911</v>
      </c>
      <c r="J1395" s="28">
        <f t="shared" si="302"/>
        <v>911</v>
      </c>
      <c r="K1395" s="28">
        <f t="shared" si="302"/>
        <v>911</v>
      </c>
      <c r="L1395" s="28">
        <f t="shared" si="302"/>
        <v>911</v>
      </c>
      <c r="M1395" s="28">
        <f t="shared" si="302"/>
        <v>911</v>
      </c>
    </row>
    <row r="1396" spans="2:13" ht="15" customHeight="1" x14ac:dyDescent="0.2">
      <c r="B1396" s="10" t="s">
        <v>897</v>
      </c>
      <c r="C1396" s="10" t="s">
        <v>110</v>
      </c>
      <c r="D1396" s="16">
        <f>D1395*($D$1415/Inputs!$D$21+$D$1416/Inputs!$D$22)</f>
        <v>1816.9772859324419</v>
      </c>
      <c r="E1396" s="16">
        <f>E1395*($D$1415/Inputs!$D$21+$D$1416/Inputs!$D$22)</f>
        <v>6922.8643817497086</v>
      </c>
      <c r="F1396" s="16">
        <f>F1395*($D$1415/Inputs!$D$21+$D$1416/Inputs!$D$22)</f>
        <v>11303.0048030135</v>
      </c>
      <c r="G1396" s="16">
        <f>G1395*($D$1415/Inputs!$D$21+$D$1416/Inputs!$D$22)</f>
        <v>13180.207840697982</v>
      </c>
      <c r="H1396" s="16">
        <f>H1395*($D$1415/Inputs!$D$21+$D$1416/Inputs!$D$22)</f>
        <v>13180.207840697982</v>
      </c>
      <c r="I1396" s="16">
        <f>I1395*($D$1415/Inputs!$D$21+$D$1416/Inputs!$D$22)</f>
        <v>13180.207840697982</v>
      </c>
      <c r="J1396" s="16">
        <f>J1395*($D$1415/Inputs!$D$21+$D$1416/Inputs!$D$22)</f>
        <v>13180.207840697982</v>
      </c>
      <c r="K1396" s="16">
        <f>K1395*($D$1415/Inputs!$D$21+$D$1416/Inputs!$D$22)</f>
        <v>13180.207840697982</v>
      </c>
      <c r="L1396" s="16">
        <f>L1395*($D$1415/Inputs!$D$21+$D$1416/Inputs!$D$22)</f>
        <v>13180.207840697982</v>
      </c>
      <c r="M1396" s="16">
        <f>M1395*($D$1415/Inputs!$D$21+$D$1416/Inputs!$D$22)</f>
        <v>13180.207840697982</v>
      </c>
    </row>
    <row r="1397" spans="2:13" ht="15" customHeight="1" x14ac:dyDescent="0.2">
      <c r="B1397" s="10" t="s">
        <v>898</v>
      </c>
      <c r="C1397" s="10" t="s">
        <v>110</v>
      </c>
      <c r="D1397" s="16">
        <f t="shared" ref="D1397:M1397" si="303">D1393*($D$1415+$D$1416)</f>
        <v>15560.968620146154</v>
      </c>
      <c r="E1397" s="16">
        <f t="shared" si="303"/>
        <v>20747.95816019487</v>
      </c>
      <c r="F1397" s="16">
        <f t="shared" si="303"/>
        <v>15560.968620146154</v>
      </c>
      <c r="G1397" s="16">
        <f t="shared" si="303"/>
        <v>0</v>
      </c>
      <c r="H1397" s="16">
        <f t="shared" si="303"/>
        <v>0</v>
      </c>
      <c r="I1397" s="16">
        <f t="shared" si="303"/>
        <v>0</v>
      </c>
      <c r="J1397" s="16">
        <f t="shared" si="303"/>
        <v>0</v>
      </c>
      <c r="K1397" s="16">
        <f t="shared" si="303"/>
        <v>0</v>
      </c>
      <c r="L1397" s="16">
        <f t="shared" si="303"/>
        <v>0</v>
      </c>
      <c r="M1397" s="16">
        <f t="shared" si="303"/>
        <v>0</v>
      </c>
    </row>
    <row r="1398" spans="2:13" ht="15" customHeight="1" x14ac:dyDescent="0.2">
      <c r="B1398" s="10" t="s">
        <v>899</v>
      </c>
      <c r="C1398" s="10" t="s">
        <v>110</v>
      </c>
      <c r="D1398" s="16">
        <f t="shared" ref="D1398:M1398" si="304">D1394*$D$1415</f>
        <v>0</v>
      </c>
      <c r="E1398" s="16">
        <f t="shared" si="304"/>
        <v>0</v>
      </c>
      <c r="F1398" s="16">
        <f t="shared" si="304"/>
        <v>0</v>
      </c>
      <c r="G1398" s="16">
        <f t="shared" si="304"/>
        <v>2638.0048485671714</v>
      </c>
      <c r="H1398" s="16">
        <f t="shared" si="304"/>
        <v>14881.788221808281</v>
      </c>
      <c r="I1398" s="16">
        <f t="shared" si="304"/>
        <v>19842.384295744378</v>
      </c>
      <c r="J1398" s="16">
        <f t="shared" si="304"/>
        <v>14881.788221808281</v>
      </c>
      <c r="K1398" s="16">
        <f t="shared" si="304"/>
        <v>2638.0048485671714</v>
      </c>
      <c r="L1398" s="16">
        <f t="shared" si="304"/>
        <v>14881.788221808281</v>
      </c>
      <c r="M1398" s="16">
        <f t="shared" si="304"/>
        <v>19842.384295744378</v>
      </c>
    </row>
    <row r="1399" spans="2:13" ht="15" customHeight="1" x14ac:dyDescent="0.2">
      <c r="B1399" s="10" t="s">
        <v>900</v>
      </c>
      <c r="C1399" s="10" t="s">
        <v>199</v>
      </c>
      <c r="D1399" s="28">
        <f>D1393*Inputs!$D$23</f>
        <v>6.4875000000000007</v>
      </c>
      <c r="E1399" s="28">
        <f>E1393*Inputs!$D$23</f>
        <v>8.65</v>
      </c>
      <c r="F1399" s="28">
        <f>F1393*Inputs!$D$23</f>
        <v>6.4875000000000007</v>
      </c>
      <c r="G1399" s="28">
        <f>G1393*Inputs!$D$23</f>
        <v>0</v>
      </c>
      <c r="H1399" s="28">
        <f>H1393*Inputs!$D$23</f>
        <v>0</v>
      </c>
      <c r="I1399" s="28">
        <f>I1393*Inputs!$D$23</f>
        <v>0</v>
      </c>
      <c r="J1399" s="28">
        <f>J1393*Inputs!$D$23</f>
        <v>0</v>
      </c>
      <c r="K1399" s="28">
        <f>K1393*Inputs!$D$23</f>
        <v>0</v>
      </c>
      <c r="L1399" s="28">
        <f>L1393*Inputs!$D$23</f>
        <v>0</v>
      </c>
      <c r="M1399" s="28">
        <f>M1393*Inputs!$D$23</f>
        <v>0</v>
      </c>
    </row>
    <row r="1400" spans="2:13" ht="15" customHeight="1" x14ac:dyDescent="0.2">
      <c r="B1400" s="3" t="s">
        <v>901</v>
      </c>
      <c r="C1400" s="10" t="s">
        <v>896</v>
      </c>
      <c r="D1400" s="28">
        <f>(D1395*$D$1413*(Inputs!$D$7-Inputs!$D$19)-D1399)/(Inputs!$D$7+$D$1414)^D1388</f>
        <v>41.849929069079735</v>
      </c>
      <c r="E1400" s="28">
        <f>(E1395*$D$1413*(Inputs!$D$7-Inputs!$D$19)-E1399)/(Inputs!$D$7+$D$1414)^E1388</f>
        <v>155.56244401500442</v>
      </c>
      <c r="F1400" s="28">
        <f>(F1395*$D$1413*(Inputs!$D$7-Inputs!$D$19)-F1399)/(Inputs!$D$7+$D$1414)^F1388</f>
        <v>232.40493879158302</v>
      </c>
      <c r="G1400" s="28">
        <f>(G1395*$D$1413*(Inputs!$D$7-Inputs!$D$19)-G1399)/(Inputs!$D$7+$D$1414)^G1388</f>
        <v>246.95083819233108</v>
      </c>
      <c r="H1400" s="28">
        <f>(H1395*$D$1413*(Inputs!$D$7-Inputs!$D$19)-H1399)/(Inputs!$D$7+$D$1414)^H1388</f>
        <v>220.50892386470983</v>
      </c>
      <c r="I1400" s="28">
        <f>(I1395*$D$1413*(Inputs!$D$7-Inputs!$D$19)-I1399)/(Inputs!$D$7+$D$1414)^I1388</f>
        <v>196.83715686992173</v>
      </c>
      <c r="J1400" s="28">
        <f>(J1395*$D$1413*(Inputs!$D$7-Inputs!$D$19)-J1399)/(Inputs!$D$7+$D$1414)^J1388</f>
        <v>175.76109461985791</v>
      </c>
      <c r="K1400" s="28">
        <f>(K1395*$D$1413*(Inputs!$D$7-Inputs!$D$19)-K1399)/(Inputs!$D$7+$D$1414)^K1388</f>
        <v>156.94172214845261</v>
      </c>
      <c r="L1400" s="28">
        <f>(L1395*$D$1413*(Inputs!$D$7-Inputs!$D$19)-L1399)/(Inputs!$D$7+$D$1414)^L1388</f>
        <v>140.13740756561756</v>
      </c>
      <c r="M1400" s="28">
        <f>(M1395*$D$1413*(Inputs!$D$7-Inputs!$D$19)-M1399)/(Inputs!$D$7+$D$1414)^M1388</f>
        <v>125.09357169264298</v>
      </c>
    </row>
    <row r="1401" spans="2:13" ht="15" customHeight="1" x14ac:dyDescent="0.2">
      <c r="B1401" s="10" t="s">
        <v>902</v>
      </c>
      <c r="C1401" s="10" t="s">
        <v>110</v>
      </c>
      <c r="D1401" s="16">
        <f>(D1396*Inputs!$D$19-D1397-D1398)/(Inputs!$D$7+$D$1414)^D1388</f>
        <v>-13847.790632947557</v>
      </c>
      <c r="E1401" s="16">
        <f>(E1396*Inputs!$D$19-E1397-E1398)/(Inputs!$D$7+$D$1414)^E1388</f>
        <v>-15370.239105459035</v>
      </c>
      <c r="F1401" s="16">
        <f>(F1396*Inputs!$D$19-F1397-F1398)/(Inputs!$D$7+$D$1414)^F1388</f>
        <v>-8945.8041564234754</v>
      </c>
      <c r="G1401" s="16">
        <f>(G1396*Inputs!$D$19-G1397-G1398)/(Inputs!$D$7+$D$1414)^G1388</f>
        <v>863.80744262020482</v>
      </c>
      <c r="H1401" s="16">
        <f>(H1396*Inputs!$D$19-H1397-H1398)/(Inputs!$D$7+$D$1414)^H1388</f>
        <v>-6404.5339628745278</v>
      </c>
      <c r="I1401" s="16">
        <f>(I1396*Inputs!$D$19-I1397-I1398)/(Inputs!$D$7+$D$1414)^I1388</f>
        <v>-8312.2134333380691</v>
      </c>
      <c r="J1401" s="16">
        <f>(J1396*Inputs!$D$19-J1397-J1398)/(Inputs!$D$7+$D$1414)^J1388</f>
        <v>-5104.8632414329013</v>
      </c>
      <c r="K1401" s="16">
        <f>(K1396*Inputs!$D$19-K1397-K1398)/(Inputs!$D$7+$D$1414)^K1388</f>
        <v>548.96524604578394</v>
      </c>
      <c r="L1401" s="16">
        <f>(L1396*Inputs!$D$19-L1397-L1398)/(Inputs!$D$7+$D$1414)^L1388</f>
        <v>-4070.1971171644977</v>
      </c>
      <c r="M1401" s="16">
        <f>(M1396*Inputs!$D$19-M1397-M1398)/(Inputs!$D$7+$D$1414)^M1388</f>
        <v>-5282.5619084458349</v>
      </c>
    </row>
    <row r="1402" spans="2:13" ht="15" customHeight="1" x14ac:dyDescent="0.2">
      <c r="B1402" s="10" t="s">
        <v>903</v>
      </c>
      <c r="C1402" s="10" t="s">
        <v>110</v>
      </c>
      <c r="D1402" s="16">
        <f t="shared" ref="D1402:M1402" si="305">D1395*$D$1412</f>
        <v>5765.7808721601414</v>
      </c>
      <c r="E1402" s="16">
        <f t="shared" si="305"/>
        <v>21968.199240513422</v>
      </c>
      <c r="F1402" s="16">
        <f t="shared" si="305"/>
        <v>35867.618927170559</v>
      </c>
      <c r="G1402" s="16">
        <f t="shared" si="305"/>
        <v>41824.513078595046</v>
      </c>
      <c r="H1402" s="16">
        <f t="shared" si="305"/>
        <v>41824.513078595046</v>
      </c>
      <c r="I1402" s="16">
        <f t="shared" si="305"/>
        <v>41824.513078595046</v>
      </c>
      <c r="J1402" s="16">
        <f t="shared" si="305"/>
        <v>41824.513078595046</v>
      </c>
      <c r="K1402" s="16">
        <f t="shared" si="305"/>
        <v>41824.513078595046</v>
      </c>
      <c r="L1402" s="16">
        <f t="shared" si="305"/>
        <v>41824.513078595046</v>
      </c>
      <c r="M1402" s="16">
        <f t="shared" si="305"/>
        <v>41824.513078595046</v>
      </c>
    </row>
    <row r="1403" spans="2:13" ht="15" customHeight="1" x14ac:dyDescent="0.2">
      <c r="B1403" s="10" t="s">
        <v>904</v>
      </c>
      <c r="C1403" s="10" t="s">
        <v>110</v>
      </c>
      <c r="D1403" s="16">
        <f t="shared" ref="D1403:M1403" si="306">D1402*$D$1413</f>
        <v>3401.8107145744834</v>
      </c>
      <c r="E1403" s="16">
        <f t="shared" si="306"/>
        <v>12961.237551902919</v>
      </c>
      <c r="F1403" s="16">
        <f t="shared" si="306"/>
        <v>21161.895167030627</v>
      </c>
      <c r="G1403" s="16">
        <f t="shared" si="306"/>
        <v>24676.462716371076</v>
      </c>
      <c r="H1403" s="16">
        <f t="shared" si="306"/>
        <v>24676.462716371076</v>
      </c>
      <c r="I1403" s="16">
        <f t="shared" si="306"/>
        <v>24676.462716371076</v>
      </c>
      <c r="J1403" s="16">
        <f t="shared" si="306"/>
        <v>24676.462716371076</v>
      </c>
      <c r="K1403" s="16">
        <f t="shared" si="306"/>
        <v>24676.462716371076</v>
      </c>
      <c r="L1403" s="16">
        <f t="shared" si="306"/>
        <v>24676.462716371076</v>
      </c>
      <c r="M1403" s="16">
        <f t="shared" si="306"/>
        <v>24676.462716371076</v>
      </c>
    </row>
    <row r="1404" spans="2:13" ht="15" customHeight="1" x14ac:dyDescent="0.2">
      <c r="B1404" s="10" t="s">
        <v>905</v>
      </c>
      <c r="C1404" s="10" t="s">
        <v>110</v>
      </c>
      <c r="D1404" s="16">
        <f t="shared" ref="D1404:M1404" si="307">D1403-D1396</f>
        <v>1584.8334286420416</v>
      </c>
      <c r="E1404" s="16">
        <f t="shared" si="307"/>
        <v>6038.3731701532106</v>
      </c>
      <c r="F1404" s="16">
        <f t="shared" si="307"/>
        <v>9858.8903640171266</v>
      </c>
      <c r="G1404" s="16">
        <f t="shared" si="307"/>
        <v>11496.254875673094</v>
      </c>
      <c r="H1404" s="16">
        <f t="shared" si="307"/>
        <v>11496.254875673094</v>
      </c>
      <c r="I1404" s="16">
        <f t="shared" si="307"/>
        <v>11496.254875673094</v>
      </c>
      <c r="J1404" s="16">
        <f t="shared" si="307"/>
        <v>11496.254875673094</v>
      </c>
      <c r="K1404" s="16">
        <f t="shared" si="307"/>
        <v>11496.254875673094</v>
      </c>
      <c r="L1404" s="16">
        <f t="shared" si="307"/>
        <v>11496.254875673094</v>
      </c>
      <c r="M1404" s="16">
        <f t="shared" si="307"/>
        <v>11496.254875673094</v>
      </c>
    </row>
    <row r="1405" spans="2:13" ht="15" customHeight="1" x14ac:dyDescent="0.2">
      <c r="B1405" s="10" t="s">
        <v>906</v>
      </c>
      <c r="C1405" s="10" t="s">
        <v>110</v>
      </c>
      <c r="D1405" s="16">
        <f>MAX(D1404,Inputs!$D$6)*Inputs!$D$19</f>
        <v>475.45002859261245</v>
      </c>
      <c r="E1405" s="16">
        <f>MAX(E1404,Inputs!$D$6)*Inputs!$D$19</f>
        <v>1811.5119510459631</v>
      </c>
      <c r="F1405" s="16">
        <f>MAX(F1404,Inputs!$D$6)*Inputs!$D$19</f>
        <v>2957.6671092051379</v>
      </c>
      <c r="G1405" s="16">
        <f>MAX(G1404,Inputs!$D$6)*Inputs!$D$19</f>
        <v>3448.8764627019282</v>
      </c>
      <c r="H1405" s="16">
        <f>MAX(H1404,Inputs!$D$6)*Inputs!$D$19</f>
        <v>3448.8764627019282</v>
      </c>
      <c r="I1405" s="16">
        <f>MAX(I1404,Inputs!$D$6)*Inputs!$D$19</f>
        <v>3448.8764627019282</v>
      </c>
      <c r="J1405" s="16">
        <f>MAX(J1404,Inputs!$D$6)*Inputs!$D$19</f>
        <v>3448.8764627019282</v>
      </c>
      <c r="K1405" s="16">
        <f>MAX(K1404,Inputs!$D$6)*Inputs!$D$19</f>
        <v>3448.8764627019282</v>
      </c>
      <c r="L1405" s="16">
        <f>MAX(L1404,Inputs!$D$6)*Inputs!$D$19</f>
        <v>3448.8764627019282</v>
      </c>
      <c r="M1405" s="16">
        <f>MAX(M1404,Inputs!$D$6)*Inputs!$D$19</f>
        <v>3448.8764627019282</v>
      </c>
    </row>
    <row r="1406" spans="2:13" ht="15" customHeight="1" x14ac:dyDescent="0.2">
      <c r="B1406" s="10" t="s">
        <v>907</v>
      </c>
      <c r="C1406" s="10" t="s">
        <v>110</v>
      </c>
      <c r="D1406" s="16">
        <f t="shared" ref="D1406:M1406" si="308">D1399*$D$1412</f>
        <v>297.84470757122432</v>
      </c>
      <c r="E1406" s="16">
        <f t="shared" si="308"/>
        <v>397.12627676163243</v>
      </c>
      <c r="F1406" s="16">
        <f t="shared" si="308"/>
        <v>297.84470757122432</v>
      </c>
      <c r="G1406" s="16">
        <f t="shared" si="308"/>
        <v>0</v>
      </c>
      <c r="H1406" s="16">
        <f t="shared" si="308"/>
        <v>0</v>
      </c>
      <c r="I1406" s="16">
        <f t="shared" si="308"/>
        <v>0</v>
      </c>
      <c r="J1406" s="16">
        <f t="shared" si="308"/>
        <v>0</v>
      </c>
      <c r="K1406" s="16">
        <f t="shared" si="308"/>
        <v>0</v>
      </c>
      <c r="L1406" s="16">
        <f t="shared" si="308"/>
        <v>0</v>
      </c>
      <c r="M1406" s="16">
        <f t="shared" si="308"/>
        <v>0</v>
      </c>
    </row>
    <row r="1407" spans="2:13" ht="15" customHeight="1" x14ac:dyDescent="0.2">
      <c r="B1407" s="10" t="s">
        <v>908</v>
      </c>
      <c r="C1407" s="10" t="s">
        <v>110</v>
      </c>
      <c r="D1407" s="16">
        <f t="shared" ref="D1407:M1407" si="309">D1403-D1405-D1397-D1398-D1406</f>
        <v>-12932.452641735508</v>
      </c>
      <c r="E1407" s="16">
        <f t="shared" si="309"/>
        <v>-9995.3588360995454</v>
      </c>
      <c r="F1407" s="16">
        <f t="shared" si="309"/>
        <v>2345.4147301081125</v>
      </c>
      <c r="G1407" s="16">
        <f t="shared" si="309"/>
        <v>18589.581405101977</v>
      </c>
      <c r="H1407" s="16">
        <f t="shared" si="309"/>
        <v>6345.7980318608679</v>
      </c>
      <c r="I1407" s="16">
        <f t="shared" si="309"/>
        <v>1385.2019579247717</v>
      </c>
      <c r="J1407" s="16">
        <f t="shared" si="309"/>
        <v>6345.7980318608679</v>
      </c>
      <c r="K1407" s="16">
        <f t="shared" si="309"/>
        <v>18589.581405101977</v>
      </c>
      <c r="L1407" s="16">
        <f t="shared" si="309"/>
        <v>6345.7980318608679</v>
      </c>
      <c r="M1407" s="16">
        <f t="shared" si="309"/>
        <v>1385.2019579247717</v>
      </c>
    </row>
    <row r="1408" spans="2:13" ht="15" customHeight="1" x14ac:dyDescent="0.2">
      <c r="B1408" s="10" t="s">
        <v>909</v>
      </c>
      <c r="C1408" s="10" t="s">
        <v>110</v>
      </c>
      <c r="D1408" s="16">
        <f>D1407/(Inputs!$D$7+$D$1414)^D1388</f>
        <v>-11926.437278734606</v>
      </c>
      <c r="E1408" s="16">
        <f>E1407/(Inputs!$D$7+$D$1414)^E1388</f>
        <v>-8228.281394982896</v>
      </c>
      <c r="F1408" s="16">
        <f>F1407/(Inputs!$D$7+$D$1414)^F1388</f>
        <v>1724.0349237287148</v>
      </c>
      <c r="G1408" s="16">
        <f>G1407/(Inputs!$D$7+$D$1414)^G1388</f>
        <v>12201.456796895902</v>
      </c>
      <c r="H1408" s="16">
        <f>H1407/(Inputs!$D$7+$D$1414)^H1388</f>
        <v>3719.1525026869167</v>
      </c>
      <c r="I1408" s="16">
        <f>I1407/(Inputs!$D$7+$D$1414)^I1388</f>
        <v>724.68913730902909</v>
      </c>
      <c r="J1408" s="16">
        <f>J1407/(Inputs!$D$7+$D$1414)^J1388</f>
        <v>2964.4256725478112</v>
      </c>
      <c r="K1408" s="16">
        <f>K1407/(Inputs!$D$7+$D$1414)^K1388</f>
        <v>7754.2463773028485</v>
      </c>
      <c r="L1408" s="16">
        <f>L1407/(Inputs!$D$7+$D$1414)^L1388</f>
        <v>2363.5886518021075</v>
      </c>
      <c r="M1408" s="16">
        <f>M1407/(Inputs!$D$7+$D$1414)^M1388</f>
        <v>460.55304798348902</v>
      </c>
    </row>
    <row r="1409" spans="2:13" ht="15" customHeight="1" x14ac:dyDescent="0.2">
      <c r="B1409" s="3" t="s">
        <v>910</v>
      </c>
      <c r="C1409" s="10" t="s">
        <v>896</v>
      </c>
      <c r="D1409" s="28">
        <f>(D1395*$D$1413-D1399)/(Inputs!$D$7+$D$1414)^D1388</f>
        <v>62.349686144061238</v>
      </c>
      <c r="E1409" s="28">
        <f>(E1395*$D$1413-E1399)/(Inputs!$D$7+$D$1414)^E1388</f>
        <v>225.28382070940276</v>
      </c>
      <c r="F1409" s="28">
        <f>(F1395*$D$1413-F1399)/(Inputs!$D$7+$D$1414)^F1388</f>
        <v>334.05080177542817</v>
      </c>
      <c r="G1409" s="28">
        <f>(G1395*$D$1413-G1399)/(Inputs!$D$7+$D$1414)^G1388</f>
        <v>352.78691170333013</v>
      </c>
      <c r="H1409" s="28">
        <f>(H1395*$D$1413-H1399)/(Inputs!$D$7+$D$1414)^H1388</f>
        <v>315.01274837815691</v>
      </c>
      <c r="I1409" s="28">
        <f>(I1395*$D$1413-I1399)/(Inputs!$D$7+$D$1414)^I1388</f>
        <v>281.19593838560246</v>
      </c>
      <c r="J1409" s="28">
        <f>(J1395*$D$1413-J1399)/(Inputs!$D$7+$D$1414)^J1388</f>
        <v>251.08727802836847</v>
      </c>
      <c r="K1409" s="28">
        <f>(K1395*$D$1413-K1399)/(Inputs!$D$7+$D$1414)^K1388</f>
        <v>224.20246021207515</v>
      </c>
      <c r="L1409" s="28">
        <f>(L1395*$D$1413-L1399)/(Inputs!$D$7+$D$1414)^L1388</f>
        <v>200.19629652231083</v>
      </c>
      <c r="M1409" s="28">
        <f>(M1395*$D$1413-M1399)/(Inputs!$D$7+$D$1414)^M1388</f>
        <v>178.70510241806141</v>
      </c>
    </row>
    <row r="1410" spans="2:13" ht="15" customHeight="1" x14ac:dyDescent="0.2">
      <c r="B1410" s="10" t="s">
        <v>911</v>
      </c>
      <c r="C1410" s="10" t="s">
        <v>110</v>
      </c>
      <c r="D1410" s="16">
        <f>(-D1397-D1398)/(Inputs!$D$7+$D$1414)^D1388</f>
        <v>-14350.481025200577</v>
      </c>
      <c r="E1410" s="16">
        <f>(-E1397-E1398)/(Inputs!$D$7+$D$1414)^E1388</f>
        <v>-17079.930887207098</v>
      </c>
      <c r="F1410" s="16">
        <f>(-F1397-F1398)/(Inputs!$D$7+$D$1414)^F1388</f>
        <v>-11438.340948315768</v>
      </c>
      <c r="G1410" s="16">
        <f>(-G1397-G1398)/(Inputs!$D$7+$D$1414)^G1388</f>
        <v>-1731.4807411941122</v>
      </c>
      <c r="H1410" s="16">
        <f>(-H1397-H1398)/(Inputs!$D$7+$D$1414)^H1388</f>
        <v>-8721.9353076959778</v>
      </c>
      <c r="I1410" s="16">
        <f>(-I1397-I1398)/(Inputs!$D$7+$D$1414)^I1388</f>
        <v>-10380.8403353543</v>
      </c>
      <c r="J1410" s="16">
        <f>(-J1397-J1398)/(Inputs!$D$7+$D$1414)^J1388</f>
        <v>-6951.9948218729187</v>
      </c>
      <c r="K1410" s="16">
        <f>(-K1397-K1398)/(Inputs!$D$7+$D$1414)^K1388</f>
        <v>-1100.3873134386547</v>
      </c>
      <c r="L1410" s="16">
        <f>(-L1397-L1398)/(Inputs!$D$7+$D$1414)^L1388</f>
        <v>-5542.947566718196</v>
      </c>
      <c r="M1410" s="16">
        <f>(-M1397-M1398)/(Inputs!$D$7+$D$1414)^M1388</f>
        <v>-6597.2117021517279</v>
      </c>
    </row>
    <row r="1411" spans="2:13" ht="15" customHeight="1" x14ac:dyDescent="0.2">
      <c r="B1411" s="10" t="s">
        <v>912</v>
      </c>
      <c r="C1411" s="10" t="s">
        <v>110</v>
      </c>
      <c r="D1411" s="16">
        <f>Prices!I7</f>
        <v>35754.545454545456</v>
      </c>
    </row>
    <row r="1412" spans="2:13" ht="15" customHeight="1" x14ac:dyDescent="0.2">
      <c r="B1412" s="3" t="s">
        <v>913</v>
      </c>
      <c r="C1412" s="10" t="s">
        <v>914</v>
      </c>
      <c r="D1412" s="28">
        <f>IF(J1419&gt;=J1415,J1419,(D1411-J1418)/J1417)</f>
        <v>45.910552226778314</v>
      </c>
      <c r="G1412" s="99" t="s">
        <v>915</v>
      </c>
      <c r="H1412" s="91"/>
      <c r="I1412" s="91"/>
      <c r="J1412" s="28">
        <f>D1412*Inputs!$D$15</f>
        <v>32.040974399068581</v>
      </c>
      <c r="K1412" s="99" t="s">
        <v>916</v>
      </c>
      <c r="L1412" s="91"/>
      <c r="M1412" s="91"/>
    </row>
    <row r="1413" spans="2:13" ht="15" customHeight="1" x14ac:dyDescent="0.2">
      <c r="B1413" s="10" t="s">
        <v>917</v>
      </c>
      <c r="C1413" s="10" t="s">
        <v>104</v>
      </c>
      <c r="D1413" s="30">
        <f>Inputs!$D$141</f>
        <v>0.59</v>
      </c>
      <c r="G1413" s="99" t="s">
        <v>918</v>
      </c>
      <c r="H1413" s="91"/>
      <c r="I1413" s="91"/>
      <c r="J1413" s="28">
        <f>IF(-D1424/D1423&gt;=J1415,-D1424/D1423,-J1418/J1417)</f>
        <v>34.148217924188216</v>
      </c>
      <c r="K1413" s="99" t="s">
        <v>919</v>
      </c>
      <c r="L1413" s="91"/>
      <c r="M1413" s="91"/>
    </row>
    <row r="1414" spans="2:13" ht="15" customHeight="1" x14ac:dyDescent="0.2">
      <c r="B1414" s="10" t="s">
        <v>920</v>
      </c>
      <c r="C1414" s="10" t="s">
        <v>104</v>
      </c>
      <c r="D1414" s="30">
        <f>Inputs!$D$148</f>
        <v>0.12</v>
      </c>
      <c r="G1414" s="99" t="s">
        <v>918</v>
      </c>
      <c r="H1414" s="91"/>
      <c r="I1414" s="91"/>
      <c r="J1414" s="28">
        <f>J1413*Inputs!$D$15</f>
        <v>23.832041289290956</v>
      </c>
      <c r="K1414" s="99" t="s">
        <v>916</v>
      </c>
      <c r="L1414" s="91"/>
      <c r="M1414" s="91"/>
    </row>
    <row r="1415" spans="2:13" ht="15" customHeight="1" x14ac:dyDescent="0.2">
      <c r="B1415" s="3" t="s">
        <v>921</v>
      </c>
      <c r="C1415" s="10" t="s">
        <v>848</v>
      </c>
      <c r="D1415" s="28">
        <f>Capital!$D$13</f>
        <v>57.347931490590682</v>
      </c>
      <c r="G1415" s="99" t="s">
        <v>922</v>
      </c>
      <c r="H1415" s="91"/>
      <c r="I1415" s="91"/>
      <c r="J1415" s="28">
        <f>($D$1415/Inputs!$D$21+$D$1416/Inputs!$D$22)/$D$1413</f>
        <v>24.521773131961492</v>
      </c>
      <c r="K1415" s="99" t="s">
        <v>919</v>
      </c>
      <c r="L1415" s="91"/>
      <c r="M1415" s="91"/>
    </row>
    <row r="1416" spans="2:13" ht="15" customHeight="1" x14ac:dyDescent="0.2">
      <c r="B1416" s="3" t="s">
        <v>923</v>
      </c>
      <c r="C1416" s="10" t="s">
        <v>848</v>
      </c>
      <c r="D1416" s="28">
        <f>Capital!$D$14</f>
        <v>2.6172655041921802</v>
      </c>
    </row>
    <row r="1417" spans="2:13" ht="15" customHeight="1" x14ac:dyDescent="0.2">
      <c r="B1417" s="10" t="s">
        <v>924</v>
      </c>
      <c r="C1417" s="10" t="s">
        <v>896</v>
      </c>
      <c r="D1417" s="28">
        <f>(M1390*(Inputs!$D$7+Inputs!$D$20)*$D$1413*(Inputs!$D$7-Inputs!$D$19)-M1390*Inputs!$D$20*Inputs!$D$23)/($D$1414-Inputs!$D$20)/(Inputs!$D$7+$D$1414)^M1388</f>
        <v>1347.7011024462897</v>
      </c>
      <c r="G1417" s="92" t="s">
        <v>910</v>
      </c>
      <c r="H1417" s="91"/>
      <c r="I1417" s="91"/>
      <c r="J1417" s="28">
        <f>SUM(D1409:M1409)+(M1390*(Inputs!$D$7+Inputs!$D$20)*$D$1413-M1390*Inputs!$D$20*Inputs!$D$23)/($D$1414-Inputs!$D$20)/(Inputs!$D$7+$D$1414)^M1388</f>
        <v>4351.0123466552332</v>
      </c>
      <c r="K1417" s="99" t="s">
        <v>896</v>
      </c>
      <c r="L1417" s="91"/>
      <c r="M1417" s="91"/>
    </row>
    <row r="1418" spans="2:13" ht="15" customHeight="1" x14ac:dyDescent="0.2">
      <c r="B1418" s="10" t="s">
        <v>925</v>
      </c>
      <c r="C1418" s="10" t="s">
        <v>110</v>
      </c>
      <c r="D1418" s="16">
        <f>(D1421*Inputs!$D$19-D1421-D1422)/($D$1414-Inputs!$D$20)/(Inputs!$D$7+$D$1414)^M1388</f>
        <v>-37876.58483194092</v>
      </c>
      <c r="G1418" s="92" t="s">
        <v>926</v>
      </c>
      <c r="H1418" s="91"/>
      <c r="I1418" s="91"/>
      <c r="J1418" s="16">
        <f>SUM(D1410:M1410)-(D1421+D1422)/($D$1414-Inputs!$D$20)/(Inputs!$D$7+$D$1414)^M1388</f>
        <v>-135956.51483423277</v>
      </c>
      <c r="K1418" s="99" t="s">
        <v>110</v>
      </c>
      <c r="L1418" s="91"/>
      <c r="M1418" s="91"/>
    </row>
    <row r="1419" spans="2:13" ht="15" customHeight="1" x14ac:dyDescent="0.2">
      <c r="B1419" s="10" t="s">
        <v>927</v>
      </c>
      <c r="C1419" s="10" t="s">
        <v>928</v>
      </c>
      <c r="D1419" s="16">
        <f>(M1390*(Inputs!$D$7+Inputs!$D$20)*$D$1412*$D$1413-D1421)-MAX((M1390*(Inputs!$D$7+Inputs!$D$20)*$D$1412*$D$1413-D1421),Inputs!$D$6)*Inputs!$D$19-D1422-M1390*Inputs!$D$20*$D$1412*Inputs!$D$23</f>
        <v>6856.715191065141</v>
      </c>
      <c r="G1419" s="99" t="s">
        <v>929</v>
      </c>
      <c r="H1419" s="91"/>
      <c r="I1419" s="91"/>
      <c r="J1419" s="28">
        <f>(D1411-D1424)/D1423</f>
        <v>45.910552226778314</v>
      </c>
      <c r="K1419" s="99" t="s">
        <v>919</v>
      </c>
      <c r="L1419" s="91"/>
      <c r="M1419" s="91"/>
    </row>
    <row r="1420" spans="2:13" ht="15" customHeight="1" x14ac:dyDescent="0.2">
      <c r="B1420" s="10" t="s">
        <v>930</v>
      </c>
      <c r="C1420" s="10" t="s">
        <v>110</v>
      </c>
      <c r="D1420" s="16">
        <f>D1419/($D$1414-Inputs!$D$20)</f>
        <v>72175.949379633064</v>
      </c>
      <c r="G1420" s="99" t="s">
        <v>931</v>
      </c>
      <c r="H1420" s="91"/>
      <c r="I1420" s="91"/>
      <c r="J1420" s="16">
        <f>MIN(D1404:M1404,(M1390*(Inputs!$D$7+Inputs!$D$20)*$D$1412*$D$1413-D1421))</f>
        <v>1584.8334286420416</v>
      </c>
      <c r="K1420" s="99" t="s">
        <v>110</v>
      </c>
      <c r="L1420" s="91"/>
      <c r="M1420" s="91"/>
    </row>
    <row r="1421" spans="2:13" ht="15" customHeight="1" x14ac:dyDescent="0.2">
      <c r="B1421" s="10" t="s">
        <v>932</v>
      </c>
      <c r="C1421" s="10" t="s">
        <v>928</v>
      </c>
      <c r="D1421" s="16">
        <f>M1390*(Inputs!$D$7+Inputs!$D$20)*($D$1415/Inputs!$D$21+$D$1416/Inputs!$D$22)</f>
        <v>13509.71303671543</v>
      </c>
      <c r="G1421" s="99" t="s">
        <v>933</v>
      </c>
      <c r="H1421" s="91"/>
      <c r="I1421" s="91"/>
      <c r="J1421" s="31" t="str">
        <f>IF(J1420&lt;Inputs!$D$6,"breached","satisfied")</f>
        <v>satisfied</v>
      </c>
      <c r="K1421" s="99" t="s">
        <v>934</v>
      </c>
      <c r="L1421" s="91"/>
      <c r="M1421" s="91"/>
    </row>
    <row r="1422" spans="2:13" ht="15" customHeight="1" x14ac:dyDescent="0.2">
      <c r="B1422" s="10" t="s">
        <v>935</v>
      </c>
      <c r="C1422" s="10" t="s">
        <v>928</v>
      </c>
      <c r="D1422" s="16">
        <f>M1390*Inputs!$D$20*($D$1415+$D$1416)</f>
        <v>1365.7073615561799</v>
      </c>
    </row>
    <row r="1423" spans="2:13" ht="15" customHeight="1" x14ac:dyDescent="0.2">
      <c r="B1423" s="10" t="s">
        <v>936</v>
      </c>
      <c r="C1423" s="10" t="s">
        <v>896</v>
      </c>
      <c r="D1423" s="28">
        <f>SUM(D1400:M1400)+D1417</f>
        <v>3039.7491292754903</v>
      </c>
      <c r="G1423" s="99" t="s">
        <v>937</v>
      </c>
      <c r="H1423" s="91"/>
      <c r="I1423" s="91"/>
      <c r="J1423" s="16">
        <f>D1425-D1411</f>
        <v>0</v>
      </c>
      <c r="K1423" s="99" t="s">
        <v>110</v>
      </c>
      <c r="L1423" s="91"/>
      <c r="M1423" s="91"/>
    </row>
    <row r="1424" spans="2:13" ht="15" customHeight="1" x14ac:dyDescent="0.2">
      <c r="B1424" s="10" t="s">
        <v>938</v>
      </c>
      <c r="C1424" s="10" t="s">
        <v>110</v>
      </c>
      <c r="D1424" s="16">
        <f>SUM(D1401:M1401)+D1418</f>
        <v>-103802.01570136083</v>
      </c>
    </row>
    <row r="1425" spans="1:13" ht="15" customHeight="1" x14ac:dyDescent="0.2">
      <c r="B1425" s="10" t="s">
        <v>939</v>
      </c>
      <c r="C1425" s="10" t="s">
        <v>110</v>
      </c>
      <c r="D1425" s="16">
        <f>SUM(D1408:M1408)+D1420/(Inputs!$D$7+$D$1414)^M1388</f>
        <v>35754.5454545455</v>
      </c>
    </row>
    <row r="1426" spans="1:13" ht="15" customHeight="1" x14ac:dyDescent="0.2">
      <c r="B1426" s="10" t="s">
        <v>940</v>
      </c>
      <c r="C1426" s="10" t="s">
        <v>104</v>
      </c>
      <c r="D1426" s="30">
        <f>IF(ABS(D1411)&gt;Inputs!$D$6,D1425/D1411-Inputs!$D$7,Inputs!$D$6)</f>
        <v>1.1102230246251565E-15</v>
      </c>
    </row>
    <row r="1427" spans="1:13" ht="15" customHeight="1" x14ac:dyDescent="0.2">
      <c r="B1427" s="10" t="s">
        <v>941</v>
      </c>
      <c r="C1427" s="10" t="s">
        <v>104</v>
      </c>
      <c r="D1427" s="30">
        <f>IF(ABS(D1425)&gt;Inputs!$D$119,D1420/(Inputs!$D$7+$D$1414)^M1388/D1425,Inputs!$D$6)</f>
        <v>0.67116269310467247</v>
      </c>
    </row>
    <row r="1428" spans="1:13" ht="15" customHeight="1" x14ac:dyDescent="0.2">
      <c r="B1428" s="10" t="s">
        <v>942</v>
      </c>
      <c r="C1428" s="10" t="s">
        <v>943</v>
      </c>
      <c r="D1428" s="26">
        <f>$D$1412*Inputs!$D$8/Prices!$P$6/(Inputs!$D$26/Inputs!$D$25)/Inputs!$D$11/Inputs!$D$56</f>
        <v>8.3489733767674252</v>
      </c>
    </row>
    <row r="1432" spans="1:13" ht="15" customHeight="1" x14ac:dyDescent="0.2">
      <c r="A1432" s="104" t="s">
        <v>2196</v>
      </c>
      <c r="B1432" s="10" t="s">
        <v>886</v>
      </c>
      <c r="C1432" s="10" t="s">
        <v>107</v>
      </c>
      <c r="D1432" s="28">
        <f>Inputs!$D$60</f>
        <v>1</v>
      </c>
      <c r="E1432" s="28">
        <f>Inputs!$D$62</f>
        <v>2</v>
      </c>
      <c r="F1432" s="28">
        <f>Inputs!$D$64</f>
        <v>3</v>
      </c>
      <c r="G1432" s="28">
        <f>Inputs!$D$66</f>
        <v>4</v>
      </c>
      <c r="H1432" s="28">
        <f>Inputs!$D$68</f>
        <v>5</v>
      </c>
      <c r="I1432" s="28">
        <f>Inputs!$D$70</f>
        <v>6</v>
      </c>
      <c r="J1432" s="28">
        <f>Inputs!$D$72</f>
        <v>7</v>
      </c>
      <c r="K1432" s="28">
        <f>Inputs!$D$74</f>
        <v>8</v>
      </c>
      <c r="L1432" s="28">
        <f>Inputs!$D$76</f>
        <v>9</v>
      </c>
      <c r="M1432" s="28">
        <f>Inputs!$D$78</f>
        <v>10</v>
      </c>
    </row>
    <row r="1433" spans="1:13" ht="15" customHeight="1" x14ac:dyDescent="0.2">
      <c r="A1433" s="91"/>
      <c r="B1433" s="10" t="s">
        <v>887</v>
      </c>
      <c r="C1433" s="10" t="s">
        <v>161</v>
      </c>
      <c r="D1433" s="29">
        <f>Inputs!$D$61</f>
        <v>46568</v>
      </c>
      <c r="E1433" s="29">
        <f>Inputs!$D$63</f>
        <v>46934</v>
      </c>
      <c r="F1433" s="29">
        <f>Inputs!$D$65</f>
        <v>47299</v>
      </c>
      <c r="G1433" s="29">
        <f>Inputs!$D$67</f>
        <v>47664</v>
      </c>
      <c r="H1433" s="29">
        <f>Inputs!$D$69</f>
        <v>48029</v>
      </c>
      <c r="I1433" s="29">
        <f>Inputs!$D$71</f>
        <v>48395</v>
      </c>
      <c r="J1433" s="29">
        <f>Inputs!$D$73</f>
        <v>48760</v>
      </c>
      <c r="K1433" s="29">
        <f>Inputs!$D$75</f>
        <v>49125</v>
      </c>
      <c r="L1433" s="29">
        <f>Inputs!$D$77</f>
        <v>49490</v>
      </c>
      <c r="M1433" s="29">
        <f>Inputs!$D$79</f>
        <v>49856</v>
      </c>
    </row>
    <row r="1434" spans="1:13" ht="15" customHeight="1" x14ac:dyDescent="0.2">
      <c r="A1434" s="91"/>
      <c r="B1434" s="10" t="s">
        <v>888</v>
      </c>
      <c r="C1434" s="10" t="s">
        <v>107</v>
      </c>
      <c r="D1434" s="28">
        <f>(D1433-Inputs!$D$13)/Inputs!$D$10</f>
        <v>0.71457905544147848</v>
      </c>
      <c r="E1434" s="28">
        <f>(E1433-Inputs!$D$13)/Inputs!$D$10</f>
        <v>1.7166324435318274</v>
      </c>
      <c r="F1434" s="28">
        <f>(F1433-Inputs!$D$13)/Inputs!$D$10</f>
        <v>2.7159479808350446</v>
      </c>
      <c r="G1434" s="28">
        <f>(G1433-Inputs!$D$13)/Inputs!$D$10</f>
        <v>3.7152635181382614</v>
      </c>
      <c r="H1434" s="28">
        <f>(H1433-Inputs!$D$13)/Inputs!$D$10</f>
        <v>4.7145790554414786</v>
      </c>
      <c r="I1434" s="28">
        <f>(I1433-Inputs!$D$13)/Inputs!$D$10</f>
        <v>5.7166324435318279</v>
      </c>
      <c r="J1434" s="28">
        <f>(J1433-Inputs!$D$13)/Inputs!$D$10</f>
        <v>6.7159479808350442</v>
      </c>
      <c r="K1434" s="28">
        <f>(K1433-Inputs!$D$13)/Inputs!$D$10</f>
        <v>7.7152635181382614</v>
      </c>
      <c r="L1434" s="28">
        <f>(L1433-Inputs!$D$13)/Inputs!$D$10</f>
        <v>8.7145790554414777</v>
      </c>
      <c r="M1434" s="28">
        <f>(M1433-Inputs!$D$13)/Inputs!$D$10</f>
        <v>9.716632443531827</v>
      </c>
    </row>
    <row r="1435" spans="1:13" ht="15" customHeight="1" x14ac:dyDescent="0.2">
      <c r="A1435" s="91"/>
      <c r="B1435" s="10" t="s">
        <v>889</v>
      </c>
      <c r="C1435" s="10" t="s">
        <v>107</v>
      </c>
      <c r="D1435" s="28">
        <f>D1434</f>
        <v>0.71457905544147848</v>
      </c>
      <c r="E1435" s="28">
        <f>Inputs!$D$7</f>
        <v>1</v>
      </c>
      <c r="F1435" s="28">
        <f>Inputs!$D$7</f>
        <v>1</v>
      </c>
      <c r="G1435" s="28">
        <f>Inputs!$D$7</f>
        <v>1</v>
      </c>
      <c r="H1435" s="28">
        <f>Inputs!$D$7</f>
        <v>1</v>
      </c>
      <c r="I1435" s="28">
        <f>Inputs!$D$7</f>
        <v>1</v>
      </c>
      <c r="J1435" s="28">
        <f>Inputs!$D$7</f>
        <v>1</v>
      </c>
      <c r="K1435" s="28">
        <f>Inputs!$D$7</f>
        <v>1</v>
      </c>
      <c r="L1435" s="28">
        <f>Inputs!$D$7</f>
        <v>1</v>
      </c>
      <c r="M1435" s="28">
        <f>Inputs!$D$7</f>
        <v>1</v>
      </c>
    </row>
    <row r="1436" spans="1:13" ht="15" customHeight="1" x14ac:dyDescent="0.2">
      <c r="A1436" s="91"/>
      <c r="B1436" s="3" t="s">
        <v>890</v>
      </c>
      <c r="C1436" s="10" t="s">
        <v>199</v>
      </c>
      <c r="D1436" s="28">
        <f>Inputs!$D$24+(Inputs!$D$80-Inputs!$D$24)*Inputs!$D$83</f>
        <v>305.5</v>
      </c>
      <c r="E1436" s="28">
        <f>Inputs!$D$24+(Inputs!$D$80-Inputs!$D$24)*Inputs!$D$84</f>
        <v>651.5</v>
      </c>
      <c r="F1436" s="28">
        <f>Inputs!$D$24+(Inputs!$D$80-Inputs!$D$24)*Inputs!$D$85</f>
        <v>911</v>
      </c>
      <c r="G1436" s="28">
        <f>Inputs!$D$24+(Inputs!$D$80-Inputs!$D$24)*Inputs!$D$86</f>
        <v>911</v>
      </c>
      <c r="H1436" s="28">
        <f>Inputs!$D$24+(Inputs!$D$80-Inputs!$D$24)*Inputs!$D$87</f>
        <v>911</v>
      </c>
      <c r="I1436" s="28">
        <f>Inputs!$D$24+(Inputs!$D$80-Inputs!$D$24)*Inputs!$D$88</f>
        <v>911</v>
      </c>
      <c r="J1436" s="28">
        <f>Inputs!$D$24+(Inputs!$D$80-Inputs!$D$24)*Inputs!$D$89</f>
        <v>911</v>
      </c>
      <c r="K1436" s="28">
        <f>Inputs!$D$24+(Inputs!$D$80-Inputs!$D$24)*Inputs!$D$90</f>
        <v>911</v>
      </c>
      <c r="L1436" s="28">
        <f>Inputs!$D$24+(Inputs!$D$80-Inputs!$D$24)*Inputs!$D$91</f>
        <v>911</v>
      </c>
      <c r="M1436" s="28">
        <f>Inputs!$D$24+(Inputs!$D$80-Inputs!$D$24)*Inputs!$D$92</f>
        <v>911</v>
      </c>
    </row>
    <row r="1437" spans="1:13" ht="15" customHeight="1" x14ac:dyDescent="0.2">
      <c r="A1437" s="91"/>
      <c r="B1437" s="10" t="s">
        <v>891</v>
      </c>
      <c r="C1437" s="10" t="s">
        <v>199</v>
      </c>
      <c r="D1437" s="28">
        <f>Inputs!$D$24</f>
        <v>46</v>
      </c>
      <c r="E1437" s="28">
        <f t="shared" ref="E1437:M1437" si="310">D1436</f>
        <v>305.5</v>
      </c>
      <c r="F1437" s="28">
        <f t="shared" si="310"/>
        <v>651.5</v>
      </c>
      <c r="G1437" s="28">
        <f t="shared" si="310"/>
        <v>911</v>
      </c>
      <c r="H1437" s="28">
        <f t="shared" si="310"/>
        <v>911</v>
      </c>
      <c r="I1437" s="28">
        <f t="shared" si="310"/>
        <v>911</v>
      </c>
      <c r="J1437" s="28">
        <f t="shared" si="310"/>
        <v>911</v>
      </c>
      <c r="K1437" s="28">
        <f t="shared" si="310"/>
        <v>911</v>
      </c>
      <c r="L1437" s="28">
        <f t="shared" si="310"/>
        <v>911</v>
      </c>
      <c r="M1437" s="28">
        <f t="shared" si="310"/>
        <v>911</v>
      </c>
    </row>
    <row r="1438" spans="1:13" ht="15" customHeight="1" x14ac:dyDescent="0.2">
      <c r="B1438" s="10" t="s">
        <v>892</v>
      </c>
      <c r="C1438" s="10" t="s">
        <v>199</v>
      </c>
      <c r="D1438" s="28">
        <f>(D1437+D1436)*Inputs!$D$12</f>
        <v>175.75</v>
      </c>
      <c r="E1438" s="28">
        <f>(E1437+E1436)*Inputs!$D$12</f>
        <v>478.5</v>
      </c>
      <c r="F1438" s="28">
        <f>(F1437+F1436)*Inputs!$D$12</f>
        <v>781.25</v>
      </c>
      <c r="G1438" s="28">
        <f>(G1437+G1436)*Inputs!$D$12</f>
        <v>911</v>
      </c>
      <c r="H1438" s="28">
        <f>(H1437+H1436)*Inputs!$D$12</f>
        <v>911</v>
      </c>
      <c r="I1438" s="28">
        <f>(I1437+I1436)*Inputs!$D$12</f>
        <v>911</v>
      </c>
      <c r="J1438" s="28">
        <f>(J1437+J1436)*Inputs!$D$12</f>
        <v>911</v>
      </c>
      <c r="K1438" s="28">
        <f>(K1437+K1436)*Inputs!$D$12</f>
        <v>911</v>
      </c>
      <c r="L1438" s="28">
        <f>(L1437+L1436)*Inputs!$D$12</f>
        <v>911</v>
      </c>
      <c r="M1438" s="28">
        <f>(M1437+M1436)*Inputs!$D$12</f>
        <v>911</v>
      </c>
    </row>
    <row r="1439" spans="1:13" ht="15" customHeight="1" x14ac:dyDescent="0.2">
      <c r="B1439" s="10" t="s">
        <v>893</v>
      </c>
      <c r="C1439" s="10" t="s">
        <v>199</v>
      </c>
      <c r="D1439" s="28">
        <f t="shared" ref="D1439:M1439" si="311">D1436-D1437</f>
        <v>259.5</v>
      </c>
      <c r="E1439" s="28">
        <f t="shared" si="311"/>
        <v>346</v>
      </c>
      <c r="F1439" s="28">
        <f t="shared" si="311"/>
        <v>259.5</v>
      </c>
      <c r="G1439" s="28">
        <f t="shared" si="311"/>
        <v>0</v>
      </c>
      <c r="H1439" s="28">
        <f t="shared" si="311"/>
        <v>0</v>
      </c>
      <c r="I1439" s="28">
        <f t="shared" si="311"/>
        <v>0</v>
      </c>
      <c r="J1439" s="28">
        <f t="shared" si="311"/>
        <v>0</v>
      </c>
      <c r="K1439" s="28">
        <f t="shared" si="311"/>
        <v>0</v>
      </c>
      <c r="L1439" s="28">
        <f t="shared" si="311"/>
        <v>0</v>
      </c>
      <c r="M1439" s="28">
        <f t="shared" si="311"/>
        <v>0</v>
      </c>
    </row>
    <row r="1440" spans="1:13" ht="15" customHeight="1" x14ac:dyDescent="0.2">
      <c r="B1440" s="10" t="s">
        <v>894</v>
      </c>
      <c r="C1440" s="10" t="s">
        <v>199</v>
      </c>
      <c r="D1440" s="28">
        <f>IF(MOD(D1432,Inputs!$D$21)=Inputs!$D$6,Inputs!$D$24,Inputs!$D$6)+SUMPRODUCT(--(D1432&gt;$D$1432:$M$1432),--(MOD(D1432-$D$1432:$M$1432,Inputs!$D$21)=Inputs!$D$6),$D$1439:$M$1439)</f>
        <v>0</v>
      </c>
      <c r="E1440" s="28">
        <f>IF(MOD(E1432,Inputs!$D$21)=Inputs!$D$6,Inputs!$D$24,Inputs!$D$6)+SUMPRODUCT(--(E1432&gt;$D$1432:$M$1432),--(MOD(E1432-$D$1432:$M$1432,Inputs!$D$21)=Inputs!$D$6),$D$1439:$M$1439)</f>
        <v>0</v>
      </c>
      <c r="F1440" s="28">
        <f>IF(MOD(F1432,Inputs!$D$21)=Inputs!$D$6,Inputs!$D$24,Inputs!$D$6)+SUMPRODUCT(--(F1432&gt;$D$1432:$M$1432),--(MOD(F1432-$D$1432:$M$1432,Inputs!$D$21)=Inputs!$D$6),$D$1439:$M$1439)</f>
        <v>0</v>
      </c>
      <c r="G1440" s="28">
        <f>IF(MOD(G1432,Inputs!$D$21)=Inputs!$D$6,Inputs!$D$24,Inputs!$D$6)+SUMPRODUCT(--(G1432&gt;$D$1432:$M$1432),--(MOD(G1432-$D$1432:$M$1432,Inputs!$D$21)=Inputs!$D$6),$D$1439:$M$1439)</f>
        <v>46</v>
      </c>
      <c r="H1440" s="28">
        <f>IF(MOD(H1432,Inputs!$D$21)=Inputs!$D$6,Inputs!$D$24,Inputs!$D$6)+SUMPRODUCT(--(H1432&gt;$D$1432:$M$1432),--(MOD(H1432-$D$1432:$M$1432,Inputs!$D$21)=Inputs!$D$6),$D$1439:$M$1439)</f>
        <v>259.5</v>
      </c>
      <c r="I1440" s="28">
        <f>IF(MOD(I1432,Inputs!$D$21)=Inputs!$D$6,Inputs!$D$24,Inputs!$D$6)+SUMPRODUCT(--(I1432&gt;$D$1432:$M$1432),--(MOD(I1432-$D$1432:$M$1432,Inputs!$D$21)=Inputs!$D$6),$D$1439:$M$1439)</f>
        <v>346</v>
      </c>
      <c r="J1440" s="28">
        <f>IF(MOD(J1432,Inputs!$D$21)=Inputs!$D$6,Inputs!$D$24,Inputs!$D$6)+SUMPRODUCT(--(J1432&gt;$D$1432:$M$1432),--(MOD(J1432-$D$1432:$M$1432,Inputs!$D$21)=Inputs!$D$6),$D$1439:$M$1439)</f>
        <v>259.5</v>
      </c>
      <c r="K1440" s="28">
        <f>IF(MOD(K1432,Inputs!$D$21)=Inputs!$D$6,Inputs!$D$24,Inputs!$D$6)+SUMPRODUCT(--(K1432&gt;$D$1432:$M$1432),--(MOD(K1432-$D$1432:$M$1432,Inputs!$D$21)=Inputs!$D$6),$D$1439:$M$1439)</f>
        <v>46</v>
      </c>
      <c r="L1440" s="28">
        <f>IF(MOD(L1432,Inputs!$D$21)=Inputs!$D$6,Inputs!$D$24,Inputs!$D$6)+SUMPRODUCT(--(L1432&gt;$D$1432:$M$1432),--(MOD(L1432-$D$1432:$M$1432,Inputs!$D$21)=Inputs!$D$6),$D$1439:$M$1439)</f>
        <v>259.5</v>
      </c>
      <c r="M1440" s="28">
        <f>IF(MOD(M1432,Inputs!$D$21)=Inputs!$D$6,Inputs!$D$24,Inputs!$D$6)+SUMPRODUCT(--(M1432&gt;$D$1432:$M$1432),--(MOD(M1432-$D$1432:$M$1432,Inputs!$D$21)=Inputs!$D$6),$D$1439:$M$1439)</f>
        <v>346</v>
      </c>
    </row>
    <row r="1441" spans="2:13" ht="15" customHeight="1" x14ac:dyDescent="0.2">
      <c r="B1441" s="10" t="s">
        <v>895</v>
      </c>
      <c r="C1441" s="10" t="s">
        <v>896</v>
      </c>
      <c r="D1441" s="28">
        <f t="shared" ref="D1441:M1441" si="312">D1438*D1435</f>
        <v>125.58726899383984</v>
      </c>
      <c r="E1441" s="28">
        <f t="shared" si="312"/>
        <v>478.5</v>
      </c>
      <c r="F1441" s="28">
        <f t="shared" si="312"/>
        <v>781.25</v>
      </c>
      <c r="G1441" s="28">
        <f t="shared" si="312"/>
        <v>911</v>
      </c>
      <c r="H1441" s="28">
        <f t="shared" si="312"/>
        <v>911</v>
      </c>
      <c r="I1441" s="28">
        <f t="shared" si="312"/>
        <v>911</v>
      </c>
      <c r="J1441" s="28">
        <f t="shared" si="312"/>
        <v>911</v>
      </c>
      <c r="K1441" s="28">
        <f t="shared" si="312"/>
        <v>911</v>
      </c>
      <c r="L1441" s="28">
        <f t="shared" si="312"/>
        <v>911</v>
      </c>
      <c r="M1441" s="28">
        <f t="shared" si="312"/>
        <v>911</v>
      </c>
    </row>
    <row r="1442" spans="2:13" ht="15" customHeight="1" x14ac:dyDescent="0.2">
      <c r="B1442" s="10" t="s">
        <v>897</v>
      </c>
      <c r="C1442" s="10" t="s">
        <v>110</v>
      </c>
      <c r="D1442" s="16">
        <f>D1441*($D$1461/Inputs!$D$21+$D$1462/Inputs!$D$22)</f>
        <v>1816.9772859324419</v>
      </c>
      <c r="E1442" s="16">
        <f>E1441*($D$1461/Inputs!$D$21+$D$1462/Inputs!$D$22)</f>
        <v>6922.8643817497086</v>
      </c>
      <c r="F1442" s="16">
        <f>F1441*($D$1461/Inputs!$D$21+$D$1462/Inputs!$D$22)</f>
        <v>11303.0048030135</v>
      </c>
      <c r="G1442" s="16">
        <f>G1441*($D$1461/Inputs!$D$21+$D$1462/Inputs!$D$22)</f>
        <v>13180.207840697982</v>
      </c>
      <c r="H1442" s="16">
        <f>H1441*($D$1461/Inputs!$D$21+$D$1462/Inputs!$D$22)</f>
        <v>13180.207840697982</v>
      </c>
      <c r="I1442" s="16">
        <f>I1441*($D$1461/Inputs!$D$21+$D$1462/Inputs!$D$22)</f>
        <v>13180.207840697982</v>
      </c>
      <c r="J1442" s="16">
        <f>J1441*($D$1461/Inputs!$D$21+$D$1462/Inputs!$D$22)</f>
        <v>13180.207840697982</v>
      </c>
      <c r="K1442" s="16">
        <f>K1441*($D$1461/Inputs!$D$21+$D$1462/Inputs!$D$22)</f>
        <v>13180.207840697982</v>
      </c>
      <c r="L1442" s="16">
        <f>L1441*($D$1461/Inputs!$D$21+$D$1462/Inputs!$D$22)</f>
        <v>13180.207840697982</v>
      </c>
      <c r="M1442" s="16">
        <f>M1441*($D$1461/Inputs!$D$21+$D$1462/Inputs!$D$22)</f>
        <v>13180.207840697982</v>
      </c>
    </row>
    <row r="1443" spans="2:13" ht="15" customHeight="1" x14ac:dyDescent="0.2">
      <c r="B1443" s="10" t="s">
        <v>898</v>
      </c>
      <c r="C1443" s="10" t="s">
        <v>110</v>
      </c>
      <c r="D1443" s="16">
        <f t="shared" ref="D1443:M1443" si="313">D1439*($D$1461+$D$1462)</f>
        <v>15560.968620146154</v>
      </c>
      <c r="E1443" s="16">
        <f t="shared" si="313"/>
        <v>20747.95816019487</v>
      </c>
      <c r="F1443" s="16">
        <f t="shared" si="313"/>
        <v>15560.968620146154</v>
      </c>
      <c r="G1443" s="16">
        <f t="shared" si="313"/>
        <v>0</v>
      </c>
      <c r="H1443" s="16">
        <f t="shared" si="313"/>
        <v>0</v>
      </c>
      <c r="I1443" s="16">
        <f t="shared" si="313"/>
        <v>0</v>
      </c>
      <c r="J1443" s="16">
        <f t="shared" si="313"/>
        <v>0</v>
      </c>
      <c r="K1443" s="16">
        <f t="shared" si="313"/>
        <v>0</v>
      </c>
      <c r="L1443" s="16">
        <f t="shared" si="313"/>
        <v>0</v>
      </c>
      <c r="M1443" s="16">
        <f t="shared" si="313"/>
        <v>0</v>
      </c>
    </row>
    <row r="1444" spans="2:13" ht="15" customHeight="1" x14ac:dyDescent="0.2">
      <c r="B1444" s="10" t="s">
        <v>899</v>
      </c>
      <c r="C1444" s="10" t="s">
        <v>110</v>
      </c>
      <c r="D1444" s="16">
        <f t="shared" ref="D1444:M1444" si="314">D1440*$D$1461</f>
        <v>0</v>
      </c>
      <c r="E1444" s="16">
        <f t="shared" si="314"/>
        <v>0</v>
      </c>
      <c r="F1444" s="16">
        <f t="shared" si="314"/>
        <v>0</v>
      </c>
      <c r="G1444" s="16">
        <f t="shared" si="314"/>
        <v>2638.0048485671714</v>
      </c>
      <c r="H1444" s="16">
        <f t="shared" si="314"/>
        <v>14881.788221808281</v>
      </c>
      <c r="I1444" s="16">
        <f t="shared" si="314"/>
        <v>19842.384295744378</v>
      </c>
      <c r="J1444" s="16">
        <f t="shared" si="314"/>
        <v>14881.788221808281</v>
      </c>
      <c r="K1444" s="16">
        <f t="shared" si="314"/>
        <v>2638.0048485671714</v>
      </c>
      <c r="L1444" s="16">
        <f t="shared" si="314"/>
        <v>14881.788221808281</v>
      </c>
      <c r="M1444" s="16">
        <f t="shared" si="314"/>
        <v>19842.384295744378</v>
      </c>
    </row>
    <row r="1445" spans="2:13" ht="15" customHeight="1" x14ac:dyDescent="0.2">
      <c r="B1445" s="10" t="s">
        <v>900</v>
      </c>
      <c r="C1445" s="10" t="s">
        <v>199</v>
      </c>
      <c r="D1445" s="28">
        <f>D1439*Inputs!$D$23</f>
        <v>6.4875000000000007</v>
      </c>
      <c r="E1445" s="28">
        <f>E1439*Inputs!$D$23</f>
        <v>8.65</v>
      </c>
      <c r="F1445" s="28">
        <f>F1439*Inputs!$D$23</f>
        <v>6.4875000000000007</v>
      </c>
      <c r="G1445" s="28">
        <f>G1439*Inputs!$D$23</f>
        <v>0</v>
      </c>
      <c r="H1445" s="28">
        <f>H1439*Inputs!$D$23</f>
        <v>0</v>
      </c>
      <c r="I1445" s="28">
        <f>I1439*Inputs!$D$23</f>
        <v>0</v>
      </c>
      <c r="J1445" s="28">
        <f>J1439*Inputs!$D$23</f>
        <v>0</v>
      </c>
      <c r="K1445" s="28">
        <f>K1439*Inputs!$D$23</f>
        <v>0</v>
      </c>
      <c r="L1445" s="28">
        <f>L1439*Inputs!$D$23</f>
        <v>0</v>
      </c>
      <c r="M1445" s="28">
        <f>M1439*Inputs!$D$23</f>
        <v>0</v>
      </c>
    </row>
    <row r="1446" spans="2:13" ht="15" customHeight="1" x14ac:dyDescent="0.2">
      <c r="B1446" s="3" t="s">
        <v>901</v>
      </c>
      <c r="C1446" s="10" t="s">
        <v>896</v>
      </c>
      <c r="D1446" s="28">
        <f>(D1441*$D$1459*(Inputs!$D$7-Inputs!$D$19)-D1445)/(Inputs!$D$7+$D$1460)^D1434</f>
        <v>41.323954955907958</v>
      </c>
      <c r="E1446" s="28">
        <f>(E1441*$D$1459*(Inputs!$D$7-Inputs!$D$19)-E1445)/(Inputs!$D$7+$D$1460)^E1434</f>
        <v>150.90696965563865</v>
      </c>
      <c r="F1446" s="28">
        <f>(F1441*$D$1459*(Inputs!$D$7-Inputs!$D$19)-F1445)/(Inputs!$D$7+$D$1460)^F1434</f>
        <v>221.49724363497256</v>
      </c>
      <c r="G1446" s="28">
        <f>(G1441*$D$1459*(Inputs!$D$7-Inputs!$D$19)-G1445)/(Inputs!$D$7+$D$1460)^G1434</f>
        <v>231.23411637215406</v>
      </c>
      <c r="H1446" s="28">
        <f>(H1441*$D$1459*(Inputs!$D$7-Inputs!$D$19)-H1445)/(Inputs!$D$7+$D$1460)^H1434</f>
        <v>202.85513622180579</v>
      </c>
      <c r="I1446" s="28">
        <f>(I1441*$D$1459*(Inputs!$D$7-Inputs!$D$19)-I1445)/(Inputs!$D$7+$D$1460)^I1434</f>
        <v>177.8952324639684</v>
      </c>
      <c r="J1446" s="28">
        <f>(J1441*$D$1459*(Inputs!$D$7-Inputs!$D$19)-J1445)/(Inputs!$D$7+$D$1460)^J1434</f>
        <v>156.06244519994988</v>
      </c>
      <c r="K1446" s="28">
        <f>(K1441*$D$1459*(Inputs!$D$7-Inputs!$D$19)-K1445)/(Inputs!$D$7+$D$1460)^K1434</f>
        <v>136.90915975907566</v>
      </c>
      <c r="L1446" s="28">
        <f>(L1441*$D$1459*(Inputs!$D$7-Inputs!$D$19)-L1445)/(Inputs!$D$7+$D$1460)^L1434</f>
        <v>120.10652532017438</v>
      </c>
      <c r="M1446" s="28">
        <f>(M1441*$D$1459*(Inputs!$D$7-Inputs!$D$19)-M1445)/(Inputs!$D$7+$D$1460)^M1434</f>
        <v>105.32825858010075</v>
      </c>
    </row>
    <row r="1447" spans="2:13" ht="15" customHeight="1" x14ac:dyDescent="0.2">
      <c r="B1447" s="10" t="s">
        <v>902</v>
      </c>
      <c r="C1447" s="10" t="s">
        <v>110</v>
      </c>
      <c r="D1447" s="16">
        <f>(D1442*Inputs!$D$19-D1443-D1444)/(Inputs!$D$7+$D$1460)^D1434</f>
        <v>-13673.750208995338</v>
      </c>
      <c r="E1447" s="16">
        <f>(E1442*Inputs!$D$19-E1443-E1444)/(Inputs!$D$7+$D$1460)^E1434</f>
        <v>-14910.258198718562</v>
      </c>
      <c r="F1447" s="16">
        <f>(F1442*Inputs!$D$19-F1443-F1444)/(Inputs!$D$7+$D$1460)^F1434</f>
        <v>-8525.9417164238148</v>
      </c>
      <c r="G1447" s="16">
        <f>(G1442*Inputs!$D$19-G1443-G1444)/(Inputs!$D$7+$D$1460)^G1434</f>
        <v>808.83204192410847</v>
      </c>
      <c r="H1447" s="16">
        <f>(H1442*Inputs!$D$19-H1443-H1444)/(Inputs!$D$7+$D$1460)^H1434</f>
        <v>-5891.7915280072548</v>
      </c>
      <c r="I1447" s="16">
        <f>(I1442*Inputs!$D$19-I1443-I1444)/(Inputs!$D$7+$D$1460)^I1434</f>
        <v>-7512.3171078465948</v>
      </c>
      <c r="J1447" s="16">
        <f>(J1442*Inputs!$D$19-J1443-J1444)/(Inputs!$D$7+$D$1460)^J1434</f>
        <v>-4532.7291662153211</v>
      </c>
      <c r="K1447" s="16">
        <f>(K1442*Inputs!$D$19-K1443-K1444)/(Inputs!$D$7+$D$1460)^K1434</f>
        <v>478.89349972832292</v>
      </c>
      <c r="L1447" s="16">
        <f>(L1442*Inputs!$D$19-L1443-L1444)/(Inputs!$D$7+$D$1460)^L1434</f>
        <v>-3488.413562109869</v>
      </c>
      <c r="M1447" s="16">
        <f>(M1442*Inputs!$D$19-M1443-M1444)/(Inputs!$D$7+$D$1460)^M1434</f>
        <v>-4447.8947969066312</v>
      </c>
    </row>
    <row r="1448" spans="2:13" ht="15" customHeight="1" x14ac:dyDescent="0.2">
      <c r="B1448" s="10" t="s">
        <v>903</v>
      </c>
      <c r="C1448" s="10" t="s">
        <v>110</v>
      </c>
      <c r="D1448" s="16">
        <f t="shared" ref="D1448:M1448" si="315">D1441*$D$1458</f>
        <v>6265.1424458497049</v>
      </c>
      <c r="E1448" s="16">
        <f t="shared" si="315"/>
        <v>23870.816559329207</v>
      </c>
      <c r="F1448" s="16">
        <f t="shared" si="315"/>
        <v>38974.034351046903</v>
      </c>
      <c r="G1448" s="16">
        <f t="shared" si="315"/>
        <v>45446.841976068776</v>
      </c>
      <c r="H1448" s="16">
        <f t="shared" si="315"/>
        <v>45446.841976068776</v>
      </c>
      <c r="I1448" s="16">
        <f t="shared" si="315"/>
        <v>45446.841976068776</v>
      </c>
      <c r="J1448" s="16">
        <f t="shared" si="315"/>
        <v>45446.841976068776</v>
      </c>
      <c r="K1448" s="16">
        <f t="shared" si="315"/>
        <v>45446.841976068776</v>
      </c>
      <c r="L1448" s="16">
        <f t="shared" si="315"/>
        <v>45446.841976068776</v>
      </c>
      <c r="M1448" s="16">
        <f t="shared" si="315"/>
        <v>45446.841976068776</v>
      </c>
    </row>
    <row r="1449" spans="2:13" ht="15" customHeight="1" x14ac:dyDescent="0.2">
      <c r="B1449" s="10" t="s">
        <v>904</v>
      </c>
      <c r="C1449" s="10" t="s">
        <v>110</v>
      </c>
      <c r="D1449" s="16">
        <f t="shared" ref="D1449:M1449" si="316">D1448*$D$1459</f>
        <v>3696.4340430513257</v>
      </c>
      <c r="E1449" s="16">
        <f t="shared" si="316"/>
        <v>14083.781770004231</v>
      </c>
      <c r="F1449" s="16">
        <f t="shared" si="316"/>
        <v>22994.68026711767</v>
      </c>
      <c r="G1449" s="16">
        <f t="shared" si="316"/>
        <v>26813.636765880576</v>
      </c>
      <c r="H1449" s="16">
        <f t="shared" si="316"/>
        <v>26813.636765880576</v>
      </c>
      <c r="I1449" s="16">
        <f t="shared" si="316"/>
        <v>26813.636765880576</v>
      </c>
      <c r="J1449" s="16">
        <f t="shared" si="316"/>
        <v>26813.636765880576</v>
      </c>
      <c r="K1449" s="16">
        <f t="shared" si="316"/>
        <v>26813.636765880576</v>
      </c>
      <c r="L1449" s="16">
        <f t="shared" si="316"/>
        <v>26813.636765880576</v>
      </c>
      <c r="M1449" s="16">
        <f t="shared" si="316"/>
        <v>26813.636765880576</v>
      </c>
    </row>
    <row r="1450" spans="2:13" ht="15" customHeight="1" x14ac:dyDescent="0.2">
      <c r="B1450" s="10" t="s">
        <v>905</v>
      </c>
      <c r="C1450" s="10" t="s">
        <v>110</v>
      </c>
      <c r="D1450" s="16">
        <f t="shared" ref="D1450:M1450" si="317">D1449-D1442</f>
        <v>1879.4567571188838</v>
      </c>
      <c r="E1450" s="16">
        <f t="shared" si="317"/>
        <v>7160.9173882545219</v>
      </c>
      <c r="F1450" s="16">
        <f t="shared" si="317"/>
        <v>11691.67546410417</v>
      </c>
      <c r="G1450" s="16">
        <f t="shared" si="317"/>
        <v>13633.428925182594</v>
      </c>
      <c r="H1450" s="16">
        <f t="shared" si="317"/>
        <v>13633.428925182594</v>
      </c>
      <c r="I1450" s="16">
        <f t="shared" si="317"/>
        <v>13633.428925182594</v>
      </c>
      <c r="J1450" s="16">
        <f t="shared" si="317"/>
        <v>13633.428925182594</v>
      </c>
      <c r="K1450" s="16">
        <f t="shared" si="317"/>
        <v>13633.428925182594</v>
      </c>
      <c r="L1450" s="16">
        <f t="shared" si="317"/>
        <v>13633.428925182594</v>
      </c>
      <c r="M1450" s="16">
        <f t="shared" si="317"/>
        <v>13633.428925182594</v>
      </c>
    </row>
    <row r="1451" spans="2:13" ht="15" customHeight="1" x14ac:dyDescent="0.2">
      <c r="B1451" s="10" t="s">
        <v>906</v>
      </c>
      <c r="C1451" s="10" t="s">
        <v>110</v>
      </c>
      <c r="D1451" s="16">
        <f>MAX(D1450,Inputs!$D$6)*Inputs!$D$19</f>
        <v>563.83702713566515</v>
      </c>
      <c r="E1451" s="16">
        <f>MAX(E1450,Inputs!$D$6)*Inputs!$D$19</f>
        <v>2148.2752164763565</v>
      </c>
      <c r="F1451" s="16">
        <f>MAX(F1450,Inputs!$D$6)*Inputs!$D$19</f>
        <v>3507.5026392312507</v>
      </c>
      <c r="G1451" s="16">
        <f>MAX(G1450,Inputs!$D$6)*Inputs!$D$19</f>
        <v>4090.0286775547779</v>
      </c>
      <c r="H1451" s="16">
        <f>MAX(H1450,Inputs!$D$6)*Inputs!$D$19</f>
        <v>4090.0286775547779</v>
      </c>
      <c r="I1451" s="16">
        <f>MAX(I1450,Inputs!$D$6)*Inputs!$D$19</f>
        <v>4090.0286775547779</v>
      </c>
      <c r="J1451" s="16">
        <f>MAX(J1450,Inputs!$D$6)*Inputs!$D$19</f>
        <v>4090.0286775547779</v>
      </c>
      <c r="K1451" s="16">
        <f>MAX(K1450,Inputs!$D$6)*Inputs!$D$19</f>
        <v>4090.0286775547779</v>
      </c>
      <c r="L1451" s="16">
        <f>MAX(L1450,Inputs!$D$6)*Inputs!$D$19</f>
        <v>4090.0286775547779</v>
      </c>
      <c r="M1451" s="16">
        <f>MAX(M1450,Inputs!$D$6)*Inputs!$D$19</f>
        <v>4090.0286775547779</v>
      </c>
    </row>
    <row r="1452" spans="2:13" ht="15" customHeight="1" x14ac:dyDescent="0.2">
      <c r="B1452" s="10" t="s">
        <v>907</v>
      </c>
      <c r="C1452" s="10" t="s">
        <v>110</v>
      </c>
      <c r="D1452" s="16">
        <f t="shared" ref="D1452:M1452" si="318">D1445*$D$1458</f>
        <v>323.64038125109352</v>
      </c>
      <c r="E1452" s="16">
        <f t="shared" si="318"/>
        <v>431.52050833479132</v>
      </c>
      <c r="F1452" s="16">
        <f t="shared" si="318"/>
        <v>323.64038125109352</v>
      </c>
      <c r="G1452" s="16">
        <f t="shared" si="318"/>
        <v>0</v>
      </c>
      <c r="H1452" s="16">
        <f t="shared" si="318"/>
        <v>0</v>
      </c>
      <c r="I1452" s="16">
        <f t="shared" si="318"/>
        <v>0</v>
      </c>
      <c r="J1452" s="16">
        <f t="shared" si="318"/>
        <v>0</v>
      </c>
      <c r="K1452" s="16">
        <f t="shared" si="318"/>
        <v>0</v>
      </c>
      <c r="L1452" s="16">
        <f t="shared" si="318"/>
        <v>0</v>
      </c>
      <c r="M1452" s="16">
        <f t="shared" si="318"/>
        <v>0</v>
      </c>
    </row>
    <row r="1453" spans="2:13" ht="15" customHeight="1" x14ac:dyDescent="0.2">
      <c r="B1453" s="10" t="s">
        <v>908</v>
      </c>
      <c r="C1453" s="10" t="s">
        <v>110</v>
      </c>
      <c r="D1453" s="16">
        <f t="shared" ref="D1453:M1453" si="319">D1449-D1451-D1443-D1444-D1452</f>
        <v>-12752.011985481588</v>
      </c>
      <c r="E1453" s="16">
        <f t="shared" si="319"/>
        <v>-9243.9721150017886</v>
      </c>
      <c r="F1453" s="16">
        <f t="shared" si="319"/>
        <v>3602.5686264891729</v>
      </c>
      <c r="G1453" s="16">
        <f t="shared" si="319"/>
        <v>20085.603239758624</v>
      </c>
      <c r="H1453" s="16">
        <f t="shared" si="319"/>
        <v>7841.819866517515</v>
      </c>
      <c r="I1453" s="16">
        <f t="shared" si="319"/>
        <v>2881.2237925814188</v>
      </c>
      <c r="J1453" s="16">
        <f t="shared" si="319"/>
        <v>7841.819866517515</v>
      </c>
      <c r="K1453" s="16">
        <f t="shared" si="319"/>
        <v>20085.603239758624</v>
      </c>
      <c r="L1453" s="16">
        <f t="shared" si="319"/>
        <v>7841.819866517515</v>
      </c>
      <c r="M1453" s="16">
        <f t="shared" si="319"/>
        <v>2881.2237925814188</v>
      </c>
    </row>
    <row r="1454" spans="2:13" ht="15" customHeight="1" x14ac:dyDescent="0.2">
      <c r="B1454" s="10" t="s">
        <v>909</v>
      </c>
      <c r="C1454" s="10" t="s">
        <v>110</v>
      </c>
      <c r="D1454" s="16">
        <f>D1453/(Inputs!$D$7+$D$1460)^D1434</f>
        <v>-11612.231821830319</v>
      </c>
      <c r="E1454" s="16">
        <f>E1453/(Inputs!$D$7+$D$1460)^E1434</f>
        <v>-7381.9978221793608</v>
      </c>
      <c r="F1454" s="16">
        <f>F1453/(Inputs!$D$7+$D$1460)^F1434</f>
        <v>2523.8389966534669</v>
      </c>
      <c r="G1454" s="16">
        <f>G1453/(Inputs!$D$7+$D$1460)^G1434</f>
        <v>12344.353827040664</v>
      </c>
      <c r="H1454" s="16">
        <f>H1453/(Inputs!$D$7+$D$1460)^H1434</f>
        <v>4227.9947726582914</v>
      </c>
      <c r="I1454" s="16">
        <f>I1453/(Inputs!$D$7+$D$1460)^I1434</f>
        <v>1362.3003653542742</v>
      </c>
      <c r="J1454" s="16">
        <f>J1453/(Inputs!$D$7+$D$1460)^J1434</f>
        <v>3252.7212019526423</v>
      </c>
      <c r="K1454" s="16">
        <f>K1453/(Inputs!$D$7+$D$1460)^K1434</f>
        <v>7308.8484378699968</v>
      </c>
      <c r="L1454" s="16">
        <f>L1453/(Inputs!$D$7+$D$1460)^L1434</f>
        <v>2503.3123177152329</v>
      </c>
      <c r="M1454" s="16">
        <f>M1453/(Inputs!$D$7+$D$1460)^M1434</f>
        <v>806.59117818046923</v>
      </c>
    </row>
    <row r="1455" spans="2:13" ht="15" customHeight="1" x14ac:dyDescent="0.2">
      <c r="B1455" s="3" t="s">
        <v>910</v>
      </c>
      <c r="C1455" s="10" t="s">
        <v>896</v>
      </c>
      <c r="D1455" s="28">
        <f>(D1441*$D$1459-D1445)/(Inputs!$D$7+$D$1460)^D1434</f>
        <v>61.566069024375587</v>
      </c>
      <c r="E1455" s="28">
        <f>(E1441*$D$1459-E1445)/(Inputs!$D$7+$D$1460)^E1434</f>
        <v>218.54181393820917</v>
      </c>
      <c r="F1455" s="28">
        <f>(F1441*$D$1459-F1445)/(Inputs!$D$7+$D$1460)^F1434</f>
        <v>318.37245891604812</v>
      </c>
      <c r="G1455" s="28">
        <f>(G1441*$D$1459-G1445)/(Inputs!$D$7+$D$1460)^G1434</f>
        <v>330.33445196022012</v>
      </c>
      <c r="H1455" s="28">
        <f>(H1441*$D$1459-H1445)/(Inputs!$D$7+$D$1460)^H1434</f>
        <v>289.79305174543686</v>
      </c>
      <c r="I1455" s="28">
        <f>(I1441*$D$1459-I1445)/(Inputs!$D$7+$D$1460)^I1434</f>
        <v>254.13604637709773</v>
      </c>
      <c r="J1455" s="28">
        <f>(J1441*$D$1459-J1445)/(Inputs!$D$7+$D$1460)^J1434</f>
        <v>222.94635028564269</v>
      </c>
      <c r="K1455" s="28">
        <f>(K1441*$D$1459-K1445)/(Inputs!$D$7+$D$1460)^K1434</f>
        <v>195.58451394153667</v>
      </c>
      <c r="L1455" s="28">
        <f>(L1441*$D$1459-L1445)/(Inputs!$D$7+$D$1460)^L1434</f>
        <v>171.58075045739199</v>
      </c>
      <c r="M1455" s="28">
        <f>(M1441*$D$1459-M1445)/(Inputs!$D$7+$D$1460)^M1434</f>
        <v>150.46894082871538</v>
      </c>
    </row>
    <row r="1456" spans="2:13" ht="15" customHeight="1" x14ac:dyDescent="0.2">
      <c r="B1456" s="10" t="s">
        <v>911</v>
      </c>
      <c r="C1456" s="10" t="s">
        <v>110</v>
      </c>
      <c r="D1456" s="16">
        <f>(-D1443-D1444)/(Inputs!$D$7+$D$1460)^D1434</f>
        <v>-14170.122737893587</v>
      </c>
      <c r="E1456" s="16">
        <f>(-E1443-E1444)/(Inputs!$D$7+$D$1460)^E1434</f>
        <v>-16568.784506031301</v>
      </c>
      <c r="F1456" s="16">
        <f>(-F1443-F1444)/(Inputs!$D$7+$D$1460)^F1434</f>
        <v>-10901.493767656277</v>
      </c>
      <c r="G1456" s="16">
        <f>(-G1443-G1444)/(Inputs!$D$7+$D$1460)^G1434</f>
        <v>-1621.2839046676961</v>
      </c>
      <c r="H1456" s="16">
        <f>(-H1443-H1444)/(Inputs!$D$7+$D$1460)^H1434</f>
        <v>-8023.6633690433682</v>
      </c>
      <c r="I1456" s="16">
        <f>(-I1443-I1444)/(Inputs!$D$7+$D$1460)^I1434</f>
        <v>-9381.8770500204446</v>
      </c>
      <c r="J1456" s="16">
        <f>(-J1443-J1444)/(Inputs!$D$7+$D$1460)^J1434</f>
        <v>-6172.8411129063252</v>
      </c>
      <c r="K1456" s="16">
        <f>(-K1443-K1444)/(Inputs!$D$7+$D$1460)^K1434</f>
        <v>-959.93022397147342</v>
      </c>
      <c r="L1456" s="16">
        <f>(-L1443-L1444)/(Inputs!$D$7+$D$1460)^L1434</f>
        <v>-4750.6528330682277</v>
      </c>
      <c r="M1456" s="16">
        <f>(-M1443-M1444)/(Inputs!$D$7+$D$1460)^M1434</f>
        <v>-5554.82436602912</v>
      </c>
    </row>
    <row r="1457" spans="2:13" ht="15" customHeight="1" x14ac:dyDescent="0.2">
      <c r="B1457" s="10" t="s">
        <v>912</v>
      </c>
      <c r="C1457" s="10" t="s">
        <v>110</v>
      </c>
      <c r="D1457" s="16">
        <f>Prices!I7</f>
        <v>35754.545454545456</v>
      </c>
    </row>
    <row r="1458" spans="2:13" ht="15" customHeight="1" x14ac:dyDescent="0.2">
      <c r="B1458" s="3" t="s">
        <v>913</v>
      </c>
      <c r="C1458" s="10" t="s">
        <v>914</v>
      </c>
      <c r="D1458" s="28">
        <f>IF(J1465&gt;=J1461,J1465,(D1457-J1464)/J1463)</f>
        <v>49.886763969340038</v>
      </c>
      <c r="G1458" s="99" t="s">
        <v>915</v>
      </c>
      <c r="H1458" s="91"/>
      <c r="I1458" s="91"/>
      <c r="J1458" s="28">
        <f>D1458*Inputs!$D$15</f>
        <v>34.815972574202412</v>
      </c>
      <c r="K1458" s="99" t="s">
        <v>916</v>
      </c>
      <c r="L1458" s="91"/>
      <c r="M1458" s="91"/>
    </row>
    <row r="1459" spans="2:13" ht="15" customHeight="1" x14ac:dyDescent="0.2">
      <c r="B1459" s="10" t="s">
        <v>917</v>
      </c>
      <c r="C1459" s="10" t="s">
        <v>104</v>
      </c>
      <c r="D1459" s="30">
        <f>Inputs!$D$141</f>
        <v>0.59</v>
      </c>
      <c r="G1459" s="99" t="s">
        <v>918</v>
      </c>
      <c r="H1459" s="91"/>
      <c r="I1459" s="91"/>
      <c r="J1459" s="28">
        <f>IF(-D1470/D1469&gt;=J1461,-D1470/D1469,-J1464/J1463)</f>
        <v>35.478487913459944</v>
      </c>
      <c r="K1459" s="99" t="s">
        <v>919</v>
      </c>
      <c r="L1459" s="91"/>
      <c r="M1459" s="91"/>
    </row>
    <row r="1460" spans="2:13" ht="15" customHeight="1" x14ac:dyDescent="0.2">
      <c r="B1460" s="10" t="s">
        <v>920</v>
      </c>
      <c r="C1460" s="10" t="s">
        <v>104</v>
      </c>
      <c r="D1460" s="30">
        <f>Inputs!$D$149</f>
        <v>0.14000000000000001</v>
      </c>
      <c r="G1460" s="99" t="s">
        <v>918</v>
      </c>
      <c r="H1460" s="91"/>
      <c r="I1460" s="91"/>
      <c r="J1460" s="28">
        <f>J1459*Inputs!$D$15</f>
        <v>24.760436714803692</v>
      </c>
      <c r="K1460" s="99" t="s">
        <v>916</v>
      </c>
      <c r="L1460" s="91"/>
      <c r="M1460" s="91"/>
    </row>
    <row r="1461" spans="2:13" ht="15" customHeight="1" x14ac:dyDescent="0.2">
      <c r="B1461" s="3" t="s">
        <v>921</v>
      </c>
      <c r="C1461" s="10" t="s">
        <v>848</v>
      </c>
      <c r="D1461" s="28">
        <f>Capital!$D$13</f>
        <v>57.347931490590682</v>
      </c>
      <c r="G1461" s="99" t="s">
        <v>922</v>
      </c>
      <c r="H1461" s="91"/>
      <c r="I1461" s="91"/>
      <c r="J1461" s="28">
        <f>($D$1461/Inputs!$D$21+$D$1462/Inputs!$D$22)/$D$1459</f>
        <v>24.521773131961492</v>
      </c>
      <c r="K1461" s="99" t="s">
        <v>919</v>
      </c>
      <c r="L1461" s="91"/>
      <c r="M1461" s="91"/>
    </row>
    <row r="1462" spans="2:13" ht="15" customHeight="1" x14ac:dyDescent="0.2">
      <c r="B1462" s="3" t="s">
        <v>923</v>
      </c>
      <c r="C1462" s="10" t="s">
        <v>848</v>
      </c>
      <c r="D1462" s="28">
        <f>Capital!$D$14</f>
        <v>2.6172655041921802</v>
      </c>
    </row>
    <row r="1463" spans="2:13" ht="15" customHeight="1" x14ac:dyDescent="0.2">
      <c r="B1463" s="10" t="s">
        <v>924</v>
      </c>
      <c r="C1463" s="10" t="s">
        <v>896</v>
      </c>
      <c r="D1463" s="28">
        <f>(M1436*(Inputs!$D$7+Inputs!$D$20)*$D$1459*(Inputs!$D$7-Inputs!$D$19)-M1436*Inputs!$D$20*Inputs!$D$23)/($D$1460-Inputs!$D$20)/(Inputs!$D$7+$D$1460)^M1434</f>
        <v>937.40930417535674</v>
      </c>
      <c r="G1463" s="92" t="s">
        <v>910</v>
      </c>
      <c r="H1463" s="91"/>
      <c r="I1463" s="91"/>
      <c r="J1463" s="28">
        <f>SUM(D1455:M1455)+(M1436*(Inputs!$D$7+Inputs!$D$20)*$D$1459-M1436*Inputs!$D$20*Inputs!$D$23)/($D$1460-Inputs!$D$20)/(Inputs!$D$7+$D$1460)^M1434</f>
        <v>3553.0746151702915</v>
      </c>
      <c r="K1463" s="99" t="s">
        <v>896</v>
      </c>
      <c r="L1463" s="91"/>
      <c r="M1463" s="91"/>
    </row>
    <row r="1464" spans="2:13" ht="15" customHeight="1" x14ac:dyDescent="0.2">
      <c r="B1464" s="10" t="s">
        <v>925</v>
      </c>
      <c r="C1464" s="10" t="s">
        <v>110</v>
      </c>
      <c r="D1464" s="16">
        <f>(D1467*Inputs!$D$19-D1467-D1468)/($D$1460-Inputs!$D$20)/(Inputs!$D$7+$D$1460)^M1434</f>
        <v>-26345.502698929216</v>
      </c>
      <c r="G1464" s="92" t="s">
        <v>926</v>
      </c>
      <c r="H1464" s="91"/>
      <c r="I1464" s="91"/>
      <c r="J1464" s="16">
        <f>SUM(D1456:M1456)-(D1467+D1468)/($D$1460-Inputs!$D$20)/(Inputs!$D$7+$D$1460)^M1434</f>
        <v>-114317.08794717836</v>
      </c>
      <c r="K1464" s="99" t="s">
        <v>110</v>
      </c>
      <c r="L1464" s="91"/>
      <c r="M1464" s="91"/>
    </row>
    <row r="1465" spans="2:13" ht="15" customHeight="1" x14ac:dyDescent="0.2">
      <c r="B1465" s="10" t="s">
        <v>927</v>
      </c>
      <c r="C1465" s="10" t="s">
        <v>928</v>
      </c>
      <c r="D1465" s="16">
        <f>(M1436*(Inputs!$D$7+Inputs!$D$20)*$D$1458*$D$1459-D1467)-MAX((M1436*(Inputs!$D$7+Inputs!$D$20)*$D$1458*$D$1459-D1467),Inputs!$D$6)*Inputs!$D$19-D1468-M1436*Inputs!$D$20*$D$1458*Inputs!$D$23</f>
        <v>8387.8736160272838</v>
      </c>
      <c r="G1465" s="99" t="s">
        <v>929</v>
      </c>
      <c r="H1465" s="91"/>
      <c r="I1465" s="91"/>
      <c r="J1465" s="28">
        <f>(D1457-D1470)/D1469</f>
        <v>49.886763969340038</v>
      </c>
      <c r="K1465" s="99" t="s">
        <v>919</v>
      </c>
      <c r="L1465" s="91"/>
      <c r="M1465" s="91"/>
    </row>
    <row r="1466" spans="2:13" ht="15" customHeight="1" x14ac:dyDescent="0.2">
      <c r="B1466" s="10" t="s">
        <v>930</v>
      </c>
      <c r="C1466" s="10" t="s">
        <v>110</v>
      </c>
      <c r="D1466" s="16">
        <f>D1465/($D$1460-Inputs!$D$20)</f>
        <v>72938.031443715503</v>
      </c>
      <c r="G1466" s="99" t="s">
        <v>931</v>
      </c>
      <c r="H1466" s="91"/>
      <c r="I1466" s="91"/>
      <c r="J1466" s="16">
        <f>MIN(D1450:M1450,(M1436*(Inputs!$D$7+Inputs!$D$20)*$D$1458*$D$1459-D1467))</f>
        <v>1879.4567571188838</v>
      </c>
      <c r="K1466" s="99" t="s">
        <v>110</v>
      </c>
      <c r="L1466" s="91"/>
      <c r="M1466" s="91"/>
    </row>
    <row r="1467" spans="2:13" ht="15" customHeight="1" x14ac:dyDescent="0.2">
      <c r="B1467" s="10" t="s">
        <v>932</v>
      </c>
      <c r="C1467" s="10" t="s">
        <v>928</v>
      </c>
      <c r="D1467" s="16">
        <f>M1436*(Inputs!$D$7+Inputs!$D$20)*($D$1461/Inputs!$D$21+$D$1462/Inputs!$D$22)</f>
        <v>13509.71303671543</v>
      </c>
      <c r="G1467" s="99" t="s">
        <v>933</v>
      </c>
      <c r="H1467" s="91"/>
      <c r="I1467" s="91"/>
      <c r="J1467" s="31" t="str">
        <f>IF(J1466&lt;Inputs!$D$6,"breached","satisfied")</f>
        <v>satisfied</v>
      </c>
      <c r="K1467" s="99" t="s">
        <v>934</v>
      </c>
      <c r="L1467" s="91"/>
      <c r="M1467" s="91"/>
    </row>
    <row r="1468" spans="2:13" ht="15" customHeight="1" x14ac:dyDescent="0.2">
      <c r="B1468" s="10" t="s">
        <v>935</v>
      </c>
      <c r="C1468" s="10" t="s">
        <v>928</v>
      </c>
      <c r="D1468" s="16">
        <f>M1436*Inputs!$D$20*($D$1461+$D$1462)</f>
        <v>1365.7073615561799</v>
      </c>
    </row>
    <row r="1469" spans="2:13" ht="15" customHeight="1" x14ac:dyDescent="0.2">
      <c r="B1469" s="10" t="s">
        <v>936</v>
      </c>
      <c r="C1469" s="10" t="s">
        <v>896</v>
      </c>
      <c r="D1469" s="28">
        <f>SUM(D1446:M1446)+D1463</f>
        <v>2481.5283463391052</v>
      </c>
      <c r="G1469" s="99" t="s">
        <v>937</v>
      </c>
      <c r="H1469" s="91"/>
      <c r="I1469" s="91"/>
      <c r="J1469" s="16">
        <f>D1471-D1457</f>
        <v>0</v>
      </c>
      <c r="K1469" s="99" t="s">
        <v>110</v>
      </c>
      <c r="L1469" s="91"/>
      <c r="M1469" s="91"/>
    </row>
    <row r="1470" spans="2:13" ht="15" customHeight="1" x14ac:dyDescent="0.2">
      <c r="B1470" s="10" t="s">
        <v>938</v>
      </c>
      <c r="C1470" s="10" t="s">
        <v>110</v>
      </c>
      <c r="D1470" s="16">
        <f>SUM(D1447:M1447)+D1464</f>
        <v>-88040.873442500175</v>
      </c>
    </row>
    <row r="1471" spans="2:13" ht="15" customHeight="1" x14ac:dyDescent="0.2">
      <c r="B1471" s="10" t="s">
        <v>939</v>
      </c>
      <c r="C1471" s="10" t="s">
        <v>110</v>
      </c>
      <c r="D1471" s="16">
        <f>SUM(D1454:M1454)+D1466/(Inputs!$D$7+$D$1460)^M1434</f>
        <v>35754.545454545441</v>
      </c>
    </row>
    <row r="1472" spans="2:13" ht="15" customHeight="1" x14ac:dyDescent="0.2">
      <c r="B1472" s="10" t="s">
        <v>940</v>
      </c>
      <c r="C1472" s="10" t="s">
        <v>104</v>
      </c>
      <c r="D1472" s="30">
        <f>IF(ABS(D1457)&gt;Inputs!$D$6,D1471/D1457-Inputs!$D$7,Inputs!$D$6)</f>
        <v>-4.4408920985006262E-16</v>
      </c>
    </row>
    <row r="1473" spans="1:13" ht="15" customHeight="1" x14ac:dyDescent="0.2">
      <c r="B1473" s="10" t="s">
        <v>941</v>
      </c>
      <c r="C1473" s="10" t="s">
        <v>104</v>
      </c>
      <c r="D1473" s="30">
        <f>IF(ABS(D1471)&gt;Inputs!$D$119,D1466/(Inputs!$D$7+$D$1460)^M1434/D1471,Inputs!$D$6)</f>
        <v>0.57108302571174929</v>
      </c>
    </row>
    <row r="1474" spans="1:13" ht="15" customHeight="1" x14ac:dyDescent="0.2">
      <c r="B1474" s="10" t="s">
        <v>942</v>
      </c>
      <c r="C1474" s="10" t="s">
        <v>943</v>
      </c>
      <c r="D1474" s="26">
        <f>$D$1458*Inputs!$D$8/Prices!$P$6/(Inputs!$D$26/Inputs!$D$25)/Inputs!$D$11/Inputs!$D$56</f>
        <v>9.0720595599842504</v>
      </c>
    </row>
    <row r="1478" spans="1:13" ht="15" customHeight="1" x14ac:dyDescent="0.2">
      <c r="A1478" s="104" t="s">
        <v>2197</v>
      </c>
      <c r="B1478" s="10" t="s">
        <v>886</v>
      </c>
      <c r="C1478" s="10" t="s">
        <v>107</v>
      </c>
      <c r="D1478" s="28">
        <f>Inputs!$D$60</f>
        <v>1</v>
      </c>
      <c r="E1478" s="28">
        <f>Inputs!$D$62</f>
        <v>2</v>
      </c>
      <c r="F1478" s="28">
        <f>Inputs!$D$64</f>
        <v>3</v>
      </c>
      <c r="G1478" s="28">
        <f>Inputs!$D$66</f>
        <v>4</v>
      </c>
      <c r="H1478" s="28">
        <f>Inputs!$D$68</f>
        <v>5</v>
      </c>
      <c r="I1478" s="28">
        <f>Inputs!$D$70</f>
        <v>6</v>
      </c>
      <c r="J1478" s="28">
        <f>Inputs!$D$72</f>
        <v>7</v>
      </c>
      <c r="K1478" s="28">
        <f>Inputs!$D$74</f>
        <v>8</v>
      </c>
      <c r="L1478" s="28">
        <f>Inputs!$D$76</f>
        <v>9</v>
      </c>
      <c r="M1478" s="28">
        <f>Inputs!$D$78</f>
        <v>10</v>
      </c>
    </row>
    <row r="1479" spans="1:13" ht="15" customHeight="1" x14ac:dyDescent="0.2">
      <c r="A1479" s="91"/>
      <c r="B1479" s="10" t="s">
        <v>887</v>
      </c>
      <c r="C1479" s="10" t="s">
        <v>161</v>
      </c>
      <c r="D1479" s="29">
        <f>Inputs!$D$61</f>
        <v>46568</v>
      </c>
      <c r="E1479" s="29">
        <f>Inputs!$D$63</f>
        <v>46934</v>
      </c>
      <c r="F1479" s="29">
        <f>Inputs!$D$65</f>
        <v>47299</v>
      </c>
      <c r="G1479" s="29">
        <f>Inputs!$D$67</f>
        <v>47664</v>
      </c>
      <c r="H1479" s="29">
        <f>Inputs!$D$69</f>
        <v>48029</v>
      </c>
      <c r="I1479" s="29">
        <f>Inputs!$D$71</f>
        <v>48395</v>
      </c>
      <c r="J1479" s="29">
        <f>Inputs!$D$73</f>
        <v>48760</v>
      </c>
      <c r="K1479" s="29">
        <f>Inputs!$D$75</f>
        <v>49125</v>
      </c>
      <c r="L1479" s="29">
        <f>Inputs!$D$77</f>
        <v>49490</v>
      </c>
      <c r="M1479" s="29">
        <f>Inputs!$D$79</f>
        <v>49856</v>
      </c>
    </row>
    <row r="1480" spans="1:13" ht="15" customHeight="1" x14ac:dyDescent="0.2">
      <c r="A1480" s="91"/>
      <c r="B1480" s="10" t="s">
        <v>888</v>
      </c>
      <c r="C1480" s="10" t="s">
        <v>107</v>
      </c>
      <c r="D1480" s="28">
        <f>(D1479-Inputs!$D$13)/Inputs!$D$10</f>
        <v>0.71457905544147848</v>
      </c>
      <c r="E1480" s="28">
        <f>(E1479-Inputs!$D$13)/Inputs!$D$10</f>
        <v>1.7166324435318274</v>
      </c>
      <c r="F1480" s="28">
        <f>(F1479-Inputs!$D$13)/Inputs!$D$10</f>
        <v>2.7159479808350446</v>
      </c>
      <c r="G1480" s="28">
        <f>(G1479-Inputs!$D$13)/Inputs!$D$10</f>
        <v>3.7152635181382614</v>
      </c>
      <c r="H1480" s="28">
        <f>(H1479-Inputs!$D$13)/Inputs!$D$10</f>
        <v>4.7145790554414786</v>
      </c>
      <c r="I1480" s="28">
        <f>(I1479-Inputs!$D$13)/Inputs!$D$10</f>
        <v>5.7166324435318279</v>
      </c>
      <c r="J1480" s="28">
        <f>(J1479-Inputs!$D$13)/Inputs!$D$10</f>
        <v>6.7159479808350442</v>
      </c>
      <c r="K1480" s="28">
        <f>(K1479-Inputs!$D$13)/Inputs!$D$10</f>
        <v>7.7152635181382614</v>
      </c>
      <c r="L1480" s="28">
        <f>(L1479-Inputs!$D$13)/Inputs!$D$10</f>
        <v>8.7145790554414777</v>
      </c>
      <c r="M1480" s="28">
        <f>(M1479-Inputs!$D$13)/Inputs!$D$10</f>
        <v>9.716632443531827</v>
      </c>
    </row>
    <row r="1481" spans="1:13" ht="15" customHeight="1" x14ac:dyDescent="0.2">
      <c r="A1481" s="91"/>
      <c r="B1481" s="10" t="s">
        <v>889</v>
      </c>
      <c r="C1481" s="10" t="s">
        <v>107</v>
      </c>
      <c r="D1481" s="28">
        <f>D1480</f>
        <v>0.71457905544147848</v>
      </c>
      <c r="E1481" s="28">
        <f>Inputs!$D$7</f>
        <v>1</v>
      </c>
      <c r="F1481" s="28">
        <f>Inputs!$D$7</f>
        <v>1</v>
      </c>
      <c r="G1481" s="28">
        <f>Inputs!$D$7</f>
        <v>1</v>
      </c>
      <c r="H1481" s="28">
        <f>Inputs!$D$7</f>
        <v>1</v>
      </c>
      <c r="I1481" s="28">
        <f>Inputs!$D$7</f>
        <v>1</v>
      </c>
      <c r="J1481" s="28">
        <f>Inputs!$D$7</f>
        <v>1</v>
      </c>
      <c r="K1481" s="28">
        <f>Inputs!$D$7</f>
        <v>1</v>
      </c>
      <c r="L1481" s="28">
        <f>Inputs!$D$7</f>
        <v>1</v>
      </c>
      <c r="M1481" s="28">
        <f>Inputs!$D$7</f>
        <v>1</v>
      </c>
    </row>
    <row r="1482" spans="1:13" ht="15" customHeight="1" x14ac:dyDescent="0.2">
      <c r="A1482" s="91"/>
      <c r="B1482" s="3" t="s">
        <v>890</v>
      </c>
      <c r="C1482" s="10" t="s">
        <v>199</v>
      </c>
      <c r="D1482" s="28">
        <f>Inputs!$D$24+(Inputs!$D$80-Inputs!$D$24)*Inputs!$D$83</f>
        <v>305.5</v>
      </c>
      <c r="E1482" s="28">
        <f>Inputs!$D$24+(Inputs!$D$80-Inputs!$D$24)*Inputs!$D$84</f>
        <v>651.5</v>
      </c>
      <c r="F1482" s="28">
        <f>Inputs!$D$24+(Inputs!$D$80-Inputs!$D$24)*Inputs!$D$85</f>
        <v>911</v>
      </c>
      <c r="G1482" s="28">
        <f>Inputs!$D$24+(Inputs!$D$80-Inputs!$D$24)*Inputs!$D$86</f>
        <v>911</v>
      </c>
      <c r="H1482" s="28">
        <f>Inputs!$D$24+(Inputs!$D$80-Inputs!$D$24)*Inputs!$D$87</f>
        <v>911</v>
      </c>
      <c r="I1482" s="28">
        <f>Inputs!$D$24+(Inputs!$D$80-Inputs!$D$24)*Inputs!$D$88</f>
        <v>911</v>
      </c>
      <c r="J1482" s="28">
        <f>Inputs!$D$24+(Inputs!$D$80-Inputs!$D$24)*Inputs!$D$89</f>
        <v>911</v>
      </c>
      <c r="K1482" s="28">
        <f>Inputs!$D$24+(Inputs!$D$80-Inputs!$D$24)*Inputs!$D$90</f>
        <v>911</v>
      </c>
      <c r="L1482" s="28">
        <f>Inputs!$D$24+(Inputs!$D$80-Inputs!$D$24)*Inputs!$D$91</f>
        <v>911</v>
      </c>
      <c r="M1482" s="28">
        <f>Inputs!$D$24+(Inputs!$D$80-Inputs!$D$24)*Inputs!$D$92</f>
        <v>911</v>
      </c>
    </row>
    <row r="1483" spans="1:13" ht="15" customHeight="1" x14ac:dyDescent="0.2">
      <c r="A1483" s="91"/>
      <c r="B1483" s="10" t="s">
        <v>891</v>
      </c>
      <c r="C1483" s="10" t="s">
        <v>199</v>
      </c>
      <c r="D1483" s="28">
        <f>Inputs!$D$24</f>
        <v>46</v>
      </c>
      <c r="E1483" s="28">
        <f t="shared" ref="E1483:M1483" si="320">D1482</f>
        <v>305.5</v>
      </c>
      <c r="F1483" s="28">
        <f t="shared" si="320"/>
        <v>651.5</v>
      </c>
      <c r="G1483" s="28">
        <f t="shared" si="320"/>
        <v>911</v>
      </c>
      <c r="H1483" s="28">
        <f t="shared" si="320"/>
        <v>911</v>
      </c>
      <c r="I1483" s="28">
        <f t="shared" si="320"/>
        <v>911</v>
      </c>
      <c r="J1483" s="28">
        <f t="shared" si="320"/>
        <v>911</v>
      </c>
      <c r="K1483" s="28">
        <f t="shared" si="320"/>
        <v>911</v>
      </c>
      <c r="L1483" s="28">
        <f t="shared" si="320"/>
        <v>911</v>
      </c>
      <c r="M1483" s="28">
        <f t="shared" si="320"/>
        <v>911</v>
      </c>
    </row>
    <row r="1484" spans="1:13" ht="15" customHeight="1" x14ac:dyDescent="0.2">
      <c r="B1484" s="10" t="s">
        <v>892</v>
      </c>
      <c r="C1484" s="10" t="s">
        <v>199</v>
      </c>
      <c r="D1484" s="28">
        <f>(D1483+D1482)*Inputs!$D$12</f>
        <v>175.75</v>
      </c>
      <c r="E1484" s="28">
        <f>(E1483+E1482)*Inputs!$D$12</f>
        <v>478.5</v>
      </c>
      <c r="F1484" s="28">
        <f>(F1483+F1482)*Inputs!$D$12</f>
        <v>781.25</v>
      </c>
      <c r="G1484" s="28">
        <f>(G1483+G1482)*Inputs!$D$12</f>
        <v>911</v>
      </c>
      <c r="H1484" s="28">
        <f>(H1483+H1482)*Inputs!$D$12</f>
        <v>911</v>
      </c>
      <c r="I1484" s="28">
        <f>(I1483+I1482)*Inputs!$D$12</f>
        <v>911</v>
      </c>
      <c r="J1484" s="28">
        <f>(J1483+J1482)*Inputs!$D$12</f>
        <v>911</v>
      </c>
      <c r="K1484" s="28">
        <f>(K1483+K1482)*Inputs!$D$12</f>
        <v>911</v>
      </c>
      <c r="L1484" s="28">
        <f>(L1483+L1482)*Inputs!$D$12</f>
        <v>911</v>
      </c>
      <c r="M1484" s="28">
        <f>(M1483+M1482)*Inputs!$D$12</f>
        <v>911</v>
      </c>
    </row>
    <row r="1485" spans="1:13" ht="15" customHeight="1" x14ac:dyDescent="0.2">
      <c r="B1485" s="10" t="s">
        <v>893</v>
      </c>
      <c r="C1485" s="10" t="s">
        <v>199</v>
      </c>
      <c r="D1485" s="28">
        <f t="shared" ref="D1485:M1485" si="321">D1482-D1483</f>
        <v>259.5</v>
      </c>
      <c r="E1485" s="28">
        <f t="shared" si="321"/>
        <v>346</v>
      </c>
      <c r="F1485" s="28">
        <f t="shared" si="321"/>
        <v>259.5</v>
      </c>
      <c r="G1485" s="28">
        <f t="shared" si="321"/>
        <v>0</v>
      </c>
      <c r="H1485" s="28">
        <f t="shared" si="321"/>
        <v>0</v>
      </c>
      <c r="I1485" s="28">
        <f t="shared" si="321"/>
        <v>0</v>
      </c>
      <c r="J1485" s="28">
        <f t="shared" si="321"/>
        <v>0</v>
      </c>
      <c r="K1485" s="28">
        <f t="shared" si="321"/>
        <v>0</v>
      </c>
      <c r="L1485" s="28">
        <f t="shared" si="321"/>
        <v>0</v>
      </c>
      <c r="M1485" s="28">
        <f t="shared" si="321"/>
        <v>0</v>
      </c>
    </row>
    <row r="1486" spans="1:13" ht="15" customHeight="1" x14ac:dyDescent="0.2">
      <c r="B1486" s="10" t="s">
        <v>894</v>
      </c>
      <c r="C1486" s="10" t="s">
        <v>199</v>
      </c>
      <c r="D1486" s="28">
        <f>IF(MOD(D1478,Inputs!$D$21)=Inputs!$D$6,Inputs!$D$24,Inputs!$D$6)+SUMPRODUCT(--(D1478&gt;$D$1478:$M$1478),--(MOD(D1478-$D$1478:$M$1478,Inputs!$D$21)=Inputs!$D$6),$D$1485:$M$1485)</f>
        <v>0</v>
      </c>
      <c r="E1486" s="28">
        <f>IF(MOD(E1478,Inputs!$D$21)=Inputs!$D$6,Inputs!$D$24,Inputs!$D$6)+SUMPRODUCT(--(E1478&gt;$D$1478:$M$1478),--(MOD(E1478-$D$1478:$M$1478,Inputs!$D$21)=Inputs!$D$6),$D$1485:$M$1485)</f>
        <v>0</v>
      </c>
      <c r="F1486" s="28">
        <f>IF(MOD(F1478,Inputs!$D$21)=Inputs!$D$6,Inputs!$D$24,Inputs!$D$6)+SUMPRODUCT(--(F1478&gt;$D$1478:$M$1478),--(MOD(F1478-$D$1478:$M$1478,Inputs!$D$21)=Inputs!$D$6),$D$1485:$M$1485)</f>
        <v>0</v>
      </c>
      <c r="G1486" s="28">
        <f>IF(MOD(G1478,Inputs!$D$21)=Inputs!$D$6,Inputs!$D$24,Inputs!$D$6)+SUMPRODUCT(--(G1478&gt;$D$1478:$M$1478),--(MOD(G1478-$D$1478:$M$1478,Inputs!$D$21)=Inputs!$D$6),$D$1485:$M$1485)</f>
        <v>46</v>
      </c>
      <c r="H1486" s="28">
        <f>IF(MOD(H1478,Inputs!$D$21)=Inputs!$D$6,Inputs!$D$24,Inputs!$D$6)+SUMPRODUCT(--(H1478&gt;$D$1478:$M$1478),--(MOD(H1478-$D$1478:$M$1478,Inputs!$D$21)=Inputs!$D$6),$D$1485:$M$1485)</f>
        <v>259.5</v>
      </c>
      <c r="I1486" s="28">
        <f>IF(MOD(I1478,Inputs!$D$21)=Inputs!$D$6,Inputs!$D$24,Inputs!$D$6)+SUMPRODUCT(--(I1478&gt;$D$1478:$M$1478),--(MOD(I1478-$D$1478:$M$1478,Inputs!$D$21)=Inputs!$D$6),$D$1485:$M$1485)</f>
        <v>346</v>
      </c>
      <c r="J1486" s="28">
        <f>IF(MOD(J1478,Inputs!$D$21)=Inputs!$D$6,Inputs!$D$24,Inputs!$D$6)+SUMPRODUCT(--(J1478&gt;$D$1478:$M$1478),--(MOD(J1478-$D$1478:$M$1478,Inputs!$D$21)=Inputs!$D$6),$D$1485:$M$1485)</f>
        <v>259.5</v>
      </c>
      <c r="K1486" s="28">
        <f>IF(MOD(K1478,Inputs!$D$21)=Inputs!$D$6,Inputs!$D$24,Inputs!$D$6)+SUMPRODUCT(--(K1478&gt;$D$1478:$M$1478),--(MOD(K1478-$D$1478:$M$1478,Inputs!$D$21)=Inputs!$D$6),$D$1485:$M$1485)</f>
        <v>46</v>
      </c>
      <c r="L1486" s="28">
        <f>IF(MOD(L1478,Inputs!$D$21)=Inputs!$D$6,Inputs!$D$24,Inputs!$D$6)+SUMPRODUCT(--(L1478&gt;$D$1478:$M$1478),--(MOD(L1478-$D$1478:$M$1478,Inputs!$D$21)=Inputs!$D$6),$D$1485:$M$1485)</f>
        <v>259.5</v>
      </c>
      <c r="M1486" s="28">
        <f>IF(MOD(M1478,Inputs!$D$21)=Inputs!$D$6,Inputs!$D$24,Inputs!$D$6)+SUMPRODUCT(--(M1478&gt;$D$1478:$M$1478),--(MOD(M1478-$D$1478:$M$1478,Inputs!$D$21)=Inputs!$D$6),$D$1485:$M$1485)</f>
        <v>346</v>
      </c>
    </row>
    <row r="1487" spans="1:13" ht="15" customHeight="1" x14ac:dyDescent="0.2">
      <c r="B1487" s="10" t="s">
        <v>895</v>
      </c>
      <c r="C1487" s="10" t="s">
        <v>896</v>
      </c>
      <c r="D1487" s="28">
        <f t="shared" ref="D1487:M1487" si="322">D1484*D1481</f>
        <v>125.58726899383984</v>
      </c>
      <c r="E1487" s="28">
        <f t="shared" si="322"/>
        <v>478.5</v>
      </c>
      <c r="F1487" s="28">
        <f t="shared" si="322"/>
        <v>781.25</v>
      </c>
      <c r="G1487" s="28">
        <f t="shared" si="322"/>
        <v>911</v>
      </c>
      <c r="H1487" s="28">
        <f t="shared" si="322"/>
        <v>911</v>
      </c>
      <c r="I1487" s="28">
        <f t="shared" si="322"/>
        <v>911</v>
      </c>
      <c r="J1487" s="28">
        <f t="shared" si="322"/>
        <v>911</v>
      </c>
      <c r="K1487" s="28">
        <f t="shared" si="322"/>
        <v>911</v>
      </c>
      <c r="L1487" s="28">
        <f t="shared" si="322"/>
        <v>911</v>
      </c>
      <c r="M1487" s="28">
        <f t="shared" si="322"/>
        <v>911</v>
      </c>
    </row>
    <row r="1488" spans="1:13" ht="15" customHeight="1" x14ac:dyDescent="0.2">
      <c r="B1488" s="10" t="s">
        <v>897</v>
      </c>
      <c r="C1488" s="10" t="s">
        <v>110</v>
      </c>
      <c r="D1488" s="16">
        <f>D1487*($D$1507/Inputs!$D$21+$D$1508/Inputs!$D$22)</f>
        <v>1816.9772859324419</v>
      </c>
      <c r="E1488" s="16">
        <f>E1487*($D$1507/Inputs!$D$21+$D$1508/Inputs!$D$22)</f>
        <v>6922.8643817497086</v>
      </c>
      <c r="F1488" s="16">
        <f>F1487*($D$1507/Inputs!$D$21+$D$1508/Inputs!$D$22)</f>
        <v>11303.0048030135</v>
      </c>
      <c r="G1488" s="16">
        <f>G1487*($D$1507/Inputs!$D$21+$D$1508/Inputs!$D$22)</f>
        <v>13180.207840697982</v>
      </c>
      <c r="H1488" s="16">
        <f>H1487*($D$1507/Inputs!$D$21+$D$1508/Inputs!$D$22)</f>
        <v>13180.207840697982</v>
      </c>
      <c r="I1488" s="16">
        <f>I1487*($D$1507/Inputs!$D$21+$D$1508/Inputs!$D$22)</f>
        <v>13180.207840697982</v>
      </c>
      <c r="J1488" s="16">
        <f>J1487*($D$1507/Inputs!$D$21+$D$1508/Inputs!$D$22)</f>
        <v>13180.207840697982</v>
      </c>
      <c r="K1488" s="16">
        <f>K1487*($D$1507/Inputs!$D$21+$D$1508/Inputs!$D$22)</f>
        <v>13180.207840697982</v>
      </c>
      <c r="L1488" s="16">
        <f>L1487*($D$1507/Inputs!$D$21+$D$1508/Inputs!$D$22)</f>
        <v>13180.207840697982</v>
      </c>
      <c r="M1488" s="16">
        <f>M1487*($D$1507/Inputs!$D$21+$D$1508/Inputs!$D$22)</f>
        <v>13180.207840697982</v>
      </c>
    </row>
    <row r="1489" spans="2:13" ht="15" customHeight="1" x14ac:dyDescent="0.2">
      <c r="B1489" s="10" t="s">
        <v>898</v>
      </c>
      <c r="C1489" s="10" t="s">
        <v>110</v>
      </c>
      <c r="D1489" s="16">
        <f t="shared" ref="D1489:M1489" si="323">D1485*($D$1507+$D$1508)</f>
        <v>15560.968620146154</v>
      </c>
      <c r="E1489" s="16">
        <f t="shared" si="323"/>
        <v>20747.95816019487</v>
      </c>
      <c r="F1489" s="16">
        <f t="shared" si="323"/>
        <v>15560.968620146154</v>
      </c>
      <c r="G1489" s="16">
        <f t="shared" si="323"/>
        <v>0</v>
      </c>
      <c r="H1489" s="16">
        <f t="shared" si="323"/>
        <v>0</v>
      </c>
      <c r="I1489" s="16">
        <f t="shared" si="323"/>
        <v>0</v>
      </c>
      <c r="J1489" s="16">
        <f t="shared" si="323"/>
        <v>0</v>
      </c>
      <c r="K1489" s="16">
        <f t="shared" si="323"/>
        <v>0</v>
      </c>
      <c r="L1489" s="16">
        <f t="shared" si="323"/>
        <v>0</v>
      </c>
      <c r="M1489" s="16">
        <f t="shared" si="323"/>
        <v>0</v>
      </c>
    </row>
    <row r="1490" spans="2:13" ht="15" customHeight="1" x14ac:dyDescent="0.2">
      <c r="B1490" s="10" t="s">
        <v>899</v>
      </c>
      <c r="C1490" s="10" t="s">
        <v>110</v>
      </c>
      <c r="D1490" s="16">
        <f t="shared" ref="D1490:M1490" si="324">D1486*$D$1507</f>
        <v>0</v>
      </c>
      <c r="E1490" s="16">
        <f t="shared" si="324"/>
        <v>0</v>
      </c>
      <c r="F1490" s="16">
        <f t="shared" si="324"/>
        <v>0</v>
      </c>
      <c r="G1490" s="16">
        <f t="shared" si="324"/>
        <v>2638.0048485671714</v>
      </c>
      <c r="H1490" s="16">
        <f t="shared" si="324"/>
        <v>14881.788221808281</v>
      </c>
      <c r="I1490" s="16">
        <f t="shared" si="324"/>
        <v>19842.384295744378</v>
      </c>
      <c r="J1490" s="16">
        <f t="shared" si="324"/>
        <v>14881.788221808281</v>
      </c>
      <c r="K1490" s="16">
        <f t="shared" si="324"/>
        <v>2638.0048485671714</v>
      </c>
      <c r="L1490" s="16">
        <f t="shared" si="324"/>
        <v>14881.788221808281</v>
      </c>
      <c r="M1490" s="16">
        <f t="shared" si="324"/>
        <v>19842.384295744378</v>
      </c>
    </row>
    <row r="1491" spans="2:13" ht="15" customHeight="1" x14ac:dyDescent="0.2">
      <c r="B1491" s="10" t="s">
        <v>900</v>
      </c>
      <c r="C1491" s="10" t="s">
        <v>199</v>
      </c>
      <c r="D1491" s="28">
        <f>D1485*Inputs!$D$23</f>
        <v>6.4875000000000007</v>
      </c>
      <c r="E1491" s="28">
        <f>E1485*Inputs!$D$23</f>
        <v>8.65</v>
      </c>
      <c r="F1491" s="28">
        <f>F1485*Inputs!$D$23</f>
        <v>6.4875000000000007</v>
      </c>
      <c r="G1491" s="28">
        <f>G1485*Inputs!$D$23</f>
        <v>0</v>
      </c>
      <c r="H1491" s="28">
        <f>H1485*Inputs!$D$23</f>
        <v>0</v>
      </c>
      <c r="I1491" s="28">
        <f>I1485*Inputs!$D$23</f>
        <v>0</v>
      </c>
      <c r="J1491" s="28">
        <f>J1485*Inputs!$D$23</f>
        <v>0</v>
      </c>
      <c r="K1491" s="28">
        <f>K1485*Inputs!$D$23</f>
        <v>0</v>
      </c>
      <c r="L1491" s="28">
        <f>L1485*Inputs!$D$23</f>
        <v>0</v>
      </c>
      <c r="M1491" s="28">
        <f>M1485*Inputs!$D$23</f>
        <v>0</v>
      </c>
    </row>
    <row r="1492" spans="2:13" ht="15" customHeight="1" x14ac:dyDescent="0.2">
      <c r="B1492" s="3" t="s">
        <v>901</v>
      </c>
      <c r="C1492" s="10" t="s">
        <v>896</v>
      </c>
      <c r="D1492" s="28">
        <f>(D1487*$D$1505*(Inputs!$D$7-Inputs!$D$19)-D1491)/(Inputs!$D$7+$D$1506)^D1480</f>
        <v>43.783831198567135</v>
      </c>
      <c r="E1492" s="28">
        <f>(E1487*$D$1505*(Inputs!$D$7-Inputs!$D$19)-E1491)/(Inputs!$D$7+$D$1506)^E1480</f>
        <v>168.51871826429579</v>
      </c>
      <c r="F1492" s="28">
        <f>(F1487*$D$1505*(Inputs!$D$7-Inputs!$D$19)-F1491)/(Inputs!$D$7+$D$1506)^F1480</f>
        <v>260.96934562388475</v>
      </c>
      <c r="G1492" s="28">
        <f>(G1487*$D$1505*(Inputs!$D$7-Inputs!$D$19)-G1491)/(Inputs!$D$7+$D$1506)^G1480</f>
        <v>287.46806652281919</v>
      </c>
      <c r="H1492" s="28">
        <f>(H1487*$D$1505*(Inputs!$D$7-Inputs!$D$19)-H1491)/(Inputs!$D$7+$D$1506)^H1480</f>
        <v>266.1881572833488</v>
      </c>
      <c r="I1492" s="28">
        <f>(I1487*$D$1505*(Inputs!$D$7-Inputs!$D$19)-I1491)/(Inputs!$D$7+$D$1506)^I1480</f>
        <v>246.43156912674462</v>
      </c>
      <c r="J1492" s="28">
        <f>(J1487*$D$1505*(Inputs!$D$7-Inputs!$D$19)-J1491)/(Inputs!$D$7+$D$1506)^J1480</f>
        <v>228.18939882870521</v>
      </c>
      <c r="K1492" s="28">
        <f>(K1487*$D$1505*(Inputs!$D$7-Inputs!$D$19)-K1491)/(Inputs!$D$7+$D$1506)^K1480</f>
        <v>211.29761061994878</v>
      </c>
      <c r="L1492" s="28">
        <f>(L1487*$D$1505*(Inputs!$D$7-Inputs!$D$19)-L1491)/(Inputs!$D$7+$D$1506)^L1480</f>
        <v>195.65624206413901</v>
      </c>
      <c r="M1492" s="28">
        <f>(M1487*$D$1505*(Inputs!$D$7-Inputs!$D$19)-M1491)/(Inputs!$D$7+$D$1506)^M1480</f>
        <v>181.1345599796301</v>
      </c>
    </row>
    <row r="1493" spans="2:13" ht="15" customHeight="1" x14ac:dyDescent="0.2">
      <c r="B1493" s="10" t="s">
        <v>902</v>
      </c>
      <c r="C1493" s="10" t="s">
        <v>110</v>
      </c>
      <c r="D1493" s="16">
        <f>(D1488*Inputs!$D$19-D1489-D1490)/(Inputs!$D$7+$D$1506)^D1480</f>
        <v>-14212.377724210151</v>
      </c>
      <c r="E1493" s="16">
        <f>(E1488*Inputs!$D$19-E1489-E1490)/(Inputs!$D$7+$D$1506)^E1480</f>
        <v>-16360.387094728963</v>
      </c>
      <c r="F1493" s="16">
        <f>(F1488*Inputs!$D$19-F1489-F1490)/(Inputs!$D$7+$D$1506)^F1480</f>
        <v>-9874.5154652847668</v>
      </c>
      <c r="G1493" s="16">
        <f>(G1488*Inputs!$D$19-G1489-G1490)/(Inputs!$D$7+$D$1506)^G1480</f>
        <v>988.77347238742834</v>
      </c>
      <c r="H1493" s="16">
        <f>(H1488*Inputs!$D$19-H1489-H1490)/(Inputs!$D$7+$D$1506)^H1480</f>
        <v>-7602.4024163036647</v>
      </c>
      <c r="I1493" s="16">
        <f>(I1488*Inputs!$D$19-I1489-I1490)/(Inputs!$D$7+$D$1506)^I1480</f>
        <v>-10233.087939303265</v>
      </c>
      <c r="J1493" s="16">
        <f>(J1488*Inputs!$D$19-J1489-J1490)/(Inputs!$D$7+$D$1506)^J1480</f>
        <v>-6517.1480757635773</v>
      </c>
      <c r="K1493" s="16">
        <f>(K1488*Inputs!$D$19-K1489-K1490)/(Inputs!$D$7+$D$1506)^K1480</f>
        <v>726.77801985796941</v>
      </c>
      <c r="L1493" s="16">
        <f>(L1488*Inputs!$D$19-L1489-L1490)/(Inputs!$D$7+$D$1506)^L1480</f>
        <v>-5587.9927289550824</v>
      </c>
      <c r="M1493" s="16">
        <f>(M1488*Inputs!$D$19-M1489-M1490)/(Inputs!$D$7+$D$1506)^M1480</f>
        <v>-7521.6251216792398</v>
      </c>
    </row>
    <row r="1494" spans="2:13" ht="15" customHeight="1" x14ac:dyDescent="0.2">
      <c r="B1494" s="10" t="s">
        <v>903</v>
      </c>
      <c r="C1494" s="10" t="s">
        <v>110</v>
      </c>
      <c r="D1494" s="16">
        <f t="shared" ref="D1494:M1494" si="325">D1487*$D$1504</f>
        <v>4717.2497670418443</v>
      </c>
      <c r="E1494" s="16">
        <f t="shared" si="325"/>
        <v>17973.191324355019</v>
      </c>
      <c r="F1494" s="16">
        <f t="shared" si="325"/>
        <v>29344.944037935966</v>
      </c>
      <c r="G1494" s="16">
        <f t="shared" si="325"/>
        <v>34218.552343756368</v>
      </c>
      <c r="H1494" s="16">
        <f t="shared" si="325"/>
        <v>34218.552343756368</v>
      </c>
      <c r="I1494" s="16">
        <f t="shared" si="325"/>
        <v>34218.552343756368</v>
      </c>
      <c r="J1494" s="16">
        <f t="shared" si="325"/>
        <v>34218.552343756368</v>
      </c>
      <c r="K1494" s="16">
        <f t="shared" si="325"/>
        <v>34218.552343756368</v>
      </c>
      <c r="L1494" s="16">
        <f t="shared" si="325"/>
        <v>34218.552343756368</v>
      </c>
      <c r="M1494" s="16">
        <f t="shared" si="325"/>
        <v>34218.552343756368</v>
      </c>
    </row>
    <row r="1495" spans="2:13" ht="15" customHeight="1" x14ac:dyDescent="0.2">
      <c r="B1495" s="10" t="s">
        <v>904</v>
      </c>
      <c r="C1495" s="10" t="s">
        <v>110</v>
      </c>
      <c r="D1495" s="16">
        <f t="shared" ref="D1495:M1495" si="326">D1494*$D$1505</f>
        <v>2830.3498602251066</v>
      </c>
      <c r="E1495" s="16">
        <f t="shared" si="326"/>
        <v>10783.914794613011</v>
      </c>
      <c r="F1495" s="16">
        <f t="shared" si="326"/>
        <v>17606.966422761579</v>
      </c>
      <c r="G1495" s="16">
        <f t="shared" si="326"/>
        <v>20531.131406253819</v>
      </c>
      <c r="H1495" s="16">
        <f t="shared" si="326"/>
        <v>20531.131406253819</v>
      </c>
      <c r="I1495" s="16">
        <f t="shared" si="326"/>
        <v>20531.131406253819</v>
      </c>
      <c r="J1495" s="16">
        <f t="shared" si="326"/>
        <v>20531.131406253819</v>
      </c>
      <c r="K1495" s="16">
        <f t="shared" si="326"/>
        <v>20531.131406253819</v>
      </c>
      <c r="L1495" s="16">
        <f t="shared" si="326"/>
        <v>20531.131406253819</v>
      </c>
      <c r="M1495" s="16">
        <f t="shared" si="326"/>
        <v>20531.131406253819</v>
      </c>
    </row>
    <row r="1496" spans="2:13" ht="15" customHeight="1" x14ac:dyDescent="0.2">
      <c r="B1496" s="10" t="s">
        <v>905</v>
      </c>
      <c r="C1496" s="10" t="s">
        <v>110</v>
      </c>
      <c r="D1496" s="16">
        <f t="shared" ref="D1496:M1496" si="327">D1495-D1488</f>
        <v>1013.3725742926647</v>
      </c>
      <c r="E1496" s="16">
        <f t="shared" si="327"/>
        <v>3861.050412863302</v>
      </c>
      <c r="F1496" s="16">
        <f t="shared" si="327"/>
        <v>6303.9616197480791</v>
      </c>
      <c r="G1496" s="16">
        <f t="shared" si="327"/>
        <v>7350.9235655558368</v>
      </c>
      <c r="H1496" s="16">
        <f t="shared" si="327"/>
        <v>7350.9235655558368</v>
      </c>
      <c r="I1496" s="16">
        <f t="shared" si="327"/>
        <v>7350.9235655558368</v>
      </c>
      <c r="J1496" s="16">
        <f t="shared" si="327"/>
        <v>7350.9235655558368</v>
      </c>
      <c r="K1496" s="16">
        <f t="shared" si="327"/>
        <v>7350.9235655558368</v>
      </c>
      <c r="L1496" s="16">
        <f t="shared" si="327"/>
        <v>7350.9235655558368</v>
      </c>
      <c r="M1496" s="16">
        <f t="shared" si="327"/>
        <v>7350.9235655558368</v>
      </c>
    </row>
    <row r="1497" spans="2:13" ht="15" customHeight="1" x14ac:dyDescent="0.2">
      <c r="B1497" s="10" t="s">
        <v>906</v>
      </c>
      <c r="C1497" s="10" t="s">
        <v>110</v>
      </c>
      <c r="D1497" s="16">
        <f>MAX(D1496,Inputs!$D$6)*Inputs!$D$19</f>
        <v>304.01177228779937</v>
      </c>
      <c r="E1497" s="16">
        <f>MAX(E1496,Inputs!$D$6)*Inputs!$D$19</f>
        <v>1158.3151238589905</v>
      </c>
      <c r="F1497" s="16">
        <f>MAX(F1496,Inputs!$D$6)*Inputs!$D$19</f>
        <v>1891.1884859244237</v>
      </c>
      <c r="G1497" s="16">
        <f>MAX(G1496,Inputs!$D$6)*Inputs!$D$19</f>
        <v>2205.2770696667508</v>
      </c>
      <c r="H1497" s="16">
        <f>MAX(H1496,Inputs!$D$6)*Inputs!$D$19</f>
        <v>2205.2770696667508</v>
      </c>
      <c r="I1497" s="16">
        <f>MAX(I1496,Inputs!$D$6)*Inputs!$D$19</f>
        <v>2205.2770696667508</v>
      </c>
      <c r="J1497" s="16">
        <f>MAX(J1496,Inputs!$D$6)*Inputs!$D$19</f>
        <v>2205.2770696667508</v>
      </c>
      <c r="K1497" s="16">
        <f>MAX(K1496,Inputs!$D$6)*Inputs!$D$19</f>
        <v>2205.2770696667508</v>
      </c>
      <c r="L1497" s="16">
        <f>MAX(L1496,Inputs!$D$6)*Inputs!$D$19</f>
        <v>2205.2770696667508</v>
      </c>
      <c r="M1497" s="16">
        <f>MAX(M1496,Inputs!$D$6)*Inputs!$D$19</f>
        <v>2205.2770696667508</v>
      </c>
    </row>
    <row r="1498" spans="2:13" ht="15" customHeight="1" x14ac:dyDescent="0.2">
      <c r="B1498" s="10" t="s">
        <v>907</v>
      </c>
      <c r="C1498" s="10" t="s">
        <v>110</v>
      </c>
      <c r="D1498" s="16">
        <f t="shared" ref="D1498:M1498" si="328">D1491*$D$1504</f>
        <v>243.6804152910203</v>
      </c>
      <c r="E1498" s="16">
        <f t="shared" si="328"/>
        <v>324.90722038802704</v>
      </c>
      <c r="F1498" s="16">
        <f t="shared" si="328"/>
        <v>243.6804152910203</v>
      </c>
      <c r="G1498" s="16">
        <f t="shared" si="328"/>
        <v>0</v>
      </c>
      <c r="H1498" s="16">
        <f t="shared" si="328"/>
        <v>0</v>
      </c>
      <c r="I1498" s="16">
        <f t="shared" si="328"/>
        <v>0</v>
      </c>
      <c r="J1498" s="16">
        <f t="shared" si="328"/>
        <v>0</v>
      </c>
      <c r="K1498" s="16">
        <f t="shared" si="328"/>
        <v>0</v>
      </c>
      <c r="L1498" s="16">
        <f t="shared" si="328"/>
        <v>0</v>
      </c>
      <c r="M1498" s="16">
        <f t="shared" si="328"/>
        <v>0</v>
      </c>
    </row>
    <row r="1499" spans="2:13" ht="15" customHeight="1" x14ac:dyDescent="0.2">
      <c r="B1499" s="10" t="s">
        <v>908</v>
      </c>
      <c r="C1499" s="10" t="s">
        <v>110</v>
      </c>
      <c r="D1499" s="16">
        <f t="shared" ref="D1499:M1499" si="329">D1495-D1497-D1489-D1490-D1498</f>
        <v>-13278.310947499867</v>
      </c>
      <c r="E1499" s="16">
        <f t="shared" si="329"/>
        <v>-11447.265709828878</v>
      </c>
      <c r="F1499" s="16">
        <f t="shared" si="329"/>
        <v>-88.8710986000182</v>
      </c>
      <c r="G1499" s="16">
        <f t="shared" si="329"/>
        <v>15687.849488019896</v>
      </c>
      <c r="H1499" s="16">
        <f t="shared" si="329"/>
        <v>3444.0661147787869</v>
      </c>
      <c r="I1499" s="16">
        <f t="shared" si="329"/>
        <v>-1516.5299591573093</v>
      </c>
      <c r="J1499" s="16">
        <f t="shared" si="329"/>
        <v>3444.0661147787869</v>
      </c>
      <c r="K1499" s="16">
        <f t="shared" si="329"/>
        <v>15687.849488019896</v>
      </c>
      <c r="L1499" s="16">
        <f t="shared" si="329"/>
        <v>3444.0661147787869</v>
      </c>
      <c r="M1499" s="16">
        <f t="shared" si="329"/>
        <v>-1516.5299591573093</v>
      </c>
    </row>
    <row r="1500" spans="2:13" ht="15" customHeight="1" x14ac:dyDescent="0.2">
      <c r="B1500" s="10" t="s">
        <v>909</v>
      </c>
      <c r="C1500" s="10" t="s">
        <v>110</v>
      </c>
      <c r="D1500" s="16">
        <f>D1499/(Inputs!$D$7+$D$1506)^D1480</f>
        <v>-12567.790106561017</v>
      </c>
      <c r="E1500" s="16">
        <f>E1499/(Inputs!$D$7+$D$1506)^E1480</f>
        <v>-10030.56647801158</v>
      </c>
      <c r="F1500" s="16">
        <f>F1499/(Inputs!$D$7+$D$1506)^F1480</f>
        <v>-72.107986309191219</v>
      </c>
      <c r="G1500" s="16">
        <f>G1499/(Inputs!$D$7+$D$1506)^G1480</f>
        <v>11786.513408138828</v>
      </c>
      <c r="H1500" s="16">
        <f>H1499/(Inputs!$D$7+$D$1506)^H1480</f>
        <v>2396.0316048690288</v>
      </c>
      <c r="I1500" s="16">
        <f>I1499/(Inputs!$D$7+$D$1506)^I1480</f>
        <v>-976.74156464077589</v>
      </c>
      <c r="J1500" s="16">
        <f>J1499/(Inputs!$D$7+$D$1506)^J1480</f>
        <v>2053.9945017450364</v>
      </c>
      <c r="K1500" s="16">
        <f>K1499/(Inputs!$D$7+$D$1506)^K1480</f>
        <v>8663.4392153677036</v>
      </c>
      <c r="L1500" s="16">
        <f>L1499/(Inputs!$D$7+$D$1506)^L1480</f>
        <v>1761.1547578225316</v>
      </c>
      <c r="M1500" s="16">
        <f>M1499/(Inputs!$D$7+$D$1506)^M1480</f>
        <v>-717.93420847808693</v>
      </c>
    </row>
    <row r="1501" spans="2:13" ht="15" customHeight="1" x14ac:dyDescent="0.2">
      <c r="B1501" s="3" t="s">
        <v>910</v>
      </c>
      <c r="C1501" s="10" t="s">
        <v>896</v>
      </c>
      <c r="D1501" s="28">
        <f>(D1487*$D$1505-D1491)/(Inputs!$D$7+$D$1506)^D1480</f>
        <v>65.179910846200087</v>
      </c>
      <c r="E1501" s="28">
        <f>(E1487*$D$1505-E1491)/(Inputs!$D$7+$D$1506)^E1480</f>
        <v>243.98937760343787</v>
      </c>
      <c r="F1501" s="28">
        <f>(F1487*$D$1505-F1491)/(Inputs!$D$7+$D$1506)^F1480</f>
        <v>375.06926938389034</v>
      </c>
      <c r="G1501" s="28">
        <f>(G1487*$D$1505-G1491)/(Inputs!$D$7+$D$1506)^G1480</f>
        <v>410.66866646117023</v>
      </c>
      <c r="H1501" s="28">
        <f>(H1487*$D$1505-H1491)/(Inputs!$D$7+$D$1506)^H1480</f>
        <v>380.26879611906975</v>
      </c>
      <c r="I1501" s="28">
        <f>(I1487*$D$1505-I1491)/(Inputs!$D$7+$D$1506)^I1480</f>
        <v>352.04509875249232</v>
      </c>
      <c r="J1501" s="28">
        <f>(J1487*$D$1505-J1491)/(Inputs!$D$7+$D$1506)^J1480</f>
        <v>325.98485546957886</v>
      </c>
      <c r="K1501" s="28">
        <f>(K1487*$D$1505-K1491)/(Inputs!$D$7+$D$1506)^K1480</f>
        <v>301.85372945706973</v>
      </c>
      <c r="L1501" s="28">
        <f>(L1487*$D$1505-L1491)/(Inputs!$D$7+$D$1506)^L1480</f>
        <v>279.50891723448427</v>
      </c>
      <c r="M1501" s="28">
        <f>(M1487*$D$1505-M1491)/(Inputs!$D$7+$D$1506)^M1480</f>
        <v>258.76365711375729</v>
      </c>
    </row>
    <row r="1502" spans="2:13" ht="15" customHeight="1" x14ac:dyDescent="0.2">
      <c r="B1502" s="10" t="s">
        <v>911</v>
      </c>
      <c r="C1502" s="10" t="s">
        <v>110</v>
      </c>
      <c r="D1502" s="16">
        <f>(-D1489-D1490)/(Inputs!$D$7+$D$1506)^D1480</f>
        <v>-14728.303038392241</v>
      </c>
      <c r="E1502" s="16">
        <f>(-E1489-E1490)/(Inputs!$D$7+$D$1506)^E1480</f>
        <v>-18180.216908055725</v>
      </c>
      <c r="F1502" s="16">
        <f>(-F1489-F1490)/(Inputs!$D$7+$D$1506)^F1480</f>
        <v>-12625.815702688111</v>
      </c>
      <c r="G1502" s="16">
        <f>(-G1489-G1490)/(Inputs!$D$7+$D$1506)^G1480</f>
        <v>-1981.9720696655354</v>
      </c>
      <c r="H1502" s="16">
        <f>(-H1489-H1490)/(Inputs!$D$7+$D$1506)^H1480</f>
        <v>-10353.237634844469</v>
      </c>
      <c r="I1502" s="16">
        <f>(-I1489-I1490)/(Inputs!$D$7+$D$1506)^I1480</f>
        <v>-12779.755102232404</v>
      </c>
      <c r="J1502" s="16">
        <f>(-J1489-J1490)/(Inputs!$D$7+$D$1506)^J1480</f>
        <v>-8875.2974434962562</v>
      </c>
      <c r="K1502" s="16">
        <f>(-K1489-K1490)/(Inputs!$D$7+$D$1506)^K1480</f>
        <v>-1456.8086386129401</v>
      </c>
      <c r="L1502" s="16">
        <f>(-L1489-L1490)/(Inputs!$D$7+$D$1506)^L1480</f>
        <v>-7609.9387347064285</v>
      </c>
      <c r="M1502" s="16">
        <f>(-M1489-M1490)/(Inputs!$D$7+$D$1506)^M1480</f>
        <v>-9393.5015115686074</v>
      </c>
    </row>
    <row r="1503" spans="2:13" ht="15" customHeight="1" x14ac:dyDescent="0.2">
      <c r="B1503" s="10" t="s">
        <v>912</v>
      </c>
      <c r="C1503" s="10" t="s">
        <v>110</v>
      </c>
      <c r="D1503" s="16">
        <f>Prices!I7</f>
        <v>35754.545454545456</v>
      </c>
    </row>
    <row r="1504" spans="2:13" ht="15" customHeight="1" x14ac:dyDescent="0.2">
      <c r="B1504" s="3" t="s">
        <v>913</v>
      </c>
      <c r="C1504" s="10" t="s">
        <v>914</v>
      </c>
      <c r="D1504" s="28">
        <f>IF(J1511&gt;=J1507,J1511,(D1503-J1510)/J1509)</f>
        <v>37.561528368558037</v>
      </c>
      <c r="G1504" s="99" t="s">
        <v>915</v>
      </c>
      <c r="H1504" s="91"/>
      <c r="I1504" s="91"/>
      <c r="J1504" s="28">
        <f>D1504*Inputs!$D$15</f>
        <v>26.214190648416654</v>
      </c>
      <c r="K1504" s="99" t="s">
        <v>916</v>
      </c>
      <c r="L1504" s="91"/>
      <c r="M1504" s="91"/>
    </row>
    <row r="1505" spans="2:13" ht="15" customHeight="1" x14ac:dyDescent="0.2">
      <c r="B1505" s="10" t="s">
        <v>917</v>
      </c>
      <c r="C1505" s="10" t="s">
        <v>104</v>
      </c>
      <c r="D1505" s="30">
        <f>Inputs!$D$142</f>
        <v>0.6</v>
      </c>
      <c r="G1505" s="99" t="s">
        <v>918</v>
      </c>
      <c r="H1505" s="91"/>
      <c r="I1505" s="91"/>
      <c r="J1505" s="28">
        <f>IF(-D1516/D1515&gt;=J1507,-D1516/D1515,-J1510/J1509)</f>
        <v>31.013587942701196</v>
      </c>
      <c r="K1505" s="99" t="s">
        <v>919</v>
      </c>
      <c r="L1505" s="91"/>
      <c r="M1505" s="91"/>
    </row>
    <row r="1506" spans="2:13" ht="15" customHeight="1" x14ac:dyDescent="0.2">
      <c r="B1506" s="10" t="s">
        <v>920</v>
      </c>
      <c r="C1506" s="10" t="s">
        <v>104</v>
      </c>
      <c r="D1506" s="30">
        <f>Inputs!$D$146</f>
        <v>0.08</v>
      </c>
      <c r="G1506" s="99" t="s">
        <v>918</v>
      </c>
      <c r="H1506" s="91"/>
      <c r="I1506" s="91"/>
      <c r="J1506" s="28">
        <f>J1505*Inputs!$D$15</f>
        <v>21.644383025211162</v>
      </c>
      <c r="K1506" s="99" t="s">
        <v>916</v>
      </c>
      <c r="L1506" s="91"/>
      <c r="M1506" s="91"/>
    </row>
    <row r="1507" spans="2:13" ht="15" customHeight="1" x14ac:dyDescent="0.2">
      <c r="B1507" s="3" t="s">
        <v>921</v>
      </c>
      <c r="C1507" s="10" t="s">
        <v>848</v>
      </c>
      <c r="D1507" s="28">
        <f>Capital!$D$13</f>
        <v>57.347931490590682</v>
      </c>
      <c r="G1507" s="99" t="s">
        <v>922</v>
      </c>
      <c r="H1507" s="91"/>
      <c r="I1507" s="91"/>
      <c r="J1507" s="28">
        <f>($D$1507/Inputs!$D$21+$D$1508/Inputs!$D$22)/$D$1505</f>
        <v>24.113076913095469</v>
      </c>
      <c r="K1507" s="99" t="s">
        <v>919</v>
      </c>
      <c r="L1507" s="91"/>
      <c r="M1507" s="91"/>
    </row>
    <row r="1508" spans="2:13" ht="15" customHeight="1" x14ac:dyDescent="0.2">
      <c r="B1508" s="3" t="s">
        <v>923</v>
      </c>
      <c r="C1508" s="10" t="s">
        <v>848</v>
      </c>
      <c r="D1508" s="28">
        <f>Capital!$D$14</f>
        <v>2.6172655041921802</v>
      </c>
    </row>
    <row r="1509" spans="2:13" ht="15" customHeight="1" x14ac:dyDescent="0.2">
      <c r="B1509" s="10" t="s">
        <v>924</v>
      </c>
      <c r="C1509" s="10" t="s">
        <v>896</v>
      </c>
      <c r="D1509" s="28">
        <f>(M1482*(Inputs!$D$7+Inputs!$D$20)*$D$1505*(Inputs!$D$7-Inputs!$D$19)-M1482*Inputs!$D$20*Inputs!$D$23)/($D$1506-Inputs!$D$20)/(Inputs!$D$7+$D$1506)^M1480</f>
        <v>3370.7887000538294</v>
      </c>
      <c r="G1509" s="92" t="s">
        <v>910</v>
      </c>
      <c r="H1509" s="91"/>
      <c r="I1509" s="91"/>
      <c r="J1509" s="28">
        <f>SUM(D1501:M1501)+(M1482*(Inputs!$D$7+Inputs!$D$20)*$D$1505-M1482*Inputs!$D$20*Inputs!$D$23)/($D$1506-Inputs!$D$20)/(Inputs!$D$7+$D$1506)^M1480</f>
        <v>7810.8450614491685</v>
      </c>
      <c r="K1509" s="99" t="s">
        <v>896</v>
      </c>
      <c r="L1509" s="91"/>
      <c r="M1509" s="91"/>
    </row>
    <row r="1510" spans="2:13" ht="15" customHeight="1" x14ac:dyDescent="0.2">
      <c r="B1510" s="10" t="s">
        <v>925</v>
      </c>
      <c r="C1510" s="10" t="s">
        <v>110</v>
      </c>
      <c r="D1510" s="16">
        <f>(D1513*Inputs!$D$19-D1513-D1514)/($D$1506-Inputs!$D$20)/(Inputs!$D$7+$D$1506)^M1480</f>
        <v>-93153.423070883771</v>
      </c>
      <c r="G1510" s="92" t="s">
        <v>926</v>
      </c>
      <c r="H1510" s="91"/>
      <c r="I1510" s="91"/>
      <c r="J1510" s="16">
        <f>SUM(D1502:M1502)-(D1513+D1514)/($D$1506-Inputs!$D$20)/(Inputs!$D$7+$D$1506)^M1480</f>
        <v>-226023.23893944838</v>
      </c>
      <c r="K1510" s="99" t="s">
        <v>110</v>
      </c>
      <c r="L1510" s="91"/>
      <c r="M1510" s="91"/>
    </row>
    <row r="1511" spans="2:13" ht="15" customHeight="1" x14ac:dyDescent="0.2">
      <c r="B1511" s="10" t="s">
        <v>927</v>
      </c>
      <c r="C1511" s="10" t="s">
        <v>928</v>
      </c>
      <c r="D1511" s="16">
        <f>(M1482*(Inputs!$D$7+Inputs!$D$20)*$D$1504*$D$1505-D1513)-MAX((M1482*(Inputs!$D$7+Inputs!$D$20)*$D$1504*$D$1505-D1513),Inputs!$D$6)*Inputs!$D$19-D1514-M1482*Inputs!$D$20*$D$1504*Inputs!$D$23</f>
        <v>3887.1937015152871</v>
      </c>
      <c r="G1511" s="99" t="s">
        <v>929</v>
      </c>
      <c r="H1511" s="91"/>
      <c r="I1511" s="91"/>
      <c r="J1511" s="28">
        <f>(D1503-D1516)/D1515</f>
        <v>37.561528368558037</v>
      </c>
      <c r="K1511" s="99" t="s">
        <v>919</v>
      </c>
      <c r="L1511" s="91"/>
      <c r="M1511" s="91"/>
    </row>
    <row r="1512" spans="2:13" ht="15" customHeight="1" x14ac:dyDescent="0.2">
      <c r="B1512" s="10" t="s">
        <v>930</v>
      </c>
      <c r="C1512" s="10" t="s">
        <v>110</v>
      </c>
      <c r="D1512" s="16">
        <f>D1511/($D$1506-Inputs!$D$20)</f>
        <v>70676.24911845976</v>
      </c>
      <c r="G1512" s="99" t="s">
        <v>931</v>
      </c>
      <c r="H1512" s="91"/>
      <c r="I1512" s="91"/>
      <c r="J1512" s="16">
        <f>MIN(D1496:M1496,(M1482*(Inputs!$D$7+Inputs!$D$20)*$D$1504*$D$1505-D1513))</f>
        <v>1013.3725742926647</v>
      </c>
      <c r="K1512" s="99" t="s">
        <v>110</v>
      </c>
      <c r="L1512" s="91"/>
      <c r="M1512" s="91"/>
    </row>
    <row r="1513" spans="2:13" ht="15" customHeight="1" x14ac:dyDescent="0.2">
      <c r="B1513" s="10" t="s">
        <v>932</v>
      </c>
      <c r="C1513" s="10" t="s">
        <v>928</v>
      </c>
      <c r="D1513" s="16">
        <f>M1482*(Inputs!$D$7+Inputs!$D$20)*($D$1507/Inputs!$D$21+$D$1508/Inputs!$D$22)</f>
        <v>13509.71303671543</v>
      </c>
      <c r="G1513" s="99" t="s">
        <v>933</v>
      </c>
      <c r="H1513" s="91"/>
      <c r="I1513" s="91"/>
      <c r="J1513" s="31" t="str">
        <f>IF(J1512&lt;Inputs!$D$6,"breached","satisfied")</f>
        <v>satisfied</v>
      </c>
      <c r="K1513" s="99" t="s">
        <v>934</v>
      </c>
      <c r="L1513" s="91"/>
      <c r="M1513" s="91"/>
    </row>
    <row r="1514" spans="2:13" ht="15" customHeight="1" x14ac:dyDescent="0.2">
      <c r="B1514" s="10" t="s">
        <v>935</v>
      </c>
      <c r="C1514" s="10" t="s">
        <v>928</v>
      </c>
      <c r="D1514" s="16">
        <f>M1482*Inputs!$D$20*($D$1507+$D$1508)</f>
        <v>1365.7073615561799</v>
      </c>
    </row>
    <row r="1515" spans="2:13" ht="15" customHeight="1" x14ac:dyDescent="0.2">
      <c r="B1515" s="10" t="s">
        <v>936</v>
      </c>
      <c r="C1515" s="10" t="s">
        <v>896</v>
      </c>
      <c r="D1515" s="28">
        <f>SUM(D1492:M1492)+D1509</f>
        <v>5460.4261995659126</v>
      </c>
      <c r="G1515" s="99" t="s">
        <v>937</v>
      </c>
      <c r="H1515" s="91"/>
      <c r="I1515" s="91"/>
      <c r="J1515" s="16">
        <f>D1517-D1503</f>
        <v>0</v>
      </c>
      <c r="K1515" s="99" t="s">
        <v>110</v>
      </c>
      <c r="L1515" s="91"/>
      <c r="M1515" s="91"/>
    </row>
    <row r="1516" spans="2:13" ht="15" customHeight="1" x14ac:dyDescent="0.2">
      <c r="B1516" s="10" t="s">
        <v>938</v>
      </c>
      <c r="C1516" s="10" t="s">
        <v>110</v>
      </c>
      <c r="D1516" s="16">
        <f>SUM(D1493:M1493)+D1510</f>
        <v>-169347.40814486711</v>
      </c>
    </row>
    <row r="1517" spans="2:13" ht="15" customHeight="1" x14ac:dyDescent="0.2">
      <c r="B1517" s="10" t="s">
        <v>939</v>
      </c>
      <c r="C1517" s="10" t="s">
        <v>110</v>
      </c>
      <c r="D1517" s="16">
        <f>SUM(D1500:M1500)+D1512/(Inputs!$D$7+$D$1506)^M1480</f>
        <v>35754.5454545455</v>
      </c>
    </row>
    <row r="1518" spans="2:13" ht="15" customHeight="1" x14ac:dyDescent="0.2">
      <c r="B1518" s="10" t="s">
        <v>940</v>
      </c>
      <c r="C1518" s="10" t="s">
        <v>104</v>
      </c>
      <c r="D1518" s="30">
        <f>IF(ABS(D1503)&gt;Inputs!$D$6,D1517/D1503-Inputs!$D$7,Inputs!$D$6)</f>
        <v>1.1102230246251565E-15</v>
      </c>
    </row>
    <row r="1519" spans="2:13" ht="15" customHeight="1" x14ac:dyDescent="0.2">
      <c r="B1519" s="10" t="s">
        <v>941</v>
      </c>
      <c r="C1519" s="10" t="s">
        <v>104</v>
      </c>
      <c r="D1519" s="30">
        <f>IF(ABS(D1517)&gt;Inputs!$D$119,D1512/(Inputs!$D$7+$D$1506)^M1480/D1517,Inputs!$D$6)</f>
        <v>0.9357845802609529</v>
      </c>
    </row>
    <row r="1520" spans="2:13" ht="15" customHeight="1" x14ac:dyDescent="0.2">
      <c r="B1520" s="10" t="s">
        <v>942</v>
      </c>
      <c r="C1520" s="10" t="s">
        <v>943</v>
      </c>
      <c r="D1520" s="26">
        <f>$D$1504*Inputs!$D$8/Prices!$P$6/(Inputs!$D$26/Inputs!$D$25)/Inputs!$D$11/Inputs!$D$56</f>
        <v>6.830678027803625</v>
      </c>
    </row>
    <row r="1524" spans="1:13" ht="15" customHeight="1" x14ac:dyDescent="0.2">
      <c r="A1524" s="104" t="s">
        <v>2198</v>
      </c>
      <c r="B1524" s="10" t="s">
        <v>886</v>
      </c>
      <c r="C1524" s="10" t="s">
        <v>107</v>
      </c>
      <c r="D1524" s="28">
        <f>Inputs!$D$60</f>
        <v>1</v>
      </c>
      <c r="E1524" s="28">
        <f>Inputs!$D$62</f>
        <v>2</v>
      </c>
      <c r="F1524" s="28">
        <f>Inputs!$D$64</f>
        <v>3</v>
      </c>
      <c r="G1524" s="28">
        <f>Inputs!$D$66</f>
        <v>4</v>
      </c>
      <c r="H1524" s="28">
        <f>Inputs!$D$68</f>
        <v>5</v>
      </c>
      <c r="I1524" s="28">
        <f>Inputs!$D$70</f>
        <v>6</v>
      </c>
      <c r="J1524" s="28">
        <f>Inputs!$D$72</f>
        <v>7</v>
      </c>
      <c r="K1524" s="28">
        <f>Inputs!$D$74</f>
        <v>8</v>
      </c>
      <c r="L1524" s="28">
        <f>Inputs!$D$76</f>
        <v>9</v>
      </c>
      <c r="M1524" s="28">
        <f>Inputs!$D$78</f>
        <v>10</v>
      </c>
    </row>
    <row r="1525" spans="1:13" ht="15" customHeight="1" x14ac:dyDescent="0.2">
      <c r="A1525" s="91"/>
      <c r="B1525" s="10" t="s">
        <v>887</v>
      </c>
      <c r="C1525" s="10" t="s">
        <v>161</v>
      </c>
      <c r="D1525" s="29">
        <f>Inputs!$D$61</f>
        <v>46568</v>
      </c>
      <c r="E1525" s="29">
        <f>Inputs!$D$63</f>
        <v>46934</v>
      </c>
      <c r="F1525" s="29">
        <f>Inputs!$D$65</f>
        <v>47299</v>
      </c>
      <c r="G1525" s="29">
        <f>Inputs!$D$67</f>
        <v>47664</v>
      </c>
      <c r="H1525" s="29">
        <f>Inputs!$D$69</f>
        <v>48029</v>
      </c>
      <c r="I1525" s="29">
        <f>Inputs!$D$71</f>
        <v>48395</v>
      </c>
      <c r="J1525" s="29">
        <f>Inputs!$D$73</f>
        <v>48760</v>
      </c>
      <c r="K1525" s="29">
        <f>Inputs!$D$75</f>
        <v>49125</v>
      </c>
      <c r="L1525" s="29">
        <f>Inputs!$D$77</f>
        <v>49490</v>
      </c>
      <c r="M1525" s="29">
        <f>Inputs!$D$79</f>
        <v>49856</v>
      </c>
    </row>
    <row r="1526" spans="1:13" ht="15" customHeight="1" x14ac:dyDescent="0.2">
      <c r="A1526" s="91"/>
      <c r="B1526" s="10" t="s">
        <v>888</v>
      </c>
      <c r="C1526" s="10" t="s">
        <v>107</v>
      </c>
      <c r="D1526" s="28">
        <f>(D1525-Inputs!$D$13)/Inputs!$D$10</f>
        <v>0.71457905544147848</v>
      </c>
      <c r="E1526" s="28">
        <f>(E1525-Inputs!$D$13)/Inputs!$D$10</f>
        <v>1.7166324435318274</v>
      </c>
      <c r="F1526" s="28">
        <f>(F1525-Inputs!$D$13)/Inputs!$D$10</f>
        <v>2.7159479808350446</v>
      </c>
      <c r="G1526" s="28">
        <f>(G1525-Inputs!$D$13)/Inputs!$D$10</f>
        <v>3.7152635181382614</v>
      </c>
      <c r="H1526" s="28">
        <f>(H1525-Inputs!$D$13)/Inputs!$D$10</f>
        <v>4.7145790554414786</v>
      </c>
      <c r="I1526" s="28">
        <f>(I1525-Inputs!$D$13)/Inputs!$D$10</f>
        <v>5.7166324435318279</v>
      </c>
      <c r="J1526" s="28">
        <f>(J1525-Inputs!$D$13)/Inputs!$D$10</f>
        <v>6.7159479808350442</v>
      </c>
      <c r="K1526" s="28">
        <f>(K1525-Inputs!$D$13)/Inputs!$D$10</f>
        <v>7.7152635181382614</v>
      </c>
      <c r="L1526" s="28">
        <f>(L1525-Inputs!$D$13)/Inputs!$D$10</f>
        <v>8.7145790554414777</v>
      </c>
      <c r="M1526" s="28">
        <f>(M1525-Inputs!$D$13)/Inputs!$D$10</f>
        <v>9.716632443531827</v>
      </c>
    </row>
    <row r="1527" spans="1:13" ht="15" customHeight="1" x14ac:dyDescent="0.2">
      <c r="A1527" s="91"/>
      <c r="B1527" s="10" t="s">
        <v>889</v>
      </c>
      <c r="C1527" s="10" t="s">
        <v>107</v>
      </c>
      <c r="D1527" s="28">
        <f>D1526</f>
        <v>0.71457905544147848</v>
      </c>
      <c r="E1527" s="28">
        <f>Inputs!$D$7</f>
        <v>1</v>
      </c>
      <c r="F1527" s="28">
        <f>Inputs!$D$7</f>
        <v>1</v>
      </c>
      <c r="G1527" s="28">
        <f>Inputs!$D$7</f>
        <v>1</v>
      </c>
      <c r="H1527" s="28">
        <f>Inputs!$D$7</f>
        <v>1</v>
      </c>
      <c r="I1527" s="28">
        <f>Inputs!$D$7</f>
        <v>1</v>
      </c>
      <c r="J1527" s="28">
        <f>Inputs!$D$7</f>
        <v>1</v>
      </c>
      <c r="K1527" s="28">
        <f>Inputs!$D$7</f>
        <v>1</v>
      </c>
      <c r="L1527" s="28">
        <f>Inputs!$D$7</f>
        <v>1</v>
      </c>
      <c r="M1527" s="28">
        <f>Inputs!$D$7</f>
        <v>1</v>
      </c>
    </row>
    <row r="1528" spans="1:13" ht="15" customHeight="1" x14ac:dyDescent="0.2">
      <c r="A1528" s="91"/>
      <c r="B1528" s="3" t="s">
        <v>890</v>
      </c>
      <c r="C1528" s="10" t="s">
        <v>199</v>
      </c>
      <c r="D1528" s="28">
        <f>Inputs!$D$24+(Inputs!$D$80-Inputs!$D$24)*Inputs!$D$83</f>
        <v>305.5</v>
      </c>
      <c r="E1528" s="28">
        <f>Inputs!$D$24+(Inputs!$D$80-Inputs!$D$24)*Inputs!$D$84</f>
        <v>651.5</v>
      </c>
      <c r="F1528" s="28">
        <f>Inputs!$D$24+(Inputs!$D$80-Inputs!$D$24)*Inputs!$D$85</f>
        <v>911</v>
      </c>
      <c r="G1528" s="28">
        <f>Inputs!$D$24+(Inputs!$D$80-Inputs!$D$24)*Inputs!$D$86</f>
        <v>911</v>
      </c>
      <c r="H1528" s="28">
        <f>Inputs!$D$24+(Inputs!$D$80-Inputs!$D$24)*Inputs!$D$87</f>
        <v>911</v>
      </c>
      <c r="I1528" s="28">
        <f>Inputs!$D$24+(Inputs!$D$80-Inputs!$D$24)*Inputs!$D$88</f>
        <v>911</v>
      </c>
      <c r="J1528" s="28">
        <f>Inputs!$D$24+(Inputs!$D$80-Inputs!$D$24)*Inputs!$D$89</f>
        <v>911</v>
      </c>
      <c r="K1528" s="28">
        <f>Inputs!$D$24+(Inputs!$D$80-Inputs!$D$24)*Inputs!$D$90</f>
        <v>911</v>
      </c>
      <c r="L1528" s="28">
        <f>Inputs!$D$24+(Inputs!$D$80-Inputs!$D$24)*Inputs!$D$91</f>
        <v>911</v>
      </c>
      <c r="M1528" s="28">
        <f>Inputs!$D$24+(Inputs!$D$80-Inputs!$D$24)*Inputs!$D$92</f>
        <v>911</v>
      </c>
    </row>
    <row r="1529" spans="1:13" ht="15" customHeight="1" x14ac:dyDescent="0.2">
      <c r="A1529" s="91"/>
      <c r="B1529" s="10" t="s">
        <v>891</v>
      </c>
      <c r="C1529" s="10" t="s">
        <v>199</v>
      </c>
      <c r="D1529" s="28">
        <f>Inputs!$D$24</f>
        <v>46</v>
      </c>
      <c r="E1529" s="28">
        <f t="shared" ref="E1529:M1529" si="330">D1528</f>
        <v>305.5</v>
      </c>
      <c r="F1529" s="28">
        <f t="shared" si="330"/>
        <v>651.5</v>
      </c>
      <c r="G1529" s="28">
        <f t="shared" si="330"/>
        <v>911</v>
      </c>
      <c r="H1529" s="28">
        <f t="shared" si="330"/>
        <v>911</v>
      </c>
      <c r="I1529" s="28">
        <f t="shared" si="330"/>
        <v>911</v>
      </c>
      <c r="J1529" s="28">
        <f t="shared" si="330"/>
        <v>911</v>
      </c>
      <c r="K1529" s="28">
        <f t="shared" si="330"/>
        <v>911</v>
      </c>
      <c r="L1529" s="28">
        <f t="shared" si="330"/>
        <v>911</v>
      </c>
      <c r="M1529" s="28">
        <f t="shared" si="330"/>
        <v>911</v>
      </c>
    </row>
    <row r="1530" spans="1:13" ht="15" customHeight="1" x14ac:dyDescent="0.2">
      <c r="B1530" s="10" t="s">
        <v>892</v>
      </c>
      <c r="C1530" s="10" t="s">
        <v>199</v>
      </c>
      <c r="D1530" s="28">
        <f>(D1529+D1528)*Inputs!$D$12</f>
        <v>175.75</v>
      </c>
      <c r="E1530" s="28">
        <f>(E1529+E1528)*Inputs!$D$12</f>
        <v>478.5</v>
      </c>
      <c r="F1530" s="28">
        <f>(F1529+F1528)*Inputs!$D$12</f>
        <v>781.25</v>
      </c>
      <c r="G1530" s="28">
        <f>(G1529+G1528)*Inputs!$D$12</f>
        <v>911</v>
      </c>
      <c r="H1530" s="28">
        <f>(H1529+H1528)*Inputs!$D$12</f>
        <v>911</v>
      </c>
      <c r="I1530" s="28">
        <f>(I1529+I1528)*Inputs!$D$12</f>
        <v>911</v>
      </c>
      <c r="J1530" s="28">
        <f>(J1529+J1528)*Inputs!$D$12</f>
        <v>911</v>
      </c>
      <c r="K1530" s="28">
        <f>(K1529+K1528)*Inputs!$D$12</f>
        <v>911</v>
      </c>
      <c r="L1530" s="28">
        <f>(L1529+L1528)*Inputs!$D$12</f>
        <v>911</v>
      </c>
      <c r="M1530" s="28">
        <f>(M1529+M1528)*Inputs!$D$12</f>
        <v>911</v>
      </c>
    </row>
    <row r="1531" spans="1:13" ht="15" customHeight="1" x14ac:dyDescent="0.2">
      <c r="B1531" s="10" t="s">
        <v>893</v>
      </c>
      <c r="C1531" s="10" t="s">
        <v>199</v>
      </c>
      <c r="D1531" s="28">
        <f t="shared" ref="D1531:M1531" si="331">D1528-D1529</f>
        <v>259.5</v>
      </c>
      <c r="E1531" s="28">
        <f t="shared" si="331"/>
        <v>346</v>
      </c>
      <c r="F1531" s="28">
        <f t="shared" si="331"/>
        <v>259.5</v>
      </c>
      <c r="G1531" s="28">
        <f t="shared" si="331"/>
        <v>0</v>
      </c>
      <c r="H1531" s="28">
        <f t="shared" si="331"/>
        <v>0</v>
      </c>
      <c r="I1531" s="28">
        <f t="shared" si="331"/>
        <v>0</v>
      </c>
      <c r="J1531" s="28">
        <f t="shared" si="331"/>
        <v>0</v>
      </c>
      <c r="K1531" s="28">
        <f t="shared" si="331"/>
        <v>0</v>
      </c>
      <c r="L1531" s="28">
        <f t="shared" si="331"/>
        <v>0</v>
      </c>
      <c r="M1531" s="28">
        <f t="shared" si="331"/>
        <v>0</v>
      </c>
    </row>
    <row r="1532" spans="1:13" ht="15" customHeight="1" x14ac:dyDescent="0.2">
      <c r="B1532" s="10" t="s">
        <v>894</v>
      </c>
      <c r="C1532" s="10" t="s">
        <v>199</v>
      </c>
      <c r="D1532" s="28">
        <f>IF(MOD(D1524,Inputs!$D$21)=Inputs!$D$6,Inputs!$D$24,Inputs!$D$6)+SUMPRODUCT(--(D1524&gt;$D$1524:$M$1524),--(MOD(D1524-$D$1524:$M$1524,Inputs!$D$21)=Inputs!$D$6),$D$1531:$M$1531)</f>
        <v>0</v>
      </c>
      <c r="E1532" s="28">
        <f>IF(MOD(E1524,Inputs!$D$21)=Inputs!$D$6,Inputs!$D$24,Inputs!$D$6)+SUMPRODUCT(--(E1524&gt;$D$1524:$M$1524),--(MOD(E1524-$D$1524:$M$1524,Inputs!$D$21)=Inputs!$D$6),$D$1531:$M$1531)</f>
        <v>0</v>
      </c>
      <c r="F1532" s="28">
        <f>IF(MOD(F1524,Inputs!$D$21)=Inputs!$D$6,Inputs!$D$24,Inputs!$D$6)+SUMPRODUCT(--(F1524&gt;$D$1524:$M$1524),--(MOD(F1524-$D$1524:$M$1524,Inputs!$D$21)=Inputs!$D$6),$D$1531:$M$1531)</f>
        <v>0</v>
      </c>
      <c r="G1532" s="28">
        <f>IF(MOD(G1524,Inputs!$D$21)=Inputs!$D$6,Inputs!$D$24,Inputs!$D$6)+SUMPRODUCT(--(G1524&gt;$D$1524:$M$1524),--(MOD(G1524-$D$1524:$M$1524,Inputs!$D$21)=Inputs!$D$6),$D$1531:$M$1531)</f>
        <v>46</v>
      </c>
      <c r="H1532" s="28">
        <f>IF(MOD(H1524,Inputs!$D$21)=Inputs!$D$6,Inputs!$D$24,Inputs!$D$6)+SUMPRODUCT(--(H1524&gt;$D$1524:$M$1524),--(MOD(H1524-$D$1524:$M$1524,Inputs!$D$21)=Inputs!$D$6),$D$1531:$M$1531)</f>
        <v>259.5</v>
      </c>
      <c r="I1532" s="28">
        <f>IF(MOD(I1524,Inputs!$D$21)=Inputs!$D$6,Inputs!$D$24,Inputs!$D$6)+SUMPRODUCT(--(I1524&gt;$D$1524:$M$1524),--(MOD(I1524-$D$1524:$M$1524,Inputs!$D$21)=Inputs!$D$6),$D$1531:$M$1531)</f>
        <v>346</v>
      </c>
      <c r="J1532" s="28">
        <f>IF(MOD(J1524,Inputs!$D$21)=Inputs!$D$6,Inputs!$D$24,Inputs!$D$6)+SUMPRODUCT(--(J1524&gt;$D$1524:$M$1524),--(MOD(J1524-$D$1524:$M$1524,Inputs!$D$21)=Inputs!$D$6),$D$1531:$M$1531)</f>
        <v>259.5</v>
      </c>
      <c r="K1532" s="28">
        <f>IF(MOD(K1524,Inputs!$D$21)=Inputs!$D$6,Inputs!$D$24,Inputs!$D$6)+SUMPRODUCT(--(K1524&gt;$D$1524:$M$1524),--(MOD(K1524-$D$1524:$M$1524,Inputs!$D$21)=Inputs!$D$6),$D$1531:$M$1531)</f>
        <v>46</v>
      </c>
      <c r="L1532" s="28">
        <f>IF(MOD(L1524,Inputs!$D$21)=Inputs!$D$6,Inputs!$D$24,Inputs!$D$6)+SUMPRODUCT(--(L1524&gt;$D$1524:$M$1524),--(MOD(L1524-$D$1524:$M$1524,Inputs!$D$21)=Inputs!$D$6),$D$1531:$M$1531)</f>
        <v>259.5</v>
      </c>
      <c r="M1532" s="28">
        <f>IF(MOD(M1524,Inputs!$D$21)=Inputs!$D$6,Inputs!$D$24,Inputs!$D$6)+SUMPRODUCT(--(M1524&gt;$D$1524:$M$1524),--(MOD(M1524-$D$1524:$M$1524,Inputs!$D$21)=Inputs!$D$6),$D$1531:$M$1531)</f>
        <v>346</v>
      </c>
    </row>
    <row r="1533" spans="1:13" ht="15" customHeight="1" x14ac:dyDescent="0.2">
      <c r="B1533" s="10" t="s">
        <v>895</v>
      </c>
      <c r="C1533" s="10" t="s">
        <v>896</v>
      </c>
      <c r="D1533" s="28">
        <f t="shared" ref="D1533:M1533" si="332">D1530*D1527</f>
        <v>125.58726899383984</v>
      </c>
      <c r="E1533" s="28">
        <f t="shared" si="332"/>
        <v>478.5</v>
      </c>
      <c r="F1533" s="28">
        <f t="shared" si="332"/>
        <v>781.25</v>
      </c>
      <c r="G1533" s="28">
        <f t="shared" si="332"/>
        <v>911</v>
      </c>
      <c r="H1533" s="28">
        <f t="shared" si="332"/>
        <v>911</v>
      </c>
      <c r="I1533" s="28">
        <f t="shared" si="332"/>
        <v>911</v>
      </c>
      <c r="J1533" s="28">
        <f t="shared" si="332"/>
        <v>911</v>
      </c>
      <c r="K1533" s="28">
        <f t="shared" si="332"/>
        <v>911</v>
      </c>
      <c r="L1533" s="28">
        <f t="shared" si="332"/>
        <v>911</v>
      </c>
      <c r="M1533" s="28">
        <f t="shared" si="332"/>
        <v>911</v>
      </c>
    </row>
    <row r="1534" spans="1:13" ht="15" customHeight="1" x14ac:dyDescent="0.2">
      <c r="B1534" s="10" t="s">
        <v>897</v>
      </c>
      <c r="C1534" s="10" t="s">
        <v>110</v>
      </c>
      <c r="D1534" s="16">
        <f>D1533*($D$1553/Inputs!$D$21+$D$1554/Inputs!$D$22)</f>
        <v>1816.9772859324419</v>
      </c>
      <c r="E1534" s="16">
        <f>E1533*($D$1553/Inputs!$D$21+$D$1554/Inputs!$D$22)</f>
        <v>6922.8643817497086</v>
      </c>
      <c r="F1534" s="16">
        <f>F1533*($D$1553/Inputs!$D$21+$D$1554/Inputs!$D$22)</f>
        <v>11303.0048030135</v>
      </c>
      <c r="G1534" s="16">
        <f>G1533*($D$1553/Inputs!$D$21+$D$1554/Inputs!$D$22)</f>
        <v>13180.207840697982</v>
      </c>
      <c r="H1534" s="16">
        <f>H1533*($D$1553/Inputs!$D$21+$D$1554/Inputs!$D$22)</f>
        <v>13180.207840697982</v>
      </c>
      <c r="I1534" s="16">
        <f>I1533*($D$1553/Inputs!$D$21+$D$1554/Inputs!$D$22)</f>
        <v>13180.207840697982</v>
      </c>
      <c r="J1534" s="16">
        <f>J1533*($D$1553/Inputs!$D$21+$D$1554/Inputs!$D$22)</f>
        <v>13180.207840697982</v>
      </c>
      <c r="K1534" s="16">
        <f>K1533*($D$1553/Inputs!$D$21+$D$1554/Inputs!$D$22)</f>
        <v>13180.207840697982</v>
      </c>
      <c r="L1534" s="16">
        <f>L1533*($D$1553/Inputs!$D$21+$D$1554/Inputs!$D$22)</f>
        <v>13180.207840697982</v>
      </c>
      <c r="M1534" s="16">
        <f>M1533*($D$1553/Inputs!$D$21+$D$1554/Inputs!$D$22)</f>
        <v>13180.207840697982</v>
      </c>
    </row>
    <row r="1535" spans="1:13" ht="15" customHeight="1" x14ac:dyDescent="0.2">
      <c r="B1535" s="10" t="s">
        <v>898</v>
      </c>
      <c r="C1535" s="10" t="s">
        <v>110</v>
      </c>
      <c r="D1535" s="16">
        <f t="shared" ref="D1535:M1535" si="333">D1531*($D$1553+$D$1554)</f>
        <v>15560.968620146154</v>
      </c>
      <c r="E1535" s="16">
        <f t="shared" si="333"/>
        <v>20747.95816019487</v>
      </c>
      <c r="F1535" s="16">
        <f t="shared" si="333"/>
        <v>15560.968620146154</v>
      </c>
      <c r="G1535" s="16">
        <f t="shared" si="333"/>
        <v>0</v>
      </c>
      <c r="H1535" s="16">
        <f t="shared" si="333"/>
        <v>0</v>
      </c>
      <c r="I1535" s="16">
        <f t="shared" si="333"/>
        <v>0</v>
      </c>
      <c r="J1535" s="16">
        <f t="shared" si="333"/>
        <v>0</v>
      </c>
      <c r="K1535" s="16">
        <f t="shared" si="333"/>
        <v>0</v>
      </c>
      <c r="L1535" s="16">
        <f t="shared" si="333"/>
        <v>0</v>
      </c>
      <c r="M1535" s="16">
        <f t="shared" si="333"/>
        <v>0</v>
      </c>
    </row>
    <row r="1536" spans="1:13" ht="15" customHeight="1" x14ac:dyDescent="0.2">
      <c r="B1536" s="10" t="s">
        <v>899</v>
      </c>
      <c r="C1536" s="10" t="s">
        <v>110</v>
      </c>
      <c r="D1536" s="16">
        <f t="shared" ref="D1536:M1536" si="334">D1532*$D$1553</f>
        <v>0</v>
      </c>
      <c r="E1536" s="16">
        <f t="shared" si="334"/>
        <v>0</v>
      </c>
      <c r="F1536" s="16">
        <f t="shared" si="334"/>
        <v>0</v>
      </c>
      <c r="G1536" s="16">
        <f t="shared" si="334"/>
        <v>2638.0048485671714</v>
      </c>
      <c r="H1536" s="16">
        <f t="shared" si="334"/>
        <v>14881.788221808281</v>
      </c>
      <c r="I1536" s="16">
        <f t="shared" si="334"/>
        <v>19842.384295744378</v>
      </c>
      <c r="J1536" s="16">
        <f t="shared" si="334"/>
        <v>14881.788221808281</v>
      </c>
      <c r="K1536" s="16">
        <f t="shared" si="334"/>
        <v>2638.0048485671714</v>
      </c>
      <c r="L1536" s="16">
        <f t="shared" si="334"/>
        <v>14881.788221808281</v>
      </c>
      <c r="M1536" s="16">
        <f t="shared" si="334"/>
        <v>19842.384295744378</v>
      </c>
    </row>
    <row r="1537" spans="2:13" ht="15" customHeight="1" x14ac:dyDescent="0.2">
      <c r="B1537" s="10" t="s">
        <v>900</v>
      </c>
      <c r="C1537" s="10" t="s">
        <v>199</v>
      </c>
      <c r="D1537" s="28">
        <f>D1531*Inputs!$D$23</f>
        <v>6.4875000000000007</v>
      </c>
      <c r="E1537" s="28">
        <f>E1531*Inputs!$D$23</f>
        <v>8.65</v>
      </c>
      <c r="F1537" s="28">
        <f>F1531*Inputs!$D$23</f>
        <v>6.4875000000000007</v>
      </c>
      <c r="G1537" s="28">
        <f>G1531*Inputs!$D$23</f>
        <v>0</v>
      </c>
      <c r="H1537" s="28">
        <f>H1531*Inputs!$D$23</f>
        <v>0</v>
      </c>
      <c r="I1537" s="28">
        <f>I1531*Inputs!$D$23</f>
        <v>0</v>
      </c>
      <c r="J1537" s="28">
        <f>J1531*Inputs!$D$23</f>
        <v>0</v>
      </c>
      <c r="K1537" s="28">
        <f>K1531*Inputs!$D$23</f>
        <v>0</v>
      </c>
      <c r="L1537" s="28">
        <f>L1531*Inputs!$D$23</f>
        <v>0</v>
      </c>
      <c r="M1537" s="28">
        <f>M1531*Inputs!$D$23</f>
        <v>0</v>
      </c>
    </row>
    <row r="1538" spans="2:13" ht="15" customHeight="1" x14ac:dyDescent="0.2">
      <c r="B1538" s="3" t="s">
        <v>901</v>
      </c>
      <c r="C1538" s="10" t="s">
        <v>896</v>
      </c>
      <c r="D1538" s="28">
        <f>(D1533*$D$1551*(Inputs!$D$7-Inputs!$D$19)-D1537)/(Inputs!$D$7+$D$1552)^D1526</f>
        <v>43.213488846686175</v>
      </c>
      <c r="E1538" s="28">
        <f>(E1533*$D$1551*(Inputs!$D$7-Inputs!$D$19)-E1537)/(Inputs!$D$7+$D$1552)^E1526</f>
        <v>163.29332190458183</v>
      </c>
      <c r="F1538" s="28">
        <f>(F1533*$D$1551*(Inputs!$D$7-Inputs!$D$19)-F1537)/(Inputs!$D$7+$D$1552)^F1526</f>
        <v>248.28260771010829</v>
      </c>
      <c r="G1538" s="28">
        <f>(G1533*$D$1551*(Inputs!$D$7-Inputs!$D$19)-G1537)/(Inputs!$D$7+$D$1552)^G1526</f>
        <v>268.5238926419492</v>
      </c>
      <c r="H1538" s="28">
        <f>(H1533*$D$1551*(Inputs!$D$7-Inputs!$D$19)-H1537)/(Inputs!$D$7+$D$1552)^H1526</f>
        <v>244.12855518959191</v>
      </c>
      <c r="I1538" s="28">
        <f>(I1533*$D$1551*(Inputs!$D$7-Inputs!$D$19)-I1537)/(Inputs!$D$7+$D$1552)^I1526</f>
        <v>221.8916197826434</v>
      </c>
      <c r="J1538" s="28">
        <f>(J1533*$D$1551*(Inputs!$D$7-Inputs!$D$19)-J1537)/(Inputs!$D$7+$D$1552)^J1526</f>
        <v>201.73281421346593</v>
      </c>
      <c r="K1538" s="28">
        <f>(K1533*$D$1551*(Inputs!$D$7-Inputs!$D$19)-K1537)/(Inputs!$D$7+$D$1552)^K1526</f>
        <v>183.40543176145695</v>
      </c>
      <c r="L1538" s="28">
        <f>(L1533*$D$1551*(Inputs!$D$7-Inputs!$D$19)-L1537)/(Inputs!$D$7+$D$1552)^L1526</f>
        <v>166.74308803332551</v>
      </c>
      <c r="M1538" s="28">
        <f>(M1533*$D$1551*(Inputs!$D$7-Inputs!$D$19)-M1537)/(Inputs!$D$7+$D$1552)^M1526</f>
        <v>151.55496194429571</v>
      </c>
    </row>
    <row r="1539" spans="2:13" ht="15" customHeight="1" x14ac:dyDescent="0.2">
      <c r="B1539" s="10" t="s">
        <v>902</v>
      </c>
      <c r="C1539" s="10" t="s">
        <v>110</v>
      </c>
      <c r="D1539" s="16">
        <f>(D1534*Inputs!$D$19-D1535-D1536)/(Inputs!$D$7+$D$1552)^D1526</f>
        <v>-14027.24269342025</v>
      </c>
      <c r="E1539" s="16">
        <f>(E1534*Inputs!$D$19-E1535-E1536)/(Inputs!$D$7+$D$1552)^E1526</f>
        <v>-15853.087323826181</v>
      </c>
      <c r="F1539" s="16">
        <f>(F1534*Inputs!$D$19-F1535-F1536)/(Inputs!$D$7+$D$1552)^F1526</f>
        <v>-9394.4767487293357</v>
      </c>
      <c r="G1539" s="16">
        <f>(G1534*Inputs!$D$19-G1535-G1536)/(Inputs!$D$7+$D$1552)^G1526</f>
        <v>923.61320322684639</v>
      </c>
      <c r="H1539" s="16">
        <f>(H1534*Inputs!$D$19-H1535-H1536)/(Inputs!$D$7+$D$1552)^H1526</f>
        <v>-6972.3744918015345</v>
      </c>
      <c r="I1539" s="16">
        <f>(I1534*Inputs!$D$19-I1535-I1536)/(Inputs!$D$7+$D$1552)^I1526</f>
        <v>-9214.0648467907959</v>
      </c>
      <c r="J1539" s="16">
        <f>(J1534*Inputs!$D$19-J1535-J1536)/(Inputs!$D$7+$D$1552)^J1526</f>
        <v>-5761.5411965591911</v>
      </c>
      <c r="K1539" s="16">
        <f>(K1534*Inputs!$D$19-K1535-K1536)/(Inputs!$D$7+$D$1552)^K1526</f>
        <v>630.8402453567694</v>
      </c>
      <c r="L1539" s="16">
        <f>(L1534*Inputs!$D$19-L1535-L1536)/(Inputs!$D$7+$D$1552)^L1526</f>
        <v>-4762.2255937446444</v>
      </c>
      <c r="M1539" s="16">
        <f>(M1534*Inputs!$D$19-M1535-M1536)/(Inputs!$D$7+$D$1552)^M1526</f>
        <v>-6293.3302689644106</v>
      </c>
    </row>
    <row r="1540" spans="2:13" ht="15" customHeight="1" x14ac:dyDescent="0.2">
      <c r="B1540" s="10" t="s">
        <v>903</v>
      </c>
      <c r="C1540" s="10" t="s">
        <v>110</v>
      </c>
      <c r="D1540" s="16">
        <f t="shared" ref="D1540:M1540" si="335">D1533*$D$1550</f>
        <v>5188.1973539273376</v>
      </c>
      <c r="E1540" s="16">
        <f t="shared" si="335"/>
        <v>19767.548524174072</v>
      </c>
      <c r="F1540" s="16">
        <f t="shared" si="335"/>
        <v>32274.602475467073</v>
      </c>
      <c r="G1540" s="16">
        <f t="shared" si="335"/>
        <v>37634.768454592646</v>
      </c>
      <c r="H1540" s="16">
        <f t="shared" si="335"/>
        <v>37634.768454592646</v>
      </c>
      <c r="I1540" s="16">
        <f t="shared" si="335"/>
        <v>37634.768454592646</v>
      </c>
      <c r="J1540" s="16">
        <f t="shared" si="335"/>
        <v>37634.768454592646</v>
      </c>
      <c r="K1540" s="16">
        <f t="shared" si="335"/>
        <v>37634.768454592646</v>
      </c>
      <c r="L1540" s="16">
        <f t="shared" si="335"/>
        <v>37634.768454592646</v>
      </c>
      <c r="M1540" s="16">
        <f t="shared" si="335"/>
        <v>37634.768454592646</v>
      </c>
    </row>
    <row r="1541" spans="2:13" ht="15" customHeight="1" x14ac:dyDescent="0.2">
      <c r="B1541" s="10" t="s">
        <v>904</v>
      </c>
      <c r="C1541" s="10" t="s">
        <v>110</v>
      </c>
      <c r="D1541" s="16">
        <f t="shared" ref="D1541:M1541" si="336">D1540*$D$1551</f>
        <v>3112.9184123564023</v>
      </c>
      <c r="E1541" s="16">
        <f t="shared" si="336"/>
        <v>11860.529114504443</v>
      </c>
      <c r="F1541" s="16">
        <f t="shared" si="336"/>
        <v>19364.761485280244</v>
      </c>
      <c r="G1541" s="16">
        <f t="shared" si="336"/>
        <v>22580.861072755586</v>
      </c>
      <c r="H1541" s="16">
        <f t="shared" si="336"/>
        <v>22580.861072755586</v>
      </c>
      <c r="I1541" s="16">
        <f t="shared" si="336"/>
        <v>22580.861072755586</v>
      </c>
      <c r="J1541" s="16">
        <f t="shared" si="336"/>
        <v>22580.861072755586</v>
      </c>
      <c r="K1541" s="16">
        <f t="shared" si="336"/>
        <v>22580.861072755586</v>
      </c>
      <c r="L1541" s="16">
        <f t="shared" si="336"/>
        <v>22580.861072755586</v>
      </c>
      <c r="M1541" s="16">
        <f t="shared" si="336"/>
        <v>22580.861072755586</v>
      </c>
    </row>
    <row r="1542" spans="2:13" ht="15" customHeight="1" x14ac:dyDescent="0.2">
      <c r="B1542" s="10" t="s">
        <v>905</v>
      </c>
      <c r="C1542" s="10" t="s">
        <v>110</v>
      </c>
      <c r="D1542" s="16">
        <f t="shared" ref="D1542:M1542" si="337">D1541-D1534</f>
        <v>1295.9411264239604</v>
      </c>
      <c r="E1542" s="16">
        <f t="shared" si="337"/>
        <v>4937.6647327547344</v>
      </c>
      <c r="F1542" s="16">
        <f t="shared" si="337"/>
        <v>8061.7566822667432</v>
      </c>
      <c r="G1542" s="16">
        <f t="shared" si="337"/>
        <v>9400.6532320576043</v>
      </c>
      <c r="H1542" s="16">
        <f t="shared" si="337"/>
        <v>9400.6532320576043</v>
      </c>
      <c r="I1542" s="16">
        <f t="shared" si="337"/>
        <v>9400.6532320576043</v>
      </c>
      <c r="J1542" s="16">
        <f t="shared" si="337"/>
        <v>9400.6532320576043</v>
      </c>
      <c r="K1542" s="16">
        <f t="shared" si="337"/>
        <v>9400.6532320576043</v>
      </c>
      <c r="L1542" s="16">
        <f t="shared" si="337"/>
        <v>9400.6532320576043</v>
      </c>
      <c r="M1542" s="16">
        <f t="shared" si="337"/>
        <v>9400.6532320576043</v>
      </c>
    </row>
    <row r="1543" spans="2:13" ht="15" customHeight="1" x14ac:dyDescent="0.2">
      <c r="B1543" s="10" t="s">
        <v>906</v>
      </c>
      <c r="C1543" s="10" t="s">
        <v>110</v>
      </c>
      <c r="D1543" s="16">
        <f>MAX(D1542,Inputs!$D$6)*Inputs!$D$19</f>
        <v>388.78233792718811</v>
      </c>
      <c r="E1543" s="16">
        <f>MAX(E1542,Inputs!$D$6)*Inputs!$D$19</f>
        <v>1481.2994198264203</v>
      </c>
      <c r="F1543" s="16">
        <f>MAX(F1542,Inputs!$D$6)*Inputs!$D$19</f>
        <v>2418.5270046800229</v>
      </c>
      <c r="G1543" s="16">
        <f>MAX(G1542,Inputs!$D$6)*Inputs!$D$19</f>
        <v>2820.1959696172812</v>
      </c>
      <c r="H1543" s="16">
        <f>MAX(H1542,Inputs!$D$6)*Inputs!$D$19</f>
        <v>2820.1959696172812</v>
      </c>
      <c r="I1543" s="16">
        <f>MAX(I1542,Inputs!$D$6)*Inputs!$D$19</f>
        <v>2820.1959696172812</v>
      </c>
      <c r="J1543" s="16">
        <f>MAX(J1542,Inputs!$D$6)*Inputs!$D$19</f>
        <v>2820.1959696172812</v>
      </c>
      <c r="K1543" s="16">
        <f>MAX(K1542,Inputs!$D$6)*Inputs!$D$19</f>
        <v>2820.1959696172812</v>
      </c>
      <c r="L1543" s="16">
        <f>MAX(L1542,Inputs!$D$6)*Inputs!$D$19</f>
        <v>2820.1959696172812</v>
      </c>
      <c r="M1543" s="16">
        <f>MAX(M1542,Inputs!$D$6)*Inputs!$D$19</f>
        <v>2820.1959696172812</v>
      </c>
    </row>
    <row r="1544" spans="2:13" ht="15" customHeight="1" x14ac:dyDescent="0.2">
      <c r="B1544" s="10" t="s">
        <v>907</v>
      </c>
      <c r="C1544" s="10" t="s">
        <v>110</v>
      </c>
      <c r="D1544" s="16">
        <f t="shared" ref="D1544:M1544" si="338">D1537*$D$1550</f>
        <v>268.00829895627862</v>
      </c>
      <c r="E1544" s="16">
        <f t="shared" si="338"/>
        <v>357.34439860837148</v>
      </c>
      <c r="F1544" s="16">
        <f t="shared" si="338"/>
        <v>268.00829895627862</v>
      </c>
      <c r="G1544" s="16">
        <f t="shared" si="338"/>
        <v>0</v>
      </c>
      <c r="H1544" s="16">
        <f t="shared" si="338"/>
        <v>0</v>
      </c>
      <c r="I1544" s="16">
        <f t="shared" si="338"/>
        <v>0</v>
      </c>
      <c r="J1544" s="16">
        <f t="shared" si="338"/>
        <v>0</v>
      </c>
      <c r="K1544" s="16">
        <f t="shared" si="338"/>
        <v>0</v>
      </c>
      <c r="L1544" s="16">
        <f t="shared" si="338"/>
        <v>0</v>
      </c>
      <c r="M1544" s="16">
        <f t="shared" si="338"/>
        <v>0</v>
      </c>
    </row>
    <row r="1545" spans="2:13" ht="15" customHeight="1" x14ac:dyDescent="0.2">
      <c r="B1545" s="10" t="s">
        <v>908</v>
      </c>
      <c r="C1545" s="10" t="s">
        <v>110</v>
      </c>
      <c r="D1545" s="16">
        <f t="shared" ref="D1545:M1545" si="339">D1541-D1543-D1535-D1536-D1544</f>
        <v>-13104.840844673217</v>
      </c>
      <c r="E1545" s="16">
        <f t="shared" si="339"/>
        <v>-10726.072864125219</v>
      </c>
      <c r="F1545" s="16">
        <f t="shared" si="339"/>
        <v>1117.2575614977898</v>
      </c>
      <c r="G1545" s="16">
        <f t="shared" si="339"/>
        <v>17122.660254571132</v>
      </c>
      <c r="H1545" s="16">
        <f t="shared" si="339"/>
        <v>4878.876881330023</v>
      </c>
      <c r="I1545" s="16">
        <f t="shared" si="339"/>
        <v>-81.719192606073193</v>
      </c>
      <c r="J1545" s="16">
        <f t="shared" si="339"/>
        <v>4878.876881330023</v>
      </c>
      <c r="K1545" s="16">
        <f t="shared" si="339"/>
        <v>17122.660254571132</v>
      </c>
      <c r="L1545" s="16">
        <f t="shared" si="339"/>
        <v>4878.876881330023</v>
      </c>
      <c r="M1545" s="16">
        <f t="shared" si="339"/>
        <v>-81.719192606073193</v>
      </c>
    </row>
    <row r="1546" spans="2:13" ht="15" customHeight="1" x14ac:dyDescent="0.2">
      <c r="B1546" s="10" t="s">
        <v>909</v>
      </c>
      <c r="C1546" s="10" t="s">
        <v>110</v>
      </c>
      <c r="D1546" s="16">
        <f>D1545/(Inputs!$D$7+$D$1552)^D1526</f>
        <v>-12242.029030566073</v>
      </c>
      <c r="E1546" s="16">
        <f>E1545/(Inputs!$D$7+$D$1552)^E1526</f>
        <v>-9107.1966980740417</v>
      </c>
      <c r="F1546" s="16">
        <f>F1545/(Inputs!$D$7+$D$1552)^F1526</f>
        <v>862.44800700325038</v>
      </c>
      <c r="G1546" s="16">
        <f>G1545/(Inputs!$D$7+$D$1552)^G1526</f>
        <v>12016.735622662249</v>
      </c>
      <c r="H1546" s="16">
        <f>H1545/(Inputs!$D$7+$D$1552)^H1526</f>
        <v>3112.940159915845</v>
      </c>
      <c r="I1546" s="16">
        <f>I1545/(Inputs!$D$7+$D$1552)^I1526</f>
        <v>-47.391155754250683</v>
      </c>
      <c r="J1546" s="16">
        <f>J1545/(Inputs!$D$7+$D$1552)^J1526</f>
        <v>2572.3421762367975</v>
      </c>
      <c r="K1546" s="16">
        <f>K1545/(Inputs!$D$7+$D$1552)^K1526</f>
        <v>8207.5921198430733</v>
      </c>
      <c r="L1546" s="16">
        <f>L1545/(Inputs!$D$7+$D$1552)^L1526</f>
        <v>2126.1800149688165</v>
      </c>
      <c r="M1546" s="16">
        <f>M1545/(Inputs!$D$7+$D$1552)^M1526</f>
        <v>-32.368797045455004</v>
      </c>
    </row>
    <row r="1547" spans="2:13" ht="15" customHeight="1" x14ac:dyDescent="0.2">
      <c r="B1547" s="3" t="s">
        <v>910</v>
      </c>
      <c r="C1547" s="10" t="s">
        <v>896</v>
      </c>
      <c r="D1547" s="28">
        <f>(D1533*$D$1551-D1537)/(Inputs!$D$7+$D$1552)^D1526</f>
        <v>64.330856237917445</v>
      </c>
      <c r="E1547" s="28">
        <f>(E1533*$D$1551-E1537)/(Inputs!$D$7+$D$1552)^E1526</f>
        <v>236.42380139523098</v>
      </c>
      <c r="F1547" s="28">
        <f>(F1533*$D$1551-F1537)/(Inputs!$D$7+$D$1552)^F1526</f>
        <v>356.83568908039001</v>
      </c>
      <c r="G1547" s="28">
        <f>(G1533*$D$1551-G1537)/(Inputs!$D$7+$D$1552)^G1526</f>
        <v>383.60556091707036</v>
      </c>
      <c r="H1547" s="28">
        <f>(H1533*$D$1551-H1537)/(Inputs!$D$7+$D$1552)^H1526</f>
        <v>348.75507884227414</v>
      </c>
      <c r="I1547" s="28">
        <f>(I1533*$D$1551-I1537)/(Inputs!$D$7+$D$1552)^I1526</f>
        <v>316.98802826091918</v>
      </c>
      <c r="J1547" s="28">
        <f>(J1533*$D$1551-J1537)/(Inputs!$D$7+$D$1552)^J1526</f>
        <v>288.18973459066564</v>
      </c>
      <c r="K1547" s="28">
        <f>(K1533*$D$1551-K1537)/(Inputs!$D$7+$D$1552)^K1526</f>
        <v>262.00775965922423</v>
      </c>
      <c r="L1547" s="28">
        <f>(L1533*$D$1551-L1537)/(Inputs!$D$7+$D$1552)^L1526</f>
        <v>238.2044114761793</v>
      </c>
      <c r="M1547" s="28">
        <f>(M1533*$D$1551-M1537)/(Inputs!$D$7+$D$1552)^M1526</f>
        <v>216.50708849185102</v>
      </c>
    </row>
    <row r="1548" spans="2:13" ht="15" customHeight="1" x14ac:dyDescent="0.2">
      <c r="B1548" s="10" t="s">
        <v>911</v>
      </c>
      <c r="C1548" s="10" t="s">
        <v>110</v>
      </c>
      <c r="D1548" s="16">
        <f>(-D1535-D1536)/(Inputs!$D$7+$D$1552)^D1526</f>
        <v>-14536.447397527105</v>
      </c>
      <c r="E1548" s="16">
        <f>(-E1535-E1536)/(Inputs!$D$7+$D$1552)^E1526</f>
        <v>-17616.488200475756</v>
      </c>
      <c r="F1548" s="16">
        <f>(-F1535-F1536)/(Inputs!$D$7+$D$1552)^F1526</f>
        <v>-12012.025548964448</v>
      </c>
      <c r="G1548" s="16">
        <f>(-G1535-G1536)/(Inputs!$D$7+$D$1552)^G1526</f>
        <v>-1851.359915178487</v>
      </c>
      <c r="H1548" s="16">
        <f>(-H1535-H1536)/(Inputs!$D$7+$D$1552)^H1526</f>
        <v>-9495.2419037884629</v>
      </c>
      <c r="I1548" s="16">
        <f>(-I1535-I1536)/(Inputs!$D$7+$D$1552)^I1526</f>
        <v>-11507.131858586603</v>
      </c>
      <c r="J1548" s="16">
        <f>(-J1535-J1536)/(Inputs!$D$7+$D$1552)^J1526</f>
        <v>-7846.2835672839774</v>
      </c>
      <c r="K1548" s="16">
        <f>(-K1535-K1536)/(Inputs!$D$7+$D$1552)^K1526</f>
        <v>-1264.5037327904422</v>
      </c>
      <c r="L1548" s="16">
        <f>(-L1535-L1536)/(Inputs!$D$7+$D$1552)^L1526</f>
        <v>-6485.3779822337692</v>
      </c>
      <c r="M1548" s="16">
        <f>(-M1535-M1536)/(Inputs!$D$7+$D$1552)^M1526</f>
        <v>-7859.5258920747219</v>
      </c>
    </row>
    <row r="1549" spans="2:13" ht="15" customHeight="1" x14ac:dyDescent="0.2">
      <c r="B1549" s="10" t="s">
        <v>912</v>
      </c>
      <c r="C1549" s="10" t="s">
        <v>110</v>
      </c>
      <c r="D1549" s="16">
        <f>Prices!I7</f>
        <v>35754.545454545456</v>
      </c>
    </row>
    <row r="1550" spans="2:13" ht="15" customHeight="1" x14ac:dyDescent="0.2">
      <c r="B1550" s="3" t="s">
        <v>913</v>
      </c>
      <c r="C1550" s="10" t="s">
        <v>914</v>
      </c>
      <c r="D1550" s="28">
        <f>IF(J1557&gt;=J1553,J1557,(D1549-J1556)/J1555)</f>
        <v>41.311491168597854</v>
      </c>
      <c r="G1550" s="99" t="s">
        <v>915</v>
      </c>
      <c r="H1550" s="91"/>
      <c r="I1550" s="91"/>
      <c r="J1550" s="28">
        <f>D1550*Inputs!$D$15</f>
        <v>28.831289686564443</v>
      </c>
      <c r="K1550" s="99" t="s">
        <v>916</v>
      </c>
      <c r="L1550" s="91"/>
      <c r="M1550" s="91"/>
    </row>
    <row r="1551" spans="2:13" ht="15" customHeight="1" x14ac:dyDescent="0.2">
      <c r="B1551" s="10" t="s">
        <v>917</v>
      </c>
      <c r="C1551" s="10" t="s">
        <v>104</v>
      </c>
      <c r="D1551" s="30">
        <f>Inputs!$D$142</f>
        <v>0.6</v>
      </c>
      <c r="G1551" s="99" t="s">
        <v>918</v>
      </c>
      <c r="H1551" s="91"/>
      <c r="I1551" s="91"/>
      <c r="J1551" s="28">
        <f>IF(-D1562/D1561&gt;=J1553,-D1562/D1561,-J1556/J1555)</f>
        <v>32.284876648616972</v>
      </c>
      <c r="K1551" s="99" t="s">
        <v>919</v>
      </c>
      <c r="L1551" s="91"/>
      <c r="M1551" s="91"/>
    </row>
    <row r="1552" spans="2:13" ht="15" customHeight="1" x14ac:dyDescent="0.2">
      <c r="B1552" s="10" t="s">
        <v>920</v>
      </c>
      <c r="C1552" s="10" t="s">
        <v>104</v>
      </c>
      <c r="D1552" s="30">
        <f>Inputs!$D$147</f>
        <v>0.1</v>
      </c>
      <c r="G1552" s="99" t="s">
        <v>918</v>
      </c>
      <c r="H1552" s="91"/>
      <c r="I1552" s="91"/>
      <c r="J1552" s="28">
        <f>J1551*Inputs!$D$15</f>
        <v>22.531615413069783</v>
      </c>
      <c r="K1552" s="99" t="s">
        <v>916</v>
      </c>
      <c r="L1552" s="91"/>
      <c r="M1552" s="91"/>
    </row>
    <row r="1553" spans="2:13" ht="15" customHeight="1" x14ac:dyDescent="0.2">
      <c r="B1553" s="3" t="s">
        <v>921</v>
      </c>
      <c r="C1553" s="10" t="s">
        <v>848</v>
      </c>
      <c r="D1553" s="28">
        <f>Capital!$D$13</f>
        <v>57.347931490590682</v>
      </c>
      <c r="G1553" s="99" t="s">
        <v>922</v>
      </c>
      <c r="H1553" s="91"/>
      <c r="I1553" s="91"/>
      <c r="J1553" s="28">
        <f>($D$1553/Inputs!$D$21+$D$1554/Inputs!$D$22)/$D$1551</f>
        <v>24.113076913095469</v>
      </c>
      <c r="K1553" s="99" t="s">
        <v>919</v>
      </c>
      <c r="L1553" s="91"/>
      <c r="M1553" s="91"/>
    </row>
    <row r="1554" spans="2:13" ht="15" customHeight="1" x14ac:dyDescent="0.2">
      <c r="B1554" s="3" t="s">
        <v>923</v>
      </c>
      <c r="C1554" s="10" t="s">
        <v>848</v>
      </c>
      <c r="D1554" s="28">
        <f>Capital!$D$14</f>
        <v>2.6172655041921802</v>
      </c>
    </row>
    <row r="1555" spans="2:13" ht="15" customHeight="1" x14ac:dyDescent="0.2">
      <c r="B1555" s="10" t="s">
        <v>924</v>
      </c>
      <c r="C1555" s="10" t="s">
        <v>896</v>
      </c>
      <c r="D1555" s="28">
        <f>(M1528*(Inputs!$D$7+Inputs!$D$20)*$D$1551*(Inputs!$D$7-Inputs!$D$19)-M1528*Inputs!$D$20*Inputs!$D$23)/($D$1552-Inputs!$D$20)/(Inputs!$D$7+$D$1552)^M1526</f>
        <v>2068.2441036763203</v>
      </c>
      <c r="G1555" s="92" t="s">
        <v>910</v>
      </c>
      <c r="H1555" s="91"/>
      <c r="I1555" s="91"/>
      <c r="J1555" s="28">
        <f>SUM(D1547:M1547)+(M1528*(Inputs!$D$7+Inputs!$D$20)*$D$1551-M1528*Inputs!$D$20*Inputs!$D$23)/($D$1552-Inputs!$D$20)/(Inputs!$D$7+$D$1552)^M1526</f>
        <v>5667.7711754446318</v>
      </c>
      <c r="K1555" s="99" t="s">
        <v>896</v>
      </c>
      <c r="L1555" s="91"/>
      <c r="M1555" s="91"/>
    </row>
    <row r="1556" spans="2:13" ht="15" customHeight="1" x14ac:dyDescent="0.2">
      <c r="B1556" s="10" t="s">
        <v>925</v>
      </c>
      <c r="C1556" s="10" t="s">
        <v>110</v>
      </c>
      <c r="D1556" s="16">
        <f>(D1559*Inputs!$D$19-D1559-D1560)/($D$1552-Inputs!$D$20)/(Inputs!$D$7+$D$1552)^M1526</f>
        <v>-57156.954988173631</v>
      </c>
      <c r="G1556" s="92" t="s">
        <v>926</v>
      </c>
      <c r="H1556" s="91"/>
      <c r="I1556" s="91"/>
      <c r="J1556" s="16">
        <f>SUM(D1548:M1548)-(D1559+D1560)/($D$1552-Inputs!$D$20)/(Inputs!$D$7+$D$1552)^M1526</f>
        <v>-169036.01450291832</v>
      </c>
      <c r="K1556" s="99" t="s">
        <v>110</v>
      </c>
      <c r="L1556" s="91"/>
      <c r="M1556" s="91"/>
    </row>
    <row r="1557" spans="2:13" ht="15" customHeight="1" x14ac:dyDescent="0.2">
      <c r="B1557" s="10" t="s">
        <v>927</v>
      </c>
      <c r="C1557" s="10" t="s">
        <v>928</v>
      </c>
      <c r="D1557" s="16">
        <f>(M1528*(Inputs!$D$7+Inputs!$D$20)*$D$1550*$D$1551-D1559)-MAX((M1528*(Inputs!$D$7+Inputs!$D$20)*$D$1550*$D$1551-D1559),Inputs!$D$6)*Inputs!$D$19-D1560-M1528*Inputs!$D$20*$D$1550*Inputs!$D$23</f>
        <v>5355.7396021610284</v>
      </c>
      <c r="G1557" s="99" t="s">
        <v>929</v>
      </c>
      <c r="H1557" s="91"/>
      <c r="I1557" s="91"/>
      <c r="J1557" s="28">
        <f>(D1549-D1562)/D1561</f>
        <v>41.311491168597854</v>
      </c>
      <c r="K1557" s="99" t="s">
        <v>919</v>
      </c>
      <c r="L1557" s="91"/>
      <c r="M1557" s="91"/>
    </row>
    <row r="1558" spans="2:13" ht="15" customHeight="1" x14ac:dyDescent="0.2">
      <c r="B1558" s="10" t="s">
        <v>930</v>
      </c>
      <c r="C1558" s="10" t="s">
        <v>110</v>
      </c>
      <c r="D1558" s="16">
        <f>D1557/($D$1552-Inputs!$D$20)</f>
        <v>71409.861362147029</v>
      </c>
      <c r="G1558" s="99" t="s">
        <v>931</v>
      </c>
      <c r="H1558" s="91"/>
      <c r="I1558" s="91"/>
      <c r="J1558" s="16">
        <f>MIN(D1542:M1542,(M1528*(Inputs!$D$7+Inputs!$D$20)*$D$1550*$D$1551-D1559))</f>
        <v>1295.9411264239604</v>
      </c>
      <c r="K1558" s="99" t="s">
        <v>110</v>
      </c>
      <c r="L1558" s="91"/>
      <c r="M1558" s="91"/>
    </row>
    <row r="1559" spans="2:13" ht="15" customHeight="1" x14ac:dyDescent="0.2">
      <c r="B1559" s="10" t="s">
        <v>932</v>
      </c>
      <c r="C1559" s="10" t="s">
        <v>928</v>
      </c>
      <c r="D1559" s="16">
        <f>M1528*(Inputs!$D$7+Inputs!$D$20)*($D$1553/Inputs!$D$21+$D$1554/Inputs!$D$22)</f>
        <v>13509.71303671543</v>
      </c>
      <c r="G1559" s="99" t="s">
        <v>933</v>
      </c>
      <c r="H1559" s="91"/>
      <c r="I1559" s="91"/>
      <c r="J1559" s="31" t="str">
        <f>IF(J1558&lt;Inputs!$D$6,"breached","satisfied")</f>
        <v>satisfied</v>
      </c>
      <c r="K1559" s="99" t="s">
        <v>934</v>
      </c>
      <c r="L1559" s="91"/>
      <c r="M1559" s="91"/>
    </row>
    <row r="1560" spans="2:13" ht="15" customHeight="1" x14ac:dyDescent="0.2">
      <c r="B1560" s="10" t="s">
        <v>935</v>
      </c>
      <c r="C1560" s="10" t="s">
        <v>928</v>
      </c>
      <c r="D1560" s="16">
        <f>M1528*Inputs!$D$20*($D$1553+$D$1554)</f>
        <v>1365.7073615561799</v>
      </c>
    </row>
    <row r="1561" spans="2:13" ht="15" customHeight="1" x14ac:dyDescent="0.2">
      <c r="B1561" s="10" t="s">
        <v>936</v>
      </c>
      <c r="C1561" s="10" t="s">
        <v>896</v>
      </c>
      <c r="D1561" s="28">
        <f>SUM(D1538:M1538)+D1555</f>
        <v>3961.0138857044249</v>
      </c>
      <c r="G1561" s="99" t="s">
        <v>937</v>
      </c>
      <c r="H1561" s="91"/>
      <c r="I1561" s="91"/>
      <c r="J1561" s="16">
        <f>D1563-D1549</f>
        <v>0</v>
      </c>
      <c r="K1561" s="99" t="s">
        <v>110</v>
      </c>
      <c r="L1561" s="91"/>
      <c r="M1561" s="91"/>
    </row>
    <row r="1562" spans="2:13" ht="15" customHeight="1" x14ac:dyDescent="0.2">
      <c r="B1562" s="10" t="s">
        <v>938</v>
      </c>
      <c r="C1562" s="10" t="s">
        <v>110</v>
      </c>
      <c r="D1562" s="16">
        <f>SUM(D1539:M1539)+D1556</f>
        <v>-127880.84470342637</v>
      </c>
    </row>
    <row r="1563" spans="2:13" ht="15" customHeight="1" x14ac:dyDescent="0.2">
      <c r="B1563" s="10" t="s">
        <v>939</v>
      </c>
      <c r="C1563" s="10" t="s">
        <v>110</v>
      </c>
      <c r="D1563" s="16">
        <f>SUM(D1546:M1546)+D1558/(Inputs!$D$7+$D$1552)^M1526</f>
        <v>35754.545454545463</v>
      </c>
    </row>
    <row r="1564" spans="2:13" ht="15" customHeight="1" x14ac:dyDescent="0.2">
      <c r="B1564" s="10" t="s">
        <v>940</v>
      </c>
      <c r="C1564" s="10" t="s">
        <v>104</v>
      </c>
      <c r="D1564" s="30">
        <f>IF(ABS(D1549)&gt;Inputs!$D$6,D1563/D1549-Inputs!$D$7,Inputs!$D$6)</f>
        <v>2.2204460492503131E-16</v>
      </c>
    </row>
    <row r="1565" spans="2:13" ht="15" customHeight="1" x14ac:dyDescent="0.2">
      <c r="B1565" s="10" t="s">
        <v>941</v>
      </c>
      <c r="C1565" s="10" t="s">
        <v>104</v>
      </c>
      <c r="D1565" s="30">
        <f>IF(ABS(D1563)&gt;Inputs!$D$119,D1558/(Inputs!$D$7+$D$1552)^M1526/D1563,Inputs!$D$6)</f>
        <v>0.7910964235670167</v>
      </c>
    </row>
    <row r="1566" spans="2:13" ht="15" customHeight="1" x14ac:dyDescent="0.2">
      <c r="B1566" s="10" t="s">
        <v>942</v>
      </c>
      <c r="C1566" s="10" t="s">
        <v>943</v>
      </c>
      <c r="D1566" s="26">
        <f>$D$1550*Inputs!$D$8/Prices!$P$6/(Inputs!$D$26/Inputs!$D$25)/Inputs!$D$11/Inputs!$D$56</f>
        <v>7.5126201535866244</v>
      </c>
    </row>
    <row r="1570" spans="1:13" ht="15" customHeight="1" x14ac:dyDescent="0.2">
      <c r="A1570" s="104" t="s">
        <v>2199</v>
      </c>
      <c r="B1570" s="10" t="s">
        <v>886</v>
      </c>
      <c r="C1570" s="10" t="s">
        <v>107</v>
      </c>
      <c r="D1570" s="28">
        <f>Inputs!$D$60</f>
        <v>1</v>
      </c>
      <c r="E1570" s="28">
        <f>Inputs!$D$62</f>
        <v>2</v>
      </c>
      <c r="F1570" s="28">
        <f>Inputs!$D$64</f>
        <v>3</v>
      </c>
      <c r="G1570" s="28">
        <f>Inputs!$D$66</f>
        <v>4</v>
      </c>
      <c r="H1570" s="28">
        <f>Inputs!$D$68</f>
        <v>5</v>
      </c>
      <c r="I1570" s="28">
        <f>Inputs!$D$70</f>
        <v>6</v>
      </c>
      <c r="J1570" s="28">
        <f>Inputs!$D$72</f>
        <v>7</v>
      </c>
      <c r="K1570" s="28">
        <f>Inputs!$D$74</f>
        <v>8</v>
      </c>
      <c r="L1570" s="28">
        <f>Inputs!$D$76</f>
        <v>9</v>
      </c>
      <c r="M1570" s="28">
        <f>Inputs!$D$78</f>
        <v>10</v>
      </c>
    </row>
    <row r="1571" spans="1:13" ht="15" customHeight="1" x14ac:dyDescent="0.2">
      <c r="A1571" s="91"/>
      <c r="B1571" s="10" t="s">
        <v>887</v>
      </c>
      <c r="C1571" s="10" t="s">
        <v>161</v>
      </c>
      <c r="D1571" s="29">
        <f>Inputs!$D$61</f>
        <v>46568</v>
      </c>
      <c r="E1571" s="29">
        <f>Inputs!$D$63</f>
        <v>46934</v>
      </c>
      <c r="F1571" s="29">
        <f>Inputs!$D$65</f>
        <v>47299</v>
      </c>
      <c r="G1571" s="29">
        <f>Inputs!$D$67</f>
        <v>47664</v>
      </c>
      <c r="H1571" s="29">
        <f>Inputs!$D$69</f>
        <v>48029</v>
      </c>
      <c r="I1571" s="29">
        <f>Inputs!$D$71</f>
        <v>48395</v>
      </c>
      <c r="J1571" s="29">
        <f>Inputs!$D$73</f>
        <v>48760</v>
      </c>
      <c r="K1571" s="29">
        <f>Inputs!$D$75</f>
        <v>49125</v>
      </c>
      <c r="L1571" s="29">
        <f>Inputs!$D$77</f>
        <v>49490</v>
      </c>
      <c r="M1571" s="29">
        <f>Inputs!$D$79</f>
        <v>49856</v>
      </c>
    </row>
    <row r="1572" spans="1:13" ht="15" customHeight="1" x14ac:dyDescent="0.2">
      <c r="A1572" s="91"/>
      <c r="B1572" s="10" t="s">
        <v>888</v>
      </c>
      <c r="C1572" s="10" t="s">
        <v>107</v>
      </c>
      <c r="D1572" s="28">
        <f>(D1571-Inputs!$D$13)/Inputs!$D$10</f>
        <v>0.71457905544147848</v>
      </c>
      <c r="E1572" s="28">
        <f>(E1571-Inputs!$D$13)/Inputs!$D$10</f>
        <v>1.7166324435318274</v>
      </c>
      <c r="F1572" s="28">
        <f>(F1571-Inputs!$D$13)/Inputs!$D$10</f>
        <v>2.7159479808350446</v>
      </c>
      <c r="G1572" s="28">
        <f>(G1571-Inputs!$D$13)/Inputs!$D$10</f>
        <v>3.7152635181382614</v>
      </c>
      <c r="H1572" s="28">
        <f>(H1571-Inputs!$D$13)/Inputs!$D$10</f>
        <v>4.7145790554414786</v>
      </c>
      <c r="I1572" s="28">
        <f>(I1571-Inputs!$D$13)/Inputs!$D$10</f>
        <v>5.7166324435318279</v>
      </c>
      <c r="J1572" s="28">
        <f>(J1571-Inputs!$D$13)/Inputs!$D$10</f>
        <v>6.7159479808350442</v>
      </c>
      <c r="K1572" s="28">
        <f>(K1571-Inputs!$D$13)/Inputs!$D$10</f>
        <v>7.7152635181382614</v>
      </c>
      <c r="L1572" s="28">
        <f>(L1571-Inputs!$D$13)/Inputs!$D$10</f>
        <v>8.7145790554414777</v>
      </c>
      <c r="M1572" s="28">
        <f>(M1571-Inputs!$D$13)/Inputs!$D$10</f>
        <v>9.716632443531827</v>
      </c>
    </row>
    <row r="1573" spans="1:13" ht="15" customHeight="1" x14ac:dyDescent="0.2">
      <c r="A1573" s="91"/>
      <c r="B1573" s="10" t="s">
        <v>889</v>
      </c>
      <c r="C1573" s="10" t="s">
        <v>107</v>
      </c>
      <c r="D1573" s="28">
        <f>D1572</f>
        <v>0.71457905544147848</v>
      </c>
      <c r="E1573" s="28">
        <f>Inputs!$D$7</f>
        <v>1</v>
      </c>
      <c r="F1573" s="28">
        <f>Inputs!$D$7</f>
        <v>1</v>
      </c>
      <c r="G1573" s="28">
        <f>Inputs!$D$7</f>
        <v>1</v>
      </c>
      <c r="H1573" s="28">
        <f>Inputs!$D$7</f>
        <v>1</v>
      </c>
      <c r="I1573" s="28">
        <f>Inputs!$D$7</f>
        <v>1</v>
      </c>
      <c r="J1573" s="28">
        <f>Inputs!$D$7</f>
        <v>1</v>
      </c>
      <c r="K1573" s="28">
        <f>Inputs!$D$7</f>
        <v>1</v>
      </c>
      <c r="L1573" s="28">
        <f>Inputs!$D$7</f>
        <v>1</v>
      </c>
      <c r="M1573" s="28">
        <f>Inputs!$D$7</f>
        <v>1</v>
      </c>
    </row>
    <row r="1574" spans="1:13" ht="15" customHeight="1" x14ac:dyDescent="0.2">
      <c r="A1574" s="91"/>
      <c r="B1574" s="3" t="s">
        <v>890</v>
      </c>
      <c r="C1574" s="10" t="s">
        <v>199</v>
      </c>
      <c r="D1574" s="28">
        <f>Inputs!$D$24+(Inputs!$D$80-Inputs!$D$24)*Inputs!$D$83</f>
        <v>305.5</v>
      </c>
      <c r="E1574" s="28">
        <f>Inputs!$D$24+(Inputs!$D$80-Inputs!$D$24)*Inputs!$D$84</f>
        <v>651.5</v>
      </c>
      <c r="F1574" s="28">
        <f>Inputs!$D$24+(Inputs!$D$80-Inputs!$D$24)*Inputs!$D$85</f>
        <v>911</v>
      </c>
      <c r="G1574" s="28">
        <f>Inputs!$D$24+(Inputs!$D$80-Inputs!$D$24)*Inputs!$D$86</f>
        <v>911</v>
      </c>
      <c r="H1574" s="28">
        <f>Inputs!$D$24+(Inputs!$D$80-Inputs!$D$24)*Inputs!$D$87</f>
        <v>911</v>
      </c>
      <c r="I1574" s="28">
        <f>Inputs!$D$24+(Inputs!$D$80-Inputs!$D$24)*Inputs!$D$88</f>
        <v>911</v>
      </c>
      <c r="J1574" s="28">
        <f>Inputs!$D$24+(Inputs!$D$80-Inputs!$D$24)*Inputs!$D$89</f>
        <v>911</v>
      </c>
      <c r="K1574" s="28">
        <f>Inputs!$D$24+(Inputs!$D$80-Inputs!$D$24)*Inputs!$D$90</f>
        <v>911</v>
      </c>
      <c r="L1574" s="28">
        <f>Inputs!$D$24+(Inputs!$D$80-Inputs!$D$24)*Inputs!$D$91</f>
        <v>911</v>
      </c>
      <c r="M1574" s="28">
        <f>Inputs!$D$24+(Inputs!$D$80-Inputs!$D$24)*Inputs!$D$92</f>
        <v>911</v>
      </c>
    </row>
    <row r="1575" spans="1:13" ht="15" customHeight="1" x14ac:dyDescent="0.2">
      <c r="A1575" s="91"/>
      <c r="B1575" s="10" t="s">
        <v>891</v>
      </c>
      <c r="C1575" s="10" t="s">
        <v>199</v>
      </c>
      <c r="D1575" s="28">
        <f>Inputs!$D$24</f>
        <v>46</v>
      </c>
      <c r="E1575" s="28">
        <f t="shared" ref="E1575:M1575" si="340">D1574</f>
        <v>305.5</v>
      </c>
      <c r="F1575" s="28">
        <f t="shared" si="340"/>
        <v>651.5</v>
      </c>
      <c r="G1575" s="28">
        <f t="shared" si="340"/>
        <v>911</v>
      </c>
      <c r="H1575" s="28">
        <f t="shared" si="340"/>
        <v>911</v>
      </c>
      <c r="I1575" s="28">
        <f t="shared" si="340"/>
        <v>911</v>
      </c>
      <c r="J1575" s="28">
        <f t="shared" si="340"/>
        <v>911</v>
      </c>
      <c r="K1575" s="28">
        <f t="shared" si="340"/>
        <v>911</v>
      </c>
      <c r="L1575" s="28">
        <f t="shared" si="340"/>
        <v>911</v>
      </c>
      <c r="M1575" s="28">
        <f t="shared" si="340"/>
        <v>911</v>
      </c>
    </row>
    <row r="1576" spans="1:13" ht="15" customHeight="1" x14ac:dyDescent="0.2">
      <c r="B1576" s="10" t="s">
        <v>892</v>
      </c>
      <c r="C1576" s="10" t="s">
        <v>199</v>
      </c>
      <c r="D1576" s="28">
        <f>(D1575+D1574)*Inputs!$D$12</f>
        <v>175.75</v>
      </c>
      <c r="E1576" s="28">
        <f>(E1575+E1574)*Inputs!$D$12</f>
        <v>478.5</v>
      </c>
      <c r="F1576" s="28">
        <f>(F1575+F1574)*Inputs!$D$12</f>
        <v>781.25</v>
      </c>
      <c r="G1576" s="28">
        <f>(G1575+G1574)*Inputs!$D$12</f>
        <v>911</v>
      </c>
      <c r="H1576" s="28">
        <f>(H1575+H1574)*Inputs!$D$12</f>
        <v>911</v>
      </c>
      <c r="I1576" s="28">
        <f>(I1575+I1574)*Inputs!$D$12</f>
        <v>911</v>
      </c>
      <c r="J1576" s="28">
        <f>(J1575+J1574)*Inputs!$D$12</f>
        <v>911</v>
      </c>
      <c r="K1576" s="28">
        <f>(K1575+K1574)*Inputs!$D$12</f>
        <v>911</v>
      </c>
      <c r="L1576" s="28">
        <f>(L1575+L1574)*Inputs!$D$12</f>
        <v>911</v>
      </c>
      <c r="M1576" s="28">
        <f>(M1575+M1574)*Inputs!$D$12</f>
        <v>911</v>
      </c>
    </row>
    <row r="1577" spans="1:13" ht="15" customHeight="1" x14ac:dyDescent="0.2">
      <c r="B1577" s="10" t="s">
        <v>893</v>
      </c>
      <c r="C1577" s="10" t="s">
        <v>199</v>
      </c>
      <c r="D1577" s="28">
        <f t="shared" ref="D1577:M1577" si="341">D1574-D1575</f>
        <v>259.5</v>
      </c>
      <c r="E1577" s="28">
        <f t="shared" si="341"/>
        <v>346</v>
      </c>
      <c r="F1577" s="28">
        <f t="shared" si="341"/>
        <v>259.5</v>
      </c>
      <c r="G1577" s="28">
        <f t="shared" si="341"/>
        <v>0</v>
      </c>
      <c r="H1577" s="28">
        <f t="shared" si="341"/>
        <v>0</v>
      </c>
      <c r="I1577" s="28">
        <f t="shared" si="341"/>
        <v>0</v>
      </c>
      <c r="J1577" s="28">
        <f t="shared" si="341"/>
        <v>0</v>
      </c>
      <c r="K1577" s="28">
        <f t="shared" si="341"/>
        <v>0</v>
      </c>
      <c r="L1577" s="28">
        <f t="shared" si="341"/>
        <v>0</v>
      </c>
      <c r="M1577" s="28">
        <f t="shared" si="341"/>
        <v>0</v>
      </c>
    </row>
    <row r="1578" spans="1:13" ht="15" customHeight="1" x14ac:dyDescent="0.2">
      <c r="B1578" s="10" t="s">
        <v>894</v>
      </c>
      <c r="C1578" s="10" t="s">
        <v>199</v>
      </c>
      <c r="D1578" s="28">
        <f>IF(MOD(D1570,Inputs!$D$21)=Inputs!$D$6,Inputs!$D$24,Inputs!$D$6)+SUMPRODUCT(--(D1570&gt;$D$1570:$M$1570),--(MOD(D1570-$D$1570:$M$1570,Inputs!$D$21)=Inputs!$D$6),$D$1577:$M$1577)</f>
        <v>0</v>
      </c>
      <c r="E1578" s="28">
        <f>IF(MOD(E1570,Inputs!$D$21)=Inputs!$D$6,Inputs!$D$24,Inputs!$D$6)+SUMPRODUCT(--(E1570&gt;$D$1570:$M$1570),--(MOD(E1570-$D$1570:$M$1570,Inputs!$D$21)=Inputs!$D$6),$D$1577:$M$1577)</f>
        <v>0</v>
      </c>
      <c r="F1578" s="28">
        <f>IF(MOD(F1570,Inputs!$D$21)=Inputs!$D$6,Inputs!$D$24,Inputs!$D$6)+SUMPRODUCT(--(F1570&gt;$D$1570:$M$1570),--(MOD(F1570-$D$1570:$M$1570,Inputs!$D$21)=Inputs!$D$6),$D$1577:$M$1577)</f>
        <v>0</v>
      </c>
      <c r="G1578" s="28">
        <f>IF(MOD(G1570,Inputs!$D$21)=Inputs!$D$6,Inputs!$D$24,Inputs!$D$6)+SUMPRODUCT(--(G1570&gt;$D$1570:$M$1570),--(MOD(G1570-$D$1570:$M$1570,Inputs!$D$21)=Inputs!$D$6),$D$1577:$M$1577)</f>
        <v>46</v>
      </c>
      <c r="H1578" s="28">
        <f>IF(MOD(H1570,Inputs!$D$21)=Inputs!$D$6,Inputs!$D$24,Inputs!$D$6)+SUMPRODUCT(--(H1570&gt;$D$1570:$M$1570),--(MOD(H1570-$D$1570:$M$1570,Inputs!$D$21)=Inputs!$D$6),$D$1577:$M$1577)</f>
        <v>259.5</v>
      </c>
      <c r="I1578" s="28">
        <f>IF(MOD(I1570,Inputs!$D$21)=Inputs!$D$6,Inputs!$D$24,Inputs!$D$6)+SUMPRODUCT(--(I1570&gt;$D$1570:$M$1570),--(MOD(I1570-$D$1570:$M$1570,Inputs!$D$21)=Inputs!$D$6),$D$1577:$M$1577)</f>
        <v>346</v>
      </c>
      <c r="J1578" s="28">
        <f>IF(MOD(J1570,Inputs!$D$21)=Inputs!$D$6,Inputs!$D$24,Inputs!$D$6)+SUMPRODUCT(--(J1570&gt;$D$1570:$M$1570),--(MOD(J1570-$D$1570:$M$1570,Inputs!$D$21)=Inputs!$D$6),$D$1577:$M$1577)</f>
        <v>259.5</v>
      </c>
      <c r="K1578" s="28">
        <f>IF(MOD(K1570,Inputs!$D$21)=Inputs!$D$6,Inputs!$D$24,Inputs!$D$6)+SUMPRODUCT(--(K1570&gt;$D$1570:$M$1570),--(MOD(K1570-$D$1570:$M$1570,Inputs!$D$21)=Inputs!$D$6),$D$1577:$M$1577)</f>
        <v>46</v>
      </c>
      <c r="L1578" s="28">
        <f>IF(MOD(L1570,Inputs!$D$21)=Inputs!$D$6,Inputs!$D$24,Inputs!$D$6)+SUMPRODUCT(--(L1570&gt;$D$1570:$M$1570),--(MOD(L1570-$D$1570:$M$1570,Inputs!$D$21)=Inputs!$D$6),$D$1577:$M$1577)</f>
        <v>259.5</v>
      </c>
      <c r="M1578" s="28">
        <f>IF(MOD(M1570,Inputs!$D$21)=Inputs!$D$6,Inputs!$D$24,Inputs!$D$6)+SUMPRODUCT(--(M1570&gt;$D$1570:$M$1570),--(MOD(M1570-$D$1570:$M$1570,Inputs!$D$21)=Inputs!$D$6),$D$1577:$M$1577)</f>
        <v>346</v>
      </c>
    </row>
    <row r="1579" spans="1:13" ht="15" customHeight="1" x14ac:dyDescent="0.2">
      <c r="B1579" s="10" t="s">
        <v>895</v>
      </c>
      <c r="C1579" s="10" t="s">
        <v>896</v>
      </c>
      <c r="D1579" s="28">
        <f t="shared" ref="D1579:M1579" si="342">D1576*D1573</f>
        <v>125.58726899383984</v>
      </c>
      <c r="E1579" s="28">
        <f t="shared" si="342"/>
        <v>478.5</v>
      </c>
      <c r="F1579" s="28">
        <f t="shared" si="342"/>
        <v>781.25</v>
      </c>
      <c r="G1579" s="28">
        <f t="shared" si="342"/>
        <v>911</v>
      </c>
      <c r="H1579" s="28">
        <f t="shared" si="342"/>
        <v>911</v>
      </c>
      <c r="I1579" s="28">
        <f t="shared" si="342"/>
        <v>911</v>
      </c>
      <c r="J1579" s="28">
        <f t="shared" si="342"/>
        <v>911</v>
      </c>
      <c r="K1579" s="28">
        <f t="shared" si="342"/>
        <v>911</v>
      </c>
      <c r="L1579" s="28">
        <f t="shared" si="342"/>
        <v>911</v>
      </c>
      <c r="M1579" s="28">
        <f t="shared" si="342"/>
        <v>911</v>
      </c>
    </row>
    <row r="1580" spans="1:13" ht="15" customHeight="1" x14ac:dyDescent="0.2">
      <c r="B1580" s="10" t="s">
        <v>897</v>
      </c>
      <c r="C1580" s="10" t="s">
        <v>110</v>
      </c>
      <c r="D1580" s="16">
        <f>D1579*($D$1599/Inputs!$D$21+$D$1600/Inputs!$D$22)</f>
        <v>1816.9772859324419</v>
      </c>
      <c r="E1580" s="16">
        <f>E1579*($D$1599/Inputs!$D$21+$D$1600/Inputs!$D$22)</f>
        <v>6922.8643817497086</v>
      </c>
      <c r="F1580" s="16">
        <f>F1579*($D$1599/Inputs!$D$21+$D$1600/Inputs!$D$22)</f>
        <v>11303.0048030135</v>
      </c>
      <c r="G1580" s="16">
        <f>G1579*($D$1599/Inputs!$D$21+$D$1600/Inputs!$D$22)</f>
        <v>13180.207840697982</v>
      </c>
      <c r="H1580" s="16">
        <f>H1579*($D$1599/Inputs!$D$21+$D$1600/Inputs!$D$22)</f>
        <v>13180.207840697982</v>
      </c>
      <c r="I1580" s="16">
        <f>I1579*($D$1599/Inputs!$D$21+$D$1600/Inputs!$D$22)</f>
        <v>13180.207840697982</v>
      </c>
      <c r="J1580" s="16">
        <f>J1579*($D$1599/Inputs!$D$21+$D$1600/Inputs!$D$22)</f>
        <v>13180.207840697982</v>
      </c>
      <c r="K1580" s="16">
        <f>K1579*($D$1599/Inputs!$D$21+$D$1600/Inputs!$D$22)</f>
        <v>13180.207840697982</v>
      </c>
      <c r="L1580" s="16">
        <f>L1579*($D$1599/Inputs!$D$21+$D$1600/Inputs!$D$22)</f>
        <v>13180.207840697982</v>
      </c>
      <c r="M1580" s="16">
        <f>M1579*($D$1599/Inputs!$D$21+$D$1600/Inputs!$D$22)</f>
        <v>13180.207840697982</v>
      </c>
    </row>
    <row r="1581" spans="1:13" ht="15" customHeight="1" x14ac:dyDescent="0.2">
      <c r="B1581" s="10" t="s">
        <v>898</v>
      </c>
      <c r="C1581" s="10" t="s">
        <v>110</v>
      </c>
      <c r="D1581" s="16">
        <f t="shared" ref="D1581:M1581" si="343">D1577*($D$1599+$D$1600)</f>
        <v>15560.968620146154</v>
      </c>
      <c r="E1581" s="16">
        <f t="shared" si="343"/>
        <v>20747.95816019487</v>
      </c>
      <c r="F1581" s="16">
        <f t="shared" si="343"/>
        <v>15560.968620146154</v>
      </c>
      <c r="G1581" s="16">
        <f t="shared" si="343"/>
        <v>0</v>
      </c>
      <c r="H1581" s="16">
        <f t="shared" si="343"/>
        <v>0</v>
      </c>
      <c r="I1581" s="16">
        <f t="shared" si="343"/>
        <v>0</v>
      </c>
      <c r="J1581" s="16">
        <f t="shared" si="343"/>
        <v>0</v>
      </c>
      <c r="K1581" s="16">
        <f t="shared" si="343"/>
        <v>0</v>
      </c>
      <c r="L1581" s="16">
        <f t="shared" si="343"/>
        <v>0</v>
      </c>
      <c r="M1581" s="16">
        <f t="shared" si="343"/>
        <v>0</v>
      </c>
    </row>
    <row r="1582" spans="1:13" ht="15" customHeight="1" x14ac:dyDescent="0.2">
      <c r="B1582" s="10" t="s">
        <v>899</v>
      </c>
      <c r="C1582" s="10" t="s">
        <v>110</v>
      </c>
      <c r="D1582" s="16">
        <f t="shared" ref="D1582:M1582" si="344">D1578*$D$1599</f>
        <v>0</v>
      </c>
      <c r="E1582" s="16">
        <f t="shared" si="344"/>
        <v>0</v>
      </c>
      <c r="F1582" s="16">
        <f t="shared" si="344"/>
        <v>0</v>
      </c>
      <c r="G1582" s="16">
        <f t="shared" si="344"/>
        <v>2638.0048485671714</v>
      </c>
      <c r="H1582" s="16">
        <f t="shared" si="344"/>
        <v>14881.788221808281</v>
      </c>
      <c r="I1582" s="16">
        <f t="shared" si="344"/>
        <v>19842.384295744378</v>
      </c>
      <c r="J1582" s="16">
        <f t="shared" si="344"/>
        <v>14881.788221808281</v>
      </c>
      <c r="K1582" s="16">
        <f t="shared" si="344"/>
        <v>2638.0048485671714</v>
      </c>
      <c r="L1582" s="16">
        <f t="shared" si="344"/>
        <v>14881.788221808281</v>
      </c>
      <c r="M1582" s="16">
        <f t="shared" si="344"/>
        <v>19842.384295744378</v>
      </c>
    </row>
    <row r="1583" spans="1:13" ht="15" customHeight="1" x14ac:dyDescent="0.2">
      <c r="B1583" s="10" t="s">
        <v>900</v>
      </c>
      <c r="C1583" s="10" t="s">
        <v>199</v>
      </c>
      <c r="D1583" s="28">
        <f>D1577*Inputs!$D$23</f>
        <v>6.4875000000000007</v>
      </c>
      <c r="E1583" s="28">
        <f>E1577*Inputs!$D$23</f>
        <v>8.65</v>
      </c>
      <c r="F1583" s="28">
        <f>F1577*Inputs!$D$23</f>
        <v>6.4875000000000007</v>
      </c>
      <c r="G1583" s="28">
        <f>G1577*Inputs!$D$23</f>
        <v>0</v>
      </c>
      <c r="H1583" s="28">
        <f>H1577*Inputs!$D$23</f>
        <v>0</v>
      </c>
      <c r="I1583" s="28">
        <f>I1577*Inputs!$D$23</f>
        <v>0</v>
      </c>
      <c r="J1583" s="28">
        <f>J1577*Inputs!$D$23</f>
        <v>0</v>
      </c>
      <c r="K1583" s="28">
        <f>K1577*Inputs!$D$23</f>
        <v>0</v>
      </c>
      <c r="L1583" s="28">
        <f>L1577*Inputs!$D$23</f>
        <v>0</v>
      </c>
      <c r="M1583" s="28">
        <f>M1577*Inputs!$D$23</f>
        <v>0</v>
      </c>
    </row>
    <row r="1584" spans="1:13" ht="15" customHeight="1" x14ac:dyDescent="0.2">
      <c r="B1584" s="3" t="s">
        <v>901</v>
      </c>
      <c r="C1584" s="10" t="s">
        <v>896</v>
      </c>
      <c r="D1584" s="28">
        <f>(D1579*$D$1597*(Inputs!$D$7-Inputs!$D$19)-D1583)/(Inputs!$D$7+$D$1598)^D1572</f>
        <v>42.660653925152452</v>
      </c>
      <c r="E1584" s="28">
        <f>(E1579*$D$1597*(Inputs!$D$7-Inputs!$D$19)-E1583)/(Inputs!$D$7+$D$1598)^E1572</f>
        <v>158.31978659613881</v>
      </c>
      <c r="F1584" s="28">
        <f>(F1579*$D$1597*(Inputs!$D$7-Inputs!$D$19)-F1583)/(Inputs!$D$7+$D$1598)^F1572</f>
        <v>236.42483167794978</v>
      </c>
      <c r="G1584" s="28">
        <f>(G1579*$D$1597*(Inputs!$D$7-Inputs!$D$19)-G1583)/(Inputs!$D$7+$D$1598)^G1572</f>
        <v>251.13644561931974</v>
      </c>
      <c r="H1584" s="28">
        <f>(H1579*$D$1597*(Inputs!$D$7-Inputs!$D$19)-H1583)/(Inputs!$D$7+$D$1598)^H1572</f>
        <v>224.24636325224728</v>
      </c>
      <c r="I1584" s="28">
        <f>(I1579*$D$1597*(Inputs!$D$7-Inputs!$D$19)-I1583)/(Inputs!$D$7+$D$1598)^I1572</f>
        <v>200.17337986771702</v>
      </c>
      <c r="J1584" s="28">
        <f>(J1579*$D$1597*(Inputs!$D$7-Inputs!$D$19)-J1583)/(Inputs!$D$7+$D$1598)^J1572</f>
        <v>178.74009622358432</v>
      </c>
      <c r="K1584" s="28">
        <f>(K1579*$D$1597*(Inputs!$D$7-Inputs!$D$19)-K1583)/(Inputs!$D$7+$D$1598)^K1572</f>
        <v>159.60175133740944</v>
      </c>
      <c r="L1584" s="28">
        <f>(L1579*$D$1597*(Inputs!$D$7-Inputs!$D$19)-L1583)/(Inputs!$D$7+$D$1598)^L1572</f>
        <v>142.5126178633399</v>
      </c>
      <c r="M1584" s="28">
        <f>(M1579*$D$1597*(Inputs!$D$7-Inputs!$D$19)-M1583)/(Inputs!$D$7+$D$1598)^M1572</f>
        <v>127.21380172133185</v>
      </c>
    </row>
    <row r="1585" spans="2:13" ht="15" customHeight="1" x14ac:dyDescent="0.2">
      <c r="B1585" s="10" t="s">
        <v>902</v>
      </c>
      <c r="C1585" s="10" t="s">
        <v>110</v>
      </c>
      <c r="D1585" s="16">
        <f>(D1580*Inputs!$D$19-D1581-D1582)/(Inputs!$D$7+$D$1598)^D1572</f>
        <v>-13847.790632947557</v>
      </c>
      <c r="E1585" s="16">
        <f>(E1580*Inputs!$D$19-E1581-E1582)/(Inputs!$D$7+$D$1598)^E1572</f>
        <v>-15370.239105459035</v>
      </c>
      <c r="F1585" s="16">
        <f>(F1580*Inputs!$D$19-F1581-F1582)/(Inputs!$D$7+$D$1598)^F1572</f>
        <v>-8945.8041564234754</v>
      </c>
      <c r="G1585" s="16">
        <f>(G1580*Inputs!$D$19-G1581-G1582)/(Inputs!$D$7+$D$1598)^G1572</f>
        <v>863.80744262020482</v>
      </c>
      <c r="H1585" s="16">
        <f>(H1580*Inputs!$D$19-H1581-H1582)/(Inputs!$D$7+$D$1598)^H1572</f>
        <v>-6404.5339628745278</v>
      </c>
      <c r="I1585" s="16">
        <f>(I1580*Inputs!$D$19-I1581-I1582)/(Inputs!$D$7+$D$1598)^I1572</f>
        <v>-8312.2134333380691</v>
      </c>
      <c r="J1585" s="16">
        <f>(J1580*Inputs!$D$19-J1581-J1582)/(Inputs!$D$7+$D$1598)^J1572</f>
        <v>-5104.8632414329013</v>
      </c>
      <c r="K1585" s="16">
        <f>(K1580*Inputs!$D$19-K1581-K1582)/(Inputs!$D$7+$D$1598)^K1572</f>
        <v>548.96524604578394</v>
      </c>
      <c r="L1585" s="16">
        <f>(L1580*Inputs!$D$19-L1581-L1582)/(Inputs!$D$7+$D$1598)^L1572</f>
        <v>-4070.1971171644977</v>
      </c>
      <c r="M1585" s="16">
        <f>(M1580*Inputs!$D$19-M1581-M1582)/(Inputs!$D$7+$D$1598)^M1572</f>
        <v>-5282.5619084458349</v>
      </c>
    </row>
    <row r="1586" spans="2:13" ht="15" customHeight="1" x14ac:dyDescent="0.2">
      <c r="B1586" s="10" t="s">
        <v>903</v>
      </c>
      <c r="C1586" s="10" t="s">
        <v>110</v>
      </c>
      <c r="D1586" s="16">
        <f t="shared" ref="D1586:M1586" si="345">D1579*$D$1596</f>
        <v>5669.0670595744223</v>
      </c>
      <c r="E1586" s="16">
        <f t="shared" si="345"/>
        <v>21599.709984452475</v>
      </c>
      <c r="F1586" s="16">
        <f t="shared" si="345"/>
        <v>35265.984170017757</v>
      </c>
      <c r="G1586" s="16">
        <f t="shared" si="345"/>
        <v>41122.958820974301</v>
      </c>
      <c r="H1586" s="16">
        <f t="shared" si="345"/>
        <v>41122.958820974301</v>
      </c>
      <c r="I1586" s="16">
        <f t="shared" si="345"/>
        <v>41122.958820974301</v>
      </c>
      <c r="J1586" s="16">
        <f t="shared" si="345"/>
        <v>41122.958820974301</v>
      </c>
      <c r="K1586" s="16">
        <f t="shared" si="345"/>
        <v>41122.958820974301</v>
      </c>
      <c r="L1586" s="16">
        <f t="shared" si="345"/>
        <v>41122.958820974301</v>
      </c>
      <c r="M1586" s="16">
        <f t="shared" si="345"/>
        <v>41122.958820974301</v>
      </c>
    </row>
    <row r="1587" spans="2:13" ht="15" customHeight="1" x14ac:dyDescent="0.2">
      <c r="B1587" s="10" t="s">
        <v>904</v>
      </c>
      <c r="C1587" s="10" t="s">
        <v>110</v>
      </c>
      <c r="D1587" s="16">
        <f t="shared" ref="D1587:M1587" si="346">D1586*$D$1597</f>
        <v>3401.4402357446534</v>
      </c>
      <c r="E1587" s="16">
        <f t="shared" si="346"/>
        <v>12959.825990671485</v>
      </c>
      <c r="F1587" s="16">
        <f t="shared" si="346"/>
        <v>21159.590502010655</v>
      </c>
      <c r="G1587" s="16">
        <f t="shared" si="346"/>
        <v>24673.775292584582</v>
      </c>
      <c r="H1587" s="16">
        <f t="shared" si="346"/>
        <v>24673.775292584582</v>
      </c>
      <c r="I1587" s="16">
        <f t="shared" si="346"/>
        <v>24673.775292584582</v>
      </c>
      <c r="J1587" s="16">
        <f t="shared" si="346"/>
        <v>24673.775292584582</v>
      </c>
      <c r="K1587" s="16">
        <f t="shared" si="346"/>
        <v>24673.775292584582</v>
      </c>
      <c r="L1587" s="16">
        <f t="shared" si="346"/>
        <v>24673.775292584582</v>
      </c>
      <c r="M1587" s="16">
        <f t="shared" si="346"/>
        <v>24673.775292584582</v>
      </c>
    </row>
    <row r="1588" spans="2:13" ht="15" customHeight="1" x14ac:dyDescent="0.2">
      <c r="B1588" s="10" t="s">
        <v>905</v>
      </c>
      <c r="C1588" s="10" t="s">
        <v>110</v>
      </c>
      <c r="D1588" s="16">
        <f t="shared" ref="D1588:M1588" si="347">D1587-D1580</f>
        <v>1584.4629498122115</v>
      </c>
      <c r="E1588" s="16">
        <f t="shared" si="347"/>
        <v>6036.9616089217761</v>
      </c>
      <c r="F1588" s="16">
        <f t="shared" si="347"/>
        <v>9856.5856989971544</v>
      </c>
      <c r="G1588" s="16">
        <f t="shared" si="347"/>
        <v>11493.5674518866</v>
      </c>
      <c r="H1588" s="16">
        <f t="shared" si="347"/>
        <v>11493.5674518866</v>
      </c>
      <c r="I1588" s="16">
        <f t="shared" si="347"/>
        <v>11493.5674518866</v>
      </c>
      <c r="J1588" s="16">
        <f t="shared" si="347"/>
        <v>11493.5674518866</v>
      </c>
      <c r="K1588" s="16">
        <f t="shared" si="347"/>
        <v>11493.5674518866</v>
      </c>
      <c r="L1588" s="16">
        <f t="shared" si="347"/>
        <v>11493.5674518866</v>
      </c>
      <c r="M1588" s="16">
        <f t="shared" si="347"/>
        <v>11493.5674518866</v>
      </c>
    </row>
    <row r="1589" spans="2:13" ht="15" customHeight="1" x14ac:dyDescent="0.2">
      <c r="B1589" s="10" t="s">
        <v>906</v>
      </c>
      <c r="C1589" s="10" t="s">
        <v>110</v>
      </c>
      <c r="D1589" s="16">
        <f>MAX(D1588,Inputs!$D$6)*Inputs!$D$19</f>
        <v>475.3388849436634</v>
      </c>
      <c r="E1589" s="16">
        <f>MAX(E1588,Inputs!$D$6)*Inputs!$D$19</f>
        <v>1811.0884826765327</v>
      </c>
      <c r="F1589" s="16">
        <f>MAX(F1588,Inputs!$D$6)*Inputs!$D$19</f>
        <v>2956.9757096991461</v>
      </c>
      <c r="G1589" s="16">
        <f>MAX(G1588,Inputs!$D$6)*Inputs!$D$19</f>
        <v>3448.0702355659801</v>
      </c>
      <c r="H1589" s="16">
        <f>MAX(H1588,Inputs!$D$6)*Inputs!$D$19</f>
        <v>3448.0702355659801</v>
      </c>
      <c r="I1589" s="16">
        <f>MAX(I1588,Inputs!$D$6)*Inputs!$D$19</f>
        <v>3448.0702355659801</v>
      </c>
      <c r="J1589" s="16">
        <f>MAX(J1588,Inputs!$D$6)*Inputs!$D$19</f>
        <v>3448.0702355659801</v>
      </c>
      <c r="K1589" s="16">
        <f>MAX(K1588,Inputs!$D$6)*Inputs!$D$19</f>
        <v>3448.0702355659801</v>
      </c>
      <c r="L1589" s="16">
        <f>MAX(L1588,Inputs!$D$6)*Inputs!$D$19</f>
        <v>3448.0702355659801</v>
      </c>
      <c r="M1589" s="16">
        <f>MAX(M1588,Inputs!$D$6)*Inputs!$D$19</f>
        <v>3448.0702355659801</v>
      </c>
    </row>
    <row r="1590" spans="2:13" ht="15" customHeight="1" x14ac:dyDescent="0.2">
      <c r="B1590" s="10" t="s">
        <v>907</v>
      </c>
      <c r="C1590" s="10" t="s">
        <v>110</v>
      </c>
      <c r="D1590" s="16">
        <f t="shared" ref="D1590:M1590" si="348">D1583*$D$1596</f>
        <v>292.84873254782747</v>
      </c>
      <c r="E1590" s="16">
        <f t="shared" si="348"/>
        <v>390.4649767304366</v>
      </c>
      <c r="F1590" s="16">
        <f t="shared" si="348"/>
        <v>292.84873254782747</v>
      </c>
      <c r="G1590" s="16">
        <f t="shared" si="348"/>
        <v>0</v>
      </c>
      <c r="H1590" s="16">
        <f t="shared" si="348"/>
        <v>0</v>
      </c>
      <c r="I1590" s="16">
        <f t="shared" si="348"/>
        <v>0</v>
      </c>
      <c r="J1590" s="16">
        <f t="shared" si="348"/>
        <v>0</v>
      </c>
      <c r="K1590" s="16">
        <f t="shared" si="348"/>
        <v>0</v>
      </c>
      <c r="L1590" s="16">
        <f t="shared" si="348"/>
        <v>0</v>
      </c>
      <c r="M1590" s="16">
        <f t="shared" si="348"/>
        <v>0</v>
      </c>
    </row>
    <row r="1591" spans="2:13" ht="15" customHeight="1" x14ac:dyDescent="0.2">
      <c r="B1591" s="10" t="s">
        <v>908</v>
      </c>
      <c r="C1591" s="10" t="s">
        <v>110</v>
      </c>
      <c r="D1591" s="16">
        <f t="shared" ref="D1591:M1591" si="349">D1587-D1589-D1581-D1582-D1590</f>
        <v>-12927.71600189299</v>
      </c>
      <c r="E1591" s="16">
        <f t="shared" si="349"/>
        <v>-9989.6856289303541</v>
      </c>
      <c r="F1591" s="16">
        <f t="shared" si="349"/>
        <v>2348.7974396175287</v>
      </c>
      <c r="G1591" s="16">
        <f t="shared" si="349"/>
        <v>18587.700208451428</v>
      </c>
      <c r="H1591" s="16">
        <f t="shared" si="349"/>
        <v>6343.9168352103188</v>
      </c>
      <c r="I1591" s="16">
        <f t="shared" si="349"/>
        <v>1383.3207612742226</v>
      </c>
      <c r="J1591" s="16">
        <f t="shared" si="349"/>
        <v>6343.9168352103188</v>
      </c>
      <c r="K1591" s="16">
        <f t="shared" si="349"/>
        <v>18587.700208451428</v>
      </c>
      <c r="L1591" s="16">
        <f t="shared" si="349"/>
        <v>6343.9168352103188</v>
      </c>
      <c r="M1591" s="16">
        <f t="shared" si="349"/>
        <v>1383.3207612742226</v>
      </c>
    </row>
    <row r="1592" spans="2:13" ht="15" customHeight="1" x14ac:dyDescent="0.2">
      <c r="B1592" s="10" t="s">
        <v>909</v>
      </c>
      <c r="C1592" s="10" t="s">
        <v>110</v>
      </c>
      <c r="D1592" s="16">
        <f>D1591/(Inputs!$D$7+$D$1598)^D1572</f>
        <v>-11922.069102058556</v>
      </c>
      <c r="E1592" s="16">
        <f>E1591/(Inputs!$D$7+$D$1598)^E1572</f>
        <v>-8223.611152947009</v>
      </c>
      <c r="F1592" s="16">
        <f>F1591/(Inputs!$D$7+$D$1598)^F1572</f>
        <v>1726.5214389092491</v>
      </c>
      <c r="G1592" s="16">
        <f>G1591/(Inputs!$D$7+$D$1598)^G1572</f>
        <v>12200.222054748785</v>
      </c>
      <c r="H1592" s="16">
        <f>H1591/(Inputs!$D$7+$D$1598)^H1572</f>
        <v>3718.0499688218601</v>
      </c>
      <c r="I1592" s="16">
        <f>I1591/(Inputs!$D$7+$D$1598)^I1572</f>
        <v>723.70496112446926</v>
      </c>
      <c r="J1592" s="16">
        <f>J1591/(Inputs!$D$7+$D$1598)^J1572</f>
        <v>2963.546875646618</v>
      </c>
      <c r="K1592" s="16">
        <f>K1591/(Inputs!$D$7+$D$1598)^K1572</f>
        <v>7753.4616763461872</v>
      </c>
      <c r="L1592" s="16">
        <f>L1591/(Inputs!$D$7+$D$1598)^L1572</f>
        <v>2362.8879715988105</v>
      </c>
      <c r="M1592" s="16">
        <f>M1591/(Inputs!$D$7+$D$1598)^M1572</f>
        <v>459.92758622586581</v>
      </c>
    </row>
    <row r="1593" spans="2:13" ht="15" customHeight="1" x14ac:dyDescent="0.2">
      <c r="B1593" s="3" t="s">
        <v>910</v>
      </c>
      <c r="C1593" s="10" t="s">
        <v>896</v>
      </c>
      <c r="D1593" s="28">
        <f>(D1579*$D$1597-D1583)/(Inputs!$D$7+$D$1598)^D1572</f>
        <v>63.507864509879404</v>
      </c>
      <c r="E1593" s="28">
        <f>(E1579*$D$1597-E1583)/(Inputs!$D$7+$D$1598)^E1572</f>
        <v>229.22288153959471</v>
      </c>
      <c r="F1593" s="28">
        <f>(F1579*$D$1597-F1583)/(Inputs!$D$7+$D$1598)^F1572</f>
        <v>339.79350589880926</v>
      </c>
      <c r="G1593" s="28">
        <f>(G1579*$D$1597-G1583)/(Inputs!$D$7+$D$1598)^G1572</f>
        <v>358.76635088474251</v>
      </c>
      <c r="H1593" s="28">
        <f>(H1579*$D$1597-H1583)/(Inputs!$D$7+$D$1598)^H1572</f>
        <v>320.3519475032104</v>
      </c>
      <c r="I1593" s="28">
        <f>(I1579*$D$1597-I1583)/(Inputs!$D$7+$D$1598)^I1572</f>
        <v>285.96197123959575</v>
      </c>
      <c r="J1593" s="28">
        <f>(J1579*$D$1597-J1583)/(Inputs!$D$7+$D$1598)^J1572</f>
        <v>255.34299460512048</v>
      </c>
      <c r="K1593" s="28">
        <f>(K1579*$D$1597-K1583)/(Inputs!$D$7+$D$1598)^K1572</f>
        <v>228.0025019105849</v>
      </c>
      <c r="L1593" s="28">
        <f>(L1579*$D$1597-L1583)/(Inputs!$D$7+$D$1598)^L1572</f>
        <v>203.58945409048559</v>
      </c>
      <c r="M1593" s="28">
        <f>(M1579*$D$1597-M1583)/(Inputs!$D$7+$D$1598)^M1572</f>
        <v>181.73400245904551</v>
      </c>
    </row>
    <row r="1594" spans="2:13" ht="15" customHeight="1" x14ac:dyDescent="0.2">
      <c r="B1594" s="10" t="s">
        <v>911</v>
      </c>
      <c r="C1594" s="10" t="s">
        <v>110</v>
      </c>
      <c r="D1594" s="16">
        <f>(-D1581-D1582)/(Inputs!$D$7+$D$1598)^D1572</f>
        <v>-14350.481025200577</v>
      </c>
      <c r="E1594" s="16">
        <f>(-E1581-E1582)/(Inputs!$D$7+$D$1598)^E1572</f>
        <v>-17079.930887207098</v>
      </c>
      <c r="F1594" s="16">
        <f>(-F1581-F1582)/(Inputs!$D$7+$D$1598)^F1572</f>
        <v>-11438.340948315768</v>
      </c>
      <c r="G1594" s="16">
        <f>(-G1581-G1582)/(Inputs!$D$7+$D$1598)^G1572</f>
        <v>-1731.4807411941122</v>
      </c>
      <c r="H1594" s="16">
        <f>(-H1581-H1582)/(Inputs!$D$7+$D$1598)^H1572</f>
        <v>-8721.9353076959778</v>
      </c>
      <c r="I1594" s="16">
        <f>(-I1581-I1582)/(Inputs!$D$7+$D$1598)^I1572</f>
        <v>-10380.8403353543</v>
      </c>
      <c r="J1594" s="16">
        <f>(-J1581-J1582)/(Inputs!$D$7+$D$1598)^J1572</f>
        <v>-6951.9948218729187</v>
      </c>
      <c r="K1594" s="16">
        <f>(-K1581-K1582)/(Inputs!$D$7+$D$1598)^K1572</f>
        <v>-1100.3873134386547</v>
      </c>
      <c r="L1594" s="16">
        <f>(-L1581-L1582)/(Inputs!$D$7+$D$1598)^L1572</f>
        <v>-5542.947566718196</v>
      </c>
      <c r="M1594" s="16">
        <f>(-M1581-M1582)/(Inputs!$D$7+$D$1598)^M1572</f>
        <v>-6597.2117021517279</v>
      </c>
    </row>
    <row r="1595" spans="2:13" ht="15" customHeight="1" x14ac:dyDescent="0.2">
      <c r="B1595" s="10" t="s">
        <v>912</v>
      </c>
      <c r="C1595" s="10" t="s">
        <v>110</v>
      </c>
      <c r="D1595" s="16">
        <f>Prices!I7</f>
        <v>35754.545454545456</v>
      </c>
    </row>
    <row r="1596" spans="2:13" ht="15" customHeight="1" x14ac:dyDescent="0.2">
      <c r="B1596" s="3" t="s">
        <v>913</v>
      </c>
      <c r="C1596" s="10" t="s">
        <v>914</v>
      </c>
      <c r="D1596" s="28">
        <f>IF(J1603&gt;=J1599,J1603,(D1595-J1602)/J1601)</f>
        <v>45.140459737622727</v>
      </c>
      <c r="G1596" s="99" t="s">
        <v>915</v>
      </c>
      <c r="H1596" s="91"/>
      <c r="I1596" s="91"/>
      <c r="J1596" s="28">
        <f>D1596*Inputs!$D$15</f>
        <v>31.5035268508869</v>
      </c>
      <c r="K1596" s="99" t="s">
        <v>916</v>
      </c>
      <c r="L1596" s="91"/>
      <c r="M1596" s="91"/>
    </row>
    <row r="1597" spans="2:13" ht="15" customHeight="1" x14ac:dyDescent="0.2">
      <c r="B1597" s="10" t="s">
        <v>917</v>
      </c>
      <c r="C1597" s="10" t="s">
        <v>104</v>
      </c>
      <c r="D1597" s="30">
        <f>Inputs!$D$142</f>
        <v>0.6</v>
      </c>
      <c r="G1597" s="99" t="s">
        <v>918</v>
      </c>
      <c r="H1597" s="91"/>
      <c r="I1597" s="91"/>
      <c r="J1597" s="28">
        <f>IF(-D1608/D1607&gt;=J1599,-D1608/D1607,-J1602/J1601)</f>
        <v>33.575423983231723</v>
      </c>
      <c r="K1597" s="99" t="s">
        <v>919</v>
      </c>
      <c r="L1597" s="91"/>
      <c r="M1597" s="91"/>
    </row>
    <row r="1598" spans="2:13" ht="15" customHeight="1" x14ac:dyDescent="0.2">
      <c r="B1598" s="10" t="s">
        <v>920</v>
      </c>
      <c r="C1598" s="10" t="s">
        <v>104</v>
      </c>
      <c r="D1598" s="30">
        <f>Inputs!$D$148</f>
        <v>0.12</v>
      </c>
      <c r="G1598" s="99" t="s">
        <v>918</v>
      </c>
      <c r="H1598" s="91"/>
      <c r="I1598" s="91"/>
      <c r="J1598" s="28">
        <f>J1597*Inputs!$D$15</f>
        <v>23.43228839789742</v>
      </c>
      <c r="K1598" s="99" t="s">
        <v>916</v>
      </c>
      <c r="L1598" s="91"/>
      <c r="M1598" s="91"/>
    </row>
    <row r="1599" spans="2:13" ht="15" customHeight="1" x14ac:dyDescent="0.2">
      <c r="B1599" s="3" t="s">
        <v>921</v>
      </c>
      <c r="C1599" s="10" t="s">
        <v>848</v>
      </c>
      <c r="D1599" s="28">
        <f>Capital!$D$13</f>
        <v>57.347931490590682</v>
      </c>
      <c r="G1599" s="99" t="s">
        <v>922</v>
      </c>
      <c r="H1599" s="91"/>
      <c r="I1599" s="91"/>
      <c r="J1599" s="28">
        <f>($D$1599/Inputs!$D$21+$D$1600/Inputs!$D$22)/$D$1597</f>
        <v>24.113076913095469</v>
      </c>
      <c r="K1599" s="99" t="s">
        <v>919</v>
      </c>
      <c r="L1599" s="91"/>
      <c r="M1599" s="91"/>
    </row>
    <row r="1600" spans="2:13" ht="15" customHeight="1" x14ac:dyDescent="0.2">
      <c r="B1600" s="3" t="s">
        <v>923</v>
      </c>
      <c r="C1600" s="10" t="s">
        <v>848</v>
      </c>
      <c r="D1600" s="28">
        <f>Capital!$D$14</f>
        <v>2.6172655041921802</v>
      </c>
    </row>
    <row r="1601" spans="1:13" ht="15" customHeight="1" x14ac:dyDescent="0.2">
      <c r="B1601" s="10" t="s">
        <v>924</v>
      </c>
      <c r="C1601" s="10" t="s">
        <v>896</v>
      </c>
      <c r="D1601" s="28">
        <f>(M1574*(Inputs!$D$7+Inputs!$D$20)*$D$1597*(Inputs!$D$7-Inputs!$D$19)-M1574*Inputs!$D$20*Inputs!$D$23)/($D$1598-Inputs!$D$20)/(Inputs!$D$7+$D$1598)^M1572</f>
        <v>1370.577268545301</v>
      </c>
      <c r="G1601" s="92" t="s">
        <v>910</v>
      </c>
      <c r="H1601" s="91"/>
      <c r="I1601" s="91"/>
      <c r="J1601" s="28">
        <f>SUM(D1593:M1593)+(M1574*(Inputs!$D$7+Inputs!$D$20)*$D$1597-M1574*Inputs!$D$20*Inputs!$D$23)/($D$1598-Inputs!$D$20)/(Inputs!$D$7+$D$1598)^M1572</f>
        <v>4425.0950143038062</v>
      </c>
      <c r="K1601" s="99" t="s">
        <v>896</v>
      </c>
      <c r="L1601" s="91"/>
      <c r="M1601" s="91"/>
    </row>
    <row r="1602" spans="1:13" ht="15" customHeight="1" x14ac:dyDescent="0.2">
      <c r="B1602" s="10" t="s">
        <v>925</v>
      </c>
      <c r="C1602" s="10" t="s">
        <v>110</v>
      </c>
      <c r="D1602" s="16">
        <f>(D1605*Inputs!$D$19-D1605-D1606)/($D$1598-Inputs!$D$20)/(Inputs!$D$7+$D$1598)^M1572</f>
        <v>-37876.58483194092</v>
      </c>
      <c r="G1602" s="92" t="s">
        <v>926</v>
      </c>
      <c r="H1602" s="91"/>
      <c r="I1602" s="91"/>
      <c r="J1602" s="16">
        <f>SUM(D1594:M1594)-(D1605+D1606)/($D$1598-Inputs!$D$20)/(Inputs!$D$7+$D$1598)^M1572</f>
        <v>-135956.51483423277</v>
      </c>
      <c r="K1602" s="99" t="s">
        <v>110</v>
      </c>
      <c r="L1602" s="91"/>
      <c r="M1602" s="91"/>
    </row>
    <row r="1603" spans="1:13" ht="15" customHeight="1" x14ac:dyDescent="0.2">
      <c r="B1603" s="10" t="s">
        <v>927</v>
      </c>
      <c r="C1603" s="10" t="s">
        <v>928</v>
      </c>
      <c r="D1603" s="16">
        <f>(M1574*(Inputs!$D$7+Inputs!$D$20)*$D$1596*$D$1597-D1605)-MAX((M1574*(Inputs!$D$7+Inputs!$D$20)*$D$1596*$D$1597-D1605),Inputs!$D$6)*Inputs!$D$19-D1606-M1574*Inputs!$D$20*$D$1596*Inputs!$D$23</f>
        <v>6855.2254359093458</v>
      </c>
      <c r="G1603" s="99" t="s">
        <v>929</v>
      </c>
      <c r="H1603" s="91"/>
      <c r="I1603" s="91"/>
      <c r="J1603" s="28">
        <f>(D1595-D1608)/D1607</f>
        <v>45.140459737622727</v>
      </c>
      <c r="K1603" s="99" t="s">
        <v>919</v>
      </c>
      <c r="L1603" s="91"/>
      <c r="M1603" s="91"/>
    </row>
    <row r="1604" spans="1:13" ht="15" customHeight="1" x14ac:dyDescent="0.2">
      <c r="B1604" s="10" t="s">
        <v>930</v>
      </c>
      <c r="C1604" s="10" t="s">
        <v>110</v>
      </c>
      <c r="D1604" s="16">
        <f>D1603/($D$1598-Inputs!$D$20)</f>
        <v>72160.26774641416</v>
      </c>
      <c r="G1604" s="99" t="s">
        <v>931</v>
      </c>
      <c r="H1604" s="91"/>
      <c r="I1604" s="91"/>
      <c r="J1604" s="16">
        <f>MIN(D1588:M1588,(M1574*(Inputs!$D$7+Inputs!$D$20)*$D$1596*$D$1597-D1605))</f>
        <v>1584.4629498122115</v>
      </c>
      <c r="K1604" s="99" t="s">
        <v>110</v>
      </c>
      <c r="L1604" s="91"/>
      <c r="M1604" s="91"/>
    </row>
    <row r="1605" spans="1:13" ht="15" customHeight="1" x14ac:dyDescent="0.2">
      <c r="B1605" s="10" t="s">
        <v>932</v>
      </c>
      <c r="C1605" s="10" t="s">
        <v>928</v>
      </c>
      <c r="D1605" s="16">
        <f>M1574*(Inputs!$D$7+Inputs!$D$20)*($D$1599/Inputs!$D$21+$D$1600/Inputs!$D$22)</f>
        <v>13509.71303671543</v>
      </c>
      <c r="G1605" s="99" t="s">
        <v>933</v>
      </c>
      <c r="H1605" s="91"/>
      <c r="I1605" s="91"/>
      <c r="J1605" s="31" t="str">
        <f>IF(J1604&lt;Inputs!$D$6,"breached","satisfied")</f>
        <v>satisfied</v>
      </c>
      <c r="K1605" s="99" t="s">
        <v>934</v>
      </c>
      <c r="L1605" s="91"/>
      <c r="M1605" s="91"/>
    </row>
    <row r="1606" spans="1:13" ht="15" customHeight="1" x14ac:dyDescent="0.2">
      <c r="B1606" s="10" t="s">
        <v>935</v>
      </c>
      <c r="C1606" s="10" t="s">
        <v>928</v>
      </c>
      <c r="D1606" s="16">
        <f>M1574*Inputs!$D$20*($D$1599+$D$1600)</f>
        <v>1365.7073615561799</v>
      </c>
    </row>
    <row r="1607" spans="1:13" ht="15" customHeight="1" x14ac:dyDescent="0.2">
      <c r="B1607" s="10" t="s">
        <v>936</v>
      </c>
      <c r="C1607" s="10" t="s">
        <v>896</v>
      </c>
      <c r="D1607" s="28">
        <f>SUM(D1584:M1584)+D1601</f>
        <v>3091.6069966294917</v>
      </c>
      <c r="G1607" s="99" t="s">
        <v>937</v>
      </c>
      <c r="H1607" s="91"/>
      <c r="I1607" s="91"/>
      <c r="J1607" s="16">
        <f>D1609-D1595</f>
        <v>0</v>
      </c>
      <c r="K1607" s="99" t="s">
        <v>110</v>
      </c>
      <c r="L1607" s="91"/>
      <c r="M1607" s="91"/>
    </row>
    <row r="1608" spans="1:13" ht="15" customHeight="1" x14ac:dyDescent="0.2">
      <c r="B1608" s="10" t="s">
        <v>938</v>
      </c>
      <c r="C1608" s="10" t="s">
        <v>110</v>
      </c>
      <c r="D1608" s="16">
        <f>SUM(D1585:M1585)+D1602</f>
        <v>-103802.01570136083</v>
      </c>
    </row>
    <row r="1609" spans="1:13" ht="15" customHeight="1" x14ac:dyDescent="0.2">
      <c r="B1609" s="10" t="s">
        <v>939</v>
      </c>
      <c r="C1609" s="10" t="s">
        <v>110</v>
      </c>
      <c r="D1609" s="16">
        <f>SUM(D1592:M1592)+D1604/(Inputs!$D$7+$D$1598)^M1572</f>
        <v>35754.54545454547</v>
      </c>
    </row>
    <row r="1610" spans="1:13" ht="15" customHeight="1" x14ac:dyDescent="0.2">
      <c r="B1610" s="10" t="s">
        <v>940</v>
      </c>
      <c r="C1610" s="10" t="s">
        <v>104</v>
      </c>
      <c r="D1610" s="30">
        <f>IF(ABS(D1595)&gt;Inputs!$D$6,D1609/D1595-Inputs!$D$7,Inputs!$D$6)</f>
        <v>4.4408920985006262E-16</v>
      </c>
    </row>
    <row r="1611" spans="1:13" ht="15" customHeight="1" x14ac:dyDescent="0.2">
      <c r="B1611" s="10" t="s">
        <v>941</v>
      </c>
      <c r="C1611" s="10" t="s">
        <v>104</v>
      </c>
      <c r="D1611" s="30">
        <f>IF(ABS(D1609)&gt;Inputs!$D$119,D1604/(Inputs!$D$7+$D$1598)^M1572/D1609,Inputs!$D$6)</f>
        <v>0.67101686991462217</v>
      </c>
    </row>
    <row r="1612" spans="1:13" ht="15" customHeight="1" x14ac:dyDescent="0.2">
      <c r="B1612" s="10" t="s">
        <v>942</v>
      </c>
      <c r="C1612" s="10" t="s">
        <v>943</v>
      </c>
      <c r="D1612" s="26">
        <f>$D$1596*Inputs!$D$8/Prices!$P$6/(Inputs!$D$26/Inputs!$D$25)/Inputs!$D$11/Inputs!$D$56</f>
        <v>8.2089297184413468</v>
      </c>
    </row>
    <row r="1616" spans="1:13" ht="15" customHeight="1" x14ac:dyDescent="0.2">
      <c r="A1616" s="104" t="s">
        <v>2200</v>
      </c>
      <c r="B1616" s="10" t="s">
        <v>886</v>
      </c>
      <c r="C1616" s="10" t="s">
        <v>107</v>
      </c>
      <c r="D1616" s="28">
        <f>Inputs!$D$60</f>
        <v>1</v>
      </c>
      <c r="E1616" s="28">
        <f>Inputs!$D$62</f>
        <v>2</v>
      </c>
      <c r="F1616" s="28">
        <f>Inputs!$D$64</f>
        <v>3</v>
      </c>
      <c r="G1616" s="28">
        <f>Inputs!$D$66</f>
        <v>4</v>
      </c>
      <c r="H1616" s="28">
        <f>Inputs!$D$68</f>
        <v>5</v>
      </c>
      <c r="I1616" s="28">
        <f>Inputs!$D$70</f>
        <v>6</v>
      </c>
      <c r="J1616" s="28">
        <f>Inputs!$D$72</f>
        <v>7</v>
      </c>
      <c r="K1616" s="28">
        <f>Inputs!$D$74</f>
        <v>8</v>
      </c>
      <c r="L1616" s="28">
        <f>Inputs!$D$76</f>
        <v>9</v>
      </c>
      <c r="M1616" s="28">
        <f>Inputs!$D$78</f>
        <v>10</v>
      </c>
    </row>
    <row r="1617" spans="1:13" ht="15" customHeight="1" x14ac:dyDescent="0.2">
      <c r="A1617" s="91"/>
      <c r="B1617" s="10" t="s">
        <v>887</v>
      </c>
      <c r="C1617" s="10" t="s">
        <v>161</v>
      </c>
      <c r="D1617" s="29">
        <f>Inputs!$D$61</f>
        <v>46568</v>
      </c>
      <c r="E1617" s="29">
        <f>Inputs!$D$63</f>
        <v>46934</v>
      </c>
      <c r="F1617" s="29">
        <f>Inputs!$D$65</f>
        <v>47299</v>
      </c>
      <c r="G1617" s="29">
        <f>Inputs!$D$67</f>
        <v>47664</v>
      </c>
      <c r="H1617" s="29">
        <f>Inputs!$D$69</f>
        <v>48029</v>
      </c>
      <c r="I1617" s="29">
        <f>Inputs!$D$71</f>
        <v>48395</v>
      </c>
      <c r="J1617" s="29">
        <f>Inputs!$D$73</f>
        <v>48760</v>
      </c>
      <c r="K1617" s="29">
        <f>Inputs!$D$75</f>
        <v>49125</v>
      </c>
      <c r="L1617" s="29">
        <f>Inputs!$D$77</f>
        <v>49490</v>
      </c>
      <c r="M1617" s="29">
        <f>Inputs!$D$79</f>
        <v>49856</v>
      </c>
    </row>
    <row r="1618" spans="1:13" ht="15" customHeight="1" x14ac:dyDescent="0.2">
      <c r="A1618" s="91"/>
      <c r="B1618" s="10" t="s">
        <v>888</v>
      </c>
      <c r="C1618" s="10" t="s">
        <v>107</v>
      </c>
      <c r="D1618" s="28">
        <f>(D1617-Inputs!$D$13)/Inputs!$D$10</f>
        <v>0.71457905544147848</v>
      </c>
      <c r="E1618" s="28">
        <f>(E1617-Inputs!$D$13)/Inputs!$D$10</f>
        <v>1.7166324435318274</v>
      </c>
      <c r="F1618" s="28">
        <f>(F1617-Inputs!$D$13)/Inputs!$D$10</f>
        <v>2.7159479808350446</v>
      </c>
      <c r="G1618" s="28">
        <f>(G1617-Inputs!$D$13)/Inputs!$D$10</f>
        <v>3.7152635181382614</v>
      </c>
      <c r="H1618" s="28">
        <f>(H1617-Inputs!$D$13)/Inputs!$D$10</f>
        <v>4.7145790554414786</v>
      </c>
      <c r="I1618" s="28">
        <f>(I1617-Inputs!$D$13)/Inputs!$D$10</f>
        <v>5.7166324435318279</v>
      </c>
      <c r="J1618" s="28">
        <f>(J1617-Inputs!$D$13)/Inputs!$D$10</f>
        <v>6.7159479808350442</v>
      </c>
      <c r="K1618" s="28">
        <f>(K1617-Inputs!$D$13)/Inputs!$D$10</f>
        <v>7.7152635181382614</v>
      </c>
      <c r="L1618" s="28">
        <f>(L1617-Inputs!$D$13)/Inputs!$D$10</f>
        <v>8.7145790554414777</v>
      </c>
      <c r="M1618" s="28">
        <f>(M1617-Inputs!$D$13)/Inputs!$D$10</f>
        <v>9.716632443531827</v>
      </c>
    </row>
    <row r="1619" spans="1:13" ht="15" customHeight="1" x14ac:dyDescent="0.2">
      <c r="A1619" s="91"/>
      <c r="B1619" s="10" t="s">
        <v>889</v>
      </c>
      <c r="C1619" s="10" t="s">
        <v>107</v>
      </c>
      <c r="D1619" s="28">
        <f>D1618</f>
        <v>0.71457905544147848</v>
      </c>
      <c r="E1619" s="28">
        <f>Inputs!$D$7</f>
        <v>1</v>
      </c>
      <c r="F1619" s="28">
        <f>Inputs!$D$7</f>
        <v>1</v>
      </c>
      <c r="G1619" s="28">
        <f>Inputs!$D$7</f>
        <v>1</v>
      </c>
      <c r="H1619" s="28">
        <f>Inputs!$D$7</f>
        <v>1</v>
      </c>
      <c r="I1619" s="28">
        <f>Inputs!$D$7</f>
        <v>1</v>
      </c>
      <c r="J1619" s="28">
        <f>Inputs!$D$7</f>
        <v>1</v>
      </c>
      <c r="K1619" s="28">
        <f>Inputs!$D$7</f>
        <v>1</v>
      </c>
      <c r="L1619" s="28">
        <f>Inputs!$D$7</f>
        <v>1</v>
      </c>
      <c r="M1619" s="28">
        <f>Inputs!$D$7</f>
        <v>1</v>
      </c>
    </row>
    <row r="1620" spans="1:13" ht="15" customHeight="1" x14ac:dyDescent="0.2">
      <c r="A1620" s="91"/>
      <c r="B1620" s="3" t="s">
        <v>890</v>
      </c>
      <c r="C1620" s="10" t="s">
        <v>199</v>
      </c>
      <c r="D1620" s="28">
        <f>Inputs!$D$24+(Inputs!$D$80-Inputs!$D$24)*Inputs!$D$83</f>
        <v>305.5</v>
      </c>
      <c r="E1620" s="28">
        <f>Inputs!$D$24+(Inputs!$D$80-Inputs!$D$24)*Inputs!$D$84</f>
        <v>651.5</v>
      </c>
      <c r="F1620" s="28">
        <f>Inputs!$D$24+(Inputs!$D$80-Inputs!$D$24)*Inputs!$D$85</f>
        <v>911</v>
      </c>
      <c r="G1620" s="28">
        <f>Inputs!$D$24+(Inputs!$D$80-Inputs!$D$24)*Inputs!$D$86</f>
        <v>911</v>
      </c>
      <c r="H1620" s="28">
        <f>Inputs!$D$24+(Inputs!$D$80-Inputs!$D$24)*Inputs!$D$87</f>
        <v>911</v>
      </c>
      <c r="I1620" s="28">
        <f>Inputs!$D$24+(Inputs!$D$80-Inputs!$D$24)*Inputs!$D$88</f>
        <v>911</v>
      </c>
      <c r="J1620" s="28">
        <f>Inputs!$D$24+(Inputs!$D$80-Inputs!$D$24)*Inputs!$D$89</f>
        <v>911</v>
      </c>
      <c r="K1620" s="28">
        <f>Inputs!$D$24+(Inputs!$D$80-Inputs!$D$24)*Inputs!$D$90</f>
        <v>911</v>
      </c>
      <c r="L1620" s="28">
        <f>Inputs!$D$24+(Inputs!$D$80-Inputs!$D$24)*Inputs!$D$91</f>
        <v>911</v>
      </c>
      <c r="M1620" s="28">
        <f>Inputs!$D$24+(Inputs!$D$80-Inputs!$D$24)*Inputs!$D$92</f>
        <v>911</v>
      </c>
    </row>
    <row r="1621" spans="1:13" ht="15" customHeight="1" x14ac:dyDescent="0.2">
      <c r="A1621" s="91"/>
      <c r="B1621" s="10" t="s">
        <v>891</v>
      </c>
      <c r="C1621" s="10" t="s">
        <v>199</v>
      </c>
      <c r="D1621" s="28">
        <f>Inputs!$D$24</f>
        <v>46</v>
      </c>
      <c r="E1621" s="28">
        <f t="shared" ref="E1621:M1621" si="350">D1620</f>
        <v>305.5</v>
      </c>
      <c r="F1621" s="28">
        <f t="shared" si="350"/>
        <v>651.5</v>
      </c>
      <c r="G1621" s="28">
        <f t="shared" si="350"/>
        <v>911</v>
      </c>
      <c r="H1621" s="28">
        <f t="shared" si="350"/>
        <v>911</v>
      </c>
      <c r="I1621" s="28">
        <f t="shared" si="350"/>
        <v>911</v>
      </c>
      <c r="J1621" s="28">
        <f t="shared" si="350"/>
        <v>911</v>
      </c>
      <c r="K1621" s="28">
        <f t="shared" si="350"/>
        <v>911</v>
      </c>
      <c r="L1621" s="28">
        <f t="shared" si="350"/>
        <v>911</v>
      </c>
      <c r="M1621" s="28">
        <f t="shared" si="350"/>
        <v>911</v>
      </c>
    </row>
    <row r="1622" spans="1:13" ht="15" customHeight="1" x14ac:dyDescent="0.2">
      <c r="B1622" s="10" t="s">
        <v>892</v>
      </c>
      <c r="C1622" s="10" t="s">
        <v>199</v>
      </c>
      <c r="D1622" s="28">
        <f>(D1621+D1620)*Inputs!$D$12</f>
        <v>175.75</v>
      </c>
      <c r="E1622" s="28">
        <f>(E1621+E1620)*Inputs!$D$12</f>
        <v>478.5</v>
      </c>
      <c r="F1622" s="28">
        <f>(F1621+F1620)*Inputs!$D$12</f>
        <v>781.25</v>
      </c>
      <c r="G1622" s="28">
        <f>(G1621+G1620)*Inputs!$D$12</f>
        <v>911</v>
      </c>
      <c r="H1622" s="28">
        <f>(H1621+H1620)*Inputs!$D$12</f>
        <v>911</v>
      </c>
      <c r="I1622" s="28">
        <f>(I1621+I1620)*Inputs!$D$12</f>
        <v>911</v>
      </c>
      <c r="J1622" s="28">
        <f>(J1621+J1620)*Inputs!$D$12</f>
        <v>911</v>
      </c>
      <c r="K1622" s="28">
        <f>(K1621+K1620)*Inputs!$D$12</f>
        <v>911</v>
      </c>
      <c r="L1622" s="28">
        <f>(L1621+L1620)*Inputs!$D$12</f>
        <v>911</v>
      </c>
      <c r="M1622" s="28">
        <f>(M1621+M1620)*Inputs!$D$12</f>
        <v>911</v>
      </c>
    </row>
    <row r="1623" spans="1:13" ht="15" customHeight="1" x14ac:dyDescent="0.2">
      <c r="B1623" s="10" t="s">
        <v>893</v>
      </c>
      <c r="C1623" s="10" t="s">
        <v>199</v>
      </c>
      <c r="D1623" s="28">
        <f t="shared" ref="D1623:M1623" si="351">D1620-D1621</f>
        <v>259.5</v>
      </c>
      <c r="E1623" s="28">
        <f t="shared" si="351"/>
        <v>346</v>
      </c>
      <c r="F1623" s="28">
        <f t="shared" si="351"/>
        <v>259.5</v>
      </c>
      <c r="G1623" s="28">
        <f t="shared" si="351"/>
        <v>0</v>
      </c>
      <c r="H1623" s="28">
        <f t="shared" si="351"/>
        <v>0</v>
      </c>
      <c r="I1623" s="28">
        <f t="shared" si="351"/>
        <v>0</v>
      </c>
      <c r="J1623" s="28">
        <f t="shared" si="351"/>
        <v>0</v>
      </c>
      <c r="K1623" s="28">
        <f t="shared" si="351"/>
        <v>0</v>
      </c>
      <c r="L1623" s="28">
        <f t="shared" si="351"/>
        <v>0</v>
      </c>
      <c r="M1623" s="28">
        <f t="shared" si="351"/>
        <v>0</v>
      </c>
    </row>
    <row r="1624" spans="1:13" ht="15" customHeight="1" x14ac:dyDescent="0.2">
      <c r="B1624" s="10" t="s">
        <v>894</v>
      </c>
      <c r="C1624" s="10" t="s">
        <v>199</v>
      </c>
      <c r="D1624" s="28">
        <f>IF(MOD(D1616,Inputs!$D$21)=Inputs!$D$6,Inputs!$D$24,Inputs!$D$6)+SUMPRODUCT(--(D1616&gt;$D$1616:$M$1616),--(MOD(D1616-$D$1616:$M$1616,Inputs!$D$21)=Inputs!$D$6),$D$1623:$M$1623)</f>
        <v>0</v>
      </c>
      <c r="E1624" s="28">
        <f>IF(MOD(E1616,Inputs!$D$21)=Inputs!$D$6,Inputs!$D$24,Inputs!$D$6)+SUMPRODUCT(--(E1616&gt;$D$1616:$M$1616),--(MOD(E1616-$D$1616:$M$1616,Inputs!$D$21)=Inputs!$D$6),$D$1623:$M$1623)</f>
        <v>0</v>
      </c>
      <c r="F1624" s="28">
        <f>IF(MOD(F1616,Inputs!$D$21)=Inputs!$D$6,Inputs!$D$24,Inputs!$D$6)+SUMPRODUCT(--(F1616&gt;$D$1616:$M$1616),--(MOD(F1616-$D$1616:$M$1616,Inputs!$D$21)=Inputs!$D$6),$D$1623:$M$1623)</f>
        <v>0</v>
      </c>
      <c r="G1624" s="28">
        <f>IF(MOD(G1616,Inputs!$D$21)=Inputs!$D$6,Inputs!$D$24,Inputs!$D$6)+SUMPRODUCT(--(G1616&gt;$D$1616:$M$1616),--(MOD(G1616-$D$1616:$M$1616,Inputs!$D$21)=Inputs!$D$6),$D$1623:$M$1623)</f>
        <v>46</v>
      </c>
      <c r="H1624" s="28">
        <f>IF(MOD(H1616,Inputs!$D$21)=Inputs!$D$6,Inputs!$D$24,Inputs!$D$6)+SUMPRODUCT(--(H1616&gt;$D$1616:$M$1616),--(MOD(H1616-$D$1616:$M$1616,Inputs!$D$21)=Inputs!$D$6),$D$1623:$M$1623)</f>
        <v>259.5</v>
      </c>
      <c r="I1624" s="28">
        <f>IF(MOD(I1616,Inputs!$D$21)=Inputs!$D$6,Inputs!$D$24,Inputs!$D$6)+SUMPRODUCT(--(I1616&gt;$D$1616:$M$1616),--(MOD(I1616-$D$1616:$M$1616,Inputs!$D$21)=Inputs!$D$6),$D$1623:$M$1623)</f>
        <v>346</v>
      </c>
      <c r="J1624" s="28">
        <f>IF(MOD(J1616,Inputs!$D$21)=Inputs!$D$6,Inputs!$D$24,Inputs!$D$6)+SUMPRODUCT(--(J1616&gt;$D$1616:$M$1616),--(MOD(J1616-$D$1616:$M$1616,Inputs!$D$21)=Inputs!$D$6),$D$1623:$M$1623)</f>
        <v>259.5</v>
      </c>
      <c r="K1624" s="28">
        <f>IF(MOD(K1616,Inputs!$D$21)=Inputs!$D$6,Inputs!$D$24,Inputs!$D$6)+SUMPRODUCT(--(K1616&gt;$D$1616:$M$1616),--(MOD(K1616-$D$1616:$M$1616,Inputs!$D$21)=Inputs!$D$6),$D$1623:$M$1623)</f>
        <v>46</v>
      </c>
      <c r="L1624" s="28">
        <f>IF(MOD(L1616,Inputs!$D$21)=Inputs!$D$6,Inputs!$D$24,Inputs!$D$6)+SUMPRODUCT(--(L1616&gt;$D$1616:$M$1616),--(MOD(L1616-$D$1616:$M$1616,Inputs!$D$21)=Inputs!$D$6),$D$1623:$M$1623)</f>
        <v>259.5</v>
      </c>
      <c r="M1624" s="28">
        <f>IF(MOD(M1616,Inputs!$D$21)=Inputs!$D$6,Inputs!$D$24,Inputs!$D$6)+SUMPRODUCT(--(M1616&gt;$D$1616:$M$1616),--(MOD(M1616-$D$1616:$M$1616,Inputs!$D$21)=Inputs!$D$6),$D$1623:$M$1623)</f>
        <v>346</v>
      </c>
    </row>
    <row r="1625" spans="1:13" ht="15" customHeight="1" x14ac:dyDescent="0.2">
      <c r="B1625" s="10" t="s">
        <v>895</v>
      </c>
      <c r="C1625" s="10" t="s">
        <v>896</v>
      </c>
      <c r="D1625" s="28">
        <f t="shared" ref="D1625:M1625" si="352">D1622*D1619</f>
        <v>125.58726899383984</v>
      </c>
      <c r="E1625" s="28">
        <f t="shared" si="352"/>
        <v>478.5</v>
      </c>
      <c r="F1625" s="28">
        <f t="shared" si="352"/>
        <v>781.25</v>
      </c>
      <c r="G1625" s="28">
        <f t="shared" si="352"/>
        <v>911</v>
      </c>
      <c r="H1625" s="28">
        <f t="shared" si="352"/>
        <v>911</v>
      </c>
      <c r="I1625" s="28">
        <f t="shared" si="352"/>
        <v>911</v>
      </c>
      <c r="J1625" s="28">
        <f t="shared" si="352"/>
        <v>911</v>
      </c>
      <c r="K1625" s="28">
        <f t="shared" si="352"/>
        <v>911</v>
      </c>
      <c r="L1625" s="28">
        <f t="shared" si="352"/>
        <v>911</v>
      </c>
      <c r="M1625" s="28">
        <f t="shared" si="352"/>
        <v>911</v>
      </c>
    </row>
    <row r="1626" spans="1:13" ht="15" customHeight="1" x14ac:dyDescent="0.2">
      <c r="B1626" s="10" t="s">
        <v>897</v>
      </c>
      <c r="C1626" s="10" t="s">
        <v>110</v>
      </c>
      <c r="D1626" s="16">
        <f>D1625*($D$1645/Inputs!$D$21+$D$1646/Inputs!$D$22)</f>
        <v>1816.9772859324419</v>
      </c>
      <c r="E1626" s="16">
        <f>E1625*($D$1645/Inputs!$D$21+$D$1646/Inputs!$D$22)</f>
        <v>6922.8643817497086</v>
      </c>
      <c r="F1626" s="16">
        <f>F1625*($D$1645/Inputs!$D$21+$D$1646/Inputs!$D$22)</f>
        <v>11303.0048030135</v>
      </c>
      <c r="G1626" s="16">
        <f>G1625*($D$1645/Inputs!$D$21+$D$1646/Inputs!$D$22)</f>
        <v>13180.207840697982</v>
      </c>
      <c r="H1626" s="16">
        <f>H1625*($D$1645/Inputs!$D$21+$D$1646/Inputs!$D$22)</f>
        <v>13180.207840697982</v>
      </c>
      <c r="I1626" s="16">
        <f>I1625*($D$1645/Inputs!$D$21+$D$1646/Inputs!$D$22)</f>
        <v>13180.207840697982</v>
      </c>
      <c r="J1626" s="16">
        <f>J1625*($D$1645/Inputs!$D$21+$D$1646/Inputs!$D$22)</f>
        <v>13180.207840697982</v>
      </c>
      <c r="K1626" s="16">
        <f>K1625*($D$1645/Inputs!$D$21+$D$1646/Inputs!$D$22)</f>
        <v>13180.207840697982</v>
      </c>
      <c r="L1626" s="16">
        <f>L1625*($D$1645/Inputs!$D$21+$D$1646/Inputs!$D$22)</f>
        <v>13180.207840697982</v>
      </c>
      <c r="M1626" s="16">
        <f>M1625*($D$1645/Inputs!$D$21+$D$1646/Inputs!$D$22)</f>
        <v>13180.207840697982</v>
      </c>
    </row>
    <row r="1627" spans="1:13" ht="15" customHeight="1" x14ac:dyDescent="0.2">
      <c r="B1627" s="10" t="s">
        <v>898</v>
      </c>
      <c r="C1627" s="10" t="s">
        <v>110</v>
      </c>
      <c r="D1627" s="16">
        <f t="shared" ref="D1627:M1627" si="353">D1623*($D$1645+$D$1646)</f>
        <v>15560.968620146154</v>
      </c>
      <c r="E1627" s="16">
        <f t="shared" si="353"/>
        <v>20747.95816019487</v>
      </c>
      <c r="F1627" s="16">
        <f t="shared" si="353"/>
        <v>15560.968620146154</v>
      </c>
      <c r="G1627" s="16">
        <f t="shared" si="353"/>
        <v>0</v>
      </c>
      <c r="H1627" s="16">
        <f t="shared" si="353"/>
        <v>0</v>
      </c>
      <c r="I1627" s="16">
        <f t="shared" si="353"/>
        <v>0</v>
      </c>
      <c r="J1627" s="16">
        <f t="shared" si="353"/>
        <v>0</v>
      </c>
      <c r="K1627" s="16">
        <f t="shared" si="353"/>
        <v>0</v>
      </c>
      <c r="L1627" s="16">
        <f t="shared" si="353"/>
        <v>0</v>
      </c>
      <c r="M1627" s="16">
        <f t="shared" si="353"/>
        <v>0</v>
      </c>
    </row>
    <row r="1628" spans="1:13" ht="15" customHeight="1" x14ac:dyDescent="0.2">
      <c r="B1628" s="10" t="s">
        <v>899</v>
      </c>
      <c r="C1628" s="10" t="s">
        <v>110</v>
      </c>
      <c r="D1628" s="16">
        <f t="shared" ref="D1628:M1628" si="354">D1624*$D$1645</f>
        <v>0</v>
      </c>
      <c r="E1628" s="16">
        <f t="shared" si="354"/>
        <v>0</v>
      </c>
      <c r="F1628" s="16">
        <f t="shared" si="354"/>
        <v>0</v>
      </c>
      <c r="G1628" s="16">
        <f t="shared" si="354"/>
        <v>2638.0048485671714</v>
      </c>
      <c r="H1628" s="16">
        <f t="shared" si="354"/>
        <v>14881.788221808281</v>
      </c>
      <c r="I1628" s="16">
        <f t="shared" si="354"/>
        <v>19842.384295744378</v>
      </c>
      <c r="J1628" s="16">
        <f t="shared" si="354"/>
        <v>14881.788221808281</v>
      </c>
      <c r="K1628" s="16">
        <f t="shared" si="354"/>
        <v>2638.0048485671714</v>
      </c>
      <c r="L1628" s="16">
        <f t="shared" si="354"/>
        <v>14881.788221808281</v>
      </c>
      <c r="M1628" s="16">
        <f t="shared" si="354"/>
        <v>19842.384295744378</v>
      </c>
    </row>
    <row r="1629" spans="1:13" ht="15" customHeight="1" x14ac:dyDescent="0.2">
      <c r="B1629" s="10" t="s">
        <v>900</v>
      </c>
      <c r="C1629" s="10" t="s">
        <v>199</v>
      </c>
      <c r="D1629" s="28">
        <f>D1623*Inputs!$D$23</f>
        <v>6.4875000000000007</v>
      </c>
      <c r="E1629" s="28">
        <f>E1623*Inputs!$D$23</f>
        <v>8.65</v>
      </c>
      <c r="F1629" s="28">
        <f>F1623*Inputs!$D$23</f>
        <v>6.4875000000000007</v>
      </c>
      <c r="G1629" s="28">
        <f>G1623*Inputs!$D$23</f>
        <v>0</v>
      </c>
      <c r="H1629" s="28">
        <f>H1623*Inputs!$D$23</f>
        <v>0</v>
      </c>
      <c r="I1629" s="28">
        <f>I1623*Inputs!$D$23</f>
        <v>0</v>
      </c>
      <c r="J1629" s="28">
        <f>J1623*Inputs!$D$23</f>
        <v>0</v>
      </c>
      <c r="K1629" s="28">
        <f>K1623*Inputs!$D$23</f>
        <v>0</v>
      </c>
      <c r="L1629" s="28">
        <f>L1623*Inputs!$D$23</f>
        <v>0</v>
      </c>
      <c r="M1629" s="28">
        <f>M1623*Inputs!$D$23</f>
        <v>0</v>
      </c>
    </row>
    <row r="1630" spans="1:13" ht="15" customHeight="1" x14ac:dyDescent="0.2">
      <c r="B1630" s="3" t="s">
        <v>901</v>
      </c>
      <c r="C1630" s="10" t="s">
        <v>896</v>
      </c>
      <c r="D1630" s="28">
        <f>(D1625*$D$1643*(Inputs!$D$7-Inputs!$D$19)-D1629)/(Inputs!$D$7+$D$1644)^D1618</f>
        <v>42.12449054053662</v>
      </c>
      <c r="E1630" s="28">
        <f>(E1625*$D$1643*(Inputs!$D$7-Inputs!$D$19)-E1629)/(Inputs!$D$7+$D$1644)^E1618</f>
        <v>153.58179400579681</v>
      </c>
      <c r="F1630" s="28">
        <f>(F1625*$D$1643*(Inputs!$D$7-Inputs!$D$19)-F1629)/(Inputs!$D$7+$D$1644)^F1618</f>
        <v>225.32846683817894</v>
      </c>
      <c r="G1630" s="28">
        <f>(G1625*$D$1643*(Inputs!$D$7-Inputs!$D$19)-G1629)/(Inputs!$D$7+$D$1644)^G1618</f>
        <v>235.15333868354651</v>
      </c>
      <c r="H1630" s="28">
        <f>(H1625*$D$1643*(Inputs!$D$7-Inputs!$D$19)-H1629)/(Inputs!$D$7+$D$1644)^H1618</f>
        <v>206.29335886963301</v>
      </c>
      <c r="I1630" s="28">
        <f>(I1625*$D$1643*(Inputs!$D$7-Inputs!$D$19)-I1629)/(Inputs!$D$7+$D$1644)^I1618</f>
        <v>180.9104058955611</v>
      </c>
      <c r="J1630" s="28">
        <f>(J1625*$D$1643*(Inputs!$D$7-Inputs!$D$19)-J1629)/(Inputs!$D$7+$D$1644)^J1618</f>
        <v>158.70757138977953</v>
      </c>
      <c r="K1630" s="28">
        <f>(K1625*$D$1643*(Inputs!$D$7-Inputs!$D$19)-K1629)/(Inputs!$D$7+$D$1644)^K1618</f>
        <v>139.22965399228033</v>
      </c>
      <c r="L1630" s="28">
        <f>(L1625*$D$1643*(Inputs!$D$7-Inputs!$D$19)-L1629)/(Inputs!$D$7+$D$1644)^L1618</f>
        <v>122.14222913916039</v>
      </c>
      <c r="M1630" s="28">
        <f>(M1625*$D$1643*(Inputs!$D$7-Inputs!$D$19)-M1629)/(Inputs!$D$7+$D$1644)^M1618</f>
        <v>107.11348330179737</v>
      </c>
    </row>
    <row r="1631" spans="1:13" ht="15" customHeight="1" x14ac:dyDescent="0.2">
      <c r="B1631" s="10" t="s">
        <v>902</v>
      </c>
      <c r="C1631" s="10" t="s">
        <v>110</v>
      </c>
      <c r="D1631" s="16">
        <f>(D1626*Inputs!$D$19-D1627-D1628)/(Inputs!$D$7+$D$1644)^D1618</f>
        <v>-13673.750208995338</v>
      </c>
      <c r="E1631" s="16">
        <f>(E1626*Inputs!$D$19-E1627-E1628)/(Inputs!$D$7+$D$1644)^E1618</f>
        <v>-14910.258198718562</v>
      </c>
      <c r="F1631" s="16">
        <f>(F1626*Inputs!$D$19-F1627-F1628)/(Inputs!$D$7+$D$1644)^F1618</f>
        <v>-8525.9417164238148</v>
      </c>
      <c r="G1631" s="16">
        <f>(G1626*Inputs!$D$19-G1627-G1628)/(Inputs!$D$7+$D$1644)^G1618</f>
        <v>808.83204192410847</v>
      </c>
      <c r="H1631" s="16">
        <f>(H1626*Inputs!$D$19-H1627-H1628)/(Inputs!$D$7+$D$1644)^H1618</f>
        <v>-5891.7915280072548</v>
      </c>
      <c r="I1631" s="16">
        <f>(I1626*Inputs!$D$19-I1627-I1628)/(Inputs!$D$7+$D$1644)^I1618</f>
        <v>-7512.3171078465948</v>
      </c>
      <c r="J1631" s="16">
        <f>(J1626*Inputs!$D$19-J1627-J1628)/(Inputs!$D$7+$D$1644)^J1618</f>
        <v>-4532.7291662153211</v>
      </c>
      <c r="K1631" s="16">
        <f>(K1626*Inputs!$D$19-K1627-K1628)/(Inputs!$D$7+$D$1644)^K1618</f>
        <v>478.89349972832292</v>
      </c>
      <c r="L1631" s="16">
        <f>(L1626*Inputs!$D$19-L1627-L1628)/(Inputs!$D$7+$D$1644)^L1618</f>
        <v>-3488.413562109869</v>
      </c>
      <c r="M1631" s="16">
        <f>(M1626*Inputs!$D$19-M1627-M1628)/(Inputs!$D$7+$D$1644)^M1618</f>
        <v>-4447.8947969066312</v>
      </c>
    </row>
    <row r="1632" spans="1:13" ht="15" customHeight="1" x14ac:dyDescent="0.2">
      <c r="B1632" s="10" t="s">
        <v>903</v>
      </c>
      <c r="C1632" s="10" t="s">
        <v>110</v>
      </c>
      <c r="D1632" s="16">
        <f t="shared" ref="D1632:M1632" si="355">D1625*$D$1642</f>
        <v>6159.9478339017496</v>
      </c>
      <c r="E1632" s="16">
        <f t="shared" si="355"/>
        <v>23470.014613237319</v>
      </c>
      <c r="F1632" s="16">
        <f t="shared" si="355"/>
        <v>38319.642458916729</v>
      </c>
      <c r="G1632" s="16">
        <f t="shared" si="355"/>
        <v>44683.768678493623</v>
      </c>
      <c r="H1632" s="16">
        <f t="shared" si="355"/>
        <v>44683.768678493623</v>
      </c>
      <c r="I1632" s="16">
        <f t="shared" si="355"/>
        <v>44683.768678493623</v>
      </c>
      <c r="J1632" s="16">
        <f t="shared" si="355"/>
        <v>44683.768678493623</v>
      </c>
      <c r="K1632" s="16">
        <f t="shared" si="355"/>
        <v>44683.768678493623</v>
      </c>
      <c r="L1632" s="16">
        <f t="shared" si="355"/>
        <v>44683.768678493623</v>
      </c>
      <c r="M1632" s="16">
        <f t="shared" si="355"/>
        <v>44683.768678493623</v>
      </c>
    </row>
    <row r="1633" spans="2:13" ht="15" customHeight="1" x14ac:dyDescent="0.2">
      <c r="B1633" s="10" t="s">
        <v>904</v>
      </c>
      <c r="C1633" s="10" t="s">
        <v>110</v>
      </c>
      <c r="D1633" s="16">
        <f t="shared" ref="D1633:M1633" si="356">D1632*$D$1643</f>
        <v>3695.9687003410495</v>
      </c>
      <c r="E1633" s="16">
        <f t="shared" si="356"/>
        <v>14082.00876794239</v>
      </c>
      <c r="F1633" s="16">
        <f t="shared" si="356"/>
        <v>22991.785475350036</v>
      </c>
      <c r="G1633" s="16">
        <f t="shared" si="356"/>
        <v>26810.261207096173</v>
      </c>
      <c r="H1633" s="16">
        <f t="shared" si="356"/>
        <v>26810.261207096173</v>
      </c>
      <c r="I1633" s="16">
        <f t="shared" si="356"/>
        <v>26810.261207096173</v>
      </c>
      <c r="J1633" s="16">
        <f t="shared" si="356"/>
        <v>26810.261207096173</v>
      </c>
      <c r="K1633" s="16">
        <f t="shared" si="356"/>
        <v>26810.261207096173</v>
      </c>
      <c r="L1633" s="16">
        <f t="shared" si="356"/>
        <v>26810.261207096173</v>
      </c>
      <c r="M1633" s="16">
        <f t="shared" si="356"/>
        <v>26810.261207096173</v>
      </c>
    </row>
    <row r="1634" spans="2:13" ht="15" customHeight="1" x14ac:dyDescent="0.2">
      <c r="B1634" s="10" t="s">
        <v>905</v>
      </c>
      <c r="C1634" s="10" t="s">
        <v>110</v>
      </c>
      <c r="D1634" s="16">
        <f t="shared" ref="D1634:M1634" si="357">D1633-D1626</f>
        <v>1878.9914144086076</v>
      </c>
      <c r="E1634" s="16">
        <f t="shared" si="357"/>
        <v>7159.1443861926818</v>
      </c>
      <c r="F1634" s="16">
        <f t="shared" si="357"/>
        <v>11688.780672336536</v>
      </c>
      <c r="G1634" s="16">
        <f t="shared" si="357"/>
        <v>13630.053366398191</v>
      </c>
      <c r="H1634" s="16">
        <f t="shared" si="357"/>
        <v>13630.053366398191</v>
      </c>
      <c r="I1634" s="16">
        <f t="shared" si="357"/>
        <v>13630.053366398191</v>
      </c>
      <c r="J1634" s="16">
        <f t="shared" si="357"/>
        <v>13630.053366398191</v>
      </c>
      <c r="K1634" s="16">
        <f t="shared" si="357"/>
        <v>13630.053366398191</v>
      </c>
      <c r="L1634" s="16">
        <f t="shared" si="357"/>
        <v>13630.053366398191</v>
      </c>
      <c r="M1634" s="16">
        <f t="shared" si="357"/>
        <v>13630.053366398191</v>
      </c>
    </row>
    <row r="1635" spans="2:13" ht="15" customHeight="1" x14ac:dyDescent="0.2">
      <c r="B1635" s="10" t="s">
        <v>906</v>
      </c>
      <c r="C1635" s="10" t="s">
        <v>110</v>
      </c>
      <c r="D1635" s="16">
        <f>MAX(D1634,Inputs!$D$6)*Inputs!$D$19</f>
        <v>563.69742432258226</v>
      </c>
      <c r="E1635" s="16">
        <f>MAX(E1634,Inputs!$D$6)*Inputs!$D$19</f>
        <v>2147.7433158578046</v>
      </c>
      <c r="F1635" s="16">
        <f>MAX(F1634,Inputs!$D$6)*Inputs!$D$19</f>
        <v>3506.6342017009606</v>
      </c>
      <c r="G1635" s="16">
        <f>MAX(G1634,Inputs!$D$6)*Inputs!$D$19</f>
        <v>4089.0160099194572</v>
      </c>
      <c r="H1635" s="16">
        <f>MAX(H1634,Inputs!$D$6)*Inputs!$D$19</f>
        <v>4089.0160099194572</v>
      </c>
      <c r="I1635" s="16">
        <f>MAX(I1634,Inputs!$D$6)*Inputs!$D$19</f>
        <v>4089.0160099194572</v>
      </c>
      <c r="J1635" s="16">
        <f>MAX(J1634,Inputs!$D$6)*Inputs!$D$19</f>
        <v>4089.0160099194572</v>
      </c>
      <c r="K1635" s="16">
        <f>MAX(K1634,Inputs!$D$6)*Inputs!$D$19</f>
        <v>4089.0160099194572</v>
      </c>
      <c r="L1635" s="16">
        <f>MAX(L1634,Inputs!$D$6)*Inputs!$D$19</f>
        <v>4089.0160099194572</v>
      </c>
      <c r="M1635" s="16">
        <f>MAX(M1634,Inputs!$D$6)*Inputs!$D$19</f>
        <v>4089.0160099194572</v>
      </c>
    </row>
    <row r="1636" spans="2:13" ht="15" customHeight="1" x14ac:dyDescent="0.2">
      <c r="B1636" s="10" t="s">
        <v>907</v>
      </c>
      <c r="C1636" s="10" t="s">
        <v>110</v>
      </c>
      <c r="D1636" s="16">
        <f t="shared" ref="D1636:M1636" si="358">D1629*$D$1642</f>
        <v>318.20631097884456</v>
      </c>
      <c r="E1636" s="16">
        <f t="shared" si="358"/>
        <v>424.27508130512604</v>
      </c>
      <c r="F1636" s="16">
        <f t="shared" si="358"/>
        <v>318.20631097884456</v>
      </c>
      <c r="G1636" s="16">
        <f t="shared" si="358"/>
        <v>0</v>
      </c>
      <c r="H1636" s="16">
        <f t="shared" si="358"/>
        <v>0</v>
      </c>
      <c r="I1636" s="16">
        <f t="shared" si="358"/>
        <v>0</v>
      </c>
      <c r="J1636" s="16">
        <f t="shared" si="358"/>
        <v>0</v>
      </c>
      <c r="K1636" s="16">
        <f t="shared" si="358"/>
        <v>0</v>
      </c>
      <c r="L1636" s="16">
        <f t="shared" si="358"/>
        <v>0</v>
      </c>
      <c r="M1636" s="16">
        <f t="shared" si="358"/>
        <v>0</v>
      </c>
    </row>
    <row r="1637" spans="2:13" ht="15" customHeight="1" x14ac:dyDescent="0.2">
      <c r="B1637" s="10" t="s">
        <v>908</v>
      </c>
      <c r="C1637" s="10" t="s">
        <v>110</v>
      </c>
      <c r="D1637" s="16">
        <f t="shared" ref="D1637:M1637" si="359">D1633-D1635-D1627-D1628-D1636</f>
        <v>-12746.903655106531</v>
      </c>
      <c r="E1637" s="16">
        <f t="shared" si="359"/>
        <v>-9237.9677894154102</v>
      </c>
      <c r="F1637" s="16">
        <f t="shared" si="359"/>
        <v>3605.9763425240785</v>
      </c>
      <c r="G1637" s="16">
        <f t="shared" si="359"/>
        <v>20083.240348609543</v>
      </c>
      <c r="H1637" s="16">
        <f t="shared" si="359"/>
        <v>7839.4569753684336</v>
      </c>
      <c r="I1637" s="16">
        <f t="shared" si="359"/>
        <v>2878.8609014323374</v>
      </c>
      <c r="J1637" s="16">
        <f t="shared" si="359"/>
        <v>7839.4569753684336</v>
      </c>
      <c r="K1637" s="16">
        <f t="shared" si="359"/>
        <v>20083.240348609543</v>
      </c>
      <c r="L1637" s="16">
        <f t="shared" si="359"/>
        <v>7839.4569753684336</v>
      </c>
      <c r="M1637" s="16">
        <f t="shared" si="359"/>
        <v>2878.8609014323374</v>
      </c>
    </row>
    <row r="1638" spans="2:13" ht="15" customHeight="1" x14ac:dyDescent="0.2">
      <c r="B1638" s="10" t="s">
        <v>909</v>
      </c>
      <c r="C1638" s="10" t="s">
        <v>110</v>
      </c>
      <c r="D1638" s="16">
        <f>D1637/(Inputs!$D$7+$D$1644)^D1618</f>
        <v>-11607.580076160288</v>
      </c>
      <c r="E1638" s="16">
        <f>E1637/(Inputs!$D$7+$D$1644)^E1618</f>
        <v>-7377.2029225571123</v>
      </c>
      <c r="F1638" s="16">
        <f>F1637/(Inputs!$D$7+$D$1644)^F1618</f>
        <v>2526.2263284464489</v>
      </c>
      <c r="G1638" s="16">
        <f>G1637/(Inputs!$D$7+$D$1644)^G1618</f>
        <v>12342.901624482898</v>
      </c>
      <c r="H1638" s="16">
        <f>H1637/(Inputs!$D$7+$D$1644)^H1618</f>
        <v>4226.7207965154148</v>
      </c>
      <c r="I1638" s="16">
        <f>I1637/(Inputs!$D$7+$D$1644)^I1618</f>
        <v>1361.1831430531208</v>
      </c>
      <c r="J1638" s="16">
        <f>J1637/(Inputs!$D$7+$D$1644)^J1618</f>
        <v>3251.7410944942521</v>
      </c>
      <c r="K1638" s="16">
        <f>K1637/(Inputs!$D$7+$D$1644)^K1618</f>
        <v>7307.9886173767973</v>
      </c>
      <c r="L1638" s="16">
        <f>L1637/(Inputs!$D$7+$D$1644)^L1618</f>
        <v>2502.5580215671957</v>
      </c>
      <c r="M1638" s="16">
        <f>M1637/(Inputs!$D$7+$D$1644)^M1618</f>
        <v>805.92969289051803</v>
      </c>
    </row>
    <row r="1639" spans="2:13" ht="15" customHeight="1" x14ac:dyDescent="0.2">
      <c r="B1639" s="3" t="s">
        <v>910</v>
      </c>
      <c r="C1639" s="10" t="s">
        <v>896</v>
      </c>
      <c r="D1639" s="28">
        <f>(D1625*$D$1643-D1629)/(Inputs!$D$7+$D$1644)^D1618</f>
        <v>62.70969128813082</v>
      </c>
      <c r="E1639" s="28">
        <f>(E1625*$D$1643-E1629)/(Inputs!$D$7+$D$1644)^E1618</f>
        <v>222.36299158129225</v>
      </c>
      <c r="F1639" s="28">
        <f>(F1625*$D$1643-F1629)/(Inputs!$D$7+$D$1644)^F1618</f>
        <v>323.84563492062864</v>
      </c>
      <c r="G1639" s="28">
        <f>(G1625*$D$1643-G1629)/(Inputs!$D$7+$D$1644)^G1618</f>
        <v>335.933340976495</v>
      </c>
      <c r="H1639" s="28">
        <f>(H1625*$D$1643-H1629)/(Inputs!$D$7+$D$1644)^H1618</f>
        <v>294.70479838519003</v>
      </c>
      <c r="I1639" s="28">
        <f>(I1625*$D$1643-I1629)/(Inputs!$D$7+$D$1644)^I1618</f>
        <v>258.44343699365874</v>
      </c>
      <c r="J1639" s="28">
        <f>(J1625*$D$1643-J1629)/(Inputs!$D$7+$D$1644)^J1618</f>
        <v>226.72510198539933</v>
      </c>
      <c r="K1639" s="28">
        <f>(K1625*$D$1643-K1629)/(Inputs!$D$7+$D$1644)^K1618</f>
        <v>198.89950570325763</v>
      </c>
      <c r="L1639" s="28">
        <f>(L1625*$D$1643-L1629)/(Inputs!$D$7+$D$1644)^L1618</f>
        <v>174.48889877022913</v>
      </c>
      <c r="M1639" s="28">
        <f>(M1625*$D$1643-M1629)/(Inputs!$D$7+$D$1644)^M1618</f>
        <v>153.01926185971055</v>
      </c>
    </row>
    <row r="1640" spans="2:13" ht="15" customHeight="1" x14ac:dyDescent="0.2">
      <c r="B1640" s="10" t="s">
        <v>911</v>
      </c>
      <c r="C1640" s="10" t="s">
        <v>110</v>
      </c>
      <c r="D1640" s="16">
        <f>(-D1627-D1628)/(Inputs!$D$7+$D$1644)^D1618</f>
        <v>-14170.122737893587</v>
      </c>
      <c r="E1640" s="16">
        <f>(-E1627-E1628)/(Inputs!$D$7+$D$1644)^E1618</f>
        <v>-16568.784506031301</v>
      </c>
      <c r="F1640" s="16">
        <f>(-F1627-F1628)/(Inputs!$D$7+$D$1644)^F1618</f>
        <v>-10901.493767656277</v>
      </c>
      <c r="G1640" s="16">
        <f>(-G1627-G1628)/(Inputs!$D$7+$D$1644)^G1618</f>
        <v>-1621.2839046676961</v>
      </c>
      <c r="H1640" s="16">
        <f>(-H1627-H1628)/(Inputs!$D$7+$D$1644)^H1618</f>
        <v>-8023.6633690433682</v>
      </c>
      <c r="I1640" s="16">
        <f>(-I1627-I1628)/(Inputs!$D$7+$D$1644)^I1618</f>
        <v>-9381.8770500204446</v>
      </c>
      <c r="J1640" s="16">
        <f>(-J1627-J1628)/(Inputs!$D$7+$D$1644)^J1618</f>
        <v>-6172.8411129063252</v>
      </c>
      <c r="K1640" s="16">
        <f>(-K1627-K1628)/(Inputs!$D$7+$D$1644)^K1618</f>
        <v>-959.93022397147342</v>
      </c>
      <c r="L1640" s="16">
        <f>(-L1627-L1628)/(Inputs!$D$7+$D$1644)^L1618</f>
        <v>-4750.6528330682277</v>
      </c>
      <c r="M1640" s="16">
        <f>(-M1627-M1628)/(Inputs!$D$7+$D$1644)^M1618</f>
        <v>-5554.82436602912</v>
      </c>
    </row>
    <row r="1641" spans="2:13" ht="15" customHeight="1" x14ac:dyDescent="0.2">
      <c r="B1641" s="10" t="s">
        <v>912</v>
      </c>
      <c r="C1641" s="10" t="s">
        <v>110</v>
      </c>
      <c r="D1641" s="16">
        <f>Prices!I7</f>
        <v>35754.545454545456</v>
      </c>
    </row>
    <row r="1642" spans="2:13" ht="15" customHeight="1" x14ac:dyDescent="0.2">
      <c r="B1642" s="3" t="s">
        <v>913</v>
      </c>
      <c r="C1642" s="10" t="s">
        <v>914</v>
      </c>
      <c r="D1642" s="28">
        <f>IF(J1649&gt;=J1645,J1649,(D1641-J1648)/J1647)</f>
        <v>49.049142347413415</v>
      </c>
      <c r="G1642" s="99" t="s">
        <v>915</v>
      </c>
      <c r="H1642" s="91"/>
      <c r="I1642" s="91"/>
      <c r="J1642" s="28">
        <f>D1642*Inputs!$D$15</f>
        <v>34.231396444259822</v>
      </c>
      <c r="K1642" s="99" t="s">
        <v>916</v>
      </c>
      <c r="L1642" s="91"/>
      <c r="M1642" s="91"/>
    </row>
    <row r="1643" spans="2:13" ht="15" customHeight="1" x14ac:dyDescent="0.2">
      <c r="B1643" s="10" t="s">
        <v>917</v>
      </c>
      <c r="C1643" s="10" t="s">
        <v>104</v>
      </c>
      <c r="D1643" s="30">
        <f>Inputs!$D$142</f>
        <v>0.6</v>
      </c>
      <c r="G1643" s="99" t="s">
        <v>918</v>
      </c>
      <c r="H1643" s="91"/>
      <c r="I1643" s="91"/>
      <c r="J1643" s="28">
        <f>IF(-D1654/D1653&gt;=J1645,-D1654/D1653,-J1648/J1647)</f>
        <v>34.882787847449642</v>
      </c>
      <c r="K1643" s="99" t="s">
        <v>919</v>
      </c>
      <c r="L1643" s="91"/>
      <c r="M1643" s="91"/>
    </row>
    <row r="1644" spans="2:13" ht="15" customHeight="1" x14ac:dyDescent="0.2">
      <c r="B1644" s="10" t="s">
        <v>920</v>
      </c>
      <c r="C1644" s="10" t="s">
        <v>104</v>
      </c>
      <c r="D1644" s="30">
        <f>Inputs!$D$149</f>
        <v>0.14000000000000001</v>
      </c>
      <c r="G1644" s="99" t="s">
        <v>918</v>
      </c>
      <c r="H1644" s="91"/>
      <c r="I1644" s="91"/>
      <c r="J1644" s="28">
        <f>J1643*Inputs!$D$15</f>
        <v>24.344697638735102</v>
      </c>
      <c r="K1644" s="99" t="s">
        <v>916</v>
      </c>
      <c r="L1644" s="91"/>
      <c r="M1644" s="91"/>
    </row>
    <row r="1645" spans="2:13" ht="15" customHeight="1" x14ac:dyDescent="0.2">
      <c r="B1645" s="3" t="s">
        <v>921</v>
      </c>
      <c r="C1645" s="10" t="s">
        <v>848</v>
      </c>
      <c r="D1645" s="28">
        <f>Capital!$D$13</f>
        <v>57.347931490590682</v>
      </c>
      <c r="G1645" s="99" t="s">
        <v>922</v>
      </c>
      <c r="H1645" s="91"/>
      <c r="I1645" s="91"/>
      <c r="J1645" s="28">
        <f>($D$1645/Inputs!$D$21+$D$1646/Inputs!$D$22)/$D$1643</f>
        <v>24.113076913095469</v>
      </c>
      <c r="K1645" s="99" t="s">
        <v>919</v>
      </c>
      <c r="L1645" s="91"/>
      <c r="M1645" s="91"/>
    </row>
    <row r="1646" spans="2:13" ht="15" customHeight="1" x14ac:dyDescent="0.2">
      <c r="B1646" s="3" t="s">
        <v>923</v>
      </c>
      <c r="C1646" s="10" t="s">
        <v>848</v>
      </c>
      <c r="D1646" s="28">
        <f>Capital!$D$14</f>
        <v>2.6172655041921802</v>
      </c>
    </row>
    <row r="1647" spans="2:13" ht="15" customHeight="1" x14ac:dyDescent="0.2">
      <c r="B1647" s="10" t="s">
        <v>924</v>
      </c>
      <c r="C1647" s="10" t="s">
        <v>896</v>
      </c>
      <c r="D1647" s="28">
        <f>(M1620*(Inputs!$D$7+Inputs!$D$20)*$D$1643*(Inputs!$D$7-Inputs!$D$19)-M1620*Inputs!$D$20*Inputs!$D$23)/($D$1644-Inputs!$D$20)/(Inputs!$D$7+$D$1644)^M1618</f>
        <v>953.32108973830498</v>
      </c>
      <c r="G1647" s="92" t="s">
        <v>910</v>
      </c>
      <c r="H1647" s="91"/>
      <c r="I1647" s="91"/>
      <c r="J1647" s="28">
        <f>SUM(D1639:M1639)+(M1620*(Inputs!$D$7+Inputs!$D$20)*$D$1643-M1620*Inputs!$D$20*Inputs!$D$23)/($D$1644-Inputs!$D$20)/(Inputs!$D$7+$D$1644)^M1618</f>
        <v>3613.6139523923925</v>
      </c>
      <c r="K1647" s="99" t="s">
        <v>896</v>
      </c>
      <c r="L1647" s="91"/>
      <c r="M1647" s="91"/>
    </row>
    <row r="1648" spans="2:13" ht="15" customHeight="1" x14ac:dyDescent="0.2">
      <c r="B1648" s="10" t="s">
        <v>925</v>
      </c>
      <c r="C1648" s="10" t="s">
        <v>110</v>
      </c>
      <c r="D1648" s="16">
        <f>(D1651*Inputs!$D$19-D1651-D1652)/($D$1644-Inputs!$D$20)/(Inputs!$D$7+$D$1644)^M1618</f>
        <v>-26345.502698929216</v>
      </c>
      <c r="G1648" s="92" t="s">
        <v>926</v>
      </c>
      <c r="H1648" s="91"/>
      <c r="I1648" s="91"/>
      <c r="J1648" s="16">
        <f>SUM(D1640:M1640)-(D1651+D1652)/($D$1644-Inputs!$D$20)/(Inputs!$D$7+$D$1644)^M1618</f>
        <v>-114317.08794717836</v>
      </c>
      <c r="K1648" s="99" t="s">
        <v>110</v>
      </c>
      <c r="L1648" s="91"/>
      <c r="M1648" s="91"/>
    </row>
    <row r="1649" spans="1:13" ht="15" customHeight="1" x14ac:dyDescent="0.2">
      <c r="B1649" s="10" t="s">
        <v>927</v>
      </c>
      <c r="C1649" s="10" t="s">
        <v>928</v>
      </c>
      <c r="D1649" s="16">
        <f>(M1620*(Inputs!$D$7+Inputs!$D$20)*$D$1642*$D$1643-D1651)-MAX((M1620*(Inputs!$D$7+Inputs!$D$20)*$D$1642*$D$1643-D1651),Inputs!$D$6)*Inputs!$D$19-D1652-M1620*Inputs!$D$20*$D$1642*Inputs!$D$23</f>
        <v>8385.9285734104596</v>
      </c>
      <c r="G1649" s="99" t="s">
        <v>929</v>
      </c>
      <c r="H1649" s="91"/>
      <c r="I1649" s="91"/>
      <c r="J1649" s="28">
        <f>(D1641-D1654)/D1653</f>
        <v>49.049142347413415</v>
      </c>
      <c r="K1649" s="99" t="s">
        <v>919</v>
      </c>
      <c r="L1649" s="91"/>
      <c r="M1649" s="91"/>
    </row>
    <row r="1650" spans="1:13" ht="15" customHeight="1" x14ac:dyDescent="0.2">
      <c r="B1650" s="10" t="s">
        <v>930</v>
      </c>
      <c r="C1650" s="10" t="s">
        <v>110</v>
      </c>
      <c r="D1650" s="16">
        <f>D1649/($D$1644-Inputs!$D$20)</f>
        <v>72921.118029656165</v>
      </c>
      <c r="G1650" s="99" t="s">
        <v>931</v>
      </c>
      <c r="H1650" s="91"/>
      <c r="I1650" s="91"/>
      <c r="J1650" s="16">
        <f>MIN(D1634:M1634,(M1620*(Inputs!$D$7+Inputs!$D$20)*$D$1642*$D$1643-D1651))</f>
        <v>1878.9914144086076</v>
      </c>
      <c r="K1650" s="99" t="s">
        <v>110</v>
      </c>
      <c r="L1650" s="91"/>
      <c r="M1650" s="91"/>
    </row>
    <row r="1651" spans="1:13" ht="15" customHeight="1" x14ac:dyDescent="0.2">
      <c r="B1651" s="10" t="s">
        <v>932</v>
      </c>
      <c r="C1651" s="10" t="s">
        <v>928</v>
      </c>
      <c r="D1651" s="16">
        <f>M1620*(Inputs!$D$7+Inputs!$D$20)*($D$1645/Inputs!$D$21+$D$1646/Inputs!$D$22)</f>
        <v>13509.71303671543</v>
      </c>
      <c r="G1651" s="99" t="s">
        <v>933</v>
      </c>
      <c r="H1651" s="91"/>
      <c r="I1651" s="91"/>
      <c r="J1651" s="31" t="str">
        <f>IF(J1650&lt;Inputs!$D$6,"breached","satisfied")</f>
        <v>satisfied</v>
      </c>
      <c r="K1651" s="99" t="s">
        <v>934</v>
      </c>
      <c r="L1651" s="91"/>
      <c r="M1651" s="91"/>
    </row>
    <row r="1652" spans="1:13" ht="15" customHeight="1" x14ac:dyDescent="0.2">
      <c r="B1652" s="10" t="s">
        <v>935</v>
      </c>
      <c r="C1652" s="10" t="s">
        <v>928</v>
      </c>
      <c r="D1652" s="16">
        <f>M1620*Inputs!$D$20*($D$1645+$D$1646)</f>
        <v>1365.7073615561799</v>
      </c>
    </row>
    <row r="1653" spans="1:13" ht="15" customHeight="1" x14ac:dyDescent="0.2">
      <c r="B1653" s="10" t="s">
        <v>936</v>
      </c>
      <c r="C1653" s="10" t="s">
        <v>896</v>
      </c>
      <c r="D1653" s="28">
        <f>SUM(D1630:M1630)+D1647</f>
        <v>2523.9058823945761</v>
      </c>
      <c r="G1653" s="99" t="s">
        <v>937</v>
      </c>
      <c r="H1653" s="91"/>
      <c r="I1653" s="91"/>
      <c r="J1653" s="16">
        <f>D1655-D1641</f>
        <v>0</v>
      </c>
      <c r="K1653" s="99" t="s">
        <v>110</v>
      </c>
      <c r="L1653" s="91"/>
      <c r="M1653" s="91"/>
    </row>
    <row r="1654" spans="1:13" ht="15" customHeight="1" x14ac:dyDescent="0.2">
      <c r="B1654" s="10" t="s">
        <v>938</v>
      </c>
      <c r="C1654" s="10" t="s">
        <v>110</v>
      </c>
      <c r="D1654" s="16">
        <f>SUM(D1631:M1631)+D1648</f>
        <v>-88040.873442500175</v>
      </c>
    </row>
    <row r="1655" spans="1:13" ht="15" customHeight="1" x14ac:dyDescent="0.2">
      <c r="B1655" s="10" t="s">
        <v>939</v>
      </c>
      <c r="C1655" s="10" t="s">
        <v>110</v>
      </c>
      <c r="D1655" s="16">
        <f>SUM(D1638:M1638)+D1650/(Inputs!$D$7+$D$1644)^M1618</f>
        <v>35754.545454545427</v>
      </c>
    </row>
    <row r="1656" spans="1:13" ht="15" customHeight="1" x14ac:dyDescent="0.2">
      <c r="B1656" s="10" t="s">
        <v>940</v>
      </c>
      <c r="C1656" s="10" t="s">
        <v>104</v>
      </c>
      <c r="D1656" s="30">
        <f>IF(ABS(D1641)&gt;Inputs!$D$6,D1655/D1641-Inputs!$D$7,Inputs!$D$6)</f>
        <v>-7.7715611723760958E-16</v>
      </c>
    </row>
    <row r="1657" spans="1:13" ht="15" customHeight="1" x14ac:dyDescent="0.2">
      <c r="B1657" s="10" t="s">
        <v>941</v>
      </c>
      <c r="C1657" s="10" t="s">
        <v>104</v>
      </c>
      <c r="D1657" s="30">
        <f>IF(ABS(D1655)&gt;Inputs!$D$119,D1650/(Inputs!$D$7+$D$1644)^M1618/D1655,Inputs!$D$6)</f>
        <v>0.57095059872565002</v>
      </c>
    </row>
    <row r="1658" spans="1:13" ht="15" customHeight="1" x14ac:dyDescent="0.2">
      <c r="B1658" s="10" t="s">
        <v>942</v>
      </c>
      <c r="C1658" s="10" t="s">
        <v>943</v>
      </c>
      <c r="D1658" s="26">
        <f>$D$1642*Inputs!$D$8/Prices!$P$6/(Inputs!$D$26/Inputs!$D$25)/Inputs!$D$11/Inputs!$D$56</f>
        <v>8.9197355237425082</v>
      </c>
    </row>
    <row r="1662" spans="1:13" ht="15" customHeight="1" x14ac:dyDescent="0.2">
      <c r="A1662" s="104" t="s">
        <v>2201</v>
      </c>
      <c r="B1662" s="10" t="s">
        <v>886</v>
      </c>
      <c r="C1662" s="10" t="s">
        <v>107</v>
      </c>
      <c r="D1662" s="28">
        <f>Inputs!$D$60</f>
        <v>1</v>
      </c>
      <c r="E1662" s="28">
        <f>Inputs!$D$62</f>
        <v>2</v>
      </c>
      <c r="F1662" s="28">
        <f>Inputs!$D$64</f>
        <v>3</v>
      </c>
      <c r="G1662" s="28">
        <f>Inputs!$D$66</f>
        <v>4</v>
      </c>
      <c r="H1662" s="28">
        <f>Inputs!$D$68</f>
        <v>5</v>
      </c>
      <c r="I1662" s="28">
        <f>Inputs!$D$70</f>
        <v>6</v>
      </c>
      <c r="J1662" s="28">
        <f>Inputs!$D$72</f>
        <v>7</v>
      </c>
      <c r="K1662" s="28">
        <f>Inputs!$D$74</f>
        <v>8</v>
      </c>
      <c r="L1662" s="28">
        <f>Inputs!$D$76</f>
        <v>9</v>
      </c>
      <c r="M1662" s="28">
        <f>Inputs!$D$78</f>
        <v>10</v>
      </c>
    </row>
    <row r="1663" spans="1:13" ht="15" customHeight="1" x14ac:dyDescent="0.2">
      <c r="A1663" s="91"/>
      <c r="B1663" s="10" t="s">
        <v>887</v>
      </c>
      <c r="C1663" s="10" t="s">
        <v>161</v>
      </c>
      <c r="D1663" s="29">
        <f>Inputs!$D$61</f>
        <v>46568</v>
      </c>
      <c r="E1663" s="29">
        <f>Inputs!$D$63</f>
        <v>46934</v>
      </c>
      <c r="F1663" s="29">
        <f>Inputs!$D$65</f>
        <v>47299</v>
      </c>
      <c r="G1663" s="29">
        <f>Inputs!$D$67</f>
        <v>47664</v>
      </c>
      <c r="H1663" s="29">
        <f>Inputs!$D$69</f>
        <v>48029</v>
      </c>
      <c r="I1663" s="29">
        <f>Inputs!$D$71</f>
        <v>48395</v>
      </c>
      <c r="J1663" s="29">
        <f>Inputs!$D$73</f>
        <v>48760</v>
      </c>
      <c r="K1663" s="29">
        <f>Inputs!$D$75</f>
        <v>49125</v>
      </c>
      <c r="L1663" s="29">
        <f>Inputs!$D$77</f>
        <v>49490</v>
      </c>
      <c r="M1663" s="29">
        <f>Inputs!$D$79</f>
        <v>49856</v>
      </c>
    </row>
    <row r="1664" spans="1:13" ht="15" customHeight="1" x14ac:dyDescent="0.2">
      <c r="A1664" s="91"/>
      <c r="B1664" s="10" t="s">
        <v>888</v>
      </c>
      <c r="C1664" s="10" t="s">
        <v>107</v>
      </c>
      <c r="D1664" s="28">
        <f>(D1663-Inputs!$D$13)/Inputs!$D$10</f>
        <v>0.71457905544147848</v>
      </c>
      <c r="E1664" s="28">
        <f>(E1663-Inputs!$D$13)/Inputs!$D$10</f>
        <v>1.7166324435318274</v>
      </c>
      <c r="F1664" s="28">
        <f>(F1663-Inputs!$D$13)/Inputs!$D$10</f>
        <v>2.7159479808350446</v>
      </c>
      <c r="G1664" s="28">
        <f>(G1663-Inputs!$D$13)/Inputs!$D$10</f>
        <v>3.7152635181382614</v>
      </c>
      <c r="H1664" s="28">
        <f>(H1663-Inputs!$D$13)/Inputs!$D$10</f>
        <v>4.7145790554414786</v>
      </c>
      <c r="I1664" s="28">
        <f>(I1663-Inputs!$D$13)/Inputs!$D$10</f>
        <v>5.7166324435318279</v>
      </c>
      <c r="J1664" s="28">
        <f>(J1663-Inputs!$D$13)/Inputs!$D$10</f>
        <v>6.7159479808350442</v>
      </c>
      <c r="K1664" s="28">
        <f>(K1663-Inputs!$D$13)/Inputs!$D$10</f>
        <v>7.7152635181382614</v>
      </c>
      <c r="L1664" s="28">
        <f>(L1663-Inputs!$D$13)/Inputs!$D$10</f>
        <v>8.7145790554414777</v>
      </c>
      <c r="M1664" s="28">
        <f>(M1663-Inputs!$D$13)/Inputs!$D$10</f>
        <v>9.716632443531827</v>
      </c>
    </row>
    <row r="1665" spans="1:13" ht="15" customHeight="1" x14ac:dyDescent="0.2">
      <c r="A1665" s="91"/>
      <c r="B1665" s="10" t="s">
        <v>889</v>
      </c>
      <c r="C1665" s="10" t="s">
        <v>107</v>
      </c>
      <c r="D1665" s="28">
        <f>D1664</f>
        <v>0.71457905544147848</v>
      </c>
      <c r="E1665" s="28">
        <f>Inputs!$D$7</f>
        <v>1</v>
      </c>
      <c r="F1665" s="28">
        <f>Inputs!$D$7</f>
        <v>1</v>
      </c>
      <c r="G1665" s="28">
        <f>Inputs!$D$7</f>
        <v>1</v>
      </c>
      <c r="H1665" s="28">
        <f>Inputs!$D$7</f>
        <v>1</v>
      </c>
      <c r="I1665" s="28">
        <f>Inputs!$D$7</f>
        <v>1</v>
      </c>
      <c r="J1665" s="28">
        <f>Inputs!$D$7</f>
        <v>1</v>
      </c>
      <c r="K1665" s="28">
        <f>Inputs!$D$7</f>
        <v>1</v>
      </c>
      <c r="L1665" s="28">
        <f>Inputs!$D$7</f>
        <v>1</v>
      </c>
      <c r="M1665" s="28">
        <f>Inputs!$D$7</f>
        <v>1</v>
      </c>
    </row>
    <row r="1666" spans="1:13" ht="15" customHeight="1" x14ac:dyDescent="0.2">
      <c r="A1666" s="91"/>
      <c r="B1666" s="3" t="s">
        <v>890</v>
      </c>
      <c r="C1666" s="10" t="s">
        <v>199</v>
      </c>
      <c r="D1666" s="28">
        <f>Inputs!$D$24+(Inputs!$D$80-Inputs!$D$24)*Inputs!$D$83</f>
        <v>305.5</v>
      </c>
      <c r="E1666" s="28">
        <f>Inputs!$D$24+(Inputs!$D$80-Inputs!$D$24)*Inputs!$D$84</f>
        <v>651.5</v>
      </c>
      <c r="F1666" s="28">
        <f>Inputs!$D$24+(Inputs!$D$80-Inputs!$D$24)*Inputs!$D$85</f>
        <v>911</v>
      </c>
      <c r="G1666" s="28">
        <f>Inputs!$D$24+(Inputs!$D$80-Inputs!$D$24)*Inputs!$D$86</f>
        <v>911</v>
      </c>
      <c r="H1666" s="28">
        <f>Inputs!$D$24+(Inputs!$D$80-Inputs!$D$24)*Inputs!$D$87</f>
        <v>911</v>
      </c>
      <c r="I1666" s="28">
        <f>Inputs!$D$24+(Inputs!$D$80-Inputs!$D$24)*Inputs!$D$88</f>
        <v>911</v>
      </c>
      <c r="J1666" s="28">
        <f>Inputs!$D$24+(Inputs!$D$80-Inputs!$D$24)*Inputs!$D$89</f>
        <v>911</v>
      </c>
      <c r="K1666" s="28">
        <f>Inputs!$D$24+(Inputs!$D$80-Inputs!$D$24)*Inputs!$D$90</f>
        <v>911</v>
      </c>
      <c r="L1666" s="28">
        <f>Inputs!$D$24+(Inputs!$D$80-Inputs!$D$24)*Inputs!$D$91</f>
        <v>911</v>
      </c>
      <c r="M1666" s="28">
        <f>Inputs!$D$24+(Inputs!$D$80-Inputs!$D$24)*Inputs!$D$92</f>
        <v>911</v>
      </c>
    </row>
    <row r="1667" spans="1:13" ht="15" customHeight="1" x14ac:dyDescent="0.2">
      <c r="A1667" s="91"/>
      <c r="B1667" s="10" t="s">
        <v>891</v>
      </c>
      <c r="C1667" s="10" t="s">
        <v>199</v>
      </c>
      <c r="D1667" s="28">
        <f>Inputs!$D$24</f>
        <v>46</v>
      </c>
      <c r="E1667" s="28">
        <f t="shared" ref="E1667:M1667" si="360">D1666</f>
        <v>305.5</v>
      </c>
      <c r="F1667" s="28">
        <f t="shared" si="360"/>
        <v>651.5</v>
      </c>
      <c r="G1667" s="28">
        <f t="shared" si="360"/>
        <v>911</v>
      </c>
      <c r="H1667" s="28">
        <f t="shared" si="360"/>
        <v>911</v>
      </c>
      <c r="I1667" s="28">
        <f t="shared" si="360"/>
        <v>911</v>
      </c>
      <c r="J1667" s="28">
        <f t="shared" si="360"/>
        <v>911</v>
      </c>
      <c r="K1667" s="28">
        <f t="shared" si="360"/>
        <v>911</v>
      </c>
      <c r="L1667" s="28">
        <f t="shared" si="360"/>
        <v>911</v>
      </c>
      <c r="M1667" s="28">
        <f t="shared" si="360"/>
        <v>911</v>
      </c>
    </row>
    <row r="1668" spans="1:13" ht="15" customHeight="1" x14ac:dyDescent="0.2">
      <c r="B1668" s="10" t="s">
        <v>892</v>
      </c>
      <c r="C1668" s="10" t="s">
        <v>199</v>
      </c>
      <c r="D1668" s="28">
        <f>(D1667+D1666)*Inputs!$D$12</f>
        <v>175.75</v>
      </c>
      <c r="E1668" s="28">
        <f>(E1667+E1666)*Inputs!$D$12</f>
        <v>478.5</v>
      </c>
      <c r="F1668" s="28">
        <f>(F1667+F1666)*Inputs!$D$12</f>
        <v>781.25</v>
      </c>
      <c r="G1668" s="28">
        <f>(G1667+G1666)*Inputs!$D$12</f>
        <v>911</v>
      </c>
      <c r="H1668" s="28">
        <f>(H1667+H1666)*Inputs!$D$12</f>
        <v>911</v>
      </c>
      <c r="I1668" s="28">
        <f>(I1667+I1666)*Inputs!$D$12</f>
        <v>911</v>
      </c>
      <c r="J1668" s="28">
        <f>(J1667+J1666)*Inputs!$D$12</f>
        <v>911</v>
      </c>
      <c r="K1668" s="28">
        <f>(K1667+K1666)*Inputs!$D$12</f>
        <v>911</v>
      </c>
      <c r="L1668" s="28">
        <f>(L1667+L1666)*Inputs!$D$12</f>
        <v>911</v>
      </c>
      <c r="M1668" s="28">
        <f>(M1667+M1666)*Inputs!$D$12</f>
        <v>911</v>
      </c>
    </row>
    <row r="1669" spans="1:13" ht="15" customHeight="1" x14ac:dyDescent="0.2">
      <c r="B1669" s="10" t="s">
        <v>893</v>
      </c>
      <c r="C1669" s="10" t="s">
        <v>199</v>
      </c>
      <c r="D1669" s="28">
        <f t="shared" ref="D1669:M1669" si="361">D1666-D1667</f>
        <v>259.5</v>
      </c>
      <c r="E1669" s="28">
        <f t="shared" si="361"/>
        <v>346</v>
      </c>
      <c r="F1669" s="28">
        <f t="shared" si="361"/>
        <v>259.5</v>
      </c>
      <c r="G1669" s="28">
        <f t="shared" si="361"/>
        <v>0</v>
      </c>
      <c r="H1669" s="28">
        <f t="shared" si="361"/>
        <v>0</v>
      </c>
      <c r="I1669" s="28">
        <f t="shared" si="361"/>
        <v>0</v>
      </c>
      <c r="J1669" s="28">
        <f t="shared" si="361"/>
        <v>0</v>
      </c>
      <c r="K1669" s="28">
        <f t="shared" si="361"/>
        <v>0</v>
      </c>
      <c r="L1669" s="28">
        <f t="shared" si="361"/>
        <v>0</v>
      </c>
      <c r="M1669" s="28">
        <f t="shared" si="361"/>
        <v>0</v>
      </c>
    </row>
    <row r="1670" spans="1:13" ht="15" customHeight="1" x14ac:dyDescent="0.2">
      <c r="B1670" s="10" t="s">
        <v>894</v>
      </c>
      <c r="C1670" s="10" t="s">
        <v>199</v>
      </c>
      <c r="D1670" s="28">
        <f>IF(MOD(D1662,Inputs!$D$21)=Inputs!$D$6,Inputs!$D$24,Inputs!$D$6)+SUMPRODUCT(--(D1662&gt;$D$1662:$M$1662),--(MOD(D1662-$D$1662:$M$1662,Inputs!$D$21)=Inputs!$D$6),$D$1669:$M$1669)</f>
        <v>0</v>
      </c>
      <c r="E1670" s="28">
        <f>IF(MOD(E1662,Inputs!$D$21)=Inputs!$D$6,Inputs!$D$24,Inputs!$D$6)+SUMPRODUCT(--(E1662&gt;$D$1662:$M$1662),--(MOD(E1662-$D$1662:$M$1662,Inputs!$D$21)=Inputs!$D$6),$D$1669:$M$1669)</f>
        <v>0</v>
      </c>
      <c r="F1670" s="28">
        <f>IF(MOD(F1662,Inputs!$D$21)=Inputs!$D$6,Inputs!$D$24,Inputs!$D$6)+SUMPRODUCT(--(F1662&gt;$D$1662:$M$1662),--(MOD(F1662-$D$1662:$M$1662,Inputs!$D$21)=Inputs!$D$6),$D$1669:$M$1669)</f>
        <v>0</v>
      </c>
      <c r="G1670" s="28">
        <f>IF(MOD(G1662,Inputs!$D$21)=Inputs!$D$6,Inputs!$D$24,Inputs!$D$6)+SUMPRODUCT(--(G1662&gt;$D$1662:$M$1662),--(MOD(G1662-$D$1662:$M$1662,Inputs!$D$21)=Inputs!$D$6),$D$1669:$M$1669)</f>
        <v>46</v>
      </c>
      <c r="H1670" s="28">
        <f>IF(MOD(H1662,Inputs!$D$21)=Inputs!$D$6,Inputs!$D$24,Inputs!$D$6)+SUMPRODUCT(--(H1662&gt;$D$1662:$M$1662),--(MOD(H1662-$D$1662:$M$1662,Inputs!$D$21)=Inputs!$D$6),$D$1669:$M$1669)</f>
        <v>259.5</v>
      </c>
      <c r="I1670" s="28">
        <f>IF(MOD(I1662,Inputs!$D$21)=Inputs!$D$6,Inputs!$D$24,Inputs!$D$6)+SUMPRODUCT(--(I1662&gt;$D$1662:$M$1662),--(MOD(I1662-$D$1662:$M$1662,Inputs!$D$21)=Inputs!$D$6),$D$1669:$M$1669)</f>
        <v>346</v>
      </c>
      <c r="J1670" s="28">
        <f>IF(MOD(J1662,Inputs!$D$21)=Inputs!$D$6,Inputs!$D$24,Inputs!$D$6)+SUMPRODUCT(--(J1662&gt;$D$1662:$M$1662),--(MOD(J1662-$D$1662:$M$1662,Inputs!$D$21)=Inputs!$D$6),$D$1669:$M$1669)</f>
        <v>259.5</v>
      </c>
      <c r="K1670" s="28">
        <f>IF(MOD(K1662,Inputs!$D$21)=Inputs!$D$6,Inputs!$D$24,Inputs!$D$6)+SUMPRODUCT(--(K1662&gt;$D$1662:$M$1662),--(MOD(K1662-$D$1662:$M$1662,Inputs!$D$21)=Inputs!$D$6),$D$1669:$M$1669)</f>
        <v>46</v>
      </c>
      <c r="L1670" s="28">
        <f>IF(MOD(L1662,Inputs!$D$21)=Inputs!$D$6,Inputs!$D$24,Inputs!$D$6)+SUMPRODUCT(--(L1662&gt;$D$1662:$M$1662),--(MOD(L1662-$D$1662:$M$1662,Inputs!$D$21)=Inputs!$D$6),$D$1669:$M$1669)</f>
        <v>259.5</v>
      </c>
      <c r="M1670" s="28">
        <f>IF(MOD(M1662,Inputs!$D$21)=Inputs!$D$6,Inputs!$D$24,Inputs!$D$6)+SUMPRODUCT(--(M1662&gt;$D$1662:$M$1662),--(MOD(M1662-$D$1662:$M$1662,Inputs!$D$21)=Inputs!$D$6),$D$1669:$M$1669)</f>
        <v>346</v>
      </c>
    </row>
    <row r="1671" spans="1:13" ht="15" customHeight="1" x14ac:dyDescent="0.2">
      <c r="B1671" s="10" t="s">
        <v>895</v>
      </c>
      <c r="C1671" s="10" t="s">
        <v>896</v>
      </c>
      <c r="D1671" s="28">
        <f t="shared" ref="D1671:M1671" si="362">D1668*D1665</f>
        <v>125.58726899383984</v>
      </c>
      <c r="E1671" s="28">
        <f t="shared" si="362"/>
        <v>478.5</v>
      </c>
      <c r="F1671" s="28">
        <f t="shared" si="362"/>
        <v>781.25</v>
      </c>
      <c r="G1671" s="28">
        <f t="shared" si="362"/>
        <v>911</v>
      </c>
      <c r="H1671" s="28">
        <f t="shared" si="362"/>
        <v>911</v>
      </c>
      <c r="I1671" s="28">
        <f t="shared" si="362"/>
        <v>911</v>
      </c>
      <c r="J1671" s="28">
        <f t="shared" si="362"/>
        <v>911</v>
      </c>
      <c r="K1671" s="28">
        <f t="shared" si="362"/>
        <v>911</v>
      </c>
      <c r="L1671" s="28">
        <f t="shared" si="362"/>
        <v>911</v>
      </c>
      <c r="M1671" s="28">
        <f t="shared" si="362"/>
        <v>911</v>
      </c>
    </row>
    <row r="1672" spans="1:13" ht="15" customHeight="1" x14ac:dyDescent="0.2">
      <c r="B1672" s="10" t="s">
        <v>897</v>
      </c>
      <c r="C1672" s="10" t="s">
        <v>110</v>
      </c>
      <c r="D1672" s="16">
        <f>D1671*($D$1691/Inputs!$D$21+$D$1692/Inputs!$D$22)</f>
        <v>1816.9772859324419</v>
      </c>
      <c r="E1672" s="16">
        <f>E1671*($D$1691/Inputs!$D$21+$D$1692/Inputs!$D$22)</f>
        <v>6922.8643817497086</v>
      </c>
      <c r="F1672" s="16">
        <f>F1671*($D$1691/Inputs!$D$21+$D$1692/Inputs!$D$22)</f>
        <v>11303.0048030135</v>
      </c>
      <c r="G1672" s="16">
        <f>G1671*($D$1691/Inputs!$D$21+$D$1692/Inputs!$D$22)</f>
        <v>13180.207840697982</v>
      </c>
      <c r="H1672" s="16">
        <f>H1671*($D$1691/Inputs!$D$21+$D$1692/Inputs!$D$22)</f>
        <v>13180.207840697982</v>
      </c>
      <c r="I1672" s="16">
        <f>I1671*($D$1691/Inputs!$D$21+$D$1692/Inputs!$D$22)</f>
        <v>13180.207840697982</v>
      </c>
      <c r="J1672" s="16">
        <f>J1671*($D$1691/Inputs!$D$21+$D$1692/Inputs!$D$22)</f>
        <v>13180.207840697982</v>
      </c>
      <c r="K1672" s="16">
        <f>K1671*($D$1691/Inputs!$D$21+$D$1692/Inputs!$D$22)</f>
        <v>13180.207840697982</v>
      </c>
      <c r="L1672" s="16">
        <f>L1671*($D$1691/Inputs!$D$21+$D$1692/Inputs!$D$22)</f>
        <v>13180.207840697982</v>
      </c>
      <c r="M1672" s="16">
        <f>M1671*($D$1691/Inputs!$D$21+$D$1692/Inputs!$D$22)</f>
        <v>13180.207840697982</v>
      </c>
    </row>
    <row r="1673" spans="1:13" ht="15" customHeight="1" x14ac:dyDescent="0.2">
      <c r="B1673" s="10" t="s">
        <v>898</v>
      </c>
      <c r="C1673" s="10" t="s">
        <v>110</v>
      </c>
      <c r="D1673" s="16">
        <f t="shared" ref="D1673:M1673" si="363">D1669*($D$1691+$D$1692)</f>
        <v>15560.968620146154</v>
      </c>
      <c r="E1673" s="16">
        <f t="shared" si="363"/>
        <v>20747.95816019487</v>
      </c>
      <c r="F1673" s="16">
        <f t="shared" si="363"/>
        <v>15560.968620146154</v>
      </c>
      <c r="G1673" s="16">
        <f t="shared" si="363"/>
        <v>0</v>
      </c>
      <c r="H1673" s="16">
        <f t="shared" si="363"/>
        <v>0</v>
      </c>
      <c r="I1673" s="16">
        <f t="shared" si="363"/>
        <v>0</v>
      </c>
      <c r="J1673" s="16">
        <f t="shared" si="363"/>
        <v>0</v>
      </c>
      <c r="K1673" s="16">
        <f t="shared" si="363"/>
        <v>0</v>
      </c>
      <c r="L1673" s="16">
        <f t="shared" si="363"/>
        <v>0</v>
      </c>
      <c r="M1673" s="16">
        <f t="shared" si="363"/>
        <v>0</v>
      </c>
    </row>
    <row r="1674" spans="1:13" ht="15" customHeight="1" x14ac:dyDescent="0.2">
      <c r="B1674" s="10" t="s">
        <v>899</v>
      </c>
      <c r="C1674" s="10" t="s">
        <v>110</v>
      </c>
      <c r="D1674" s="16">
        <f t="shared" ref="D1674:M1674" si="364">D1670*$D$1691</f>
        <v>0</v>
      </c>
      <c r="E1674" s="16">
        <f t="shared" si="364"/>
        <v>0</v>
      </c>
      <c r="F1674" s="16">
        <f t="shared" si="364"/>
        <v>0</v>
      </c>
      <c r="G1674" s="16">
        <f t="shared" si="364"/>
        <v>2638.0048485671714</v>
      </c>
      <c r="H1674" s="16">
        <f t="shared" si="364"/>
        <v>14881.788221808281</v>
      </c>
      <c r="I1674" s="16">
        <f t="shared" si="364"/>
        <v>19842.384295744378</v>
      </c>
      <c r="J1674" s="16">
        <f t="shared" si="364"/>
        <v>14881.788221808281</v>
      </c>
      <c r="K1674" s="16">
        <f t="shared" si="364"/>
        <v>2638.0048485671714</v>
      </c>
      <c r="L1674" s="16">
        <f t="shared" si="364"/>
        <v>14881.788221808281</v>
      </c>
      <c r="M1674" s="16">
        <f t="shared" si="364"/>
        <v>19842.384295744378</v>
      </c>
    </row>
    <row r="1675" spans="1:13" ht="15" customHeight="1" x14ac:dyDescent="0.2">
      <c r="B1675" s="10" t="s">
        <v>900</v>
      </c>
      <c r="C1675" s="10" t="s">
        <v>199</v>
      </c>
      <c r="D1675" s="28">
        <f>D1669*Inputs!$D$23</f>
        <v>6.4875000000000007</v>
      </c>
      <c r="E1675" s="28">
        <f>E1669*Inputs!$D$23</f>
        <v>8.65</v>
      </c>
      <c r="F1675" s="28">
        <f>F1669*Inputs!$D$23</f>
        <v>6.4875000000000007</v>
      </c>
      <c r="G1675" s="28">
        <f>G1669*Inputs!$D$23</f>
        <v>0</v>
      </c>
      <c r="H1675" s="28">
        <f>H1669*Inputs!$D$23</f>
        <v>0</v>
      </c>
      <c r="I1675" s="28">
        <f>I1669*Inputs!$D$23</f>
        <v>0</v>
      </c>
      <c r="J1675" s="28">
        <f>J1669*Inputs!$D$23</f>
        <v>0</v>
      </c>
      <c r="K1675" s="28">
        <f>K1669*Inputs!$D$23</f>
        <v>0</v>
      </c>
      <c r="L1675" s="28">
        <f>L1669*Inputs!$D$23</f>
        <v>0</v>
      </c>
      <c r="M1675" s="28">
        <f>M1669*Inputs!$D$23</f>
        <v>0</v>
      </c>
    </row>
    <row r="1676" spans="1:13" ht="15" customHeight="1" x14ac:dyDescent="0.2">
      <c r="B1676" s="3" t="s">
        <v>901</v>
      </c>
      <c r="C1676" s="10" t="s">
        <v>896</v>
      </c>
      <c r="D1676" s="28">
        <f>(D1671*$D$1689*(Inputs!$D$7-Inputs!$D$19)-D1675)/(Inputs!$D$7+$D$1690)^D1664</f>
        <v>52.104528839313289</v>
      </c>
      <c r="E1676" s="28">
        <f>(E1671*$D$1689*(Inputs!$D$7-Inputs!$D$19)-E1675)/(Inputs!$D$7+$D$1690)^E1664</f>
        <v>197.86841911840659</v>
      </c>
      <c r="F1676" s="28">
        <f>(F1671*$D$1689*(Inputs!$D$7-Inputs!$D$19)-F1675)/(Inputs!$D$7+$D$1690)^F1664</f>
        <v>305.3415381972203</v>
      </c>
      <c r="G1676" s="28">
        <f>(G1671*$D$1689*(Inputs!$D$7-Inputs!$D$19)-G1675)/(Inputs!$D$7+$D$1690)^G1664</f>
        <v>335.37941094328897</v>
      </c>
      <c r="H1676" s="28">
        <f>(H1671*$D$1689*(Inputs!$D$7-Inputs!$D$19)-H1675)/(Inputs!$D$7+$D$1690)^H1664</f>
        <v>310.5528501639069</v>
      </c>
      <c r="I1676" s="28">
        <f>(I1671*$D$1689*(Inputs!$D$7-Inputs!$D$19)-I1675)/(Inputs!$D$7+$D$1690)^I1664</f>
        <v>287.50349731453537</v>
      </c>
      <c r="J1676" s="28">
        <f>(J1671*$D$1689*(Inputs!$D$7-Inputs!$D$19)-J1675)/(Inputs!$D$7+$D$1690)^J1664</f>
        <v>266.22096530015602</v>
      </c>
      <c r="K1676" s="28">
        <f>(K1671*$D$1689*(Inputs!$D$7-Inputs!$D$19)-K1675)/(Inputs!$D$7+$D$1690)^K1664</f>
        <v>246.5138790566069</v>
      </c>
      <c r="L1676" s="28">
        <f>(L1671*$D$1689*(Inputs!$D$7-Inputs!$D$19)-L1675)/(Inputs!$D$7+$D$1690)^L1664</f>
        <v>228.26561574149545</v>
      </c>
      <c r="M1676" s="28">
        <f>(M1671*$D$1689*(Inputs!$D$7-Inputs!$D$19)-M1675)/(Inputs!$D$7+$D$1690)^M1664</f>
        <v>211.32365330956841</v>
      </c>
    </row>
    <row r="1677" spans="1:13" ht="15" customHeight="1" x14ac:dyDescent="0.2">
      <c r="B1677" s="10" t="s">
        <v>902</v>
      </c>
      <c r="C1677" s="10" t="s">
        <v>110</v>
      </c>
      <c r="D1677" s="16">
        <f>(D1672*Inputs!$D$19-D1673-D1674)/(Inputs!$D$7+$D$1690)^D1664</f>
        <v>-14212.377724210151</v>
      </c>
      <c r="E1677" s="16">
        <f>(E1672*Inputs!$D$19-E1673-E1674)/(Inputs!$D$7+$D$1690)^E1664</f>
        <v>-16360.387094728963</v>
      </c>
      <c r="F1677" s="16">
        <f>(F1672*Inputs!$D$19-F1673-F1674)/(Inputs!$D$7+$D$1690)^F1664</f>
        <v>-9874.5154652847668</v>
      </c>
      <c r="G1677" s="16">
        <f>(G1672*Inputs!$D$19-G1673-G1674)/(Inputs!$D$7+$D$1690)^G1664</f>
        <v>988.77347238742834</v>
      </c>
      <c r="H1677" s="16">
        <f>(H1672*Inputs!$D$19-H1673-H1674)/(Inputs!$D$7+$D$1690)^H1664</f>
        <v>-7602.4024163036647</v>
      </c>
      <c r="I1677" s="16">
        <f>(I1672*Inputs!$D$19-I1673-I1674)/(Inputs!$D$7+$D$1690)^I1664</f>
        <v>-10233.087939303265</v>
      </c>
      <c r="J1677" s="16">
        <f>(J1672*Inputs!$D$19-J1673-J1674)/(Inputs!$D$7+$D$1690)^J1664</f>
        <v>-6517.1480757635773</v>
      </c>
      <c r="K1677" s="16">
        <f>(K1672*Inputs!$D$19-K1673-K1674)/(Inputs!$D$7+$D$1690)^K1664</f>
        <v>726.77801985796941</v>
      </c>
      <c r="L1677" s="16">
        <f>(L1672*Inputs!$D$19-L1673-L1674)/(Inputs!$D$7+$D$1690)^L1664</f>
        <v>-5587.9927289550824</v>
      </c>
      <c r="M1677" s="16">
        <f>(M1672*Inputs!$D$19-M1673-M1674)/(Inputs!$D$7+$D$1690)^M1664</f>
        <v>-7521.6251216792398</v>
      </c>
    </row>
    <row r="1678" spans="1:13" ht="15" customHeight="1" x14ac:dyDescent="0.2">
      <c r="B1678" s="10" t="s">
        <v>903</v>
      </c>
      <c r="C1678" s="10" t="s">
        <v>110</v>
      </c>
      <c r="D1678" s="16">
        <f t="shared" ref="D1678:M1678" si="365">D1671*$D$1688</f>
        <v>4040.8319398000272</v>
      </c>
      <c r="E1678" s="16">
        <f t="shared" si="365"/>
        <v>15395.97204943723</v>
      </c>
      <c r="F1678" s="16">
        <f t="shared" si="365"/>
        <v>25137.101700361203</v>
      </c>
      <c r="G1678" s="16">
        <f t="shared" si="365"/>
        <v>29311.871550757191</v>
      </c>
      <c r="H1678" s="16">
        <f t="shared" si="365"/>
        <v>29311.871550757191</v>
      </c>
      <c r="I1678" s="16">
        <f t="shared" si="365"/>
        <v>29311.871550757191</v>
      </c>
      <c r="J1678" s="16">
        <f t="shared" si="365"/>
        <v>29311.871550757191</v>
      </c>
      <c r="K1678" s="16">
        <f t="shared" si="365"/>
        <v>29311.871550757191</v>
      </c>
      <c r="L1678" s="16">
        <f t="shared" si="365"/>
        <v>29311.871550757191</v>
      </c>
      <c r="M1678" s="16">
        <f t="shared" si="365"/>
        <v>29311.871550757191</v>
      </c>
    </row>
    <row r="1679" spans="1:13" ht="15" customHeight="1" x14ac:dyDescent="0.2">
      <c r="B1679" s="10" t="s">
        <v>904</v>
      </c>
      <c r="C1679" s="10" t="s">
        <v>110</v>
      </c>
      <c r="D1679" s="16">
        <f t="shared" ref="D1679:M1679" si="366">D1678*$D$1689</f>
        <v>2828.5823578600189</v>
      </c>
      <c r="E1679" s="16">
        <f t="shared" si="366"/>
        <v>10777.18043460606</v>
      </c>
      <c r="F1679" s="16">
        <f t="shared" si="366"/>
        <v>17595.97119025284</v>
      </c>
      <c r="G1679" s="16">
        <f t="shared" si="366"/>
        <v>20518.310085530033</v>
      </c>
      <c r="H1679" s="16">
        <f t="shared" si="366"/>
        <v>20518.310085530033</v>
      </c>
      <c r="I1679" s="16">
        <f t="shared" si="366"/>
        <v>20518.310085530033</v>
      </c>
      <c r="J1679" s="16">
        <f t="shared" si="366"/>
        <v>20518.310085530033</v>
      </c>
      <c r="K1679" s="16">
        <f t="shared" si="366"/>
        <v>20518.310085530033</v>
      </c>
      <c r="L1679" s="16">
        <f t="shared" si="366"/>
        <v>20518.310085530033</v>
      </c>
      <c r="M1679" s="16">
        <f t="shared" si="366"/>
        <v>20518.310085530033</v>
      </c>
    </row>
    <row r="1680" spans="1:13" ht="15" customHeight="1" x14ac:dyDescent="0.2">
      <c r="B1680" s="10" t="s">
        <v>905</v>
      </c>
      <c r="C1680" s="10" t="s">
        <v>110</v>
      </c>
      <c r="D1680" s="16">
        <f t="shared" ref="D1680:M1680" si="367">D1679-D1672</f>
        <v>1011.605071927577</v>
      </c>
      <c r="E1680" s="16">
        <f t="shared" si="367"/>
        <v>3854.3160528563512</v>
      </c>
      <c r="F1680" s="16">
        <f t="shared" si="367"/>
        <v>6292.9663872393394</v>
      </c>
      <c r="G1680" s="16">
        <f t="shared" si="367"/>
        <v>7338.1022448320509</v>
      </c>
      <c r="H1680" s="16">
        <f t="shared" si="367"/>
        <v>7338.1022448320509</v>
      </c>
      <c r="I1680" s="16">
        <f t="shared" si="367"/>
        <v>7338.1022448320509</v>
      </c>
      <c r="J1680" s="16">
        <f t="shared" si="367"/>
        <v>7338.1022448320509</v>
      </c>
      <c r="K1680" s="16">
        <f t="shared" si="367"/>
        <v>7338.1022448320509</v>
      </c>
      <c r="L1680" s="16">
        <f t="shared" si="367"/>
        <v>7338.1022448320509</v>
      </c>
      <c r="M1680" s="16">
        <f t="shared" si="367"/>
        <v>7338.1022448320509</v>
      </c>
    </row>
    <row r="1681" spans="2:13" ht="15" customHeight="1" x14ac:dyDescent="0.2">
      <c r="B1681" s="10" t="s">
        <v>906</v>
      </c>
      <c r="C1681" s="10" t="s">
        <v>110</v>
      </c>
      <c r="D1681" s="16">
        <f>MAX(D1680,Inputs!$D$6)*Inputs!$D$19</f>
        <v>303.48152157827309</v>
      </c>
      <c r="E1681" s="16">
        <f>MAX(E1680,Inputs!$D$6)*Inputs!$D$19</f>
        <v>1156.2948158569054</v>
      </c>
      <c r="F1681" s="16">
        <f>MAX(F1680,Inputs!$D$6)*Inputs!$D$19</f>
        <v>1887.8899161718018</v>
      </c>
      <c r="G1681" s="16">
        <f>MAX(G1680,Inputs!$D$6)*Inputs!$D$19</f>
        <v>2201.4306734496154</v>
      </c>
      <c r="H1681" s="16">
        <f>MAX(H1680,Inputs!$D$6)*Inputs!$D$19</f>
        <v>2201.4306734496154</v>
      </c>
      <c r="I1681" s="16">
        <f>MAX(I1680,Inputs!$D$6)*Inputs!$D$19</f>
        <v>2201.4306734496154</v>
      </c>
      <c r="J1681" s="16">
        <f>MAX(J1680,Inputs!$D$6)*Inputs!$D$19</f>
        <v>2201.4306734496154</v>
      </c>
      <c r="K1681" s="16">
        <f>MAX(K1680,Inputs!$D$6)*Inputs!$D$19</f>
        <v>2201.4306734496154</v>
      </c>
      <c r="L1681" s="16">
        <f>MAX(L1680,Inputs!$D$6)*Inputs!$D$19</f>
        <v>2201.4306734496154</v>
      </c>
      <c r="M1681" s="16">
        <f>MAX(M1680,Inputs!$D$6)*Inputs!$D$19</f>
        <v>2201.4306734496154</v>
      </c>
    </row>
    <row r="1682" spans="2:13" ht="15" customHeight="1" x14ac:dyDescent="0.2">
      <c r="B1682" s="10" t="s">
        <v>907</v>
      </c>
      <c r="C1682" s="10" t="s">
        <v>110</v>
      </c>
      <c r="D1682" s="16">
        <f t="shared" ref="D1682:M1682" si="368">D1675*$D$1688</f>
        <v>208.73849251979945</v>
      </c>
      <c r="E1682" s="16">
        <f t="shared" si="368"/>
        <v>278.31799002639923</v>
      </c>
      <c r="F1682" s="16">
        <f t="shared" si="368"/>
        <v>208.73849251979945</v>
      </c>
      <c r="G1682" s="16">
        <f t="shared" si="368"/>
        <v>0</v>
      </c>
      <c r="H1682" s="16">
        <f t="shared" si="368"/>
        <v>0</v>
      </c>
      <c r="I1682" s="16">
        <f t="shared" si="368"/>
        <v>0</v>
      </c>
      <c r="J1682" s="16">
        <f t="shared" si="368"/>
        <v>0</v>
      </c>
      <c r="K1682" s="16">
        <f t="shared" si="368"/>
        <v>0</v>
      </c>
      <c r="L1682" s="16">
        <f t="shared" si="368"/>
        <v>0</v>
      </c>
      <c r="M1682" s="16">
        <f t="shared" si="368"/>
        <v>0</v>
      </c>
    </row>
    <row r="1683" spans="2:13" ht="15" customHeight="1" x14ac:dyDescent="0.2">
      <c r="B1683" s="10" t="s">
        <v>908</v>
      </c>
      <c r="C1683" s="10" t="s">
        <v>110</v>
      </c>
      <c r="D1683" s="16">
        <f t="shared" ref="D1683:M1683" si="369">D1679-D1681-D1673-D1674-D1682</f>
        <v>-13244.606276384207</v>
      </c>
      <c r="E1683" s="16">
        <f t="shared" si="369"/>
        <v>-11405.390531472114</v>
      </c>
      <c r="F1683" s="16">
        <f t="shared" si="369"/>
        <v>-61.625838584915158</v>
      </c>
      <c r="G1683" s="16">
        <f t="shared" si="369"/>
        <v>15678.874563513244</v>
      </c>
      <c r="H1683" s="16">
        <f t="shared" si="369"/>
        <v>3435.0911902721346</v>
      </c>
      <c r="I1683" s="16">
        <f t="shared" si="369"/>
        <v>-1525.5048836639617</v>
      </c>
      <c r="J1683" s="16">
        <f t="shared" si="369"/>
        <v>3435.0911902721346</v>
      </c>
      <c r="K1683" s="16">
        <f t="shared" si="369"/>
        <v>15678.874563513244</v>
      </c>
      <c r="L1683" s="16">
        <f t="shared" si="369"/>
        <v>3435.0911902721346</v>
      </c>
      <c r="M1683" s="16">
        <f t="shared" si="369"/>
        <v>-1525.5048836639617</v>
      </c>
    </row>
    <row r="1684" spans="2:13" ht="15" customHeight="1" x14ac:dyDescent="0.2">
      <c r="B1684" s="10" t="s">
        <v>909</v>
      </c>
      <c r="C1684" s="10" t="s">
        <v>110</v>
      </c>
      <c r="D1684" s="16">
        <f>D1683/(Inputs!$D$7+$D$1690)^D1664</f>
        <v>-12535.88896839163</v>
      </c>
      <c r="E1684" s="16">
        <f>E1683/(Inputs!$D$7+$D$1690)^E1664</f>
        <v>-9993.8737191525397</v>
      </c>
      <c r="F1684" s="16">
        <f>F1683/(Inputs!$D$7+$D$1690)^F1664</f>
        <v>-50.00180255420608</v>
      </c>
      <c r="G1684" s="16">
        <f>G1683/(Inputs!$D$7+$D$1690)^G1664</f>
        <v>11779.770414580948</v>
      </c>
      <c r="H1684" s="16">
        <f>H1683/(Inputs!$D$7+$D$1690)^H1664</f>
        <v>2389.7877634175024</v>
      </c>
      <c r="I1684" s="16">
        <f>I1683/(Inputs!$D$7+$D$1690)^I1664</f>
        <v>-982.52198576086482</v>
      </c>
      <c r="J1684" s="16">
        <f>J1683/(Inputs!$D$7+$D$1690)^J1664</f>
        <v>2048.6419780199149</v>
      </c>
      <c r="K1684" s="16">
        <f>K1683/(Inputs!$D$7+$D$1690)^K1664</f>
        <v>8658.4829138054483</v>
      </c>
      <c r="L1684" s="16">
        <f>L1683/(Inputs!$D$7+$D$1690)^L1664</f>
        <v>1756.5653479595319</v>
      </c>
      <c r="M1684" s="16">
        <f>M1683/(Inputs!$D$7+$D$1690)^M1664</f>
        <v>-722.1829905630874</v>
      </c>
    </row>
    <row r="1685" spans="2:13" ht="15" customHeight="1" x14ac:dyDescent="0.2">
      <c r="B1685" s="3" t="s">
        <v>910</v>
      </c>
      <c r="C1685" s="10" t="s">
        <v>896</v>
      </c>
      <c r="D1685" s="28">
        <f>(D1671*$D$1689-D1675)/(Inputs!$D$7+$D$1690)^D1664</f>
        <v>77.066621761551716</v>
      </c>
      <c r="E1685" s="28">
        <f>(E1671*$D$1689-E1675)/(Inputs!$D$7+$D$1690)^E1664</f>
        <v>285.91752168073901</v>
      </c>
      <c r="F1685" s="28">
        <f>(F1671*$D$1689-F1675)/(Inputs!$D$7+$D$1690)^F1664</f>
        <v>438.45811591722685</v>
      </c>
      <c r="G1685" s="28">
        <f>(G1671*$D$1689-G1675)/(Inputs!$D$7+$D$1690)^G1664</f>
        <v>479.11344420469857</v>
      </c>
      <c r="H1685" s="28">
        <f>(H1671*$D$1689-H1675)/(Inputs!$D$7+$D$1690)^H1664</f>
        <v>443.6469288055813</v>
      </c>
      <c r="I1685" s="28">
        <f>(I1671*$D$1689-I1675)/(Inputs!$D$7+$D$1690)^I1664</f>
        <v>410.71928187790763</v>
      </c>
      <c r="J1685" s="28">
        <f>(J1671*$D$1689-J1675)/(Inputs!$D$7+$D$1690)^J1664</f>
        <v>380.31566471450867</v>
      </c>
      <c r="K1685" s="28">
        <f>(K1671*$D$1689-K1675)/(Inputs!$D$7+$D$1690)^K1664</f>
        <v>352.16268436658129</v>
      </c>
      <c r="L1685" s="28">
        <f>(L1671*$D$1689-L1675)/(Inputs!$D$7+$D$1690)^L1664</f>
        <v>326.09373677356496</v>
      </c>
      <c r="M1685" s="28">
        <f>(M1671*$D$1689-M1675)/(Inputs!$D$7+$D$1690)^M1664</f>
        <v>301.89093329938345</v>
      </c>
    </row>
    <row r="1686" spans="2:13" ht="15" customHeight="1" x14ac:dyDescent="0.2">
      <c r="B1686" s="10" t="s">
        <v>911</v>
      </c>
      <c r="C1686" s="10" t="s">
        <v>110</v>
      </c>
      <c r="D1686" s="16">
        <f>(-D1673-D1674)/(Inputs!$D$7+$D$1690)^D1664</f>
        <v>-14728.303038392241</v>
      </c>
      <c r="E1686" s="16">
        <f>(-E1673-E1674)/(Inputs!$D$7+$D$1690)^E1664</f>
        <v>-18180.216908055725</v>
      </c>
      <c r="F1686" s="16">
        <f>(-F1673-F1674)/(Inputs!$D$7+$D$1690)^F1664</f>
        <v>-12625.815702688111</v>
      </c>
      <c r="G1686" s="16">
        <f>(-G1673-G1674)/(Inputs!$D$7+$D$1690)^G1664</f>
        <v>-1981.9720696655354</v>
      </c>
      <c r="H1686" s="16">
        <f>(-H1673-H1674)/(Inputs!$D$7+$D$1690)^H1664</f>
        <v>-10353.237634844469</v>
      </c>
      <c r="I1686" s="16">
        <f>(-I1673-I1674)/(Inputs!$D$7+$D$1690)^I1664</f>
        <v>-12779.755102232404</v>
      </c>
      <c r="J1686" s="16">
        <f>(-J1673-J1674)/(Inputs!$D$7+$D$1690)^J1664</f>
        <v>-8875.2974434962562</v>
      </c>
      <c r="K1686" s="16">
        <f>(-K1673-K1674)/(Inputs!$D$7+$D$1690)^K1664</f>
        <v>-1456.8086386129401</v>
      </c>
      <c r="L1686" s="16">
        <f>(-L1673-L1674)/(Inputs!$D$7+$D$1690)^L1664</f>
        <v>-7609.9387347064285</v>
      </c>
      <c r="M1686" s="16">
        <f>(-M1673-M1674)/(Inputs!$D$7+$D$1690)^M1664</f>
        <v>-9393.5015115686074</v>
      </c>
    </row>
    <row r="1687" spans="2:13" ht="15" customHeight="1" x14ac:dyDescent="0.2">
      <c r="B1687" s="10" t="s">
        <v>912</v>
      </c>
      <c r="C1687" s="10" t="s">
        <v>110</v>
      </c>
      <c r="D1687" s="16">
        <f>Prices!I7</f>
        <v>35754.545454545456</v>
      </c>
    </row>
    <row r="1688" spans="2:13" ht="15" customHeight="1" x14ac:dyDescent="0.2">
      <c r="B1688" s="3" t="s">
        <v>913</v>
      </c>
      <c r="C1688" s="10" t="s">
        <v>914</v>
      </c>
      <c r="D1688" s="28">
        <f>IF(J1695&gt;=J1691,J1695,(D1687-J1694)/J1693)</f>
        <v>32.17549017646234</v>
      </c>
      <c r="G1688" s="99" t="s">
        <v>915</v>
      </c>
      <c r="H1688" s="91"/>
      <c r="I1688" s="91"/>
      <c r="J1688" s="28">
        <f>D1688*Inputs!$D$15</f>
        <v>22.455274594153067</v>
      </c>
      <c r="K1688" s="99" t="s">
        <v>916</v>
      </c>
      <c r="L1688" s="91"/>
      <c r="M1688" s="91"/>
    </row>
    <row r="1689" spans="2:13" ht="15" customHeight="1" x14ac:dyDescent="0.2">
      <c r="B1689" s="10" t="s">
        <v>917</v>
      </c>
      <c r="C1689" s="10" t="s">
        <v>104</v>
      </c>
      <c r="D1689" s="30">
        <f>Inputs!$D$143</f>
        <v>0.7</v>
      </c>
      <c r="G1689" s="99" t="s">
        <v>918</v>
      </c>
      <c r="H1689" s="91"/>
      <c r="I1689" s="91"/>
      <c r="J1689" s="28">
        <f>IF(-D1700/D1699&gt;=J1691,-D1700/D1699,-J1694/J1693)</f>
        <v>26.566474729035129</v>
      </c>
      <c r="K1689" s="99" t="s">
        <v>919</v>
      </c>
      <c r="L1689" s="91"/>
      <c r="M1689" s="91"/>
    </row>
    <row r="1690" spans="2:13" ht="15" customHeight="1" x14ac:dyDescent="0.2">
      <c r="B1690" s="10" t="s">
        <v>920</v>
      </c>
      <c r="C1690" s="10" t="s">
        <v>104</v>
      </c>
      <c r="D1690" s="30">
        <f>Inputs!$D$146</f>
        <v>0.08</v>
      </c>
      <c r="G1690" s="99" t="s">
        <v>918</v>
      </c>
      <c r="H1690" s="91"/>
      <c r="I1690" s="91"/>
      <c r="J1690" s="28">
        <f>J1689*Inputs!$D$15</f>
        <v>18.540742713393616</v>
      </c>
      <c r="K1690" s="99" t="s">
        <v>916</v>
      </c>
      <c r="L1690" s="91"/>
      <c r="M1690" s="91"/>
    </row>
    <row r="1691" spans="2:13" ht="15" customHeight="1" x14ac:dyDescent="0.2">
      <c r="B1691" s="3" t="s">
        <v>921</v>
      </c>
      <c r="C1691" s="10" t="s">
        <v>848</v>
      </c>
      <c r="D1691" s="28">
        <f>Capital!$D$13</f>
        <v>57.347931490590682</v>
      </c>
      <c r="G1691" s="99" t="s">
        <v>922</v>
      </c>
      <c r="H1691" s="91"/>
      <c r="I1691" s="91"/>
      <c r="J1691" s="28">
        <f>($D$1691/Inputs!$D$21+$D$1692/Inputs!$D$22)/$D$1689</f>
        <v>20.668351639796114</v>
      </c>
      <c r="K1691" s="99" t="s">
        <v>919</v>
      </c>
      <c r="L1691" s="91"/>
      <c r="M1691" s="91"/>
    </row>
    <row r="1692" spans="2:13" ht="15" customHeight="1" x14ac:dyDescent="0.2">
      <c r="B1692" s="3" t="s">
        <v>923</v>
      </c>
      <c r="C1692" s="10" t="s">
        <v>848</v>
      </c>
      <c r="D1692" s="28">
        <f>Capital!$D$14</f>
        <v>2.6172655041921802</v>
      </c>
    </row>
    <row r="1693" spans="2:13" ht="15" customHeight="1" x14ac:dyDescent="0.2">
      <c r="B1693" s="10" t="s">
        <v>924</v>
      </c>
      <c r="C1693" s="10" t="s">
        <v>896</v>
      </c>
      <c r="D1693" s="28">
        <f>(M1666*(Inputs!$D$7+Inputs!$D$20)*$D$1689*(Inputs!$D$7-Inputs!$D$19)-M1666*Inputs!$D$20*Inputs!$D$23)/($D$1690-Inputs!$D$20)/(Inputs!$D$7+$D$1690)^M1664</f>
        <v>3933.4036212026808</v>
      </c>
      <c r="G1693" s="92" t="s">
        <v>910</v>
      </c>
      <c r="H1693" s="91"/>
      <c r="I1693" s="91"/>
      <c r="J1693" s="28">
        <f>SUM(D1685:M1685)+(M1666*(Inputs!$D$7+Inputs!$D$20)*$D$1689-M1666*Inputs!$D$20*Inputs!$D$23)/($D$1690-Inputs!$D$20)/(Inputs!$D$7+$D$1690)^M1664</f>
        <v>9116.6333180509773</v>
      </c>
      <c r="K1693" s="99" t="s">
        <v>896</v>
      </c>
      <c r="L1693" s="91"/>
      <c r="M1693" s="91"/>
    </row>
    <row r="1694" spans="2:13" ht="15" customHeight="1" x14ac:dyDescent="0.2">
      <c r="B1694" s="10" t="s">
        <v>925</v>
      </c>
      <c r="C1694" s="10" t="s">
        <v>110</v>
      </c>
      <c r="D1694" s="16">
        <f>(D1697*Inputs!$D$19-D1697-D1698)/($D$1690-Inputs!$D$20)/(Inputs!$D$7+$D$1690)^M1664</f>
        <v>-93153.423070883771</v>
      </c>
      <c r="G1694" s="92" t="s">
        <v>926</v>
      </c>
      <c r="H1694" s="91"/>
      <c r="I1694" s="91"/>
      <c r="J1694" s="16">
        <f>SUM(D1686:M1686)-(D1697+D1698)/($D$1690-Inputs!$D$20)/(Inputs!$D$7+$D$1690)^M1664</f>
        <v>-226023.23893944838</v>
      </c>
      <c r="K1694" s="99" t="s">
        <v>110</v>
      </c>
      <c r="L1694" s="91"/>
      <c r="M1694" s="91"/>
    </row>
    <row r="1695" spans="2:13" ht="15" customHeight="1" x14ac:dyDescent="0.2">
      <c r="B1695" s="10" t="s">
        <v>927</v>
      </c>
      <c r="C1695" s="10" t="s">
        <v>928</v>
      </c>
      <c r="D1695" s="16">
        <f>(M1666*(Inputs!$D$7+Inputs!$D$20)*$D$1688*$D$1689-D1697)-MAX((M1666*(Inputs!$D$7+Inputs!$D$20)*$D$1688*$D$1689-D1697),Inputs!$D$6)*Inputs!$D$19-D1698-M1666*Inputs!$D$20*$D$1688*Inputs!$D$23</f>
        <v>3881.0610793915926</v>
      </c>
      <c r="G1695" s="99" t="s">
        <v>929</v>
      </c>
      <c r="H1695" s="91"/>
      <c r="I1695" s="91"/>
      <c r="J1695" s="28">
        <f>(D1687-D1700)/D1699</f>
        <v>32.17549017646234</v>
      </c>
      <c r="K1695" s="99" t="s">
        <v>919</v>
      </c>
      <c r="L1695" s="91"/>
      <c r="M1695" s="91"/>
    </row>
    <row r="1696" spans="2:13" ht="15" customHeight="1" x14ac:dyDescent="0.2">
      <c r="B1696" s="10" t="s">
        <v>930</v>
      </c>
      <c r="C1696" s="10" t="s">
        <v>110</v>
      </c>
      <c r="D1696" s="16">
        <f>D1695/($D$1690-Inputs!$D$20)</f>
        <v>70564.746898028956</v>
      </c>
      <c r="G1696" s="99" t="s">
        <v>931</v>
      </c>
      <c r="H1696" s="91"/>
      <c r="I1696" s="91"/>
      <c r="J1696" s="16">
        <f>MIN(D1680:M1680,(M1666*(Inputs!$D$7+Inputs!$D$20)*$D$1688*$D$1689-D1697))</f>
        <v>1011.605071927577</v>
      </c>
      <c r="K1696" s="99" t="s">
        <v>110</v>
      </c>
      <c r="L1696" s="91"/>
      <c r="M1696" s="91"/>
    </row>
    <row r="1697" spans="1:13" ht="15" customHeight="1" x14ac:dyDescent="0.2">
      <c r="B1697" s="10" t="s">
        <v>932</v>
      </c>
      <c r="C1697" s="10" t="s">
        <v>928</v>
      </c>
      <c r="D1697" s="16">
        <f>M1666*(Inputs!$D$7+Inputs!$D$20)*($D$1691/Inputs!$D$21+$D$1692/Inputs!$D$22)</f>
        <v>13509.71303671543</v>
      </c>
      <c r="G1697" s="99" t="s">
        <v>933</v>
      </c>
      <c r="H1697" s="91"/>
      <c r="I1697" s="91"/>
      <c r="J1697" s="31" t="str">
        <f>IF(J1696&lt;Inputs!$D$6,"breached","satisfied")</f>
        <v>satisfied</v>
      </c>
      <c r="K1697" s="99" t="s">
        <v>934</v>
      </c>
      <c r="L1697" s="91"/>
      <c r="M1697" s="91"/>
    </row>
    <row r="1698" spans="1:13" ht="15" customHeight="1" x14ac:dyDescent="0.2">
      <c r="B1698" s="10" t="s">
        <v>935</v>
      </c>
      <c r="C1698" s="10" t="s">
        <v>928</v>
      </c>
      <c r="D1698" s="16">
        <f>M1666*Inputs!$D$20*($D$1691+$D$1692)</f>
        <v>1365.7073615561799</v>
      </c>
    </row>
    <row r="1699" spans="1:13" ht="15" customHeight="1" x14ac:dyDescent="0.2">
      <c r="B1699" s="10" t="s">
        <v>936</v>
      </c>
      <c r="C1699" s="10" t="s">
        <v>896</v>
      </c>
      <c r="D1699" s="28">
        <f>SUM(D1676:M1676)+D1693</f>
        <v>6374.4779791871788</v>
      </c>
      <c r="G1699" s="99" t="s">
        <v>937</v>
      </c>
      <c r="H1699" s="91"/>
      <c r="I1699" s="91"/>
      <c r="J1699" s="16">
        <f>D1701-D1687</f>
        <v>0</v>
      </c>
      <c r="K1699" s="99" t="s">
        <v>110</v>
      </c>
      <c r="L1699" s="91"/>
      <c r="M1699" s="91"/>
    </row>
    <row r="1700" spans="1:13" ht="15" customHeight="1" x14ac:dyDescent="0.2">
      <c r="B1700" s="10" t="s">
        <v>938</v>
      </c>
      <c r="C1700" s="10" t="s">
        <v>110</v>
      </c>
      <c r="D1700" s="16">
        <f>SUM(D1677:M1677)+D1694</f>
        <v>-169347.40814486711</v>
      </c>
    </row>
    <row r="1701" spans="1:13" ht="15" customHeight="1" x14ac:dyDescent="0.2">
      <c r="B1701" s="10" t="s">
        <v>939</v>
      </c>
      <c r="C1701" s="10" t="s">
        <v>110</v>
      </c>
      <c r="D1701" s="16">
        <f>SUM(D1684:M1684)+D1696/(Inputs!$D$7+$D$1690)^M1664</f>
        <v>35754.545454545492</v>
      </c>
    </row>
    <row r="1702" spans="1:13" ht="15" customHeight="1" x14ac:dyDescent="0.2">
      <c r="B1702" s="10" t="s">
        <v>940</v>
      </c>
      <c r="C1702" s="10" t="s">
        <v>104</v>
      </c>
      <c r="D1702" s="30">
        <f>IF(ABS(D1687)&gt;Inputs!$D$6,D1701/D1687-Inputs!$D$7,Inputs!$D$6)</f>
        <v>1.1102230246251565E-15</v>
      </c>
    </row>
    <row r="1703" spans="1:13" ht="15" customHeight="1" x14ac:dyDescent="0.2">
      <c r="B1703" s="10" t="s">
        <v>941</v>
      </c>
      <c r="C1703" s="10" t="s">
        <v>104</v>
      </c>
      <c r="D1703" s="30">
        <f>IF(ABS(D1701)&gt;Inputs!$D$119,D1696/(Inputs!$D$7+$D$1690)^M1664/D1701,Inputs!$D$6)</f>
        <v>0.93430824188921646</v>
      </c>
    </row>
    <row r="1704" spans="1:13" ht="15" customHeight="1" x14ac:dyDescent="0.2">
      <c r="B1704" s="10" t="s">
        <v>942</v>
      </c>
      <c r="C1704" s="10" t="s">
        <v>943</v>
      </c>
      <c r="D1704" s="26">
        <f>$D$1688*Inputs!$D$8/Prices!$P$6/(Inputs!$D$26/Inputs!$D$25)/Inputs!$D$11/Inputs!$D$56</f>
        <v>5.8512106223597193</v>
      </c>
    </row>
    <row r="1708" spans="1:13" ht="15" customHeight="1" x14ac:dyDescent="0.2">
      <c r="A1708" s="104" t="s">
        <v>2202</v>
      </c>
      <c r="B1708" s="10" t="s">
        <v>886</v>
      </c>
      <c r="C1708" s="10" t="s">
        <v>107</v>
      </c>
      <c r="D1708" s="28">
        <f>Inputs!$D$60</f>
        <v>1</v>
      </c>
      <c r="E1708" s="28">
        <f>Inputs!$D$62</f>
        <v>2</v>
      </c>
      <c r="F1708" s="28">
        <f>Inputs!$D$64</f>
        <v>3</v>
      </c>
      <c r="G1708" s="28">
        <f>Inputs!$D$66</f>
        <v>4</v>
      </c>
      <c r="H1708" s="28">
        <f>Inputs!$D$68</f>
        <v>5</v>
      </c>
      <c r="I1708" s="28">
        <f>Inputs!$D$70</f>
        <v>6</v>
      </c>
      <c r="J1708" s="28">
        <f>Inputs!$D$72</f>
        <v>7</v>
      </c>
      <c r="K1708" s="28">
        <f>Inputs!$D$74</f>
        <v>8</v>
      </c>
      <c r="L1708" s="28">
        <f>Inputs!$D$76</f>
        <v>9</v>
      </c>
      <c r="M1708" s="28">
        <f>Inputs!$D$78</f>
        <v>10</v>
      </c>
    </row>
    <row r="1709" spans="1:13" ht="15" customHeight="1" x14ac:dyDescent="0.2">
      <c r="A1709" s="91"/>
      <c r="B1709" s="10" t="s">
        <v>887</v>
      </c>
      <c r="C1709" s="10" t="s">
        <v>161</v>
      </c>
      <c r="D1709" s="29">
        <f>Inputs!$D$61</f>
        <v>46568</v>
      </c>
      <c r="E1709" s="29">
        <f>Inputs!$D$63</f>
        <v>46934</v>
      </c>
      <c r="F1709" s="29">
        <f>Inputs!$D$65</f>
        <v>47299</v>
      </c>
      <c r="G1709" s="29">
        <f>Inputs!$D$67</f>
        <v>47664</v>
      </c>
      <c r="H1709" s="29">
        <f>Inputs!$D$69</f>
        <v>48029</v>
      </c>
      <c r="I1709" s="29">
        <f>Inputs!$D$71</f>
        <v>48395</v>
      </c>
      <c r="J1709" s="29">
        <f>Inputs!$D$73</f>
        <v>48760</v>
      </c>
      <c r="K1709" s="29">
        <f>Inputs!$D$75</f>
        <v>49125</v>
      </c>
      <c r="L1709" s="29">
        <f>Inputs!$D$77</f>
        <v>49490</v>
      </c>
      <c r="M1709" s="29">
        <f>Inputs!$D$79</f>
        <v>49856</v>
      </c>
    </row>
    <row r="1710" spans="1:13" ht="15" customHeight="1" x14ac:dyDescent="0.2">
      <c r="A1710" s="91"/>
      <c r="B1710" s="10" t="s">
        <v>888</v>
      </c>
      <c r="C1710" s="10" t="s">
        <v>107</v>
      </c>
      <c r="D1710" s="28">
        <f>(D1709-Inputs!$D$13)/Inputs!$D$10</f>
        <v>0.71457905544147848</v>
      </c>
      <c r="E1710" s="28">
        <f>(E1709-Inputs!$D$13)/Inputs!$D$10</f>
        <v>1.7166324435318274</v>
      </c>
      <c r="F1710" s="28">
        <f>(F1709-Inputs!$D$13)/Inputs!$D$10</f>
        <v>2.7159479808350446</v>
      </c>
      <c r="G1710" s="28">
        <f>(G1709-Inputs!$D$13)/Inputs!$D$10</f>
        <v>3.7152635181382614</v>
      </c>
      <c r="H1710" s="28">
        <f>(H1709-Inputs!$D$13)/Inputs!$D$10</f>
        <v>4.7145790554414786</v>
      </c>
      <c r="I1710" s="28">
        <f>(I1709-Inputs!$D$13)/Inputs!$D$10</f>
        <v>5.7166324435318279</v>
      </c>
      <c r="J1710" s="28">
        <f>(J1709-Inputs!$D$13)/Inputs!$D$10</f>
        <v>6.7159479808350442</v>
      </c>
      <c r="K1710" s="28">
        <f>(K1709-Inputs!$D$13)/Inputs!$D$10</f>
        <v>7.7152635181382614</v>
      </c>
      <c r="L1710" s="28">
        <f>(L1709-Inputs!$D$13)/Inputs!$D$10</f>
        <v>8.7145790554414777</v>
      </c>
      <c r="M1710" s="28">
        <f>(M1709-Inputs!$D$13)/Inputs!$D$10</f>
        <v>9.716632443531827</v>
      </c>
    </row>
    <row r="1711" spans="1:13" ht="15" customHeight="1" x14ac:dyDescent="0.2">
      <c r="A1711" s="91"/>
      <c r="B1711" s="10" t="s">
        <v>889</v>
      </c>
      <c r="C1711" s="10" t="s">
        <v>107</v>
      </c>
      <c r="D1711" s="28">
        <f>D1710</f>
        <v>0.71457905544147848</v>
      </c>
      <c r="E1711" s="28">
        <f>Inputs!$D$7</f>
        <v>1</v>
      </c>
      <c r="F1711" s="28">
        <f>Inputs!$D$7</f>
        <v>1</v>
      </c>
      <c r="G1711" s="28">
        <f>Inputs!$D$7</f>
        <v>1</v>
      </c>
      <c r="H1711" s="28">
        <f>Inputs!$D$7</f>
        <v>1</v>
      </c>
      <c r="I1711" s="28">
        <f>Inputs!$D$7</f>
        <v>1</v>
      </c>
      <c r="J1711" s="28">
        <f>Inputs!$D$7</f>
        <v>1</v>
      </c>
      <c r="K1711" s="28">
        <f>Inputs!$D$7</f>
        <v>1</v>
      </c>
      <c r="L1711" s="28">
        <f>Inputs!$D$7</f>
        <v>1</v>
      </c>
      <c r="M1711" s="28">
        <f>Inputs!$D$7</f>
        <v>1</v>
      </c>
    </row>
    <row r="1712" spans="1:13" ht="15" customHeight="1" x14ac:dyDescent="0.2">
      <c r="A1712" s="91"/>
      <c r="B1712" s="3" t="s">
        <v>890</v>
      </c>
      <c r="C1712" s="10" t="s">
        <v>199</v>
      </c>
      <c r="D1712" s="28">
        <f>Inputs!$D$24+(Inputs!$D$80-Inputs!$D$24)*Inputs!$D$83</f>
        <v>305.5</v>
      </c>
      <c r="E1712" s="28">
        <f>Inputs!$D$24+(Inputs!$D$80-Inputs!$D$24)*Inputs!$D$84</f>
        <v>651.5</v>
      </c>
      <c r="F1712" s="28">
        <f>Inputs!$D$24+(Inputs!$D$80-Inputs!$D$24)*Inputs!$D$85</f>
        <v>911</v>
      </c>
      <c r="G1712" s="28">
        <f>Inputs!$D$24+(Inputs!$D$80-Inputs!$D$24)*Inputs!$D$86</f>
        <v>911</v>
      </c>
      <c r="H1712" s="28">
        <f>Inputs!$D$24+(Inputs!$D$80-Inputs!$D$24)*Inputs!$D$87</f>
        <v>911</v>
      </c>
      <c r="I1712" s="28">
        <f>Inputs!$D$24+(Inputs!$D$80-Inputs!$D$24)*Inputs!$D$88</f>
        <v>911</v>
      </c>
      <c r="J1712" s="28">
        <f>Inputs!$D$24+(Inputs!$D$80-Inputs!$D$24)*Inputs!$D$89</f>
        <v>911</v>
      </c>
      <c r="K1712" s="28">
        <f>Inputs!$D$24+(Inputs!$D$80-Inputs!$D$24)*Inputs!$D$90</f>
        <v>911</v>
      </c>
      <c r="L1712" s="28">
        <f>Inputs!$D$24+(Inputs!$D$80-Inputs!$D$24)*Inputs!$D$91</f>
        <v>911</v>
      </c>
      <c r="M1712" s="28">
        <f>Inputs!$D$24+(Inputs!$D$80-Inputs!$D$24)*Inputs!$D$92</f>
        <v>911</v>
      </c>
    </row>
    <row r="1713" spans="1:13" ht="15" customHeight="1" x14ac:dyDescent="0.2">
      <c r="A1713" s="91"/>
      <c r="B1713" s="10" t="s">
        <v>891</v>
      </c>
      <c r="C1713" s="10" t="s">
        <v>199</v>
      </c>
      <c r="D1713" s="28">
        <f>Inputs!$D$24</f>
        <v>46</v>
      </c>
      <c r="E1713" s="28">
        <f t="shared" ref="E1713:M1713" si="370">D1712</f>
        <v>305.5</v>
      </c>
      <c r="F1713" s="28">
        <f t="shared" si="370"/>
        <v>651.5</v>
      </c>
      <c r="G1713" s="28">
        <f t="shared" si="370"/>
        <v>911</v>
      </c>
      <c r="H1713" s="28">
        <f t="shared" si="370"/>
        <v>911</v>
      </c>
      <c r="I1713" s="28">
        <f t="shared" si="370"/>
        <v>911</v>
      </c>
      <c r="J1713" s="28">
        <f t="shared" si="370"/>
        <v>911</v>
      </c>
      <c r="K1713" s="28">
        <f t="shared" si="370"/>
        <v>911</v>
      </c>
      <c r="L1713" s="28">
        <f t="shared" si="370"/>
        <v>911</v>
      </c>
      <c r="M1713" s="28">
        <f t="shared" si="370"/>
        <v>911</v>
      </c>
    </row>
    <row r="1714" spans="1:13" ht="15" customHeight="1" x14ac:dyDescent="0.2">
      <c r="B1714" s="10" t="s">
        <v>892</v>
      </c>
      <c r="C1714" s="10" t="s">
        <v>199</v>
      </c>
      <c r="D1714" s="28">
        <f>(D1713+D1712)*Inputs!$D$12</f>
        <v>175.75</v>
      </c>
      <c r="E1714" s="28">
        <f>(E1713+E1712)*Inputs!$D$12</f>
        <v>478.5</v>
      </c>
      <c r="F1714" s="28">
        <f>(F1713+F1712)*Inputs!$D$12</f>
        <v>781.25</v>
      </c>
      <c r="G1714" s="28">
        <f>(G1713+G1712)*Inputs!$D$12</f>
        <v>911</v>
      </c>
      <c r="H1714" s="28">
        <f>(H1713+H1712)*Inputs!$D$12</f>
        <v>911</v>
      </c>
      <c r="I1714" s="28">
        <f>(I1713+I1712)*Inputs!$D$12</f>
        <v>911</v>
      </c>
      <c r="J1714" s="28">
        <f>(J1713+J1712)*Inputs!$D$12</f>
        <v>911</v>
      </c>
      <c r="K1714" s="28">
        <f>(K1713+K1712)*Inputs!$D$12</f>
        <v>911</v>
      </c>
      <c r="L1714" s="28">
        <f>(L1713+L1712)*Inputs!$D$12</f>
        <v>911</v>
      </c>
      <c r="M1714" s="28">
        <f>(M1713+M1712)*Inputs!$D$12</f>
        <v>911</v>
      </c>
    </row>
    <row r="1715" spans="1:13" ht="15" customHeight="1" x14ac:dyDescent="0.2">
      <c r="B1715" s="10" t="s">
        <v>893</v>
      </c>
      <c r="C1715" s="10" t="s">
        <v>199</v>
      </c>
      <c r="D1715" s="28">
        <f t="shared" ref="D1715:M1715" si="371">D1712-D1713</f>
        <v>259.5</v>
      </c>
      <c r="E1715" s="28">
        <f t="shared" si="371"/>
        <v>346</v>
      </c>
      <c r="F1715" s="28">
        <f t="shared" si="371"/>
        <v>259.5</v>
      </c>
      <c r="G1715" s="28">
        <f t="shared" si="371"/>
        <v>0</v>
      </c>
      <c r="H1715" s="28">
        <f t="shared" si="371"/>
        <v>0</v>
      </c>
      <c r="I1715" s="28">
        <f t="shared" si="371"/>
        <v>0</v>
      </c>
      <c r="J1715" s="28">
        <f t="shared" si="371"/>
        <v>0</v>
      </c>
      <c r="K1715" s="28">
        <f t="shared" si="371"/>
        <v>0</v>
      </c>
      <c r="L1715" s="28">
        <f t="shared" si="371"/>
        <v>0</v>
      </c>
      <c r="M1715" s="28">
        <f t="shared" si="371"/>
        <v>0</v>
      </c>
    </row>
    <row r="1716" spans="1:13" ht="15" customHeight="1" x14ac:dyDescent="0.2">
      <c r="B1716" s="10" t="s">
        <v>894</v>
      </c>
      <c r="C1716" s="10" t="s">
        <v>199</v>
      </c>
      <c r="D1716" s="28">
        <f>IF(MOD(D1708,Inputs!$D$21)=Inputs!$D$6,Inputs!$D$24,Inputs!$D$6)+SUMPRODUCT(--(D1708&gt;$D$1708:$M$1708),--(MOD(D1708-$D$1708:$M$1708,Inputs!$D$21)=Inputs!$D$6),$D$1715:$M$1715)</f>
        <v>0</v>
      </c>
      <c r="E1716" s="28">
        <f>IF(MOD(E1708,Inputs!$D$21)=Inputs!$D$6,Inputs!$D$24,Inputs!$D$6)+SUMPRODUCT(--(E1708&gt;$D$1708:$M$1708),--(MOD(E1708-$D$1708:$M$1708,Inputs!$D$21)=Inputs!$D$6),$D$1715:$M$1715)</f>
        <v>0</v>
      </c>
      <c r="F1716" s="28">
        <f>IF(MOD(F1708,Inputs!$D$21)=Inputs!$D$6,Inputs!$D$24,Inputs!$D$6)+SUMPRODUCT(--(F1708&gt;$D$1708:$M$1708),--(MOD(F1708-$D$1708:$M$1708,Inputs!$D$21)=Inputs!$D$6),$D$1715:$M$1715)</f>
        <v>0</v>
      </c>
      <c r="G1716" s="28">
        <f>IF(MOD(G1708,Inputs!$D$21)=Inputs!$D$6,Inputs!$D$24,Inputs!$D$6)+SUMPRODUCT(--(G1708&gt;$D$1708:$M$1708),--(MOD(G1708-$D$1708:$M$1708,Inputs!$D$21)=Inputs!$D$6),$D$1715:$M$1715)</f>
        <v>46</v>
      </c>
      <c r="H1716" s="28">
        <f>IF(MOD(H1708,Inputs!$D$21)=Inputs!$D$6,Inputs!$D$24,Inputs!$D$6)+SUMPRODUCT(--(H1708&gt;$D$1708:$M$1708),--(MOD(H1708-$D$1708:$M$1708,Inputs!$D$21)=Inputs!$D$6),$D$1715:$M$1715)</f>
        <v>259.5</v>
      </c>
      <c r="I1716" s="28">
        <f>IF(MOD(I1708,Inputs!$D$21)=Inputs!$D$6,Inputs!$D$24,Inputs!$D$6)+SUMPRODUCT(--(I1708&gt;$D$1708:$M$1708),--(MOD(I1708-$D$1708:$M$1708,Inputs!$D$21)=Inputs!$D$6),$D$1715:$M$1715)</f>
        <v>346</v>
      </c>
      <c r="J1716" s="28">
        <f>IF(MOD(J1708,Inputs!$D$21)=Inputs!$D$6,Inputs!$D$24,Inputs!$D$6)+SUMPRODUCT(--(J1708&gt;$D$1708:$M$1708),--(MOD(J1708-$D$1708:$M$1708,Inputs!$D$21)=Inputs!$D$6),$D$1715:$M$1715)</f>
        <v>259.5</v>
      </c>
      <c r="K1716" s="28">
        <f>IF(MOD(K1708,Inputs!$D$21)=Inputs!$D$6,Inputs!$D$24,Inputs!$D$6)+SUMPRODUCT(--(K1708&gt;$D$1708:$M$1708),--(MOD(K1708-$D$1708:$M$1708,Inputs!$D$21)=Inputs!$D$6),$D$1715:$M$1715)</f>
        <v>46</v>
      </c>
      <c r="L1716" s="28">
        <f>IF(MOD(L1708,Inputs!$D$21)=Inputs!$D$6,Inputs!$D$24,Inputs!$D$6)+SUMPRODUCT(--(L1708&gt;$D$1708:$M$1708),--(MOD(L1708-$D$1708:$M$1708,Inputs!$D$21)=Inputs!$D$6),$D$1715:$M$1715)</f>
        <v>259.5</v>
      </c>
      <c r="M1716" s="28">
        <f>IF(MOD(M1708,Inputs!$D$21)=Inputs!$D$6,Inputs!$D$24,Inputs!$D$6)+SUMPRODUCT(--(M1708&gt;$D$1708:$M$1708),--(MOD(M1708-$D$1708:$M$1708,Inputs!$D$21)=Inputs!$D$6),$D$1715:$M$1715)</f>
        <v>346</v>
      </c>
    </row>
    <row r="1717" spans="1:13" ht="15" customHeight="1" x14ac:dyDescent="0.2">
      <c r="B1717" s="10" t="s">
        <v>895</v>
      </c>
      <c r="C1717" s="10" t="s">
        <v>896</v>
      </c>
      <c r="D1717" s="28">
        <f t="shared" ref="D1717:M1717" si="372">D1714*D1711</f>
        <v>125.58726899383984</v>
      </c>
      <c r="E1717" s="28">
        <f t="shared" si="372"/>
        <v>478.5</v>
      </c>
      <c r="F1717" s="28">
        <f t="shared" si="372"/>
        <v>781.25</v>
      </c>
      <c r="G1717" s="28">
        <f t="shared" si="372"/>
        <v>911</v>
      </c>
      <c r="H1717" s="28">
        <f t="shared" si="372"/>
        <v>911</v>
      </c>
      <c r="I1717" s="28">
        <f t="shared" si="372"/>
        <v>911</v>
      </c>
      <c r="J1717" s="28">
        <f t="shared" si="372"/>
        <v>911</v>
      </c>
      <c r="K1717" s="28">
        <f t="shared" si="372"/>
        <v>911</v>
      </c>
      <c r="L1717" s="28">
        <f t="shared" si="372"/>
        <v>911</v>
      </c>
      <c r="M1717" s="28">
        <f t="shared" si="372"/>
        <v>911</v>
      </c>
    </row>
    <row r="1718" spans="1:13" ht="15" customHeight="1" x14ac:dyDescent="0.2">
      <c r="B1718" s="10" t="s">
        <v>897</v>
      </c>
      <c r="C1718" s="10" t="s">
        <v>110</v>
      </c>
      <c r="D1718" s="16">
        <f>D1717*($D$1737/Inputs!$D$21+$D$1738/Inputs!$D$22)</f>
        <v>1816.9772859324419</v>
      </c>
      <c r="E1718" s="16">
        <f>E1717*($D$1737/Inputs!$D$21+$D$1738/Inputs!$D$22)</f>
        <v>6922.8643817497086</v>
      </c>
      <c r="F1718" s="16">
        <f>F1717*($D$1737/Inputs!$D$21+$D$1738/Inputs!$D$22)</f>
        <v>11303.0048030135</v>
      </c>
      <c r="G1718" s="16">
        <f>G1717*($D$1737/Inputs!$D$21+$D$1738/Inputs!$D$22)</f>
        <v>13180.207840697982</v>
      </c>
      <c r="H1718" s="16">
        <f>H1717*($D$1737/Inputs!$D$21+$D$1738/Inputs!$D$22)</f>
        <v>13180.207840697982</v>
      </c>
      <c r="I1718" s="16">
        <f>I1717*($D$1737/Inputs!$D$21+$D$1738/Inputs!$D$22)</f>
        <v>13180.207840697982</v>
      </c>
      <c r="J1718" s="16">
        <f>J1717*($D$1737/Inputs!$D$21+$D$1738/Inputs!$D$22)</f>
        <v>13180.207840697982</v>
      </c>
      <c r="K1718" s="16">
        <f>K1717*($D$1737/Inputs!$D$21+$D$1738/Inputs!$D$22)</f>
        <v>13180.207840697982</v>
      </c>
      <c r="L1718" s="16">
        <f>L1717*($D$1737/Inputs!$D$21+$D$1738/Inputs!$D$22)</f>
        <v>13180.207840697982</v>
      </c>
      <c r="M1718" s="16">
        <f>M1717*($D$1737/Inputs!$D$21+$D$1738/Inputs!$D$22)</f>
        <v>13180.207840697982</v>
      </c>
    </row>
    <row r="1719" spans="1:13" ht="15" customHeight="1" x14ac:dyDescent="0.2">
      <c r="B1719" s="10" t="s">
        <v>898</v>
      </c>
      <c r="C1719" s="10" t="s">
        <v>110</v>
      </c>
      <c r="D1719" s="16">
        <f t="shared" ref="D1719:M1719" si="373">D1715*($D$1737+$D$1738)</f>
        <v>15560.968620146154</v>
      </c>
      <c r="E1719" s="16">
        <f t="shared" si="373"/>
        <v>20747.95816019487</v>
      </c>
      <c r="F1719" s="16">
        <f t="shared" si="373"/>
        <v>15560.968620146154</v>
      </c>
      <c r="G1719" s="16">
        <f t="shared" si="373"/>
        <v>0</v>
      </c>
      <c r="H1719" s="16">
        <f t="shared" si="373"/>
        <v>0</v>
      </c>
      <c r="I1719" s="16">
        <f t="shared" si="373"/>
        <v>0</v>
      </c>
      <c r="J1719" s="16">
        <f t="shared" si="373"/>
        <v>0</v>
      </c>
      <c r="K1719" s="16">
        <f t="shared" si="373"/>
        <v>0</v>
      </c>
      <c r="L1719" s="16">
        <f t="shared" si="373"/>
        <v>0</v>
      </c>
      <c r="M1719" s="16">
        <f t="shared" si="373"/>
        <v>0</v>
      </c>
    </row>
    <row r="1720" spans="1:13" ht="15" customHeight="1" x14ac:dyDescent="0.2">
      <c r="B1720" s="10" t="s">
        <v>899</v>
      </c>
      <c r="C1720" s="10" t="s">
        <v>110</v>
      </c>
      <c r="D1720" s="16">
        <f t="shared" ref="D1720:M1720" si="374">D1716*$D$1737</f>
        <v>0</v>
      </c>
      <c r="E1720" s="16">
        <f t="shared" si="374"/>
        <v>0</v>
      </c>
      <c r="F1720" s="16">
        <f t="shared" si="374"/>
        <v>0</v>
      </c>
      <c r="G1720" s="16">
        <f t="shared" si="374"/>
        <v>2638.0048485671714</v>
      </c>
      <c r="H1720" s="16">
        <f t="shared" si="374"/>
        <v>14881.788221808281</v>
      </c>
      <c r="I1720" s="16">
        <f t="shared" si="374"/>
        <v>19842.384295744378</v>
      </c>
      <c r="J1720" s="16">
        <f t="shared" si="374"/>
        <v>14881.788221808281</v>
      </c>
      <c r="K1720" s="16">
        <f t="shared" si="374"/>
        <v>2638.0048485671714</v>
      </c>
      <c r="L1720" s="16">
        <f t="shared" si="374"/>
        <v>14881.788221808281</v>
      </c>
      <c r="M1720" s="16">
        <f t="shared" si="374"/>
        <v>19842.384295744378</v>
      </c>
    </row>
    <row r="1721" spans="1:13" ht="15" customHeight="1" x14ac:dyDescent="0.2">
      <c r="B1721" s="10" t="s">
        <v>900</v>
      </c>
      <c r="C1721" s="10" t="s">
        <v>199</v>
      </c>
      <c r="D1721" s="28">
        <f>D1715*Inputs!$D$23</f>
        <v>6.4875000000000007</v>
      </c>
      <c r="E1721" s="28">
        <f>E1715*Inputs!$D$23</f>
        <v>8.65</v>
      </c>
      <c r="F1721" s="28">
        <f>F1715*Inputs!$D$23</f>
        <v>6.4875000000000007</v>
      </c>
      <c r="G1721" s="28">
        <f>G1715*Inputs!$D$23</f>
        <v>0</v>
      </c>
      <c r="H1721" s="28">
        <f>H1715*Inputs!$D$23</f>
        <v>0</v>
      </c>
      <c r="I1721" s="28">
        <f>I1715*Inputs!$D$23</f>
        <v>0</v>
      </c>
      <c r="J1721" s="28">
        <f>J1715*Inputs!$D$23</f>
        <v>0</v>
      </c>
      <c r="K1721" s="28">
        <f>K1715*Inputs!$D$23</f>
        <v>0</v>
      </c>
      <c r="L1721" s="28">
        <f>L1715*Inputs!$D$23</f>
        <v>0</v>
      </c>
      <c r="M1721" s="28">
        <f>M1715*Inputs!$D$23</f>
        <v>0</v>
      </c>
    </row>
    <row r="1722" spans="1:13" ht="15" customHeight="1" x14ac:dyDescent="0.2">
      <c r="B1722" s="3" t="s">
        <v>901</v>
      </c>
      <c r="C1722" s="10" t="s">
        <v>896</v>
      </c>
      <c r="D1722" s="28">
        <f>(D1717*$D$1735*(Inputs!$D$7-Inputs!$D$19)-D1721)/(Inputs!$D$7+$D$1736)^D1710</f>
        <v>51.425798387720562</v>
      </c>
      <c r="E1722" s="28">
        <f>(E1717*$D$1735*(Inputs!$D$7-Inputs!$D$19)-E1721)/(Inputs!$D$7+$D$1736)^E1710</f>
        <v>191.73295281761204</v>
      </c>
      <c r="F1722" s="28">
        <f>(F1717*$D$1735*(Inputs!$D$7-Inputs!$D$19)-F1721)/(Inputs!$D$7+$D$1736)^F1710</f>
        <v>290.4976949096623</v>
      </c>
      <c r="G1722" s="28">
        <f>(G1717*$D$1735*(Inputs!$D$7-Inputs!$D$19)-G1721)/(Inputs!$D$7+$D$1736)^G1710</f>
        <v>313.27787474894069</v>
      </c>
      <c r="H1722" s="28">
        <f>(H1717*$D$1735*(Inputs!$D$7-Inputs!$D$19)-H1721)/(Inputs!$D$7+$D$1736)^H1710</f>
        <v>284.81664772119052</v>
      </c>
      <c r="I1722" s="28">
        <f>(I1717*$D$1735*(Inputs!$D$7-Inputs!$D$19)-I1721)/(Inputs!$D$7+$D$1736)^I1710</f>
        <v>258.87355641308392</v>
      </c>
      <c r="J1722" s="28">
        <f>(J1717*$D$1735*(Inputs!$D$7-Inputs!$D$19)-J1721)/(Inputs!$D$7+$D$1736)^J1710</f>
        <v>235.35494991571019</v>
      </c>
      <c r="K1722" s="28">
        <f>(K1717*$D$1735*(Inputs!$D$7-Inputs!$D$19)-K1721)/(Inputs!$D$7+$D$1736)^K1710</f>
        <v>213.97300372169974</v>
      </c>
      <c r="L1722" s="28">
        <f>(L1717*$D$1735*(Inputs!$D$7-Inputs!$D$19)-L1721)/(Inputs!$D$7+$D$1736)^L1710</f>
        <v>194.53360270554637</v>
      </c>
      <c r="M1722" s="28">
        <f>(M1717*$D$1735*(Inputs!$D$7-Inputs!$D$19)-M1721)/(Inputs!$D$7+$D$1736)^M1710</f>
        <v>176.81412226834496</v>
      </c>
    </row>
    <row r="1723" spans="1:13" ht="15" customHeight="1" x14ac:dyDescent="0.2">
      <c r="B1723" s="10" t="s">
        <v>902</v>
      </c>
      <c r="C1723" s="10" t="s">
        <v>110</v>
      </c>
      <c r="D1723" s="16">
        <f>(D1718*Inputs!$D$19-D1719-D1720)/(Inputs!$D$7+$D$1736)^D1710</f>
        <v>-14027.24269342025</v>
      </c>
      <c r="E1723" s="16">
        <f>(E1718*Inputs!$D$19-E1719-E1720)/(Inputs!$D$7+$D$1736)^E1710</f>
        <v>-15853.087323826181</v>
      </c>
      <c r="F1723" s="16">
        <f>(F1718*Inputs!$D$19-F1719-F1720)/(Inputs!$D$7+$D$1736)^F1710</f>
        <v>-9394.4767487293357</v>
      </c>
      <c r="G1723" s="16">
        <f>(G1718*Inputs!$D$19-G1719-G1720)/(Inputs!$D$7+$D$1736)^G1710</f>
        <v>923.61320322684639</v>
      </c>
      <c r="H1723" s="16">
        <f>(H1718*Inputs!$D$19-H1719-H1720)/(Inputs!$D$7+$D$1736)^H1710</f>
        <v>-6972.3744918015345</v>
      </c>
      <c r="I1723" s="16">
        <f>(I1718*Inputs!$D$19-I1719-I1720)/(Inputs!$D$7+$D$1736)^I1710</f>
        <v>-9214.0648467907959</v>
      </c>
      <c r="J1723" s="16">
        <f>(J1718*Inputs!$D$19-J1719-J1720)/(Inputs!$D$7+$D$1736)^J1710</f>
        <v>-5761.5411965591911</v>
      </c>
      <c r="K1723" s="16">
        <f>(K1718*Inputs!$D$19-K1719-K1720)/(Inputs!$D$7+$D$1736)^K1710</f>
        <v>630.8402453567694</v>
      </c>
      <c r="L1723" s="16">
        <f>(L1718*Inputs!$D$19-L1719-L1720)/(Inputs!$D$7+$D$1736)^L1710</f>
        <v>-4762.2255937446444</v>
      </c>
      <c r="M1723" s="16">
        <f>(M1718*Inputs!$D$19-M1719-M1720)/(Inputs!$D$7+$D$1736)^M1710</f>
        <v>-6293.3302689644106</v>
      </c>
    </row>
    <row r="1724" spans="1:13" ht="15" customHeight="1" x14ac:dyDescent="0.2">
      <c r="B1724" s="10" t="s">
        <v>903</v>
      </c>
      <c r="C1724" s="10" t="s">
        <v>110</v>
      </c>
      <c r="D1724" s="16">
        <f t="shared" ref="D1724:M1724" si="375">D1717*$D$1734</f>
        <v>4443.5935299622433</v>
      </c>
      <c r="E1724" s="16">
        <f t="shared" si="375"/>
        <v>16930.533812238788</v>
      </c>
      <c r="F1724" s="16">
        <f t="shared" si="375"/>
        <v>27642.590471915475</v>
      </c>
      <c r="G1724" s="16">
        <f t="shared" si="375"/>
        <v>32233.471897491196</v>
      </c>
      <c r="H1724" s="16">
        <f t="shared" si="375"/>
        <v>32233.471897491196</v>
      </c>
      <c r="I1724" s="16">
        <f t="shared" si="375"/>
        <v>32233.471897491196</v>
      </c>
      <c r="J1724" s="16">
        <f t="shared" si="375"/>
        <v>32233.471897491196</v>
      </c>
      <c r="K1724" s="16">
        <f t="shared" si="375"/>
        <v>32233.471897491196</v>
      </c>
      <c r="L1724" s="16">
        <f t="shared" si="375"/>
        <v>32233.471897491196</v>
      </c>
      <c r="M1724" s="16">
        <f t="shared" si="375"/>
        <v>32233.471897491196</v>
      </c>
    </row>
    <row r="1725" spans="1:13" ht="15" customHeight="1" x14ac:dyDescent="0.2">
      <c r="B1725" s="10" t="s">
        <v>904</v>
      </c>
      <c r="C1725" s="10" t="s">
        <v>110</v>
      </c>
      <c r="D1725" s="16">
        <f t="shared" ref="D1725:M1725" si="376">D1724*$D$1735</f>
        <v>3110.5154709735702</v>
      </c>
      <c r="E1725" s="16">
        <f t="shared" si="376"/>
        <v>11851.37366856715</v>
      </c>
      <c r="F1725" s="16">
        <f t="shared" si="376"/>
        <v>19349.813330340832</v>
      </c>
      <c r="G1725" s="16">
        <f t="shared" si="376"/>
        <v>22563.430328243834</v>
      </c>
      <c r="H1725" s="16">
        <f t="shared" si="376"/>
        <v>22563.430328243834</v>
      </c>
      <c r="I1725" s="16">
        <f t="shared" si="376"/>
        <v>22563.430328243834</v>
      </c>
      <c r="J1725" s="16">
        <f t="shared" si="376"/>
        <v>22563.430328243834</v>
      </c>
      <c r="K1725" s="16">
        <f t="shared" si="376"/>
        <v>22563.430328243834</v>
      </c>
      <c r="L1725" s="16">
        <f t="shared" si="376"/>
        <v>22563.430328243834</v>
      </c>
      <c r="M1725" s="16">
        <f t="shared" si="376"/>
        <v>22563.430328243834</v>
      </c>
    </row>
    <row r="1726" spans="1:13" ht="15" customHeight="1" x14ac:dyDescent="0.2">
      <c r="B1726" s="10" t="s">
        <v>905</v>
      </c>
      <c r="C1726" s="10" t="s">
        <v>110</v>
      </c>
      <c r="D1726" s="16">
        <f t="shared" ref="D1726:M1726" si="377">D1725-D1718</f>
        <v>1293.5381850411284</v>
      </c>
      <c r="E1726" s="16">
        <f t="shared" si="377"/>
        <v>4928.5092868174415</v>
      </c>
      <c r="F1726" s="16">
        <f t="shared" si="377"/>
        <v>8046.8085273273318</v>
      </c>
      <c r="G1726" s="16">
        <f t="shared" si="377"/>
        <v>9383.2224875458523</v>
      </c>
      <c r="H1726" s="16">
        <f t="shared" si="377"/>
        <v>9383.2224875458523</v>
      </c>
      <c r="I1726" s="16">
        <f t="shared" si="377"/>
        <v>9383.2224875458523</v>
      </c>
      <c r="J1726" s="16">
        <f t="shared" si="377"/>
        <v>9383.2224875458523</v>
      </c>
      <c r="K1726" s="16">
        <f t="shared" si="377"/>
        <v>9383.2224875458523</v>
      </c>
      <c r="L1726" s="16">
        <f t="shared" si="377"/>
        <v>9383.2224875458523</v>
      </c>
      <c r="M1726" s="16">
        <f t="shared" si="377"/>
        <v>9383.2224875458523</v>
      </c>
    </row>
    <row r="1727" spans="1:13" ht="15" customHeight="1" x14ac:dyDescent="0.2">
      <c r="B1727" s="10" t="s">
        <v>906</v>
      </c>
      <c r="C1727" s="10" t="s">
        <v>110</v>
      </c>
      <c r="D1727" s="16">
        <f>MAX(D1726,Inputs!$D$6)*Inputs!$D$19</f>
        <v>388.06145551233851</v>
      </c>
      <c r="E1727" s="16">
        <f>MAX(E1726,Inputs!$D$6)*Inputs!$D$19</f>
        <v>1478.5527860452323</v>
      </c>
      <c r="F1727" s="16">
        <f>MAX(F1726,Inputs!$D$6)*Inputs!$D$19</f>
        <v>2414.0425581981995</v>
      </c>
      <c r="G1727" s="16">
        <f>MAX(G1726,Inputs!$D$6)*Inputs!$D$19</f>
        <v>2814.9667462637558</v>
      </c>
      <c r="H1727" s="16">
        <f>MAX(H1726,Inputs!$D$6)*Inputs!$D$19</f>
        <v>2814.9667462637558</v>
      </c>
      <c r="I1727" s="16">
        <f>MAX(I1726,Inputs!$D$6)*Inputs!$D$19</f>
        <v>2814.9667462637558</v>
      </c>
      <c r="J1727" s="16">
        <f>MAX(J1726,Inputs!$D$6)*Inputs!$D$19</f>
        <v>2814.9667462637558</v>
      </c>
      <c r="K1727" s="16">
        <f>MAX(K1726,Inputs!$D$6)*Inputs!$D$19</f>
        <v>2814.9667462637558</v>
      </c>
      <c r="L1727" s="16">
        <f>MAX(L1726,Inputs!$D$6)*Inputs!$D$19</f>
        <v>2814.9667462637558</v>
      </c>
      <c r="M1727" s="16">
        <f>MAX(M1726,Inputs!$D$6)*Inputs!$D$19</f>
        <v>2814.9667462637558</v>
      </c>
    </row>
    <row r="1728" spans="1:13" ht="15" customHeight="1" x14ac:dyDescent="0.2">
      <c r="B1728" s="10" t="s">
        <v>907</v>
      </c>
      <c r="C1728" s="10" t="s">
        <v>110</v>
      </c>
      <c r="D1728" s="16">
        <f t="shared" ref="D1728:M1728" si="378">D1721*$D$1734</f>
        <v>229.54407127878611</v>
      </c>
      <c r="E1728" s="16">
        <f t="shared" si="378"/>
        <v>306.05876170504814</v>
      </c>
      <c r="F1728" s="16">
        <f t="shared" si="378"/>
        <v>229.54407127878611</v>
      </c>
      <c r="G1728" s="16">
        <f t="shared" si="378"/>
        <v>0</v>
      </c>
      <c r="H1728" s="16">
        <f t="shared" si="378"/>
        <v>0</v>
      </c>
      <c r="I1728" s="16">
        <f t="shared" si="378"/>
        <v>0</v>
      </c>
      <c r="J1728" s="16">
        <f t="shared" si="378"/>
        <v>0</v>
      </c>
      <c r="K1728" s="16">
        <f t="shared" si="378"/>
        <v>0</v>
      </c>
      <c r="L1728" s="16">
        <f t="shared" si="378"/>
        <v>0</v>
      </c>
      <c r="M1728" s="16">
        <f t="shared" si="378"/>
        <v>0</v>
      </c>
    </row>
    <row r="1729" spans="2:13" ht="15" customHeight="1" x14ac:dyDescent="0.2">
      <c r="B1729" s="10" t="s">
        <v>908</v>
      </c>
      <c r="C1729" s="10" t="s">
        <v>110</v>
      </c>
      <c r="D1729" s="16">
        <f t="shared" ref="D1729:M1729" si="379">D1725-D1727-D1719-D1720-D1728</f>
        <v>-13068.058675963708</v>
      </c>
      <c r="E1729" s="16">
        <f t="shared" si="379"/>
        <v>-10681.196039378001</v>
      </c>
      <c r="F1729" s="16">
        <f t="shared" si="379"/>
        <v>1145.2580807176944</v>
      </c>
      <c r="G1729" s="16">
        <f t="shared" si="379"/>
        <v>17110.458733412906</v>
      </c>
      <c r="H1729" s="16">
        <f t="shared" si="379"/>
        <v>4866.6753601717974</v>
      </c>
      <c r="I1729" s="16">
        <f t="shared" si="379"/>
        <v>-93.920713764298853</v>
      </c>
      <c r="J1729" s="16">
        <f t="shared" si="379"/>
        <v>4866.6753601717974</v>
      </c>
      <c r="K1729" s="16">
        <f t="shared" si="379"/>
        <v>17110.458733412906</v>
      </c>
      <c r="L1729" s="16">
        <f t="shared" si="379"/>
        <v>4866.6753601717974</v>
      </c>
      <c r="M1729" s="16">
        <f t="shared" si="379"/>
        <v>-93.920713764298853</v>
      </c>
    </row>
    <row r="1730" spans="2:13" ht="15" customHeight="1" x14ac:dyDescent="0.2">
      <c r="B1730" s="10" t="s">
        <v>909</v>
      </c>
      <c r="C1730" s="10" t="s">
        <v>110</v>
      </c>
      <c r="D1730" s="16">
        <f>D1729/(Inputs!$D$7+$D$1736)^D1710</f>
        <v>-12207.668569230747</v>
      </c>
      <c r="E1730" s="16">
        <f>E1729/(Inputs!$D$7+$D$1736)^E1710</f>
        <v>-9069.0930905995046</v>
      </c>
      <c r="F1730" s="16">
        <f>F1729/(Inputs!$D$7+$D$1736)^F1710</f>
        <v>884.0625324524126</v>
      </c>
      <c r="G1730" s="16">
        <f>G1729/(Inputs!$D$7+$D$1736)^G1710</f>
        <v>12008.172557591004</v>
      </c>
      <c r="H1730" s="16">
        <f>H1729/(Inputs!$D$7+$D$1736)^H1710</f>
        <v>3105.1550474505457</v>
      </c>
      <c r="I1730" s="16">
        <f>I1729/(Inputs!$D$7+$D$1736)^I1710</f>
        <v>-54.467145753756427</v>
      </c>
      <c r="J1730" s="16">
        <f>J1729/(Inputs!$D$7+$D$1736)^J1710</f>
        <v>2565.9090383952475</v>
      </c>
      <c r="K1730" s="16">
        <f>K1729/(Inputs!$D$7+$D$1736)^K1710</f>
        <v>8201.7434311802463</v>
      </c>
      <c r="L1730" s="16">
        <f>L1729/(Inputs!$D$7+$D$1736)^L1710</f>
        <v>2120.8626784034868</v>
      </c>
      <c r="M1730" s="16">
        <f>M1729/(Inputs!$D$7+$D$1736)^M1710</f>
        <v>-37.201793425146107</v>
      </c>
    </row>
    <row r="1731" spans="2:13" ht="15" customHeight="1" x14ac:dyDescent="0.2">
      <c r="B1731" s="3" t="s">
        <v>910</v>
      </c>
      <c r="C1731" s="10" t="s">
        <v>896</v>
      </c>
      <c r="D1731" s="28">
        <f>(D1717*$D$1735-D1721)/(Inputs!$D$7+$D$1736)^D1710</f>
        <v>76.062727010823693</v>
      </c>
      <c r="E1731" s="28">
        <f>(E1717*$D$1735-E1721)/(Inputs!$D$7+$D$1736)^E1710</f>
        <v>277.05184555670269</v>
      </c>
      <c r="F1731" s="28">
        <f>(F1717*$D$1735-F1721)/(Inputs!$D$7+$D$1736)^F1710</f>
        <v>417.14295650832435</v>
      </c>
      <c r="G1731" s="28">
        <f>(G1717*$D$1735-G1721)/(Inputs!$D$7+$D$1736)^G1710</f>
        <v>447.53982106991532</v>
      </c>
      <c r="H1731" s="28">
        <f>(H1717*$D$1735-H1721)/(Inputs!$D$7+$D$1736)^H1710</f>
        <v>406.88092531598647</v>
      </c>
      <c r="I1731" s="28">
        <f>(I1717*$D$1735-I1721)/(Inputs!$D$7+$D$1736)^I1710</f>
        <v>369.81936630440561</v>
      </c>
      <c r="J1731" s="28">
        <f>(J1717*$D$1735-J1721)/(Inputs!$D$7+$D$1736)^J1710</f>
        <v>336.22135702244316</v>
      </c>
      <c r="K1731" s="28">
        <f>(K1717*$D$1735-K1721)/(Inputs!$D$7+$D$1736)^K1710</f>
        <v>305.67571960242822</v>
      </c>
      <c r="L1731" s="28">
        <f>(L1717*$D$1735-L1721)/(Inputs!$D$7+$D$1736)^L1710</f>
        <v>277.90514672220911</v>
      </c>
      <c r="M1731" s="28">
        <f>(M1717*$D$1735-M1721)/(Inputs!$D$7+$D$1736)^M1710</f>
        <v>252.59160324049282</v>
      </c>
    </row>
    <row r="1732" spans="2:13" ht="15" customHeight="1" x14ac:dyDescent="0.2">
      <c r="B1732" s="10" t="s">
        <v>911</v>
      </c>
      <c r="C1732" s="10" t="s">
        <v>110</v>
      </c>
      <c r="D1732" s="16">
        <f>(-D1719-D1720)/(Inputs!$D$7+$D$1736)^D1710</f>
        <v>-14536.447397527105</v>
      </c>
      <c r="E1732" s="16">
        <f>(-E1719-E1720)/(Inputs!$D$7+$D$1736)^E1710</f>
        <v>-17616.488200475756</v>
      </c>
      <c r="F1732" s="16">
        <f>(-F1719-F1720)/(Inputs!$D$7+$D$1736)^F1710</f>
        <v>-12012.025548964448</v>
      </c>
      <c r="G1732" s="16">
        <f>(-G1719-G1720)/(Inputs!$D$7+$D$1736)^G1710</f>
        <v>-1851.359915178487</v>
      </c>
      <c r="H1732" s="16">
        <f>(-H1719-H1720)/(Inputs!$D$7+$D$1736)^H1710</f>
        <v>-9495.2419037884629</v>
      </c>
      <c r="I1732" s="16">
        <f>(-I1719-I1720)/(Inputs!$D$7+$D$1736)^I1710</f>
        <v>-11507.131858586603</v>
      </c>
      <c r="J1732" s="16">
        <f>(-J1719-J1720)/(Inputs!$D$7+$D$1736)^J1710</f>
        <v>-7846.2835672839774</v>
      </c>
      <c r="K1732" s="16">
        <f>(-K1719-K1720)/(Inputs!$D$7+$D$1736)^K1710</f>
        <v>-1264.5037327904422</v>
      </c>
      <c r="L1732" s="16">
        <f>(-L1719-L1720)/(Inputs!$D$7+$D$1736)^L1710</f>
        <v>-6485.3779822337692</v>
      </c>
      <c r="M1732" s="16">
        <f>(-M1719-M1720)/(Inputs!$D$7+$D$1736)^M1710</f>
        <v>-7859.5258920747219</v>
      </c>
    </row>
    <row r="1733" spans="2:13" ht="15" customHeight="1" x14ac:dyDescent="0.2">
      <c r="B1733" s="10" t="s">
        <v>912</v>
      </c>
      <c r="C1733" s="10" t="s">
        <v>110</v>
      </c>
      <c r="D1733" s="16">
        <f>Prices!I7</f>
        <v>35754.545454545456</v>
      </c>
    </row>
    <row r="1734" spans="2:13" ht="15" customHeight="1" x14ac:dyDescent="0.2">
      <c r="B1734" s="3" t="s">
        <v>913</v>
      </c>
      <c r="C1734" s="10" t="s">
        <v>914</v>
      </c>
      <c r="D1734" s="28">
        <f>IF(J1741&gt;=J1737,J1741,(D1733-J1740)/J1739)</f>
        <v>35.382515804051806</v>
      </c>
      <c r="G1734" s="99" t="s">
        <v>915</v>
      </c>
      <c r="H1734" s="91"/>
      <c r="I1734" s="91"/>
      <c r="J1734" s="28">
        <f>D1734*Inputs!$D$15</f>
        <v>24.693457779647755</v>
      </c>
      <c r="K1734" s="99" t="s">
        <v>916</v>
      </c>
      <c r="L1734" s="91"/>
      <c r="M1734" s="91"/>
    </row>
    <row r="1735" spans="2:13" ht="15" customHeight="1" x14ac:dyDescent="0.2">
      <c r="B1735" s="10" t="s">
        <v>917</v>
      </c>
      <c r="C1735" s="10" t="s">
        <v>104</v>
      </c>
      <c r="D1735" s="30">
        <f>Inputs!$D$143</f>
        <v>0.7</v>
      </c>
      <c r="G1735" s="99" t="s">
        <v>918</v>
      </c>
      <c r="H1735" s="91"/>
      <c r="I1735" s="91"/>
      <c r="J1735" s="28">
        <f>IF(-D1746/D1745&gt;=J1737,-D1746/D1745,-J1740/J1739)</f>
        <v>27.651390108132095</v>
      </c>
      <c r="K1735" s="99" t="s">
        <v>919</v>
      </c>
      <c r="L1735" s="91"/>
      <c r="M1735" s="91"/>
    </row>
    <row r="1736" spans="2:13" ht="15" customHeight="1" x14ac:dyDescent="0.2">
      <c r="B1736" s="10" t="s">
        <v>920</v>
      </c>
      <c r="C1736" s="10" t="s">
        <v>104</v>
      </c>
      <c r="D1736" s="30">
        <f>Inputs!$D$147</f>
        <v>0.1</v>
      </c>
      <c r="G1736" s="99" t="s">
        <v>918</v>
      </c>
      <c r="H1736" s="91"/>
      <c r="I1736" s="91"/>
      <c r="J1736" s="28">
        <f>J1735*Inputs!$D$15</f>
        <v>19.297905156465387</v>
      </c>
      <c r="K1736" s="99" t="s">
        <v>916</v>
      </c>
      <c r="L1736" s="91"/>
      <c r="M1736" s="91"/>
    </row>
    <row r="1737" spans="2:13" ht="15" customHeight="1" x14ac:dyDescent="0.2">
      <c r="B1737" s="3" t="s">
        <v>921</v>
      </c>
      <c r="C1737" s="10" t="s">
        <v>848</v>
      </c>
      <c r="D1737" s="28">
        <f>Capital!$D$13</f>
        <v>57.347931490590682</v>
      </c>
      <c r="G1737" s="99" t="s">
        <v>922</v>
      </c>
      <c r="H1737" s="91"/>
      <c r="I1737" s="91"/>
      <c r="J1737" s="28">
        <f>($D$1737/Inputs!$D$21+$D$1738/Inputs!$D$22)/$D$1735</f>
        <v>20.668351639796114</v>
      </c>
      <c r="K1737" s="99" t="s">
        <v>919</v>
      </c>
      <c r="L1737" s="91"/>
      <c r="M1737" s="91"/>
    </row>
    <row r="1738" spans="2:13" ht="15" customHeight="1" x14ac:dyDescent="0.2">
      <c r="B1738" s="3" t="s">
        <v>923</v>
      </c>
      <c r="C1738" s="10" t="s">
        <v>848</v>
      </c>
      <c r="D1738" s="28">
        <f>Capital!$D$14</f>
        <v>2.6172655041921802</v>
      </c>
    </row>
    <row r="1739" spans="2:13" ht="15" customHeight="1" x14ac:dyDescent="0.2">
      <c r="B1739" s="10" t="s">
        <v>924</v>
      </c>
      <c r="C1739" s="10" t="s">
        <v>896</v>
      </c>
      <c r="D1739" s="28">
        <f>(M1712*(Inputs!$D$7+Inputs!$D$20)*$D$1735*(Inputs!$D$7-Inputs!$D$19)-M1712*Inputs!$D$20*Inputs!$D$23)/($D$1736-Inputs!$D$20)/(Inputs!$D$7+$D$1736)^M1710</f>
        <v>2413.4526281049939</v>
      </c>
      <c r="G1739" s="92" t="s">
        <v>910</v>
      </c>
      <c r="H1739" s="91"/>
      <c r="I1739" s="91"/>
      <c r="J1739" s="28">
        <f>SUM(D1731:M1731)+(M1712*(Inputs!$D$7+Inputs!$D$20)*$D$1735-M1712*Inputs!$D$20*Inputs!$D$23)/($D$1736-Inputs!$D$20)/(Inputs!$D$7+$D$1736)^M1710</f>
        <v>6615.9696697447453</v>
      </c>
      <c r="K1739" s="99" t="s">
        <v>896</v>
      </c>
      <c r="L1739" s="91"/>
      <c r="M1739" s="91"/>
    </row>
    <row r="1740" spans="2:13" ht="15" customHeight="1" x14ac:dyDescent="0.2">
      <c r="B1740" s="10" t="s">
        <v>925</v>
      </c>
      <c r="C1740" s="10" t="s">
        <v>110</v>
      </c>
      <c r="D1740" s="16">
        <f>(D1743*Inputs!$D$19-D1743-D1744)/($D$1736-Inputs!$D$20)/(Inputs!$D$7+$D$1736)^M1710</f>
        <v>-57156.954988173631</v>
      </c>
      <c r="G1740" s="92" t="s">
        <v>926</v>
      </c>
      <c r="H1740" s="91"/>
      <c r="I1740" s="91"/>
      <c r="J1740" s="16">
        <f>SUM(D1732:M1732)-(D1743+D1744)/($D$1736-Inputs!$D$20)/(Inputs!$D$7+$D$1736)^M1710</f>
        <v>-169036.01450291832</v>
      </c>
      <c r="K1740" s="99" t="s">
        <v>110</v>
      </c>
      <c r="L1740" s="91"/>
      <c r="M1740" s="91"/>
    </row>
    <row r="1741" spans="2:13" ht="15" customHeight="1" x14ac:dyDescent="0.2">
      <c r="B1741" s="10" t="s">
        <v>927</v>
      </c>
      <c r="C1741" s="10" t="s">
        <v>928</v>
      </c>
      <c r="D1741" s="16">
        <f>(M1712*(Inputs!$D$7+Inputs!$D$20)*$D$1734*$D$1735-D1743)-MAX((M1712*(Inputs!$D$7+Inputs!$D$20)*$D$1734*$D$1735-D1743),Inputs!$D$6)*Inputs!$D$19-D1744-M1712*Inputs!$D$20*$D$1734*Inputs!$D$23</f>
        <v>5346.6088533220354</v>
      </c>
      <c r="G1741" s="99" t="s">
        <v>929</v>
      </c>
      <c r="H1741" s="91"/>
      <c r="I1741" s="91"/>
      <c r="J1741" s="28">
        <f>(D1733-D1746)/D1745</f>
        <v>35.382515804051806</v>
      </c>
      <c r="K1741" s="99" t="s">
        <v>919</v>
      </c>
      <c r="L1741" s="91"/>
      <c r="M1741" s="91"/>
    </row>
    <row r="1742" spans="2:13" ht="15" customHeight="1" x14ac:dyDescent="0.2">
      <c r="B1742" s="10" t="s">
        <v>930</v>
      </c>
      <c r="C1742" s="10" t="s">
        <v>110</v>
      </c>
      <c r="D1742" s="16">
        <f>D1741/($D$1736-Inputs!$D$20)</f>
        <v>71288.118044293791</v>
      </c>
      <c r="G1742" s="99" t="s">
        <v>931</v>
      </c>
      <c r="H1742" s="91"/>
      <c r="I1742" s="91"/>
      <c r="J1742" s="16">
        <f>MIN(D1726:M1726,(M1712*(Inputs!$D$7+Inputs!$D$20)*$D$1734*$D$1735-D1743))</f>
        <v>1293.5381850411284</v>
      </c>
      <c r="K1742" s="99" t="s">
        <v>110</v>
      </c>
      <c r="L1742" s="91"/>
      <c r="M1742" s="91"/>
    </row>
    <row r="1743" spans="2:13" ht="15" customHeight="1" x14ac:dyDescent="0.2">
      <c r="B1743" s="10" t="s">
        <v>932</v>
      </c>
      <c r="C1743" s="10" t="s">
        <v>928</v>
      </c>
      <c r="D1743" s="16">
        <f>M1712*(Inputs!$D$7+Inputs!$D$20)*($D$1737/Inputs!$D$21+$D$1738/Inputs!$D$22)</f>
        <v>13509.71303671543</v>
      </c>
      <c r="G1743" s="99" t="s">
        <v>933</v>
      </c>
      <c r="H1743" s="91"/>
      <c r="I1743" s="91"/>
      <c r="J1743" s="31" t="str">
        <f>IF(J1742&lt;Inputs!$D$6,"breached","satisfied")</f>
        <v>satisfied</v>
      </c>
      <c r="K1743" s="99" t="s">
        <v>934</v>
      </c>
      <c r="L1743" s="91"/>
      <c r="M1743" s="91"/>
    </row>
    <row r="1744" spans="2:13" ht="15" customHeight="1" x14ac:dyDescent="0.2">
      <c r="B1744" s="10" t="s">
        <v>935</v>
      </c>
      <c r="C1744" s="10" t="s">
        <v>928</v>
      </c>
      <c r="D1744" s="16">
        <f>M1712*Inputs!$D$20*($D$1737+$D$1738)</f>
        <v>1365.7073615561799</v>
      </c>
    </row>
    <row r="1745" spans="1:13" ht="15" customHeight="1" x14ac:dyDescent="0.2">
      <c r="B1745" s="10" t="s">
        <v>936</v>
      </c>
      <c r="C1745" s="10" t="s">
        <v>896</v>
      </c>
      <c r="D1745" s="28">
        <f>SUM(D1722:M1722)+D1739</f>
        <v>4624.7528317145052</v>
      </c>
      <c r="G1745" s="99" t="s">
        <v>937</v>
      </c>
      <c r="H1745" s="91"/>
      <c r="I1745" s="91"/>
      <c r="J1745" s="16">
        <f>D1747-D1733</f>
        <v>0</v>
      </c>
      <c r="K1745" s="99" t="s">
        <v>110</v>
      </c>
      <c r="L1745" s="91"/>
      <c r="M1745" s="91"/>
    </row>
    <row r="1746" spans="1:13" ht="15" customHeight="1" x14ac:dyDescent="0.2">
      <c r="B1746" s="10" t="s">
        <v>938</v>
      </c>
      <c r="C1746" s="10" t="s">
        <v>110</v>
      </c>
      <c r="D1746" s="16">
        <f>SUM(D1723:M1723)+D1740</f>
        <v>-127880.84470342637</v>
      </c>
    </row>
    <row r="1747" spans="1:13" ht="15" customHeight="1" x14ac:dyDescent="0.2">
      <c r="B1747" s="10" t="s">
        <v>939</v>
      </c>
      <c r="C1747" s="10" t="s">
        <v>110</v>
      </c>
      <c r="D1747" s="16">
        <f>SUM(D1730:M1730)+D1742/(Inputs!$D$7+$D$1736)^M1710</f>
        <v>35754.545454545449</v>
      </c>
    </row>
    <row r="1748" spans="1:13" ht="15" customHeight="1" x14ac:dyDescent="0.2">
      <c r="B1748" s="10" t="s">
        <v>940</v>
      </c>
      <c r="C1748" s="10" t="s">
        <v>104</v>
      </c>
      <c r="D1748" s="30">
        <f>IF(ABS(D1733)&gt;Inputs!$D$6,D1747/D1733-Inputs!$D$7,Inputs!$D$6)</f>
        <v>-2.2204460492503131E-16</v>
      </c>
    </row>
    <row r="1749" spans="1:13" ht="15" customHeight="1" x14ac:dyDescent="0.2">
      <c r="B1749" s="10" t="s">
        <v>941</v>
      </c>
      <c r="C1749" s="10" t="s">
        <v>104</v>
      </c>
      <c r="D1749" s="30">
        <f>IF(ABS(D1747)&gt;Inputs!$D$119,D1742/(Inputs!$D$7+$D$1736)^M1710/D1747,Inputs!$D$6)</f>
        <v>0.78974772043960928</v>
      </c>
    </row>
    <row r="1750" spans="1:13" ht="15" customHeight="1" x14ac:dyDescent="0.2">
      <c r="B1750" s="10" t="s">
        <v>942</v>
      </c>
      <c r="C1750" s="10" t="s">
        <v>943</v>
      </c>
      <c r="D1750" s="26">
        <f>$D$1734*Inputs!$D$8/Prices!$P$6/(Inputs!$D$26/Inputs!$D$25)/Inputs!$D$11/Inputs!$D$56</f>
        <v>6.4344179741488352</v>
      </c>
    </row>
    <row r="1754" spans="1:13" ht="15" customHeight="1" x14ac:dyDescent="0.2">
      <c r="A1754" s="104" t="s">
        <v>2203</v>
      </c>
      <c r="B1754" s="10" t="s">
        <v>886</v>
      </c>
      <c r="C1754" s="10" t="s">
        <v>107</v>
      </c>
      <c r="D1754" s="28">
        <f>Inputs!$D$60</f>
        <v>1</v>
      </c>
      <c r="E1754" s="28">
        <f>Inputs!$D$62</f>
        <v>2</v>
      </c>
      <c r="F1754" s="28">
        <f>Inputs!$D$64</f>
        <v>3</v>
      </c>
      <c r="G1754" s="28">
        <f>Inputs!$D$66</f>
        <v>4</v>
      </c>
      <c r="H1754" s="28">
        <f>Inputs!$D$68</f>
        <v>5</v>
      </c>
      <c r="I1754" s="28">
        <f>Inputs!$D$70</f>
        <v>6</v>
      </c>
      <c r="J1754" s="28">
        <f>Inputs!$D$72</f>
        <v>7</v>
      </c>
      <c r="K1754" s="28">
        <f>Inputs!$D$74</f>
        <v>8</v>
      </c>
      <c r="L1754" s="28">
        <f>Inputs!$D$76</f>
        <v>9</v>
      </c>
      <c r="M1754" s="28">
        <f>Inputs!$D$78</f>
        <v>10</v>
      </c>
    </row>
    <row r="1755" spans="1:13" ht="15" customHeight="1" x14ac:dyDescent="0.2">
      <c r="A1755" s="91"/>
      <c r="B1755" s="10" t="s">
        <v>887</v>
      </c>
      <c r="C1755" s="10" t="s">
        <v>161</v>
      </c>
      <c r="D1755" s="29">
        <f>Inputs!$D$61</f>
        <v>46568</v>
      </c>
      <c r="E1755" s="29">
        <f>Inputs!$D$63</f>
        <v>46934</v>
      </c>
      <c r="F1755" s="29">
        <f>Inputs!$D$65</f>
        <v>47299</v>
      </c>
      <c r="G1755" s="29">
        <f>Inputs!$D$67</f>
        <v>47664</v>
      </c>
      <c r="H1755" s="29">
        <f>Inputs!$D$69</f>
        <v>48029</v>
      </c>
      <c r="I1755" s="29">
        <f>Inputs!$D$71</f>
        <v>48395</v>
      </c>
      <c r="J1755" s="29">
        <f>Inputs!$D$73</f>
        <v>48760</v>
      </c>
      <c r="K1755" s="29">
        <f>Inputs!$D$75</f>
        <v>49125</v>
      </c>
      <c r="L1755" s="29">
        <f>Inputs!$D$77</f>
        <v>49490</v>
      </c>
      <c r="M1755" s="29">
        <f>Inputs!$D$79</f>
        <v>49856</v>
      </c>
    </row>
    <row r="1756" spans="1:13" ht="15" customHeight="1" x14ac:dyDescent="0.2">
      <c r="A1756" s="91"/>
      <c r="B1756" s="10" t="s">
        <v>888</v>
      </c>
      <c r="C1756" s="10" t="s">
        <v>107</v>
      </c>
      <c r="D1756" s="28">
        <f>(D1755-Inputs!$D$13)/Inputs!$D$10</f>
        <v>0.71457905544147848</v>
      </c>
      <c r="E1756" s="28">
        <f>(E1755-Inputs!$D$13)/Inputs!$D$10</f>
        <v>1.7166324435318274</v>
      </c>
      <c r="F1756" s="28">
        <f>(F1755-Inputs!$D$13)/Inputs!$D$10</f>
        <v>2.7159479808350446</v>
      </c>
      <c r="G1756" s="28">
        <f>(G1755-Inputs!$D$13)/Inputs!$D$10</f>
        <v>3.7152635181382614</v>
      </c>
      <c r="H1756" s="28">
        <f>(H1755-Inputs!$D$13)/Inputs!$D$10</f>
        <v>4.7145790554414786</v>
      </c>
      <c r="I1756" s="28">
        <f>(I1755-Inputs!$D$13)/Inputs!$D$10</f>
        <v>5.7166324435318279</v>
      </c>
      <c r="J1756" s="28">
        <f>(J1755-Inputs!$D$13)/Inputs!$D$10</f>
        <v>6.7159479808350442</v>
      </c>
      <c r="K1756" s="28">
        <f>(K1755-Inputs!$D$13)/Inputs!$D$10</f>
        <v>7.7152635181382614</v>
      </c>
      <c r="L1756" s="28">
        <f>(L1755-Inputs!$D$13)/Inputs!$D$10</f>
        <v>8.7145790554414777</v>
      </c>
      <c r="M1756" s="28">
        <f>(M1755-Inputs!$D$13)/Inputs!$D$10</f>
        <v>9.716632443531827</v>
      </c>
    </row>
    <row r="1757" spans="1:13" ht="15" customHeight="1" x14ac:dyDescent="0.2">
      <c r="A1757" s="91"/>
      <c r="B1757" s="10" t="s">
        <v>889</v>
      </c>
      <c r="C1757" s="10" t="s">
        <v>107</v>
      </c>
      <c r="D1757" s="28">
        <f>D1756</f>
        <v>0.71457905544147848</v>
      </c>
      <c r="E1757" s="28">
        <f>Inputs!$D$7</f>
        <v>1</v>
      </c>
      <c r="F1757" s="28">
        <f>Inputs!$D$7</f>
        <v>1</v>
      </c>
      <c r="G1757" s="28">
        <f>Inputs!$D$7</f>
        <v>1</v>
      </c>
      <c r="H1757" s="28">
        <f>Inputs!$D$7</f>
        <v>1</v>
      </c>
      <c r="I1757" s="28">
        <f>Inputs!$D$7</f>
        <v>1</v>
      </c>
      <c r="J1757" s="28">
        <f>Inputs!$D$7</f>
        <v>1</v>
      </c>
      <c r="K1757" s="28">
        <f>Inputs!$D$7</f>
        <v>1</v>
      </c>
      <c r="L1757" s="28">
        <f>Inputs!$D$7</f>
        <v>1</v>
      </c>
      <c r="M1757" s="28">
        <f>Inputs!$D$7</f>
        <v>1</v>
      </c>
    </row>
    <row r="1758" spans="1:13" ht="15" customHeight="1" x14ac:dyDescent="0.2">
      <c r="A1758" s="91"/>
      <c r="B1758" s="3" t="s">
        <v>890</v>
      </c>
      <c r="C1758" s="10" t="s">
        <v>199</v>
      </c>
      <c r="D1758" s="28">
        <f>Inputs!$D$24+(Inputs!$D$80-Inputs!$D$24)*Inputs!$D$83</f>
        <v>305.5</v>
      </c>
      <c r="E1758" s="28">
        <f>Inputs!$D$24+(Inputs!$D$80-Inputs!$D$24)*Inputs!$D$84</f>
        <v>651.5</v>
      </c>
      <c r="F1758" s="28">
        <f>Inputs!$D$24+(Inputs!$D$80-Inputs!$D$24)*Inputs!$D$85</f>
        <v>911</v>
      </c>
      <c r="G1758" s="28">
        <f>Inputs!$D$24+(Inputs!$D$80-Inputs!$D$24)*Inputs!$D$86</f>
        <v>911</v>
      </c>
      <c r="H1758" s="28">
        <f>Inputs!$D$24+(Inputs!$D$80-Inputs!$D$24)*Inputs!$D$87</f>
        <v>911</v>
      </c>
      <c r="I1758" s="28">
        <f>Inputs!$D$24+(Inputs!$D$80-Inputs!$D$24)*Inputs!$D$88</f>
        <v>911</v>
      </c>
      <c r="J1758" s="28">
        <f>Inputs!$D$24+(Inputs!$D$80-Inputs!$D$24)*Inputs!$D$89</f>
        <v>911</v>
      </c>
      <c r="K1758" s="28">
        <f>Inputs!$D$24+(Inputs!$D$80-Inputs!$D$24)*Inputs!$D$90</f>
        <v>911</v>
      </c>
      <c r="L1758" s="28">
        <f>Inputs!$D$24+(Inputs!$D$80-Inputs!$D$24)*Inputs!$D$91</f>
        <v>911</v>
      </c>
      <c r="M1758" s="28">
        <f>Inputs!$D$24+(Inputs!$D$80-Inputs!$D$24)*Inputs!$D$92</f>
        <v>911</v>
      </c>
    </row>
    <row r="1759" spans="1:13" ht="15" customHeight="1" x14ac:dyDescent="0.2">
      <c r="A1759" s="91"/>
      <c r="B1759" s="10" t="s">
        <v>891</v>
      </c>
      <c r="C1759" s="10" t="s">
        <v>199</v>
      </c>
      <c r="D1759" s="28">
        <f>Inputs!$D$24</f>
        <v>46</v>
      </c>
      <c r="E1759" s="28">
        <f t="shared" ref="E1759:M1759" si="380">D1758</f>
        <v>305.5</v>
      </c>
      <c r="F1759" s="28">
        <f t="shared" si="380"/>
        <v>651.5</v>
      </c>
      <c r="G1759" s="28">
        <f t="shared" si="380"/>
        <v>911</v>
      </c>
      <c r="H1759" s="28">
        <f t="shared" si="380"/>
        <v>911</v>
      </c>
      <c r="I1759" s="28">
        <f t="shared" si="380"/>
        <v>911</v>
      </c>
      <c r="J1759" s="28">
        <f t="shared" si="380"/>
        <v>911</v>
      </c>
      <c r="K1759" s="28">
        <f t="shared" si="380"/>
        <v>911</v>
      </c>
      <c r="L1759" s="28">
        <f t="shared" si="380"/>
        <v>911</v>
      </c>
      <c r="M1759" s="28">
        <f t="shared" si="380"/>
        <v>911</v>
      </c>
    </row>
    <row r="1760" spans="1:13" ht="15" customHeight="1" x14ac:dyDescent="0.2">
      <c r="B1760" s="10" t="s">
        <v>892</v>
      </c>
      <c r="C1760" s="10" t="s">
        <v>199</v>
      </c>
      <c r="D1760" s="28">
        <f>(D1759+D1758)*Inputs!$D$12</f>
        <v>175.75</v>
      </c>
      <c r="E1760" s="28">
        <f>(E1759+E1758)*Inputs!$D$12</f>
        <v>478.5</v>
      </c>
      <c r="F1760" s="28">
        <f>(F1759+F1758)*Inputs!$D$12</f>
        <v>781.25</v>
      </c>
      <c r="G1760" s="28">
        <f>(G1759+G1758)*Inputs!$D$12</f>
        <v>911</v>
      </c>
      <c r="H1760" s="28">
        <f>(H1759+H1758)*Inputs!$D$12</f>
        <v>911</v>
      </c>
      <c r="I1760" s="28">
        <f>(I1759+I1758)*Inputs!$D$12</f>
        <v>911</v>
      </c>
      <c r="J1760" s="28">
        <f>(J1759+J1758)*Inputs!$D$12</f>
        <v>911</v>
      </c>
      <c r="K1760" s="28">
        <f>(K1759+K1758)*Inputs!$D$12</f>
        <v>911</v>
      </c>
      <c r="L1760" s="28">
        <f>(L1759+L1758)*Inputs!$D$12</f>
        <v>911</v>
      </c>
      <c r="M1760" s="28">
        <f>(M1759+M1758)*Inputs!$D$12</f>
        <v>911</v>
      </c>
    </row>
    <row r="1761" spans="2:13" ht="15" customHeight="1" x14ac:dyDescent="0.2">
      <c r="B1761" s="10" t="s">
        <v>893</v>
      </c>
      <c r="C1761" s="10" t="s">
        <v>199</v>
      </c>
      <c r="D1761" s="28">
        <f t="shared" ref="D1761:M1761" si="381">D1758-D1759</f>
        <v>259.5</v>
      </c>
      <c r="E1761" s="28">
        <f t="shared" si="381"/>
        <v>346</v>
      </c>
      <c r="F1761" s="28">
        <f t="shared" si="381"/>
        <v>259.5</v>
      </c>
      <c r="G1761" s="28">
        <f t="shared" si="381"/>
        <v>0</v>
      </c>
      <c r="H1761" s="28">
        <f t="shared" si="381"/>
        <v>0</v>
      </c>
      <c r="I1761" s="28">
        <f t="shared" si="381"/>
        <v>0</v>
      </c>
      <c r="J1761" s="28">
        <f t="shared" si="381"/>
        <v>0</v>
      </c>
      <c r="K1761" s="28">
        <f t="shared" si="381"/>
        <v>0</v>
      </c>
      <c r="L1761" s="28">
        <f t="shared" si="381"/>
        <v>0</v>
      </c>
      <c r="M1761" s="28">
        <f t="shared" si="381"/>
        <v>0</v>
      </c>
    </row>
    <row r="1762" spans="2:13" ht="15" customHeight="1" x14ac:dyDescent="0.2">
      <c r="B1762" s="10" t="s">
        <v>894</v>
      </c>
      <c r="C1762" s="10" t="s">
        <v>199</v>
      </c>
      <c r="D1762" s="28">
        <f>IF(MOD(D1754,Inputs!$D$21)=Inputs!$D$6,Inputs!$D$24,Inputs!$D$6)+SUMPRODUCT(--(D1754&gt;$D$1754:$M$1754),--(MOD(D1754-$D$1754:$M$1754,Inputs!$D$21)=Inputs!$D$6),$D$1761:$M$1761)</f>
        <v>0</v>
      </c>
      <c r="E1762" s="28">
        <f>IF(MOD(E1754,Inputs!$D$21)=Inputs!$D$6,Inputs!$D$24,Inputs!$D$6)+SUMPRODUCT(--(E1754&gt;$D$1754:$M$1754),--(MOD(E1754-$D$1754:$M$1754,Inputs!$D$21)=Inputs!$D$6),$D$1761:$M$1761)</f>
        <v>0</v>
      </c>
      <c r="F1762" s="28">
        <f>IF(MOD(F1754,Inputs!$D$21)=Inputs!$D$6,Inputs!$D$24,Inputs!$D$6)+SUMPRODUCT(--(F1754&gt;$D$1754:$M$1754),--(MOD(F1754-$D$1754:$M$1754,Inputs!$D$21)=Inputs!$D$6),$D$1761:$M$1761)</f>
        <v>0</v>
      </c>
      <c r="G1762" s="28">
        <f>IF(MOD(G1754,Inputs!$D$21)=Inputs!$D$6,Inputs!$D$24,Inputs!$D$6)+SUMPRODUCT(--(G1754&gt;$D$1754:$M$1754),--(MOD(G1754-$D$1754:$M$1754,Inputs!$D$21)=Inputs!$D$6),$D$1761:$M$1761)</f>
        <v>46</v>
      </c>
      <c r="H1762" s="28">
        <f>IF(MOD(H1754,Inputs!$D$21)=Inputs!$D$6,Inputs!$D$24,Inputs!$D$6)+SUMPRODUCT(--(H1754&gt;$D$1754:$M$1754),--(MOD(H1754-$D$1754:$M$1754,Inputs!$D$21)=Inputs!$D$6),$D$1761:$M$1761)</f>
        <v>259.5</v>
      </c>
      <c r="I1762" s="28">
        <f>IF(MOD(I1754,Inputs!$D$21)=Inputs!$D$6,Inputs!$D$24,Inputs!$D$6)+SUMPRODUCT(--(I1754&gt;$D$1754:$M$1754),--(MOD(I1754-$D$1754:$M$1754,Inputs!$D$21)=Inputs!$D$6),$D$1761:$M$1761)</f>
        <v>346</v>
      </c>
      <c r="J1762" s="28">
        <f>IF(MOD(J1754,Inputs!$D$21)=Inputs!$D$6,Inputs!$D$24,Inputs!$D$6)+SUMPRODUCT(--(J1754&gt;$D$1754:$M$1754),--(MOD(J1754-$D$1754:$M$1754,Inputs!$D$21)=Inputs!$D$6),$D$1761:$M$1761)</f>
        <v>259.5</v>
      </c>
      <c r="K1762" s="28">
        <f>IF(MOD(K1754,Inputs!$D$21)=Inputs!$D$6,Inputs!$D$24,Inputs!$D$6)+SUMPRODUCT(--(K1754&gt;$D$1754:$M$1754),--(MOD(K1754-$D$1754:$M$1754,Inputs!$D$21)=Inputs!$D$6),$D$1761:$M$1761)</f>
        <v>46</v>
      </c>
      <c r="L1762" s="28">
        <f>IF(MOD(L1754,Inputs!$D$21)=Inputs!$D$6,Inputs!$D$24,Inputs!$D$6)+SUMPRODUCT(--(L1754&gt;$D$1754:$M$1754),--(MOD(L1754-$D$1754:$M$1754,Inputs!$D$21)=Inputs!$D$6),$D$1761:$M$1761)</f>
        <v>259.5</v>
      </c>
      <c r="M1762" s="28">
        <f>IF(MOD(M1754,Inputs!$D$21)=Inputs!$D$6,Inputs!$D$24,Inputs!$D$6)+SUMPRODUCT(--(M1754&gt;$D$1754:$M$1754),--(MOD(M1754-$D$1754:$M$1754,Inputs!$D$21)=Inputs!$D$6),$D$1761:$M$1761)</f>
        <v>346</v>
      </c>
    </row>
    <row r="1763" spans="2:13" ht="15" customHeight="1" x14ac:dyDescent="0.2">
      <c r="B1763" s="10" t="s">
        <v>895</v>
      </c>
      <c r="C1763" s="10" t="s">
        <v>896</v>
      </c>
      <c r="D1763" s="28">
        <f t="shared" ref="D1763:M1763" si="382">D1760*D1757</f>
        <v>125.58726899383984</v>
      </c>
      <c r="E1763" s="28">
        <f t="shared" si="382"/>
        <v>478.5</v>
      </c>
      <c r="F1763" s="28">
        <f t="shared" si="382"/>
        <v>781.25</v>
      </c>
      <c r="G1763" s="28">
        <f t="shared" si="382"/>
        <v>911</v>
      </c>
      <c r="H1763" s="28">
        <f t="shared" si="382"/>
        <v>911</v>
      </c>
      <c r="I1763" s="28">
        <f t="shared" si="382"/>
        <v>911</v>
      </c>
      <c r="J1763" s="28">
        <f t="shared" si="382"/>
        <v>911</v>
      </c>
      <c r="K1763" s="28">
        <f t="shared" si="382"/>
        <v>911</v>
      </c>
      <c r="L1763" s="28">
        <f t="shared" si="382"/>
        <v>911</v>
      </c>
      <c r="M1763" s="28">
        <f t="shared" si="382"/>
        <v>911</v>
      </c>
    </row>
    <row r="1764" spans="2:13" ht="15" customHeight="1" x14ac:dyDescent="0.2">
      <c r="B1764" s="10" t="s">
        <v>897</v>
      </c>
      <c r="C1764" s="10" t="s">
        <v>110</v>
      </c>
      <c r="D1764" s="16">
        <f>D1763*($D$1783/Inputs!$D$21+$D$1784/Inputs!$D$22)</f>
        <v>1816.9772859324419</v>
      </c>
      <c r="E1764" s="16">
        <f>E1763*($D$1783/Inputs!$D$21+$D$1784/Inputs!$D$22)</f>
        <v>6922.8643817497086</v>
      </c>
      <c r="F1764" s="16">
        <f>F1763*($D$1783/Inputs!$D$21+$D$1784/Inputs!$D$22)</f>
        <v>11303.0048030135</v>
      </c>
      <c r="G1764" s="16">
        <f>G1763*($D$1783/Inputs!$D$21+$D$1784/Inputs!$D$22)</f>
        <v>13180.207840697982</v>
      </c>
      <c r="H1764" s="16">
        <f>H1763*($D$1783/Inputs!$D$21+$D$1784/Inputs!$D$22)</f>
        <v>13180.207840697982</v>
      </c>
      <c r="I1764" s="16">
        <f>I1763*($D$1783/Inputs!$D$21+$D$1784/Inputs!$D$22)</f>
        <v>13180.207840697982</v>
      </c>
      <c r="J1764" s="16">
        <f>J1763*($D$1783/Inputs!$D$21+$D$1784/Inputs!$D$22)</f>
        <v>13180.207840697982</v>
      </c>
      <c r="K1764" s="16">
        <f>K1763*($D$1783/Inputs!$D$21+$D$1784/Inputs!$D$22)</f>
        <v>13180.207840697982</v>
      </c>
      <c r="L1764" s="16">
        <f>L1763*($D$1783/Inputs!$D$21+$D$1784/Inputs!$D$22)</f>
        <v>13180.207840697982</v>
      </c>
      <c r="M1764" s="16">
        <f>M1763*($D$1783/Inputs!$D$21+$D$1784/Inputs!$D$22)</f>
        <v>13180.207840697982</v>
      </c>
    </row>
    <row r="1765" spans="2:13" ht="15" customHeight="1" x14ac:dyDescent="0.2">
      <c r="B1765" s="10" t="s">
        <v>898</v>
      </c>
      <c r="C1765" s="10" t="s">
        <v>110</v>
      </c>
      <c r="D1765" s="16">
        <f t="shared" ref="D1765:M1765" si="383">D1761*($D$1783+$D$1784)</f>
        <v>15560.968620146154</v>
      </c>
      <c r="E1765" s="16">
        <f t="shared" si="383"/>
        <v>20747.95816019487</v>
      </c>
      <c r="F1765" s="16">
        <f t="shared" si="383"/>
        <v>15560.968620146154</v>
      </c>
      <c r="G1765" s="16">
        <f t="shared" si="383"/>
        <v>0</v>
      </c>
      <c r="H1765" s="16">
        <f t="shared" si="383"/>
        <v>0</v>
      </c>
      <c r="I1765" s="16">
        <f t="shared" si="383"/>
        <v>0</v>
      </c>
      <c r="J1765" s="16">
        <f t="shared" si="383"/>
        <v>0</v>
      </c>
      <c r="K1765" s="16">
        <f t="shared" si="383"/>
        <v>0</v>
      </c>
      <c r="L1765" s="16">
        <f t="shared" si="383"/>
        <v>0</v>
      </c>
      <c r="M1765" s="16">
        <f t="shared" si="383"/>
        <v>0</v>
      </c>
    </row>
    <row r="1766" spans="2:13" ht="15" customHeight="1" x14ac:dyDescent="0.2">
      <c r="B1766" s="10" t="s">
        <v>899</v>
      </c>
      <c r="C1766" s="10" t="s">
        <v>110</v>
      </c>
      <c r="D1766" s="16">
        <f t="shared" ref="D1766:M1766" si="384">D1762*$D$1783</f>
        <v>0</v>
      </c>
      <c r="E1766" s="16">
        <f t="shared" si="384"/>
        <v>0</v>
      </c>
      <c r="F1766" s="16">
        <f t="shared" si="384"/>
        <v>0</v>
      </c>
      <c r="G1766" s="16">
        <f t="shared" si="384"/>
        <v>2638.0048485671714</v>
      </c>
      <c r="H1766" s="16">
        <f t="shared" si="384"/>
        <v>14881.788221808281</v>
      </c>
      <c r="I1766" s="16">
        <f t="shared" si="384"/>
        <v>19842.384295744378</v>
      </c>
      <c r="J1766" s="16">
        <f t="shared" si="384"/>
        <v>14881.788221808281</v>
      </c>
      <c r="K1766" s="16">
        <f t="shared" si="384"/>
        <v>2638.0048485671714</v>
      </c>
      <c r="L1766" s="16">
        <f t="shared" si="384"/>
        <v>14881.788221808281</v>
      </c>
      <c r="M1766" s="16">
        <f t="shared" si="384"/>
        <v>19842.384295744378</v>
      </c>
    </row>
    <row r="1767" spans="2:13" ht="15" customHeight="1" x14ac:dyDescent="0.2">
      <c r="B1767" s="10" t="s">
        <v>900</v>
      </c>
      <c r="C1767" s="10" t="s">
        <v>199</v>
      </c>
      <c r="D1767" s="28">
        <f>D1761*Inputs!$D$23</f>
        <v>6.4875000000000007</v>
      </c>
      <c r="E1767" s="28">
        <f>E1761*Inputs!$D$23</f>
        <v>8.65</v>
      </c>
      <c r="F1767" s="28">
        <f>F1761*Inputs!$D$23</f>
        <v>6.4875000000000007</v>
      </c>
      <c r="G1767" s="28">
        <f>G1761*Inputs!$D$23</f>
        <v>0</v>
      </c>
      <c r="H1767" s="28">
        <f>H1761*Inputs!$D$23</f>
        <v>0</v>
      </c>
      <c r="I1767" s="28">
        <f>I1761*Inputs!$D$23</f>
        <v>0</v>
      </c>
      <c r="J1767" s="28">
        <f>J1761*Inputs!$D$23</f>
        <v>0</v>
      </c>
      <c r="K1767" s="28">
        <f>K1761*Inputs!$D$23</f>
        <v>0</v>
      </c>
      <c r="L1767" s="28">
        <f>L1761*Inputs!$D$23</f>
        <v>0</v>
      </c>
      <c r="M1767" s="28">
        <f>M1761*Inputs!$D$23</f>
        <v>0</v>
      </c>
    </row>
    <row r="1768" spans="2:13" ht="15" customHeight="1" x14ac:dyDescent="0.2">
      <c r="B1768" s="3" t="s">
        <v>901</v>
      </c>
      <c r="C1768" s="10" t="s">
        <v>896</v>
      </c>
      <c r="D1768" s="28">
        <f>(D1763*$D$1781*(Inputs!$D$7-Inputs!$D$19)-D1767)/(Inputs!$D$7+$D$1782)^D1756</f>
        <v>50.767902485879603</v>
      </c>
      <c r="E1768" s="28">
        <f>(E1763*$D$1781*(Inputs!$D$7-Inputs!$D$19)-E1767)/(Inputs!$D$7+$D$1782)^E1756</f>
        <v>185.89321240748276</v>
      </c>
      <c r="F1768" s="28">
        <f>(F1763*$D$1781*(Inputs!$D$7-Inputs!$D$19)-F1767)/(Inputs!$D$7+$D$1782)^F1756</f>
        <v>276.62376054161734</v>
      </c>
      <c r="G1768" s="28">
        <f>(G1763*$D$1781*(Inputs!$D$7-Inputs!$D$19)-G1767)/(Inputs!$D$7+$D$1782)^G1756</f>
        <v>292.99251988920633</v>
      </c>
      <c r="H1768" s="28">
        <f>(H1763*$D$1781*(Inputs!$D$7-Inputs!$D$19)-H1767)/(Inputs!$D$7+$D$1782)^H1756</f>
        <v>261.6207571276218</v>
      </c>
      <c r="I1768" s="28">
        <f>(I1763*$D$1781*(Inputs!$D$7-Inputs!$D$19)-I1767)/(Inputs!$D$7+$D$1782)^I1756</f>
        <v>233.53560984566982</v>
      </c>
      <c r="J1768" s="28">
        <f>(J1763*$D$1781*(Inputs!$D$7-Inputs!$D$19)-J1767)/(Inputs!$D$7+$D$1782)^J1756</f>
        <v>208.53011226084834</v>
      </c>
      <c r="K1768" s="28">
        <f>(K1763*$D$1781*(Inputs!$D$7-Inputs!$D$19)-K1767)/(Inputs!$D$7+$D$1782)^K1756</f>
        <v>186.20204322697762</v>
      </c>
      <c r="L1768" s="28">
        <f>(L1763*$D$1781*(Inputs!$D$7-Inputs!$D$19)-L1767)/(Inputs!$D$7+$D$1782)^L1756</f>
        <v>166.2647208405632</v>
      </c>
      <c r="M1768" s="28">
        <f>(M1763*$D$1781*(Inputs!$D$7-Inputs!$D$19)-M1767)/(Inputs!$D$7+$D$1782)^M1756</f>
        <v>148.41610200822046</v>
      </c>
    </row>
    <row r="1769" spans="2:13" ht="15" customHeight="1" x14ac:dyDescent="0.2">
      <c r="B1769" s="10" t="s">
        <v>902</v>
      </c>
      <c r="C1769" s="10" t="s">
        <v>110</v>
      </c>
      <c r="D1769" s="16">
        <f>(D1764*Inputs!$D$19-D1765-D1766)/(Inputs!$D$7+$D$1782)^D1756</f>
        <v>-13847.790632947557</v>
      </c>
      <c r="E1769" s="16">
        <f>(E1764*Inputs!$D$19-E1765-E1766)/(Inputs!$D$7+$D$1782)^E1756</f>
        <v>-15370.239105459035</v>
      </c>
      <c r="F1769" s="16">
        <f>(F1764*Inputs!$D$19-F1765-F1766)/(Inputs!$D$7+$D$1782)^F1756</f>
        <v>-8945.8041564234754</v>
      </c>
      <c r="G1769" s="16">
        <f>(G1764*Inputs!$D$19-G1765-G1766)/(Inputs!$D$7+$D$1782)^G1756</f>
        <v>863.80744262020482</v>
      </c>
      <c r="H1769" s="16">
        <f>(H1764*Inputs!$D$19-H1765-H1766)/(Inputs!$D$7+$D$1782)^H1756</f>
        <v>-6404.5339628745278</v>
      </c>
      <c r="I1769" s="16">
        <f>(I1764*Inputs!$D$19-I1765-I1766)/(Inputs!$D$7+$D$1782)^I1756</f>
        <v>-8312.2134333380691</v>
      </c>
      <c r="J1769" s="16">
        <f>(J1764*Inputs!$D$19-J1765-J1766)/(Inputs!$D$7+$D$1782)^J1756</f>
        <v>-5104.8632414329013</v>
      </c>
      <c r="K1769" s="16">
        <f>(K1764*Inputs!$D$19-K1765-K1766)/(Inputs!$D$7+$D$1782)^K1756</f>
        <v>548.96524604578394</v>
      </c>
      <c r="L1769" s="16">
        <f>(L1764*Inputs!$D$19-L1765-L1766)/(Inputs!$D$7+$D$1782)^L1756</f>
        <v>-4070.1971171644977</v>
      </c>
      <c r="M1769" s="16">
        <f>(M1764*Inputs!$D$19-M1765-M1766)/(Inputs!$D$7+$D$1782)^M1756</f>
        <v>-5282.5619084458349</v>
      </c>
    </row>
    <row r="1770" spans="2:13" ht="15" customHeight="1" x14ac:dyDescent="0.2">
      <c r="B1770" s="10" t="s">
        <v>903</v>
      </c>
      <c r="C1770" s="10" t="s">
        <v>110</v>
      </c>
      <c r="D1770" s="16">
        <f t="shared" ref="D1770:M1770" si="385">D1763*$D$1780</f>
        <v>4854.7440455934147</v>
      </c>
      <c r="E1770" s="16">
        <f t="shared" si="385"/>
        <v>18497.058216389702</v>
      </c>
      <c r="F1770" s="16">
        <f t="shared" si="385"/>
        <v>30200.264851733449</v>
      </c>
      <c r="G1770" s="16">
        <f t="shared" si="385"/>
        <v>35215.924838309344</v>
      </c>
      <c r="H1770" s="16">
        <f t="shared" si="385"/>
        <v>35215.924838309344</v>
      </c>
      <c r="I1770" s="16">
        <f t="shared" si="385"/>
        <v>35215.924838309344</v>
      </c>
      <c r="J1770" s="16">
        <f t="shared" si="385"/>
        <v>35215.924838309344</v>
      </c>
      <c r="K1770" s="16">
        <f t="shared" si="385"/>
        <v>35215.924838309344</v>
      </c>
      <c r="L1770" s="16">
        <f t="shared" si="385"/>
        <v>35215.924838309344</v>
      </c>
      <c r="M1770" s="16">
        <f t="shared" si="385"/>
        <v>35215.924838309344</v>
      </c>
    </row>
    <row r="1771" spans="2:13" ht="15" customHeight="1" x14ac:dyDescent="0.2">
      <c r="B1771" s="10" t="s">
        <v>904</v>
      </c>
      <c r="C1771" s="10" t="s">
        <v>110</v>
      </c>
      <c r="D1771" s="16">
        <f t="shared" ref="D1771:M1771" si="386">D1770*$D$1781</f>
        <v>3398.32083191539</v>
      </c>
      <c r="E1771" s="16">
        <f t="shared" si="386"/>
        <v>12947.94075147279</v>
      </c>
      <c r="F1771" s="16">
        <f t="shared" si="386"/>
        <v>21140.185396213412</v>
      </c>
      <c r="G1771" s="16">
        <f t="shared" si="386"/>
        <v>24651.147386816538</v>
      </c>
      <c r="H1771" s="16">
        <f t="shared" si="386"/>
        <v>24651.147386816538</v>
      </c>
      <c r="I1771" s="16">
        <f t="shared" si="386"/>
        <v>24651.147386816538</v>
      </c>
      <c r="J1771" s="16">
        <f t="shared" si="386"/>
        <v>24651.147386816538</v>
      </c>
      <c r="K1771" s="16">
        <f t="shared" si="386"/>
        <v>24651.147386816538</v>
      </c>
      <c r="L1771" s="16">
        <f t="shared" si="386"/>
        <v>24651.147386816538</v>
      </c>
      <c r="M1771" s="16">
        <f t="shared" si="386"/>
        <v>24651.147386816538</v>
      </c>
    </row>
    <row r="1772" spans="2:13" ht="15" customHeight="1" x14ac:dyDescent="0.2">
      <c r="B1772" s="10" t="s">
        <v>905</v>
      </c>
      <c r="C1772" s="10" t="s">
        <v>110</v>
      </c>
      <c r="D1772" s="16">
        <f t="shared" ref="D1772:M1772" si="387">D1771-D1764</f>
        <v>1581.3435459829482</v>
      </c>
      <c r="E1772" s="16">
        <f t="shared" si="387"/>
        <v>6025.0763697230814</v>
      </c>
      <c r="F1772" s="16">
        <f t="shared" si="387"/>
        <v>9837.1805931999115</v>
      </c>
      <c r="G1772" s="16">
        <f t="shared" si="387"/>
        <v>11470.939546118556</v>
      </c>
      <c r="H1772" s="16">
        <f t="shared" si="387"/>
        <v>11470.939546118556</v>
      </c>
      <c r="I1772" s="16">
        <f t="shared" si="387"/>
        <v>11470.939546118556</v>
      </c>
      <c r="J1772" s="16">
        <f t="shared" si="387"/>
        <v>11470.939546118556</v>
      </c>
      <c r="K1772" s="16">
        <f t="shared" si="387"/>
        <v>11470.939546118556</v>
      </c>
      <c r="L1772" s="16">
        <f t="shared" si="387"/>
        <v>11470.939546118556</v>
      </c>
      <c r="M1772" s="16">
        <f t="shared" si="387"/>
        <v>11470.939546118556</v>
      </c>
    </row>
    <row r="1773" spans="2:13" ht="15" customHeight="1" x14ac:dyDescent="0.2">
      <c r="B1773" s="10" t="s">
        <v>906</v>
      </c>
      <c r="C1773" s="10" t="s">
        <v>110</v>
      </c>
      <c r="D1773" s="16">
        <f>MAX(D1772,Inputs!$D$6)*Inputs!$D$19</f>
        <v>474.40306379488442</v>
      </c>
      <c r="E1773" s="16">
        <f>MAX(E1772,Inputs!$D$6)*Inputs!$D$19</f>
        <v>1807.5229109169243</v>
      </c>
      <c r="F1773" s="16">
        <f>MAX(F1772,Inputs!$D$6)*Inputs!$D$19</f>
        <v>2951.1541779599734</v>
      </c>
      <c r="G1773" s="16">
        <f>MAX(G1772,Inputs!$D$6)*Inputs!$D$19</f>
        <v>3441.2818638355666</v>
      </c>
      <c r="H1773" s="16">
        <f>MAX(H1772,Inputs!$D$6)*Inputs!$D$19</f>
        <v>3441.2818638355666</v>
      </c>
      <c r="I1773" s="16">
        <f>MAX(I1772,Inputs!$D$6)*Inputs!$D$19</f>
        <v>3441.2818638355666</v>
      </c>
      <c r="J1773" s="16">
        <f>MAX(J1772,Inputs!$D$6)*Inputs!$D$19</f>
        <v>3441.2818638355666</v>
      </c>
      <c r="K1773" s="16">
        <f>MAX(K1772,Inputs!$D$6)*Inputs!$D$19</f>
        <v>3441.2818638355666</v>
      </c>
      <c r="L1773" s="16">
        <f>MAX(L1772,Inputs!$D$6)*Inputs!$D$19</f>
        <v>3441.2818638355666</v>
      </c>
      <c r="M1773" s="16">
        <f>MAX(M1772,Inputs!$D$6)*Inputs!$D$19</f>
        <v>3441.2818638355666</v>
      </c>
    </row>
    <row r="1774" spans="2:13" ht="15" customHeight="1" x14ac:dyDescent="0.2">
      <c r="B1774" s="10" t="s">
        <v>907</v>
      </c>
      <c r="C1774" s="10" t="s">
        <v>110</v>
      </c>
      <c r="D1774" s="16">
        <f t="shared" ref="D1774:M1774" si="388">D1767*$D$1780</f>
        <v>250.7829993287946</v>
      </c>
      <c r="E1774" s="16">
        <f t="shared" si="388"/>
        <v>334.37733243839278</v>
      </c>
      <c r="F1774" s="16">
        <f t="shared" si="388"/>
        <v>250.7829993287946</v>
      </c>
      <c r="G1774" s="16">
        <f t="shared" si="388"/>
        <v>0</v>
      </c>
      <c r="H1774" s="16">
        <f t="shared" si="388"/>
        <v>0</v>
      </c>
      <c r="I1774" s="16">
        <f t="shared" si="388"/>
        <v>0</v>
      </c>
      <c r="J1774" s="16">
        <f t="shared" si="388"/>
        <v>0</v>
      </c>
      <c r="K1774" s="16">
        <f t="shared" si="388"/>
        <v>0</v>
      </c>
      <c r="L1774" s="16">
        <f t="shared" si="388"/>
        <v>0</v>
      </c>
      <c r="M1774" s="16">
        <f t="shared" si="388"/>
        <v>0</v>
      </c>
    </row>
    <row r="1775" spans="2:13" ht="15" customHeight="1" x14ac:dyDescent="0.2">
      <c r="B1775" s="10" t="s">
        <v>908</v>
      </c>
      <c r="C1775" s="10" t="s">
        <v>110</v>
      </c>
      <c r="D1775" s="16">
        <f t="shared" ref="D1775:M1775" si="389">D1771-D1773-D1765-D1766-D1774</f>
        <v>-12887.833851354442</v>
      </c>
      <c r="E1775" s="16">
        <f t="shared" si="389"/>
        <v>-9941.9176520773981</v>
      </c>
      <c r="F1775" s="16">
        <f t="shared" si="389"/>
        <v>2377.2795987784916</v>
      </c>
      <c r="G1775" s="16">
        <f t="shared" si="389"/>
        <v>18571.860674413798</v>
      </c>
      <c r="H1775" s="16">
        <f t="shared" si="389"/>
        <v>6328.0773011726887</v>
      </c>
      <c r="I1775" s="16">
        <f t="shared" si="389"/>
        <v>1367.4812272365925</v>
      </c>
      <c r="J1775" s="16">
        <f t="shared" si="389"/>
        <v>6328.0773011726887</v>
      </c>
      <c r="K1775" s="16">
        <f t="shared" si="389"/>
        <v>18571.860674413798</v>
      </c>
      <c r="L1775" s="16">
        <f t="shared" si="389"/>
        <v>6328.0773011726887</v>
      </c>
      <c r="M1775" s="16">
        <f t="shared" si="389"/>
        <v>1367.4812272365925</v>
      </c>
    </row>
    <row r="1776" spans="2:13" ht="15" customHeight="1" x14ac:dyDescent="0.2">
      <c r="B1776" s="10" t="s">
        <v>909</v>
      </c>
      <c r="C1776" s="10" t="s">
        <v>110</v>
      </c>
      <c r="D1776" s="16">
        <f>D1775/(Inputs!$D$7+$D$1782)^D1756</f>
        <v>-11885.289383615665</v>
      </c>
      <c r="E1776" s="16">
        <f>E1775/(Inputs!$D$7+$D$1782)^E1756</f>
        <v>-8184.2880669367687</v>
      </c>
      <c r="F1776" s="16">
        <f>F1775/(Inputs!$D$7+$D$1782)^F1756</f>
        <v>1747.4577093548758</v>
      </c>
      <c r="G1776" s="16">
        <f>G1775/(Inputs!$D$7+$D$1782)^G1756</f>
        <v>12189.825618915644</v>
      </c>
      <c r="H1776" s="16">
        <f>H1775/(Inputs!$D$7+$D$1782)^H1756</f>
        <v>3708.7667167609411</v>
      </c>
      <c r="I1776" s="16">
        <f>I1775/(Inputs!$D$7+$D$1782)^I1756</f>
        <v>715.41827181433871</v>
      </c>
      <c r="J1776" s="16">
        <f>J1775/(Inputs!$D$7+$D$1782)^J1756</f>
        <v>2956.1474719614403</v>
      </c>
      <c r="K1776" s="16">
        <f>K1775/(Inputs!$D$7+$D$1782)^K1756</f>
        <v>7746.8545534232499</v>
      </c>
      <c r="L1776" s="16">
        <f>L1775/(Inputs!$D$7+$D$1782)^L1756</f>
        <v>2356.9882970877075</v>
      </c>
      <c r="M1776" s="16">
        <f>M1775/(Inputs!$D$7+$D$1782)^M1756</f>
        <v>454.66124535915378</v>
      </c>
    </row>
    <row r="1777" spans="2:13" ht="15" customHeight="1" x14ac:dyDescent="0.2">
      <c r="B1777" s="3" t="s">
        <v>910</v>
      </c>
      <c r="C1777" s="10" t="s">
        <v>896</v>
      </c>
      <c r="D1777" s="28">
        <f>(D1763*$D$1781-D1767)/(Inputs!$D$7+$D$1782)^D1756</f>
        <v>75.089648168061032</v>
      </c>
      <c r="E1777" s="28">
        <f>(E1763*$D$1781-E1767)/(Inputs!$D$7+$D$1782)^E1756</f>
        <v>268.61348984151471</v>
      </c>
      <c r="F1777" s="28">
        <f>(F1763*$D$1781-F1767)/(Inputs!$D$7+$D$1782)^F1756</f>
        <v>397.22054713262008</v>
      </c>
      <c r="G1777" s="28">
        <f>(G1763*$D$1781-G1767)/(Inputs!$D$7+$D$1782)^G1756</f>
        <v>418.56074269886619</v>
      </c>
      <c r="H1777" s="28">
        <f>(H1763*$D$1781-H1767)/(Inputs!$D$7+$D$1782)^H1756</f>
        <v>373.7439387537454</v>
      </c>
      <c r="I1777" s="28">
        <f>(I1763*$D$1781-I1767)/(Inputs!$D$7+$D$1782)^I1756</f>
        <v>333.6222997795283</v>
      </c>
      <c r="J1777" s="28">
        <f>(J1763*$D$1781-J1767)/(Inputs!$D$7+$D$1782)^J1756</f>
        <v>297.90016037264053</v>
      </c>
      <c r="K1777" s="28">
        <f>(K1763*$D$1781-K1767)/(Inputs!$D$7+$D$1782)^K1756</f>
        <v>266.00291889568234</v>
      </c>
      <c r="L1777" s="28">
        <f>(L1763*$D$1781-L1767)/(Inputs!$D$7+$D$1782)^L1756</f>
        <v>237.52102977223316</v>
      </c>
      <c r="M1777" s="28">
        <f>(M1763*$D$1781-M1767)/(Inputs!$D$7+$D$1782)^M1756</f>
        <v>212.02300286888638</v>
      </c>
    </row>
    <row r="1778" spans="2:13" ht="15" customHeight="1" x14ac:dyDescent="0.2">
      <c r="B1778" s="10" t="s">
        <v>911</v>
      </c>
      <c r="C1778" s="10" t="s">
        <v>110</v>
      </c>
      <c r="D1778" s="16">
        <f>(-D1765-D1766)/(Inputs!$D$7+$D$1782)^D1756</f>
        <v>-14350.481025200577</v>
      </c>
      <c r="E1778" s="16">
        <f>(-E1765-E1766)/(Inputs!$D$7+$D$1782)^E1756</f>
        <v>-17079.930887207098</v>
      </c>
      <c r="F1778" s="16">
        <f>(-F1765-F1766)/(Inputs!$D$7+$D$1782)^F1756</f>
        <v>-11438.340948315768</v>
      </c>
      <c r="G1778" s="16">
        <f>(-G1765-G1766)/(Inputs!$D$7+$D$1782)^G1756</f>
        <v>-1731.4807411941122</v>
      </c>
      <c r="H1778" s="16">
        <f>(-H1765-H1766)/(Inputs!$D$7+$D$1782)^H1756</f>
        <v>-8721.9353076959778</v>
      </c>
      <c r="I1778" s="16">
        <f>(-I1765-I1766)/(Inputs!$D$7+$D$1782)^I1756</f>
        <v>-10380.8403353543</v>
      </c>
      <c r="J1778" s="16">
        <f>(-J1765-J1766)/(Inputs!$D$7+$D$1782)^J1756</f>
        <v>-6951.9948218729187</v>
      </c>
      <c r="K1778" s="16">
        <f>(-K1765-K1766)/(Inputs!$D$7+$D$1782)^K1756</f>
        <v>-1100.3873134386547</v>
      </c>
      <c r="L1778" s="16">
        <f>(-L1765-L1766)/(Inputs!$D$7+$D$1782)^L1756</f>
        <v>-5542.947566718196</v>
      </c>
      <c r="M1778" s="16">
        <f>(-M1765-M1766)/(Inputs!$D$7+$D$1782)^M1756</f>
        <v>-6597.2117021517279</v>
      </c>
    </row>
    <row r="1779" spans="2:13" ht="15" customHeight="1" x14ac:dyDescent="0.2">
      <c r="B1779" s="10" t="s">
        <v>912</v>
      </c>
      <c r="C1779" s="10" t="s">
        <v>110</v>
      </c>
      <c r="D1779" s="16">
        <f>Prices!I7</f>
        <v>35754.545454545456</v>
      </c>
    </row>
    <row r="1780" spans="2:13" ht="15" customHeight="1" x14ac:dyDescent="0.2">
      <c r="B1780" s="3" t="s">
        <v>913</v>
      </c>
      <c r="C1780" s="10" t="s">
        <v>914</v>
      </c>
      <c r="D1780" s="28">
        <f>IF(J1787&gt;=J1783,J1787,(D1779-J1786)/J1785)</f>
        <v>38.656339010218815</v>
      </c>
      <c r="G1780" s="99" t="s">
        <v>915</v>
      </c>
      <c r="H1780" s="91"/>
      <c r="I1780" s="91"/>
      <c r="J1780" s="28">
        <f>D1780*Inputs!$D$15</f>
        <v>26.978258995231709</v>
      </c>
      <c r="K1780" s="99" t="s">
        <v>916</v>
      </c>
      <c r="L1780" s="91"/>
      <c r="M1780" s="91"/>
    </row>
    <row r="1781" spans="2:13" ht="15" customHeight="1" x14ac:dyDescent="0.2">
      <c r="B1781" s="10" t="s">
        <v>917</v>
      </c>
      <c r="C1781" s="10" t="s">
        <v>104</v>
      </c>
      <c r="D1781" s="30">
        <f>Inputs!$D$143</f>
        <v>0.7</v>
      </c>
      <c r="G1781" s="99" t="s">
        <v>918</v>
      </c>
      <c r="H1781" s="91"/>
      <c r="I1781" s="91"/>
      <c r="J1781" s="28">
        <f>IF(-D1792/D1791&gt;=J1783,-D1792/D1791,-J1786/J1785)</f>
        <v>28.75254216398438</v>
      </c>
      <c r="K1781" s="99" t="s">
        <v>919</v>
      </c>
      <c r="L1781" s="91"/>
      <c r="M1781" s="91"/>
    </row>
    <row r="1782" spans="2:13" ht="15" customHeight="1" x14ac:dyDescent="0.2">
      <c r="B1782" s="10" t="s">
        <v>920</v>
      </c>
      <c r="C1782" s="10" t="s">
        <v>104</v>
      </c>
      <c r="D1782" s="30">
        <f>Inputs!$D$148</f>
        <v>0.12</v>
      </c>
      <c r="G1782" s="99" t="s">
        <v>918</v>
      </c>
      <c r="H1782" s="91"/>
      <c r="I1782" s="91"/>
      <c r="J1782" s="28">
        <f>J1781*Inputs!$D$15</f>
        <v>20.066399176244698</v>
      </c>
      <c r="K1782" s="99" t="s">
        <v>916</v>
      </c>
      <c r="L1782" s="91"/>
      <c r="M1782" s="91"/>
    </row>
    <row r="1783" spans="2:13" ht="15" customHeight="1" x14ac:dyDescent="0.2">
      <c r="B1783" s="3" t="s">
        <v>921</v>
      </c>
      <c r="C1783" s="10" t="s">
        <v>848</v>
      </c>
      <c r="D1783" s="28">
        <f>Capital!$D$13</f>
        <v>57.347931490590682</v>
      </c>
      <c r="G1783" s="99" t="s">
        <v>922</v>
      </c>
      <c r="H1783" s="91"/>
      <c r="I1783" s="91"/>
      <c r="J1783" s="28">
        <f>($D$1783/Inputs!$D$21+$D$1784/Inputs!$D$22)/$D$1781</f>
        <v>20.668351639796114</v>
      </c>
      <c r="K1783" s="99" t="s">
        <v>919</v>
      </c>
      <c r="L1783" s="91"/>
      <c r="M1783" s="91"/>
    </row>
    <row r="1784" spans="2:13" ht="15" customHeight="1" x14ac:dyDescent="0.2">
      <c r="B1784" s="3" t="s">
        <v>923</v>
      </c>
      <c r="C1784" s="10" t="s">
        <v>848</v>
      </c>
      <c r="D1784" s="28">
        <f>Capital!$D$14</f>
        <v>2.6172655041921802</v>
      </c>
    </row>
    <row r="1785" spans="2:13" ht="15" customHeight="1" x14ac:dyDescent="0.2">
      <c r="B1785" s="10" t="s">
        <v>924</v>
      </c>
      <c r="C1785" s="10" t="s">
        <v>896</v>
      </c>
      <c r="D1785" s="28">
        <f>(M1758*(Inputs!$D$7+Inputs!$D$20)*$D$1781*(Inputs!$D$7-Inputs!$D$19)-M1758*Inputs!$D$20*Inputs!$D$23)/($D$1782-Inputs!$D$20)/(Inputs!$D$7+$D$1782)^M1756</f>
        <v>1599.3389295354154</v>
      </c>
      <c r="G1785" s="92" t="s">
        <v>910</v>
      </c>
      <c r="H1785" s="91"/>
      <c r="I1785" s="91"/>
      <c r="J1785" s="28">
        <f>SUM(D1777:M1777)+(M1758*(Inputs!$D$7+Inputs!$D$20)*$D$1781-M1758*Inputs!$D$20*Inputs!$D$23)/($D$1782-Inputs!$D$20)/(Inputs!$D$7+$D$1782)^M1756</f>
        <v>5165.9216907895361</v>
      </c>
      <c r="K1785" s="99" t="s">
        <v>896</v>
      </c>
      <c r="L1785" s="91"/>
      <c r="M1785" s="91"/>
    </row>
    <row r="1786" spans="2:13" ht="15" customHeight="1" x14ac:dyDescent="0.2">
      <c r="B1786" s="10" t="s">
        <v>925</v>
      </c>
      <c r="C1786" s="10" t="s">
        <v>110</v>
      </c>
      <c r="D1786" s="16">
        <f>(D1789*Inputs!$D$19-D1789-D1790)/($D$1782-Inputs!$D$20)/(Inputs!$D$7+$D$1782)^M1756</f>
        <v>-37876.58483194092</v>
      </c>
      <c r="G1786" s="92" t="s">
        <v>926</v>
      </c>
      <c r="H1786" s="91"/>
      <c r="I1786" s="91"/>
      <c r="J1786" s="16">
        <f>SUM(D1778:M1778)-(D1789+D1790)/($D$1782-Inputs!$D$20)/(Inputs!$D$7+$D$1782)^M1756</f>
        <v>-135956.51483423277</v>
      </c>
      <c r="K1786" s="99" t="s">
        <v>110</v>
      </c>
      <c r="L1786" s="91"/>
      <c r="M1786" s="91"/>
    </row>
    <row r="1787" spans="2:13" ht="15" customHeight="1" x14ac:dyDescent="0.2">
      <c r="B1787" s="10" t="s">
        <v>927</v>
      </c>
      <c r="C1787" s="10" t="s">
        <v>928</v>
      </c>
      <c r="D1787" s="16">
        <f>(M1758*(Inputs!$D$7+Inputs!$D$20)*$D$1780*$D$1781-D1789)-MAX((M1758*(Inputs!$D$7+Inputs!$D$20)*$D$1780*$D$1781-D1789),Inputs!$D$6)*Inputs!$D$19-D1790-M1758*Inputs!$D$20*$D$1780*Inputs!$D$23</f>
        <v>6842.681809759938</v>
      </c>
      <c r="G1787" s="99" t="s">
        <v>929</v>
      </c>
      <c r="H1787" s="91"/>
      <c r="I1787" s="91"/>
      <c r="J1787" s="28">
        <f>(D1779-D1792)/D1791</f>
        <v>38.656339010218815</v>
      </c>
      <c r="K1787" s="99" t="s">
        <v>919</v>
      </c>
      <c r="L1787" s="91"/>
      <c r="M1787" s="91"/>
    </row>
    <row r="1788" spans="2:13" ht="15" customHeight="1" x14ac:dyDescent="0.2">
      <c r="B1788" s="10" t="s">
        <v>930</v>
      </c>
      <c r="C1788" s="10" t="s">
        <v>110</v>
      </c>
      <c r="D1788" s="16">
        <f>D1787/($D$1782-Inputs!$D$20)</f>
        <v>72028.229576420403</v>
      </c>
      <c r="G1788" s="99" t="s">
        <v>931</v>
      </c>
      <c r="H1788" s="91"/>
      <c r="I1788" s="91"/>
      <c r="J1788" s="16">
        <f>MIN(D1772:M1772,(M1758*(Inputs!$D$7+Inputs!$D$20)*$D$1780*$D$1781-D1789))</f>
        <v>1581.3435459829482</v>
      </c>
      <c r="K1788" s="99" t="s">
        <v>110</v>
      </c>
      <c r="L1788" s="91"/>
      <c r="M1788" s="91"/>
    </row>
    <row r="1789" spans="2:13" ht="15" customHeight="1" x14ac:dyDescent="0.2">
      <c r="B1789" s="10" t="s">
        <v>932</v>
      </c>
      <c r="C1789" s="10" t="s">
        <v>928</v>
      </c>
      <c r="D1789" s="16">
        <f>M1758*(Inputs!$D$7+Inputs!$D$20)*($D$1783/Inputs!$D$21+$D$1784/Inputs!$D$22)</f>
        <v>13509.71303671543</v>
      </c>
      <c r="G1789" s="99" t="s">
        <v>933</v>
      </c>
      <c r="H1789" s="91"/>
      <c r="I1789" s="91"/>
      <c r="J1789" s="31" t="str">
        <f>IF(J1788&lt;Inputs!$D$6,"breached","satisfied")</f>
        <v>satisfied</v>
      </c>
      <c r="K1789" s="99" t="s">
        <v>934</v>
      </c>
      <c r="L1789" s="91"/>
      <c r="M1789" s="91"/>
    </row>
    <row r="1790" spans="2:13" ht="15" customHeight="1" x14ac:dyDescent="0.2">
      <c r="B1790" s="10" t="s">
        <v>935</v>
      </c>
      <c r="C1790" s="10" t="s">
        <v>928</v>
      </c>
      <c r="D1790" s="16">
        <f>M1758*Inputs!$D$20*($D$1783+$D$1784)</f>
        <v>1365.7073615561799</v>
      </c>
    </row>
    <row r="1791" spans="2:13" ht="15" customHeight="1" x14ac:dyDescent="0.2">
      <c r="B1791" s="10" t="s">
        <v>936</v>
      </c>
      <c r="C1791" s="10" t="s">
        <v>896</v>
      </c>
      <c r="D1791" s="28">
        <f>SUM(D1768:M1768)+D1785</f>
        <v>3610.1856701695024</v>
      </c>
      <c r="G1791" s="99" t="s">
        <v>937</v>
      </c>
      <c r="H1791" s="91"/>
      <c r="I1791" s="91"/>
      <c r="J1791" s="16">
        <f>D1793-D1779</f>
        <v>0</v>
      </c>
      <c r="K1791" s="99" t="s">
        <v>110</v>
      </c>
      <c r="L1791" s="91"/>
      <c r="M1791" s="91"/>
    </row>
    <row r="1792" spans="2:13" ht="15" customHeight="1" x14ac:dyDescent="0.2">
      <c r="B1792" s="10" t="s">
        <v>938</v>
      </c>
      <c r="C1792" s="10" t="s">
        <v>110</v>
      </c>
      <c r="D1792" s="16">
        <f>SUM(D1769:M1769)+D1786</f>
        <v>-103802.01570136083</v>
      </c>
    </row>
    <row r="1793" spans="1:13" ht="15" customHeight="1" x14ac:dyDescent="0.2">
      <c r="B1793" s="10" t="s">
        <v>939</v>
      </c>
      <c r="C1793" s="10" t="s">
        <v>110</v>
      </c>
      <c r="D1793" s="16">
        <f>SUM(D1776:M1776)+D1788/(Inputs!$D$7+$D$1782)^M1756</f>
        <v>35754.545454545478</v>
      </c>
    </row>
    <row r="1794" spans="1:13" ht="15" customHeight="1" x14ac:dyDescent="0.2">
      <c r="B1794" s="10" t="s">
        <v>940</v>
      </c>
      <c r="C1794" s="10" t="s">
        <v>104</v>
      </c>
      <c r="D1794" s="30">
        <f>IF(ABS(D1779)&gt;Inputs!$D$6,D1793/D1779-Inputs!$D$7,Inputs!$D$6)</f>
        <v>6.6613381477509392E-16</v>
      </c>
    </row>
    <row r="1795" spans="1:13" ht="15" customHeight="1" x14ac:dyDescent="0.2">
      <c r="B1795" s="10" t="s">
        <v>941</v>
      </c>
      <c r="C1795" s="10" t="s">
        <v>104</v>
      </c>
      <c r="D1795" s="30">
        <f>IF(ABS(D1793)&gt;Inputs!$D$119,D1788/(Inputs!$D$7+$D$1782)^M1756/D1793,Inputs!$D$6)</f>
        <v>0.66978904964308672</v>
      </c>
    </row>
    <row r="1796" spans="1:13" ht="15" customHeight="1" x14ac:dyDescent="0.2">
      <c r="B1796" s="10" t="s">
        <v>942</v>
      </c>
      <c r="C1796" s="10" t="s">
        <v>943</v>
      </c>
      <c r="D1796" s="26">
        <f>$D$1780*Inputs!$D$8/Prices!$P$6/(Inputs!$D$26/Inputs!$D$25)/Inputs!$D$11/Inputs!$D$56</f>
        <v>7.0297726685014137</v>
      </c>
    </row>
    <row r="1800" spans="1:13" ht="15" customHeight="1" x14ac:dyDescent="0.2">
      <c r="A1800" s="104" t="s">
        <v>2204</v>
      </c>
      <c r="B1800" s="10" t="s">
        <v>886</v>
      </c>
      <c r="C1800" s="10" t="s">
        <v>107</v>
      </c>
      <c r="D1800" s="28">
        <f>Inputs!$D$60</f>
        <v>1</v>
      </c>
      <c r="E1800" s="28">
        <f>Inputs!$D$62</f>
        <v>2</v>
      </c>
      <c r="F1800" s="28">
        <f>Inputs!$D$64</f>
        <v>3</v>
      </c>
      <c r="G1800" s="28">
        <f>Inputs!$D$66</f>
        <v>4</v>
      </c>
      <c r="H1800" s="28">
        <f>Inputs!$D$68</f>
        <v>5</v>
      </c>
      <c r="I1800" s="28">
        <f>Inputs!$D$70</f>
        <v>6</v>
      </c>
      <c r="J1800" s="28">
        <f>Inputs!$D$72</f>
        <v>7</v>
      </c>
      <c r="K1800" s="28">
        <f>Inputs!$D$74</f>
        <v>8</v>
      </c>
      <c r="L1800" s="28">
        <f>Inputs!$D$76</f>
        <v>9</v>
      </c>
      <c r="M1800" s="28">
        <f>Inputs!$D$78</f>
        <v>10</v>
      </c>
    </row>
    <row r="1801" spans="1:13" ht="15" customHeight="1" x14ac:dyDescent="0.2">
      <c r="A1801" s="91"/>
      <c r="B1801" s="10" t="s">
        <v>887</v>
      </c>
      <c r="C1801" s="10" t="s">
        <v>161</v>
      </c>
      <c r="D1801" s="29">
        <f>Inputs!$D$61</f>
        <v>46568</v>
      </c>
      <c r="E1801" s="29">
        <f>Inputs!$D$63</f>
        <v>46934</v>
      </c>
      <c r="F1801" s="29">
        <f>Inputs!$D$65</f>
        <v>47299</v>
      </c>
      <c r="G1801" s="29">
        <f>Inputs!$D$67</f>
        <v>47664</v>
      </c>
      <c r="H1801" s="29">
        <f>Inputs!$D$69</f>
        <v>48029</v>
      </c>
      <c r="I1801" s="29">
        <f>Inputs!$D$71</f>
        <v>48395</v>
      </c>
      <c r="J1801" s="29">
        <f>Inputs!$D$73</f>
        <v>48760</v>
      </c>
      <c r="K1801" s="29">
        <f>Inputs!$D$75</f>
        <v>49125</v>
      </c>
      <c r="L1801" s="29">
        <f>Inputs!$D$77</f>
        <v>49490</v>
      </c>
      <c r="M1801" s="29">
        <f>Inputs!$D$79</f>
        <v>49856</v>
      </c>
    </row>
    <row r="1802" spans="1:13" ht="15" customHeight="1" x14ac:dyDescent="0.2">
      <c r="A1802" s="91"/>
      <c r="B1802" s="10" t="s">
        <v>888</v>
      </c>
      <c r="C1802" s="10" t="s">
        <v>107</v>
      </c>
      <c r="D1802" s="28">
        <f>(D1801-Inputs!$D$13)/Inputs!$D$10</f>
        <v>0.71457905544147848</v>
      </c>
      <c r="E1802" s="28">
        <f>(E1801-Inputs!$D$13)/Inputs!$D$10</f>
        <v>1.7166324435318274</v>
      </c>
      <c r="F1802" s="28">
        <f>(F1801-Inputs!$D$13)/Inputs!$D$10</f>
        <v>2.7159479808350446</v>
      </c>
      <c r="G1802" s="28">
        <f>(G1801-Inputs!$D$13)/Inputs!$D$10</f>
        <v>3.7152635181382614</v>
      </c>
      <c r="H1802" s="28">
        <f>(H1801-Inputs!$D$13)/Inputs!$D$10</f>
        <v>4.7145790554414786</v>
      </c>
      <c r="I1802" s="28">
        <f>(I1801-Inputs!$D$13)/Inputs!$D$10</f>
        <v>5.7166324435318279</v>
      </c>
      <c r="J1802" s="28">
        <f>(J1801-Inputs!$D$13)/Inputs!$D$10</f>
        <v>6.7159479808350442</v>
      </c>
      <c r="K1802" s="28">
        <f>(K1801-Inputs!$D$13)/Inputs!$D$10</f>
        <v>7.7152635181382614</v>
      </c>
      <c r="L1802" s="28">
        <f>(L1801-Inputs!$D$13)/Inputs!$D$10</f>
        <v>8.7145790554414777</v>
      </c>
      <c r="M1802" s="28">
        <f>(M1801-Inputs!$D$13)/Inputs!$D$10</f>
        <v>9.716632443531827</v>
      </c>
    </row>
    <row r="1803" spans="1:13" ht="15" customHeight="1" x14ac:dyDescent="0.2">
      <c r="A1803" s="91"/>
      <c r="B1803" s="10" t="s">
        <v>889</v>
      </c>
      <c r="C1803" s="10" t="s">
        <v>107</v>
      </c>
      <c r="D1803" s="28">
        <f>D1802</f>
        <v>0.71457905544147848</v>
      </c>
      <c r="E1803" s="28">
        <f>Inputs!$D$7</f>
        <v>1</v>
      </c>
      <c r="F1803" s="28">
        <f>Inputs!$D$7</f>
        <v>1</v>
      </c>
      <c r="G1803" s="28">
        <f>Inputs!$D$7</f>
        <v>1</v>
      </c>
      <c r="H1803" s="28">
        <f>Inputs!$D$7</f>
        <v>1</v>
      </c>
      <c r="I1803" s="28">
        <f>Inputs!$D$7</f>
        <v>1</v>
      </c>
      <c r="J1803" s="28">
        <f>Inputs!$D$7</f>
        <v>1</v>
      </c>
      <c r="K1803" s="28">
        <f>Inputs!$D$7</f>
        <v>1</v>
      </c>
      <c r="L1803" s="28">
        <f>Inputs!$D$7</f>
        <v>1</v>
      </c>
      <c r="M1803" s="28">
        <f>Inputs!$D$7</f>
        <v>1</v>
      </c>
    </row>
    <row r="1804" spans="1:13" ht="15" customHeight="1" x14ac:dyDescent="0.2">
      <c r="A1804" s="91"/>
      <c r="B1804" s="3" t="s">
        <v>890</v>
      </c>
      <c r="C1804" s="10" t="s">
        <v>199</v>
      </c>
      <c r="D1804" s="28">
        <f>Inputs!$D$24+(Inputs!$D$80-Inputs!$D$24)*Inputs!$D$83</f>
        <v>305.5</v>
      </c>
      <c r="E1804" s="28">
        <f>Inputs!$D$24+(Inputs!$D$80-Inputs!$D$24)*Inputs!$D$84</f>
        <v>651.5</v>
      </c>
      <c r="F1804" s="28">
        <f>Inputs!$D$24+(Inputs!$D$80-Inputs!$D$24)*Inputs!$D$85</f>
        <v>911</v>
      </c>
      <c r="G1804" s="28">
        <f>Inputs!$D$24+(Inputs!$D$80-Inputs!$D$24)*Inputs!$D$86</f>
        <v>911</v>
      </c>
      <c r="H1804" s="28">
        <f>Inputs!$D$24+(Inputs!$D$80-Inputs!$D$24)*Inputs!$D$87</f>
        <v>911</v>
      </c>
      <c r="I1804" s="28">
        <f>Inputs!$D$24+(Inputs!$D$80-Inputs!$D$24)*Inputs!$D$88</f>
        <v>911</v>
      </c>
      <c r="J1804" s="28">
        <f>Inputs!$D$24+(Inputs!$D$80-Inputs!$D$24)*Inputs!$D$89</f>
        <v>911</v>
      </c>
      <c r="K1804" s="28">
        <f>Inputs!$D$24+(Inputs!$D$80-Inputs!$D$24)*Inputs!$D$90</f>
        <v>911</v>
      </c>
      <c r="L1804" s="28">
        <f>Inputs!$D$24+(Inputs!$D$80-Inputs!$D$24)*Inputs!$D$91</f>
        <v>911</v>
      </c>
      <c r="M1804" s="28">
        <f>Inputs!$D$24+(Inputs!$D$80-Inputs!$D$24)*Inputs!$D$92</f>
        <v>911</v>
      </c>
    </row>
    <row r="1805" spans="1:13" ht="15" customHeight="1" x14ac:dyDescent="0.2">
      <c r="A1805" s="91"/>
      <c r="B1805" s="10" t="s">
        <v>891</v>
      </c>
      <c r="C1805" s="10" t="s">
        <v>199</v>
      </c>
      <c r="D1805" s="28">
        <f>Inputs!$D$24</f>
        <v>46</v>
      </c>
      <c r="E1805" s="28">
        <f t="shared" ref="E1805:M1805" si="390">D1804</f>
        <v>305.5</v>
      </c>
      <c r="F1805" s="28">
        <f t="shared" si="390"/>
        <v>651.5</v>
      </c>
      <c r="G1805" s="28">
        <f t="shared" si="390"/>
        <v>911</v>
      </c>
      <c r="H1805" s="28">
        <f t="shared" si="390"/>
        <v>911</v>
      </c>
      <c r="I1805" s="28">
        <f t="shared" si="390"/>
        <v>911</v>
      </c>
      <c r="J1805" s="28">
        <f t="shared" si="390"/>
        <v>911</v>
      </c>
      <c r="K1805" s="28">
        <f t="shared" si="390"/>
        <v>911</v>
      </c>
      <c r="L1805" s="28">
        <f t="shared" si="390"/>
        <v>911</v>
      </c>
      <c r="M1805" s="28">
        <f t="shared" si="390"/>
        <v>911</v>
      </c>
    </row>
    <row r="1806" spans="1:13" ht="15" customHeight="1" x14ac:dyDescent="0.2">
      <c r="B1806" s="10" t="s">
        <v>892</v>
      </c>
      <c r="C1806" s="10" t="s">
        <v>199</v>
      </c>
      <c r="D1806" s="28">
        <f>(D1805+D1804)*Inputs!$D$12</f>
        <v>175.75</v>
      </c>
      <c r="E1806" s="28">
        <f>(E1805+E1804)*Inputs!$D$12</f>
        <v>478.5</v>
      </c>
      <c r="F1806" s="28">
        <f>(F1805+F1804)*Inputs!$D$12</f>
        <v>781.25</v>
      </c>
      <c r="G1806" s="28">
        <f>(G1805+G1804)*Inputs!$D$12</f>
        <v>911</v>
      </c>
      <c r="H1806" s="28">
        <f>(H1805+H1804)*Inputs!$D$12</f>
        <v>911</v>
      </c>
      <c r="I1806" s="28">
        <f>(I1805+I1804)*Inputs!$D$12</f>
        <v>911</v>
      </c>
      <c r="J1806" s="28">
        <f>(J1805+J1804)*Inputs!$D$12</f>
        <v>911</v>
      </c>
      <c r="K1806" s="28">
        <f>(K1805+K1804)*Inputs!$D$12</f>
        <v>911</v>
      </c>
      <c r="L1806" s="28">
        <f>(L1805+L1804)*Inputs!$D$12</f>
        <v>911</v>
      </c>
      <c r="M1806" s="28">
        <f>(M1805+M1804)*Inputs!$D$12</f>
        <v>911</v>
      </c>
    </row>
    <row r="1807" spans="1:13" ht="15" customHeight="1" x14ac:dyDescent="0.2">
      <c r="B1807" s="10" t="s">
        <v>893</v>
      </c>
      <c r="C1807" s="10" t="s">
        <v>199</v>
      </c>
      <c r="D1807" s="28">
        <f t="shared" ref="D1807:M1807" si="391">D1804-D1805</f>
        <v>259.5</v>
      </c>
      <c r="E1807" s="28">
        <f t="shared" si="391"/>
        <v>346</v>
      </c>
      <c r="F1807" s="28">
        <f t="shared" si="391"/>
        <v>259.5</v>
      </c>
      <c r="G1807" s="28">
        <f t="shared" si="391"/>
        <v>0</v>
      </c>
      <c r="H1807" s="28">
        <f t="shared" si="391"/>
        <v>0</v>
      </c>
      <c r="I1807" s="28">
        <f t="shared" si="391"/>
        <v>0</v>
      </c>
      <c r="J1807" s="28">
        <f t="shared" si="391"/>
        <v>0</v>
      </c>
      <c r="K1807" s="28">
        <f t="shared" si="391"/>
        <v>0</v>
      </c>
      <c r="L1807" s="28">
        <f t="shared" si="391"/>
        <v>0</v>
      </c>
      <c r="M1807" s="28">
        <f t="shared" si="391"/>
        <v>0</v>
      </c>
    </row>
    <row r="1808" spans="1:13" ht="15" customHeight="1" x14ac:dyDescent="0.2">
      <c r="B1808" s="10" t="s">
        <v>894</v>
      </c>
      <c r="C1808" s="10" t="s">
        <v>199</v>
      </c>
      <c r="D1808" s="28">
        <f>IF(MOD(D1800,Inputs!$D$21)=Inputs!$D$6,Inputs!$D$24,Inputs!$D$6)+SUMPRODUCT(--(D1800&gt;$D$1800:$M$1800),--(MOD(D1800-$D$1800:$M$1800,Inputs!$D$21)=Inputs!$D$6),$D$1807:$M$1807)</f>
        <v>0</v>
      </c>
      <c r="E1808" s="28">
        <f>IF(MOD(E1800,Inputs!$D$21)=Inputs!$D$6,Inputs!$D$24,Inputs!$D$6)+SUMPRODUCT(--(E1800&gt;$D$1800:$M$1800),--(MOD(E1800-$D$1800:$M$1800,Inputs!$D$21)=Inputs!$D$6),$D$1807:$M$1807)</f>
        <v>0</v>
      </c>
      <c r="F1808" s="28">
        <f>IF(MOD(F1800,Inputs!$D$21)=Inputs!$D$6,Inputs!$D$24,Inputs!$D$6)+SUMPRODUCT(--(F1800&gt;$D$1800:$M$1800),--(MOD(F1800-$D$1800:$M$1800,Inputs!$D$21)=Inputs!$D$6),$D$1807:$M$1807)</f>
        <v>0</v>
      </c>
      <c r="G1808" s="28">
        <f>IF(MOD(G1800,Inputs!$D$21)=Inputs!$D$6,Inputs!$D$24,Inputs!$D$6)+SUMPRODUCT(--(G1800&gt;$D$1800:$M$1800),--(MOD(G1800-$D$1800:$M$1800,Inputs!$D$21)=Inputs!$D$6),$D$1807:$M$1807)</f>
        <v>46</v>
      </c>
      <c r="H1808" s="28">
        <f>IF(MOD(H1800,Inputs!$D$21)=Inputs!$D$6,Inputs!$D$24,Inputs!$D$6)+SUMPRODUCT(--(H1800&gt;$D$1800:$M$1800),--(MOD(H1800-$D$1800:$M$1800,Inputs!$D$21)=Inputs!$D$6),$D$1807:$M$1807)</f>
        <v>259.5</v>
      </c>
      <c r="I1808" s="28">
        <f>IF(MOD(I1800,Inputs!$D$21)=Inputs!$D$6,Inputs!$D$24,Inputs!$D$6)+SUMPRODUCT(--(I1800&gt;$D$1800:$M$1800),--(MOD(I1800-$D$1800:$M$1800,Inputs!$D$21)=Inputs!$D$6),$D$1807:$M$1807)</f>
        <v>346</v>
      </c>
      <c r="J1808" s="28">
        <f>IF(MOD(J1800,Inputs!$D$21)=Inputs!$D$6,Inputs!$D$24,Inputs!$D$6)+SUMPRODUCT(--(J1800&gt;$D$1800:$M$1800),--(MOD(J1800-$D$1800:$M$1800,Inputs!$D$21)=Inputs!$D$6),$D$1807:$M$1807)</f>
        <v>259.5</v>
      </c>
      <c r="K1808" s="28">
        <f>IF(MOD(K1800,Inputs!$D$21)=Inputs!$D$6,Inputs!$D$24,Inputs!$D$6)+SUMPRODUCT(--(K1800&gt;$D$1800:$M$1800),--(MOD(K1800-$D$1800:$M$1800,Inputs!$D$21)=Inputs!$D$6),$D$1807:$M$1807)</f>
        <v>46</v>
      </c>
      <c r="L1808" s="28">
        <f>IF(MOD(L1800,Inputs!$D$21)=Inputs!$D$6,Inputs!$D$24,Inputs!$D$6)+SUMPRODUCT(--(L1800&gt;$D$1800:$M$1800),--(MOD(L1800-$D$1800:$M$1800,Inputs!$D$21)=Inputs!$D$6),$D$1807:$M$1807)</f>
        <v>259.5</v>
      </c>
      <c r="M1808" s="28">
        <f>IF(MOD(M1800,Inputs!$D$21)=Inputs!$D$6,Inputs!$D$24,Inputs!$D$6)+SUMPRODUCT(--(M1800&gt;$D$1800:$M$1800),--(MOD(M1800-$D$1800:$M$1800,Inputs!$D$21)=Inputs!$D$6),$D$1807:$M$1807)</f>
        <v>346</v>
      </c>
    </row>
    <row r="1809" spans="2:13" ht="15" customHeight="1" x14ac:dyDescent="0.2">
      <c r="B1809" s="10" t="s">
        <v>895</v>
      </c>
      <c r="C1809" s="10" t="s">
        <v>896</v>
      </c>
      <c r="D1809" s="28">
        <f t="shared" ref="D1809:M1809" si="392">D1806*D1803</f>
        <v>125.58726899383984</v>
      </c>
      <c r="E1809" s="28">
        <f t="shared" si="392"/>
        <v>478.5</v>
      </c>
      <c r="F1809" s="28">
        <f t="shared" si="392"/>
        <v>781.25</v>
      </c>
      <c r="G1809" s="28">
        <f t="shared" si="392"/>
        <v>911</v>
      </c>
      <c r="H1809" s="28">
        <f t="shared" si="392"/>
        <v>911</v>
      </c>
      <c r="I1809" s="28">
        <f t="shared" si="392"/>
        <v>911</v>
      </c>
      <c r="J1809" s="28">
        <f t="shared" si="392"/>
        <v>911</v>
      </c>
      <c r="K1809" s="28">
        <f t="shared" si="392"/>
        <v>911</v>
      </c>
      <c r="L1809" s="28">
        <f t="shared" si="392"/>
        <v>911</v>
      </c>
      <c r="M1809" s="28">
        <f t="shared" si="392"/>
        <v>911</v>
      </c>
    </row>
    <row r="1810" spans="2:13" ht="15" customHeight="1" x14ac:dyDescent="0.2">
      <c r="B1810" s="10" t="s">
        <v>897</v>
      </c>
      <c r="C1810" s="10" t="s">
        <v>110</v>
      </c>
      <c r="D1810" s="16">
        <f>D1809*($D$1829/Inputs!$D$21+$D$1830/Inputs!$D$22)</f>
        <v>1816.9772859324419</v>
      </c>
      <c r="E1810" s="16">
        <f>E1809*($D$1829/Inputs!$D$21+$D$1830/Inputs!$D$22)</f>
        <v>6922.8643817497086</v>
      </c>
      <c r="F1810" s="16">
        <f>F1809*($D$1829/Inputs!$D$21+$D$1830/Inputs!$D$22)</f>
        <v>11303.0048030135</v>
      </c>
      <c r="G1810" s="16">
        <f>G1809*($D$1829/Inputs!$D$21+$D$1830/Inputs!$D$22)</f>
        <v>13180.207840697982</v>
      </c>
      <c r="H1810" s="16">
        <f>H1809*($D$1829/Inputs!$D$21+$D$1830/Inputs!$D$22)</f>
        <v>13180.207840697982</v>
      </c>
      <c r="I1810" s="16">
        <f>I1809*($D$1829/Inputs!$D$21+$D$1830/Inputs!$D$22)</f>
        <v>13180.207840697982</v>
      </c>
      <c r="J1810" s="16">
        <f>J1809*($D$1829/Inputs!$D$21+$D$1830/Inputs!$D$22)</f>
        <v>13180.207840697982</v>
      </c>
      <c r="K1810" s="16">
        <f>K1809*($D$1829/Inputs!$D$21+$D$1830/Inputs!$D$22)</f>
        <v>13180.207840697982</v>
      </c>
      <c r="L1810" s="16">
        <f>L1809*($D$1829/Inputs!$D$21+$D$1830/Inputs!$D$22)</f>
        <v>13180.207840697982</v>
      </c>
      <c r="M1810" s="16">
        <f>M1809*($D$1829/Inputs!$D$21+$D$1830/Inputs!$D$22)</f>
        <v>13180.207840697982</v>
      </c>
    </row>
    <row r="1811" spans="2:13" ht="15" customHeight="1" x14ac:dyDescent="0.2">
      <c r="B1811" s="10" t="s">
        <v>898</v>
      </c>
      <c r="C1811" s="10" t="s">
        <v>110</v>
      </c>
      <c r="D1811" s="16">
        <f t="shared" ref="D1811:M1811" si="393">D1807*($D$1829+$D$1830)</f>
        <v>15560.968620146154</v>
      </c>
      <c r="E1811" s="16">
        <f t="shared" si="393"/>
        <v>20747.95816019487</v>
      </c>
      <c r="F1811" s="16">
        <f t="shared" si="393"/>
        <v>15560.968620146154</v>
      </c>
      <c r="G1811" s="16">
        <f t="shared" si="393"/>
        <v>0</v>
      </c>
      <c r="H1811" s="16">
        <f t="shared" si="393"/>
        <v>0</v>
      </c>
      <c r="I1811" s="16">
        <f t="shared" si="393"/>
        <v>0</v>
      </c>
      <c r="J1811" s="16">
        <f t="shared" si="393"/>
        <v>0</v>
      </c>
      <c r="K1811" s="16">
        <f t="shared" si="393"/>
        <v>0</v>
      </c>
      <c r="L1811" s="16">
        <f t="shared" si="393"/>
        <v>0</v>
      </c>
      <c r="M1811" s="16">
        <f t="shared" si="393"/>
        <v>0</v>
      </c>
    </row>
    <row r="1812" spans="2:13" ht="15" customHeight="1" x14ac:dyDescent="0.2">
      <c r="B1812" s="10" t="s">
        <v>899</v>
      </c>
      <c r="C1812" s="10" t="s">
        <v>110</v>
      </c>
      <c r="D1812" s="16">
        <f t="shared" ref="D1812:M1812" si="394">D1808*$D$1829</f>
        <v>0</v>
      </c>
      <c r="E1812" s="16">
        <f t="shared" si="394"/>
        <v>0</v>
      </c>
      <c r="F1812" s="16">
        <f t="shared" si="394"/>
        <v>0</v>
      </c>
      <c r="G1812" s="16">
        <f t="shared" si="394"/>
        <v>2638.0048485671714</v>
      </c>
      <c r="H1812" s="16">
        <f t="shared" si="394"/>
        <v>14881.788221808281</v>
      </c>
      <c r="I1812" s="16">
        <f t="shared" si="394"/>
        <v>19842.384295744378</v>
      </c>
      <c r="J1812" s="16">
        <f t="shared" si="394"/>
        <v>14881.788221808281</v>
      </c>
      <c r="K1812" s="16">
        <f t="shared" si="394"/>
        <v>2638.0048485671714</v>
      </c>
      <c r="L1812" s="16">
        <f t="shared" si="394"/>
        <v>14881.788221808281</v>
      </c>
      <c r="M1812" s="16">
        <f t="shared" si="394"/>
        <v>19842.384295744378</v>
      </c>
    </row>
    <row r="1813" spans="2:13" ht="15" customHeight="1" x14ac:dyDescent="0.2">
      <c r="B1813" s="10" t="s">
        <v>900</v>
      </c>
      <c r="C1813" s="10" t="s">
        <v>199</v>
      </c>
      <c r="D1813" s="28">
        <f>D1807*Inputs!$D$23</f>
        <v>6.4875000000000007</v>
      </c>
      <c r="E1813" s="28">
        <f>E1807*Inputs!$D$23</f>
        <v>8.65</v>
      </c>
      <c r="F1813" s="28">
        <f>F1807*Inputs!$D$23</f>
        <v>6.4875000000000007</v>
      </c>
      <c r="G1813" s="28">
        <f>G1807*Inputs!$D$23</f>
        <v>0</v>
      </c>
      <c r="H1813" s="28">
        <f>H1807*Inputs!$D$23</f>
        <v>0</v>
      </c>
      <c r="I1813" s="28">
        <f>I1807*Inputs!$D$23</f>
        <v>0</v>
      </c>
      <c r="J1813" s="28">
        <f>J1807*Inputs!$D$23</f>
        <v>0</v>
      </c>
      <c r="K1813" s="28">
        <f>K1807*Inputs!$D$23</f>
        <v>0</v>
      </c>
      <c r="L1813" s="28">
        <f>L1807*Inputs!$D$23</f>
        <v>0</v>
      </c>
      <c r="M1813" s="28">
        <f>M1807*Inputs!$D$23</f>
        <v>0</v>
      </c>
    </row>
    <row r="1814" spans="2:13" ht="15" customHeight="1" x14ac:dyDescent="0.2">
      <c r="B1814" s="3" t="s">
        <v>901</v>
      </c>
      <c r="C1814" s="10" t="s">
        <v>896</v>
      </c>
      <c r="D1814" s="28">
        <f>(D1809*$D$1827*(Inputs!$D$7-Inputs!$D$19)-D1813)/(Inputs!$D$7+$D$1828)^D1802</f>
        <v>50.12984638682326</v>
      </c>
      <c r="E1814" s="28">
        <f>(E1809*$D$1827*(Inputs!$D$7-Inputs!$D$19)-E1813)/(Inputs!$D$7+$D$1828)^E1802</f>
        <v>180.33003750737836</v>
      </c>
      <c r="F1814" s="28">
        <f>(F1809*$D$1827*(Inputs!$D$7-Inputs!$D$19)-F1813)/(Inputs!$D$7+$D$1828)^F1802</f>
        <v>263.64069887024272</v>
      </c>
      <c r="G1814" s="28">
        <f>(G1809*$D$1827*(Inputs!$D$7-Inputs!$D$19)-G1813)/(Inputs!$D$7+$D$1828)^G1802</f>
        <v>274.34556179747091</v>
      </c>
      <c r="H1814" s="28">
        <f>(H1809*$D$1827*(Inputs!$D$7-Inputs!$D$19)-H1813)/(Inputs!$D$7+$D$1828)^H1802</f>
        <v>240.67558534790513</v>
      </c>
      <c r="I1814" s="28">
        <f>(I1809*$D$1827*(Inputs!$D$7-Inputs!$D$19)-I1813)/(Inputs!$D$7+$D$1828)^I1802</f>
        <v>211.0621402114879</v>
      </c>
      <c r="J1814" s="28">
        <f>(J1809*$D$1827*(Inputs!$D$7-Inputs!$D$19)-J1813)/(Inputs!$D$7+$D$1828)^J1802</f>
        <v>185.1588332880761</v>
      </c>
      <c r="K1814" s="28">
        <f>(K1809*$D$1827*(Inputs!$D$7-Inputs!$D$19)-K1813)/(Inputs!$D$7+$D$1828)^K1802</f>
        <v>162.43459632432703</v>
      </c>
      <c r="L1814" s="28">
        <f>(L1809*$D$1827*(Inputs!$D$7-Inputs!$D$19)-L1813)/(Inputs!$D$7+$D$1828)^L1802</f>
        <v>142.49926732902043</v>
      </c>
      <c r="M1814" s="28">
        <f>(M1809*$D$1827*(Inputs!$D$7-Inputs!$D$19)-M1813)/(Inputs!$D$7+$D$1828)^M1802</f>
        <v>124.96573051876359</v>
      </c>
    </row>
    <row r="1815" spans="2:13" ht="15" customHeight="1" x14ac:dyDescent="0.2">
      <c r="B1815" s="10" t="s">
        <v>902</v>
      </c>
      <c r="C1815" s="10" t="s">
        <v>110</v>
      </c>
      <c r="D1815" s="16">
        <f>(D1810*Inputs!$D$19-D1811-D1812)/(Inputs!$D$7+$D$1828)^D1802</f>
        <v>-13673.750208995338</v>
      </c>
      <c r="E1815" s="16">
        <f>(E1810*Inputs!$D$19-E1811-E1812)/(Inputs!$D$7+$D$1828)^E1802</f>
        <v>-14910.258198718562</v>
      </c>
      <c r="F1815" s="16">
        <f>(F1810*Inputs!$D$19-F1811-F1812)/(Inputs!$D$7+$D$1828)^F1802</f>
        <v>-8525.9417164238148</v>
      </c>
      <c r="G1815" s="16">
        <f>(G1810*Inputs!$D$19-G1811-G1812)/(Inputs!$D$7+$D$1828)^G1802</f>
        <v>808.83204192410847</v>
      </c>
      <c r="H1815" s="16">
        <f>(H1810*Inputs!$D$19-H1811-H1812)/(Inputs!$D$7+$D$1828)^H1802</f>
        <v>-5891.7915280072548</v>
      </c>
      <c r="I1815" s="16">
        <f>(I1810*Inputs!$D$19-I1811-I1812)/(Inputs!$D$7+$D$1828)^I1802</f>
        <v>-7512.3171078465948</v>
      </c>
      <c r="J1815" s="16">
        <f>(J1810*Inputs!$D$19-J1811-J1812)/(Inputs!$D$7+$D$1828)^J1802</f>
        <v>-4532.7291662153211</v>
      </c>
      <c r="K1815" s="16">
        <f>(K1810*Inputs!$D$19-K1811-K1812)/(Inputs!$D$7+$D$1828)^K1802</f>
        <v>478.89349972832292</v>
      </c>
      <c r="L1815" s="16">
        <f>(L1810*Inputs!$D$19-L1811-L1812)/(Inputs!$D$7+$D$1828)^L1802</f>
        <v>-3488.413562109869</v>
      </c>
      <c r="M1815" s="16">
        <f>(M1810*Inputs!$D$19-M1811-M1812)/(Inputs!$D$7+$D$1828)^M1802</f>
        <v>-4447.8947969066312</v>
      </c>
    </row>
    <row r="1816" spans="2:13" ht="15" customHeight="1" x14ac:dyDescent="0.2">
      <c r="B1816" s="10" t="s">
        <v>903</v>
      </c>
      <c r="C1816" s="10" t="s">
        <v>110</v>
      </c>
      <c r="D1816" s="16">
        <f t="shared" ref="D1816:M1816" si="395">D1809*$D$1826</f>
        <v>5274.3588237080821</v>
      </c>
      <c r="E1816" s="16">
        <f t="shared" si="395"/>
        <v>20095.832303416923</v>
      </c>
      <c r="F1816" s="16">
        <f t="shared" si="395"/>
        <v>32810.593494345812</v>
      </c>
      <c r="G1816" s="16">
        <f t="shared" si="395"/>
        <v>38259.776861886763</v>
      </c>
      <c r="H1816" s="16">
        <f t="shared" si="395"/>
        <v>38259.776861886763</v>
      </c>
      <c r="I1816" s="16">
        <f t="shared" si="395"/>
        <v>38259.776861886763</v>
      </c>
      <c r="J1816" s="16">
        <f t="shared" si="395"/>
        <v>38259.776861886763</v>
      </c>
      <c r="K1816" s="16">
        <f t="shared" si="395"/>
        <v>38259.776861886763</v>
      </c>
      <c r="L1816" s="16">
        <f t="shared" si="395"/>
        <v>38259.776861886763</v>
      </c>
      <c r="M1816" s="16">
        <f t="shared" si="395"/>
        <v>38259.776861886763</v>
      </c>
    </row>
    <row r="1817" spans="2:13" ht="15" customHeight="1" x14ac:dyDescent="0.2">
      <c r="B1817" s="10" t="s">
        <v>904</v>
      </c>
      <c r="C1817" s="10" t="s">
        <v>110</v>
      </c>
      <c r="D1817" s="16">
        <f t="shared" ref="D1817:M1817" si="396">D1816*$D$1827</f>
        <v>3692.0511765956571</v>
      </c>
      <c r="E1817" s="16">
        <f t="shared" si="396"/>
        <v>14067.082612391845</v>
      </c>
      <c r="F1817" s="16">
        <f t="shared" si="396"/>
        <v>22967.415446042069</v>
      </c>
      <c r="G1817" s="16">
        <f t="shared" si="396"/>
        <v>26781.843803320731</v>
      </c>
      <c r="H1817" s="16">
        <f t="shared" si="396"/>
        <v>26781.843803320731</v>
      </c>
      <c r="I1817" s="16">
        <f t="shared" si="396"/>
        <v>26781.843803320731</v>
      </c>
      <c r="J1817" s="16">
        <f t="shared" si="396"/>
        <v>26781.843803320731</v>
      </c>
      <c r="K1817" s="16">
        <f t="shared" si="396"/>
        <v>26781.843803320731</v>
      </c>
      <c r="L1817" s="16">
        <f t="shared" si="396"/>
        <v>26781.843803320731</v>
      </c>
      <c r="M1817" s="16">
        <f t="shared" si="396"/>
        <v>26781.843803320731</v>
      </c>
    </row>
    <row r="1818" spans="2:13" ht="15" customHeight="1" x14ac:dyDescent="0.2">
      <c r="B1818" s="10" t="s">
        <v>905</v>
      </c>
      <c r="C1818" s="10" t="s">
        <v>110</v>
      </c>
      <c r="D1818" s="16">
        <f t="shared" ref="D1818:M1818" si="397">D1817-D1810</f>
        <v>1875.0738906632153</v>
      </c>
      <c r="E1818" s="16">
        <f t="shared" si="397"/>
        <v>7144.2182306421364</v>
      </c>
      <c r="F1818" s="16">
        <f t="shared" si="397"/>
        <v>11664.410643028568</v>
      </c>
      <c r="G1818" s="16">
        <f t="shared" si="397"/>
        <v>13601.63596262275</v>
      </c>
      <c r="H1818" s="16">
        <f t="shared" si="397"/>
        <v>13601.63596262275</v>
      </c>
      <c r="I1818" s="16">
        <f t="shared" si="397"/>
        <v>13601.63596262275</v>
      </c>
      <c r="J1818" s="16">
        <f t="shared" si="397"/>
        <v>13601.63596262275</v>
      </c>
      <c r="K1818" s="16">
        <f t="shared" si="397"/>
        <v>13601.63596262275</v>
      </c>
      <c r="L1818" s="16">
        <f t="shared" si="397"/>
        <v>13601.63596262275</v>
      </c>
      <c r="M1818" s="16">
        <f t="shared" si="397"/>
        <v>13601.63596262275</v>
      </c>
    </row>
    <row r="1819" spans="2:13" ht="15" customHeight="1" x14ac:dyDescent="0.2">
      <c r="B1819" s="10" t="s">
        <v>906</v>
      </c>
      <c r="C1819" s="10" t="s">
        <v>110</v>
      </c>
      <c r="D1819" s="16">
        <f>MAX(D1818,Inputs!$D$6)*Inputs!$D$19</f>
        <v>562.52216719896455</v>
      </c>
      <c r="E1819" s="16">
        <f>MAX(E1818,Inputs!$D$6)*Inputs!$D$19</f>
        <v>2143.2654691926409</v>
      </c>
      <c r="F1819" s="16">
        <f>MAX(F1818,Inputs!$D$6)*Inputs!$D$19</f>
        <v>3499.3231929085705</v>
      </c>
      <c r="G1819" s="16">
        <f>MAX(G1818,Inputs!$D$6)*Inputs!$D$19</f>
        <v>4080.4907887868249</v>
      </c>
      <c r="H1819" s="16">
        <f>MAX(H1818,Inputs!$D$6)*Inputs!$D$19</f>
        <v>4080.4907887868249</v>
      </c>
      <c r="I1819" s="16">
        <f>MAX(I1818,Inputs!$D$6)*Inputs!$D$19</f>
        <v>4080.4907887868249</v>
      </c>
      <c r="J1819" s="16">
        <f>MAX(J1818,Inputs!$D$6)*Inputs!$D$19</f>
        <v>4080.4907887868249</v>
      </c>
      <c r="K1819" s="16">
        <f>MAX(K1818,Inputs!$D$6)*Inputs!$D$19</f>
        <v>4080.4907887868249</v>
      </c>
      <c r="L1819" s="16">
        <f>MAX(L1818,Inputs!$D$6)*Inputs!$D$19</f>
        <v>4080.4907887868249</v>
      </c>
      <c r="M1819" s="16">
        <f>MAX(M1818,Inputs!$D$6)*Inputs!$D$19</f>
        <v>4080.4907887868249</v>
      </c>
    </row>
    <row r="1820" spans="2:13" ht="15" customHeight="1" x14ac:dyDescent="0.2">
      <c r="B1820" s="10" t="s">
        <v>907</v>
      </c>
      <c r="C1820" s="10" t="s">
        <v>110</v>
      </c>
      <c r="D1820" s="16">
        <f t="shared" ref="D1820:M1820" si="398">D1813*$D$1826</f>
        <v>272.45916837704766</v>
      </c>
      <c r="E1820" s="16">
        <f t="shared" si="398"/>
        <v>363.27889116939684</v>
      </c>
      <c r="F1820" s="16">
        <f t="shared" si="398"/>
        <v>272.45916837704766</v>
      </c>
      <c r="G1820" s="16">
        <f t="shared" si="398"/>
        <v>0</v>
      </c>
      <c r="H1820" s="16">
        <f t="shared" si="398"/>
        <v>0</v>
      </c>
      <c r="I1820" s="16">
        <f t="shared" si="398"/>
        <v>0</v>
      </c>
      <c r="J1820" s="16">
        <f t="shared" si="398"/>
        <v>0</v>
      </c>
      <c r="K1820" s="16">
        <f t="shared" si="398"/>
        <v>0</v>
      </c>
      <c r="L1820" s="16">
        <f t="shared" si="398"/>
        <v>0</v>
      </c>
      <c r="M1820" s="16">
        <f t="shared" si="398"/>
        <v>0</v>
      </c>
    </row>
    <row r="1821" spans="2:13" ht="15" customHeight="1" x14ac:dyDescent="0.2">
      <c r="B1821" s="10" t="s">
        <v>908</v>
      </c>
      <c r="C1821" s="10" t="s">
        <v>110</v>
      </c>
      <c r="D1821" s="16">
        <f t="shared" ref="D1821:M1821" si="399">D1817-D1819-D1811-D1812-D1820</f>
        <v>-12703.898779126508</v>
      </c>
      <c r="E1821" s="16">
        <f t="shared" si="399"/>
        <v>-9187.4199081650622</v>
      </c>
      <c r="F1821" s="16">
        <f t="shared" si="399"/>
        <v>3634.6644646102968</v>
      </c>
      <c r="G1821" s="16">
        <f t="shared" si="399"/>
        <v>20063.348165966734</v>
      </c>
      <c r="H1821" s="16">
        <f t="shared" si="399"/>
        <v>7819.564792725625</v>
      </c>
      <c r="I1821" s="16">
        <f t="shared" si="399"/>
        <v>2858.9687187895288</v>
      </c>
      <c r="J1821" s="16">
        <f t="shared" si="399"/>
        <v>7819.564792725625</v>
      </c>
      <c r="K1821" s="16">
        <f t="shared" si="399"/>
        <v>20063.348165966734</v>
      </c>
      <c r="L1821" s="16">
        <f t="shared" si="399"/>
        <v>7819.564792725625</v>
      </c>
      <c r="M1821" s="16">
        <f t="shared" si="399"/>
        <v>2858.9687187895288</v>
      </c>
    </row>
    <row r="1822" spans="2:13" ht="15" customHeight="1" x14ac:dyDescent="0.2">
      <c r="B1822" s="10" t="s">
        <v>909</v>
      </c>
      <c r="C1822" s="10" t="s">
        <v>110</v>
      </c>
      <c r="D1822" s="16">
        <f>D1821/(Inputs!$D$7+$D$1828)^D1802</f>
        <v>-11568.418993978303</v>
      </c>
      <c r="E1822" s="16">
        <f>E1821/(Inputs!$D$7+$D$1828)^E1802</f>
        <v>-7336.8366877109156</v>
      </c>
      <c r="F1822" s="16">
        <f>F1821/(Inputs!$D$7+$D$1828)^F1802</f>
        <v>2546.3242665480511</v>
      </c>
      <c r="G1822" s="16">
        <f>G1821/(Inputs!$D$7+$D$1828)^G1802</f>
        <v>12330.676144470983</v>
      </c>
      <c r="H1822" s="16">
        <f>H1821/(Inputs!$D$7+$D$1828)^H1802</f>
        <v>4215.9957294184696</v>
      </c>
      <c r="I1822" s="16">
        <f>I1821/(Inputs!$D$7+$D$1828)^I1802</f>
        <v>1351.7777203463643</v>
      </c>
      <c r="J1822" s="16">
        <f>J1821/(Inputs!$D$7+$D$1828)^J1802</f>
        <v>3243.4899837397647</v>
      </c>
      <c r="K1822" s="16">
        <f>K1821/(Inputs!$D$7+$D$1828)^K1802</f>
        <v>7300.7501517803585</v>
      </c>
      <c r="L1822" s="16">
        <f>L1821/(Inputs!$D$7+$D$1828)^L1802</f>
        <v>2496.2079208656228</v>
      </c>
      <c r="M1822" s="16">
        <f>M1821/(Inputs!$D$7+$D$1828)^M1802</f>
        <v>800.36092760551787</v>
      </c>
    </row>
    <row r="1823" spans="2:13" ht="15" customHeight="1" x14ac:dyDescent="0.2">
      <c r="B1823" s="3" t="s">
        <v>910</v>
      </c>
      <c r="C1823" s="10" t="s">
        <v>896</v>
      </c>
      <c r="D1823" s="28">
        <f>(D1809*$D$1827-D1813)/(Inputs!$D$7+$D$1828)^D1802</f>
        <v>74.145913925683146</v>
      </c>
      <c r="E1823" s="28">
        <f>(E1809*$D$1827-E1813)/(Inputs!$D$7+$D$1828)^E1802</f>
        <v>260.57476801212306</v>
      </c>
      <c r="F1823" s="28">
        <f>(F1809*$D$1827-F1813)/(Inputs!$D$7+$D$1828)^F1802</f>
        <v>378.5773949664341</v>
      </c>
      <c r="G1823" s="28">
        <f>(G1809*$D$1827-G1813)/(Inputs!$D$7+$D$1828)^G1802</f>
        <v>391.92223113924416</v>
      </c>
      <c r="H1823" s="28">
        <f>(H1809*$D$1827-H1813)/(Inputs!$D$7+$D$1828)^H1802</f>
        <v>343.82226478272167</v>
      </c>
      <c r="I1823" s="28">
        <f>(I1809*$D$1827-I1813)/(Inputs!$D$7+$D$1828)^I1802</f>
        <v>301.51734315926848</v>
      </c>
      <c r="J1823" s="28">
        <f>(J1809*$D$1827-J1813)/(Inputs!$D$7+$D$1828)^J1802</f>
        <v>264.51261898296588</v>
      </c>
      <c r="K1823" s="28">
        <f>(K1809*$D$1827-K1813)/(Inputs!$D$7+$D$1828)^K1802</f>
        <v>232.04942332046721</v>
      </c>
      <c r="L1823" s="28">
        <f>(L1809*$D$1827-L1813)/(Inputs!$D$7+$D$1828)^L1802</f>
        <v>203.57038189860063</v>
      </c>
      <c r="M1823" s="28">
        <f>(M1809*$D$1827-M1813)/(Inputs!$D$7+$D$1828)^M1802</f>
        <v>178.52247216966228</v>
      </c>
    </row>
    <row r="1824" spans="2:13" ht="15" customHeight="1" x14ac:dyDescent="0.2">
      <c r="B1824" s="10" t="s">
        <v>911</v>
      </c>
      <c r="C1824" s="10" t="s">
        <v>110</v>
      </c>
      <c r="D1824" s="16">
        <f>(-D1811-D1812)/(Inputs!$D$7+$D$1828)^D1802</f>
        <v>-14170.122737893587</v>
      </c>
      <c r="E1824" s="16">
        <f>(-E1811-E1812)/(Inputs!$D$7+$D$1828)^E1802</f>
        <v>-16568.784506031301</v>
      </c>
      <c r="F1824" s="16">
        <f>(-F1811-F1812)/(Inputs!$D$7+$D$1828)^F1802</f>
        <v>-10901.493767656277</v>
      </c>
      <c r="G1824" s="16">
        <f>(-G1811-G1812)/(Inputs!$D$7+$D$1828)^G1802</f>
        <v>-1621.2839046676961</v>
      </c>
      <c r="H1824" s="16">
        <f>(-H1811-H1812)/(Inputs!$D$7+$D$1828)^H1802</f>
        <v>-8023.6633690433682</v>
      </c>
      <c r="I1824" s="16">
        <f>(-I1811-I1812)/(Inputs!$D$7+$D$1828)^I1802</f>
        <v>-9381.8770500204446</v>
      </c>
      <c r="J1824" s="16">
        <f>(-J1811-J1812)/(Inputs!$D$7+$D$1828)^J1802</f>
        <v>-6172.8411129063252</v>
      </c>
      <c r="K1824" s="16">
        <f>(-K1811-K1812)/(Inputs!$D$7+$D$1828)^K1802</f>
        <v>-959.93022397147342</v>
      </c>
      <c r="L1824" s="16">
        <f>(-L1811-L1812)/(Inputs!$D$7+$D$1828)^L1802</f>
        <v>-4750.6528330682277</v>
      </c>
      <c r="M1824" s="16">
        <f>(-M1811-M1812)/(Inputs!$D$7+$D$1828)^M1802</f>
        <v>-5554.82436602912</v>
      </c>
    </row>
    <row r="1825" spans="2:13" ht="15" customHeight="1" x14ac:dyDescent="0.2">
      <c r="B1825" s="10" t="s">
        <v>912</v>
      </c>
      <c r="C1825" s="10" t="s">
        <v>110</v>
      </c>
      <c r="D1825" s="16">
        <f>Prices!I7</f>
        <v>35754.545454545456</v>
      </c>
    </row>
    <row r="1826" spans="2:13" ht="15" customHeight="1" x14ac:dyDescent="0.2">
      <c r="B1826" s="3" t="s">
        <v>913</v>
      </c>
      <c r="C1826" s="10" t="s">
        <v>914</v>
      </c>
      <c r="D1826" s="28">
        <f>IF(J1833&gt;=J1829,J1833,(D1825-J1832)/J1831)</f>
        <v>41.997559672762641</v>
      </c>
      <c r="G1826" s="99" t="s">
        <v>915</v>
      </c>
      <c r="H1826" s="91"/>
      <c r="I1826" s="91"/>
      <c r="J1826" s="28">
        <f>D1826*Inputs!$D$15</f>
        <v>29.310096895621047</v>
      </c>
      <c r="K1826" s="99" t="s">
        <v>916</v>
      </c>
      <c r="L1826" s="91"/>
      <c r="M1826" s="91"/>
    </row>
    <row r="1827" spans="2:13" ht="15" customHeight="1" x14ac:dyDescent="0.2">
      <c r="B1827" s="10" t="s">
        <v>917</v>
      </c>
      <c r="C1827" s="10" t="s">
        <v>104</v>
      </c>
      <c r="D1827" s="30">
        <f>Inputs!$D$143</f>
        <v>0.7</v>
      </c>
      <c r="G1827" s="99" t="s">
        <v>918</v>
      </c>
      <c r="H1827" s="91"/>
      <c r="I1827" s="91"/>
      <c r="J1827" s="28">
        <f>IF(-D1838/D1837&gt;=J1829,-D1838/D1837,-J1832/J1831)</f>
        <v>29.867840579129748</v>
      </c>
      <c r="K1827" s="99" t="s">
        <v>919</v>
      </c>
      <c r="L1827" s="91"/>
      <c r="M1827" s="91"/>
    </row>
    <row r="1828" spans="2:13" ht="15" customHeight="1" x14ac:dyDescent="0.2">
      <c r="B1828" s="10" t="s">
        <v>920</v>
      </c>
      <c r="C1828" s="10" t="s">
        <v>104</v>
      </c>
      <c r="D1828" s="30">
        <f>Inputs!$D$149</f>
        <v>0.14000000000000001</v>
      </c>
      <c r="G1828" s="99" t="s">
        <v>918</v>
      </c>
      <c r="H1828" s="91"/>
      <c r="I1828" s="91"/>
      <c r="J1828" s="28">
        <f>J1827*Inputs!$D$15</f>
        <v>20.84476594017465</v>
      </c>
      <c r="K1828" s="99" t="s">
        <v>916</v>
      </c>
      <c r="L1828" s="91"/>
      <c r="M1828" s="91"/>
    </row>
    <row r="1829" spans="2:13" ht="15" customHeight="1" x14ac:dyDescent="0.2">
      <c r="B1829" s="3" t="s">
        <v>921</v>
      </c>
      <c r="C1829" s="10" t="s">
        <v>848</v>
      </c>
      <c r="D1829" s="28">
        <f>Capital!$D$13</f>
        <v>57.347931490590682</v>
      </c>
      <c r="G1829" s="99" t="s">
        <v>922</v>
      </c>
      <c r="H1829" s="91"/>
      <c r="I1829" s="91"/>
      <c r="J1829" s="28">
        <f>($D$1829/Inputs!$D$21+$D$1830/Inputs!$D$22)/$D$1827</f>
        <v>20.668351639796114</v>
      </c>
      <c r="K1829" s="99" t="s">
        <v>919</v>
      </c>
      <c r="L1829" s="91"/>
      <c r="M1829" s="91"/>
    </row>
    <row r="1830" spans="2:13" ht="15" customHeight="1" x14ac:dyDescent="0.2">
      <c r="B1830" s="3" t="s">
        <v>923</v>
      </c>
      <c r="C1830" s="10" t="s">
        <v>848</v>
      </c>
      <c r="D1830" s="28">
        <f>Capital!$D$14</f>
        <v>2.6172655041921802</v>
      </c>
    </row>
    <row r="1831" spans="2:13" ht="15" customHeight="1" x14ac:dyDescent="0.2">
      <c r="B1831" s="10" t="s">
        <v>924</v>
      </c>
      <c r="C1831" s="10" t="s">
        <v>896</v>
      </c>
      <c r="D1831" s="28">
        <f>(M1804*(Inputs!$D$7+Inputs!$D$20)*$D$1827*(Inputs!$D$7-Inputs!$D$19)-M1804*Inputs!$D$20*Inputs!$D$23)/($D$1828-Inputs!$D$20)/(Inputs!$D$7+$D$1828)^M1802</f>
        <v>1112.4389453677863</v>
      </c>
      <c r="G1831" s="92" t="s">
        <v>910</v>
      </c>
      <c r="H1831" s="91"/>
      <c r="I1831" s="91"/>
      <c r="J1831" s="28">
        <f>SUM(D1823:M1823)+(M1804*(Inputs!$D$7+Inputs!$D$20)*$D$1827-M1804*Inputs!$D$20*Inputs!$D$23)/($D$1828-Inputs!$D$20)/(Inputs!$D$7+$D$1828)^M1802</f>
        <v>4219.0073246134016</v>
      </c>
      <c r="K1831" s="99" t="s">
        <v>896</v>
      </c>
      <c r="L1831" s="91"/>
      <c r="M1831" s="91"/>
    </row>
    <row r="1832" spans="2:13" ht="15" customHeight="1" x14ac:dyDescent="0.2">
      <c r="B1832" s="10" t="s">
        <v>925</v>
      </c>
      <c r="C1832" s="10" t="s">
        <v>110</v>
      </c>
      <c r="D1832" s="16">
        <f>(D1835*Inputs!$D$19-D1835-D1836)/($D$1828-Inputs!$D$20)/(Inputs!$D$7+$D$1828)^M1802</f>
        <v>-26345.502698929216</v>
      </c>
      <c r="G1832" s="92" t="s">
        <v>926</v>
      </c>
      <c r="H1832" s="91"/>
      <c r="I1832" s="91"/>
      <c r="J1832" s="16">
        <f>SUM(D1824:M1824)-(D1835+D1836)/($D$1828-Inputs!$D$20)/(Inputs!$D$7+$D$1828)^M1802</f>
        <v>-114317.08794717836</v>
      </c>
      <c r="K1832" s="99" t="s">
        <v>110</v>
      </c>
      <c r="L1832" s="91"/>
      <c r="M1832" s="91"/>
    </row>
    <row r="1833" spans="2:13" ht="15" customHeight="1" x14ac:dyDescent="0.2">
      <c r="B1833" s="10" t="s">
        <v>927</v>
      </c>
      <c r="C1833" s="10" t="s">
        <v>928</v>
      </c>
      <c r="D1833" s="16">
        <f>(M1804*(Inputs!$D$7+Inputs!$D$20)*$D$1826*$D$1827-D1835)-MAX((M1804*(Inputs!$D$7+Inputs!$D$20)*$D$1826*$D$1827-D1835),Inputs!$D$6)*Inputs!$D$19-D1836-M1804*Inputs!$D$20*$D$1826*Inputs!$D$23</f>
        <v>8369.5540810869661</v>
      </c>
      <c r="G1833" s="99" t="s">
        <v>929</v>
      </c>
      <c r="H1833" s="91"/>
      <c r="I1833" s="91"/>
      <c r="J1833" s="28">
        <f>(D1825-D1838)/D1837</f>
        <v>41.997559672762641</v>
      </c>
      <c r="K1833" s="99" t="s">
        <v>919</v>
      </c>
      <c r="L1833" s="91"/>
      <c r="M1833" s="91"/>
    </row>
    <row r="1834" spans="2:13" ht="15" customHeight="1" x14ac:dyDescent="0.2">
      <c r="B1834" s="10" t="s">
        <v>930</v>
      </c>
      <c r="C1834" s="10" t="s">
        <v>110</v>
      </c>
      <c r="D1834" s="16">
        <f>D1833/($D$1828-Inputs!$D$20)</f>
        <v>72778.731139886644</v>
      </c>
      <c r="G1834" s="99" t="s">
        <v>931</v>
      </c>
      <c r="H1834" s="91"/>
      <c r="I1834" s="91"/>
      <c r="J1834" s="16">
        <f>MIN(D1818:M1818,(M1804*(Inputs!$D$7+Inputs!$D$20)*$D$1826*$D$1827-D1835))</f>
        <v>1875.0738906632153</v>
      </c>
      <c r="K1834" s="99" t="s">
        <v>110</v>
      </c>
      <c r="L1834" s="91"/>
      <c r="M1834" s="91"/>
    </row>
    <row r="1835" spans="2:13" ht="15" customHeight="1" x14ac:dyDescent="0.2">
      <c r="B1835" s="10" t="s">
        <v>932</v>
      </c>
      <c r="C1835" s="10" t="s">
        <v>928</v>
      </c>
      <c r="D1835" s="16">
        <f>M1804*(Inputs!$D$7+Inputs!$D$20)*($D$1829/Inputs!$D$21+$D$1830/Inputs!$D$22)</f>
        <v>13509.71303671543</v>
      </c>
      <c r="G1835" s="99" t="s">
        <v>933</v>
      </c>
      <c r="H1835" s="91"/>
      <c r="I1835" s="91"/>
      <c r="J1835" s="31" t="str">
        <f>IF(J1834&lt;Inputs!$D$6,"breached","satisfied")</f>
        <v>satisfied</v>
      </c>
      <c r="K1835" s="99" t="s">
        <v>934</v>
      </c>
      <c r="L1835" s="91"/>
      <c r="M1835" s="91"/>
    </row>
    <row r="1836" spans="2:13" ht="15" customHeight="1" x14ac:dyDescent="0.2">
      <c r="B1836" s="10" t="s">
        <v>935</v>
      </c>
      <c r="C1836" s="10" t="s">
        <v>928</v>
      </c>
      <c r="D1836" s="16">
        <f>M1804*Inputs!$D$20*($D$1829+$D$1830)</f>
        <v>1365.7073615561799</v>
      </c>
    </row>
    <row r="1837" spans="2:13" ht="15" customHeight="1" x14ac:dyDescent="0.2">
      <c r="B1837" s="10" t="s">
        <v>936</v>
      </c>
      <c r="C1837" s="10" t="s">
        <v>896</v>
      </c>
      <c r="D1837" s="28">
        <f>SUM(D1814:M1814)+D1831</f>
        <v>2947.681242949282</v>
      </c>
      <c r="G1837" s="99" t="s">
        <v>937</v>
      </c>
      <c r="H1837" s="91"/>
      <c r="I1837" s="91"/>
      <c r="J1837" s="16">
        <f>D1839-D1825</f>
        <v>0</v>
      </c>
      <c r="K1837" s="99" t="s">
        <v>110</v>
      </c>
      <c r="L1837" s="91"/>
      <c r="M1837" s="91"/>
    </row>
    <row r="1838" spans="2:13" ht="15" customHeight="1" x14ac:dyDescent="0.2">
      <c r="B1838" s="10" t="s">
        <v>938</v>
      </c>
      <c r="C1838" s="10" t="s">
        <v>110</v>
      </c>
      <c r="D1838" s="16">
        <f>SUM(D1815:M1815)+D1832</f>
        <v>-88040.873442500175</v>
      </c>
    </row>
    <row r="1839" spans="2:13" ht="15" customHeight="1" x14ac:dyDescent="0.2">
      <c r="B1839" s="10" t="s">
        <v>939</v>
      </c>
      <c r="C1839" s="10" t="s">
        <v>110</v>
      </c>
      <c r="D1839" s="16">
        <f>SUM(D1822:M1822)+D1834/(Inputs!$D$7+$D$1828)^M1802</f>
        <v>35754.545454545456</v>
      </c>
    </row>
    <row r="1840" spans="2:13" ht="15" customHeight="1" x14ac:dyDescent="0.2">
      <c r="B1840" s="10" t="s">
        <v>940</v>
      </c>
      <c r="C1840" s="10" t="s">
        <v>104</v>
      </c>
      <c r="D1840" s="30">
        <f>IF(ABS(D1825)&gt;Inputs!$D$6,D1839/D1825-Inputs!$D$7,Inputs!$D$6)</f>
        <v>0</v>
      </c>
    </row>
    <row r="1841" spans="1:13" ht="15" customHeight="1" x14ac:dyDescent="0.2">
      <c r="B1841" s="10" t="s">
        <v>941</v>
      </c>
      <c r="C1841" s="10" t="s">
        <v>104</v>
      </c>
      <c r="D1841" s="30">
        <f>IF(ABS(D1839)&gt;Inputs!$D$119,D1834/(Inputs!$D$7+$D$1828)^M1802/D1839,Inputs!$D$6)</f>
        <v>0.56983575185877178</v>
      </c>
    </row>
    <row r="1842" spans="1:13" ht="15" customHeight="1" x14ac:dyDescent="0.2">
      <c r="B1842" s="10" t="s">
        <v>942</v>
      </c>
      <c r="C1842" s="10" t="s">
        <v>943</v>
      </c>
      <c r="D1842" s="26">
        <f>$D$1826*Inputs!$D$8/Prices!$P$6/(Inputs!$D$26/Inputs!$D$25)/Inputs!$D$11/Inputs!$D$56</f>
        <v>7.6373837950173966</v>
      </c>
    </row>
    <row r="1846" spans="1:13" ht="15" customHeight="1" x14ac:dyDescent="0.2">
      <c r="A1846" s="104" t="s">
        <v>2205</v>
      </c>
      <c r="B1846" s="10" t="s">
        <v>886</v>
      </c>
      <c r="C1846" s="10" t="s">
        <v>107</v>
      </c>
      <c r="D1846" s="28">
        <f>Inputs!$D$60</f>
        <v>1</v>
      </c>
      <c r="E1846" s="28">
        <f>Inputs!$D$62</f>
        <v>2</v>
      </c>
      <c r="F1846" s="28">
        <f>Inputs!$D$64</f>
        <v>3</v>
      </c>
      <c r="G1846" s="28">
        <f>Inputs!$D$66</f>
        <v>4</v>
      </c>
      <c r="H1846" s="28">
        <f>Inputs!$D$68</f>
        <v>5</v>
      </c>
      <c r="I1846" s="28">
        <f>Inputs!$D$70</f>
        <v>6</v>
      </c>
      <c r="J1846" s="28">
        <f>Inputs!$D$72</f>
        <v>7</v>
      </c>
      <c r="K1846" s="28">
        <f>Inputs!$D$74</f>
        <v>8</v>
      </c>
      <c r="L1846" s="28">
        <f>Inputs!$D$76</f>
        <v>9</v>
      </c>
      <c r="M1846" s="28">
        <f>Inputs!$D$78</f>
        <v>10</v>
      </c>
    </row>
    <row r="1847" spans="1:13" ht="15" customHeight="1" x14ac:dyDescent="0.2">
      <c r="A1847" s="91"/>
      <c r="B1847" s="10" t="s">
        <v>887</v>
      </c>
      <c r="C1847" s="10" t="s">
        <v>161</v>
      </c>
      <c r="D1847" s="29">
        <f>Inputs!$D$61</f>
        <v>46568</v>
      </c>
      <c r="E1847" s="29">
        <f>Inputs!$D$63</f>
        <v>46934</v>
      </c>
      <c r="F1847" s="29">
        <f>Inputs!$D$65</f>
        <v>47299</v>
      </c>
      <c r="G1847" s="29">
        <f>Inputs!$D$67</f>
        <v>47664</v>
      </c>
      <c r="H1847" s="29">
        <f>Inputs!$D$69</f>
        <v>48029</v>
      </c>
      <c r="I1847" s="29">
        <f>Inputs!$D$71</f>
        <v>48395</v>
      </c>
      <c r="J1847" s="29">
        <f>Inputs!$D$73</f>
        <v>48760</v>
      </c>
      <c r="K1847" s="29">
        <f>Inputs!$D$75</f>
        <v>49125</v>
      </c>
      <c r="L1847" s="29">
        <f>Inputs!$D$77</f>
        <v>49490</v>
      </c>
      <c r="M1847" s="29">
        <f>Inputs!$D$79</f>
        <v>49856</v>
      </c>
    </row>
    <row r="1848" spans="1:13" ht="15" customHeight="1" x14ac:dyDescent="0.2">
      <c r="A1848" s="91"/>
      <c r="B1848" s="10" t="s">
        <v>888</v>
      </c>
      <c r="C1848" s="10" t="s">
        <v>107</v>
      </c>
      <c r="D1848" s="28">
        <f>(D1847-Inputs!$D$13)/Inputs!$D$10</f>
        <v>0.71457905544147848</v>
      </c>
      <c r="E1848" s="28">
        <f>(E1847-Inputs!$D$13)/Inputs!$D$10</f>
        <v>1.7166324435318274</v>
      </c>
      <c r="F1848" s="28">
        <f>(F1847-Inputs!$D$13)/Inputs!$D$10</f>
        <v>2.7159479808350446</v>
      </c>
      <c r="G1848" s="28">
        <f>(G1847-Inputs!$D$13)/Inputs!$D$10</f>
        <v>3.7152635181382614</v>
      </c>
      <c r="H1848" s="28">
        <f>(H1847-Inputs!$D$13)/Inputs!$D$10</f>
        <v>4.7145790554414786</v>
      </c>
      <c r="I1848" s="28">
        <f>(I1847-Inputs!$D$13)/Inputs!$D$10</f>
        <v>5.7166324435318279</v>
      </c>
      <c r="J1848" s="28">
        <f>(J1847-Inputs!$D$13)/Inputs!$D$10</f>
        <v>6.7159479808350442</v>
      </c>
      <c r="K1848" s="28">
        <f>(K1847-Inputs!$D$13)/Inputs!$D$10</f>
        <v>7.7152635181382614</v>
      </c>
      <c r="L1848" s="28">
        <f>(L1847-Inputs!$D$13)/Inputs!$D$10</f>
        <v>8.7145790554414777</v>
      </c>
      <c r="M1848" s="28">
        <f>(M1847-Inputs!$D$13)/Inputs!$D$10</f>
        <v>9.716632443531827</v>
      </c>
    </row>
    <row r="1849" spans="1:13" ht="15" customHeight="1" x14ac:dyDescent="0.2">
      <c r="A1849" s="91"/>
      <c r="B1849" s="10" t="s">
        <v>889</v>
      </c>
      <c r="C1849" s="10" t="s">
        <v>107</v>
      </c>
      <c r="D1849" s="28">
        <f>D1848</f>
        <v>0.71457905544147848</v>
      </c>
      <c r="E1849" s="28">
        <f>Inputs!$D$7</f>
        <v>1</v>
      </c>
      <c r="F1849" s="28">
        <f>Inputs!$D$7</f>
        <v>1</v>
      </c>
      <c r="G1849" s="28">
        <f>Inputs!$D$7</f>
        <v>1</v>
      </c>
      <c r="H1849" s="28">
        <f>Inputs!$D$7</f>
        <v>1</v>
      </c>
      <c r="I1849" s="28">
        <f>Inputs!$D$7</f>
        <v>1</v>
      </c>
      <c r="J1849" s="28">
        <f>Inputs!$D$7</f>
        <v>1</v>
      </c>
      <c r="K1849" s="28">
        <f>Inputs!$D$7</f>
        <v>1</v>
      </c>
      <c r="L1849" s="28">
        <f>Inputs!$D$7</f>
        <v>1</v>
      </c>
      <c r="M1849" s="28">
        <f>Inputs!$D$7</f>
        <v>1</v>
      </c>
    </row>
    <row r="1850" spans="1:13" ht="15" customHeight="1" x14ac:dyDescent="0.2">
      <c r="A1850" s="91"/>
      <c r="B1850" s="3" t="s">
        <v>890</v>
      </c>
      <c r="C1850" s="10" t="s">
        <v>199</v>
      </c>
      <c r="D1850" s="28">
        <f>Inputs!$D$24+(Inputs!$D$80-Inputs!$D$24)*Inputs!$D$83</f>
        <v>305.5</v>
      </c>
      <c r="E1850" s="28">
        <f>Inputs!$D$24+(Inputs!$D$80-Inputs!$D$24)*Inputs!$D$84</f>
        <v>651.5</v>
      </c>
      <c r="F1850" s="28">
        <f>Inputs!$D$24+(Inputs!$D$80-Inputs!$D$24)*Inputs!$D$85</f>
        <v>911</v>
      </c>
      <c r="G1850" s="28">
        <f>Inputs!$D$24+(Inputs!$D$80-Inputs!$D$24)*Inputs!$D$86</f>
        <v>911</v>
      </c>
      <c r="H1850" s="28">
        <f>Inputs!$D$24+(Inputs!$D$80-Inputs!$D$24)*Inputs!$D$87</f>
        <v>911</v>
      </c>
      <c r="I1850" s="28">
        <f>Inputs!$D$24+(Inputs!$D$80-Inputs!$D$24)*Inputs!$D$88</f>
        <v>911</v>
      </c>
      <c r="J1850" s="28">
        <f>Inputs!$D$24+(Inputs!$D$80-Inputs!$D$24)*Inputs!$D$89</f>
        <v>911</v>
      </c>
      <c r="K1850" s="28">
        <f>Inputs!$D$24+(Inputs!$D$80-Inputs!$D$24)*Inputs!$D$90</f>
        <v>911</v>
      </c>
      <c r="L1850" s="28">
        <f>Inputs!$D$24+(Inputs!$D$80-Inputs!$D$24)*Inputs!$D$91</f>
        <v>911</v>
      </c>
      <c r="M1850" s="28">
        <f>Inputs!$D$24+(Inputs!$D$80-Inputs!$D$24)*Inputs!$D$92</f>
        <v>911</v>
      </c>
    </row>
    <row r="1851" spans="1:13" ht="15" customHeight="1" x14ac:dyDescent="0.2">
      <c r="A1851" s="91"/>
      <c r="B1851" s="10" t="s">
        <v>891</v>
      </c>
      <c r="C1851" s="10" t="s">
        <v>199</v>
      </c>
      <c r="D1851" s="28">
        <f>Inputs!$D$24</f>
        <v>46</v>
      </c>
      <c r="E1851" s="28">
        <f t="shared" ref="E1851:M1851" si="400">D1850</f>
        <v>305.5</v>
      </c>
      <c r="F1851" s="28">
        <f t="shared" si="400"/>
        <v>651.5</v>
      </c>
      <c r="G1851" s="28">
        <f t="shared" si="400"/>
        <v>911</v>
      </c>
      <c r="H1851" s="28">
        <f t="shared" si="400"/>
        <v>911</v>
      </c>
      <c r="I1851" s="28">
        <f t="shared" si="400"/>
        <v>911</v>
      </c>
      <c r="J1851" s="28">
        <f t="shared" si="400"/>
        <v>911</v>
      </c>
      <c r="K1851" s="28">
        <f t="shared" si="400"/>
        <v>911</v>
      </c>
      <c r="L1851" s="28">
        <f t="shared" si="400"/>
        <v>911</v>
      </c>
      <c r="M1851" s="28">
        <f t="shared" si="400"/>
        <v>911</v>
      </c>
    </row>
    <row r="1852" spans="1:13" ht="15" customHeight="1" x14ac:dyDescent="0.2">
      <c r="B1852" s="10" t="s">
        <v>892</v>
      </c>
      <c r="C1852" s="10" t="s">
        <v>199</v>
      </c>
      <c r="D1852" s="28">
        <f>(D1851+D1850)*Inputs!$D$12</f>
        <v>175.75</v>
      </c>
      <c r="E1852" s="28">
        <f>(E1851+E1850)*Inputs!$D$12</f>
        <v>478.5</v>
      </c>
      <c r="F1852" s="28">
        <f>(F1851+F1850)*Inputs!$D$12</f>
        <v>781.25</v>
      </c>
      <c r="G1852" s="28">
        <f>(G1851+G1850)*Inputs!$D$12</f>
        <v>911</v>
      </c>
      <c r="H1852" s="28">
        <f>(H1851+H1850)*Inputs!$D$12</f>
        <v>911</v>
      </c>
      <c r="I1852" s="28">
        <f>(I1851+I1850)*Inputs!$D$12</f>
        <v>911</v>
      </c>
      <c r="J1852" s="28">
        <f>(J1851+J1850)*Inputs!$D$12</f>
        <v>911</v>
      </c>
      <c r="K1852" s="28">
        <f>(K1851+K1850)*Inputs!$D$12</f>
        <v>911</v>
      </c>
      <c r="L1852" s="28">
        <f>(L1851+L1850)*Inputs!$D$12</f>
        <v>911</v>
      </c>
      <c r="M1852" s="28">
        <f>(M1851+M1850)*Inputs!$D$12</f>
        <v>911</v>
      </c>
    </row>
    <row r="1853" spans="1:13" ht="15" customHeight="1" x14ac:dyDescent="0.2">
      <c r="B1853" s="10" t="s">
        <v>893</v>
      </c>
      <c r="C1853" s="10" t="s">
        <v>199</v>
      </c>
      <c r="D1853" s="28">
        <f t="shared" ref="D1853:M1853" si="401">D1850-D1851</f>
        <v>259.5</v>
      </c>
      <c r="E1853" s="28">
        <f t="shared" si="401"/>
        <v>346</v>
      </c>
      <c r="F1853" s="28">
        <f t="shared" si="401"/>
        <v>259.5</v>
      </c>
      <c r="G1853" s="28">
        <f t="shared" si="401"/>
        <v>0</v>
      </c>
      <c r="H1853" s="28">
        <f t="shared" si="401"/>
        <v>0</v>
      </c>
      <c r="I1853" s="28">
        <f t="shared" si="401"/>
        <v>0</v>
      </c>
      <c r="J1853" s="28">
        <f t="shared" si="401"/>
        <v>0</v>
      </c>
      <c r="K1853" s="28">
        <f t="shared" si="401"/>
        <v>0</v>
      </c>
      <c r="L1853" s="28">
        <f t="shared" si="401"/>
        <v>0</v>
      </c>
      <c r="M1853" s="28">
        <f t="shared" si="401"/>
        <v>0</v>
      </c>
    </row>
    <row r="1854" spans="1:13" ht="15" customHeight="1" x14ac:dyDescent="0.2">
      <c r="B1854" s="10" t="s">
        <v>894</v>
      </c>
      <c r="C1854" s="10" t="s">
        <v>199</v>
      </c>
      <c r="D1854" s="28">
        <f>IF(MOD(D1846,Inputs!$D$21)=Inputs!$D$6,Inputs!$D$24,Inputs!$D$6)+SUMPRODUCT(--(D1846&gt;$D$1846:$M$1846),--(MOD(D1846-$D$1846:$M$1846,Inputs!$D$21)=Inputs!$D$6),$D$1853:$M$1853)</f>
        <v>0</v>
      </c>
      <c r="E1854" s="28">
        <f>IF(MOD(E1846,Inputs!$D$21)=Inputs!$D$6,Inputs!$D$24,Inputs!$D$6)+SUMPRODUCT(--(E1846&gt;$D$1846:$M$1846),--(MOD(E1846-$D$1846:$M$1846,Inputs!$D$21)=Inputs!$D$6),$D$1853:$M$1853)</f>
        <v>0</v>
      </c>
      <c r="F1854" s="28">
        <f>IF(MOD(F1846,Inputs!$D$21)=Inputs!$D$6,Inputs!$D$24,Inputs!$D$6)+SUMPRODUCT(--(F1846&gt;$D$1846:$M$1846),--(MOD(F1846-$D$1846:$M$1846,Inputs!$D$21)=Inputs!$D$6),$D$1853:$M$1853)</f>
        <v>0</v>
      </c>
      <c r="G1854" s="28">
        <f>IF(MOD(G1846,Inputs!$D$21)=Inputs!$D$6,Inputs!$D$24,Inputs!$D$6)+SUMPRODUCT(--(G1846&gt;$D$1846:$M$1846),--(MOD(G1846-$D$1846:$M$1846,Inputs!$D$21)=Inputs!$D$6),$D$1853:$M$1853)</f>
        <v>46</v>
      </c>
      <c r="H1854" s="28">
        <f>IF(MOD(H1846,Inputs!$D$21)=Inputs!$D$6,Inputs!$D$24,Inputs!$D$6)+SUMPRODUCT(--(H1846&gt;$D$1846:$M$1846),--(MOD(H1846-$D$1846:$M$1846,Inputs!$D$21)=Inputs!$D$6),$D$1853:$M$1853)</f>
        <v>259.5</v>
      </c>
      <c r="I1854" s="28">
        <f>IF(MOD(I1846,Inputs!$D$21)=Inputs!$D$6,Inputs!$D$24,Inputs!$D$6)+SUMPRODUCT(--(I1846&gt;$D$1846:$M$1846),--(MOD(I1846-$D$1846:$M$1846,Inputs!$D$21)=Inputs!$D$6),$D$1853:$M$1853)</f>
        <v>346</v>
      </c>
      <c r="J1854" s="28">
        <f>IF(MOD(J1846,Inputs!$D$21)=Inputs!$D$6,Inputs!$D$24,Inputs!$D$6)+SUMPRODUCT(--(J1846&gt;$D$1846:$M$1846),--(MOD(J1846-$D$1846:$M$1846,Inputs!$D$21)=Inputs!$D$6),$D$1853:$M$1853)</f>
        <v>259.5</v>
      </c>
      <c r="K1854" s="28">
        <f>IF(MOD(K1846,Inputs!$D$21)=Inputs!$D$6,Inputs!$D$24,Inputs!$D$6)+SUMPRODUCT(--(K1846&gt;$D$1846:$M$1846),--(MOD(K1846-$D$1846:$M$1846,Inputs!$D$21)=Inputs!$D$6),$D$1853:$M$1853)</f>
        <v>46</v>
      </c>
      <c r="L1854" s="28">
        <f>IF(MOD(L1846,Inputs!$D$21)=Inputs!$D$6,Inputs!$D$24,Inputs!$D$6)+SUMPRODUCT(--(L1846&gt;$D$1846:$M$1846),--(MOD(L1846-$D$1846:$M$1846,Inputs!$D$21)=Inputs!$D$6),$D$1853:$M$1853)</f>
        <v>259.5</v>
      </c>
      <c r="M1854" s="28">
        <f>IF(MOD(M1846,Inputs!$D$21)=Inputs!$D$6,Inputs!$D$24,Inputs!$D$6)+SUMPRODUCT(--(M1846&gt;$D$1846:$M$1846),--(MOD(M1846-$D$1846:$M$1846,Inputs!$D$21)=Inputs!$D$6),$D$1853:$M$1853)</f>
        <v>346</v>
      </c>
    </row>
    <row r="1855" spans="1:13" ht="15" customHeight="1" x14ac:dyDescent="0.2">
      <c r="B1855" s="10" t="s">
        <v>895</v>
      </c>
      <c r="C1855" s="10" t="s">
        <v>896</v>
      </c>
      <c r="D1855" s="28">
        <f t="shared" ref="D1855:M1855" si="402">D1852*D1849</f>
        <v>125.58726899383984</v>
      </c>
      <c r="E1855" s="28">
        <f t="shared" si="402"/>
        <v>478.5</v>
      </c>
      <c r="F1855" s="28">
        <f t="shared" si="402"/>
        <v>781.25</v>
      </c>
      <c r="G1855" s="28">
        <f t="shared" si="402"/>
        <v>911</v>
      </c>
      <c r="H1855" s="28">
        <f t="shared" si="402"/>
        <v>911</v>
      </c>
      <c r="I1855" s="28">
        <f t="shared" si="402"/>
        <v>911</v>
      </c>
      <c r="J1855" s="28">
        <f t="shared" si="402"/>
        <v>911</v>
      </c>
      <c r="K1855" s="28">
        <f t="shared" si="402"/>
        <v>911</v>
      </c>
      <c r="L1855" s="28">
        <f t="shared" si="402"/>
        <v>911</v>
      </c>
      <c r="M1855" s="28">
        <f t="shared" si="402"/>
        <v>911</v>
      </c>
    </row>
    <row r="1856" spans="1:13" ht="15" customHeight="1" x14ac:dyDescent="0.2">
      <c r="B1856" s="10" t="s">
        <v>897</v>
      </c>
      <c r="C1856" s="10" t="s">
        <v>110</v>
      </c>
      <c r="D1856" s="16">
        <f>D1855*($D$1875/Inputs!$D$21+$D$1876/Inputs!$D$22)</f>
        <v>1816.9772859324419</v>
      </c>
      <c r="E1856" s="16">
        <f>E1855*($D$1875/Inputs!$D$21+$D$1876/Inputs!$D$22)</f>
        <v>6922.8643817497086</v>
      </c>
      <c r="F1856" s="16">
        <f>F1855*($D$1875/Inputs!$D$21+$D$1876/Inputs!$D$22)</f>
        <v>11303.0048030135</v>
      </c>
      <c r="G1856" s="16">
        <f>G1855*($D$1875/Inputs!$D$21+$D$1876/Inputs!$D$22)</f>
        <v>13180.207840697982</v>
      </c>
      <c r="H1856" s="16">
        <f>H1855*($D$1875/Inputs!$D$21+$D$1876/Inputs!$D$22)</f>
        <v>13180.207840697982</v>
      </c>
      <c r="I1856" s="16">
        <f>I1855*($D$1875/Inputs!$D$21+$D$1876/Inputs!$D$22)</f>
        <v>13180.207840697982</v>
      </c>
      <c r="J1856" s="16">
        <f>J1855*($D$1875/Inputs!$D$21+$D$1876/Inputs!$D$22)</f>
        <v>13180.207840697982</v>
      </c>
      <c r="K1856" s="16">
        <f>K1855*($D$1875/Inputs!$D$21+$D$1876/Inputs!$D$22)</f>
        <v>13180.207840697982</v>
      </c>
      <c r="L1856" s="16">
        <f>L1855*($D$1875/Inputs!$D$21+$D$1876/Inputs!$D$22)</f>
        <v>13180.207840697982</v>
      </c>
      <c r="M1856" s="16">
        <f>M1855*($D$1875/Inputs!$D$21+$D$1876/Inputs!$D$22)</f>
        <v>13180.207840697982</v>
      </c>
    </row>
    <row r="1857" spans="2:13" ht="15" customHeight="1" x14ac:dyDescent="0.2">
      <c r="B1857" s="10" t="s">
        <v>898</v>
      </c>
      <c r="C1857" s="10" t="s">
        <v>110</v>
      </c>
      <c r="D1857" s="16">
        <f t="shared" ref="D1857:M1857" si="403">D1853*($D$1875+$D$1876)</f>
        <v>15560.968620146154</v>
      </c>
      <c r="E1857" s="16">
        <f t="shared" si="403"/>
        <v>20747.95816019487</v>
      </c>
      <c r="F1857" s="16">
        <f t="shared" si="403"/>
        <v>15560.968620146154</v>
      </c>
      <c r="G1857" s="16">
        <f t="shared" si="403"/>
        <v>0</v>
      </c>
      <c r="H1857" s="16">
        <f t="shared" si="403"/>
        <v>0</v>
      </c>
      <c r="I1857" s="16">
        <f t="shared" si="403"/>
        <v>0</v>
      </c>
      <c r="J1857" s="16">
        <f t="shared" si="403"/>
        <v>0</v>
      </c>
      <c r="K1857" s="16">
        <f t="shared" si="403"/>
        <v>0</v>
      </c>
      <c r="L1857" s="16">
        <f t="shared" si="403"/>
        <v>0</v>
      </c>
      <c r="M1857" s="16">
        <f t="shared" si="403"/>
        <v>0</v>
      </c>
    </row>
    <row r="1858" spans="2:13" ht="15" customHeight="1" x14ac:dyDescent="0.2">
      <c r="B1858" s="10" t="s">
        <v>899</v>
      </c>
      <c r="C1858" s="10" t="s">
        <v>110</v>
      </c>
      <c r="D1858" s="16">
        <f t="shared" ref="D1858:M1858" si="404">D1854*$D$1875</f>
        <v>0</v>
      </c>
      <c r="E1858" s="16">
        <f t="shared" si="404"/>
        <v>0</v>
      </c>
      <c r="F1858" s="16">
        <f t="shared" si="404"/>
        <v>0</v>
      </c>
      <c r="G1858" s="16">
        <f t="shared" si="404"/>
        <v>2638.0048485671714</v>
      </c>
      <c r="H1858" s="16">
        <f t="shared" si="404"/>
        <v>14881.788221808281</v>
      </c>
      <c r="I1858" s="16">
        <f t="shared" si="404"/>
        <v>19842.384295744378</v>
      </c>
      <c r="J1858" s="16">
        <f t="shared" si="404"/>
        <v>14881.788221808281</v>
      </c>
      <c r="K1858" s="16">
        <f t="shared" si="404"/>
        <v>2638.0048485671714</v>
      </c>
      <c r="L1858" s="16">
        <f t="shared" si="404"/>
        <v>14881.788221808281</v>
      </c>
      <c r="M1858" s="16">
        <f t="shared" si="404"/>
        <v>19842.384295744378</v>
      </c>
    </row>
    <row r="1859" spans="2:13" ht="15" customHeight="1" x14ac:dyDescent="0.2">
      <c r="B1859" s="10" t="s">
        <v>900</v>
      </c>
      <c r="C1859" s="10" t="s">
        <v>199</v>
      </c>
      <c r="D1859" s="28">
        <f>D1853*Inputs!$D$23</f>
        <v>6.4875000000000007</v>
      </c>
      <c r="E1859" s="28">
        <f>E1853*Inputs!$D$23</f>
        <v>8.65</v>
      </c>
      <c r="F1859" s="28">
        <f>F1853*Inputs!$D$23</f>
        <v>6.4875000000000007</v>
      </c>
      <c r="G1859" s="28">
        <f>G1853*Inputs!$D$23</f>
        <v>0</v>
      </c>
      <c r="H1859" s="28">
        <f>H1853*Inputs!$D$23</f>
        <v>0</v>
      </c>
      <c r="I1859" s="28">
        <f>I1853*Inputs!$D$23</f>
        <v>0</v>
      </c>
      <c r="J1859" s="28">
        <f>J1853*Inputs!$D$23</f>
        <v>0</v>
      </c>
      <c r="K1859" s="28">
        <f>K1853*Inputs!$D$23</f>
        <v>0</v>
      </c>
      <c r="L1859" s="28">
        <f>L1853*Inputs!$D$23</f>
        <v>0</v>
      </c>
      <c r="M1859" s="28">
        <f>M1853*Inputs!$D$23</f>
        <v>0</v>
      </c>
    </row>
    <row r="1860" spans="2:13" ht="15" customHeight="1" x14ac:dyDescent="0.2">
      <c r="B1860" s="3" t="s">
        <v>901</v>
      </c>
      <c r="C1860" s="10" t="s">
        <v>896</v>
      </c>
      <c r="D1860" s="28">
        <f>(D1855*$D$1873*(Inputs!$D$7-Inputs!$D$19)-D1859)/(Inputs!$D$7+$D$1874)^D1848</f>
        <v>60.425226480059429</v>
      </c>
      <c r="E1860" s="28">
        <f>(E1855*$D$1873*(Inputs!$D$7-Inputs!$D$19)-E1859)/(Inputs!$D$7+$D$1874)^E1848</f>
        <v>227.21811997251743</v>
      </c>
      <c r="F1860" s="28">
        <f>(F1855*$D$1873*(Inputs!$D$7-Inputs!$D$19)-F1859)/(Inputs!$D$7+$D$1874)^F1848</f>
        <v>349.7137307705558</v>
      </c>
      <c r="G1860" s="28">
        <f>(G1855*$D$1873*(Inputs!$D$7-Inputs!$D$19)-G1859)/(Inputs!$D$7+$D$1874)^G1848</f>
        <v>383.29075536375893</v>
      </c>
      <c r="H1860" s="28">
        <f>(H1855*$D$1873*(Inputs!$D$7-Inputs!$D$19)-H1859)/(Inputs!$D$7+$D$1874)^H1848</f>
        <v>354.91754304446511</v>
      </c>
      <c r="I1860" s="28">
        <f>(I1855*$D$1873*(Inputs!$D$7-Inputs!$D$19)-I1859)/(Inputs!$D$7+$D$1874)^I1848</f>
        <v>328.5754255023262</v>
      </c>
      <c r="J1860" s="28">
        <f>(J1855*$D$1873*(Inputs!$D$7-Inputs!$D$19)-J1859)/(Inputs!$D$7+$D$1874)^J1848</f>
        <v>304.25253177160698</v>
      </c>
      <c r="K1860" s="28">
        <f>(K1855*$D$1873*(Inputs!$D$7-Inputs!$D$19)-K1859)/(Inputs!$D$7+$D$1874)^K1848</f>
        <v>281.73014749326506</v>
      </c>
      <c r="L1860" s="28">
        <f>(L1855*$D$1873*(Inputs!$D$7-Inputs!$D$19)-L1859)/(Inputs!$D$7+$D$1874)^L1848</f>
        <v>260.87498941885201</v>
      </c>
      <c r="M1860" s="28">
        <f>(M1855*$D$1873*(Inputs!$D$7-Inputs!$D$19)-M1859)/(Inputs!$D$7+$D$1874)^M1848</f>
        <v>241.51274663950682</v>
      </c>
    </row>
    <row r="1861" spans="2:13" ht="15" customHeight="1" x14ac:dyDescent="0.2">
      <c r="B1861" s="10" t="s">
        <v>902</v>
      </c>
      <c r="C1861" s="10" t="s">
        <v>110</v>
      </c>
      <c r="D1861" s="16">
        <f>(D1856*Inputs!$D$19-D1857-D1858)/(Inputs!$D$7+$D$1874)^D1848</f>
        <v>-14212.377724210151</v>
      </c>
      <c r="E1861" s="16">
        <f>(E1856*Inputs!$D$19-E1857-E1858)/(Inputs!$D$7+$D$1874)^E1848</f>
        <v>-16360.387094728963</v>
      </c>
      <c r="F1861" s="16">
        <f>(F1856*Inputs!$D$19-F1857-F1858)/(Inputs!$D$7+$D$1874)^F1848</f>
        <v>-9874.5154652847668</v>
      </c>
      <c r="G1861" s="16">
        <f>(G1856*Inputs!$D$19-G1857-G1858)/(Inputs!$D$7+$D$1874)^G1848</f>
        <v>988.77347238742834</v>
      </c>
      <c r="H1861" s="16">
        <f>(H1856*Inputs!$D$19-H1857-H1858)/(Inputs!$D$7+$D$1874)^H1848</f>
        <v>-7602.4024163036647</v>
      </c>
      <c r="I1861" s="16">
        <f>(I1856*Inputs!$D$19-I1857-I1858)/(Inputs!$D$7+$D$1874)^I1848</f>
        <v>-10233.087939303265</v>
      </c>
      <c r="J1861" s="16">
        <f>(J1856*Inputs!$D$19-J1857-J1858)/(Inputs!$D$7+$D$1874)^J1848</f>
        <v>-6517.1480757635773</v>
      </c>
      <c r="K1861" s="16">
        <f>(K1856*Inputs!$D$19-K1857-K1858)/(Inputs!$D$7+$D$1874)^K1848</f>
        <v>726.77801985796941</v>
      </c>
      <c r="L1861" s="16">
        <f>(L1856*Inputs!$D$19-L1857-L1858)/(Inputs!$D$7+$D$1874)^L1848</f>
        <v>-5587.9927289550824</v>
      </c>
      <c r="M1861" s="16">
        <f>(M1856*Inputs!$D$19-M1857-M1858)/(Inputs!$D$7+$D$1874)^M1848</f>
        <v>-7521.6251216792398</v>
      </c>
    </row>
    <row r="1862" spans="2:13" ht="15" customHeight="1" x14ac:dyDescent="0.2">
      <c r="B1862" s="10" t="s">
        <v>903</v>
      </c>
      <c r="C1862" s="10" t="s">
        <v>110</v>
      </c>
      <c r="D1862" s="16">
        <f t="shared" ref="D1862:M1862" si="405">D1855*$D$1872</f>
        <v>3534.0727238880786</v>
      </c>
      <c r="E1862" s="16">
        <f t="shared" si="405"/>
        <v>13465.168977146825</v>
      </c>
      <c r="F1862" s="16">
        <f t="shared" si="405"/>
        <v>21984.667217128437</v>
      </c>
      <c r="G1862" s="16">
        <f t="shared" si="405"/>
        <v>25635.880748549127</v>
      </c>
      <c r="H1862" s="16">
        <f t="shared" si="405"/>
        <v>25635.880748549127</v>
      </c>
      <c r="I1862" s="16">
        <f t="shared" si="405"/>
        <v>25635.880748549127</v>
      </c>
      <c r="J1862" s="16">
        <f t="shared" si="405"/>
        <v>25635.880748549127</v>
      </c>
      <c r="K1862" s="16">
        <f t="shared" si="405"/>
        <v>25635.880748549127</v>
      </c>
      <c r="L1862" s="16">
        <f t="shared" si="405"/>
        <v>25635.880748549127</v>
      </c>
      <c r="M1862" s="16">
        <f t="shared" si="405"/>
        <v>25635.880748549127</v>
      </c>
    </row>
    <row r="1863" spans="2:13" ht="15" customHeight="1" x14ac:dyDescent="0.2">
      <c r="B1863" s="10" t="s">
        <v>904</v>
      </c>
      <c r="C1863" s="10" t="s">
        <v>110</v>
      </c>
      <c r="D1863" s="16">
        <f t="shared" ref="D1863:M1863" si="406">D1862*$D$1873</f>
        <v>2827.2581791104631</v>
      </c>
      <c r="E1863" s="16">
        <f t="shared" si="406"/>
        <v>10772.13518171746</v>
      </c>
      <c r="F1863" s="16">
        <f t="shared" si="406"/>
        <v>17587.733773702752</v>
      </c>
      <c r="G1863" s="16">
        <f t="shared" si="406"/>
        <v>20508.704598839304</v>
      </c>
      <c r="H1863" s="16">
        <f t="shared" si="406"/>
        <v>20508.704598839304</v>
      </c>
      <c r="I1863" s="16">
        <f t="shared" si="406"/>
        <v>20508.704598839304</v>
      </c>
      <c r="J1863" s="16">
        <f t="shared" si="406"/>
        <v>20508.704598839304</v>
      </c>
      <c r="K1863" s="16">
        <f t="shared" si="406"/>
        <v>20508.704598839304</v>
      </c>
      <c r="L1863" s="16">
        <f t="shared" si="406"/>
        <v>20508.704598839304</v>
      </c>
      <c r="M1863" s="16">
        <f t="shared" si="406"/>
        <v>20508.704598839304</v>
      </c>
    </row>
    <row r="1864" spans="2:13" ht="15" customHeight="1" x14ac:dyDescent="0.2">
      <c r="B1864" s="10" t="s">
        <v>905</v>
      </c>
      <c r="C1864" s="10" t="s">
        <v>110</v>
      </c>
      <c r="D1864" s="16">
        <f t="shared" ref="D1864:M1864" si="407">D1863-D1856</f>
        <v>1010.2808931780212</v>
      </c>
      <c r="E1864" s="16">
        <f t="shared" si="407"/>
        <v>3849.2707999677514</v>
      </c>
      <c r="F1864" s="16">
        <f t="shared" si="407"/>
        <v>6284.7289706892516</v>
      </c>
      <c r="G1864" s="16">
        <f t="shared" si="407"/>
        <v>7328.4967581413221</v>
      </c>
      <c r="H1864" s="16">
        <f t="shared" si="407"/>
        <v>7328.4967581413221</v>
      </c>
      <c r="I1864" s="16">
        <f t="shared" si="407"/>
        <v>7328.4967581413221</v>
      </c>
      <c r="J1864" s="16">
        <f t="shared" si="407"/>
        <v>7328.4967581413221</v>
      </c>
      <c r="K1864" s="16">
        <f t="shared" si="407"/>
        <v>7328.4967581413221</v>
      </c>
      <c r="L1864" s="16">
        <f t="shared" si="407"/>
        <v>7328.4967581413221</v>
      </c>
      <c r="M1864" s="16">
        <f t="shared" si="407"/>
        <v>7328.4967581413221</v>
      </c>
    </row>
    <row r="1865" spans="2:13" ht="15" customHeight="1" x14ac:dyDescent="0.2">
      <c r="B1865" s="10" t="s">
        <v>906</v>
      </c>
      <c r="C1865" s="10" t="s">
        <v>110</v>
      </c>
      <c r="D1865" s="16">
        <f>MAX(D1864,Inputs!$D$6)*Inputs!$D$19</f>
        <v>303.08426795340637</v>
      </c>
      <c r="E1865" s="16">
        <f>MAX(E1864,Inputs!$D$6)*Inputs!$D$19</f>
        <v>1154.7812399903253</v>
      </c>
      <c r="F1865" s="16">
        <f>MAX(F1864,Inputs!$D$6)*Inputs!$D$19</f>
        <v>1885.4186912067753</v>
      </c>
      <c r="G1865" s="16">
        <f>MAX(G1864,Inputs!$D$6)*Inputs!$D$19</f>
        <v>2198.5490274423964</v>
      </c>
      <c r="H1865" s="16">
        <f>MAX(H1864,Inputs!$D$6)*Inputs!$D$19</f>
        <v>2198.5490274423964</v>
      </c>
      <c r="I1865" s="16">
        <f>MAX(I1864,Inputs!$D$6)*Inputs!$D$19</f>
        <v>2198.5490274423964</v>
      </c>
      <c r="J1865" s="16">
        <f>MAX(J1864,Inputs!$D$6)*Inputs!$D$19</f>
        <v>2198.5490274423964</v>
      </c>
      <c r="K1865" s="16">
        <f>MAX(K1864,Inputs!$D$6)*Inputs!$D$19</f>
        <v>2198.5490274423964</v>
      </c>
      <c r="L1865" s="16">
        <f>MAX(L1864,Inputs!$D$6)*Inputs!$D$19</f>
        <v>2198.5490274423964</v>
      </c>
      <c r="M1865" s="16">
        <f>MAX(M1864,Inputs!$D$6)*Inputs!$D$19</f>
        <v>2198.5490274423964</v>
      </c>
    </row>
    <row r="1866" spans="2:13" ht="15" customHeight="1" x14ac:dyDescent="0.2">
      <c r="B1866" s="10" t="s">
        <v>907</v>
      </c>
      <c r="C1866" s="10" t="s">
        <v>110</v>
      </c>
      <c r="D1866" s="16">
        <f t="shared" ref="D1866:M1866" si="408">D1859*$D$1872</f>
        <v>182.56067657103455</v>
      </c>
      <c r="E1866" s="16">
        <f t="shared" si="408"/>
        <v>243.41423542804606</v>
      </c>
      <c r="F1866" s="16">
        <f t="shared" si="408"/>
        <v>182.56067657103455</v>
      </c>
      <c r="G1866" s="16">
        <f t="shared" si="408"/>
        <v>0</v>
      </c>
      <c r="H1866" s="16">
        <f t="shared" si="408"/>
        <v>0</v>
      </c>
      <c r="I1866" s="16">
        <f t="shared" si="408"/>
        <v>0</v>
      </c>
      <c r="J1866" s="16">
        <f t="shared" si="408"/>
        <v>0</v>
      </c>
      <c r="K1866" s="16">
        <f t="shared" si="408"/>
        <v>0</v>
      </c>
      <c r="L1866" s="16">
        <f t="shared" si="408"/>
        <v>0</v>
      </c>
      <c r="M1866" s="16">
        <f t="shared" si="408"/>
        <v>0</v>
      </c>
    </row>
    <row r="1867" spans="2:13" ht="15" customHeight="1" x14ac:dyDescent="0.2">
      <c r="B1867" s="10" t="s">
        <v>908</v>
      </c>
      <c r="C1867" s="10" t="s">
        <v>110</v>
      </c>
      <c r="D1867" s="16">
        <f t="shared" ref="D1867:M1867" si="409">D1863-D1865-D1857-D1858-D1866</f>
        <v>-13219.355385560131</v>
      </c>
      <c r="E1867" s="16">
        <f t="shared" si="409"/>
        <v>-11374.018453895782</v>
      </c>
      <c r="F1867" s="16">
        <f t="shared" si="409"/>
        <v>-41.214214221210625</v>
      </c>
      <c r="G1867" s="16">
        <f t="shared" si="409"/>
        <v>15672.150722829734</v>
      </c>
      <c r="H1867" s="16">
        <f t="shared" si="409"/>
        <v>3428.3673495886251</v>
      </c>
      <c r="I1867" s="16">
        <f t="shared" si="409"/>
        <v>-1532.2287243474711</v>
      </c>
      <c r="J1867" s="16">
        <f t="shared" si="409"/>
        <v>3428.3673495886251</v>
      </c>
      <c r="K1867" s="16">
        <f t="shared" si="409"/>
        <v>15672.150722829734</v>
      </c>
      <c r="L1867" s="16">
        <f t="shared" si="409"/>
        <v>3428.3673495886251</v>
      </c>
      <c r="M1867" s="16">
        <f t="shared" si="409"/>
        <v>-1532.2287243474711</v>
      </c>
    </row>
    <row r="1868" spans="2:13" ht="15" customHeight="1" x14ac:dyDescent="0.2">
      <c r="B1868" s="10" t="s">
        <v>909</v>
      </c>
      <c r="C1868" s="10" t="s">
        <v>110</v>
      </c>
      <c r="D1868" s="16">
        <f>D1867/(Inputs!$D$7+$D$1874)^D1848</f>
        <v>-12511.989249734985</v>
      </c>
      <c r="E1868" s="16">
        <f>E1867/(Inputs!$D$7+$D$1874)^E1848</f>
        <v>-9966.384210508344</v>
      </c>
      <c r="F1868" s="16">
        <f>F1867/(Inputs!$D$7+$D$1874)^F1848</f>
        <v>-33.440275203332767</v>
      </c>
      <c r="G1868" s="16">
        <f>G1867/(Inputs!$D$7+$D$1874)^G1848</f>
        <v>11774.718693602181</v>
      </c>
      <c r="H1868" s="16">
        <f>H1867/(Inputs!$D$7+$D$1874)^H1848</f>
        <v>2385.1099975887159</v>
      </c>
      <c r="I1868" s="16">
        <f>I1867/(Inputs!$D$7+$D$1874)^I1848</f>
        <v>-986.85256599764148</v>
      </c>
      <c r="J1868" s="16">
        <f>J1867/(Inputs!$D$7+$D$1874)^J1848</f>
        <v>2044.6319702749197</v>
      </c>
      <c r="K1868" s="16">
        <f>K1867/(Inputs!$D$7+$D$1874)^K1848</f>
        <v>8654.7697480780571</v>
      </c>
      <c r="L1868" s="16">
        <f>L1867/(Inputs!$D$7+$D$1874)^L1848</f>
        <v>1753.1270504309828</v>
      </c>
      <c r="M1868" s="16">
        <f>M1867/(Inputs!$D$7+$D$1874)^M1848</f>
        <v>-725.36609631704857</v>
      </c>
    </row>
    <row r="1869" spans="2:13" ht="15" customHeight="1" x14ac:dyDescent="0.2">
      <c r="B1869" s="3" t="s">
        <v>910</v>
      </c>
      <c r="C1869" s="10" t="s">
        <v>896</v>
      </c>
      <c r="D1869" s="28">
        <f>(D1855*$D$1873-D1859)/(Inputs!$D$7+$D$1874)^D1848</f>
        <v>88.953332676903344</v>
      </c>
      <c r="E1869" s="28">
        <f>(E1855*$D$1873-E1859)/(Inputs!$D$7+$D$1874)^E1848</f>
        <v>327.84566575804018</v>
      </c>
      <c r="F1869" s="28">
        <f>(F1855*$D$1873-F1859)/(Inputs!$D$7+$D$1874)^F1848</f>
        <v>501.8469624505633</v>
      </c>
      <c r="G1869" s="28">
        <f>(G1855*$D$1873-G1859)/(Inputs!$D$7+$D$1874)^G1848</f>
        <v>547.55822194822701</v>
      </c>
      <c r="H1869" s="28">
        <f>(H1855*$D$1873-H1859)/(Inputs!$D$7+$D$1874)^H1848</f>
        <v>507.02506149209302</v>
      </c>
      <c r="I1869" s="28">
        <f>(I1855*$D$1873-I1859)/(Inputs!$D$7+$D$1874)^I1848</f>
        <v>469.39346500332312</v>
      </c>
      <c r="J1869" s="28">
        <f>(J1855*$D$1873-J1859)/(Inputs!$D$7+$D$1874)^J1848</f>
        <v>434.64647395943854</v>
      </c>
      <c r="K1869" s="28">
        <f>(K1855*$D$1873-K1859)/(Inputs!$D$7+$D$1874)^K1848</f>
        <v>402.47163927609296</v>
      </c>
      <c r="L1869" s="28">
        <f>(L1855*$D$1873-L1859)/(Inputs!$D$7+$D$1874)^L1848</f>
        <v>372.67855631264575</v>
      </c>
      <c r="M1869" s="28">
        <f>(M1855*$D$1873-M1859)/(Inputs!$D$7+$D$1874)^M1848</f>
        <v>345.01820948500972</v>
      </c>
    </row>
    <row r="1870" spans="2:13" ht="15" customHeight="1" x14ac:dyDescent="0.2">
      <c r="B1870" s="10" t="s">
        <v>911</v>
      </c>
      <c r="C1870" s="10" t="s">
        <v>110</v>
      </c>
      <c r="D1870" s="16">
        <f>(-D1857-D1858)/(Inputs!$D$7+$D$1874)^D1848</f>
        <v>-14728.303038392241</v>
      </c>
      <c r="E1870" s="16">
        <f>(-E1857-E1858)/(Inputs!$D$7+$D$1874)^E1848</f>
        <v>-18180.216908055725</v>
      </c>
      <c r="F1870" s="16">
        <f>(-F1857-F1858)/(Inputs!$D$7+$D$1874)^F1848</f>
        <v>-12625.815702688111</v>
      </c>
      <c r="G1870" s="16">
        <f>(-G1857-G1858)/(Inputs!$D$7+$D$1874)^G1848</f>
        <v>-1981.9720696655354</v>
      </c>
      <c r="H1870" s="16">
        <f>(-H1857-H1858)/(Inputs!$D$7+$D$1874)^H1848</f>
        <v>-10353.237634844469</v>
      </c>
      <c r="I1870" s="16">
        <f>(-I1857-I1858)/(Inputs!$D$7+$D$1874)^I1848</f>
        <v>-12779.755102232404</v>
      </c>
      <c r="J1870" s="16">
        <f>(-J1857-J1858)/(Inputs!$D$7+$D$1874)^J1848</f>
        <v>-8875.2974434962562</v>
      </c>
      <c r="K1870" s="16">
        <f>(-K1857-K1858)/(Inputs!$D$7+$D$1874)^K1848</f>
        <v>-1456.8086386129401</v>
      </c>
      <c r="L1870" s="16">
        <f>(-L1857-L1858)/(Inputs!$D$7+$D$1874)^L1848</f>
        <v>-7609.9387347064285</v>
      </c>
      <c r="M1870" s="16">
        <f>(-M1857-M1858)/(Inputs!$D$7+$D$1874)^M1848</f>
        <v>-9393.5015115686074</v>
      </c>
    </row>
    <row r="1871" spans="2:13" ht="15" customHeight="1" x14ac:dyDescent="0.2">
      <c r="B1871" s="10" t="s">
        <v>912</v>
      </c>
      <c r="C1871" s="10" t="s">
        <v>110</v>
      </c>
      <c r="D1871" s="16">
        <f>Prices!I7</f>
        <v>35754.545454545456</v>
      </c>
    </row>
    <row r="1872" spans="2:13" ht="15" customHeight="1" x14ac:dyDescent="0.2">
      <c r="B1872" s="3" t="s">
        <v>913</v>
      </c>
      <c r="C1872" s="10" t="s">
        <v>914</v>
      </c>
      <c r="D1872" s="28">
        <f>IF(J1879&gt;=J1875,J1879,(D1871-J1878)/J1877)</f>
        <v>28.140374037924399</v>
      </c>
      <c r="G1872" s="99" t="s">
        <v>915</v>
      </c>
      <c r="H1872" s="91"/>
      <c r="I1872" s="91"/>
      <c r="J1872" s="28">
        <f>D1872*Inputs!$D$15</f>
        <v>19.639167041067438</v>
      </c>
      <c r="K1872" s="99" t="s">
        <v>916</v>
      </c>
      <c r="L1872" s="91"/>
      <c r="M1872" s="91"/>
    </row>
    <row r="1873" spans="2:13" ht="15" customHeight="1" x14ac:dyDescent="0.2">
      <c r="B1873" s="10" t="s">
        <v>917</v>
      </c>
      <c r="C1873" s="10" t="s">
        <v>104</v>
      </c>
      <c r="D1873" s="30">
        <f>Inputs!$D$144</f>
        <v>0.8</v>
      </c>
      <c r="G1873" s="99" t="s">
        <v>918</v>
      </c>
      <c r="H1873" s="91"/>
      <c r="I1873" s="91"/>
      <c r="J1873" s="28">
        <f>IF(-D1884/D1883&gt;=J1875,-D1884/D1883,-J1878/J1877)</f>
        <v>23.234783111121249</v>
      </c>
      <c r="K1873" s="99" t="s">
        <v>919</v>
      </c>
      <c r="L1873" s="91"/>
      <c r="M1873" s="91"/>
    </row>
    <row r="1874" spans="2:13" ht="15" customHeight="1" x14ac:dyDescent="0.2">
      <c r="B1874" s="10" t="s">
        <v>920</v>
      </c>
      <c r="C1874" s="10" t="s">
        <v>104</v>
      </c>
      <c r="D1874" s="30">
        <f>Inputs!$D$146</f>
        <v>0.08</v>
      </c>
      <c r="G1874" s="99" t="s">
        <v>918</v>
      </c>
      <c r="H1874" s="91"/>
      <c r="I1874" s="91"/>
      <c r="J1874" s="28">
        <f>J1873*Inputs!$D$15</f>
        <v>16.21555513325152</v>
      </c>
      <c r="K1874" s="99" t="s">
        <v>916</v>
      </c>
      <c r="L1874" s="91"/>
      <c r="M1874" s="91"/>
    </row>
    <row r="1875" spans="2:13" ht="15" customHeight="1" x14ac:dyDescent="0.2">
      <c r="B1875" s="3" t="s">
        <v>921</v>
      </c>
      <c r="C1875" s="10" t="s">
        <v>848</v>
      </c>
      <c r="D1875" s="28">
        <f>Capital!$D$13</f>
        <v>57.347931490590682</v>
      </c>
      <c r="G1875" s="99" t="s">
        <v>922</v>
      </c>
      <c r="H1875" s="91"/>
      <c r="I1875" s="91"/>
      <c r="J1875" s="28">
        <f>($D$1875/Inputs!$D$21+$D$1876/Inputs!$D$22)/$D$1873</f>
        <v>18.084807684821598</v>
      </c>
      <c r="K1875" s="99" t="s">
        <v>919</v>
      </c>
      <c r="L1875" s="91"/>
      <c r="M1875" s="91"/>
    </row>
    <row r="1876" spans="2:13" ht="15" customHeight="1" x14ac:dyDescent="0.2">
      <c r="B1876" s="3" t="s">
        <v>923</v>
      </c>
      <c r="C1876" s="10" t="s">
        <v>848</v>
      </c>
      <c r="D1876" s="28">
        <f>Capital!$D$14</f>
        <v>2.6172655041921802</v>
      </c>
    </row>
    <row r="1877" spans="2:13" ht="15" customHeight="1" x14ac:dyDescent="0.2">
      <c r="B1877" s="10" t="s">
        <v>924</v>
      </c>
      <c r="C1877" s="10" t="s">
        <v>896</v>
      </c>
      <c r="D1877" s="28">
        <f>(M1850*(Inputs!$D$7+Inputs!$D$20)*$D$1873*(Inputs!$D$7-Inputs!$D$19)-M1850*Inputs!$D$20*Inputs!$D$23)/($D$1874-Inputs!$D$20)/(Inputs!$D$7+$D$1874)^M1848</f>
        <v>4496.0185423515322</v>
      </c>
      <c r="G1877" s="92" t="s">
        <v>910</v>
      </c>
      <c r="H1877" s="91"/>
      <c r="I1877" s="91"/>
      <c r="J1877" s="28">
        <f>SUM(D1869:M1869)+(M1850*(Inputs!$D$7+Inputs!$D$20)*$D$1873-M1850*Inputs!$D$20*Inputs!$D$23)/($D$1874-Inputs!$D$20)/(Inputs!$D$7+$D$1874)^M1848</f>
        <v>10422.421574652788</v>
      </c>
      <c r="K1877" s="99" t="s">
        <v>896</v>
      </c>
      <c r="L1877" s="91"/>
      <c r="M1877" s="91"/>
    </row>
    <row r="1878" spans="2:13" ht="15" customHeight="1" x14ac:dyDescent="0.2">
      <c r="B1878" s="10" t="s">
        <v>925</v>
      </c>
      <c r="C1878" s="10" t="s">
        <v>110</v>
      </c>
      <c r="D1878" s="16">
        <f>(D1881*Inputs!$D$19-D1881-D1882)/($D$1874-Inputs!$D$20)/(Inputs!$D$7+$D$1874)^M1848</f>
        <v>-93153.423070883771</v>
      </c>
      <c r="G1878" s="92" t="s">
        <v>926</v>
      </c>
      <c r="H1878" s="91"/>
      <c r="I1878" s="91"/>
      <c r="J1878" s="16">
        <f>SUM(D1870:M1870)-(D1881+D1882)/($D$1874-Inputs!$D$20)/(Inputs!$D$7+$D$1874)^M1848</f>
        <v>-226023.23893944838</v>
      </c>
      <c r="K1878" s="99" t="s">
        <v>110</v>
      </c>
      <c r="L1878" s="91"/>
      <c r="M1878" s="91"/>
    </row>
    <row r="1879" spans="2:13" ht="15" customHeight="1" x14ac:dyDescent="0.2">
      <c r="B1879" s="10" t="s">
        <v>927</v>
      </c>
      <c r="C1879" s="10" t="s">
        <v>928</v>
      </c>
      <c r="D1879" s="16">
        <f>(M1850*(Inputs!$D$7+Inputs!$D$20)*$D$1872*$D$1873-D1881)-MAX((M1850*(Inputs!$D$7+Inputs!$D$20)*$D$1872*$D$1873-D1881),Inputs!$D$6)*Inputs!$D$19-D1882-M1850*Inputs!$D$20*$D$1872*Inputs!$D$23</f>
        <v>3876.4666369423726</v>
      </c>
      <c r="G1879" s="99" t="s">
        <v>929</v>
      </c>
      <c r="H1879" s="91"/>
      <c r="I1879" s="91"/>
      <c r="J1879" s="28">
        <f>(D1871-D1884)/D1883</f>
        <v>28.140374037924399</v>
      </c>
      <c r="K1879" s="99" t="s">
        <v>919</v>
      </c>
      <c r="L1879" s="91"/>
      <c r="M1879" s="91"/>
    </row>
    <row r="1880" spans="2:13" ht="15" customHeight="1" x14ac:dyDescent="0.2">
      <c r="B1880" s="10" t="s">
        <v>930</v>
      </c>
      <c r="C1880" s="10" t="s">
        <v>110</v>
      </c>
      <c r="D1880" s="16">
        <f>D1879/($D$1874-Inputs!$D$20)</f>
        <v>70481.21158077041</v>
      </c>
      <c r="G1880" s="99" t="s">
        <v>931</v>
      </c>
      <c r="H1880" s="91"/>
      <c r="I1880" s="91"/>
      <c r="J1880" s="16">
        <f>MIN(D1864:M1864,(M1850*(Inputs!$D$7+Inputs!$D$20)*$D$1872*$D$1873-D1881))</f>
        <v>1010.2808931780212</v>
      </c>
      <c r="K1880" s="99" t="s">
        <v>110</v>
      </c>
      <c r="L1880" s="91"/>
      <c r="M1880" s="91"/>
    </row>
    <row r="1881" spans="2:13" ht="15" customHeight="1" x14ac:dyDescent="0.2">
      <c r="B1881" s="10" t="s">
        <v>932</v>
      </c>
      <c r="C1881" s="10" t="s">
        <v>928</v>
      </c>
      <c r="D1881" s="16">
        <f>M1850*(Inputs!$D$7+Inputs!$D$20)*($D$1875/Inputs!$D$21+$D$1876/Inputs!$D$22)</f>
        <v>13509.71303671543</v>
      </c>
      <c r="G1881" s="99" t="s">
        <v>933</v>
      </c>
      <c r="H1881" s="91"/>
      <c r="I1881" s="91"/>
      <c r="J1881" s="31" t="str">
        <f>IF(J1880&lt;Inputs!$D$6,"breached","satisfied")</f>
        <v>satisfied</v>
      </c>
      <c r="K1881" s="99" t="s">
        <v>934</v>
      </c>
      <c r="L1881" s="91"/>
      <c r="M1881" s="91"/>
    </row>
    <row r="1882" spans="2:13" ht="15" customHeight="1" x14ac:dyDescent="0.2">
      <c r="B1882" s="10" t="s">
        <v>935</v>
      </c>
      <c r="C1882" s="10" t="s">
        <v>928</v>
      </c>
      <c r="D1882" s="16">
        <f>M1850*Inputs!$D$20*($D$1875+$D$1876)</f>
        <v>1365.7073615561799</v>
      </c>
    </row>
    <row r="1883" spans="2:13" ht="15" customHeight="1" x14ac:dyDescent="0.2">
      <c r="B1883" s="10" t="s">
        <v>936</v>
      </c>
      <c r="C1883" s="10" t="s">
        <v>896</v>
      </c>
      <c r="D1883" s="28">
        <f>SUM(D1860:M1860)+D1877</f>
        <v>7288.5297588084459</v>
      </c>
      <c r="G1883" s="99" t="s">
        <v>937</v>
      </c>
      <c r="H1883" s="91"/>
      <c r="I1883" s="91"/>
      <c r="J1883" s="16">
        <f>D1885-D1871</f>
        <v>0</v>
      </c>
      <c r="K1883" s="99" t="s">
        <v>110</v>
      </c>
      <c r="L1883" s="91"/>
      <c r="M1883" s="91"/>
    </row>
    <row r="1884" spans="2:13" ht="15" customHeight="1" x14ac:dyDescent="0.2">
      <c r="B1884" s="10" t="s">
        <v>938</v>
      </c>
      <c r="C1884" s="10" t="s">
        <v>110</v>
      </c>
      <c r="D1884" s="16">
        <f>SUM(D1861:M1861)+D1878</f>
        <v>-169347.40814486711</v>
      </c>
    </row>
    <row r="1885" spans="2:13" ht="15" customHeight="1" x14ac:dyDescent="0.2">
      <c r="B1885" s="10" t="s">
        <v>939</v>
      </c>
      <c r="C1885" s="10" t="s">
        <v>110</v>
      </c>
      <c r="D1885" s="16">
        <f>SUM(D1868:M1868)+D1880/(Inputs!$D$7+$D$1874)^M1848</f>
        <v>35754.54545454547</v>
      </c>
    </row>
    <row r="1886" spans="2:13" ht="15" customHeight="1" x14ac:dyDescent="0.2">
      <c r="B1886" s="10" t="s">
        <v>940</v>
      </c>
      <c r="C1886" s="10" t="s">
        <v>104</v>
      </c>
      <c r="D1886" s="30">
        <f>IF(ABS(D1871)&gt;Inputs!$D$6,D1885/D1871-Inputs!$D$7,Inputs!$D$6)</f>
        <v>4.4408920985006262E-16</v>
      </c>
    </row>
    <row r="1887" spans="2:13" ht="15" customHeight="1" x14ac:dyDescent="0.2">
      <c r="B1887" s="10" t="s">
        <v>941</v>
      </c>
      <c r="C1887" s="10" t="s">
        <v>104</v>
      </c>
      <c r="D1887" s="30">
        <f>IF(ABS(D1885)&gt;Inputs!$D$119,D1880/(Inputs!$D$7+$D$1874)^M1848/D1885,Inputs!$D$6)</f>
        <v>0.93320219759891043</v>
      </c>
    </row>
    <row r="1888" spans="2:13" ht="15" customHeight="1" x14ac:dyDescent="0.2">
      <c r="B1888" s="10" t="s">
        <v>942</v>
      </c>
      <c r="C1888" s="10" t="s">
        <v>943</v>
      </c>
      <c r="D1888" s="26">
        <f>$D$1872*Inputs!$D$8/Prices!$P$6/(Inputs!$D$26/Inputs!$D$25)/Inputs!$D$11/Inputs!$D$56</f>
        <v>5.1174124958111991</v>
      </c>
    </row>
    <row r="1892" spans="1:13" ht="15" customHeight="1" x14ac:dyDescent="0.2">
      <c r="A1892" s="104" t="s">
        <v>2206</v>
      </c>
      <c r="B1892" s="10" t="s">
        <v>886</v>
      </c>
      <c r="C1892" s="10" t="s">
        <v>107</v>
      </c>
      <c r="D1892" s="28">
        <f>Inputs!$D$60</f>
        <v>1</v>
      </c>
      <c r="E1892" s="28">
        <f>Inputs!$D$62</f>
        <v>2</v>
      </c>
      <c r="F1892" s="28">
        <f>Inputs!$D$64</f>
        <v>3</v>
      </c>
      <c r="G1892" s="28">
        <f>Inputs!$D$66</f>
        <v>4</v>
      </c>
      <c r="H1892" s="28">
        <f>Inputs!$D$68</f>
        <v>5</v>
      </c>
      <c r="I1892" s="28">
        <f>Inputs!$D$70</f>
        <v>6</v>
      </c>
      <c r="J1892" s="28">
        <f>Inputs!$D$72</f>
        <v>7</v>
      </c>
      <c r="K1892" s="28">
        <f>Inputs!$D$74</f>
        <v>8</v>
      </c>
      <c r="L1892" s="28">
        <f>Inputs!$D$76</f>
        <v>9</v>
      </c>
      <c r="M1892" s="28">
        <f>Inputs!$D$78</f>
        <v>10</v>
      </c>
    </row>
    <row r="1893" spans="1:13" ht="15" customHeight="1" x14ac:dyDescent="0.2">
      <c r="A1893" s="91"/>
      <c r="B1893" s="10" t="s">
        <v>887</v>
      </c>
      <c r="C1893" s="10" t="s">
        <v>161</v>
      </c>
      <c r="D1893" s="29">
        <f>Inputs!$D$61</f>
        <v>46568</v>
      </c>
      <c r="E1893" s="29">
        <f>Inputs!$D$63</f>
        <v>46934</v>
      </c>
      <c r="F1893" s="29">
        <f>Inputs!$D$65</f>
        <v>47299</v>
      </c>
      <c r="G1893" s="29">
        <f>Inputs!$D$67</f>
        <v>47664</v>
      </c>
      <c r="H1893" s="29">
        <f>Inputs!$D$69</f>
        <v>48029</v>
      </c>
      <c r="I1893" s="29">
        <f>Inputs!$D$71</f>
        <v>48395</v>
      </c>
      <c r="J1893" s="29">
        <f>Inputs!$D$73</f>
        <v>48760</v>
      </c>
      <c r="K1893" s="29">
        <f>Inputs!$D$75</f>
        <v>49125</v>
      </c>
      <c r="L1893" s="29">
        <f>Inputs!$D$77</f>
        <v>49490</v>
      </c>
      <c r="M1893" s="29">
        <f>Inputs!$D$79</f>
        <v>49856</v>
      </c>
    </row>
    <row r="1894" spans="1:13" ht="15" customHeight="1" x14ac:dyDescent="0.2">
      <c r="A1894" s="91"/>
      <c r="B1894" s="10" t="s">
        <v>888</v>
      </c>
      <c r="C1894" s="10" t="s">
        <v>107</v>
      </c>
      <c r="D1894" s="28">
        <f>(D1893-Inputs!$D$13)/Inputs!$D$10</f>
        <v>0.71457905544147848</v>
      </c>
      <c r="E1894" s="28">
        <f>(E1893-Inputs!$D$13)/Inputs!$D$10</f>
        <v>1.7166324435318274</v>
      </c>
      <c r="F1894" s="28">
        <f>(F1893-Inputs!$D$13)/Inputs!$D$10</f>
        <v>2.7159479808350446</v>
      </c>
      <c r="G1894" s="28">
        <f>(G1893-Inputs!$D$13)/Inputs!$D$10</f>
        <v>3.7152635181382614</v>
      </c>
      <c r="H1894" s="28">
        <f>(H1893-Inputs!$D$13)/Inputs!$D$10</f>
        <v>4.7145790554414786</v>
      </c>
      <c r="I1894" s="28">
        <f>(I1893-Inputs!$D$13)/Inputs!$D$10</f>
        <v>5.7166324435318279</v>
      </c>
      <c r="J1894" s="28">
        <f>(J1893-Inputs!$D$13)/Inputs!$D$10</f>
        <v>6.7159479808350442</v>
      </c>
      <c r="K1894" s="28">
        <f>(K1893-Inputs!$D$13)/Inputs!$D$10</f>
        <v>7.7152635181382614</v>
      </c>
      <c r="L1894" s="28">
        <f>(L1893-Inputs!$D$13)/Inputs!$D$10</f>
        <v>8.7145790554414777</v>
      </c>
      <c r="M1894" s="28">
        <f>(M1893-Inputs!$D$13)/Inputs!$D$10</f>
        <v>9.716632443531827</v>
      </c>
    </row>
    <row r="1895" spans="1:13" ht="15" customHeight="1" x14ac:dyDescent="0.2">
      <c r="A1895" s="91"/>
      <c r="B1895" s="10" t="s">
        <v>889</v>
      </c>
      <c r="C1895" s="10" t="s">
        <v>107</v>
      </c>
      <c r="D1895" s="28">
        <f>D1894</f>
        <v>0.71457905544147848</v>
      </c>
      <c r="E1895" s="28">
        <f>Inputs!$D$7</f>
        <v>1</v>
      </c>
      <c r="F1895" s="28">
        <f>Inputs!$D$7</f>
        <v>1</v>
      </c>
      <c r="G1895" s="28">
        <f>Inputs!$D$7</f>
        <v>1</v>
      </c>
      <c r="H1895" s="28">
        <f>Inputs!$D$7</f>
        <v>1</v>
      </c>
      <c r="I1895" s="28">
        <f>Inputs!$D$7</f>
        <v>1</v>
      </c>
      <c r="J1895" s="28">
        <f>Inputs!$D$7</f>
        <v>1</v>
      </c>
      <c r="K1895" s="28">
        <f>Inputs!$D$7</f>
        <v>1</v>
      </c>
      <c r="L1895" s="28">
        <f>Inputs!$D$7</f>
        <v>1</v>
      </c>
      <c r="M1895" s="28">
        <f>Inputs!$D$7</f>
        <v>1</v>
      </c>
    </row>
    <row r="1896" spans="1:13" ht="15" customHeight="1" x14ac:dyDescent="0.2">
      <c r="A1896" s="91"/>
      <c r="B1896" s="3" t="s">
        <v>890</v>
      </c>
      <c r="C1896" s="10" t="s">
        <v>199</v>
      </c>
      <c r="D1896" s="28">
        <f>Inputs!$D$24+(Inputs!$D$80-Inputs!$D$24)*Inputs!$D$83</f>
        <v>305.5</v>
      </c>
      <c r="E1896" s="28">
        <f>Inputs!$D$24+(Inputs!$D$80-Inputs!$D$24)*Inputs!$D$84</f>
        <v>651.5</v>
      </c>
      <c r="F1896" s="28">
        <f>Inputs!$D$24+(Inputs!$D$80-Inputs!$D$24)*Inputs!$D$85</f>
        <v>911</v>
      </c>
      <c r="G1896" s="28">
        <f>Inputs!$D$24+(Inputs!$D$80-Inputs!$D$24)*Inputs!$D$86</f>
        <v>911</v>
      </c>
      <c r="H1896" s="28">
        <f>Inputs!$D$24+(Inputs!$D$80-Inputs!$D$24)*Inputs!$D$87</f>
        <v>911</v>
      </c>
      <c r="I1896" s="28">
        <f>Inputs!$D$24+(Inputs!$D$80-Inputs!$D$24)*Inputs!$D$88</f>
        <v>911</v>
      </c>
      <c r="J1896" s="28">
        <f>Inputs!$D$24+(Inputs!$D$80-Inputs!$D$24)*Inputs!$D$89</f>
        <v>911</v>
      </c>
      <c r="K1896" s="28">
        <f>Inputs!$D$24+(Inputs!$D$80-Inputs!$D$24)*Inputs!$D$90</f>
        <v>911</v>
      </c>
      <c r="L1896" s="28">
        <f>Inputs!$D$24+(Inputs!$D$80-Inputs!$D$24)*Inputs!$D$91</f>
        <v>911</v>
      </c>
      <c r="M1896" s="28">
        <f>Inputs!$D$24+(Inputs!$D$80-Inputs!$D$24)*Inputs!$D$92</f>
        <v>911</v>
      </c>
    </row>
    <row r="1897" spans="1:13" ht="15" customHeight="1" x14ac:dyDescent="0.2">
      <c r="A1897" s="91"/>
      <c r="B1897" s="10" t="s">
        <v>891</v>
      </c>
      <c r="C1897" s="10" t="s">
        <v>199</v>
      </c>
      <c r="D1897" s="28">
        <f>Inputs!$D$24</f>
        <v>46</v>
      </c>
      <c r="E1897" s="28">
        <f t="shared" ref="E1897:M1897" si="410">D1896</f>
        <v>305.5</v>
      </c>
      <c r="F1897" s="28">
        <f t="shared" si="410"/>
        <v>651.5</v>
      </c>
      <c r="G1897" s="28">
        <f t="shared" si="410"/>
        <v>911</v>
      </c>
      <c r="H1897" s="28">
        <f t="shared" si="410"/>
        <v>911</v>
      </c>
      <c r="I1897" s="28">
        <f t="shared" si="410"/>
        <v>911</v>
      </c>
      <c r="J1897" s="28">
        <f t="shared" si="410"/>
        <v>911</v>
      </c>
      <c r="K1897" s="28">
        <f t="shared" si="410"/>
        <v>911</v>
      </c>
      <c r="L1897" s="28">
        <f t="shared" si="410"/>
        <v>911</v>
      </c>
      <c r="M1897" s="28">
        <f t="shared" si="410"/>
        <v>911</v>
      </c>
    </row>
    <row r="1898" spans="1:13" ht="15" customHeight="1" x14ac:dyDescent="0.2">
      <c r="B1898" s="10" t="s">
        <v>892</v>
      </c>
      <c r="C1898" s="10" t="s">
        <v>199</v>
      </c>
      <c r="D1898" s="28">
        <f>(D1897+D1896)*Inputs!$D$12</f>
        <v>175.75</v>
      </c>
      <c r="E1898" s="28">
        <f>(E1897+E1896)*Inputs!$D$12</f>
        <v>478.5</v>
      </c>
      <c r="F1898" s="28">
        <f>(F1897+F1896)*Inputs!$D$12</f>
        <v>781.25</v>
      </c>
      <c r="G1898" s="28">
        <f>(G1897+G1896)*Inputs!$D$12</f>
        <v>911</v>
      </c>
      <c r="H1898" s="28">
        <f>(H1897+H1896)*Inputs!$D$12</f>
        <v>911</v>
      </c>
      <c r="I1898" s="28">
        <f>(I1897+I1896)*Inputs!$D$12</f>
        <v>911</v>
      </c>
      <c r="J1898" s="28">
        <f>(J1897+J1896)*Inputs!$D$12</f>
        <v>911</v>
      </c>
      <c r="K1898" s="28">
        <f>(K1897+K1896)*Inputs!$D$12</f>
        <v>911</v>
      </c>
      <c r="L1898" s="28">
        <f>(L1897+L1896)*Inputs!$D$12</f>
        <v>911</v>
      </c>
      <c r="M1898" s="28">
        <f>(M1897+M1896)*Inputs!$D$12</f>
        <v>911</v>
      </c>
    </row>
    <row r="1899" spans="1:13" ht="15" customHeight="1" x14ac:dyDescent="0.2">
      <c r="B1899" s="10" t="s">
        <v>893</v>
      </c>
      <c r="C1899" s="10" t="s">
        <v>199</v>
      </c>
      <c r="D1899" s="28">
        <f t="shared" ref="D1899:M1899" si="411">D1896-D1897</f>
        <v>259.5</v>
      </c>
      <c r="E1899" s="28">
        <f t="shared" si="411"/>
        <v>346</v>
      </c>
      <c r="F1899" s="28">
        <f t="shared" si="411"/>
        <v>259.5</v>
      </c>
      <c r="G1899" s="28">
        <f t="shared" si="411"/>
        <v>0</v>
      </c>
      <c r="H1899" s="28">
        <f t="shared" si="411"/>
        <v>0</v>
      </c>
      <c r="I1899" s="28">
        <f t="shared" si="411"/>
        <v>0</v>
      </c>
      <c r="J1899" s="28">
        <f t="shared" si="411"/>
        <v>0</v>
      </c>
      <c r="K1899" s="28">
        <f t="shared" si="411"/>
        <v>0</v>
      </c>
      <c r="L1899" s="28">
        <f t="shared" si="411"/>
        <v>0</v>
      </c>
      <c r="M1899" s="28">
        <f t="shared" si="411"/>
        <v>0</v>
      </c>
    </row>
    <row r="1900" spans="1:13" ht="15" customHeight="1" x14ac:dyDescent="0.2">
      <c r="B1900" s="10" t="s">
        <v>894</v>
      </c>
      <c r="C1900" s="10" t="s">
        <v>199</v>
      </c>
      <c r="D1900" s="28">
        <f>IF(MOD(D1892,Inputs!$D$21)=Inputs!$D$6,Inputs!$D$24,Inputs!$D$6)+SUMPRODUCT(--(D1892&gt;$D$1892:$M$1892),--(MOD(D1892-$D$1892:$M$1892,Inputs!$D$21)=Inputs!$D$6),$D$1899:$M$1899)</f>
        <v>0</v>
      </c>
      <c r="E1900" s="28">
        <f>IF(MOD(E1892,Inputs!$D$21)=Inputs!$D$6,Inputs!$D$24,Inputs!$D$6)+SUMPRODUCT(--(E1892&gt;$D$1892:$M$1892),--(MOD(E1892-$D$1892:$M$1892,Inputs!$D$21)=Inputs!$D$6),$D$1899:$M$1899)</f>
        <v>0</v>
      </c>
      <c r="F1900" s="28">
        <f>IF(MOD(F1892,Inputs!$D$21)=Inputs!$D$6,Inputs!$D$24,Inputs!$D$6)+SUMPRODUCT(--(F1892&gt;$D$1892:$M$1892),--(MOD(F1892-$D$1892:$M$1892,Inputs!$D$21)=Inputs!$D$6),$D$1899:$M$1899)</f>
        <v>0</v>
      </c>
      <c r="G1900" s="28">
        <f>IF(MOD(G1892,Inputs!$D$21)=Inputs!$D$6,Inputs!$D$24,Inputs!$D$6)+SUMPRODUCT(--(G1892&gt;$D$1892:$M$1892),--(MOD(G1892-$D$1892:$M$1892,Inputs!$D$21)=Inputs!$D$6),$D$1899:$M$1899)</f>
        <v>46</v>
      </c>
      <c r="H1900" s="28">
        <f>IF(MOD(H1892,Inputs!$D$21)=Inputs!$D$6,Inputs!$D$24,Inputs!$D$6)+SUMPRODUCT(--(H1892&gt;$D$1892:$M$1892),--(MOD(H1892-$D$1892:$M$1892,Inputs!$D$21)=Inputs!$D$6),$D$1899:$M$1899)</f>
        <v>259.5</v>
      </c>
      <c r="I1900" s="28">
        <f>IF(MOD(I1892,Inputs!$D$21)=Inputs!$D$6,Inputs!$D$24,Inputs!$D$6)+SUMPRODUCT(--(I1892&gt;$D$1892:$M$1892),--(MOD(I1892-$D$1892:$M$1892,Inputs!$D$21)=Inputs!$D$6),$D$1899:$M$1899)</f>
        <v>346</v>
      </c>
      <c r="J1900" s="28">
        <f>IF(MOD(J1892,Inputs!$D$21)=Inputs!$D$6,Inputs!$D$24,Inputs!$D$6)+SUMPRODUCT(--(J1892&gt;$D$1892:$M$1892),--(MOD(J1892-$D$1892:$M$1892,Inputs!$D$21)=Inputs!$D$6),$D$1899:$M$1899)</f>
        <v>259.5</v>
      </c>
      <c r="K1900" s="28">
        <f>IF(MOD(K1892,Inputs!$D$21)=Inputs!$D$6,Inputs!$D$24,Inputs!$D$6)+SUMPRODUCT(--(K1892&gt;$D$1892:$M$1892),--(MOD(K1892-$D$1892:$M$1892,Inputs!$D$21)=Inputs!$D$6),$D$1899:$M$1899)</f>
        <v>46</v>
      </c>
      <c r="L1900" s="28">
        <f>IF(MOD(L1892,Inputs!$D$21)=Inputs!$D$6,Inputs!$D$24,Inputs!$D$6)+SUMPRODUCT(--(L1892&gt;$D$1892:$M$1892),--(MOD(L1892-$D$1892:$M$1892,Inputs!$D$21)=Inputs!$D$6),$D$1899:$M$1899)</f>
        <v>259.5</v>
      </c>
      <c r="M1900" s="28">
        <f>IF(MOD(M1892,Inputs!$D$21)=Inputs!$D$6,Inputs!$D$24,Inputs!$D$6)+SUMPRODUCT(--(M1892&gt;$D$1892:$M$1892),--(MOD(M1892-$D$1892:$M$1892,Inputs!$D$21)=Inputs!$D$6),$D$1899:$M$1899)</f>
        <v>346</v>
      </c>
    </row>
    <row r="1901" spans="1:13" ht="15" customHeight="1" x14ac:dyDescent="0.2">
      <c r="B1901" s="10" t="s">
        <v>895</v>
      </c>
      <c r="C1901" s="10" t="s">
        <v>896</v>
      </c>
      <c r="D1901" s="28">
        <f t="shared" ref="D1901:M1901" si="412">D1898*D1895</f>
        <v>125.58726899383984</v>
      </c>
      <c r="E1901" s="28">
        <f t="shared" si="412"/>
        <v>478.5</v>
      </c>
      <c r="F1901" s="28">
        <f t="shared" si="412"/>
        <v>781.25</v>
      </c>
      <c r="G1901" s="28">
        <f t="shared" si="412"/>
        <v>911</v>
      </c>
      <c r="H1901" s="28">
        <f t="shared" si="412"/>
        <v>911</v>
      </c>
      <c r="I1901" s="28">
        <f t="shared" si="412"/>
        <v>911</v>
      </c>
      <c r="J1901" s="28">
        <f t="shared" si="412"/>
        <v>911</v>
      </c>
      <c r="K1901" s="28">
        <f t="shared" si="412"/>
        <v>911</v>
      </c>
      <c r="L1901" s="28">
        <f t="shared" si="412"/>
        <v>911</v>
      </c>
      <c r="M1901" s="28">
        <f t="shared" si="412"/>
        <v>911</v>
      </c>
    </row>
    <row r="1902" spans="1:13" ht="15" customHeight="1" x14ac:dyDescent="0.2">
      <c r="B1902" s="10" t="s">
        <v>897</v>
      </c>
      <c r="C1902" s="10" t="s">
        <v>110</v>
      </c>
      <c r="D1902" s="16">
        <f>D1901*($D$1921/Inputs!$D$21+$D$1922/Inputs!$D$22)</f>
        <v>1816.9772859324419</v>
      </c>
      <c r="E1902" s="16">
        <f>E1901*($D$1921/Inputs!$D$21+$D$1922/Inputs!$D$22)</f>
        <v>6922.8643817497086</v>
      </c>
      <c r="F1902" s="16">
        <f>F1901*($D$1921/Inputs!$D$21+$D$1922/Inputs!$D$22)</f>
        <v>11303.0048030135</v>
      </c>
      <c r="G1902" s="16">
        <f>G1901*($D$1921/Inputs!$D$21+$D$1922/Inputs!$D$22)</f>
        <v>13180.207840697982</v>
      </c>
      <c r="H1902" s="16">
        <f>H1901*($D$1921/Inputs!$D$21+$D$1922/Inputs!$D$22)</f>
        <v>13180.207840697982</v>
      </c>
      <c r="I1902" s="16">
        <f>I1901*($D$1921/Inputs!$D$21+$D$1922/Inputs!$D$22)</f>
        <v>13180.207840697982</v>
      </c>
      <c r="J1902" s="16">
        <f>J1901*($D$1921/Inputs!$D$21+$D$1922/Inputs!$D$22)</f>
        <v>13180.207840697982</v>
      </c>
      <c r="K1902" s="16">
        <f>K1901*($D$1921/Inputs!$D$21+$D$1922/Inputs!$D$22)</f>
        <v>13180.207840697982</v>
      </c>
      <c r="L1902" s="16">
        <f>L1901*($D$1921/Inputs!$D$21+$D$1922/Inputs!$D$22)</f>
        <v>13180.207840697982</v>
      </c>
      <c r="M1902" s="16">
        <f>M1901*($D$1921/Inputs!$D$21+$D$1922/Inputs!$D$22)</f>
        <v>13180.207840697982</v>
      </c>
    </row>
    <row r="1903" spans="1:13" ht="15" customHeight="1" x14ac:dyDescent="0.2">
      <c r="B1903" s="10" t="s">
        <v>898</v>
      </c>
      <c r="C1903" s="10" t="s">
        <v>110</v>
      </c>
      <c r="D1903" s="16">
        <f t="shared" ref="D1903:M1903" si="413">D1899*($D$1921+$D$1922)</f>
        <v>15560.968620146154</v>
      </c>
      <c r="E1903" s="16">
        <f t="shared" si="413"/>
        <v>20747.95816019487</v>
      </c>
      <c r="F1903" s="16">
        <f t="shared" si="413"/>
        <v>15560.968620146154</v>
      </c>
      <c r="G1903" s="16">
        <f t="shared" si="413"/>
        <v>0</v>
      </c>
      <c r="H1903" s="16">
        <f t="shared" si="413"/>
        <v>0</v>
      </c>
      <c r="I1903" s="16">
        <f t="shared" si="413"/>
        <v>0</v>
      </c>
      <c r="J1903" s="16">
        <f t="shared" si="413"/>
        <v>0</v>
      </c>
      <c r="K1903" s="16">
        <f t="shared" si="413"/>
        <v>0</v>
      </c>
      <c r="L1903" s="16">
        <f t="shared" si="413"/>
        <v>0</v>
      </c>
      <c r="M1903" s="16">
        <f t="shared" si="413"/>
        <v>0</v>
      </c>
    </row>
    <row r="1904" spans="1:13" ht="15" customHeight="1" x14ac:dyDescent="0.2">
      <c r="B1904" s="10" t="s">
        <v>899</v>
      </c>
      <c r="C1904" s="10" t="s">
        <v>110</v>
      </c>
      <c r="D1904" s="16">
        <f t="shared" ref="D1904:M1904" si="414">D1900*$D$1921</f>
        <v>0</v>
      </c>
      <c r="E1904" s="16">
        <f t="shared" si="414"/>
        <v>0</v>
      </c>
      <c r="F1904" s="16">
        <f t="shared" si="414"/>
        <v>0</v>
      </c>
      <c r="G1904" s="16">
        <f t="shared" si="414"/>
        <v>2638.0048485671714</v>
      </c>
      <c r="H1904" s="16">
        <f t="shared" si="414"/>
        <v>14881.788221808281</v>
      </c>
      <c r="I1904" s="16">
        <f t="shared" si="414"/>
        <v>19842.384295744378</v>
      </c>
      <c r="J1904" s="16">
        <f t="shared" si="414"/>
        <v>14881.788221808281</v>
      </c>
      <c r="K1904" s="16">
        <f t="shared" si="414"/>
        <v>2638.0048485671714</v>
      </c>
      <c r="L1904" s="16">
        <f t="shared" si="414"/>
        <v>14881.788221808281</v>
      </c>
      <c r="M1904" s="16">
        <f t="shared" si="414"/>
        <v>19842.384295744378</v>
      </c>
    </row>
    <row r="1905" spans="2:13" ht="15" customHeight="1" x14ac:dyDescent="0.2">
      <c r="B1905" s="10" t="s">
        <v>900</v>
      </c>
      <c r="C1905" s="10" t="s">
        <v>199</v>
      </c>
      <c r="D1905" s="28">
        <f>D1899*Inputs!$D$23</f>
        <v>6.4875000000000007</v>
      </c>
      <c r="E1905" s="28">
        <f>E1899*Inputs!$D$23</f>
        <v>8.65</v>
      </c>
      <c r="F1905" s="28">
        <f>F1899*Inputs!$D$23</f>
        <v>6.4875000000000007</v>
      </c>
      <c r="G1905" s="28">
        <f>G1899*Inputs!$D$23</f>
        <v>0</v>
      </c>
      <c r="H1905" s="28">
        <f>H1899*Inputs!$D$23</f>
        <v>0</v>
      </c>
      <c r="I1905" s="28">
        <f>I1899*Inputs!$D$23</f>
        <v>0</v>
      </c>
      <c r="J1905" s="28">
        <f>J1899*Inputs!$D$23</f>
        <v>0</v>
      </c>
      <c r="K1905" s="28">
        <f>K1899*Inputs!$D$23</f>
        <v>0</v>
      </c>
      <c r="L1905" s="28">
        <f>L1899*Inputs!$D$23</f>
        <v>0</v>
      </c>
      <c r="M1905" s="28">
        <f>M1899*Inputs!$D$23</f>
        <v>0</v>
      </c>
    </row>
    <row r="1906" spans="2:13" ht="15" customHeight="1" x14ac:dyDescent="0.2">
      <c r="B1906" s="3" t="s">
        <v>901</v>
      </c>
      <c r="C1906" s="10" t="s">
        <v>896</v>
      </c>
      <c r="D1906" s="28">
        <f>(D1901*$D$1919*(Inputs!$D$7-Inputs!$D$19)-D1905)/(Inputs!$D$7+$D$1920)^D1894</f>
        <v>59.638107928754934</v>
      </c>
      <c r="E1906" s="28">
        <f>(E1901*$D$1919*(Inputs!$D$7-Inputs!$D$19)-E1905)/(Inputs!$D$7+$D$1920)^E1894</f>
        <v>220.17258373064229</v>
      </c>
      <c r="F1906" s="28">
        <f>(F1901*$D$1919*(Inputs!$D$7-Inputs!$D$19)-F1905)/(Inputs!$D$7+$D$1920)^F1894</f>
        <v>332.71278210921628</v>
      </c>
      <c r="G1906" s="28">
        <f>(G1901*$D$1919*(Inputs!$D$7-Inputs!$D$19)-G1905)/(Inputs!$D$7+$D$1920)^G1894</f>
        <v>358.03185685593229</v>
      </c>
      <c r="H1906" s="28">
        <f>(H1901*$D$1919*(Inputs!$D$7-Inputs!$D$19)-H1905)/(Inputs!$D$7+$D$1920)^H1894</f>
        <v>325.50474025278925</v>
      </c>
      <c r="I1906" s="28">
        <f>(I1901*$D$1919*(Inputs!$D$7-Inputs!$D$19)-I1905)/(Inputs!$D$7+$D$1920)^I1894</f>
        <v>295.85549304352458</v>
      </c>
      <c r="J1906" s="28">
        <f>(J1901*$D$1919*(Inputs!$D$7-Inputs!$D$19)-J1905)/(Inputs!$D$7+$D$1920)^J1894</f>
        <v>268.97708561795457</v>
      </c>
      <c r="K1906" s="28">
        <f>(K1901*$D$1919*(Inputs!$D$7-Inputs!$D$19)-K1905)/(Inputs!$D$7+$D$1920)^K1894</f>
        <v>244.54057568194261</v>
      </c>
      <c r="L1906" s="28">
        <f>(L1901*$D$1919*(Inputs!$D$7-Inputs!$D$19)-L1905)/(Inputs!$D$7+$D$1920)^L1894</f>
        <v>222.32411737776735</v>
      </c>
      <c r="M1906" s="28">
        <f>(M1901*$D$1919*(Inputs!$D$7-Inputs!$D$19)-M1905)/(Inputs!$D$7+$D$1920)^M1894</f>
        <v>202.07328259239429</v>
      </c>
    </row>
    <row r="1907" spans="2:13" ht="15" customHeight="1" x14ac:dyDescent="0.2">
      <c r="B1907" s="10" t="s">
        <v>902</v>
      </c>
      <c r="C1907" s="10" t="s">
        <v>110</v>
      </c>
      <c r="D1907" s="16">
        <f>(D1902*Inputs!$D$19-D1903-D1904)/(Inputs!$D$7+$D$1920)^D1894</f>
        <v>-14027.24269342025</v>
      </c>
      <c r="E1907" s="16">
        <f>(E1902*Inputs!$D$19-E1903-E1904)/(Inputs!$D$7+$D$1920)^E1894</f>
        <v>-15853.087323826181</v>
      </c>
      <c r="F1907" s="16">
        <f>(F1902*Inputs!$D$19-F1903-F1904)/(Inputs!$D$7+$D$1920)^F1894</f>
        <v>-9394.4767487293357</v>
      </c>
      <c r="G1907" s="16">
        <f>(G1902*Inputs!$D$19-G1903-G1904)/(Inputs!$D$7+$D$1920)^G1894</f>
        <v>923.61320322684639</v>
      </c>
      <c r="H1907" s="16">
        <f>(H1902*Inputs!$D$19-H1903-H1904)/(Inputs!$D$7+$D$1920)^H1894</f>
        <v>-6972.3744918015345</v>
      </c>
      <c r="I1907" s="16">
        <f>(I1902*Inputs!$D$19-I1903-I1904)/(Inputs!$D$7+$D$1920)^I1894</f>
        <v>-9214.0648467907959</v>
      </c>
      <c r="J1907" s="16">
        <f>(J1902*Inputs!$D$19-J1903-J1904)/(Inputs!$D$7+$D$1920)^J1894</f>
        <v>-5761.5411965591911</v>
      </c>
      <c r="K1907" s="16">
        <f>(K1902*Inputs!$D$19-K1903-K1904)/(Inputs!$D$7+$D$1920)^K1894</f>
        <v>630.8402453567694</v>
      </c>
      <c r="L1907" s="16">
        <f>(L1902*Inputs!$D$19-L1903-L1904)/(Inputs!$D$7+$D$1920)^L1894</f>
        <v>-4762.2255937446444</v>
      </c>
      <c r="M1907" s="16">
        <f>(M1902*Inputs!$D$19-M1903-M1904)/(Inputs!$D$7+$D$1920)^M1894</f>
        <v>-6293.3302689644106</v>
      </c>
    </row>
    <row r="1908" spans="2:13" ht="15" customHeight="1" x14ac:dyDescent="0.2">
      <c r="B1908" s="10" t="s">
        <v>903</v>
      </c>
      <c r="C1908" s="10" t="s">
        <v>110</v>
      </c>
      <c r="D1908" s="16">
        <f t="shared" ref="D1908:M1908" si="415">D1901*$D$1918</f>
        <v>3885.8946225918421</v>
      </c>
      <c r="E1908" s="16">
        <f t="shared" si="415"/>
        <v>14805.645443260666</v>
      </c>
      <c r="F1908" s="16">
        <f t="shared" si="415"/>
        <v>24173.271687664357</v>
      </c>
      <c r="G1908" s="16">
        <f t="shared" si="415"/>
        <v>28187.968649551654</v>
      </c>
      <c r="H1908" s="16">
        <f t="shared" si="415"/>
        <v>28187.968649551654</v>
      </c>
      <c r="I1908" s="16">
        <f t="shared" si="415"/>
        <v>28187.968649551654</v>
      </c>
      <c r="J1908" s="16">
        <f t="shared" si="415"/>
        <v>28187.968649551654</v>
      </c>
      <c r="K1908" s="16">
        <f t="shared" si="415"/>
        <v>28187.968649551654</v>
      </c>
      <c r="L1908" s="16">
        <f t="shared" si="415"/>
        <v>28187.968649551654</v>
      </c>
      <c r="M1908" s="16">
        <f t="shared" si="415"/>
        <v>28187.968649551654</v>
      </c>
    </row>
    <row r="1909" spans="2:13" ht="15" customHeight="1" x14ac:dyDescent="0.2">
      <c r="B1909" s="10" t="s">
        <v>904</v>
      </c>
      <c r="C1909" s="10" t="s">
        <v>110</v>
      </c>
      <c r="D1909" s="16">
        <f t="shared" ref="D1909:M1909" si="416">D1908*$D$1919</f>
        <v>3108.715698073474</v>
      </c>
      <c r="E1909" s="16">
        <f t="shared" si="416"/>
        <v>11844.516354608533</v>
      </c>
      <c r="F1909" s="16">
        <f t="shared" si="416"/>
        <v>19338.617350131488</v>
      </c>
      <c r="G1909" s="16">
        <f t="shared" si="416"/>
        <v>22550.374919641326</v>
      </c>
      <c r="H1909" s="16">
        <f t="shared" si="416"/>
        <v>22550.374919641326</v>
      </c>
      <c r="I1909" s="16">
        <f t="shared" si="416"/>
        <v>22550.374919641326</v>
      </c>
      <c r="J1909" s="16">
        <f t="shared" si="416"/>
        <v>22550.374919641326</v>
      </c>
      <c r="K1909" s="16">
        <f t="shared" si="416"/>
        <v>22550.374919641326</v>
      </c>
      <c r="L1909" s="16">
        <f t="shared" si="416"/>
        <v>22550.374919641326</v>
      </c>
      <c r="M1909" s="16">
        <f t="shared" si="416"/>
        <v>22550.374919641326</v>
      </c>
    </row>
    <row r="1910" spans="2:13" ht="15" customHeight="1" x14ac:dyDescent="0.2">
      <c r="B1910" s="10" t="s">
        <v>905</v>
      </c>
      <c r="C1910" s="10" t="s">
        <v>110</v>
      </c>
      <c r="D1910" s="16">
        <f t="shared" ref="D1910:M1910" si="417">D1909-D1902</f>
        <v>1291.7384121410321</v>
      </c>
      <c r="E1910" s="16">
        <f t="shared" si="417"/>
        <v>4921.6519728588246</v>
      </c>
      <c r="F1910" s="16">
        <f t="shared" si="417"/>
        <v>8035.6125471179876</v>
      </c>
      <c r="G1910" s="16">
        <f t="shared" si="417"/>
        <v>9370.1670789433447</v>
      </c>
      <c r="H1910" s="16">
        <f t="shared" si="417"/>
        <v>9370.1670789433447</v>
      </c>
      <c r="I1910" s="16">
        <f t="shared" si="417"/>
        <v>9370.1670789433447</v>
      </c>
      <c r="J1910" s="16">
        <f t="shared" si="417"/>
        <v>9370.1670789433447</v>
      </c>
      <c r="K1910" s="16">
        <f t="shared" si="417"/>
        <v>9370.1670789433447</v>
      </c>
      <c r="L1910" s="16">
        <f t="shared" si="417"/>
        <v>9370.1670789433447</v>
      </c>
      <c r="M1910" s="16">
        <f t="shared" si="417"/>
        <v>9370.1670789433447</v>
      </c>
    </row>
    <row r="1911" spans="2:13" ht="15" customHeight="1" x14ac:dyDescent="0.2">
      <c r="B1911" s="10" t="s">
        <v>906</v>
      </c>
      <c r="C1911" s="10" t="s">
        <v>110</v>
      </c>
      <c r="D1911" s="16">
        <f>MAX(D1910,Inputs!$D$6)*Inputs!$D$19</f>
        <v>387.5215236423096</v>
      </c>
      <c r="E1911" s="16">
        <f>MAX(E1910,Inputs!$D$6)*Inputs!$D$19</f>
        <v>1476.4955918576472</v>
      </c>
      <c r="F1911" s="16">
        <f>MAX(F1910,Inputs!$D$6)*Inputs!$D$19</f>
        <v>2410.6837641353964</v>
      </c>
      <c r="G1911" s="16">
        <f>MAX(G1910,Inputs!$D$6)*Inputs!$D$19</f>
        <v>2811.0501236830032</v>
      </c>
      <c r="H1911" s="16">
        <f>MAX(H1910,Inputs!$D$6)*Inputs!$D$19</f>
        <v>2811.0501236830032</v>
      </c>
      <c r="I1911" s="16">
        <f>MAX(I1910,Inputs!$D$6)*Inputs!$D$19</f>
        <v>2811.0501236830032</v>
      </c>
      <c r="J1911" s="16">
        <f>MAX(J1910,Inputs!$D$6)*Inputs!$D$19</f>
        <v>2811.0501236830032</v>
      </c>
      <c r="K1911" s="16">
        <f>MAX(K1910,Inputs!$D$6)*Inputs!$D$19</f>
        <v>2811.0501236830032</v>
      </c>
      <c r="L1911" s="16">
        <f>MAX(L1910,Inputs!$D$6)*Inputs!$D$19</f>
        <v>2811.0501236830032</v>
      </c>
      <c r="M1911" s="16">
        <f>MAX(M1910,Inputs!$D$6)*Inputs!$D$19</f>
        <v>2811.0501236830032</v>
      </c>
    </row>
    <row r="1912" spans="2:13" ht="15" customHeight="1" x14ac:dyDescent="0.2">
      <c r="B1912" s="10" t="s">
        <v>907</v>
      </c>
      <c r="C1912" s="10" t="s">
        <v>110</v>
      </c>
      <c r="D1912" s="16">
        <f t="shared" ref="D1912:M1912" si="418">D1905*$D$1918</f>
        <v>200.73484809436485</v>
      </c>
      <c r="E1912" s="16">
        <f t="shared" si="418"/>
        <v>267.64646412581976</v>
      </c>
      <c r="F1912" s="16">
        <f t="shared" si="418"/>
        <v>200.73484809436485</v>
      </c>
      <c r="G1912" s="16">
        <f t="shared" si="418"/>
        <v>0</v>
      </c>
      <c r="H1912" s="16">
        <f t="shared" si="418"/>
        <v>0</v>
      </c>
      <c r="I1912" s="16">
        <f t="shared" si="418"/>
        <v>0</v>
      </c>
      <c r="J1912" s="16">
        <f t="shared" si="418"/>
        <v>0</v>
      </c>
      <c r="K1912" s="16">
        <f t="shared" si="418"/>
        <v>0</v>
      </c>
      <c r="L1912" s="16">
        <f t="shared" si="418"/>
        <v>0</v>
      </c>
      <c r="M1912" s="16">
        <f t="shared" si="418"/>
        <v>0</v>
      </c>
    </row>
    <row r="1913" spans="2:13" ht="15" customHeight="1" x14ac:dyDescent="0.2">
      <c r="B1913" s="10" t="s">
        <v>908</v>
      </c>
      <c r="C1913" s="10" t="s">
        <v>110</v>
      </c>
      <c r="D1913" s="16">
        <f t="shared" ref="D1913:M1913" si="419">D1909-D1911-D1903-D1904-D1912</f>
        <v>-13040.509293809355</v>
      </c>
      <c r="E1913" s="16">
        <f t="shared" si="419"/>
        <v>-10647.583861569803</v>
      </c>
      <c r="F1913" s="16">
        <f t="shared" si="419"/>
        <v>1166.2301177555735</v>
      </c>
      <c r="G1913" s="16">
        <f t="shared" si="419"/>
        <v>17101.319947391152</v>
      </c>
      <c r="H1913" s="16">
        <f t="shared" si="419"/>
        <v>4857.5365741500427</v>
      </c>
      <c r="I1913" s="16">
        <f t="shared" si="419"/>
        <v>-103.05949978605349</v>
      </c>
      <c r="J1913" s="16">
        <f t="shared" si="419"/>
        <v>4857.5365741500427</v>
      </c>
      <c r="K1913" s="16">
        <f t="shared" si="419"/>
        <v>17101.319947391152</v>
      </c>
      <c r="L1913" s="16">
        <f t="shared" si="419"/>
        <v>4857.5365741500427</v>
      </c>
      <c r="M1913" s="16">
        <f t="shared" si="419"/>
        <v>-103.05949978605349</v>
      </c>
    </row>
    <row r="1914" spans="2:13" ht="15" customHeight="1" x14ac:dyDescent="0.2">
      <c r="B1914" s="10" t="s">
        <v>909</v>
      </c>
      <c r="C1914" s="10" t="s">
        <v>110</v>
      </c>
      <c r="D1914" s="16">
        <f>D1913/(Inputs!$D$7+$D$1920)^D1894</f>
        <v>-12181.933015468196</v>
      </c>
      <c r="E1914" s="16">
        <f>E1913/(Inputs!$D$7+$D$1920)^E1894</f>
        <v>-9040.5539674154988</v>
      </c>
      <c r="F1914" s="16">
        <f>F1913/(Inputs!$D$7+$D$1920)^F1894</f>
        <v>900.25154040315715</v>
      </c>
      <c r="G1914" s="16">
        <f>G1913/(Inputs!$D$7+$D$1920)^G1894</f>
        <v>12001.758929457128</v>
      </c>
      <c r="H1914" s="16">
        <f>H1913/(Inputs!$D$7+$D$1920)^H1894</f>
        <v>3099.3240960426792</v>
      </c>
      <c r="I1914" s="16">
        <f>I1913/(Inputs!$D$7+$D$1920)^I1894</f>
        <v>-59.766973345659927</v>
      </c>
      <c r="J1914" s="16">
        <f>J1913/(Inputs!$D$7+$D$1920)^J1894</f>
        <v>2561.0906989914961</v>
      </c>
      <c r="K1914" s="16">
        <f>K1913/(Inputs!$D$7+$D$1920)^K1894</f>
        <v>8197.3628368671016</v>
      </c>
      <c r="L1914" s="16">
        <f>L1913/(Inputs!$D$7+$D$1920)^L1894</f>
        <v>2116.8800601343341</v>
      </c>
      <c r="M1914" s="16">
        <f>M1913/(Inputs!$D$7+$D$1920)^M1894</f>
        <v>-40.821646981531259</v>
      </c>
    </row>
    <row r="1915" spans="2:13" ht="15" customHeight="1" x14ac:dyDescent="0.2">
      <c r="B1915" s="3" t="s">
        <v>910</v>
      </c>
      <c r="C1915" s="10" t="s">
        <v>896</v>
      </c>
      <c r="D1915" s="28">
        <f>(D1901*$D$1919-D1905)/(Inputs!$D$7+$D$1920)^D1894</f>
        <v>87.794597783729941</v>
      </c>
      <c r="E1915" s="28">
        <f>(E1901*$D$1919-E1905)/(Inputs!$D$7+$D$1920)^E1894</f>
        <v>317.67988971817448</v>
      </c>
      <c r="F1915" s="28">
        <f>(F1901*$D$1919-F1905)/(Inputs!$D$7+$D$1920)^F1894</f>
        <v>477.45022393625862</v>
      </c>
      <c r="G1915" s="28">
        <f>(G1901*$D$1919-G1905)/(Inputs!$D$7+$D$1920)^G1894</f>
        <v>511.4740812227605</v>
      </c>
      <c r="H1915" s="28">
        <f>(H1901*$D$1919-H1905)/(Inputs!$D$7+$D$1920)^H1894</f>
        <v>465.00677178969892</v>
      </c>
      <c r="I1915" s="28">
        <f>(I1901*$D$1919-I1905)/(Inputs!$D$7+$D$1920)^I1894</f>
        <v>422.6507043478922</v>
      </c>
      <c r="J1915" s="28">
        <f>(J1901*$D$1919-J1905)/(Inputs!$D$7+$D$1920)^J1894</f>
        <v>384.25297945422085</v>
      </c>
      <c r="K1915" s="28">
        <f>(K1901*$D$1919-K1905)/(Inputs!$D$7+$D$1920)^K1894</f>
        <v>349.34367954563231</v>
      </c>
      <c r="L1915" s="28">
        <f>(L1901*$D$1919-L1905)/(Inputs!$D$7+$D$1920)^L1894</f>
        <v>317.60588196823909</v>
      </c>
      <c r="M1915" s="28">
        <f>(M1901*$D$1919-M1905)/(Inputs!$D$7+$D$1920)^M1894</f>
        <v>288.6761179891347</v>
      </c>
    </row>
    <row r="1916" spans="2:13" ht="15" customHeight="1" x14ac:dyDescent="0.2">
      <c r="B1916" s="10" t="s">
        <v>911</v>
      </c>
      <c r="C1916" s="10" t="s">
        <v>110</v>
      </c>
      <c r="D1916" s="16">
        <f>(-D1903-D1904)/(Inputs!$D$7+$D$1920)^D1894</f>
        <v>-14536.447397527105</v>
      </c>
      <c r="E1916" s="16">
        <f>(-E1903-E1904)/(Inputs!$D$7+$D$1920)^E1894</f>
        <v>-17616.488200475756</v>
      </c>
      <c r="F1916" s="16">
        <f>(-F1903-F1904)/(Inputs!$D$7+$D$1920)^F1894</f>
        <v>-12012.025548964448</v>
      </c>
      <c r="G1916" s="16">
        <f>(-G1903-G1904)/(Inputs!$D$7+$D$1920)^G1894</f>
        <v>-1851.359915178487</v>
      </c>
      <c r="H1916" s="16">
        <f>(-H1903-H1904)/(Inputs!$D$7+$D$1920)^H1894</f>
        <v>-9495.2419037884629</v>
      </c>
      <c r="I1916" s="16">
        <f>(-I1903-I1904)/(Inputs!$D$7+$D$1920)^I1894</f>
        <v>-11507.131858586603</v>
      </c>
      <c r="J1916" s="16">
        <f>(-J1903-J1904)/(Inputs!$D$7+$D$1920)^J1894</f>
        <v>-7846.2835672839774</v>
      </c>
      <c r="K1916" s="16">
        <f>(-K1903-K1904)/(Inputs!$D$7+$D$1920)^K1894</f>
        <v>-1264.5037327904422</v>
      </c>
      <c r="L1916" s="16">
        <f>(-L1903-L1904)/(Inputs!$D$7+$D$1920)^L1894</f>
        <v>-6485.3779822337692</v>
      </c>
      <c r="M1916" s="16">
        <f>(-M1903-M1904)/(Inputs!$D$7+$D$1920)^M1894</f>
        <v>-7859.5258920747219</v>
      </c>
    </row>
    <row r="1917" spans="2:13" ht="15" customHeight="1" x14ac:dyDescent="0.2">
      <c r="B1917" s="10" t="s">
        <v>912</v>
      </c>
      <c r="C1917" s="10" t="s">
        <v>110</v>
      </c>
      <c r="D1917" s="16">
        <f>Prices!I7</f>
        <v>35754.545454545456</v>
      </c>
    </row>
    <row r="1918" spans="2:13" ht="15" customHeight="1" x14ac:dyDescent="0.2">
      <c r="B1918" s="3" t="s">
        <v>913</v>
      </c>
      <c r="C1918" s="10" t="s">
        <v>914</v>
      </c>
      <c r="D1918" s="28">
        <f>IF(J1925&gt;=J1921,J1925,(D1917-J1924)/J1923)</f>
        <v>30.941787760210378</v>
      </c>
      <c r="G1918" s="99" t="s">
        <v>915</v>
      </c>
      <c r="H1918" s="91"/>
      <c r="I1918" s="91"/>
      <c r="J1918" s="28">
        <f>D1918*Inputs!$D$15</f>
        <v>21.594273677850822</v>
      </c>
      <c r="K1918" s="99" t="s">
        <v>916</v>
      </c>
      <c r="L1918" s="91"/>
      <c r="M1918" s="91"/>
    </row>
    <row r="1919" spans="2:13" ht="15" customHeight="1" x14ac:dyDescent="0.2">
      <c r="B1919" s="10" t="s">
        <v>917</v>
      </c>
      <c r="C1919" s="10" t="s">
        <v>104</v>
      </c>
      <c r="D1919" s="30">
        <f>Inputs!$D$144</f>
        <v>0.8</v>
      </c>
      <c r="G1919" s="99" t="s">
        <v>918</v>
      </c>
      <c r="H1919" s="91"/>
      <c r="I1919" s="91"/>
      <c r="J1919" s="28">
        <f>IF(-D1930/D1929&gt;=J1921,-D1930/D1929,-J1924/J1923)</f>
        <v>24.180966914247158</v>
      </c>
      <c r="K1919" s="99" t="s">
        <v>919</v>
      </c>
      <c r="L1919" s="91"/>
      <c r="M1919" s="91"/>
    </row>
    <row r="1920" spans="2:13" ht="15" customHeight="1" x14ac:dyDescent="0.2">
      <c r="B1920" s="10" t="s">
        <v>920</v>
      </c>
      <c r="C1920" s="10" t="s">
        <v>104</v>
      </c>
      <c r="D1920" s="30">
        <f>Inputs!$D$147</f>
        <v>0.1</v>
      </c>
      <c r="G1920" s="99" t="s">
        <v>918</v>
      </c>
      <c r="H1920" s="91"/>
      <c r="I1920" s="91"/>
      <c r="J1920" s="28">
        <f>J1919*Inputs!$D$15</f>
        <v>16.875896809453092</v>
      </c>
      <c r="K1920" s="99" t="s">
        <v>916</v>
      </c>
      <c r="L1920" s="91"/>
      <c r="M1920" s="91"/>
    </row>
    <row r="1921" spans="2:13" ht="15" customHeight="1" x14ac:dyDescent="0.2">
      <c r="B1921" s="3" t="s">
        <v>921</v>
      </c>
      <c r="C1921" s="10" t="s">
        <v>848</v>
      </c>
      <c r="D1921" s="28">
        <f>Capital!$D$13</f>
        <v>57.347931490590682</v>
      </c>
      <c r="G1921" s="99" t="s">
        <v>922</v>
      </c>
      <c r="H1921" s="91"/>
      <c r="I1921" s="91"/>
      <c r="J1921" s="28">
        <f>($D$1921/Inputs!$D$21+$D$1922/Inputs!$D$22)/$D$1919</f>
        <v>18.084807684821598</v>
      </c>
      <c r="K1921" s="99" t="s">
        <v>919</v>
      </c>
      <c r="L1921" s="91"/>
      <c r="M1921" s="91"/>
    </row>
    <row r="1922" spans="2:13" ht="15" customHeight="1" x14ac:dyDescent="0.2">
      <c r="B1922" s="3" t="s">
        <v>923</v>
      </c>
      <c r="C1922" s="10" t="s">
        <v>848</v>
      </c>
      <c r="D1922" s="28">
        <f>Capital!$D$14</f>
        <v>2.6172655041921802</v>
      </c>
    </row>
    <row r="1923" spans="2:13" ht="15" customHeight="1" x14ac:dyDescent="0.2">
      <c r="B1923" s="10" t="s">
        <v>924</v>
      </c>
      <c r="C1923" s="10" t="s">
        <v>896</v>
      </c>
      <c r="D1923" s="28">
        <f>(M1896*(Inputs!$D$7+Inputs!$D$20)*$D$1919*(Inputs!$D$7-Inputs!$D$19)-M1896*Inputs!$D$20*Inputs!$D$23)/($D$1920-Inputs!$D$20)/(Inputs!$D$7+$D$1920)^M1894</f>
        <v>2758.661152533668</v>
      </c>
      <c r="G1923" s="92" t="s">
        <v>910</v>
      </c>
      <c r="H1923" s="91"/>
      <c r="I1923" s="91"/>
      <c r="J1923" s="28">
        <f>SUM(D1915:M1915)+(M1896*(Inputs!$D$7+Inputs!$D$20)*$D$1919-M1896*Inputs!$D$20*Inputs!$D$23)/($D$1920-Inputs!$D$20)/(Inputs!$D$7+$D$1920)^M1894</f>
        <v>7564.1681640448605</v>
      </c>
      <c r="K1923" s="99" t="s">
        <v>896</v>
      </c>
      <c r="L1923" s="91"/>
      <c r="M1923" s="91"/>
    </row>
    <row r="1924" spans="2:13" ht="15" customHeight="1" x14ac:dyDescent="0.2">
      <c r="B1924" s="10" t="s">
        <v>925</v>
      </c>
      <c r="C1924" s="10" t="s">
        <v>110</v>
      </c>
      <c r="D1924" s="16">
        <f>(D1927*Inputs!$D$19-D1927-D1928)/($D$1920-Inputs!$D$20)/(Inputs!$D$7+$D$1920)^M1894</f>
        <v>-57156.954988173631</v>
      </c>
      <c r="G1924" s="92" t="s">
        <v>926</v>
      </c>
      <c r="H1924" s="91"/>
      <c r="I1924" s="91"/>
      <c r="J1924" s="16">
        <f>SUM(D1916:M1916)-(D1927+D1928)/($D$1920-Inputs!$D$20)/(Inputs!$D$7+$D$1920)^M1894</f>
        <v>-169036.01450291832</v>
      </c>
      <c r="K1924" s="99" t="s">
        <v>110</v>
      </c>
      <c r="L1924" s="91"/>
      <c r="M1924" s="91"/>
    </row>
    <row r="1925" spans="2:13" ht="15" customHeight="1" x14ac:dyDescent="0.2">
      <c r="B1925" s="10" t="s">
        <v>927</v>
      </c>
      <c r="C1925" s="10" t="s">
        <v>928</v>
      </c>
      <c r="D1925" s="16">
        <f>(M1896*(Inputs!$D$7+Inputs!$D$20)*$D$1918*$D$1919-D1927)-MAX((M1896*(Inputs!$D$7+Inputs!$D$20)*$D$1918*$D$1919-D1927),Inputs!$D$6)*Inputs!$D$19-D1928-M1896*Inputs!$D$20*$D$1918*Inputs!$D$23</f>
        <v>5339.7700371796982</v>
      </c>
      <c r="G1925" s="99" t="s">
        <v>929</v>
      </c>
      <c r="H1925" s="91"/>
      <c r="I1925" s="91"/>
      <c r="J1925" s="28">
        <f>(D1917-D1930)/D1929</f>
        <v>30.941787760210378</v>
      </c>
      <c r="K1925" s="99" t="s">
        <v>919</v>
      </c>
      <c r="L1925" s="91"/>
      <c r="M1925" s="91"/>
    </row>
    <row r="1926" spans="2:13" ht="15" customHeight="1" x14ac:dyDescent="0.2">
      <c r="B1926" s="10" t="s">
        <v>930</v>
      </c>
      <c r="C1926" s="10" t="s">
        <v>110</v>
      </c>
      <c r="D1926" s="16">
        <f>D1925/($D$1920-Inputs!$D$20)</f>
        <v>71196.933829062633</v>
      </c>
      <c r="G1926" s="99" t="s">
        <v>931</v>
      </c>
      <c r="H1926" s="91"/>
      <c r="I1926" s="91"/>
      <c r="J1926" s="16">
        <f>MIN(D1910:M1910,(M1896*(Inputs!$D$7+Inputs!$D$20)*$D$1918*$D$1919-D1927))</f>
        <v>1291.7384121410321</v>
      </c>
      <c r="K1926" s="99" t="s">
        <v>110</v>
      </c>
      <c r="L1926" s="91"/>
      <c r="M1926" s="91"/>
    </row>
    <row r="1927" spans="2:13" ht="15" customHeight="1" x14ac:dyDescent="0.2">
      <c r="B1927" s="10" t="s">
        <v>932</v>
      </c>
      <c r="C1927" s="10" t="s">
        <v>928</v>
      </c>
      <c r="D1927" s="16">
        <f>M1896*(Inputs!$D$7+Inputs!$D$20)*($D$1921/Inputs!$D$21+$D$1922/Inputs!$D$22)</f>
        <v>13509.71303671543</v>
      </c>
      <c r="G1927" s="99" t="s">
        <v>933</v>
      </c>
      <c r="H1927" s="91"/>
      <c r="I1927" s="91"/>
      <c r="J1927" s="31" t="str">
        <f>IF(J1926&lt;Inputs!$D$6,"breached","satisfied")</f>
        <v>satisfied</v>
      </c>
      <c r="K1927" s="99" t="s">
        <v>934</v>
      </c>
      <c r="L1927" s="91"/>
      <c r="M1927" s="91"/>
    </row>
    <row r="1928" spans="2:13" ht="15" customHeight="1" x14ac:dyDescent="0.2">
      <c r="B1928" s="10" t="s">
        <v>935</v>
      </c>
      <c r="C1928" s="10" t="s">
        <v>928</v>
      </c>
      <c r="D1928" s="16">
        <f>M1896*Inputs!$D$20*($D$1921+$D$1922)</f>
        <v>1365.7073615561799</v>
      </c>
    </row>
    <row r="1929" spans="2:13" ht="15" customHeight="1" x14ac:dyDescent="0.2">
      <c r="B1929" s="10" t="s">
        <v>936</v>
      </c>
      <c r="C1929" s="10" t="s">
        <v>896</v>
      </c>
      <c r="D1929" s="28">
        <f>SUM(D1906:M1906)+D1923</f>
        <v>5288.4917777245864</v>
      </c>
      <c r="G1929" s="99" t="s">
        <v>937</v>
      </c>
      <c r="H1929" s="91"/>
      <c r="I1929" s="91"/>
      <c r="J1929" s="16">
        <f>D1931-D1917</f>
        <v>0</v>
      </c>
      <c r="K1929" s="99" t="s">
        <v>110</v>
      </c>
      <c r="L1929" s="91"/>
      <c r="M1929" s="91"/>
    </row>
    <row r="1930" spans="2:13" ht="15" customHeight="1" x14ac:dyDescent="0.2">
      <c r="B1930" s="10" t="s">
        <v>938</v>
      </c>
      <c r="C1930" s="10" t="s">
        <v>110</v>
      </c>
      <c r="D1930" s="16">
        <f>SUM(D1907:M1907)+D1924</f>
        <v>-127880.84470342637</v>
      </c>
    </row>
    <row r="1931" spans="2:13" ht="15" customHeight="1" x14ac:dyDescent="0.2">
      <c r="B1931" s="10" t="s">
        <v>939</v>
      </c>
      <c r="C1931" s="10" t="s">
        <v>110</v>
      </c>
      <c r="D1931" s="16">
        <f>SUM(D1914:M1914)+D1926/(Inputs!$D$7+$D$1920)^M1894</f>
        <v>35754.545454545463</v>
      </c>
    </row>
    <row r="1932" spans="2:13" ht="15" customHeight="1" x14ac:dyDescent="0.2">
      <c r="B1932" s="10" t="s">
        <v>940</v>
      </c>
      <c r="C1932" s="10" t="s">
        <v>104</v>
      </c>
      <c r="D1932" s="30">
        <f>IF(ABS(D1917)&gt;Inputs!$D$6,D1931/D1917-Inputs!$D$7,Inputs!$D$6)</f>
        <v>2.2204460492503131E-16</v>
      </c>
    </row>
    <row r="1933" spans="2:13" ht="15" customHeight="1" x14ac:dyDescent="0.2">
      <c r="B1933" s="10" t="s">
        <v>941</v>
      </c>
      <c r="C1933" s="10" t="s">
        <v>104</v>
      </c>
      <c r="D1933" s="30">
        <f>IF(ABS(D1931)&gt;Inputs!$D$119,D1926/(Inputs!$D$7+$D$1920)^M1894/D1931,Inputs!$D$6)</f>
        <v>0.7887375587451434</v>
      </c>
    </row>
    <row r="1934" spans="2:13" ht="15" customHeight="1" x14ac:dyDescent="0.2">
      <c r="B1934" s="10" t="s">
        <v>942</v>
      </c>
      <c r="C1934" s="10" t="s">
        <v>943</v>
      </c>
      <c r="D1934" s="26">
        <f>$D$1918*Inputs!$D$8/Prices!$P$6/(Inputs!$D$26/Inputs!$D$25)/Inputs!$D$11/Inputs!$D$56</f>
        <v>5.6268580905656549</v>
      </c>
    </row>
    <row r="1938" spans="1:13" ht="15" customHeight="1" x14ac:dyDescent="0.2">
      <c r="A1938" s="104" t="s">
        <v>2207</v>
      </c>
      <c r="B1938" s="10" t="s">
        <v>886</v>
      </c>
      <c r="C1938" s="10" t="s">
        <v>107</v>
      </c>
      <c r="D1938" s="28">
        <f>Inputs!$D$60</f>
        <v>1</v>
      </c>
      <c r="E1938" s="28">
        <f>Inputs!$D$62</f>
        <v>2</v>
      </c>
      <c r="F1938" s="28">
        <f>Inputs!$D$64</f>
        <v>3</v>
      </c>
      <c r="G1938" s="28">
        <f>Inputs!$D$66</f>
        <v>4</v>
      </c>
      <c r="H1938" s="28">
        <f>Inputs!$D$68</f>
        <v>5</v>
      </c>
      <c r="I1938" s="28">
        <f>Inputs!$D$70</f>
        <v>6</v>
      </c>
      <c r="J1938" s="28">
        <f>Inputs!$D$72</f>
        <v>7</v>
      </c>
      <c r="K1938" s="28">
        <f>Inputs!$D$74</f>
        <v>8</v>
      </c>
      <c r="L1938" s="28">
        <f>Inputs!$D$76</f>
        <v>9</v>
      </c>
      <c r="M1938" s="28">
        <f>Inputs!$D$78</f>
        <v>10</v>
      </c>
    </row>
    <row r="1939" spans="1:13" ht="15" customHeight="1" x14ac:dyDescent="0.2">
      <c r="A1939" s="91"/>
      <c r="B1939" s="10" t="s">
        <v>887</v>
      </c>
      <c r="C1939" s="10" t="s">
        <v>161</v>
      </c>
      <c r="D1939" s="29">
        <f>Inputs!$D$61</f>
        <v>46568</v>
      </c>
      <c r="E1939" s="29">
        <f>Inputs!$D$63</f>
        <v>46934</v>
      </c>
      <c r="F1939" s="29">
        <f>Inputs!$D$65</f>
        <v>47299</v>
      </c>
      <c r="G1939" s="29">
        <f>Inputs!$D$67</f>
        <v>47664</v>
      </c>
      <c r="H1939" s="29">
        <f>Inputs!$D$69</f>
        <v>48029</v>
      </c>
      <c r="I1939" s="29">
        <f>Inputs!$D$71</f>
        <v>48395</v>
      </c>
      <c r="J1939" s="29">
        <f>Inputs!$D$73</f>
        <v>48760</v>
      </c>
      <c r="K1939" s="29">
        <f>Inputs!$D$75</f>
        <v>49125</v>
      </c>
      <c r="L1939" s="29">
        <f>Inputs!$D$77</f>
        <v>49490</v>
      </c>
      <c r="M1939" s="29">
        <f>Inputs!$D$79</f>
        <v>49856</v>
      </c>
    </row>
    <row r="1940" spans="1:13" ht="15" customHeight="1" x14ac:dyDescent="0.2">
      <c r="A1940" s="91"/>
      <c r="B1940" s="10" t="s">
        <v>888</v>
      </c>
      <c r="C1940" s="10" t="s">
        <v>107</v>
      </c>
      <c r="D1940" s="28">
        <f>(D1939-Inputs!$D$13)/Inputs!$D$10</f>
        <v>0.71457905544147848</v>
      </c>
      <c r="E1940" s="28">
        <f>(E1939-Inputs!$D$13)/Inputs!$D$10</f>
        <v>1.7166324435318274</v>
      </c>
      <c r="F1940" s="28">
        <f>(F1939-Inputs!$D$13)/Inputs!$D$10</f>
        <v>2.7159479808350446</v>
      </c>
      <c r="G1940" s="28">
        <f>(G1939-Inputs!$D$13)/Inputs!$D$10</f>
        <v>3.7152635181382614</v>
      </c>
      <c r="H1940" s="28">
        <f>(H1939-Inputs!$D$13)/Inputs!$D$10</f>
        <v>4.7145790554414786</v>
      </c>
      <c r="I1940" s="28">
        <f>(I1939-Inputs!$D$13)/Inputs!$D$10</f>
        <v>5.7166324435318279</v>
      </c>
      <c r="J1940" s="28">
        <f>(J1939-Inputs!$D$13)/Inputs!$D$10</f>
        <v>6.7159479808350442</v>
      </c>
      <c r="K1940" s="28">
        <f>(K1939-Inputs!$D$13)/Inputs!$D$10</f>
        <v>7.7152635181382614</v>
      </c>
      <c r="L1940" s="28">
        <f>(L1939-Inputs!$D$13)/Inputs!$D$10</f>
        <v>8.7145790554414777</v>
      </c>
      <c r="M1940" s="28">
        <f>(M1939-Inputs!$D$13)/Inputs!$D$10</f>
        <v>9.716632443531827</v>
      </c>
    </row>
    <row r="1941" spans="1:13" ht="15" customHeight="1" x14ac:dyDescent="0.2">
      <c r="A1941" s="91"/>
      <c r="B1941" s="10" t="s">
        <v>889</v>
      </c>
      <c r="C1941" s="10" t="s">
        <v>107</v>
      </c>
      <c r="D1941" s="28">
        <f>D1940</f>
        <v>0.71457905544147848</v>
      </c>
      <c r="E1941" s="28">
        <f>Inputs!$D$7</f>
        <v>1</v>
      </c>
      <c r="F1941" s="28">
        <f>Inputs!$D$7</f>
        <v>1</v>
      </c>
      <c r="G1941" s="28">
        <f>Inputs!$D$7</f>
        <v>1</v>
      </c>
      <c r="H1941" s="28">
        <f>Inputs!$D$7</f>
        <v>1</v>
      </c>
      <c r="I1941" s="28">
        <f>Inputs!$D$7</f>
        <v>1</v>
      </c>
      <c r="J1941" s="28">
        <f>Inputs!$D$7</f>
        <v>1</v>
      </c>
      <c r="K1941" s="28">
        <f>Inputs!$D$7</f>
        <v>1</v>
      </c>
      <c r="L1941" s="28">
        <f>Inputs!$D$7</f>
        <v>1</v>
      </c>
      <c r="M1941" s="28">
        <f>Inputs!$D$7</f>
        <v>1</v>
      </c>
    </row>
    <row r="1942" spans="1:13" ht="15" customHeight="1" x14ac:dyDescent="0.2">
      <c r="A1942" s="91"/>
      <c r="B1942" s="3" t="s">
        <v>890</v>
      </c>
      <c r="C1942" s="10" t="s">
        <v>199</v>
      </c>
      <c r="D1942" s="28">
        <f>Inputs!$D$24+(Inputs!$D$80-Inputs!$D$24)*Inputs!$D$83</f>
        <v>305.5</v>
      </c>
      <c r="E1942" s="28">
        <f>Inputs!$D$24+(Inputs!$D$80-Inputs!$D$24)*Inputs!$D$84</f>
        <v>651.5</v>
      </c>
      <c r="F1942" s="28">
        <f>Inputs!$D$24+(Inputs!$D$80-Inputs!$D$24)*Inputs!$D$85</f>
        <v>911</v>
      </c>
      <c r="G1942" s="28">
        <f>Inputs!$D$24+(Inputs!$D$80-Inputs!$D$24)*Inputs!$D$86</f>
        <v>911</v>
      </c>
      <c r="H1942" s="28">
        <f>Inputs!$D$24+(Inputs!$D$80-Inputs!$D$24)*Inputs!$D$87</f>
        <v>911</v>
      </c>
      <c r="I1942" s="28">
        <f>Inputs!$D$24+(Inputs!$D$80-Inputs!$D$24)*Inputs!$D$88</f>
        <v>911</v>
      </c>
      <c r="J1942" s="28">
        <f>Inputs!$D$24+(Inputs!$D$80-Inputs!$D$24)*Inputs!$D$89</f>
        <v>911</v>
      </c>
      <c r="K1942" s="28">
        <f>Inputs!$D$24+(Inputs!$D$80-Inputs!$D$24)*Inputs!$D$90</f>
        <v>911</v>
      </c>
      <c r="L1942" s="28">
        <f>Inputs!$D$24+(Inputs!$D$80-Inputs!$D$24)*Inputs!$D$91</f>
        <v>911</v>
      </c>
      <c r="M1942" s="28">
        <f>Inputs!$D$24+(Inputs!$D$80-Inputs!$D$24)*Inputs!$D$92</f>
        <v>911</v>
      </c>
    </row>
    <row r="1943" spans="1:13" ht="15" customHeight="1" x14ac:dyDescent="0.2">
      <c r="A1943" s="91"/>
      <c r="B1943" s="10" t="s">
        <v>891</v>
      </c>
      <c r="C1943" s="10" t="s">
        <v>199</v>
      </c>
      <c r="D1943" s="28">
        <f>Inputs!$D$24</f>
        <v>46</v>
      </c>
      <c r="E1943" s="28">
        <f t="shared" ref="E1943:M1943" si="420">D1942</f>
        <v>305.5</v>
      </c>
      <c r="F1943" s="28">
        <f t="shared" si="420"/>
        <v>651.5</v>
      </c>
      <c r="G1943" s="28">
        <f t="shared" si="420"/>
        <v>911</v>
      </c>
      <c r="H1943" s="28">
        <f t="shared" si="420"/>
        <v>911</v>
      </c>
      <c r="I1943" s="28">
        <f t="shared" si="420"/>
        <v>911</v>
      </c>
      <c r="J1943" s="28">
        <f t="shared" si="420"/>
        <v>911</v>
      </c>
      <c r="K1943" s="28">
        <f t="shared" si="420"/>
        <v>911</v>
      </c>
      <c r="L1943" s="28">
        <f t="shared" si="420"/>
        <v>911</v>
      </c>
      <c r="M1943" s="28">
        <f t="shared" si="420"/>
        <v>911</v>
      </c>
    </row>
    <row r="1944" spans="1:13" ht="15" customHeight="1" x14ac:dyDescent="0.2">
      <c r="B1944" s="10" t="s">
        <v>892</v>
      </c>
      <c r="C1944" s="10" t="s">
        <v>199</v>
      </c>
      <c r="D1944" s="28">
        <f>(D1943+D1942)*Inputs!$D$12</f>
        <v>175.75</v>
      </c>
      <c r="E1944" s="28">
        <f>(E1943+E1942)*Inputs!$D$12</f>
        <v>478.5</v>
      </c>
      <c r="F1944" s="28">
        <f>(F1943+F1942)*Inputs!$D$12</f>
        <v>781.25</v>
      </c>
      <c r="G1944" s="28">
        <f>(G1943+G1942)*Inputs!$D$12</f>
        <v>911</v>
      </c>
      <c r="H1944" s="28">
        <f>(H1943+H1942)*Inputs!$D$12</f>
        <v>911</v>
      </c>
      <c r="I1944" s="28">
        <f>(I1943+I1942)*Inputs!$D$12</f>
        <v>911</v>
      </c>
      <c r="J1944" s="28">
        <f>(J1943+J1942)*Inputs!$D$12</f>
        <v>911</v>
      </c>
      <c r="K1944" s="28">
        <f>(K1943+K1942)*Inputs!$D$12</f>
        <v>911</v>
      </c>
      <c r="L1944" s="28">
        <f>(L1943+L1942)*Inputs!$D$12</f>
        <v>911</v>
      </c>
      <c r="M1944" s="28">
        <f>(M1943+M1942)*Inputs!$D$12</f>
        <v>911</v>
      </c>
    </row>
    <row r="1945" spans="1:13" ht="15" customHeight="1" x14ac:dyDescent="0.2">
      <c r="B1945" s="10" t="s">
        <v>893</v>
      </c>
      <c r="C1945" s="10" t="s">
        <v>199</v>
      </c>
      <c r="D1945" s="28">
        <f t="shared" ref="D1945:M1945" si="421">D1942-D1943</f>
        <v>259.5</v>
      </c>
      <c r="E1945" s="28">
        <f t="shared" si="421"/>
        <v>346</v>
      </c>
      <c r="F1945" s="28">
        <f t="shared" si="421"/>
        <v>259.5</v>
      </c>
      <c r="G1945" s="28">
        <f t="shared" si="421"/>
        <v>0</v>
      </c>
      <c r="H1945" s="28">
        <f t="shared" si="421"/>
        <v>0</v>
      </c>
      <c r="I1945" s="28">
        <f t="shared" si="421"/>
        <v>0</v>
      </c>
      <c r="J1945" s="28">
        <f t="shared" si="421"/>
        <v>0</v>
      </c>
      <c r="K1945" s="28">
        <f t="shared" si="421"/>
        <v>0</v>
      </c>
      <c r="L1945" s="28">
        <f t="shared" si="421"/>
        <v>0</v>
      </c>
      <c r="M1945" s="28">
        <f t="shared" si="421"/>
        <v>0</v>
      </c>
    </row>
    <row r="1946" spans="1:13" ht="15" customHeight="1" x14ac:dyDescent="0.2">
      <c r="B1946" s="10" t="s">
        <v>894</v>
      </c>
      <c r="C1946" s="10" t="s">
        <v>199</v>
      </c>
      <c r="D1946" s="28">
        <f>IF(MOD(D1938,Inputs!$D$21)=Inputs!$D$6,Inputs!$D$24,Inputs!$D$6)+SUMPRODUCT(--(D1938&gt;$D$1938:$M$1938),--(MOD(D1938-$D$1938:$M$1938,Inputs!$D$21)=Inputs!$D$6),$D$1945:$M$1945)</f>
        <v>0</v>
      </c>
      <c r="E1946" s="28">
        <f>IF(MOD(E1938,Inputs!$D$21)=Inputs!$D$6,Inputs!$D$24,Inputs!$D$6)+SUMPRODUCT(--(E1938&gt;$D$1938:$M$1938),--(MOD(E1938-$D$1938:$M$1938,Inputs!$D$21)=Inputs!$D$6),$D$1945:$M$1945)</f>
        <v>0</v>
      </c>
      <c r="F1946" s="28">
        <f>IF(MOD(F1938,Inputs!$D$21)=Inputs!$D$6,Inputs!$D$24,Inputs!$D$6)+SUMPRODUCT(--(F1938&gt;$D$1938:$M$1938),--(MOD(F1938-$D$1938:$M$1938,Inputs!$D$21)=Inputs!$D$6),$D$1945:$M$1945)</f>
        <v>0</v>
      </c>
      <c r="G1946" s="28">
        <f>IF(MOD(G1938,Inputs!$D$21)=Inputs!$D$6,Inputs!$D$24,Inputs!$D$6)+SUMPRODUCT(--(G1938&gt;$D$1938:$M$1938),--(MOD(G1938-$D$1938:$M$1938,Inputs!$D$21)=Inputs!$D$6),$D$1945:$M$1945)</f>
        <v>46</v>
      </c>
      <c r="H1946" s="28">
        <f>IF(MOD(H1938,Inputs!$D$21)=Inputs!$D$6,Inputs!$D$24,Inputs!$D$6)+SUMPRODUCT(--(H1938&gt;$D$1938:$M$1938),--(MOD(H1938-$D$1938:$M$1938,Inputs!$D$21)=Inputs!$D$6),$D$1945:$M$1945)</f>
        <v>259.5</v>
      </c>
      <c r="I1946" s="28">
        <f>IF(MOD(I1938,Inputs!$D$21)=Inputs!$D$6,Inputs!$D$24,Inputs!$D$6)+SUMPRODUCT(--(I1938&gt;$D$1938:$M$1938),--(MOD(I1938-$D$1938:$M$1938,Inputs!$D$21)=Inputs!$D$6),$D$1945:$M$1945)</f>
        <v>346</v>
      </c>
      <c r="J1946" s="28">
        <f>IF(MOD(J1938,Inputs!$D$21)=Inputs!$D$6,Inputs!$D$24,Inputs!$D$6)+SUMPRODUCT(--(J1938&gt;$D$1938:$M$1938),--(MOD(J1938-$D$1938:$M$1938,Inputs!$D$21)=Inputs!$D$6),$D$1945:$M$1945)</f>
        <v>259.5</v>
      </c>
      <c r="K1946" s="28">
        <f>IF(MOD(K1938,Inputs!$D$21)=Inputs!$D$6,Inputs!$D$24,Inputs!$D$6)+SUMPRODUCT(--(K1938&gt;$D$1938:$M$1938),--(MOD(K1938-$D$1938:$M$1938,Inputs!$D$21)=Inputs!$D$6),$D$1945:$M$1945)</f>
        <v>46</v>
      </c>
      <c r="L1946" s="28">
        <f>IF(MOD(L1938,Inputs!$D$21)=Inputs!$D$6,Inputs!$D$24,Inputs!$D$6)+SUMPRODUCT(--(L1938&gt;$D$1938:$M$1938),--(MOD(L1938-$D$1938:$M$1938,Inputs!$D$21)=Inputs!$D$6),$D$1945:$M$1945)</f>
        <v>259.5</v>
      </c>
      <c r="M1946" s="28">
        <f>IF(MOD(M1938,Inputs!$D$21)=Inputs!$D$6,Inputs!$D$24,Inputs!$D$6)+SUMPRODUCT(--(M1938&gt;$D$1938:$M$1938),--(MOD(M1938-$D$1938:$M$1938,Inputs!$D$21)=Inputs!$D$6),$D$1945:$M$1945)</f>
        <v>346</v>
      </c>
    </row>
    <row r="1947" spans="1:13" ht="15" customHeight="1" x14ac:dyDescent="0.2">
      <c r="B1947" s="10" t="s">
        <v>895</v>
      </c>
      <c r="C1947" s="10" t="s">
        <v>896</v>
      </c>
      <c r="D1947" s="28">
        <f t="shared" ref="D1947:M1947" si="422">D1944*D1941</f>
        <v>125.58726899383984</v>
      </c>
      <c r="E1947" s="28">
        <f t="shared" si="422"/>
        <v>478.5</v>
      </c>
      <c r="F1947" s="28">
        <f t="shared" si="422"/>
        <v>781.25</v>
      </c>
      <c r="G1947" s="28">
        <f t="shared" si="422"/>
        <v>911</v>
      </c>
      <c r="H1947" s="28">
        <f t="shared" si="422"/>
        <v>911</v>
      </c>
      <c r="I1947" s="28">
        <f t="shared" si="422"/>
        <v>911</v>
      </c>
      <c r="J1947" s="28">
        <f t="shared" si="422"/>
        <v>911</v>
      </c>
      <c r="K1947" s="28">
        <f t="shared" si="422"/>
        <v>911</v>
      </c>
      <c r="L1947" s="28">
        <f t="shared" si="422"/>
        <v>911</v>
      </c>
      <c r="M1947" s="28">
        <f t="shared" si="422"/>
        <v>911</v>
      </c>
    </row>
    <row r="1948" spans="1:13" ht="15" customHeight="1" x14ac:dyDescent="0.2">
      <c r="B1948" s="10" t="s">
        <v>897</v>
      </c>
      <c r="C1948" s="10" t="s">
        <v>110</v>
      </c>
      <c r="D1948" s="16">
        <f>D1947*($D$1967/Inputs!$D$21+$D$1968/Inputs!$D$22)</f>
        <v>1816.9772859324419</v>
      </c>
      <c r="E1948" s="16">
        <f>E1947*($D$1967/Inputs!$D$21+$D$1968/Inputs!$D$22)</f>
        <v>6922.8643817497086</v>
      </c>
      <c r="F1948" s="16">
        <f>F1947*($D$1967/Inputs!$D$21+$D$1968/Inputs!$D$22)</f>
        <v>11303.0048030135</v>
      </c>
      <c r="G1948" s="16">
        <f>G1947*($D$1967/Inputs!$D$21+$D$1968/Inputs!$D$22)</f>
        <v>13180.207840697982</v>
      </c>
      <c r="H1948" s="16">
        <f>H1947*($D$1967/Inputs!$D$21+$D$1968/Inputs!$D$22)</f>
        <v>13180.207840697982</v>
      </c>
      <c r="I1948" s="16">
        <f>I1947*($D$1967/Inputs!$D$21+$D$1968/Inputs!$D$22)</f>
        <v>13180.207840697982</v>
      </c>
      <c r="J1948" s="16">
        <f>J1947*($D$1967/Inputs!$D$21+$D$1968/Inputs!$D$22)</f>
        <v>13180.207840697982</v>
      </c>
      <c r="K1948" s="16">
        <f>K1947*($D$1967/Inputs!$D$21+$D$1968/Inputs!$D$22)</f>
        <v>13180.207840697982</v>
      </c>
      <c r="L1948" s="16">
        <f>L1947*($D$1967/Inputs!$D$21+$D$1968/Inputs!$D$22)</f>
        <v>13180.207840697982</v>
      </c>
      <c r="M1948" s="16">
        <f>M1947*($D$1967/Inputs!$D$21+$D$1968/Inputs!$D$22)</f>
        <v>13180.207840697982</v>
      </c>
    </row>
    <row r="1949" spans="1:13" ht="15" customHeight="1" x14ac:dyDescent="0.2">
      <c r="B1949" s="10" t="s">
        <v>898</v>
      </c>
      <c r="C1949" s="10" t="s">
        <v>110</v>
      </c>
      <c r="D1949" s="16">
        <f t="shared" ref="D1949:M1949" si="423">D1945*($D$1967+$D$1968)</f>
        <v>15560.968620146154</v>
      </c>
      <c r="E1949" s="16">
        <f t="shared" si="423"/>
        <v>20747.95816019487</v>
      </c>
      <c r="F1949" s="16">
        <f t="shared" si="423"/>
        <v>15560.968620146154</v>
      </c>
      <c r="G1949" s="16">
        <f t="shared" si="423"/>
        <v>0</v>
      </c>
      <c r="H1949" s="16">
        <f t="shared" si="423"/>
        <v>0</v>
      </c>
      <c r="I1949" s="16">
        <f t="shared" si="423"/>
        <v>0</v>
      </c>
      <c r="J1949" s="16">
        <f t="shared" si="423"/>
        <v>0</v>
      </c>
      <c r="K1949" s="16">
        <f t="shared" si="423"/>
        <v>0</v>
      </c>
      <c r="L1949" s="16">
        <f t="shared" si="423"/>
        <v>0</v>
      </c>
      <c r="M1949" s="16">
        <f t="shared" si="423"/>
        <v>0</v>
      </c>
    </row>
    <row r="1950" spans="1:13" ht="15" customHeight="1" x14ac:dyDescent="0.2">
      <c r="B1950" s="10" t="s">
        <v>899</v>
      </c>
      <c r="C1950" s="10" t="s">
        <v>110</v>
      </c>
      <c r="D1950" s="16">
        <f t="shared" ref="D1950:M1950" si="424">D1946*$D$1967</f>
        <v>0</v>
      </c>
      <c r="E1950" s="16">
        <f t="shared" si="424"/>
        <v>0</v>
      </c>
      <c r="F1950" s="16">
        <f t="shared" si="424"/>
        <v>0</v>
      </c>
      <c r="G1950" s="16">
        <f t="shared" si="424"/>
        <v>2638.0048485671714</v>
      </c>
      <c r="H1950" s="16">
        <f t="shared" si="424"/>
        <v>14881.788221808281</v>
      </c>
      <c r="I1950" s="16">
        <f t="shared" si="424"/>
        <v>19842.384295744378</v>
      </c>
      <c r="J1950" s="16">
        <f t="shared" si="424"/>
        <v>14881.788221808281</v>
      </c>
      <c r="K1950" s="16">
        <f t="shared" si="424"/>
        <v>2638.0048485671714</v>
      </c>
      <c r="L1950" s="16">
        <f t="shared" si="424"/>
        <v>14881.788221808281</v>
      </c>
      <c r="M1950" s="16">
        <f t="shared" si="424"/>
        <v>19842.384295744378</v>
      </c>
    </row>
    <row r="1951" spans="1:13" ht="15" customHeight="1" x14ac:dyDescent="0.2">
      <c r="B1951" s="10" t="s">
        <v>900</v>
      </c>
      <c r="C1951" s="10" t="s">
        <v>199</v>
      </c>
      <c r="D1951" s="28">
        <f>D1945*Inputs!$D$23</f>
        <v>6.4875000000000007</v>
      </c>
      <c r="E1951" s="28">
        <f>E1945*Inputs!$D$23</f>
        <v>8.65</v>
      </c>
      <c r="F1951" s="28">
        <f>F1945*Inputs!$D$23</f>
        <v>6.4875000000000007</v>
      </c>
      <c r="G1951" s="28">
        <f>G1945*Inputs!$D$23</f>
        <v>0</v>
      </c>
      <c r="H1951" s="28">
        <f>H1945*Inputs!$D$23</f>
        <v>0</v>
      </c>
      <c r="I1951" s="28">
        <f>I1945*Inputs!$D$23</f>
        <v>0</v>
      </c>
      <c r="J1951" s="28">
        <f>J1945*Inputs!$D$23</f>
        <v>0</v>
      </c>
      <c r="K1951" s="28">
        <f>K1945*Inputs!$D$23</f>
        <v>0</v>
      </c>
      <c r="L1951" s="28">
        <f>L1945*Inputs!$D$23</f>
        <v>0</v>
      </c>
      <c r="M1951" s="28">
        <f>M1945*Inputs!$D$23</f>
        <v>0</v>
      </c>
    </row>
    <row r="1952" spans="1:13" ht="15" customHeight="1" x14ac:dyDescent="0.2">
      <c r="B1952" s="3" t="s">
        <v>901</v>
      </c>
      <c r="C1952" s="10" t="s">
        <v>896</v>
      </c>
      <c r="D1952" s="28">
        <f>(D1947*$D$1965*(Inputs!$D$7-Inputs!$D$19)-D1951)/(Inputs!$D$7+$D$1966)^D1940</f>
        <v>58.875151046606746</v>
      </c>
      <c r="E1952" s="28">
        <f>(E1947*$D$1965*(Inputs!$D$7-Inputs!$D$19)-E1951)/(Inputs!$D$7+$D$1966)^E1940</f>
        <v>213.46663821882674</v>
      </c>
      <c r="F1952" s="28">
        <f>(F1947*$D$1965*(Inputs!$D$7-Inputs!$D$19)-F1951)/(Inputs!$D$7+$D$1966)^F1940</f>
        <v>316.8226894052849</v>
      </c>
      <c r="G1952" s="28">
        <f>(G1947*$D$1965*(Inputs!$D$7-Inputs!$D$19)-G1951)/(Inputs!$D$7+$D$1966)^G1940</f>
        <v>334.84859415909301</v>
      </c>
      <c r="H1952" s="28">
        <f>(H1947*$D$1965*(Inputs!$D$7-Inputs!$D$19)-H1951)/(Inputs!$D$7+$D$1966)^H1940</f>
        <v>298.99515100299641</v>
      </c>
      <c r="I1952" s="28">
        <f>(I1947*$D$1965*(Inputs!$D$7-Inputs!$D$19)-I1951)/(Inputs!$D$7+$D$1966)^I1940</f>
        <v>266.89783982362269</v>
      </c>
      <c r="J1952" s="28">
        <f>(J1947*$D$1965*(Inputs!$D$7-Inputs!$D$19)-J1951)/(Inputs!$D$7+$D$1966)^J1940</f>
        <v>238.32012829811245</v>
      </c>
      <c r="K1952" s="28">
        <f>(K1947*$D$1965*(Inputs!$D$7-Inputs!$D$19)-K1951)/(Inputs!$D$7+$D$1966)^K1940</f>
        <v>212.80233511654592</v>
      </c>
      <c r="L1952" s="28">
        <f>(L1947*$D$1965*(Inputs!$D$7-Inputs!$D$19)-L1951)/(Inputs!$D$7+$D$1966)^L1940</f>
        <v>190.01682381778656</v>
      </c>
      <c r="M1952" s="28">
        <f>(M1947*$D$1965*(Inputs!$D$7-Inputs!$D$19)-M1951)/(Inputs!$D$7+$D$1966)^M1940</f>
        <v>169.61840229510915</v>
      </c>
    </row>
    <row r="1953" spans="2:13" ht="15" customHeight="1" x14ac:dyDescent="0.2">
      <c r="B1953" s="10" t="s">
        <v>902</v>
      </c>
      <c r="C1953" s="10" t="s">
        <v>110</v>
      </c>
      <c r="D1953" s="16">
        <f>(D1948*Inputs!$D$19-D1949-D1950)/(Inputs!$D$7+$D$1966)^D1940</f>
        <v>-13847.790632947557</v>
      </c>
      <c r="E1953" s="16">
        <f>(E1948*Inputs!$D$19-E1949-E1950)/(Inputs!$D$7+$D$1966)^E1940</f>
        <v>-15370.239105459035</v>
      </c>
      <c r="F1953" s="16">
        <f>(F1948*Inputs!$D$19-F1949-F1950)/(Inputs!$D$7+$D$1966)^F1940</f>
        <v>-8945.8041564234754</v>
      </c>
      <c r="G1953" s="16">
        <f>(G1948*Inputs!$D$19-G1949-G1950)/(Inputs!$D$7+$D$1966)^G1940</f>
        <v>863.80744262020482</v>
      </c>
      <c r="H1953" s="16">
        <f>(H1948*Inputs!$D$19-H1949-H1950)/(Inputs!$D$7+$D$1966)^H1940</f>
        <v>-6404.5339628745278</v>
      </c>
      <c r="I1953" s="16">
        <f>(I1948*Inputs!$D$19-I1949-I1950)/(Inputs!$D$7+$D$1966)^I1940</f>
        <v>-8312.2134333380691</v>
      </c>
      <c r="J1953" s="16">
        <f>(J1948*Inputs!$D$19-J1949-J1950)/(Inputs!$D$7+$D$1966)^J1940</f>
        <v>-5104.8632414329013</v>
      </c>
      <c r="K1953" s="16">
        <f>(K1948*Inputs!$D$19-K1949-K1950)/(Inputs!$D$7+$D$1966)^K1940</f>
        <v>548.96524604578394</v>
      </c>
      <c r="L1953" s="16">
        <f>(L1948*Inputs!$D$19-L1949-L1950)/(Inputs!$D$7+$D$1966)^L1940</f>
        <v>-4070.1971171644977</v>
      </c>
      <c r="M1953" s="16">
        <f>(M1948*Inputs!$D$19-M1949-M1950)/(Inputs!$D$7+$D$1966)^M1940</f>
        <v>-5282.5619084458349</v>
      </c>
    </row>
    <row r="1954" spans="2:13" ht="15" customHeight="1" x14ac:dyDescent="0.2">
      <c r="B1954" s="10" t="s">
        <v>903</v>
      </c>
      <c r="C1954" s="10" t="s">
        <v>110</v>
      </c>
      <c r="D1954" s="16">
        <f t="shared" ref="D1954:M1954" si="425">D1947*$D$1964</f>
        <v>4244.9812890011654</v>
      </c>
      <c r="E1954" s="16">
        <f t="shared" si="425"/>
        <v>16173.801397709276</v>
      </c>
      <c r="F1954" s="16">
        <f t="shared" si="425"/>
        <v>26407.068635235886</v>
      </c>
      <c r="G1954" s="16">
        <f t="shared" si="425"/>
        <v>30792.754594175862</v>
      </c>
      <c r="H1954" s="16">
        <f t="shared" si="425"/>
        <v>30792.754594175862</v>
      </c>
      <c r="I1954" s="16">
        <f t="shared" si="425"/>
        <v>30792.754594175862</v>
      </c>
      <c r="J1954" s="16">
        <f t="shared" si="425"/>
        <v>30792.754594175862</v>
      </c>
      <c r="K1954" s="16">
        <f t="shared" si="425"/>
        <v>30792.754594175862</v>
      </c>
      <c r="L1954" s="16">
        <f t="shared" si="425"/>
        <v>30792.754594175862</v>
      </c>
      <c r="M1954" s="16">
        <f t="shared" si="425"/>
        <v>30792.754594175862</v>
      </c>
    </row>
    <row r="1955" spans="2:13" ht="15" customHeight="1" x14ac:dyDescent="0.2">
      <c r="B1955" s="10" t="s">
        <v>904</v>
      </c>
      <c r="C1955" s="10" t="s">
        <v>110</v>
      </c>
      <c r="D1955" s="16">
        <f t="shared" ref="D1955:M1955" si="426">D1954*$D$1965</f>
        <v>3395.9850312009326</v>
      </c>
      <c r="E1955" s="16">
        <f t="shared" si="426"/>
        <v>12939.041118167421</v>
      </c>
      <c r="F1955" s="16">
        <f t="shared" si="426"/>
        <v>21125.65490818871</v>
      </c>
      <c r="G1955" s="16">
        <f t="shared" si="426"/>
        <v>24634.20367534069</v>
      </c>
      <c r="H1955" s="16">
        <f t="shared" si="426"/>
        <v>24634.20367534069</v>
      </c>
      <c r="I1955" s="16">
        <f t="shared" si="426"/>
        <v>24634.20367534069</v>
      </c>
      <c r="J1955" s="16">
        <f t="shared" si="426"/>
        <v>24634.20367534069</v>
      </c>
      <c r="K1955" s="16">
        <f t="shared" si="426"/>
        <v>24634.20367534069</v>
      </c>
      <c r="L1955" s="16">
        <f t="shared" si="426"/>
        <v>24634.20367534069</v>
      </c>
      <c r="M1955" s="16">
        <f t="shared" si="426"/>
        <v>24634.20367534069</v>
      </c>
    </row>
    <row r="1956" spans="2:13" ht="15" customHeight="1" x14ac:dyDescent="0.2">
      <c r="B1956" s="10" t="s">
        <v>905</v>
      </c>
      <c r="C1956" s="10" t="s">
        <v>110</v>
      </c>
      <c r="D1956" s="16">
        <f t="shared" ref="D1956:M1956" si="427">D1955-D1948</f>
        <v>1579.0077452684907</v>
      </c>
      <c r="E1956" s="16">
        <f t="shared" si="427"/>
        <v>6016.1767364177122</v>
      </c>
      <c r="F1956" s="16">
        <f t="shared" si="427"/>
        <v>9822.6501051752093</v>
      </c>
      <c r="G1956" s="16">
        <f t="shared" si="427"/>
        <v>11453.995834642708</v>
      </c>
      <c r="H1956" s="16">
        <f t="shared" si="427"/>
        <v>11453.995834642708</v>
      </c>
      <c r="I1956" s="16">
        <f t="shared" si="427"/>
        <v>11453.995834642708</v>
      </c>
      <c r="J1956" s="16">
        <f t="shared" si="427"/>
        <v>11453.995834642708</v>
      </c>
      <c r="K1956" s="16">
        <f t="shared" si="427"/>
        <v>11453.995834642708</v>
      </c>
      <c r="L1956" s="16">
        <f t="shared" si="427"/>
        <v>11453.995834642708</v>
      </c>
      <c r="M1956" s="16">
        <f t="shared" si="427"/>
        <v>11453.995834642708</v>
      </c>
    </row>
    <row r="1957" spans="2:13" ht="15" customHeight="1" x14ac:dyDescent="0.2">
      <c r="B1957" s="10" t="s">
        <v>906</v>
      </c>
      <c r="C1957" s="10" t="s">
        <v>110</v>
      </c>
      <c r="D1957" s="16">
        <f>MAX(D1956,Inputs!$D$6)*Inputs!$D$19</f>
        <v>473.70232358054716</v>
      </c>
      <c r="E1957" s="16">
        <f>MAX(E1956,Inputs!$D$6)*Inputs!$D$19</f>
        <v>1804.8530209253136</v>
      </c>
      <c r="F1957" s="16">
        <f>MAX(F1956,Inputs!$D$6)*Inputs!$D$19</f>
        <v>2946.7950315525627</v>
      </c>
      <c r="G1957" s="16">
        <f>MAX(G1956,Inputs!$D$6)*Inputs!$D$19</f>
        <v>3436.1987503928126</v>
      </c>
      <c r="H1957" s="16">
        <f>MAX(H1956,Inputs!$D$6)*Inputs!$D$19</f>
        <v>3436.1987503928126</v>
      </c>
      <c r="I1957" s="16">
        <f>MAX(I1956,Inputs!$D$6)*Inputs!$D$19</f>
        <v>3436.1987503928126</v>
      </c>
      <c r="J1957" s="16">
        <f>MAX(J1956,Inputs!$D$6)*Inputs!$D$19</f>
        <v>3436.1987503928126</v>
      </c>
      <c r="K1957" s="16">
        <f>MAX(K1956,Inputs!$D$6)*Inputs!$D$19</f>
        <v>3436.1987503928126</v>
      </c>
      <c r="L1957" s="16">
        <f>MAX(L1956,Inputs!$D$6)*Inputs!$D$19</f>
        <v>3436.1987503928126</v>
      </c>
      <c r="M1957" s="16">
        <f>MAX(M1956,Inputs!$D$6)*Inputs!$D$19</f>
        <v>3436.1987503928126</v>
      </c>
    </row>
    <row r="1958" spans="2:13" ht="15" customHeight="1" x14ac:dyDescent="0.2">
      <c r="B1958" s="10" t="s">
        <v>907</v>
      </c>
      <c r="C1958" s="10" t="s">
        <v>110</v>
      </c>
      <c r="D1958" s="16">
        <f t="shared" ref="D1958:M1958" si="428">D1951*$D$1964</f>
        <v>219.28429794699883</v>
      </c>
      <c r="E1958" s="16">
        <f t="shared" si="428"/>
        <v>292.37906392933172</v>
      </c>
      <c r="F1958" s="16">
        <f t="shared" si="428"/>
        <v>219.28429794699883</v>
      </c>
      <c r="G1958" s="16">
        <f t="shared" si="428"/>
        <v>0</v>
      </c>
      <c r="H1958" s="16">
        <f t="shared" si="428"/>
        <v>0</v>
      </c>
      <c r="I1958" s="16">
        <f t="shared" si="428"/>
        <v>0</v>
      </c>
      <c r="J1958" s="16">
        <f t="shared" si="428"/>
        <v>0</v>
      </c>
      <c r="K1958" s="16">
        <f t="shared" si="428"/>
        <v>0</v>
      </c>
      <c r="L1958" s="16">
        <f t="shared" si="428"/>
        <v>0</v>
      </c>
      <c r="M1958" s="16">
        <f t="shared" si="428"/>
        <v>0</v>
      </c>
    </row>
    <row r="1959" spans="2:13" ht="15" customHeight="1" x14ac:dyDescent="0.2">
      <c r="B1959" s="10" t="s">
        <v>908</v>
      </c>
      <c r="C1959" s="10" t="s">
        <v>110</v>
      </c>
      <c r="D1959" s="16">
        <f t="shared" ref="D1959:M1959" si="429">D1955-D1957-D1949-D1950-D1958</f>
        <v>-12857.970210472768</v>
      </c>
      <c r="E1959" s="16">
        <f t="shared" si="429"/>
        <v>-9906.1491268820937</v>
      </c>
      <c r="F1959" s="16">
        <f t="shared" si="429"/>
        <v>2398.6069585429941</v>
      </c>
      <c r="G1959" s="16">
        <f t="shared" si="429"/>
        <v>18560.000076380704</v>
      </c>
      <c r="H1959" s="16">
        <f t="shared" si="429"/>
        <v>6316.2167031395948</v>
      </c>
      <c r="I1959" s="16">
        <f t="shared" si="429"/>
        <v>1355.6206292034985</v>
      </c>
      <c r="J1959" s="16">
        <f t="shared" si="429"/>
        <v>6316.2167031395948</v>
      </c>
      <c r="K1959" s="16">
        <f t="shared" si="429"/>
        <v>18560.000076380704</v>
      </c>
      <c r="L1959" s="16">
        <f t="shared" si="429"/>
        <v>6316.2167031395948</v>
      </c>
      <c r="M1959" s="16">
        <f t="shared" si="429"/>
        <v>1355.6206292034985</v>
      </c>
    </row>
    <row r="1960" spans="2:13" ht="15" customHeight="1" x14ac:dyDescent="0.2">
      <c r="B1960" s="10" t="s">
        <v>909</v>
      </c>
      <c r="C1960" s="10" t="s">
        <v>110</v>
      </c>
      <c r="D1960" s="16">
        <f>D1959/(Inputs!$D$7+$D$1966)^D1940</f>
        <v>-11857.748835062599</v>
      </c>
      <c r="E1960" s="16">
        <f>E1959/(Inputs!$D$7+$D$1966)^E1940</f>
        <v>-8154.8430519836738</v>
      </c>
      <c r="F1960" s="16">
        <f>F1959/(Inputs!$D$7+$D$1966)^F1940</f>
        <v>1763.1347291130121</v>
      </c>
      <c r="G1960" s="16">
        <f>G1959/(Inputs!$D$7+$D$1966)^G1940</f>
        <v>12182.040797335614</v>
      </c>
      <c r="H1960" s="16">
        <f>H1959/(Inputs!$D$7+$D$1966)^H1940</f>
        <v>3701.815444023191</v>
      </c>
      <c r="I1960" s="16">
        <f>I1959/(Inputs!$D$7+$D$1966)^I1940</f>
        <v>709.21322242973565</v>
      </c>
      <c r="J1960" s="16">
        <f>J1959/(Inputs!$D$7+$D$1966)^J1940</f>
        <v>2950.606819528989</v>
      </c>
      <c r="K1960" s="16">
        <f>K1959/(Inputs!$D$7+$D$1966)^K1940</f>
        <v>7741.9071585719857</v>
      </c>
      <c r="L1960" s="16">
        <f>L1959/(Inputs!$D$7+$D$1966)^L1940</f>
        <v>2352.5706375949444</v>
      </c>
      <c r="M1960" s="16">
        <f>M1959/(Inputs!$D$7+$D$1966)^M1940</f>
        <v>450.71782429784378</v>
      </c>
    </row>
    <row r="1961" spans="2:13" ht="15" customHeight="1" x14ac:dyDescent="0.2">
      <c r="B1961" s="3" t="s">
        <v>910</v>
      </c>
      <c r="C1961" s="10" t="s">
        <v>896</v>
      </c>
      <c r="D1961" s="28">
        <f>(D1947*$D$1965-D1951)/(Inputs!$D$7+$D$1966)^D1940</f>
        <v>86.671431826242667</v>
      </c>
      <c r="E1961" s="28">
        <f>(E1947*$D$1965-E1951)/(Inputs!$D$7+$D$1966)^E1940</f>
        <v>308.00409814343465</v>
      </c>
      <c r="F1961" s="28">
        <f>(F1947*$D$1965-F1951)/(Inputs!$D$7+$D$1966)^F1940</f>
        <v>454.64758836643091</v>
      </c>
      <c r="G1961" s="28">
        <f>(G1947*$D$1965-G1951)/(Inputs!$D$7+$D$1966)^G1940</f>
        <v>478.35513451299005</v>
      </c>
      <c r="H1961" s="28">
        <f>(H1947*$D$1965-H1951)/(Inputs!$D$7+$D$1966)^H1940</f>
        <v>427.13593000428057</v>
      </c>
      <c r="I1961" s="28">
        <f>(I1947*$D$1965-I1951)/(Inputs!$D$7+$D$1966)^I1940</f>
        <v>381.28262831946103</v>
      </c>
      <c r="J1961" s="28">
        <f>(J1947*$D$1965-J1951)/(Inputs!$D$7+$D$1966)^J1940</f>
        <v>340.45732614016066</v>
      </c>
      <c r="K1961" s="28">
        <f>(K1947*$D$1965-K1951)/(Inputs!$D$7+$D$1966)^K1940</f>
        <v>304.0033358807799</v>
      </c>
      <c r="L1961" s="28">
        <f>(L1947*$D$1965-L1951)/(Inputs!$D$7+$D$1966)^L1940</f>
        <v>271.45260545398082</v>
      </c>
      <c r="M1961" s="28">
        <f>(M1947*$D$1965-M1951)/(Inputs!$D$7+$D$1966)^M1940</f>
        <v>242.31200327872736</v>
      </c>
    </row>
    <row r="1962" spans="2:13" ht="15" customHeight="1" x14ac:dyDescent="0.2">
      <c r="B1962" s="10" t="s">
        <v>911</v>
      </c>
      <c r="C1962" s="10" t="s">
        <v>110</v>
      </c>
      <c r="D1962" s="16">
        <f>(-D1949-D1950)/(Inputs!$D$7+$D$1966)^D1940</f>
        <v>-14350.481025200577</v>
      </c>
      <c r="E1962" s="16">
        <f>(-E1949-E1950)/(Inputs!$D$7+$D$1966)^E1940</f>
        <v>-17079.930887207098</v>
      </c>
      <c r="F1962" s="16">
        <f>(-F1949-F1950)/(Inputs!$D$7+$D$1966)^F1940</f>
        <v>-11438.340948315768</v>
      </c>
      <c r="G1962" s="16">
        <f>(-G1949-G1950)/(Inputs!$D$7+$D$1966)^G1940</f>
        <v>-1731.4807411941122</v>
      </c>
      <c r="H1962" s="16">
        <f>(-H1949-H1950)/(Inputs!$D$7+$D$1966)^H1940</f>
        <v>-8721.9353076959778</v>
      </c>
      <c r="I1962" s="16">
        <f>(-I1949-I1950)/(Inputs!$D$7+$D$1966)^I1940</f>
        <v>-10380.8403353543</v>
      </c>
      <c r="J1962" s="16">
        <f>(-J1949-J1950)/(Inputs!$D$7+$D$1966)^J1940</f>
        <v>-6951.9948218729187</v>
      </c>
      <c r="K1962" s="16">
        <f>(-K1949-K1950)/(Inputs!$D$7+$D$1966)^K1940</f>
        <v>-1100.3873134386547</v>
      </c>
      <c r="L1962" s="16">
        <f>(-L1949-L1950)/(Inputs!$D$7+$D$1966)^L1940</f>
        <v>-5542.947566718196</v>
      </c>
      <c r="M1962" s="16">
        <f>(-M1949-M1950)/(Inputs!$D$7+$D$1966)^M1940</f>
        <v>-6597.2117021517279</v>
      </c>
    </row>
    <row r="1963" spans="2:13" ht="15" customHeight="1" x14ac:dyDescent="0.2">
      <c r="B1963" s="10" t="s">
        <v>912</v>
      </c>
      <c r="C1963" s="10" t="s">
        <v>110</v>
      </c>
      <c r="D1963" s="16">
        <f>Prices!I7</f>
        <v>35754.545454545456</v>
      </c>
    </row>
    <row r="1964" spans="2:13" ht="15" customHeight="1" x14ac:dyDescent="0.2">
      <c r="B1964" s="3" t="s">
        <v>913</v>
      </c>
      <c r="C1964" s="10" t="s">
        <v>914</v>
      </c>
      <c r="D1964" s="28">
        <f>IF(J1971&gt;=J1967,J1971,(D1963-J1970)/J1969)</f>
        <v>33.801047853101934</v>
      </c>
      <c r="G1964" s="99" t="s">
        <v>915</v>
      </c>
      <c r="H1964" s="91"/>
      <c r="I1964" s="91"/>
      <c r="J1964" s="28">
        <f>D1964*Inputs!$D$15</f>
        <v>23.589751296679839</v>
      </c>
      <c r="K1964" s="99" t="s">
        <v>916</v>
      </c>
      <c r="L1964" s="91"/>
      <c r="M1964" s="91"/>
    </row>
    <row r="1965" spans="2:13" ht="15" customHeight="1" x14ac:dyDescent="0.2">
      <c r="B1965" s="10" t="s">
        <v>917</v>
      </c>
      <c r="C1965" s="10" t="s">
        <v>104</v>
      </c>
      <c r="D1965" s="30">
        <f>Inputs!$D$144</f>
        <v>0.8</v>
      </c>
      <c r="G1965" s="99" t="s">
        <v>918</v>
      </c>
      <c r="H1965" s="91"/>
      <c r="I1965" s="91"/>
      <c r="J1965" s="28">
        <f>IF(-D1976/D1975&gt;=J1967,-D1976/D1975,-J1970/J1969)</f>
        <v>25.141181976033842</v>
      </c>
      <c r="K1965" s="99" t="s">
        <v>919</v>
      </c>
      <c r="L1965" s="91"/>
      <c r="M1965" s="91"/>
    </row>
    <row r="1966" spans="2:13" ht="15" customHeight="1" x14ac:dyDescent="0.2">
      <c r="B1966" s="10" t="s">
        <v>920</v>
      </c>
      <c r="C1966" s="10" t="s">
        <v>104</v>
      </c>
      <c r="D1966" s="30">
        <f>Inputs!$D$148</f>
        <v>0.12</v>
      </c>
      <c r="G1966" s="99" t="s">
        <v>918</v>
      </c>
      <c r="H1966" s="91"/>
      <c r="I1966" s="91"/>
      <c r="J1966" s="28">
        <f>J1965*Inputs!$D$15</f>
        <v>17.546030901074019</v>
      </c>
      <c r="K1966" s="99" t="s">
        <v>916</v>
      </c>
      <c r="L1966" s="91"/>
      <c r="M1966" s="91"/>
    </row>
    <row r="1967" spans="2:13" ht="15" customHeight="1" x14ac:dyDescent="0.2">
      <c r="B1967" s="3" t="s">
        <v>921</v>
      </c>
      <c r="C1967" s="10" t="s">
        <v>848</v>
      </c>
      <c r="D1967" s="28">
        <f>Capital!$D$13</f>
        <v>57.347931490590682</v>
      </c>
      <c r="G1967" s="99" t="s">
        <v>922</v>
      </c>
      <c r="H1967" s="91"/>
      <c r="I1967" s="91"/>
      <c r="J1967" s="28">
        <f>($D$1967/Inputs!$D$21+$D$1968/Inputs!$D$22)/$D$1965</f>
        <v>18.084807684821598</v>
      </c>
      <c r="K1967" s="99" t="s">
        <v>919</v>
      </c>
      <c r="L1967" s="91"/>
      <c r="M1967" s="91"/>
    </row>
    <row r="1968" spans="2:13" ht="15" customHeight="1" x14ac:dyDescent="0.2">
      <c r="B1968" s="3" t="s">
        <v>923</v>
      </c>
      <c r="C1968" s="10" t="s">
        <v>848</v>
      </c>
      <c r="D1968" s="28">
        <f>Capital!$D$14</f>
        <v>2.6172655041921802</v>
      </c>
    </row>
    <row r="1969" spans="1:13" ht="15" customHeight="1" x14ac:dyDescent="0.2">
      <c r="B1969" s="10" t="s">
        <v>924</v>
      </c>
      <c r="C1969" s="10" t="s">
        <v>896</v>
      </c>
      <c r="D1969" s="28">
        <f>(M1942*(Inputs!$D$7+Inputs!$D$20)*$D$1965*(Inputs!$D$7-Inputs!$D$19)-M1942*Inputs!$D$20*Inputs!$D$23)/($D$1966-Inputs!$D$20)/(Inputs!$D$7+$D$1966)^M1940</f>
        <v>1828.1005905255297</v>
      </c>
      <c r="G1969" s="92" t="s">
        <v>910</v>
      </c>
      <c r="H1969" s="91"/>
      <c r="I1969" s="91"/>
      <c r="J1969" s="28">
        <f>SUM(D1961:M1961)+(M1942*(Inputs!$D$7+Inputs!$D$20)*$D$1965-M1942*Inputs!$D$20*Inputs!$D$23)/($D$1966-Inputs!$D$20)/(Inputs!$D$7+$D$1966)^M1940</f>
        <v>5906.7483672752678</v>
      </c>
      <c r="K1969" s="99" t="s">
        <v>896</v>
      </c>
      <c r="L1969" s="91"/>
      <c r="M1969" s="91"/>
    </row>
    <row r="1970" spans="1:13" ht="15" customHeight="1" x14ac:dyDescent="0.2">
      <c r="B1970" s="10" t="s">
        <v>925</v>
      </c>
      <c r="C1970" s="10" t="s">
        <v>110</v>
      </c>
      <c r="D1970" s="16">
        <f>(D1973*Inputs!$D$19-D1973-D1974)/($D$1966-Inputs!$D$20)/(Inputs!$D$7+$D$1966)^M1940</f>
        <v>-37876.58483194092</v>
      </c>
      <c r="G1970" s="92" t="s">
        <v>926</v>
      </c>
      <c r="H1970" s="91"/>
      <c r="I1970" s="91"/>
      <c r="J1970" s="16">
        <f>SUM(D1962:M1962)-(D1973+D1974)/($D$1966-Inputs!$D$20)/(Inputs!$D$7+$D$1966)^M1940</f>
        <v>-135956.51483423277</v>
      </c>
      <c r="K1970" s="99" t="s">
        <v>110</v>
      </c>
      <c r="L1970" s="91"/>
      <c r="M1970" s="91"/>
    </row>
    <row r="1971" spans="1:13" ht="15" customHeight="1" x14ac:dyDescent="0.2">
      <c r="B1971" s="10" t="s">
        <v>927</v>
      </c>
      <c r="C1971" s="10" t="s">
        <v>928</v>
      </c>
      <c r="D1971" s="16">
        <f>(M1942*(Inputs!$D$7+Inputs!$D$20)*$D$1964*$D$1965-D1973)-MAX((M1942*(Inputs!$D$7+Inputs!$D$20)*$D$1964*$D$1965-D1973),Inputs!$D$6)*Inputs!$D$19-D1974-M1942*Inputs!$D$20*$D$1964*Inputs!$D$23</f>
        <v>6833.289178178602</v>
      </c>
      <c r="G1971" s="99" t="s">
        <v>929</v>
      </c>
      <c r="H1971" s="91"/>
      <c r="I1971" s="91"/>
      <c r="J1971" s="28">
        <f>(D1963-D1976)/D1975</f>
        <v>33.801047853101934</v>
      </c>
      <c r="K1971" s="99" t="s">
        <v>919</v>
      </c>
      <c r="L1971" s="91"/>
      <c r="M1971" s="91"/>
    </row>
    <row r="1972" spans="1:13" ht="15" customHeight="1" x14ac:dyDescent="0.2">
      <c r="B1972" s="10" t="s">
        <v>930</v>
      </c>
      <c r="C1972" s="10" t="s">
        <v>110</v>
      </c>
      <c r="D1972" s="16">
        <f>D1971/($D$1966-Inputs!$D$20)</f>
        <v>71929.359770301075</v>
      </c>
      <c r="G1972" s="99" t="s">
        <v>931</v>
      </c>
      <c r="H1972" s="91"/>
      <c r="I1972" s="91"/>
      <c r="J1972" s="16">
        <f>MIN(D1956:M1956,(M1942*(Inputs!$D$7+Inputs!$D$20)*$D$1964*$D$1965-D1973))</f>
        <v>1579.0077452684907</v>
      </c>
      <c r="K1972" s="99" t="s">
        <v>110</v>
      </c>
      <c r="L1972" s="91"/>
      <c r="M1972" s="91"/>
    </row>
    <row r="1973" spans="1:13" ht="15" customHeight="1" x14ac:dyDescent="0.2">
      <c r="B1973" s="10" t="s">
        <v>932</v>
      </c>
      <c r="C1973" s="10" t="s">
        <v>928</v>
      </c>
      <c r="D1973" s="16">
        <f>M1942*(Inputs!$D$7+Inputs!$D$20)*($D$1967/Inputs!$D$21+$D$1968/Inputs!$D$22)</f>
        <v>13509.71303671543</v>
      </c>
      <c r="G1973" s="99" t="s">
        <v>933</v>
      </c>
      <c r="H1973" s="91"/>
      <c r="I1973" s="91"/>
      <c r="J1973" s="31" t="str">
        <f>IF(J1972&lt;Inputs!$D$6,"breached","satisfied")</f>
        <v>satisfied</v>
      </c>
      <c r="K1973" s="99" t="s">
        <v>934</v>
      </c>
      <c r="L1973" s="91"/>
      <c r="M1973" s="91"/>
    </row>
    <row r="1974" spans="1:13" ht="15" customHeight="1" x14ac:dyDescent="0.2">
      <c r="B1974" s="10" t="s">
        <v>935</v>
      </c>
      <c r="C1974" s="10" t="s">
        <v>928</v>
      </c>
      <c r="D1974" s="16">
        <f>M1942*Inputs!$D$20*($D$1967+$D$1968)</f>
        <v>1365.7073615561799</v>
      </c>
    </row>
    <row r="1975" spans="1:13" ht="15" customHeight="1" x14ac:dyDescent="0.2">
      <c r="B1975" s="10" t="s">
        <v>936</v>
      </c>
      <c r="C1975" s="10" t="s">
        <v>896</v>
      </c>
      <c r="D1975" s="28">
        <f>SUM(D1952:M1952)+D1969</f>
        <v>4128.7643437095139</v>
      </c>
      <c r="G1975" s="99" t="s">
        <v>937</v>
      </c>
      <c r="H1975" s="91"/>
      <c r="I1975" s="91"/>
      <c r="J1975" s="16">
        <f>D1977-D1963</f>
        <v>0</v>
      </c>
      <c r="K1975" s="99" t="s">
        <v>110</v>
      </c>
      <c r="L1975" s="91"/>
      <c r="M1975" s="91"/>
    </row>
    <row r="1976" spans="1:13" ht="15" customHeight="1" x14ac:dyDescent="0.2">
      <c r="B1976" s="10" t="s">
        <v>938</v>
      </c>
      <c r="C1976" s="10" t="s">
        <v>110</v>
      </c>
      <c r="D1976" s="16">
        <f>SUM(D1953:M1953)+D1970</f>
        <v>-103802.01570136083</v>
      </c>
    </row>
    <row r="1977" spans="1:13" ht="15" customHeight="1" x14ac:dyDescent="0.2">
      <c r="B1977" s="10" t="s">
        <v>939</v>
      </c>
      <c r="C1977" s="10" t="s">
        <v>110</v>
      </c>
      <c r="D1977" s="16">
        <f>SUM(D1960:M1960)+D1972/(Inputs!$D$7+$D$1966)^M1940</f>
        <v>35754.545454545463</v>
      </c>
    </row>
    <row r="1978" spans="1:13" ht="15" customHeight="1" x14ac:dyDescent="0.2">
      <c r="B1978" s="10" t="s">
        <v>940</v>
      </c>
      <c r="C1978" s="10" t="s">
        <v>104</v>
      </c>
      <c r="D1978" s="30">
        <f>IF(ABS(D1963)&gt;Inputs!$D$6,D1977/D1963-Inputs!$D$7,Inputs!$D$6)</f>
        <v>2.2204460492503131E-16</v>
      </c>
    </row>
    <row r="1979" spans="1:13" ht="15" customHeight="1" x14ac:dyDescent="0.2">
      <c r="B1979" s="10" t="s">
        <v>941</v>
      </c>
      <c r="C1979" s="10" t="s">
        <v>104</v>
      </c>
      <c r="D1979" s="30">
        <f>IF(ABS(D1977)&gt;Inputs!$D$119,D1972/(Inputs!$D$7+$D$1966)^M1940/D1977,Inputs!$D$6)</f>
        <v>0.66886966131619774</v>
      </c>
    </row>
    <row r="1980" spans="1:13" ht="15" customHeight="1" x14ac:dyDescent="0.2">
      <c r="B1980" s="10" t="s">
        <v>942</v>
      </c>
      <c r="C1980" s="10" t="s">
        <v>943</v>
      </c>
      <c r="D1980" s="26">
        <f>$D$1964*Inputs!$D$8/Prices!$P$6/(Inputs!$D$26/Inputs!$D$25)/Inputs!$D$11/Inputs!$D$56</f>
        <v>6.1468232235243772</v>
      </c>
    </row>
    <row r="1984" spans="1:13" ht="15" customHeight="1" x14ac:dyDescent="0.2">
      <c r="A1984" s="104" t="s">
        <v>2208</v>
      </c>
      <c r="B1984" s="10" t="s">
        <v>886</v>
      </c>
      <c r="C1984" s="10" t="s">
        <v>107</v>
      </c>
      <c r="D1984" s="28">
        <f>Inputs!$D$60</f>
        <v>1</v>
      </c>
      <c r="E1984" s="28">
        <f>Inputs!$D$62</f>
        <v>2</v>
      </c>
      <c r="F1984" s="28">
        <f>Inputs!$D$64</f>
        <v>3</v>
      </c>
      <c r="G1984" s="28">
        <f>Inputs!$D$66</f>
        <v>4</v>
      </c>
      <c r="H1984" s="28">
        <f>Inputs!$D$68</f>
        <v>5</v>
      </c>
      <c r="I1984" s="28">
        <f>Inputs!$D$70</f>
        <v>6</v>
      </c>
      <c r="J1984" s="28">
        <f>Inputs!$D$72</f>
        <v>7</v>
      </c>
      <c r="K1984" s="28">
        <f>Inputs!$D$74</f>
        <v>8</v>
      </c>
      <c r="L1984" s="28">
        <f>Inputs!$D$76</f>
        <v>9</v>
      </c>
      <c r="M1984" s="28">
        <f>Inputs!$D$78</f>
        <v>10</v>
      </c>
    </row>
    <row r="1985" spans="1:13" ht="15" customHeight="1" x14ac:dyDescent="0.2">
      <c r="A1985" s="91"/>
      <c r="B1985" s="10" t="s">
        <v>887</v>
      </c>
      <c r="C1985" s="10" t="s">
        <v>161</v>
      </c>
      <c r="D1985" s="29">
        <f>Inputs!$D$61</f>
        <v>46568</v>
      </c>
      <c r="E1985" s="29">
        <f>Inputs!$D$63</f>
        <v>46934</v>
      </c>
      <c r="F1985" s="29">
        <f>Inputs!$D$65</f>
        <v>47299</v>
      </c>
      <c r="G1985" s="29">
        <f>Inputs!$D$67</f>
        <v>47664</v>
      </c>
      <c r="H1985" s="29">
        <f>Inputs!$D$69</f>
        <v>48029</v>
      </c>
      <c r="I1985" s="29">
        <f>Inputs!$D$71</f>
        <v>48395</v>
      </c>
      <c r="J1985" s="29">
        <f>Inputs!$D$73</f>
        <v>48760</v>
      </c>
      <c r="K1985" s="29">
        <f>Inputs!$D$75</f>
        <v>49125</v>
      </c>
      <c r="L1985" s="29">
        <f>Inputs!$D$77</f>
        <v>49490</v>
      </c>
      <c r="M1985" s="29">
        <f>Inputs!$D$79</f>
        <v>49856</v>
      </c>
    </row>
    <row r="1986" spans="1:13" ht="15" customHeight="1" x14ac:dyDescent="0.2">
      <c r="A1986" s="91"/>
      <c r="B1986" s="10" t="s">
        <v>888</v>
      </c>
      <c r="C1986" s="10" t="s">
        <v>107</v>
      </c>
      <c r="D1986" s="28">
        <f>(D1985-Inputs!$D$13)/Inputs!$D$10</f>
        <v>0.71457905544147848</v>
      </c>
      <c r="E1986" s="28">
        <f>(E1985-Inputs!$D$13)/Inputs!$D$10</f>
        <v>1.7166324435318274</v>
      </c>
      <c r="F1986" s="28">
        <f>(F1985-Inputs!$D$13)/Inputs!$D$10</f>
        <v>2.7159479808350446</v>
      </c>
      <c r="G1986" s="28">
        <f>(G1985-Inputs!$D$13)/Inputs!$D$10</f>
        <v>3.7152635181382614</v>
      </c>
      <c r="H1986" s="28">
        <f>(H1985-Inputs!$D$13)/Inputs!$D$10</f>
        <v>4.7145790554414786</v>
      </c>
      <c r="I1986" s="28">
        <f>(I1985-Inputs!$D$13)/Inputs!$D$10</f>
        <v>5.7166324435318279</v>
      </c>
      <c r="J1986" s="28">
        <f>(J1985-Inputs!$D$13)/Inputs!$D$10</f>
        <v>6.7159479808350442</v>
      </c>
      <c r="K1986" s="28">
        <f>(K1985-Inputs!$D$13)/Inputs!$D$10</f>
        <v>7.7152635181382614</v>
      </c>
      <c r="L1986" s="28">
        <f>(L1985-Inputs!$D$13)/Inputs!$D$10</f>
        <v>8.7145790554414777</v>
      </c>
      <c r="M1986" s="28">
        <f>(M1985-Inputs!$D$13)/Inputs!$D$10</f>
        <v>9.716632443531827</v>
      </c>
    </row>
    <row r="1987" spans="1:13" ht="15" customHeight="1" x14ac:dyDescent="0.2">
      <c r="A1987" s="91"/>
      <c r="B1987" s="10" t="s">
        <v>889</v>
      </c>
      <c r="C1987" s="10" t="s">
        <v>107</v>
      </c>
      <c r="D1987" s="28">
        <f>D1986</f>
        <v>0.71457905544147848</v>
      </c>
      <c r="E1987" s="28">
        <f>Inputs!$D$7</f>
        <v>1</v>
      </c>
      <c r="F1987" s="28">
        <f>Inputs!$D$7</f>
        <v>1</v>
      </c>
      <c r="G1987" s="28">
        <f>Inputs!$D$7</f>
        <v>1</v>
      </c>
      <c r="H1987" s="28">
        <f>Inputs!$D$7</f>
        <v>1</v>
      </c>
      <c r="I1987" s="28">
        <f>Inputs!$D$7</f>
        <v>1</v>
      </c>
      <c r="J1987" s="28">
        <f>Inputs!$D$7</f>
        <v>1</v>
      </c>
      <c r="K1987" s="28">
        <f>Inputs!$D$7</f>
        <v>1</v>
      </c>
      <c r="L1987" s="28">
        <f>Inputs!$D$7</f>
        <v>1</v>
      </c>
      <c r="M1987" s="28">
        <f>Inputs!$D$7</f>
        <v>1</v>
      </c>
    </row>
    <row r="1988" spans="1:13" ht="15" customHeight="1" x14ac:dyDescent="0.2">
      <c r="A1988" s="91"/>
      <c r="B1988" s="3" t="s">
        <v>890</v>
      </c>
      <c r="C1988" s="10" t="s">
        <v>199</v>
      </c>
      <c r="D1988" s="28">
        <f>Inputs!$D$24+(Inputs!$D$80-Inputs!$D$24)*Inputs!$D$83</f>
        <v>305.5</v>
      </c>
      <c r="E1988" s="28">
        <f>Inputs!$D$24+(Inputs!$D$80-Inputs!$D$24)*Inputs!$D$84</f>
        <v>651.5</v>
      </c>
      <c r="F1988" s="28">
        <f>Inputs!$D$24+(Inputs!$D$80-Inputs!$D$24)*Inputs!$D$85</f>
        <v>911</v>
      </c>
      <c r="G1988" s="28">
        <f>Inputs!$D$24+(Inputs!$D$80-Inputs!$D$24)*Inputs!$D$86</f>
        <v>911</v>
      </c>
      <c r="H1988" s="28">
        <f>Inputs!$D$24+(Inputs!$D$80-Inputs!$D$24)*Inputs!$D$87</f>
        <v>911</v>
      </c>
      <c r="I1988" s="28">
        <f>Inputs!$D$24+(Inputs!$D$80-Inputs!$D$24)*Inputs!$D$88</f>
        <v>911</v>
      </c>
      <c r="J1988" s="28">
        <f>Inputs!$D$24+(Inputs!$D$80-Inputs!$D$24)*Inputs!$D$89</f>
        <v>911</v>
      </c>
      <c r="K1988" s="28">
        <f>Inputs!$D$24+(Inputs!$D$80-Inputs!$D$24)*Inputs!$D$90</f>
        <v>911</v>
      </c>
      <c r="L1988" s="28">
        <f>Inputs!$D$24+(Inputs!$D$80-Inputs!$D$24)*Inputs!$D$91</f>
        <v>911</v>
      </c>
      <c r="M1988" s="28">
        <f>Inputs!$D$24+(Inputs!$D$80-Inputs!$D$24)*Inputs!$D$92</f>
        <v>911</v>
      </c>
    </row>
    <row r="1989" spans="1:13" ht="15" customHeight="1" x14ac:dyDescent="0.2">
      <c r="A1989" s="91"/>
      <c r="B1989" s="10" t="s">
        <v>891</v>
      </c>
      <c r="C1989" s="10" t="s">
        <v>199</v>
      </c>
      <c r="D1989" s="28">
        <f>Inputs!$D$24</f>
        <v>46</v>
      </c>
      <c r="E1989" s="28">
        <f t="shared" ref="E1989:M1989" si="430">D1988</f>
        <v>305.5</v>
      </c>
      <c r="F1989" s="28">
        <f t="shared" si="430"/>
        <v>651.5</v>
      </c>
      <c r="G1989" s="28">
        <f t="shared" si="430"/>
        <v>911</v>
      </c>
      <c r="H1989" s="28">
        <f t="shared" si="430"/>
        <v>911</v>
      </c>
      <c r="I1989" s="28">
        <f t="shared" si="430"/>
        <v>911</v>
      </c>
      <c r="J1989" s="28">
        <f t="shared" si="430"/>
        <v>911</v>
      </c>
      <c r="K1989" s="28">
        <f t="shared" si="430"/>
        <v>911</v>
      </c>
      <c r="L1989" s="28">
        <f t="shared" si="430"/>
        <v>911</v>
      </c>
      <c r="M1989" s="28">
        <f t="shared" si="430"/>
        <v>911</v>
      </c>
    </row>
    <row r="1990" spans="1:13" ht="15" customHeight="1" x14ac:dyDescent="0.2">
      <c r="B1990" s="10" t="s">
        <v>892</v>
      </c>
      <c r="C1990" s="10" t="s">
        <v>199</v>
      </c>
      <c r="D1990" s="28">
        <f>(D1989+D1988)*Inputs!$D$12</f>
        <v>175.75</v>
      </c>
      <c r="E1990" s="28">
        <f>(E1989+E1988)*Inputs!$D$12</f>
        <v>478.5</v>
      </c>
      <c r="F1990" s="28">
        <f>(F1989+F1988)*Inputs!$D$12</f>
        <v>781.25</v>
      </c>
      <c r="G1990" s="28">
        <f>(G1989+G1988)*Inputs!$D$12</f>
        <v>911</v>
      </c>
      <c r="H1990" s="28">
        <f>(H1989+H1988)*Inputs!$D$12</f>
        <v>911</v>
      </c>
      <c r="I1990" s="28">
        <f>(I1989+I1988)*Inputs!$D$12</f>
        <v>911</v>
      </c>
      <c r="J1990" s="28">
        <f>(J1989+J1988)*Inputs!$D$12</f>
        <v>911</v>
      </c>
      <c r="K1990" s="28">
        <f>(K1989+K1988)*Inputs!$D$12</f>
        <v>911</v>
      </c>
      <c r="L1990" s="28">
        <f>(L1989+L1988)*Inputs!$D$12</f>
        <v>911</v>
      </c>
      <c r="M1990" s="28">
        <f>(M1989+M1988)*Inputs!$D$12</f>
        <v>911</v>
      </c>
    </row>
    <row r="1991" spans="1:13" ht="15" customHeight="1" x14ac:dyDescent="0.2">
      <c r="B1991" s="10" t="s">
        <v>893</v>
      </c>
      <c r="C1991" s="10" t="s">
        <v>199</v>
      </c>
      <c r="D1991" s="28">
        <f t="shared" ref="D1991:M1991" si="431">D1988-D1989</f>
        <v>259.5</v>
      </c>
      <c r="E1991" s="28">
        <f t="shared" si="431"/>
        <v>346</v>
      </c>
      <c r="F1991" s="28">
        <f t="shared" si="431"/>
        <v>259.5</v>
      </c>
      <c r="G1991" s="28">
        <f t="shared" si="431"/>
        <v>0</v>
      </c>
      <c r="H1991" s="28">
        <f t="shared" si="431"/>
        <v>0</v>
      </c>
      <c r="I1991" s="28">
        <f t="shared" si="431"/>
        <v>0</v>
      </c>
      <c r="J1991" s="28">
        <f t="shared" si="431"/>
        <v>0</v>
      </c>
      <c r="K1991" s="28">
        <f t="shared" si="431"/>
        <v>0</v>
      </c>
      <c r="L1991" s="28">
        <f t="shared" si="431"/>
        <v>0</v>
      </c>
      <c r="M1991" s="28">
        <f t="shared" si="431"/>
        <v>0</v>
      </c>
    </row>
    <row r="1992" spans="1:13" ht="15" customHeight="1" x14ac:dyDescent="0.2">
      <c r="B1992" s="10" t="s">
        <v>894</v>
      </c>
      <c r="C1992" s="10" t="s">
        <v>199</v>
      </c>
      <c r="D1992" s="28">
        <f>IF(MOD(D1984,Inputs!$D$21)=Inputs!$D$6,Inputs!$D$24,Inputs!$D$6)+SUMPRODUCT(--(D1984&gt;$D$1984:$M$1984),--(MOD(D1984-$D$1984:$M$1984,Inputs!$D$21)=Inputs!$D$6),$D$1991:$M$1991)</f>
        <v>0</v>
      </c>
      <c r="E1992" s="28">
        <f>IF(MOD(E1984,Inputs!$D$21)=Inputs!$D$6,Inputs!$D$24,Inputs!$D$6)+SUMPRODUCT(--(E1984&gt;$D$1984:$M$1984),--(MOD(E1984-$D$1984:$M$1984,Inputs!$D$21)=Inputs!$D$6),$D$1991:$M$1991)</f>
        <v>0</v>
      </c>
      <c r="F1992" s="28">
        <f>IF(MOD(F1984,Inputs!$D$21)=Inputs!$D$6,Inputs!$D$24,Inputs!$D$6)+SUMPRODUCT(--(F1984&gt;$D$1984:$M$1984),--(MOD(F1984-$D$1984:$M$1984,Inputs!$D$21)=Inputs!$D$6),$D$1991:$M$1991)</f>
        <v>0</v>
      </c>
      <c r="G1992" s="28">
        <f>IF(MOD(G1984,Inputs!$D$21)=Inputs!$D$6,Inputs!$D$24,Inputs!$D$6)+SUMPRODUCT(--(G1984&gt;$D$1984:$M$1984),--(MOD(G1984-$D$1984:$M$1984,Inputs!$D$21)=Inputs!$D$6),$D$1991:$M$1991)</f>
        <v>46</v>
      </c>
      <c r="H1992" s="28">
        <f>IF(MOD(H1984,Inputs!$D$21)=Inputs!$D$6,Inputs!$D$24,Inputs!$D$6)+SUMPRODUCT(--(H1984&gt;$D$1984:$M$1984),--(MOD(H1984-$D$1984:$M$1984,Inputs!$D$21)=Inputs!$D$6),$D$1991:$M$1991)</f>
        <v>259.5</v>
      </c>
      <c r="I1992" s="28">
        <f>IF(MOD(I1984,Inputs!$D$21)=Inputs!$D$6,Inputs!$D$24,Inputs!$D$6)+SUMPRODUCT(--(I1984&gt;$D$1984:$M$1984),--(MOD(I1984-$D$1984:$M$1984,Inputs!$D$21)=Inputs!$D$6),$D$1991:$M$1991)</f>
        <v>346</v>
      </c>
      <c r="J1992" s="28">
        <f>IF(MOD(J1984,Inputs!$D$21)=Inputs!$D$6,Inputs!$D$24,Inputs!$D$6)+SUMPRODUCT(--(J1984&gt;$D$1984:$M$1984),--(MOD(J1984-$D$1984:$M$1984,Inputs!$D$21)=Inputs!$D$6),$D$1991:$M$1991)</f>
        <v>259.5</v>
      </c>
      <c r="K1992" s="28">
        <f>IF(MOD(K1984,Inputs!$D$21)=Inputs!$D$6,Inputs!$D$24,Inputs!$D$6)+SUMPRODUCT(--(K1984&gt;$D$1984:$M$1984),--(MOD(K1984-$D$1984:$M$1984,Inputs!$D$21)=Inputs!$D$6),$D$1991:$M$1991)</f>
        <v>46</v>
      </c>
      <c r="L1992" s="28">
        <f>IF(MOD(L1984,Inputs!$D$21)=Inputs!$D$6,Inputs!$D$24,Inputs!$D$6)+SUMPRODUCT(--(L1984&gt;$D$1984:$M$1984),--(MOD(L1984-$D$1984:$M$1984,Inputs!$D$21)=Inputs!$D$6),$D$1991:$M$1991)</f>
        <v>259.5</v>
      </c>
      <c r="M1992" s="28">
        <f>IF(MOD(M1984,Inputs!$D$21)=Inputs!$D$6,Inputs!$D$24,Inputs!$D$6)+SUMPRODUCT(--(M1984&gt;$D$1984:$M$1984),--(MOD(M1984-$D$1984:$M$1984,Inputs!$D$21)=Inputs!$D$6),$D$1991:$M$1991)</f>
        <v>346</v>
      </c>
    </row>
    <row r="1993" spans="1:13" ht="15" customHeight="1" x14ac:dyDescent="0.2">
      <c r="B1993" s="10" t="s">
        <v>895</v>
      </c>
      <c r="C1993" s="10" t="s">
        <v>896</v>
      </c>
      <c r="D1993" s="28">
        <f t="shared" ref="D1993:M1993" si="432">D1990*D1987</f>
        <v>125.58726899383984</v>
      </c>
      <c r="E1993" s="28">
        <f t="shared" si="432"/>
        <v>478.5</v>
      </c>
      <c r="F1993" s="28">
        <f t="shared" si="432"/>
        <v>781.25</v>
      </c>
      <c r="G1993" s="28">
        <f t="shared" si="432"/>
        <v>911</v>
      </c>
      <c r="H1993" s="28">
        <f t="shared" si="432"/>
        <v>911</v>
      </c>
      <c r="I1993" s="28">
        <f t="shared" si="432"/>
        <v>911</v>
      </c>
      <c r="J1993" s="28">
        <f t="shared" si="432"/>
        <v>911</v>
      </c>
      <c r="K1993" s="28">
        <f t="shared" si="432"/>
        <v>911</v>
      </c>
      <c r="L1993" s="28">
        <f t="shared" si="432"/>
        <v>911</v>
      </c>
      <c r="M1993" s="28">
        <f t="shared" si="432"/>
        <v>911</v>
      </c>
    </row>
    <row r="1994" spans="1:13" ht="15" customHeight="1" x14ac:dyDescent="0.2">
      <c r="B1994" s="10" t="s">
        <v>897</v>
      </c>
      <c r="C1994" s="10" t="s">
        <v>110</v>
      </c>
      <c r="D1994" s="16">
        <f>D1993*($D$2013/Inputs!$D$21+$D$2014/Inputs!$D$22)</f>
        <v>1816.9772859324419</v>
      </c>
      <c r="E1994" s="16">
        <f>E1993*($D$2013/Inputs!$D$21+$D$2014/Inputs!$D$22)</f>
        <v>6922.8643817497086</v>
      </c>
      <c r="F1994" s="16">
        <f>F1993*($D$2013/Inputs!$D$21+$D$2014/Inputs!$D$22)</f>
        <v>11303.0048030135</v>
      </c>
      <c r="G1994" s="16">
        <f>G1993*($D$2013/Inputs!$D$21+$D$2014/Inputs!$D$22)</f>
        <v>13180.207840697982</v>
      </c>
      <c r="H1994" s="16">
        <f>H1993*($D$2013/Inputs!$D$21+$D$2014/Inputs!$D$22)</f>
        <v>13180.207840697982</v>
      </c>
      <c r="I1994" s="16">
        <f>I1993*($D$2013/Inputs!$D$21+$D$2014/Inputs!$D$22)</f>
        <v>13180.207840697982</v>
      </c>
      <c r="J1994" s="16">
        <f>J1993*($D$2013/Inputs!$D$21+$D$2014/Inputs!$D$22)</f>
        <v>13180.207840697982</v>
      </c>
      <c r="K1994" s="16">
        <f>K1993*($D$2013/Inputs!$D$21+$D$2014/Inputs!$D$22)</f>
        <v>13180.207840697982</v>
      </c>
      <c r="L1994" s="16">
        <f>L1993*($D$2013/Inputs!$D$21+$D$2014/Inputs!$D$22)</f>
        <v>13180.207840697982</v>
      </c>
      <c r="M1994" s="16">
        <f>M1993*($D$2013/Inputs!$D$21+$D$2014/Inputs!$D$22)</f>
        <v>13180.207840697982</v>
      </c>
    </row>
    <row r="1995" spans="1:13" ht="15" customHeight="1" x14ac:dyDescent="0.2">
      <c r="B1995" s="10" t="s">
        <v>898</v>
      </c>
      <c r="C1995" s="10" t="s">
        <v>110</v>
      </c>
      <c r="D1995" s="16">
        <f t="shared" ref="D1995:M1995" si="433">D1991*($D$2013+$D$2014)</f>
        <v>15560.968620146154</v>
      </c>
      <c r="E1995" s="16">
        <f t="shared" si="433"/>
        <v>20747.95816019487</v>
      </c>
      <c r="F1995" s="16">
        <f t="shared" si="433"/>
        <v>15560.968620146154</v>
      </c>
      <c r="G1995" s="16">
        <f t="shared" si="433"/>
        <v>0</v>
      </c>
      <c r="H1995" s="16">
        <f t="shared" si="433"/>
        <v>0</v>
      </c>
      <c r="I1995" s="16">
        <f t="shared" si="433"/>
        <v>0</v>
      </c>
      <c r="J1995" s="16">
        <f t="shared" si="433"/>
        <v>0</v>
      </c>
      <c r="K1995" s="16">
        <f t="shared" si="433"/>
        <v>0</v>
      </c>
      <c r="L1995" s="16">
        <f t="shared" si="433"/>
        <v>0</v>
      </c>
      <c r="M1995" s="16">
        <f t="shared" si="433"/>
        <v>0</v>
      </c>
    </row>
    <row r="1996" spans="1:13" ht="15" customHeight="1" x14ac:dyDescent="0.2">
      <c r="B1996" s="10" t="s">
        <v>899</v>
      </c>
      <c r="C1996" s="10" t="s">
        <v>110</v>
      </c>
      <c r="D1996" s="16">
        <f t="shared" ref="D1996:M1996" si="434">D1992*$D$2013</f>
        <v>0</v>
      </c>
      <c r="E1996" s="16">
        <f t="shared" si="434"/>
        <v>0</v>
      </c>
      <c r="F1996" s="16">
        <f t="shared" si="434"/>
        <v>0</v>
      </c>
      <c r="G1996" s="16">
        <f t="shared" si="434"/>
        <v>2638.0048485671714</v>
      </c>
      <c r="H1996" s="16">
        <f t="shared" si="434"/>
        <v>14881.788221808281</v>
      </c>
      <c r="I1996" s="16">
        <f t="shared" si="434"/>
        <v>19842.384295744378</v>
      </c>
      <c r="J1996" s="16">
        <f t="shared" si="434"/>
        <v>14881.788221808281</v>
      </c>
      <c r="K1996" s="16">
        <f t="shared" si="434"/>
        <v>2638.0048485671714</v>
      </c>
      <c r="L1996" s="16">
        <f t="shared" si="434"/>
        <v>14881.788221808281</v>
      </c>
      <c r="M1996" s="16">
        <f t="shared" si="434"/>
        <v>19842.384295744378</v>
      </c>
    </row>
    <row r="1997" spans="1:13" ht="15" customHeight="1" x14ac:dyDescent="0.2">
      <c r="B1997" s="10" t="s">
        <v>900</v>
      </c>
      <c r="C1997" s="10" t="s">
        <v>199</v>
      </c>
      <c r="D1997" s="28">
        <f>D1991*Inputs!$D$23</f>
        <v>6.4875000000000007</v>
      </c>
      <c r="E1997" s="28">
        <f>E1991*Inputs!$D$23</f>
        <v>8.65</v>
      </c>
      <c r="F1997" s="28">
        <f>F1991*Inputs!$D$23</f>
        <v>6.4875000000000007</v>
      </c>
      <c r="G1997" s="28">
        <f>G1991*Inputs!$D$23</f>
        <v>0</v>
      </c>
      <c r="H1997" s="28">
        <f>H1991*Inputs!$D$23</f>
        <v>0</v>
      </c>
      <c r="I1997" s="28">
        <f>I1991*Inputs!$D$23</f>
        <v>0</v>
      </c>
      <c r="J1997" s="28">
        <f>J1991*Inputs!$D$23</f>
        <v>0</v>
      </c>
      <c r="K1997" s="28">
        <f>K1991*Inputs!$D$23</f>
        <v>0</v>
      </c>
      <c r="L1997" s="28">
        <f>L1991*Inputs!$D$23</f>
        <v>0</v>
      </c>
      <c r="M1997" s="28">
        <f>M1991*Inputs!$D$23</f>
        <v>0</v>
      </c>
    </row>
    <row r="1998" spans="1:13" ht="15" customHeight="1" x14ac:dyDescent="0.2">
      <c r="B1998" s="3" t="s">
        <v>901</v>
      </c>
      <c r="C1998" s="10" t="s">
        <v>896</v>
      </c>
      <c r="D1998" s="28">
        <f>(D1993*$D$2011*(Inputs!$D$7-Inputs!$D$19)-D1997)/(Inputs!$D$7+$D$2012)^D1986</f>
        <v>58.135202233109887</v>
      </c>
      <c r="E1998" s="28">
        <f>(E1993*$D$2011*(Inputs!$D$7-Inputs!$D$19)-E1997)/(Inputs!$D$7+$D$2012)^E1986</f>
        <v>207.07828100895995</v>
      </c>
      <c r="F1998" s="28">
        <f>(F1993*$D$2011*(Inputs!$D$7-Inputs!$D$19)-F1997)/(Inputs!$D$7+$D$2012)^F1986</f>
        <v>301.95293090230649</v>
      </c>
      <c r="G1998" s="28">
        <f>(G1993*$D$2011*(Inputs!$D$7-Inputs!$D$19)-G1997)/(Inputs!$D$7+$D$2012)^G1986</f>
        <v>313.53778491139536</v>
      </c>
      <c r="H1998" s="28">
        <f>(H1993*$D$2011*(Inputs!$D$7-Inputs!$D$19)-H1997)/(Inputs!$D$7+$D$2012)^H1986</f>
        <v>275.05781182617739</v>
      </c>
      <c r="I1998" s="28">
        <f>(I1993*$D$2011*(Inputs!$D$7-Inputs!$D$19)-I1997)/(Inputs!$D$7+$D$2012)^I1986</f>
        <v>241.21387452741479</v>
      </c>
      <c r="J1998" s="28">
        <f>(J1993*$D$2011*(Inputs!$D$7-Inputs!$D$19)-J1997)/(Inputs!$D$7+$D$2012)^J1986</f>
        <v>211.61009518637272</v>
      </c>
      <c r="K1998" s="28">
        <f>(K1993*$D$2011*(Inputs!$D$7-Inputs!$D$19)-K1997)/(Inputs!$D$7+$D$2012)^K1986</f>
        <v>185.63953865637379</v>
      </c>
      <c r="L1998" s="28">
        <f>(L1993*$D$2011*(Inputs!$D$7-Inputs!$D$19)-L1997)/(Inputs!$D$7+$D$2012)^L1986</f>
        <v>162.85630551888053</v>
      </c>
      <c r="M1998" s="28">
        <f>(M1993*$D$2011*(Inputs!$D$7-Inputs!$D$19)-M1997)/(Inputs!$D$7+$D$2012)^M1986</f>
        <v>142.81797773572984</v>
      </c>
    </row>
    <row r="1999" spans="1:13" ht="15" customHeight="1" x14ac:dyDescent="0.2">
      <c r="B1999" s="10" t="s">
        <v>902</v>
      </c>
      <c r="C1999" s="10" t="s">
        <v>110</v>
      </c>
      <c r="D1999" s="16">
        <f>(D1994*Inputs!$D$19-D1995-D1996)/(Inputs!$D$7+$D$2012)^D1986</f>
        <v>-13673.750208995338</v>
      </c>
      <c r="E1999" s="16">
        <f>(E1994*Inputs!$D$19-E1995-E1996)/(Inputs!$D$7+$D$2012)^E1986</f>
        <v>-14910.258198718562</v>
      </c>
      <c r="F1999" s="16">
        <f>(F1994*Inputs!$D$19-F1995-F1996)/(Inputs!$D$7+$D$2012)^F1986</f>
        <v>-8525.9417164238148</v>
      </c>
      <c r="G1999" s="16">
        <f>(G1994*Inputs!$D$19-G1995-G1996)/(Inputs!$D$7+$D$2012)^G1986</f>
        <v>808.83204192410847</v>
      </c>
      <c r="H1999" s="16">
        <f>(H1994*Inputs!$D$19-H1995-H1996)/(Inputs!$D$7+$D$2012)^H1986</f>
        <v>-5891.7915280072548</v>
      </c>
      <c r="I1999" s="16">
        <f>(I1994*Inputs!$D$19-I1995-I1996)/(Inputs!$D$7+$D$2012)^I1986</f>
        <v>-7512.3171078465948</v>
      </c>
      <c r="J1999" s="16">
        <f>(J1994*Inputs!$D$19-J1995-J1996)/(Inputs!$D$7+$D$2012)^J1986</f>
        <v>-4532.7291662153211</v>
      </c>
      <c r="K1999" s="16">
        <f>(K1994*Inputs!$D$19-K1995-K1996)/(Inputs!$D$7+$D$2012)^K1986</f>
        <v>478.89349972832292</v>
      </c>
      <c r="L1999" s="16">
        <f>(L1994*Inputs!$D$19-L1995-L1996)/(Inputs!$D$7+$D$2012)^L1986</f>
        <v>-3488.413562109869</v>
      </c>
      <c r="M1999" s="16">
        <f>(M1994*Inputs!$D$19-M1995-M1996)/(Inputs!$D$7+$D$2012)^M1986</f>
        <v>-4447.8947969066312</v>
      </c>
    </row>
    <row r="2000" spans="1:13" ht="15" customHeight="1" x14ac:dyDescent="0.2">
      <c r="B2000" s="10" t="s">
        <v>903</v>
      </c>
      <c r="C2000" s="10" t="s">
        <v>110</v>
      </c>
      <c r="D2000" s="16">
        <f t="shared" ref="D2000:M2000" si="435">D1993*$D$2010</f>
        <v>4611.3980992874303</v>
      </c>
      <c r="E2000" s="16">
        <f t="shared" si="435"/>
        <v>17569.885930215336</v>
      </c>
      <c r="F2000" s="16">
        <f t="shared" si="435"/>
        <v>28686.464750220963</v>
      </c>
      <c r="G2000" s="16">
        <f t="shared" si="435"/>
        <v>33450.712815937659</v>
      </c>
      <c r="H2000" s="16">
        <f t="shared" si="435"/>
        <v>33450.712815937659</v>
      </c>
      <c r="I2000" s="16">
        <f t="shared" si="435"/>
        <v>33450.712815937659</v>
      </c>
      <c r="J2000" s="16">
        <f t="shared" si="435"/>
        <v>33450.712815937659</v>
      </c>
      <c r="K2000" s="16">
        <f t="shared" si="435"/>
        <v>33450.712815937659</v>
      </c>
      <c r="L2000" s="16">
        <f t="shared" si="435"/>
        <v>33450.712815937659</v>
      </c>
      <c r="M2000" s="16">
        <f t="shared" si="435"/>
        <v>33450.712815937659</v>
      </c>
    </row>
    <row r="2001" spans="2:13" ht="15" customHeight="1" x14ac:dyDescent="0.2">
      <c r="B2001" s="10" t="s">
        <v>904</v>
      </c>
      <c r="C2001" s="10" t="s">
        <v>110</v>
      </c>
      <c r="D2001" s="16">
        <f t="shared" ref="D2001:M2001" si="436">D2000*$D$2011</f>
        <v>3689.1184794299443</v>
      </c>
      <c r="E2001" s="16">
        <f t="shared" si="436"/>
        <v>14055.90874417227</v>
      </c>
      <c r="F2001" s="16">
        <f t="shared" si="436"/>
        <v>22949.171800176773</v>
      </c>
      <c r="G2001" s="16">
        <f t="shared" si="436"/>
        <v>26760.570252750127</v>
      </c>
      <c r="H2001" s="16">
        <f t="shared" si="436"/>
        <v>26760.570252750127</v>
      </c>
      <c r="I2001" s="16">
        <f t="shared" si="436"/>
        <v>26760.570252750127</v>
      </c>
      <c r="J2001" s="16">
        <f t="shared" si="436"/>
        <v>26760.570252750127</v>
      </c>
      <c r="K2001" s="16">
        <f t="shared" si="436"/>
        <v>26760.570252750127</v>
      </c>
      <c r="L2001" s="16">
        <f t="shared" si="436"/>
        <v>26760.570252750127</v>
      </c>
      <c r="M2001" s="16">
        <f t="shared" si="436"/>
        <v>26760.570252750127</v>
      </c>
    </row>
    <row r="2002" spans="2:13" ht="15" customHeight="1" x14ac:dyDescent="0.2">
      <c r="B2002" s="10" t="s">
        <v>905</v>
      </c>
      <c r="C2002" s="10" t="s">
        <v>110</v>
      </c>
      <c r="D2002" s="16">
        <f t="shared" ref="D2002:M2002" si="437">D2001-D1994</f>
        <v>1872.1411934975024</v>
      </c>
      <c r="E2002" s="16">
        <f t="shared" si="437"/>
        <v>7133.0443624225609</v>
      </c>
      <c r="F2002" s="16">
        <f t="shared" si="437"/>
        <v>11646.166997163273</v>
      </c>
      <c r="G2002" s="16">
        <f t="shared" si="437"/>
        <v>13580.362412052145</v>
      </c>
      <c r="H2002" s="16">
        <f t="shared" si="437"/>
        <v>13580.362412052145</v>
      </c>
      <c r="I2002" s="16">
        <f t="shared" si="437"/>
        <v>13580.362412052145</v>
      </c>
      <c r="J2002" s="16">
        <f t="shared" si="437"/>
        <v>13580.362412052145</v>
      </c>
      <c r="K2002" s="16">
        <f t="shared" si="437"/>
        <v>13580.362412052145</v>
      </c>
      <c r="L2002" s="16">
        <f t="shared" si="437"/>
        <v>13580.362412052145</v>
      </c>
      <c r="M2002" s="16">
        <f t="shared" si="437"/>
        <v>13580.362412052145</v>
      </c>
    </row>
    <row r="2003" spans="2:13" ht="15" customHeight="1" x14ac:dyDescent="0.2">
      <c r="B2003" s="10" t="s">
        <v>906</v>
      </c>
      <c r="C2003" s="10" t="s">
        <v>110</v>
      </c>
      <c r="D2003" s="16">
        <f>MAX(D2002,Inputs!$D$6)*Inputs!$D$19</f>
        <v>561.64235804925067</v>
      </c>
      <c r="E2003" s="16">
        <f>MAX(E2002,Inputs!$D$6)*Inputs!$D$19</f>
        <v>2139.9133087267683</v>
      </c>
      <c r="F2003" s="16">
        <f>MAX(F2002,Inputs!$D$6)*Inputs!$D$19</f>
        <v>3493.8500991489818</v>
      </c>
      <c r="G2003" s="16">
        <f>MAX(G2002,Inputs!$D$6)*Inputs!$D$19</f>
        <v>4074.1087236156436</v>
      </c>
      <c r="H2003" s="16">
        <f>MAX(H2002,Inputs!$D$6)*Inputs!$D$19</f>
        <v>4074.1087236156436</v>
      </c>
      <c r="I2003" s="16">
        <f>MAX(I2002,Inputs!$D$6)*Inputs!$D$19</f>
        <v>4074.1087236156436</v>
      </c>
      <c r="J2003" s="16">
        <f>MAX(J2002,Inputs!$D$6)*Inputs!$D$19</f>
        <v>4074.1087236156436</v>
      </c>
      <c r="K2003" s="16">
        <f>MAX(K2002,Inputs!$D$6)*Inputs!$D$19</f>
        <v>4074.1087236156436</v>
      </c>
      <c r="L2003" s="16">
        <f>MAX(L2002,Inputs!$D$6)*Inputs!$D$19</f>
        <v>4074.1087236156436</v>
      </c>
      <c r="M2003" s="16">
        <f>MAX(M2002,Inputs!$D$6)*Inputs!$D$19</f>
        <v>4074.1087236156436</v>
      </c>
    </row>
    <row r="2004" spans="2:13" ht="15" customHeight="1" x14ac:dyDescent="0.2">
      <c r="B2004" s="10" t="s">
        <v>907</v>
      </c>
      <c r="C2004" s="10" t="s">
        <v>110</v>
      </c>
      <c r="D2004" s="16">
        <f t="shared" ref="D2004:M2004" si="438">D1997*$D$2010</f>
        <v>238.21240328583491</v>
      </c>
      <c r="E2004" s="16">
        <f t="shared" si="438"/>
        <v>317.61653771444651</v>
      </c>
      <c r="F2004" s="16">
        <f t="shared" si="438"/>
        <v>238.21240328583491</v>
      </c>
      <c r="G2004" s="16">
        <f t="shared" si="438"/>
        <v>0</v>
      </c>
      <c r="H2004" s="16">
        <f t="shared" si="438"/>
        <v>0</v>
      </c>
      <c r="I2004" s="16">
        <f t="shared" si="438"/>
        <v>0</v>
      </c>
      <c r="J2004" s="16">
        <f t="shared" si="438"/>
        <v>0</v>
      </c>
      <c r="K2004" s="16">
        <f t="shared" si="438"/>
        <v>0</v>
      </c>
      <c r="L2004" s="16">
        <f t="shared" si="438"/>
        <v>0</v>
      </c>
      <c r="M2004" s="16">
        <f t="shared" si="438"/>
        <v>0</v>
      </c>
    </row>
    <row r="2005" spans="2:13" ht="15" customHeight="1" x14ac:dyDescent="0.2">
      <c r="B2005" s="10" t="s">
        <v>908</v>
      </c>
      <c r="C2005" s="10" t="s">
        <v>110</v>
      </c>
      <c r="D2005" s="16">
        <f t="shared" ref="D2005:M2005" si="439">D2001-D2003-D1995-D1996-D2004</f>
        <v>-12671.704902051295</v>
      </c>
      <c r="E2005" s="16">
        <f t="shared" si="439"/>
        <v>-9149.5792624638161</v>
      </c>
      <c r="F2005" s="16">
        <f t="shared" si="439"/>
        <v>3656.1406775958026</v>
      </c>
      <c r="G2005" s="16">
        <f t="shared" si="439"/>
        <v>20048.456680567309</v>
      </c>
      <c r="H2005" s="16">
        <f t="shared" si="439"/>
        <v>7804.6733073262003</v>
      </c>
      <c r="I2005" s="16">
        <f t="shared" si="439"/>
        <v>2844.0772333901041</v>
      </c>
      <c r="J2005" s="16">
        <f t="shared" si="439"/>
        <v>7804.6733073262003</v>
      </c>
      <c r="K2005" s="16">
        <f t="shared" si="439"/>
        <v>20048.456680567309</v>
      </c>
      <c r="L2005" s="16">
        <f t="shared" si="439"/>
        <v>7804.6733073262003</v>
      </c>
      <c r="M2005" s="16">
        <f t="shared" si="439"/>
        <v>2844.0772333901041</v>
      </c>
    </row>
    <row r="2006" spans="2:13" ht="15" customHeight="1" x14ac:dyDescent="0.2">
      <c r="B2006" s="10" t="s">
        <v>909</v>
      </c>
      <c r="C2006" s="10" t="s">
        <v>110</v>
      </c>
      <c r="D2006" s="16">
        <f>D2005/(Inputs!$D$7+$D$2012)^D1986</f>
        <v>-11539.102619098283</v>
      </c>
      <c r="E2006" s="16">
        <f>E2005/(Inputs!$D$7+$D$2012)^E1986</f>
        <v>-7306.6181235827171</v>
      </c>
      <c r="F2006" s="16">
        <f>F2005/(Inputs!$D$7+$D$2012)^F1986</f>
        <v>2561.3697825264871</v>
      </c>
      <c r="G2006" s="16">
        <f>G2005/(Inputs!$D$7+$D$2012)^G1986</f>
        <v>12321.52402876968</v>
      </c>
      <c r="H2006" s="16">
        <f>H2005/(Inputs!$D$7+$D$2012)^H1986</f>
        <v>4207.9668377201642</v>
      </c>
      <c r="I2006" s="16">
        <f>I2005/(Inputs!$D$7+$D$2012)^I1986</f>
        <v>1344.7367275388849</v>
      </c>
      <c r="J2006" s="16">
        <f>J2005/(Inputs!$D$7+$D$2012)^J1986</f>
        <v>3237.3131203188013</v>
      </c>
      <c r="K2006" s="16">
        <f>K2005/(Inputs!$D$7+$D$2012)^K1986</f>
        <v>7295.3313645774078</v>
      </c>
      <c r="L2006" s="16">
        <f>L2005/(Inputs!$D$7+$D$2012)^L1986</f>
        <v>2491.454172441915</v>
      </c>
      <c r="M2006" s="16">
        <f>M2005/(Inputs!$D$7+$D$2012)^M1986</f>
        <v>796.19209463110394</v>
      </c>
    </row>
    <row r="2007" spans="2:13" ht="15" customHeight="1" x14ac:dyDescent="0.2">
      <c r="B2007" s="3" t="s">
        <v>910</v>
      </c>
      <c r="C2007" s="10" t="s">
        <v>896</v>
      </c>
      <c r="D2007" s="28">
        <f>(D1993*$D$2011-D1997)/(Inputs!$D$7+$D$2012)^D1986</f>
        <v>85.582136563235466</v>
      </c>
      <c r="E2007" s="28">
        <f>(E1993*$D$2011-E1997)/(Inputs!$D$7+$D$2012)^E1986</f>
        <v>298.78654444295387</v>
      </c>
      <c r="F2007" s="28">
        <f>(F1993*$D$2011-F1997)/(Inputs!$D$7+$D$2012)^F1986</f>
        <v>433.3091550122395</v>
      </c>
      <c r="G2007" s="28">
        <f>(G1993*$D$2011-G1997)/(Inputs!$D$7+$D$2012)^G1986</f>
        <v>447.91112130199338</v>
      </c>
      <c r="H2007" s="28">
        <f>(H1993*$D$2011-H1997)/(Inputs!$D$7+$D$2012)^H1986</f>
        <v>392.93973118025337</v>
      </c>
      <c r="I2007" s="28">
        <f>(I1993*$D$2011-I1997)/(Inputs!$D$7+$D$2012)^I1986</f>
        <v>344.59124932487828</v>
      </c>
      <c r="J2007" s="28">
        <f>(J1993*$D$2011-J1997)/(Inputs!$D$7+$D$2012)^J1986</f>
        <v>302.3001359805325</v>
      </c>
      <c r="K2007" s="28">
        <f>(K1993*$D$2011-K1997)/(Inputs!$D$7+$D$2012)^K1986</f>
        <v>265.19934093767688</v>
      </c>
      <c r="L2007" s="28">
        <f>(L1993*$D$2011-L1997)/(Inputs!$D$7+$D$2012)^L1986</f>
        <v>232.65186502697219</v>
      </c>
      <c r="M2007" s="28">
        <f>(M1993*$D$2011-M1997)/(Inputs!$D$7+$D$2012)^M1986</f>
        <v>204.02568247961406</v>
      </c>
    </row>
    <row r="2008" spans="2:13" ht="15" customHeight="1" x14ac:dyDescent="0.2">
      <c r="B2008" s="10" t="s">
        <v>911</v>
      </c>
      <c r="C2008" s="10" t="s">
        <v>110</v>
      </c>
      <c r="D2008" s="16">
        <f>(-D1995-D1996)/(Inputs!$D$7+$D$2012)^D1986</f>
        <v>-14170.122737893587</v>
      </c>
      <c r="E2008" s="16">
        <f>(-E1995-E1996)/(Inputs!$D$7+$D$2012)^E1986</f>
        <v>-16568.784506031301</v>
      </c>
      <c r="F2008" s="16">
        <f>(-F1995-F1996)/(Inputs!$D$7+$D$2012)^F1986</f>
        <v>-10901.493767656277</v>
      </c>
      <c r="G2008" s="16">
        <f>(-G1995-G1996)/(Inputs!$D$7+$D$2012)^G1986</f>
        <v>-1621.2839046676961</v>
      </c>
      <c r="H2008" s="16">
        <f>(-H1995-H1996)/(Inputs!$D$7+$D$2012)^H1986</f>
        <v>-8023.6633690433682</v>
      </c>
      <c r="I2008" s="16">
        <f>(-I1995-I1996)/(Inputs!$D$7+$D$2012)^I1986</f>
        <v>-9381.8770500204446</v>
      </c>
      <c r="J2008" s="16">
        <f>(-J1995-J1996)/(Inputs!$D$7+$D$2012)^J1986</f>
        <v>-6172.8411129063252</v>
      </c>
      <c r="K2008" s="16">
        <f>(-K1995-K1996)/(Inputs!$D$7+$D$2012)^K1986</f>
        <v>-959.93022397147342</v>
      </c>
      <c r="L2008" s="16">
        <f>(-L1995-L1996)/(Inputs!$D$7+$D$2012)^L1986</f>
        <v>-4750.6528330682277</v>
      </c>
      <c r="M2008" s="16">
        <f>(-M1995-M1996)/(Inputs!$D$7+$D$2012)^M1986</f>
        <v>-5554.82436602912</v>
      </c>
    </row>
    <row r="2009" spans="2:13" ht="15" customHeight="1" x14ac:dyDescent="0.2">
      <c r="B2009" s="10" t="s">
        <v>912</v>
      </c>
      <c r="C2009" s="10" t="s">
        <v>110</v>
      </c>
      <c r="D2009" s="16">
        <f>Prices!I7</f>
        <v>35754.545454545456</v>
      </c>
    </row>
    <row r="2010" spans="2:13" ht="15" customHeight="1" x14ac:dyDescent="0.2">
      <c r="B2010" s="3" t="s">
        <v>913</v>
      </c>
      <c r="C2010" s="10" t="s">
        <v>914</v>
      </c>
      <c r="D2010" s="28">
        <f>IF(J2017&gt;=J2013,J2017,(D2009-J2016)/J2015)</f>
        <v>36.718674880282833</v>
      </c>
      <c r="G2010" s="99" t="s">
        <v>915</v>
      </c>
      <c r="H2010" s="91"/>
      <c r="I2010" s="91"/>
      <c r="J2010" s="28">
        <f>D2010*Inputs!$D$15</f>
        <v>25.625963198949389</v>
      </c>
      <c r="K2010" s="99" t="s">
        <v>916</v>
      </c>
      <c r="L2010" s="91"/>
      <c r="M2010" s="91"/>
    </row>
    <row r="2011" spans="2:13" ht="15" customHeight="1" x14ac:dyDescent="0.2">
      <c r="B2011" s="10" t="s">
        <v>917</v>
      </c>
      <c r="C2011" s="10" t="s">
        <v>104</v>
      </c>
      <c r="D2011" s="30">
        <f>Inputs!$D$144</f>
        <v>0.8</v>
      </c>
      <c r="G2011" s="99" t="s">
        <v>918</v>
      </c>
      <c r="H2011" s="91"/>
      <c r="I2011" s="91"/>
      <c r="J2011" s="28">
        <f>IF(-D2022/D2021&gt;=J2013,-D2022/D2021,-J2016/J2015)</f>
        <v>26.113601269848285</v>
      </c>
      <c r="K2011" s="99" t="s">
        <v>919</v>
      </c>
      <c r="L2011" s="91"/>
      <c r="M2011" s="91"/>
    </row>
    <row r="2012" spans="2:13" ht="15" customHeight="1" x14ac:dyDescent="0.2">
      <c r="B2012" s="10" t="s">
        <v>920</v>
      </c>
      <c r="C2012" s="10" t="s">
        <v>104</v>
      </c>
      <c r="D2012" s="30">
        <f>Inputs!$D$149</f>
        <v>0.14000000000000001</v>
      </c>
      <c r="G2012" s="99" t="s">
        <v>918</v>
      </c>
      <c r="H2012" s="91"/>
      <c r="I2012" s="91"/>
      <c r="J2012" s="28">
        <f>J2011*Inputs!$D$15</f>
        <v>18.224682326227118</v>
      </c>
      <c r="K2012" s="99" t="s">
        <v>916</v>
      </c>
      <c r="L2012" s="91"/>
      <c r="M2012" s="91"/>
    </row>
    <row r="2013" spans="2:13" ht="15" customHeight="1" x14ac:dyDescent="0.2">
      <c r="B2013" s="3" t="s">
        <v>921</v>
      </c>
      <c r="C2013" s="10" t="s">
        <v>848</v>
      </c>
      <c r="D2013" s="28">
        <f>Capital!$D$13</f>
        <v>57.347931490590682</v>
      </c>
      <c r="G2013" s="99" t="s">
        <v>922</v>
      </c>
      <c r="H2013" s="91"/>
      <c r="I2013" s="91"/>
      <c r="J2013" s="28">
        <f>($D$2013/Inputs!$D$21+$D$2014/Inputs!$D$22)/$D$2011</f>
        <v>18.084807684821598</v>
      </c>
      <c r="K2013" s="99" t="s">
        <v>919</v>
      </c>
      <c r="L2013" s="91"/>
      <c r="M2013" s="91"/>
    </row>
    <row r="2014" spans="2:13" ht="15" customHeight="1" x14ac:dyDescent="0.2">
      <c r="B2014" s="3" t="s">
        <v>923</v>
      </c>
      <c r="C2014" s="10" t="s">
        <v>848</v>
      </c>
      <c r="D2014" s="28">
        <f>Capital!$D$14</f>
        <v>2.6172655041921802</v>
      </c>
    </row>
    <row r="2015" spans="2:13" ht="15" customHeight="1" x14ac:dyDescent="0.2">
      <c r="B2015" s="10" t="s">
        <v>924</v>
      </c>
      <c r="C2015" s="10" t="s">
        <v>896</v>
      </c>
      <c r="D2015" s="28">
        <f>(M1988*(Inputs!$D$7+Inputs!$D$20)*$D$2011*(Inputs!$D$7-Inputs!$D$19)-M1988*Inputs!$D$20*Inputs!$D$23)/($D$2012-Inputs!$D$20)/(Inputs!$D$7+$D$2012)^M1986</f>
        <v>1271.5568009972683</v>
      </c>
      <c r="G2015" s="92" t="s">
        <v>910</v>
      </c>
      <c r="H2015" s="91"/>
      <c r="I2015" s="91"/>
      <c r="J2015" s="28">
        <f>SUM(D2007:M2007)+(M1988*(Inputs!$D$7+Inputs!$D$20)*$D$2011-M1988*Inputs!$D$20*Inputs!$D$23)/($D$2012-Inputs!$D$20)/(Inputs!$D$7+$D$2012)^M1986</f>
        <v>4824.400696834412</v>
      </c>
      <c r="K2015" s="99" t="s">
        <v>896</v>
      </c>
      <c r="L2015" s="91"/>
      <c r="M2015" s="91"/>
    </row>
    <row r="2016" spans="2:13" ht="15" customHeight="1" x14ac:dyDescent="0.2">
      <c r="B2016" s="10" t="s">
        <v>925</v>
      </c>
      <c r="C2016" s="10" t="s">
        <v>110</v>
      </c>
      <c r="D2016" s="16">
        <f>(D2019*Inputs!$D$19-D2019-D2020)/($D$2012-Inputs!$D$20)/(Inputs!$D$7+$D$2012)^M1986</f>
        <v>-26345.502698929216</v>
      </c>
      <c r="G2016" s="92" t="s">
        <v>926</v>
      </c>
      <c r="H2016" s="91"/>
      <c r="I2016" s="91"/>
      <c r="J2016" s="16">
        <f>SUM(D2008:M2008)-(D2019+D2020)/($D$2012-Inputs!$D$20)/(Inputs!$D$7+$D$2012)^M1986</f>
        <v>-114317.08794717836</v>
      </c>
      <c r="K2016" s="99" t="s">
        <v>110</v>
      </c>
      <c r="L2016" s="91"/>
      <c r="M2016" s="91"/>
    </row>
    <row r="2017" spans="1:13" ht="15" customHeight="1" x14ac:dyDescent="0.2">
      <c r="B2017" s="10" t="s">
        <v>927</v>
      </c>
      <c r="C2017" s="10" t="s">
        <v>928</v>
      </c>
      <c r="D2017" s="16">
        <f>(M1988*(Inputs!$D$7+Inputs!$D$20)*$D$2010*$D$2011-D2019)-MAX((M1988*(Inputs!$D$7+Inputs!$D$20)*$D$2010*$D$2011-D2019),Inputs!$D$6)*Inputs!$D$19-D2020-M1988*Inputs!$D$20*$D$2010*Inputs!$D$23</f>
        <v>8357.2959735812765</v>
      </c>
      <c r="G2017" s="99" t="s">
        <v>929</v>
      </c>
      <c r="H2017" s="91"/>
      <c r="I2017" s="91"/>
      <c r="J2017" s="28">
        <f>(D2009-D2022)/D2021</f>
        <v>36.718674880282833</v>
      </c>
      <c r="K2017" s="99" t="s">
        <v>919</v>
      </c>
      <c r="L2017" s="91"/>
      <c r="M2017" s="91"/>
    </row>
    <row r="2018" spans="1:13" ht="15" customHeight="1" x14ac:dyDescent="0.2">
      <c r="B2018" s="10" t="s">
        <v>930</v>
      </c>
      <c r="C2018" s="10" t="s">
        <v>110</v>
      </c>
      <c r="D2018" s="16">
        <f>D2017/($D$2012-Inputs!$D$20)</f>
        <v>72672.138900706734</v>
      </c>
      <c r="G2018" s="99" t="s">
        <v>931</v>
      </c>
      <c r="H2018" s="91"/>
      <c r="I2018" s="91"/>
      <c r="J2018" s="16">
        <f>MIN(D2002:M2002,(M1988*(Inputs!$D$7+Inputs!$D$20)*$D$2010*$D$2011-D2019))</f>
        <v>1872.1411934975024</v>
      </c>
      <c r="K2018" s="99" t="s">
        <v>110</v>
      </c>
      <c r="L2018" s="91"/>
      <c r="M2018" s="91"/>
    </row>
    <row r="2019" spans="1:13" ht="15" customHeight="1" x14ac:dyDescent="0.2">
      <c r="B2019" s="10" t="s">
        <v>932</v>
      </c>
      <c r="C2019" s="10" t="s">
        <v>928</v>
      </c>
      <c r="D2019" s="16">
        <f>M1988*(Inputs!$D$7+Inputs!$D$20)*($D$2013/Inputs!$D$21+$D$2014/Inputs!$D$22)</f>
        <v>13509.71303671543</v>
      </c>
      <c r="G2019" s="99" t="s">
        <v>933</v>
      </c>
      <c r="H2019" s="91"/>
      <c r="I2019" s="91"/>
      <c r="J2019" s="31" t="str">
        <f>IF(J2018&lt;Inputs!$D$6,"breached","satisfied")</f>
        <v>satisfied</v>
      </c>
      <c r="K2019" s="99" t="s">
        <v>934</v>
      </c>
      <c r="L2019" s="91"/>
      <c r="M2019" s="91"/>
    </row>
    <row r="2020" spans="1:13" ht="15" customHeight="1" x14ac:dyDescent="0.2">
      <c r="B2020" s="10" t="s">
        <v>935</v>
      </c>
      <c r="C2020" s="10" t="s">
        <v>928</v>
      </c>
      <c r="D2020" s="16">
        <f>M1988*Inputs!$D$20*($D$2013+$D$2014)</f>
        <v>1365.7073615561799</v>
      </c>
    </row>
    <row r="2021" spans="1:13" ht="15" customHeight="1" x14ac:dyDescent="0.2">
      <c r="B2021" s="10" t="s">
        <v>936</v>
      </c>
      <c r="C2021" s="10" t="s">
        <v>896</v>
      </c>
      <c r="D2021" s="28">
        <f>SUM(D1998:M1998)+D2015</f>
        <v>3371.4566035039898</v>
      </c>
      <c r="G2021" s="99" t="s">
        <v>937</v>
      </c>
      <c r="H2021" s="91"/>
      <c r="I2021" s="91"/>
      <c r="J2021" s="16">
        <f>D2023-D2009</f>
        <v>0</v>
      </c>
      <c r="K2021" s="99" t="s">
        <v>110</v>
      </c>
      <c r="L2021" s="91"/>
      <c r="M2021" s="91"/>
    </row>
    <row r="2022" spans="1:13" ht="15" customHeight="1" x14ac:dyDescent="0.2">
      <c r="B2022" s="10" t="s">
        <v>938</v>
      </c>
      <c r="C2022" s="10" t="s">
        <v>110</v>
      </c>
      <c r="D2022" s="16">
        <f>SUM(D1999:M1999)+D2016</f>
        <v>-88040.873442500175</v>
      </c>
    </row>
    <row r="2023" spans="1:13" ht="15" customHeight="1" x14ac:dyDescent="0.2">
      <c r="B2023" s="10" t="s">
        <v>939</v>
      </c>
      <c r="C2023" s="10" t="s">
        <v>110</v>
      </c>
      <c r="D2023" s="16">
        <f>SUM(D2006:M2006)+D2018/(Inputs!$D$7+$D$2012)^M1986</f>
        <v>35754.545454545419</v>
      </c>
    </row>
    <row r="2024" spans="1:13" ht="15" customHeight="1" x14ac:dyDescent="0.2">
      <c r="B2024" s="10" t="s">
        <v>940</v>
      </c>
      <c r="C2024" s="10" t="s">
        <v>104</v>
      </c>
      <c r="D2024" s="30">
        <f>IF(ABS(D2009)&gt;Inputs!$D$6,D2023/D2009-Inputs!$D$7,Inputs!$D$6)</f>
        <v>-9.9920072216264089E-16</v>
      </c>
    </row>
    <row r="2025" spans="1:13" ht="15" customHeight="1" x14ac:dyDescent="0.2">
      <c r="B2025" s="10" t="s">
        <v>941</v>
      </c>
      <c r="C2025" s="10" t="s">
        <v>104</v>
      </c>
      <c r="D2025" s="30">
        <f>IF(ABS(D2023)&gt;Inputs!$D$119,D2018/(Inputs!$D$7+$D$2012)^M1986/D2023,Inputs!$D$6)</f>
        <v>0.56900116642695642</v>
      </c>
    </row>
    <row r="2026" spans="1:13" ht="15" customHeight="1" x14ac:dyDescent="0.2">
      <c r="B2026" s="10" t="s">
        <v>942</v>
      </c>
      <c r="C2026" s="10" t="s">
        <v>943</v>
      </c>
      <c r="D2026" s="26">
        <f>$D$2010*Inputs!$D$8/Prices!$P$6/(Inputs!$D$26/Inputs!$D$25)/Inputs!$D$11/Inputs!$D$56</f>
        <v>6.6774025607744836</v>
      </c>
    </row>
    <row r="2030" spans="1:13" ht="15" customHeight="1" x14ac:dyDescent="0.2">
      <c r="A2030" s="104" t="s">
        <v>2209</v>
      </c>
      <c r="B2030" s="10" t="s">
        <v>886</v>
      </c>
      <c r="C2030" s="10" t="s">
        <v>107</v>
      </c>
      <c r="D2030" s="28">
        <f>Inputs!$D$60</f>
        <v>1</v>
      </c>
      <c r="E2030" s="28">
        <f>Inputs!$D$62</f>
        <v>2</v>
      </c>
      <c r="F2030" s="28">
        <f>Inputs!$D$64</f>
        <v>3</v>
      </c>
      <c r="G2030" s="28">
        <f>Inputs!$D$66</f>
        <v>4</v>
      </c>
      <c r="H2030" s="28">
        <f>Inputs!$D$68</f>
        <v>5</v>
      </c>
      <c r="I2030" s="28">
        <f>Inputs!$D$70</f>
        <v>6</v>
      </c>
      <c r="J2030" s="28">
        <f>Inputs!$D$72</f>
        <v>7</v>
      </c>
      <c r="K2030" s="28">
        <f>Inputs!$D$74</f>
        <v>8</v>
      </c>
      <c r="L2030" s="28">
        <f>Inputs!$D$76</f>
        <v>9</v>
      </c>
      <c r="M2030" s="28">
        <f>Inputs!$D$78</f>
        <v>10</v>
      </c>
    </row>
    <row r="2031" spans="1:13" ht="15" customHeight="1" x14ac:dyDescent="0.2">
      <c r="A2031" s="91"/>
      <c r="B2031" s="10" t="s">
        <v>887</v>
      </c>
      <c r="C2031" s="10" t="s">
        <v>161</v>
      </c>
      <c r="D2031" s="29">
        <f>Inputs!$D$61</f>
        <v>46568</v>
      </c>
      <c r="E2031" s="29">
        <f>Inputs!$D$63</f>
        <v>46934</v>
      </c>
      <c r="F2031" s="29">
        <f>Inputs!$D$65</f>
        <v>47299</v>
      </c>
      <c r="G2031" s="29">
        <f>Inputs!$D$67</f>
        <v>47664</v>
      </c>
      <c r="H2031" s="29">
        <f>Inputs!$D$69</f>
        <v>48029</v>
      </c>
      <c r="I2031" s="29">
        <f>Inputs!$D$71</f>
        <v>48395</v>
      </c>
      <c r="J2031" s="29">
        <f>Inputs!$D$73</f>
        <v>48760</v>
      </c>
      <c r="K2031" s="29">
        <f>Inputs!$D$75</f>
        <v>49125</v>
      </c>
      <c r="L2031" s="29">
        <f>Inputs!$D$77</f>
        <v>49490</v>
      </c>
      <c r="M2031" s="29">
        <f>Inputs!$D$79</f>
        <v>49856</v>
      </c>
    </row>
    <row r="2032" spans="1:13" ht="15" customHeight="1" x14ac:dyDescent="0.2">
      <c r="A2032" s="91"/>
      <c r="B2032" s="10" t="s">
        <v>888</v>
      </c>
      <c r="C2032" s="10" t="s">
        <v>107</v>
      </c>
      <c r="D2032" s="28">
        <f>(D2031-Inputs!$D$13)/Inputs!$D$10</f>
        <v>0.71457905544147848</v>
      </c>
      <c r="E2032" s="28">
        <f>(E2031-Inputs!$D$13)/Inputs!$D$10</f>
        <v>1.7166324435318274</v>
      </c>
      <c r="F2032" s="28">
        <f>(F2031-Inputs!$D$13)/Inputs!$D$10</f>
        <v>2.7159479808350446</v>
      </c>
      <c r="G2032" s="28">
        <f>(G2031-Inputs!$D$13)/Inputs!$D$10</f>
        <v>3.7152635181382614</v>
      </c>
      <c r="H2032" s="28">
        <f>(H2031-Inputs!$D$13)/Inputs!$D$10</f>
        <v>4.7145790554414786</v>
      </c>
      <c r="I2032" s="28">
        <f>(I2031-Inputs!$D$13)/Inputs!$D$10</f>
        <v>5.7166324435318279</v>
      </c>
      <c r="J2032" s="28">
        <f>(J2031-Inputs!$D$13)/Inputs!$D$10</f>
        <v>6.7159479808350442</v>
      </c>
      <c r="K2032" s="28">
        <f>(K2031-Inputs!$D$13)/Inputs!$D$10</f>
        <v>7.7152635181382614</v>
      </c>
      <c r="L2032" s="28">
        <f>(L2031-Inputs!$D$13)/Inputs!$D$10</f>
        <v>8.7145790554414777</v>
      </c>
      <c r="M2032" s="28">
        <f>(M2031-Inputs!$D$13)/Inputs!$D$10</f>
        <v>9.716632443531827</v>
      </c>
    </row>
    <row r="2033" spans="1:13" ht="15" customHeight="1" x14ac:dyDescent="0.2">
      <c r="A2033" s="91"/>
      <c r="B2033" s="10" t="s">
        <v>889</v>
      </c>
      <c r="C2033" s="10" t="s">
        <v>107</v>
      </c>
      <c r="D2033" s="28">
        <f>D2032</f>
        <v>0.71457905544147848</v>
      </c>
      <c r="E2033" s="28">
        <f>Inputs!$D$7</f>
        <v>1</v>
      </c>
      <c r="F2033" s="28">
        <f>Inputs!$D$7</f>
        <v>1</v>
      </c>
      <c r="G2033" s="28">
        <f>Inputs!$D$7</f>
        <v>1</v>
      </c>
      <c r="H2033" s="28">
        <f>Inputs!$D$7</f>
        <v>1</v>
      </c>
      <c r="I2033" s="28">
        <f>Inputs!$D$7</f>
        <v>1</v>
      </c>
      <c r="J2033" s="28">
        <f>Inputs!$D$7</f>
        <v>1</v>
      </c>
      <c r="K2033" s="28">
        <f>Inputs!$D$7</f>
        <v>1</v>
      </c>
      <c r="L2033" s="28">
        <f>Inputs!$D$7</f>
        <v>1</v>
      </c>
      <c r="M2033" s="28">
        <f>Inputs!$D$7</f>
        <v>1</v>
      </c>
    </row>
    <row r="2034" spans="1:13" ht="15" customHeight="1" x14ac:dyDescent="0.2">
      <c r="A2034" s="91"/>
      <c r="B2034" s="3" t="s">
        <v>890</v>
      </c>
      <c r="C2034" s="10" t="s">
        <v>199</v>
      </c>
      <c r="D2034" s="28">
        <f>Inputs!$D$24+(Inputs!$D$80-Inputs!$D$24)*Inputs!$D$83</f>
        <v>305.5</v>
      </c>
      <c r="E2034" s="28">
        <f>Inputs!$D$24+(Inputs!$D$80-Inputs!$D$24)*Inputs!$D$84</f>
        <v>651.5</v>
      </c>
      <c r="F2034" s="28">
        <f>Inputs!$D$24+(Inputs!$D$80-Inputs!$D$24)*Inputs!$D$85</f>
        <v>911</v>
      </c>
      <c r="G2034" s="28">
        <f>Inputs!$D$24+(Inputs!$D$80-Inputs!$D$24)*Inputs!$D$86</f>
        <v>911</v>
      </c>
      <c r="H2034" s="28">
        <f>Inputs!$D$24+(Inputs!$D$80-Inputs!$D$24)*Inputs!$D$87</f>
        <v>911</v>
      </c>
      <c r="I2034" s="28">
        <f>Inputs!$D$24+(Inputs!$D$80-Inputs!$D$24)*Inputs!$D$88</f>
        <v>911</v>
      </c>
      <c r="J2034" s="28">
        <f>Inputs!$D$24+(Inputs!$D$80-Inputs!$D$24)*Inputs!$D$89</f>
        <v>911</v>
      </c>
      <c r="K2034" s="28">
        <f>Inputs!$D$24+(Inputs!$D$80-Inputs!$D$24)*Inputs!$D$90</f>
        <v>911</v>
      </c>
      <c r="L2034" s="28">
        <f>Inputs!$D$24+(Inputs!$D$80-Inputs!$D$24)*Inputs!$D$91</f>
        <v>911</v>
      </c>
      <c r="M2034" s="28">
        <f>Inputs!$D$24+(Inputs!$D$80-Inputs!$D$24)*Inputs!$D$92</f>
        <v>911</v>
      </c>
    </row>
    <row r="2035" spans="1:13" ht="15" customHeight="1" x14ac:dyDescent="0.2">
      <c r="A2035" s="91"/>
      <c r="B2035" s="10" t="s">
        <v>891</v>
      </c>
      <c r="C2035" s="10" t="s">
        <v>199</v>
      </c>
      <c r="D2035" s="28">
        <f>Inputs!$D$24</f>
        <v>46</v>
      </c>
      <c r="E2035" s="28">
        <f t="shared" ref="E2035:M2035" si="440">D2034</f>
        <v>305.5</v>
      </c>
      <c r="F2035" s="28">
        <f t="shared" si="440"/>
        <v>651.5</v>
      </c>
      <c r="G2035" s="28">
        <f t="shared" si="440"/>
        <v>911</v>
      </c>
      <c r="H2035" s="28">
        <f t="shared" si="440"/>
        <v>911</v>
      </c>
      <c r="I2035" s="28">
        <f t="shared" si="440"/>
        <v>911</v>
      </c>
      <c r="J2035" s="28">
        <f t="shared" si="440"/>
        <v>911</v>
      </c>
      <c r="K2035" s="28">
        <f t="shared" si="440"/>
        <v>911</v>
      </c>
      <c r="L2035" s="28">
        <f t="shared" si="440"/>
        <v>911</v>
      </c>
      <c r="M2035" s="28">
        <f t="shared" si="440"/>
        <v>911</v>
      </c>
    </row>
    <row r="2036" spans="1:13" ht="15" customHeight="1" x14ac:dyDescent="0.2">
      <c r="B2036" s="10" t="s">
        <v>892</v>
      </c>
      <c r="C2036" s="10" t="s">
        <v>199</v>
      </c>
      <c r="D2036" s="28">
        <f>(D2035+D2034)*Inputs!$D$12</f>
        <v>175.75</v>
      </c>
      <c r="E2036" s="28">
        <f>(E2035+E2034)*Inputs!$D$12</f>
        <v>478.5</v>
      </c>
      <c r="F2036" s="28">
        <f>(F2035+F2034)*Inputs!$D$12</f>
        <v>781.25</v>
      </c>
      <c r="G2036" s="28">
        <f>(G2035+G2034)*Inputs!$D$12</f>
        <v>911</v>
      </c>
      <c r="H2036" s="28">
        <f>(H2035+H2034)*Inputs!$D$12</f>
        <v>911</v>
      </c>
      <c r="I2036" s="28">
        <f>(I2035+I2034)*Inputs!$D$12</f>
        <v>911</v>
      </c>
      <c r="J2036" s="28">
        <f>(J2035+J2034)*Inputs!$D$12</f>
        <v>911</v>
      </c>
      <c r="K2036" s="28">
        <f>(K2035+K2034)*Inputs!$D$12</f>
        <v>911</v>
      </c>
      <c r="L2036" s="28">
        <f>(L2035+L2034)*Inputs!$D$12</f>
        <v>911</v>
      </c>
      <c r="M2036" s="28">
        <f>(M2035+M2034)*Inputs!$D$12</f>
        <v>911</v>
      </c>
    </row>
    <row r="2037" spans="1:13" ht="15" customHeight="1" x14ac:dyDescent="0.2">
      <c r="B2037" s="10" t="s">
        <v>893</v>
      </c>
      <c r="C2037" s="10" t="s">
        <v>199</v>
      </c>
      <c r="D2037" s="28">
        <f t="shared" ref="D2037:M2037" si="441">D2034-D2035</f>
        <v>259.5</v>
      </c>
      <c r="E2037" s="28">
        <f t="shared" si="441"/>
        <v>346</v>
      </c>
      <c r="F2037" s="28">
        <f t="shared" si="441"/>
        <v>259.5</v>
      </c>
      <c r="G2037" s="28">
        <f t="shared" si="441"/>
        <v>0</v>
      </c>
      <c r="H2037" s="28">
        <f t="shared" si="441"/>
        <v>0</v>
      </c>
      <c r="I2037" s="28">
        <f t="shared" si="441"/>
        <v>0</v>
      </c>
      <c r="J2037" s="28">
        <f t="shared" si="441"/>
        <v>0</v>
      </c>
      <c r="K2037" s="28">
        <f t="shared" si="441"/>
        <v>0</v>
      </c>
      <c r="L2037" s="28">
        <f t="shared" si="441"/>
        <v>0</v>
      </c>
      <c r="M2037" s="28">
        <f t="shared" si="441"/>
        <v>0</v>
      </c>
    </row>
    <row r="2038" spans="1:13" ht="15" customHeight="1" x14ac:dyDescent="0.2">
      <c r="B2038" s="10" t="s">
        <v>894</v>
      </c>
      <c r="C2038" s="10" t="s">
        <v>199</v>
      </c>
      <c r="D2038" s="28">
        <f>IF(MOD(D2030,Inputs!$D$21)=Inputs!$D$6,Inputs!$D$24,Inputs!$D$6)+SUMPRODUCT(--(D2030&gt;$D$2030:$M$2030),--(MOD(D2030-$D$2030:$M$2030,Inputs!$D$21)=Inputs!$D$6),$D$2037:$M$2037)</f>
        <v>0</v>
      </c>
      <c r="E2038" s="28">
        <f>IF(MOD(E2030,Inputs!$D$21)=Inputs!$D$6,Inputs!$D$24,Inputs!$D$6)+SUMPRODUCT(--(E2030&gt;$D$2030:$M$2030),--(MOD(E2030-$D$2030:$M$2030,Inputs!$D$21)=Inputs!$D$6),$D$2037:$M$2037)</f>
        <v>0</v>
      </c>
      <c r="F2038" s="28">
        <f>IF(MOD(F2030,Inputs!$D$21)=Inputs!$D$6,Inputs!$D$24,Inputs!$D$6)+SUMPRODUCT(--(F2030&gt;$D$2030:$M$2030),--(MOD(F2030-$D$2030:$M$2030,Inputs!$D$21)=Inputs!$D$6),$D$2037:$M$2037)</f>
        <v>0</v>
      </c>
      <c r="G2038" s="28">
        <f>IF(MOD(G2030,Inputs!$D$21)=Inputs!$D$6,Inputs!$D$24,Inputs!$D$6)+SUMPRODUCT(--(G2030&gt;$D$2030:$M$2030),--(MOD(G2030-$D$2030:$M$2030,Inputs!$D$21)=Inputs!$D$6),$D$2037:$M$2037)</f>
        <v>46</v>
      </c>
      <c r="H2038" s="28">
        <f>IF(MOD(H2030,Inputs!$D$21)=Inputs!$D$6,Inputs!$D$24,Inputs!$D$6)+SUMPRODUCT(--(H2030&gt;$D$2030:$M$2030),--(MOD(H2030-$D$2030:$M$2030,Inputs!$D$21)=Inputs!$D$6),$D$2037:$M$2037)</f>
        <v>259.5</v>
      </c>
      <c r="I2038" s="28">
        <f>IF(MOD(I2030,Inputs!$D$21)=Inputs!$D$6,Inputs!$D$24,Inputs!$D$6)+SUMPRODUCT(--(I2030&gt;$D$2030:$M$2030),--(MOD(I2030-$D$2030:$M$2030,Inputs!$D$21)=Inputs!$D$6),$D$2037:$M$2037)</f>
        <v>346</v>
      </c>
      <c r="J2038" s="28">
        <f>IF(MOD(J2030,Inputs!$D$21)=Inputs!$D$6,Inputs!$D$24,Inputs!$D$6)+SUMPRODUCT(--(J2030&gt;$D$2030:$M$2030),--(MOD(J2030-$D$2030:$M$2030,Inputs!$D$21)=Inputs!$D$6),$D$2037:$M$2037)</f>
        <v>259.5</v>
      </c>
      <c r="K2038" s="28">
        <f>IF(MOD(K2030,Inputs!$D$21)=Inputs!$D$6,Inputs!$D$24,Inputs!$D$6)+SUMPRODUCT(--(K2030&gt;$D$2030:$M$2030),--(MOD(K2030-$D$2030:$M$2030,Inputs!$D$21)=Inputs!$D$6),$D$2037:$M$2037)</f>
        <v>46</v>
      </c>
      <c r="L2038" s="28">
        <f>IF(MOD(L2030,Inputs!$D$21)=Inputs!$D$6,Inputs!$D$24,Inputs!$D$6)+SUMPRODUCT(--(L2030&gt;$D$2030:$M$2030),--(MOD(L2030-$D$2030:$M$2030,Inputs!$D$21)=Inputs!$D$6),$D$2037:$M$2037)</f>
        <v>259.5</v>
      </c>
      <c r="M2038" s="28">
        <f>IF(MOD(M2030,Inputs!$D$21)=Inputs!$D$6,Inputs!$D$24,Inputs!$D$6)+SUMPRODUCT(--(M2030&gt;$D$2030:$M$2030),--(MOD(M2030-$D$2030:$M$2030,Inputs!$D$21)=Inputs!$D$6),$D$2037:$M$2037)</f>
        <v>346</v>
      </c>
    </row>
    <row r="2039" spans="1:13" ht="15" customHeight="1" x14ac:dyDescent="0.2">
      <c r="B2039" s="10" t="s">
        <v>895</v>
      </c>
      <c r="C2039" s="10" t="s">
        <v>896</v>
      </c>
      <c r="D2039" s="28">
        <f t="shared" ref="D2039:M2039" si="442">D2036*D2033</f>
        <v>125.58726899383984</v>
      </c>
      <c r="E2039" s="28">
        <f t="shared" si="442"/>
        <v>478.5</v>
      </c>
      <c r="F2039" s="28">
        <f t="shared" si="442"/>
        <v>781.25</v>
      </c>
      <c r="G2039" s="28">
        <f t="shared" si="442"/>
        <v>911</v>
      </c>
      <c r="H2039" s="28">
        <f t="shared" si="442"/>
        <v>911</v>
      </c>
      <c r="I2039" s="28">
        <f t="shared" si="442"/>
        <v>911</v>
      </c>
      <c r="J2039" s="28">
        <f t="shared" si="442"/>
        <v>911</v>
      </c>
      <c r="K2039" s="28">
        <f t="shared" si="442"/>
        <v>911</v>
      </c>
      <c r="L2039" s="28">
        <f t="shared" si="442"/>
        <v>911</v>
      </c>
      <c r="M2039" s="28">
        <f t="shared" si="442"/>
        <v>911</v>
      </c>
    </row>
    <row r="2040" spans="1:13" ht="15" customHeight="1" x14ac:dyDescent="0.2">
      <c r="B2040" s="10" t="s">
        <v>897</v>
      </c>
      <c r="C2040" s="10" t="s">
        <v>110</v>
      </c>
      <c r="D2040" s="16">
        <f>D2039*($D$2059/Inputs!$D$21+$D$2060/Inputs!$D$22)</f>
        <v>1816.9772859324419</v>
      </c>
      <c r="E2040" s="16">
        <f>E2039*($D$2059/Inputs!$D$21+$D$2060/Inputs!$D$22)</f>
        <v>6922.8643817497086</v>
      </c>
      <c r="F2040" s="16">
        <f>F2039*($D$2059/Inputs!$D$21+$D$2060/Inputs!$D$22)</f>
        <v>11303.0048030135</v>
      </c>
      <c r="G2040" s="16">
        <f>G2039*($D$2059/Inputs!$D$21+$D$2060/Inputs!$D$22)</f>
        <v>13180.207840697982</v>
      </c>
      <c r="H2040" s="16">
        <f>H2039*($D$2059/Inputs!$D$21+$D$2060/Inputs!$D$22)</f>
        <v>13180.207840697982</v>
      </c>
      <c r="I2040" s="16">
        <f>I2039*($D$2059/Inputs!$D$21+$D$2060/Inputs!$D$22)</f>
        <v>13180.207840697982</v>
      </c>
      <c r="J2040" s="16">
        <f>J2039*($D$2059/Inputs!$D$21+$D$2060/Inputs!$D$22)</f>
        <v>13180.207840697982</v>
      </c>
      <c r="K2040" s="16">
        <f>K2039*($D$2059/Inputs!$D$21+$D$2060/Inputs!$D$22)</f>
        <v>13180.207840697982</v>
      </c>
      <c r="L2040" s="16">
        <f>L2039*($D$2059/Inputs!$D$21+$D$2060/Inputs!$D$22)</f>
        <v>13180.207840697982</v>
      </c>
      <c r="M2040" s="16">
        <f>M2039*($D$2059/Inputs!$D$21+$D$2060/Inputs!$D$22)</f>
        <v>13180.207840697982</v>
      </c>
    </row>
    <row r="2041" spans="1:13" ht="15" customHeight="1" x14ac:dyDescent="0.2">
      <c r="B2041" s="10" t="s">
        <v>898</v>
      </c>
      <c r="C2041" s="10" t="s">
        <v>110</v>
      </c>
      <c r="D2041" s="16">
        <f t="shared" ref="D2041:M2041" si="443">D2037*($D$2059+$D$2060)</f>
        <v>15560.968620146154</v>
      </c>
      <c r="E2041" s="16">
        <f t="shared" si="443"/>
        <v>20747.95816019487</v>
      </c>
      <c r="F2041" s="16">
        <f t="shared" si="443"/>
        <v>15560.968620146154</v>
      </c>
      <c r="G2041" s="16">
        <f t="shared" si="443"/>
        <v>0</v>
      </c>
      <c r="H2041" s="16">
        <f t="shared" si="443"/>
        <v>0</v>
      </c>
      <c r="I2041" s="16">
        <f t="shared" si="443"/>
        <v>0</v>
      </c>
      <c r="J2041" s="16">
        <f t="shared" si="443"/>
        <v>0</v>
      </c>
      <c r="K2041" s="16">
        <f t="shared" si="443"/>
        <v>0</v>
      </c>
      <c r="L2041" s="16">
        <f t="shared" si="443"/>
        <v>0</v>
      </c>
      <c r="M2041" s="16">
        <f t="shared" si="443"/>
        <v>0</v>
      </c>
    </row>
    <row r="2042" spans="1:13" ht="15" customHeight="1" x14ac:dyDescent="0.2">
      <c r="B2042" s="10" t="s">
        <v>899</v>
      </c>
      <c r="C2042" s="10" t="s">
        <v>110</v>
      </c>
      <c r="D2042" s="16">
        <f t="shared" ref="D2042:M2042" si="444">D2038*$D$2059</f>
        <v>0</v>
      </c>
      <c r="E2042" s="16">
        <f t="shared" si="444"/>
        <v>0</v>
      </c>
      <c r="F2042" s="16">
        <f t="shared" si="444"/>
        <v>0</v>
      </c>
      <c r="G2042" s="16">
        <f t="shared" si="444"/>
        <v>2638.0048485671714</v>
      </c>
      <c r="H2042" s="16">
        <f t="shared" si="444"/>
        <v>14881.788221808281</v>
      </c>
      <c r="I2042" s="16">
        <f t="shared" si="444"/>
        <v>19842.384295744378</v>
      </c>
      <c r="J2042" s="16">
        <f t="shared" si="444"/>
        <v>14881.788221808281</v>
      </c>
      <c r="K2042" s="16">
        <f t="shared" si="444"/>
        <v>2638.0048485671714</v>
      </c>
      <c r="L2042" s="16">
        <f t="shared" si="444"/>
        <v>14881.788221808281</v>
      </c>
      <c r="M2042" s="16">
        <f t="shared" si="444"/>
        <v>19842.384295744378</v>
      </c>
    </row>
    <row r="2043" spans="1:13" ht="15" customHeight="1" x14ac:dyDescent="0.2">
      <c r="B2043" s="10" t="s">
        <v>900</v>
      </c>
      <c r="C2043" s="10" t="s">
        <v>199</v>
      </c>
      <c r="D2043" s="28">
        <f>D2037*Inputs!$D$23</f>
        <v>6.4875000000000007</v>
      </c>
      <c r="E2043" s="28">
        <f>E2037*Inputs!$D$23</f>
        <v>8.65</v>
      </c>
      <c r="F2043" s="28">
        <f>F2037*Inputs!$D$23</f>
        <v>6.4875000000000007</v>
      </c>
      <c r="G2043" s="28">
        <f>G2037*Inputs!$D$23</f>
        <v>0</v>
      </c>
      <c r="H2043" s="28">
        <f>H2037*Inputs!$D$23</f>
        <v>0</v>
      </c>
      <c r="I2043" s="28">
        <f>I2037*Inputs!$D$23</f>
        <v>0</v>
      </c>
      <c r="J2043" s="28">
        <f>J2037*Inputs!$D$23</f>
        <v>0</v>
      </c>
      <c r="K2043" s="28">
        <f>K2037*Inputs!$D$23</f>
        <v>0</v>
      </c>
      <c r="L2043" s="28">
        <f>L2037*Inputs!$D$23</f>
        <v>0</v>
      </c>
      <c r="M2043" s="28">
        <f>M2037*Inputs!$D$23</f>
        <v>0</v>
      </c>
    </row>
    <row r="2044" spans="1:13" ht="15" customHeight="1" x14ac:dyDescent="0.2">
      <c r="B2044" s="3" t="s">
        <v>901</v>
      </c>
      <c r="C2044" s="10" t="s">
        <v>896</v>
      </c>
      <c r="D2044" s="28">
        <f>(D2039*$D$2057*(Inputs!$D$7-Inputs!$D$19)-D2043)/(Inputs!$D$7+$D$2058)^D2032</f>
        <v>69.577993884880186</v>
      </c>
      <c r="E2044" s="28">
        <f>(E2039*$D$2057*(Inputs!$D$7-Inputs!$D$19)-E2043)/(Inputs!$D$7+$D$2058)^E2032</f>
        <v>259.5027909120393</v>
      </c>
      <c r="F2044" s="28">
        <f>(F2039*$D$2057*(Inputs!$D$7-Inputs!$D$19)-F2043)/(Inputs!$D$7+$D$2058)^F2032</f>
        <v>398.52314260122478</v>
      </c>
      <c r="G2044" s="28">
        <f>(G2039*$D$2057*(Inputs!$D$7-Inputs!$D$19)-G2043)/(Inputs!$D$7+$D$2058)^G2032</f>
        <v>435.99323422627566</v>
      </c>
      <c r="H2044" s="28">
        <f>(H2039*$D$2057*(Inputs!$D$7-Inputs!$D$19)-H2043)/(Inputs!$D$7+$D$2058)^H2032</f>
        <v>403.71870521307892</v>
      </c>
      <c r="I2044" s="28">
        <f>(I2039*$D$2057*(Inputs!$D$7-Inputs!$D$19)-I2043)/(Inputs!$D$7+$D$2058)^I2032</f>
        <v>373.75454650889594</v>
      </c>
      <c r="J2044" s="28">
        <f>(J2039*$D$2057*(Inputs!$D$7-Inputs!$D$19)-J2043)/(Inputs!$D$7+$D$2058)^J2032</f>
        <v>346.08725489020287</v>
      </c>
      <c r="K2044" s="28">
        <f>(K2039*$D$2057*(Inputs!$D$7-Inputs!$D$19)-K2043)/(Inputs!$D$7+$D$2058)^K2032</f>
        <v>320.46804277358893</v>
      </c>
      <c r="L2044" s="28">
        <f>(L2039*$D$2057*(Inputs!$D$7-Inputs!$D$19)-L2043)/(Inputs!$D$7+$D$2058)^L2032</f>
        <v>296.74530046394409</v>
      </c>
      <c r="M2044" s="28">
        <f>(M2039*$D$2057*(Inputs!$D$7-Inputs!$D$19)-M2043)/(Inputs!$D$7+$D$2058)^M2032</f>
        <v>274.72074930243895</v>
      </c>
    </row>
    <row r="2045" spans="1:13" ht="15" customHeight="1" x14ac:dyDescent="0.2">
      <c r="B2045" s="10" t="s">
        <v>902</v>
      </c>
      <c r="C2045" s="10" t="s">
        <v>110</v>
      </c>
      <c r="D2045" s="16">
        <f>(D2040*Inputs!$D$19-D2041-D2042)/(Inputs!$D$7+$D$2058)^D2032</f>
        <v>-14212.377724210151</v>
      </c>
      <c r="E2045" s="16">
        <f>(E2040*Inputs!$D$19-E2041-E2042)/(Inputs!$D$7+$D$2058)^E2032</f>
        <v>-16360.387094728963</v>
      </c>
      <c r="F2045" s="16">
        <f>(F2040*Inputs!$D$19-F2041-F2042)/(Inputs!$D$7+$D$2058)^F2032</f>
        <v>-9874.5154652847668</v>
      </c>
      <c r="G2045" s="16">
        <f>(G2040*Inputs!$D$19-G2041-G2042)/(Inputs!$D$7+$D$2058)^G2032</f>
        <v>988.77347238742834</v>
      </c>
      <c r="H2045" s="16">
        <f>(H2040*Inputs!$D$19-H2041-H2042)/(Inputs!$D$7+$D$2058)^H2032</f>
        <v>-7602.4024163036647</v>
      </c>
      <c r="I2045" s="16">
        <f>(I2040*Inputs!$D$19-I2041-I2042)/(Inputs!$D$7+$D$2058)^I2032</f>
        <v>-10233.087939303265</v>
      </c>
      <c r="J2045" s="16">
        <f>(J2040*Inputs!$D$19-J2041-J2042)/(Inputs!$D$7+$D$2058)^J2032</f>
        <v>-6517.1480757635773</v>
      </c>
      <c r="K2045" s="16">
        <f>(K2040*Inputs!$D$19-K2041-K2042)/(Inputs!$D$7+$D$2058)^K2032</f>
        <v>726.77801985796941</v>
      </c>
      <c r="L2045" s="16">
        <f>(L2040*Inputs!$D$19-L2041-L2042)/(Inputs!$D$7+$D$2058)^L2032</f>
        <v>-5587.9927289550824</v>
      </c>
      <c r="M2045" s="16">
        <f>(M2040*Inputs!$D$19-M2041-M2042)/(Inputs!$D$7+$D$2058)^M2032</f>
        <v>-7521.6251216792398</v>
      </c>
    </row>
    <row r="2046" spans="1:13" ht="15" customHeight="1" x14ac:dyDescent="0.2">
      <c r="B2046" s="10" t="s">
        <v>903</v>
      </c>
      <c r="C2046" s="10" t="s">
        <v>110</v>
      </c>
      <c r="D2046" s="16">
        <f t="shared" ref="D2046:M2046" si="445">D2039*$D$2056</f>
        <v>3105.646910061264</v>
      </c>
      <c r="E2046" s="16">
        <f t="shared" si="445"/>
        <v>11832.823966712796</v>
      </c>
      <c r="F2046" s="16">
        <f t="shared" si="445"/>
        <v>19319.527113885833</v>
      </c>
      <c r="G2046" s="16">
        <f t="shared" si="445"/>
        <v>22528.114176959993</v>
      </c>
      <c r="H2046" s="16">
        <f t="shared" si="445"/>
        <v>22528.114176959993</v>
      </c>
      <c r="I2046" s="16">
        <f t="shared" si="445"/>
        <v>22528.114176959993</v>
      </c>
      <c r="J2046" s="16">
        <f t="shared" si="445"/>
        <v>22528.114176959993</v>
      </c>
      <c r="K2046" s="16">
        <f t="shared" si="445"/>
        <v>22528.114176959993</v>
      </c>
      <c r="L2046" s="16">
        <f t="shared" si="445"/>
        <v>22528.114176959993</v>
      </c>
      <c r="M2046" s="16">
        <f t="shared" si="445"/>
        <v>22528.114176959993</v>
      </c>
    </row>
    <row r="2047" spans="1:13" ht="15" customHeight="1" x14ac:dyDescent="0.2">
      <c r="B2047" s="10" t="s">
        <v>904</v>
      </c>
      <c r="C2047" s="10" t="s">
        <v>110</v>
      </c>
      <c r="D2047" s="16">
        <f t="shared" ref="D2047:M2047" si="446">D2046*$D$2057</f>
        <v>2826.1386881557505</v>
      </c>
      <c r="E2047" s="16">
        <f t="shared" si="446"/>
        <v>10767.869809708645</v>
      </c>
      <c r="F2047" s="16">
        <f t="shared" si="446"/>
        <v>17580.76967363611</v>
      </c>
      <c r="G2047" s="16">
        <f t="shared" si="446"/>
        <v>20500.583901033595</v>
      </c>
      <c r="H2047" s="16">
        <f t="shared" si="446"/>
        <v>20500.583901033595</v>
      </c>
      <c r="I2047" s="16">
        <f t="shared" si="446"/>
        <v>20500.583901033595</v>
      </c>
      <c r="J2047" s="16">
        <f t="shared" si="446"/>
        <v>20500.583901033595</v>
      </c>
      <c r="K2047" s="16">
        <f t="shared" si="446"/>
        <v>20500.583901033595</v>
      </c>
      <c r="L2047" s="16">
        <f t="shared" si="446"/>
        <v>20500.583901033595</v>
      </c>
      <c r="M2047" s="16">
        <f t="shared" si="446"/>
        <v>20500.583901033595</v>
      </c>
    </row>
    <row r="2048" spans="1:13" ht="15" customHeight="1" x14ac:dyDescent="0.2">
      <c r="B2048" s="10" t="s">
        <v>905</v>
      </c>
      <c r="C2048" s="10" t="s">
        <v>110</v>
      </c>
      <c r="D2048" s="16">
        <f t="shared" ref="D2048:M2048" si="447">D2047-D2040</f>
        <v>1009.1614022233086</v>
      </c>
      <c r="E2048" s="16">
        <f t="shared" si="447"/>
        <v>3845.0054279589367</v>
      </c>
      <c r="F2048" s="16">
        <f t="shared" si="447"/>
        <v>6277.76487062261</v>
      </c>
      <c r="G2048" s="16">
        <f t="shared" si="447"/>
        <v>7320.3760603356131</v>
      </c>
      <c r="H2048" s="16">
        <f t="shared" si="447"/>
        <v>7320.3760603356131</v>
      </c>
      <c r="I2048" s="16">
        <f t="shared" si="447"/>
        <v>7320.3760603356131</v>
      </c>
      <c r="J2048" s="16">
        <f t="shared" si="447"/>
        <v>7320.3760603356131</v>
      </c>
      <c r="K2048" s="16">
        <f t="shared" si="447"/>
        <v>7320.3760603356131</v>
      </c>
      <c r="L2048" s="16">
        <f t="shared" si="447"/>
        <v>7320.3760603356131</v>
      </c>
      <c r="M2048" s="16">
        <f t="shared" si="447"/>
        <v>7320.3760603356131</v>
      </c>
    </row>
    <row r="2049" spans="2:13" ht="15" customHeight="1" x14ac:dyDescent="0.2">
      <c r="B2049" s="10" t="s">
        <v>906</v>
      </c>
      <c r="C2049" s="10" t="s">
        <v>110</v>
      </c>
      <c r="D2049" s="16">
        <f>MAX(D2048,Inputs!$D$6)*Inputs!$D$19</f>
        <v>302.74842066699256</v>
      </c>
      <c r="E2049" s="16">
        <f>MAX(E2048,Inputs!$D$6)*Inputs!$D$19</f>
        <v>1153.501628387681</v>
      </c>
      <c r="F2049" s="16">
        <f>MAX(F2048,Inputs!$D$6)*Inputs!$D$19</f>
        <v>1883.329461186783</v>
      </c>
      <c r="G2049" s="16">
        <f>MAX(G2048,Inputs!$D$6)*Inputs!$D$19</f>
        <v>2196.1128181006839</v>
      </c>
      <c r="H2049" s="16">
        <f>MAX(H2048,Inputs!$D$6)*Inputs!$D$19</f>
        <v>2196.1128181006839</v>
      </c>
      <c r="I2049" s="16">
        <f>MAX(I2048,Inputs!$D$6)*Inputs!$D$19</f>
        <v>2196.1128181006839</v>
      </c>
      <c r="J2049" s="16">
        <f>MAX(J2048,Inputs!$D$6)*Inputs!$D$19</f>
        <v>2196.1128181006839</v>
      </c>
      <c r="K2049" s="16">
        <f>MAX(K2048,Inputs!$D$6)*Inputs!$D$19</f>
        <v>2196.1128181006839</v>
      </c>
      <c r="L2049" s="16">
        <f>MAX(L2048,Inputs!$D$6)*Inputs!$D$19</f>
        <v>2196.1128181006839</v>
      </c>
      <c r="M2049" s="16">
        <f>MAX(M2048,Inputs!$D$6)*Inputs!$D$19</f>
        <v>2196.1128181006839</v>
      </c>
    </row>
    <row r="2050" spans="2:13" ht="15" customHeight="1" x14ac:dyDescent="0.2">
      <c r="B2050" s="10" t="s">
        <v>907</v>
      </c>
      <c r="C2050" s="10" t="s">
        <v>110</v>
      </c>
      <c r="D2050" s="16">
        <f t="shared" ref="D2050:M2050" si="448">D2043*$D$2056</f>
        <v>160.42935315370798</v>
      </c>
      <c r="E2050" s="16">
        <f t="shared" si="448"/>
        <v>213.90580420494396</v>
      </c>
      <c r="F2050" s="16">
        <f t="shared" si="448"/>
        <v>160.42935315370798</v>
      </c>
      <c r="G2050" s="16">
        <f t="shared" si="448"/>
        <v>0</v>
      </c>
      <c r="H2050" s="16">
        <f t="shared" si="448"/>
        <v>0</v>
      </c>
      <c r="I2050" s="16">
        <f t="shared" si="448"/>
        <v>0</v>
      </c>
      <c r="J2050" s="16">
        <f t="shared" si="448"/>
        <v>0</v>
      </c>
      <c r="K2050" s="16">
        <f t="shared" si="448"/>
        <v>0</v>
      </c>
      <c r="L2050" s="16">
        <f t="shared" si="448"/>
        <v>0</v>
      </c>
      <c r="M2050" s="16">
        <f t="shared" si="448"/>
        <v>0</v>
      </c>
    </row>
    <row r="2051" spans="2:13" ht="15" customHeight="1" x14ac:dyDescent="0.2">
      <c r="B2051" s="10" t="s">
        <v>908</v>
      </c>
      <c r="C2051" s="10" t="s">
        <v>110</v>
      </c>
      <c r="D2051" s="16">
        <f t="shared" ref="D2051:M2051" si="449">D2047-D2049-D2041-D2042-D2050</f>
        <v>-13198.007705811104</v>
      </c>
      <c r="E2051" s="16">
        <f t="shared" si="449"/>
        <v>-11347.49578307885</v>
      </c>
      <c r="F2051" s="16">
        <f t="shared" si="449"/>
        <v>-23.957760850533504</v>
      </c>
      <c r="G2051" s="16">
        <f t="shared" si="449"/>
        <v>15666.46623436574</v>
      </c>
      <c r="H2051" s="16">
        <f t="shared" si="449"/>
        <v>3422.682861124631</v>
      </c>
      <c r="I2051" s="16">
        <f t="shared" si="449"/>
        <v>-1537.9132128114652</v>
      </c>
      <c r="J2051" s="16">
        <f t="shared" si="449"/>
        <v>3422.682861124631</v>
      </c>
      <c r="K2051" s="16">
        <f t="shared" si="449"/>
        <v>15666.46623436574</v>
      </c>
      <c r="L2051" s="16">
        <f t="shared" si="449"/>
        <v>3422.682861124631</v>
      </c>
      <c r="M2051" s="16">
        <f t="shared" si="449"/>
        <v>-1537.9132128114652</v>
      </c>
    </row>
    <row r="2052" spans="2:13" ht="15" customHeight="1" x14ac:dyDescent="0.2">
      <c r="B2052" s="10" t="s">
        <v>909</v>
      </c>
      <c r="C2052" s="10" t="s">
        <v>110</v>
      </c>
      <c r="D2052" s="16">
        <f>D2051/(Inputs!$D$7+$D$2058)^D2032</f>
        <v>-12491.783881792584</v>
      </c>
      <c r="E2052" s="16">
        <f>E2051/(Inputs!$D$7+$D$2058)^E2032</f>
        <v>-9943.1439521316006</v>
      </c>
      <c r="F2052" s="16">
        <f>F2051/(Inputs!$D$7+$D$2058)^F2032</f>
        <v>-19.438781770711604</v>
      </c>
      <c r="G2052" s="16">
        <f>G2051/(Inputs!$D$7+$D$2058)^G2032</f>
        <v>11770.447853322228</v>
      </c>
      <c r="H2052" s="16">
        <f>H2051/(Inputs!$D$7+$D$2058)^H2032</f>
        <v>2381.1553075324487</v>
      </c>
      <c r="I2052" s="16">
        <f>I2051/(Inputs!$D$7+$D$2058)^I2032</f>
        <v>-990.51373742585986</v>
      </c>
      <c r="J2052" s="16">
        <f>J2051/(Inputs!$D$7+$D$2058)^J2032</f>
        <v>2041.2418181520629</v>
      </c>
      <c r="K2052" s="16">
        <f>K2051/(Inputs!$D$7+$D$2058)^K2032</f>
        <v>8651.6305529757665</v>
      </c>
      <c r="L2052" s="16">
        <f>L2051/(Inputs!$D$7+$D$2058)^L2032</f>
        <v>1750.220235181069</v>
      </c>
      <c r="M2052" s="16">
        <f>M2051/(Inputs!$D$7+$D$2058)^M2032</f>
        <v>-728.05716661299448</v>
      </c>
    </row>
    <row r="2053" spans="2:13" ht="15" customHeight="1" x14ac:dyDescent="0.2">
      <c r="B2053" s="3" t="s">
        <v>910</v>
      </c>
      <c r="C2053" s="10" t="s">
        <v>896</v>
      </c>
      <c r="D2053" s="28">
        <f>(D2039*$D$2057-D2043)/(Inputs!$D$7+$D$2058)^D2032</f>
        <v>102.02871468379014</v>
      </c>
      <c r="E2053" s="28">
        <f>(E2039*$D$2057-E2043)/(Inputs!$D$7+$D$2058)^E2032</f>
        <v>373.96662424307141</v>
      </c>
      <c r="F2053" s="28">
        <f>(F2039*$D$2057-F2043)/(Inputs!$D$7+$D$2058)^F2032</f>
        <v>571.57469363723339</v>
      </c>
      <c r="G2053" s="28">
        <f>(G2039*$D$2057-G2043)/(Inputs!$D$7+$D$2058)^G2032</f>
        <v>622.84747746610822</v>
      </c>
      <c r="H2053" s="28">
        <f>(H2039*$D$2057-H2043)/(Inputs!$D$7+$D$2058)^H2032</f>
        <v>576.7410074472557</v>
      </c>
      <c r="I2053" s="28">
        <f>(I2039*$D$2057-I2043)/(Inputs!$D$7+$D$2058)^I2032</f>
        <v>533.93506644128001</v>
      </c>
      <c r="J2053" s="28">
        <f>(J2039*$D$2057-J2043)/(Inputs!$D$7+$D$2058)^J2032</f>
        <v>494.41036412886126</v>
      </c>
      <c r="K2053" s="28">
        <f>(K2039*$D$2057-K2043)/(Inputs!$D$7+$D$2058)^K2032</f>
        <v>457.81148967655571</v>
      </c>
      <c r="L2053" s="28">
        <f>(L2039*$D$2057-L2043)/(Inputs!$D$7+$D$2058)^L2032</f>
        <v>423.92185780563449</v>
      </c>
      <c r="M2053" s="28">
        <f>(M2039*$D$2057-M2043)/(Inputs!$D$7+$D$2058)^M2032</f>
        <v>392.45821328919851</v>
      </c>
    </row>
    <row r="2054" spans="2:13" ht="15" customHeight="1" x14ac:dyDescent="0.2">
      <c r="B2054" s="10" t="s">
        <v>911</v>
      </c>
      <c r="C2054" s="10" t="s">
        <v>110</v>
      </c>
      <c r="D2054" s="16">
        <f>(-D2041-D2042)/(Inputs!$D$7+$D$2058)^D2032</f>
        <v>-14728.303038392241</v>
      </c>
      <c r="E2054" s="16">
        <f>(-E2041-E2042)/(Inputs!$D$7+$D$2058)^E2032</f>
        <v>-18180.216908055725</v>
      </c>
      <c r="F2054" s="16">
        <f>(-F2041-F2042)/(Inputs!$D$7+$D$2058)^F2032</f>
        <v>-12625.815702688111</v>
      </c>
      <c r="G2054" s="16">
        <f>(-G2041-G2042)/(Inputs!$D$7+$D$2058)^G2032</f>
        <v>-1981.9720696655354</v>
      </c>
      <c r="H2054" s="16">
        <f>(-H2041-H2042)/(Inputs!$D$7+$D$2058)^H2032</f>
        <v>-10353.237634844469</v>
      </c>
      <c r="I2054" s="16">
        <f>(-I2041-I2042)/(Inputs!$D$7+$D$2058)^I2032</f>
        <v>-12779.755102232404</v>
      </c>
      <c r="J2054" s="16">
        <f>(-J2041-J2042)/(Inputs!$D$7+$D$2058)^J2032</f>
        <v>-8875.2974434962562</v>
      </c>
      <c r="K2054" s="16">
        <f>(-K2041-K2042)/(Inputs!$D$7+$D$2058)^K2032</f>
        <v>-1456.8086386129401</v>
      </c>
      <c r="L2054" s="16">
        <f>(-L2041-L2042)/(Inputs!$D$7+$D$2058)^L2032</f>
        <v>-7609.9387347064285</v>
      </c>
      <c r="M2054" s="16">
        <f>(-M2041-M2042)/(Inputs!$D$7+$D$2058)^M2032</f>
        <v>-9393.5015115686074</v>
      </c>
    </row>
    <row r="2055" spans="2:13" ht="15" customHeight="1" x14ac:dyDescent="0.2">
      <c r="B2055" s="10" t="s">
        <v>912</v>
      </c>
      <c r="C2055" s="10" t="s">
        <v>110</v>
      </c>
      <c r="D2055" s="16">
        <f>Prices!I7</f>
        <v>35754.545454545456</v>
      </c>
    </row>
    <row r="2056" spans="2:13" ht="15" customHeight="1" x14ac:dyDescent="0.2">
      <c r="B2056" s="3" t="s">
        <v>913</v>
      </c>
      <c r="C2056" s="10" t="s">
        <v>914</v>
      </c>
      <c r="D2056" s="28">
        <f>IF(J2063&gt;=J2059,J2063,(D2055-J2062)/J2061)</f>
        <v>24.728994705773868</v>
      </c>
      <c r="G2056" s="99" t="s">
        <v>915</v>
      </c>
      <c r="H2056" s="91"/>
      <c r="I2056" s="91"/>
      <c r="J2056" s="28">
        <f>D2056*Inputs!$D$15</f>
        <v>17.25836540515958</v>
      </c>
      <c r="K2056" s="99" t="s">
        <v>916</v>
      </c>
      <c r="L2056" s="91"/>
      <c r="M2056" s="91"/>
    </row>
    <row r="2057" spans="2:13" ht="15" customHeight="1" x14ac:dyDescent="0.2">
      <c r="B2057" s="10" t="s">
        <v>917</v>
      </c>
      <c r="C2057" s="10" t="s">
        <v>104</v>
      </c>
      <c r="D2057" s="30">
        <f>Inputs!$D$145</f>
        <v>0.91</v>
      </c>
      <c r="G2057" s="99" t="s">
        <v>918</v>
      </c>
      <c r="H2057" s="91"/>
      <c r="I2057" s="91"/>
      <c r="J2057" s="28">
        <f>IF(-D2068/D2067&gt;=J2059,-D2068/D2067,-J2062/J2061)</f>
        <v>20.418094932582541</v>
      </c>
      <c r="K2057" s="99" t="s">
        <v>919</v>
      </c>
      <c r="L2057" s="91"/>
      <c r="M2057" s="91"/>
    </row>
    <row r="2058" spans="2:13" ht="15" customHeight="1" x14ac:dyDescent="0.2">
      <c r="B2058" s="10" t="s">
        <v>920</v>
      </c>
      <c r="C2058" s="10" t="s">
        <v>104</v>
      </c>
      <c r="D2058" s="30">
        <f>Inputs!$D$146</f>
        <v>0.08</v>
      </c>
      <c r="G2058" s="99" t="s">
        <v>918</v>
      </c>
      <c r="H2058" s="91"/>
      <c r="I2058" s="91"/>
      <c r="J2058" s="28">
        <f>J2057*Inputs!$D$15</f>
        <v>14.249788453449355</v>
      </c>
      <c r="K2058" s="99" t="s">
        <v>916</v>
      </c>
      <c r="L2058" s="91"/>
      <c r="M2058" s="91"/>
    </row>
    <row r="2059" spans="2:13" ht="15" customHeight="1" x14ac:dyDescent="0.2">
      <c r="B2059" s="3" t="s">
        <v>921</v>
      </c>
      <c r="C2059" s="10" t="s">
        <v>848</v>
      </c>
      <c r="D2059" s="28">
        <f>Capital!$D$13</f>
        <v>57.347931490590682</v>
      </c>
      <c r="G2059" s="99" t="s">
        <v>922</v>
      </c>
      <c r="H2059" s="91"/>
      <c r="I2059" s="91"/>
      <c r="J2059" s="28">
        <f>($D$2059/Inputs!$D$21+$D$2060/Inputs!$D$22)/$D$2057</f>
        <v>15.898732030612395</v>
      </c>
      <c r="K2059" s="99" t="s">
        <v>919</v>
      </c>
      <c r="L2059" s="91"/>
      <c r="M2059" s="91"/>
    </row>
    <row r="2060" spans="2:13" ht="15" customHeight="1" x14ac:dyDescent="0.2">
      <c r="B2060" s="3" t="s">
        <v>923</v>
      </c>
      <c r="C2060" s="10" t="s">
        <v>848</v>
      </c>
      <c r="D2060" s="28">
        <f>Capital!$D$14</f>
        <v>2.6172655041921802</v>
      </c>
    </row>
    <row r="2061" spans="2:13" ht="15" customHeight="1" x14ac:dyDescent="0.2">
      <c r="B2061" s="10" t="s">
        <v>924</v>
      </c>
      <c r="C2061" s="10" t="s">
        <v>896</v>
      </c>
      <c r="D2061" s="28">
        <f>(M2034*(Inputs!$D$7+Inputs!$D$20)*$D$2057*(Inputs!$D$7-Inputs!$D$19)-M2034*Inputs!$D$20*Inputs!$D$23)/($D$2058-Inputs!$D$20)/(Inputs!$D$7+$D$2058)^M2032</f>
        <v>5114.8949556152684</v>
      </c>
      <c r="G2061" s="92" t="s">
        <v>910</v>
      </c>
      <c r="H2061" s="91"/>
      <c r="I2061" s="91"/>
      <c r="J2061" s="28">
        <f>SUM(D2053:M2053)+(M2034*(Inputs!$D$7+Inputs!$D$20)*$D$2057-M2034*Inputs!$D$20*Inputs!$D$23)/($D$2058-Inputs!$D$20)/(Inputs!$D$7+$D$2058)^M2032</f>
        <v>11858.788656914776</v>
      </c>
      <c r="K2061" s="99" t="s">
        <v>896</v>
      </c>
      <c r="L2061" s="91"/>
      <c r="M2061" s="91"/>
    </row>
    <row r="2062" spans="2:13" ht="15" customHeight="1" x14ac:dyDescent="0.2">
      <c r="B2062" s="10" t="s">
        <v>925</v>
      </c>
      <c r="C2062" s="10" t="s">
        <v>110</v>
      </c>
      <c r="D2062" s="16">
        <f>(D2065*Inputs!$D$19-D2065-D2066)/($D$2058-Inputs!$D$20)/(Inputs!$D$7+$D$2058)^M2032</f>
        <v>-93153.423070883771</v>
      </c>
      <c r="G2062" s="92" t="s">
        <v>926</v>
      </c>
      <c r="H2062" s="91"/>
      <c r="I2062" s="91"/>
      <c r="J2062" s="16">
        <f>SUM(D2054:M2054)-(D2065+D2066)/($D$2058-Inputs!$D$20)/(Inputs!$D$7+$D$2058)^M2032</f>
        <v>-226023.23893944838</v>
      </c>
      <c r="K2062" s="99" t="s">
        <v>110</v>
      </c>
      <c r="L2062" s="91"/>
      <c r="M2062" s="91"/>
    </row>
    <row r="2063" spans="2:13" ht="15" customHeight="1" x14ac:dyDescent="0.2">
      <c r="B2063" s="10" t="s">
        <v>927</v>
      </c>
      <c r="C2063" s="10" t="s">
        <v>928</v>
      </c>
      <c r="D2063" s="16">
        <f>(M2034*(Inputs!$D$7+Inputs!$D$20)*$D$2056*$D$2057-D2065)-MAX((M2034*(Inputs!$D$7+Inputs!$D$20)*$D$2056*$D$2057-D2065),Inputs!$D$6)*Inputs!$D$19-D2066-M2034*Inputs!$D$20*$D$2056*Inputs!$D$23</f>
        <v>3872.5823903740229</v>
      </c>
      <c r="G2063" s="99" t="s">
        <v>929</v>
      </c>
      <c r="H2063" s="91"/>
      <c r="I2063" s="91"/>
      <c r="J2063" s="28">
        <f>(D2055-D2068)/D2067</f>
        <v>24.728994705773868</v>
      </c>
      <c r="K2063" s="99" t="s">
        <v>919</v>
      </c>
      <c r="L2063" s="91"/>
      <c r="M2063" s="91"/>
    </row>
    <row r="2064" spans="2:13" ht="15" customHeight="1" x14ac:dyDescent="0.2">
      <c r="B2064" s="10" t="s">
        <v>930</v>
      </c>
      <c r="C2064" s="10" t="s">
        <v>110</v>
      </c>
      <c r="D2064" s="16">
        <f>D2063/($D$2058-Inputs!$D$20)</f>
        <v>70410.58891589132</v>
      </c>
      <c r="G2064" s="99" t="s">
        <v>931</v>
      </c>
      <c r="H2064" s="91"/>
      <c r="I2064" s="91"/>
      <c r="J2064" s="16">
        <f>MIN(D2048:M2048,(M2034*(Inputs!$D$7+Inputs!$D$20)*$D$2056*$D$2057-D2065))</f>
        <v>1009.1614022233086</v>
      </c>
      <c r="K2064" s="99" t="s">
        <v>110</v>
      </c>
      <c r="L2064" s="91"/>
      <c r="M2064" s="91"/>
    </row>
    <row r="2065" spans="1:13" ht="15" customHeight="1" x14ac:dyDescent="0.2">
      <c r="B2065" s="10" t="s">
        <v>932</v>
      </c>
      <c r="C2065" s="10" t="s">
        <v>928</v>
      </c>
      <c r="D2065" s="16">
        <f>M2034*(Inputs!$D$7+Inputs!$D$20)*($D$2059/Inputs!$D$21+$D$2060/Inputs!$D$22)</f>
        <v>13509.71303671543</v>
      </c>
      <c r="G2065" s="99" t="s">
        <v>933</v>
      </c>
      <c r="H2065" s="91"/>
      <c r="I2065" s="91"/>
      <c r="J2065" s="31" t="str">
        <f>IF(J2064&lt;Inputs!$D$6,"breached","satisfied")</f>
        <v>satisfied</v>
      </c>
      <c r="K2065" s="99" t="s">
        <v>934</v>
      </c>
      <c r="L2065" s="91"/>
      <c r="M2065" s="91"/>
    </row>
    <row r="2066" spans="1:13" ht="15" customHeight="1" x14ac:dyDescent="0.2">
      <c r="B2066" s="10" t="s">
        <v>935</v>
      </c>
      <c r="C2066" s="10" t="s">
        <v>928</v>
      </c>
      <c r="D2066" s="16">
        <f>M2034*Inputs!$D$20*($D$2059+$D$2060)</f>
        <v>1365.7073615561799</v>
      </c>
    </row>
    <row r="2067" spans="1:13" ht="15" customHeight="1" x14ac:dyDescent="0.2">
      <c r="B2067" s="10" t="s">
        <v>936</v>
      </c>
      <c r="C2067" s="10" t="s">
        <v>896</v>
      </c>
      <c r="D2067" s="28">
        <f>SUM(D2044:M2044)+D2061</f>
        <v>8293.9867163918389</v>
      </c>
      <c r="G2067" s="99" t="s">
        <v>937</v>
      </c>
      <c r="H2067" s="91"/>
      <c r="I2067" s="91"/>
      <c r="J2067" s="16">
        <f>D2069-D2055</f>
        <v>0</v>
      </c>
      <c r="K2067" s="99" t="s">
        <v>110</v>
      </c>
      <c r="L2067" s="91"/>
      <c r="M2067" s="91"/>
    </row>
    <row r="2068" spans="1:13" ht="15" customHeight="1" x14ac:dyDescent="0.2">
      <c r="B2068" s="10" t="s">
        <v>938</v>
      </c>
      <c r="C2068" s="10" t="s">
        <v>110</v>
      </c>
      <c r="D2068" s="16">
        <f>SUM(D2045:M2045)+D2062</f>
        <v>-169347.40814486711</v>
      </c>
    </row>
    <row r="2069" spans="1:13" ht="15" customHeight="1" x14ac:dyDescent="0.2">
      <c r="B2069" s="10" t="s">
        <v>939</v>
      </c>
      <c r="C2069" s="10" t="s">
        <v>110</v>
      </c>
      <c r="D2069" s="16">
        <f>SUM(D2052:M2052)+D2064/(Inputs!$D$7+$D$2058)^M2032</f>
        <v>35754.545454545485</v>
      </c>
    </row>
    <row r="2070" spans="1:13" ht="15" customHeight="1" x14ac:dyDescent="0.2">
      <c r="B2070" s="10" t="s">
        <v>940</v>
      </c>
      <c r="C2070" s="10" t="s">
        <v>104</v>
      </c>
      <c r="D2070" s="30">
        <f>IF(ABS(D2055)&gt;Inputs!$D$6,D2069/D2055-Inputs!$D$7,Inputs!$D$6)</f>
        <v>8.8817841970012523E-16</v>
      </c>
    </row>
    <row r="2071" spans="1:13" ht="15" customHeight="1" x14ac:dyDescent="0.2">
      <c r="B2071" s="10" t="s">
        <v>941</v>
      </c>
      <c r="C2071" s="10" t="s">
        <v>104</v>
      </c>
      <c r="D2071" s="30">
        <f>IF(ABS(D2069)&gt;Inputs!$D$119,D2064/(Inputs!$D$7+$D$2058)^M2032/D2069,Inputs!$D$6)</f>
        <v>0.9322671224975132</v>
      </c>
    </row>
    <row r="2072" spans="1:13" ht="15" customHeight="1" x14ac:dyDescent="0.2">
      <c r="B2072" s="10" t="s">
        <v>942</v>
      </c>
      <c r="C2072" s="10" t="s">
        <v>943</v>
      </c>
      <c r="D2072" s="26">
        <f>$D$2056*Inputs!$D$8/Prices!$P$6/(Inputs!$D$26/Inputs!$D$25)/Inputs!$D$11/Inputs!$D$56</f>
        <v>4.4970428021187123</v>
      </c>
    </row>
    <row r="2076" spans="1:13" ht="15" customHeight="1" x14ac:dyDescent="0.2">
      <c r="A2076" s="104" t="s">
        <v>2210</v>
      </c>
      <c r="B2076" s="10" t="s">
        <v>886</v>
      </c>
      <c r="C2076" s="10" t="s">
        <v>107</v>
      </c>
      <c r="D2076" s="28">
        <f>Inputs!$D$60</f>
        <v>1</v>
      </c>
      <c r="E2076" s="28">
        <f>Inputs!$D$62</f>
        <v>2</v>
      </c>
      <c r="F2076" s="28">
        <f>Inputs!$D$64</f>
        <v>3</v>
      </c>
      <c r="G2076" s="28">
        <f>Inputs!$D$66</f>
        <v>4</v>
      </c>
      <c r="H2076" s="28">
        <f>Inputs!$D$68</f>
        <v>5</v>
      </c>
      <c r="I2076" s="28">
        <f>Inputs!$D$70</f>
        <v>6</v>
      </c>
      <c r="J2076" s="28">
        <f>Inputs!$D$72</f>
        <v>7</v>
      </c>
      <c r="K2076" s="28">
        <f>Inputs!$D$74</f>
        <v>8</v>
      </c>
      <c r="L2076" s="28">
        <f>Inputs!$D$76</f>
        <v>9</v>
      </c>
      <c r="M2076" s="28">
        <f>Inputs!$D$78</f>
        <v>10</v>
      </c>
    </row>
    <row r="2077" spans="1:13" ht="15" customHeight="1" x14ac:dyDescent="0.2">
      <c r="A2077" s="91"/>
      <c r="B2077" s="10" t="s">
        <v>887</v>
      </c>
      <c r="C2077" s="10" t="s">
        <v>161</v>
      </c>
      <c r="D2077" s="29">
        <f>Inputs!$D$61</f>
        <v>46568</v>
      </c>
      <c r="E2077" s="29">
        <f>Inputs!$D$63</f>
        <v>46934</v>
      </c>
      <c r="F2077" s="29">
        <f>Inputs!$D$65</f>
        <v>47299</v>
      </c>
      <c r="G2077" s="29">
        <f>Inputs!$D$67</f>
        <v>47664</v>
      </c>
      <c r="H2077" s="29">
        <f>Inputs!$D$69</f>
        <v>48029</v>
      </c>
      <c r="I2077" s="29">
        <f>Inputs!$D$71</f>
        <v>48395</v>
      </c>
      <c r="J2077" s="29">
        <f>Inputs!$D$73</f>
        <v>48760</v>
      </c>
      <c r="K2077" s="29">
        <f>Inputs!$D$75</f>
        <v>49125</v>
      </c>
      <c r="L2077" s="29">
        <f>Inputs!$D$77</f>
        <v>49490</v>
      </c>
      <c r="M2077" s="29">
        <f>Inputs!$D$79</f>
        <v>49856</v>
      </c>
    </row>
    <row r="2078" spans="1:13" ht="15" customHeight="1" x14ac:dyDescent="0.2">
      <c r="A2078" s="91"/>
      <c r="B2078" s="10" t="s">
        <v>888</v>
      </c>
      <c r="C2078" s="10" t="s">
        <v>107</v>
      </c>
      <c r="D2078" s="28">
        <f>(D2077-Inputs!$D$13)/Inputs!$D$10</f>
        <v>0.71457905544147848</v>
      </c>
      <c r="E2078" s="28">
        <f>(E2077-Inputs!$D$13)/Inputs!$D$10</f>
        <v>1.7166324435318274</v>
      </c>
      <c r="F2078" s="28">
        <f>(F2077-Inputs!$D$13)/Inputs!$D$10</f>
        <v>2.7159479808350446</v>
      </c>
      <c r="G2078" s="28">
        <f>(G2077-Inputs!$D$13)/Inputs!$D$10</f>
        <v>3.7152635181382614</v>
      </c>
      <c r="H2078" s="28">
        <f>(H2077-Inputs!$D$13)/Inputs!$D$10</f>
        <v>4.7145790554414786</v>
      </c>
      <c r="I2078" s="28">
        <f>(I2077-Inputs!$D$13)/Inputs!$D$10</f>
        <v>5.7166324435318279</v>
      </c>
      <c r="J2078" s="28">
        <f>(J2077-Inputs!$D$13)/Inputs!$D$10</f>
        <v>6.7159479808350442</v>
      </c>
      <c r="K2078" s="28">
        <f>(K2077-Inputs!$D$13)/Inputs!$D$10</f>
        <v>7.7152635181382614</v>
      </c>
      <c r="L2078" s="28">
        <f>(L2077-Inputs!$D$13)/Inputs!$D$10</f>
        <v>8.7145790554414777</v>
      </c>
      <c r="M2078" s="28">
        <f>(M2077-Inputs!$D$13)/Inputs!$D$10</f>
        <v>9.716632443531827</v>
      </c>
    </row>
    <row r="2079" spans="1:13" ht="15" customHeight="1" x14ac:dyDescent="0.2">
      <c r="A2079" s="91"/>
      <c r="B2079" s="10" t="s">
        <v>889</v>
      </c>
      <c r="C2079" s="10" t="s">
        <v>107</v>
      </c>
      <c r="D2079" s="28">
        <f>D2078</f>
        <v>0.71457905544147848</v>
      </c>
      <c r="E2079" s="28">
        <f>Inputs!$D$7</f>
        <v>1</v>
      </c>
      <c r="F2079" s="28">
        <f>Inputs!$D$7</f>
        <v>1</v>
      </c>
      <c r="G2079" s="28">
        <f>Inputs!$D$7</f>
        <v>1</v>
      </c>
      <c r="H2079" s="28">
        <f>Inputs!$D$7</f>
        <v>1</v>
      </c>
      <c r="I2079" s="28">
        <f>Inputs!$D$7</f>
        <v>1</v>
      </c>
      <c r="J2079" s="28">
        <f>Inputs!$D$7</f>
        <v>1</v>
      </c>
      <c r="K2079" s="28">
        <f>Inputs!$D$7</f>
        <v>1</v>
      </c>
      <c r="L2079" s="28">
        <f>Inputs!$D$7</f>
        <v>1</v>
      </c>
      <c r="M2079" s="28">
        <f>Inputs!$D$7</f>
        <v>1</v>
      </c>
    </row>
    <row r="2080" spans="1:13" ht="15" customHeight="1" x14ac:dyDescent="0.2">
      <c r="A2080" s="91"/>
      <c r="B2080" s="3" t="s">
        <v>890</v>
      </c>
      <c r="C2080" s="10" t="s">
        <v>199</v>
      </c>
      <c r="D2080" s="28">
        <f>Inputs!$D$24+(Inputs!$D$80-Inputs!$D$24)*Inputs!$D$83</f>
        <v>305.5</v>
      </c>
      <c r="E2080" s="28">
        <f>Inputs!$D$24+(Inputs!$D$80-Inputs!$D$24)*Inputs!$D$84</f>
        <v>651.5</v>
      </c>
      <c r="F2080" s="28">
        <f>Inputs!$D$24+(Inputs!$D$80-Inputs!$D$24)*Inputs!$D$85</f>
        <v>911</v>
      </c>
      <c r="G2080" s="28">
        <f>Inputs!$D$24+(Inputs!$D$80-Inputs!$D$24)*Inputs!$D$86</f>
        <v>911</v>
      </c>
      <c r="H2080" s="28">
        <f>Inputs!$D$24+(Inputs!$D$80-Inputs!$D$24)*Inputs!$D$87</f>
        <v>911</v>
      </c>
      <c r="I2080" s="28">
        <f>Inputs!$D$24+(Inputs!$D$80-Inputs!$D$24)*Inputs!$D$88</f>
        <v>911</v>
      </c>
      <c r="J2080" s="28">
        <f>Inputs!$D$24+(Inputs!$D$80-Inputs!$D$24)*Inputs!$D$89</f>
        <v>911</v>
      </c>
      <c r="K2080" s="28">
        <f>Inputs!$D$24+(Inputs!$D$80-Inputs!$D$24)*Inputs!$D$90</f>
        <v>911</v>
      </c>
      <c r="L2080" s="28">
        <f>Inputs!$D$24+(Inputs!$D$80-Inputs!$D$24)*Inputs!$D$91</f>
        <v>911</v>
      </c>
      <c r="M2080" s="28">
        <f>Inputs!$D$24+(Inputs!$D$80-Inputs!$D$24)*Inputs!$D$92</f>
        <v>911</v>
      </c>
    </row>
    <row r="2081" spans="1:13" ht="15" customHeight="1" x14ac:dyDescent="0.2">
      <c r="A2081" s="91"/>
      <c r="B2081" s="10" t="s">
        <v>891</v>
      </c>
      <c r="C2081" s="10" t="s">
        <v>199</v>
      </c>
      <c r="D2081" s="28">
        <f>Inputs!$D$24</f>
        <v>46</v>
      </c>
      <c r="E2081" s="28">
        <f t="shared" ref="E2081:M2081" si="450">D2080</f>
        <v>305.5</v>
      </c>
      <c r="F2081" s="28">
        <f t="shared" si="450"/>
        <v>651.5</v>
      </c>
      <c r="G2081" s="28">
        <f t="shared" si="450"/>
        <v>911</v>
      </c>
      <c r="H2081" s="28">
        <f t="shared" si="450"/>
        <v>911</v>
      </c>
      <c r="I2081" s="28">
        <f t="shared" si="450"/>
        <v>911</v>
      </c>
      <c r="J2081" s="28">
        <f t="shared" si="450"/>
        <v>911</v>
      </c>
      <c r="K2081" s="28">
        <f t="shared" si="450"/>
        <v>911</v>
      </c>
      <c r="L2081" s="28">
        <f t="shared" si="450"/>
        <v>911</v>
      </c>
      <c r="M2081" s="28">
        <f t="shared" si="450"/>
        <v>911</v>
      </c>
    </row>
    <row r="2082" spans="1:13" ht="15" customHeight="1" x14ac:dyDescent="0.2">
      <c r="B2082" s="10" t="s">
        <v>892</v>
      </c>
      <c r="C2082" s="10" t="s">
        <v>199</v>
      </c>
      <c r="D2082" s="28">
        <f>(D2081+D2080)*Inputs!$D$12</f>
        <v>175.75</v>
      </c>
      <c r="E2082" s="28">
        <f>(E2081+E2080)*Inputs!$D$12</f>
        <v>478.5</v>
      </c>
      <c r="F2082" s="28">
        <f>(F2081+F2080)*Inputs!$D$12</f>
        <v>781.25</v>
      </c>
      <c r="G2082" s="28">
        <f>(G2081+G2080)*Inputs!$D$12</f>
        <v>911</v>
      </c>
      <c r="H2082" s="28">
        <f>(H2081+H2080)*Inputs!$D$12</f>
        <v>911</v>
      </c>
      <c r="I2082" s="28">
        <f>(I2081+I2080)*Inputs!$D$12</f>
        <v>911</v>
      </c>
      <c r="J2082" s="28">
        <f>(J2081+J2080)*Inputs!$D$12</f>
        <v>911</v>
      </c>
      <c r="K2082" s="28">
        <f>(K2081+K2080)*Inputs!$D$12</f>
        <v>911</v>
      </c>
      <c r="L2082" s="28">
        <f>(L2081+L2080)*Inputs!$D$12</f>
        <v>911</v>
      </c>
      <c r="M2082" s="28">
        <f>(M2081+M2080)*Inputs!$D$12</f>
        <v>911</v>
      </c>
    </row>
    <row r="2083" spans="1:13" ht="15" customHeight="1" x14ac:dyDescent="0.2">
      <c r="B2083" s="10" t="s">
        <v>893</v>
      </c>
      <c r="C2083" s="10" t="s">
        <v>199</v>
      </c>
      <c r="D2083" s="28">
        <f t="shared" ref="D2083:M2083" si="451">D2080-D2081</f>
        <v>259.5</v>
      </c>
      <c r="E2083" s="28">
        <f t="shared" si="451"/>
        <v>346</v>
      </c>
      <c r="F2083" s="28">
        <f t="shared" si="451"/>
        <v>259.5</v>
      </c>
      <c r="G2083" s="28">
        <f t="shared" si="451"/>
        <v>0</v>
      </c>
      <c r="H2083" s="28">
        <f t="shared" si="451"/>
        <v>0</v>
      </c>
      <c r="I2083" s="28">
        <f t="shared" si="451"/>
        <v>0</v>
      </c>
      <c r="J2083" s="28">
        <f t="shared" si="451"/>
        <v>0</v>
      </c>
      <c r="K2083" s="28">
        <f t="shared" si="451"/>
        <v>0</v>
      </c>
      <c r="L2083" s="28">
        <f t="shared" si="451"/>
        <v>0</v>
      </c>
      <c r="M2083" s="28">
        <f t="shared" si="451"/>
        <v>0</v>
      </c>
    </row>
    <row r="2084" spans="1:13" ht="15" customHeight="1" x14ac:dyDescent="0.2">
      <c r="B2084" s="10" t="s">
        <v>894</v>
      </c>
      <c r="C2084" s="10" t="s">
        <v>199</v>
      </c>
      <c r="D2084" s="28">
        <f>IF(MOD(D2076,Inputs!$D$21)=Inputs!$D$6,Inputs!$D$24,Inputs!$D$6)+SUMPRODUCT(--(D2076&gt;$D$2076:$M$2076),--(MOD(D2076-$D$2076:$M$2076,Inputs!$D$21)=Inputs!$D$6),$D$2083:$M$2083)</f>
        <v>0</v>
      </c>
      <c r="E2084" s="28">
        <f>IF(MOD(E2076,Inputs!$D$21)=Inputs!$D$6,Inputs!$D$24,Inputs!$D$6)+SUMPRODUCT(--(E2076&gt;$D$2076:$M$2076),--(MOD(E2076-$D$2076:$M$2076,Inputs!$D$21)=Inputs!$D$6),$D$2083:$M$2083)</f>
        <v>0</v>
      </c>
      <c r="F2084" s="28">
        <f>IF(MOD(F2076,Inputs!$D$21)=Inputs!$D$6,Inputs!$D$24,Inputs!$D$6)+SUMPRODUCT(--(F2076&gt;$D$2076:$M$2076),--(MOD(F2076-$D$2076:$M$2076,Inputs!$D$21)=Inputs!$D$6),$D$2083:$M$2083)</f>
        <v>0</v>
      </c>
      <c r="G2084" s="28">
        <f>IF(MOD(G2076,Inputs!$D$21)=Inputs!$D$6,Inputs!$D$24,Inputs!$D$6)+SUMPRODUCT(--(G2076&gt;$D$2076:$M$2076),--(MOD(G2076-$D$2076:$M$2076,Inputs!$D$21)=Inputs!$D$6),$D$2083:$M$2083)</f>
        <v>46</v>
      </c>
      <c r="H2084" s="28">
        <f>IF(MOD(H2076,Inputs!$D$21)=Inputs!$D$6,Inputs!$D$24,Inputs!$D$6)+SUMPRODUCT(--(H2076&gt;$D$2076:$M$2076),--(MOD(H2076-$D$2076:$M$2076,Inputs!$D$21)=Inputs!$D$6),$D$2083:$M$2083)</f>
        <v>259.5</v>
      </c>
      <c r="I2084" s="28">
        <f>IF(MOD(I2076,Inputs!$D$21)=Inputs!$D$6,Inputs!$D$24,Inputs!$D$6)+SUMPRODUCT(--(I2076&gt;$D$2076:$M$2076),--(MOD(I2076-$D$2076:$M$2076,Inputs!$D$21)=Inputs!$D$6),$D$2083:$M$2083)</f>
        <v>346</v>
      </c>
      <c r="J2084" s="28">
        <f>IF(MOD(J2076,Inputs!$D$21)=Inputs!$D$6,Inputs!$D$24,Inputs!$D$6)+SUMPRODUCT(--(J2076&gt;$D$2076:$M$2076),--(MOD(J2076-$D$2076:$M$2076,Inputs!$D$21)=Inputs!$D$6),$D$2083:$M$2083)</f>
        <v>259.5</v>
      </c>
      <c r="K2084" s="28">
        <f>IF(MOD(K2076,Inputs!$D$21)=Inputs!$D$6,Inputs!$D$24,Inputs!$D$6)+SUMPRODUCT(--(K2076&gt;$D$2076:$M$2076),--(MOD(K2076-$D$2076:$M$2076,Inputs!$D$21)=Inputs!$D$6),$D$2083:$M$2083)</f>
        <v>46</v>
      </c>
      <c r="L2084" s="28">
        <f>IF(MOD(L2076,Inputs!$D$21)=Inputs!$D$6,Inputs!$D$24,Inputs!$D$6)+SUMPRODUCT(--(L2076&gt;$D$2076:$M$2076),--(MOD(L2076-$D$2076:$M$2076,Inputs!$D$21)=Inputs!$D$6),$D$2083:$M$2083)</f>
        <v>259.5</v>
      </c>
      <c r="M2084" s="28">
        <f>IF(MOD(M2076,Inputs!$D$21)=Inputs!$D$6,Inputs!$D$24,Inputs!$D$6)+SUMPRODUCT(--(M2076&gt;$D$2076:$M$2076),--(MOD(M2076-$D$2076:$M$2076,Inputs!$D$21)=Inputs!$D$6),$D$2083:$M$2083)</f>
        <v>346</v>
      </c>
    </row>
    <row r="2085" spans="1:13" ht="15" customHeight="1" x14ac:dyDescent="0.2">
      <c r="B2085" s="10" t="s">
        <v>895</v>
      </c>
      <c r="C2085" s="10" t="s">
        <v>896</v>
      </c>
      <c r="D2085" s="28">
        <f t="shared" ref="D2085:M2085" si="452">D2082*D2079</f>
        <v>125.58726899383984</v>
      </c>
      <c r="E2085" s="28">
        <f t="shared" si="452"/>
        <v>478.5</v>
      </c>
      <c r="F2085" s="28">
        <f t="shared" si="452"/>
        <v>781.25</v>
      </c>
      <c r="G2085" s="28">
        <f t="shared" si="452"/>
        <v>911</v>
      </c>
      <c r="H2085" s="28">
        <f t="shared" si="452"/>
        <v>911</v>
      </c>
      <c r="I2085" s="28">
        <f t="shared" si="452"/>
        <v>911</v>
      </c>
      <c r="J2085" s="28">
        <f t="shared" si="452"/>
        <v>911</v>
      </c>
      <c r="K2085" s="28">
        <f t="shared" si="452"/>
        <v>911</v>
      </c>
      <c r="L2085" s="28">
        <f t="shared" si="452"/>
        <v>911</v>
      </c>
      <c r="M2085" s="28">
        <f t="shared" si="452"/>
        <v>911</v>
      </c>
    </row>
    <row r="2086" spans="1:13" ht="15" customHeight="1" x14ac:dyDescent="0.2">
      <c r="B2086" s="10" t="s">
        <v>897</v>
      </c>
      <c r="C2086" s="10" t="s">
        <v>110</v>
      </c>
      <c r="D2086" s="16">
        <f>D2085*($D$2105/Inputs!$D$21+$D$2106/Inputs!$D$22)</f>
        <v>1816.9772859324419</v>
      </c>
      <c r="E2086" s="16">
        <f>E2085*($D$2105/Inputs!$D$21+$D$2106/Inputs!$D$22)</f>
        <v>6922.8643817497086</v>
      </c>
      <c r="F2086" s="16">
        <f>F2085*($D$2105/Inputs!$D$21+$D$2106/Inputs!$D$22)</f>
        <v>11303.0048030135</v>
      </c>
      <c r="G2086" s="16">
        <f>G2085*($D$2105/Inputs!$D$21+$D$2106/Inputs!$D$22)</f>
        <v>13180.207840697982</v>
      </c>
      <c r="H2086" s="16">
        <f>H2085*($D$2105/Inputs!$D$21+$D$2106/Inputs!$D$22)</f>
        <v>13180.207840697982</v>
      </c>
      <c r="I2086" s="16">
        <f>I2085*($D$2105/Inputs!$D$21+$D$2106/Inputs!$D$22)</f>
        <v>13180.207840697982</v>
      </c>
      <c r="J2086" s="16">
        <f>J2085*($D$2105/Inputs!$D$21+$D$2106/Inputs!$D$22)</f>
        <v>13180.207840697982</v>
      </c>
      <c r="K2086" s="16">
        <f>K2085*($D$2105/Inputs!$D$21+$D$2106/Inputs!$D$22)</f>
        <v>13180.207840697982</v>
      </c>
      <c r="L2086" s="16">
        <f>L2085*($D$2105/Inputs!$D$21+$D$2106/Inputs!$D$22)</f>
        <v>13180.207840697982</v>
      </c>
      <c r="M2086" s="16">
        <f>M2085*($D$2105/Inputs!$D$21+$D$2106/Inputs!$D$22)</f>
        <v>13180.207840697982</v>
      </c>
    </row>
    <row r="2087" spans="1:13" ht="15" customHeight="1" x14ac:dyDescent="0.2">
      <c r="B2087" s="10" t="s">
        <v>898</v>
      </c>
      <c r="C2087" s="10" t="s">
        <v>110</v>
      </c>
      <c r="D2087" s="16">
        <f t="shared" ref="D2087:M2087" si="453">D2083*($D$2105+$D$2106)</f>
        <v>15560.968620146154</v>
      </c>
      <c r="E2087" s="16">
        <f t="shared" si="453"/>
        <v>20747.95816019487</v>
      </c>
      <c r="F2087" s="16">
        <f t="shared" si="453"/>
        <v>15560.968620146154</v>
      </c>
      <c r="G2087" s="16">
        <f t="shared" si="453"/>
        <v>0</v>
      </c>
      <c r="H2087" s="16">
        <f t="shared" si="453"/>
        <v>0</v>
      </c>
      <c r="I2087" s="16">
        <f t="shared" si="453"/>
        <v>0</v>
      </c>
      <c r="J2087" s="16">
        <f t="shared" si="453"/>
        <v>0</v>
      </c>
      <c r="K2087" s="16">
        <f t="shared" si="453"/>
        <v>0</v>
      </c>
      <c r="L2087" s="16">
        <f t="shared" si="453"/>
        <v>0</v>
      </c>
      <c r="M2087" s="16">
        <f t="shared" si="453"/>
        <v>0</v>
      </c>
    </row>
    <row r="2088" spans="1:13" ht="15" customHeight="1" x14ac:dyDescent="0.2">
      <c r="B2088" s="10" t="s">
        <v>899</v>
      </c>
      <c r="C2088" s="10" t="s">
        <v>110</v>
      </c>
      <c r="D2088" s="16">
        <f t="shared" ref="D2088:M2088" si="454">D2084*$D$2105</f>
        <v>0</v>
      </c>
      <c r="E2088" s="16">
        <f t="shared" si="454"/>
        <v>0</v>
      </c>
      <c r="F2088" s="16">
        <f t="shared" si="454"/>
        <v>0</v>
      </c>
      <c r="G2088" s="16">
        <f t="shared" si="454"/>
        <v>2638.0048485671714</v>
      </c>
      <c r="H2088" s="16">
        <f t="shared" si="454"/>
        <v>14881.788221808281</v>
      </c>
      <c r="I2088" s="16">
        <f t="shared" si="454"/>
        <v>19842.384295744378</v>
      </c>
      <c r="J2088" s="16">
        <f t="shared" si="454"/>
        <v>14881.788221808281</v>
      </c>
      <c r="K2088" s="16">
        <f t="shared" si="454"/>
        <v>2638.0048485671714</v>
      </c>
      <c r="L2088" s="16">
        <f t="shared" si="454"/>
        <v>14881.788221808281</v>
      </c>
      <c r="M2088" s="16">
        <f t="shared" si="454"/>
        <v>19842.384295744378</v>
      </c>
    </row>
    <row r="2089" spans="1:13" ht="15" customHeight="1" x14ac:dyDescent="0.2">
      <c r="B2089" s="10" t="s">
        <v>900</v>
      </c>
      <c r="C2089" s="10" t="s">
        <v>199</v>
      </c>
      <c r="D2089" s="28">
        <f>D2083*Inputs!$D$23</f>
        <v>6.4875000000000007</v>
      </c>
      <c r="E2089" s="28">
        <f>E2083*Inputs!$D$23</f>
        <v>8.65</v>
      </c>
      <c r="F2089" s="28">
        <f>F2083*Inputs!$D$23</f>
        <v>6.4875000000000007</v>
      </c>
      <c r="G2089" s="28">
        <f>G2083*Inputs!$D$23</f>
        <v>0</v>
      </c>
      <c r="H2089" s="28">
        <f>H2083*Inputs!$D$23</f>
        <v>0</v>
      </c>
      <c r="I2089" s="28">
        <f>I2083*Inputs!$D$23</f>
        <v>0</v>
      </c>
      <c r="J2089" s="28">
        <f>J2083*Inputs!$D$23</f>
        <v>0</v>
      </c>
      <c r="K2089" s="28">
        <f>K2083*Inputs!$D$23</f>
        <v>0</v>
      </c>
      <c r="L2089" s="28">
        <f>L2083*Inputs!$D$23</f>
        <v>0</v>
      </c>
      <c r="M2089" s="28">
        <f>M2083*Inputs!$D$23</f>
        <v>0</v>
      </c>
    </row>
    <row r="2090" spans="1:13" ht="15" customHeight="1" x14ac:dyDescent="0.2">
      <c r="B2090" s="3" t="s">
        <v>901</v>
      </c>
      <c r="C2090" s="10" t="s">
        <v>896</v>
      </c>
      <c r="D2090" s="28">
        <f>(D2085*$D$2103*(Inputs!$D$7-Inputs!$D$19)-D2089)/(Inputs!$D$7+$D$2104)^D2078</f>
        <v>68.671648423892748</v>
      </c>
      <c r="E2090" s="28">
        <f>(E2085*$D$2103*(Inputs!$D$7-Inputs!$D$19)-E2089)/(Inputs!$D$7+$D$2104)^E2078</f>
        <v>251.45617773497551</v>
      </c>
      <c r="F2090" s="28">
        <f>(F2085*$D$2103*(Inputs!$D$7-Inputs!$D$19)-F2089)/(Inputs!$D$7+$D$2104)^F2078</f>
        <v>379.14937802872566</v>
      </c>
      <c r="G2090" s="28">
        <f>(G2085*$D$2103*(Inputs!$D$7-Inputs!$D$19)-G2089)/(Inputs!$D$7+$D$2104)^G2078</f>
        <v>407.26123717362293</v>
      </c>
      <c r="H2090" s="28">
        <f>(H2085*$D$2103*(Inputs!$D$7-Inputs!$D$19)-H2089)/(Inputs!$D$7+$D$2104)^H2078</f>
        <v>370.26164203754769</v>
      </c>
      <c r="I2090" s="28">
        <f>(I2085*$D$2103*(Inputs!$D$7-Inputs!$D$19)-I2089)/(Inputs!$D$7+$D$2104)^I2078</f>
        <v>336.5356233370091</v>
      </c>
      <c r="J2090" s="28">
        <f>(J2085*$D$2103*(Inputs!$D$7-Inputs!$D$19)-J2089)/(Inputs!$D$7+$D$2104)^J2078</f>
        <v>305.96143489042328</v>
      </c>
      <c r="K2090" s="28">
        <f>(K2085*$D$2103*(Inputs!$D$7-Inputs!$D$19)-K2089)/(Inputs!$D$7+$D$2104)^K2078</f>
        <v>278.16490483820968</v>
      </c>
      <c r="L2090" s="28">
        <f>(L2085*$D$2103*(Inputs!$D$7-Inputs!$D$19)-L2089)/(Inputs!$D$7+$D$2104)^L2078</f>
        <v>252.89368351721029</v>
      </c>
      <c r="M2090" s="28">
        <f>(M2085*$D$2103*(Inputs!$D$7-Inputs!$D$19)-M2089)/(Inputs!$D$7+$D$2104)^M2078</f>
        <v>229.85835894884846</v>
      </c>
    </row>
    <row r="2091" spans="1:13" ht="15" customHeight="1" x14ac:dyDescent="0.2">
      <c r="B2091" s="10" t="s">
        <v>902</v>
      </c>
      <c r="C2091" s="10" t="s">
        <v>110</v>
      </c>
      <c r="D2091" s="16">
        <f>(D2086*Inputs!$D$19-D2087-D2088)/(Inputs!$D$7+$D$2104)^D2078</f>
        <v>-14027.24269342025</v>
      </c>
      <c r="E2091" s="16">
        <f>(E2086*Inputs!$D$19-E2087-E2088)/(Inputs!$D$7+$D$2104)^E2078</f>
        <v>-15853.087323826181</v>
      </c>
      <c r="F2091" s="16">
        <f>(F2086*Inputs!$D$19-F2087-F2088)/(Inputs!$D$7+$D$2104)^F2078</f>
        <v>-9394.4767487293357</v>
      </c>
      <c r="G2091" s="16">
        <f>(G2086*Inputs!$D$19-G2087-G2088)/(Inputs!$D$7+$D$2104)^G2078</f>
        <v>923.61320322684639</v>
      </c>
      <c r="H2091" s="16">
        <f>(H2086*Inputs!$D$19-H2087-H2088)/(Inputs!$D$7+$D$2104)^H2078</f>
        <v>-6972.3744918015345</v>
      </c>
      <c r="I2091" s="16">
        <f>(I2086*Inputs!$D$19-I2087-I2088)/(Inputs!$D$7+$D$2104)^I2078</f>
        <v>-9214.0648467907959</v>
      </c>
      <c r="J2091" s="16">
        <f>(J2086*Inputs!$D$19-J2087-J2088)/(Inputs!$D$7+$D$2104)^J2078</f>
        <v>-5761.5411965591911</v>
      </c>
      <c r="K2091" s="16">
        <f>(K2086*Inputs!$D$19-K2087-K2088)/(Inputs!$D$7+$D$2104)^K2078</f>
        <v>630.8402453567694</v>
      </c>
      <c r="L2091" s="16">
        <f>(L2086*Inputs!$D$19-L2087-L2088)/(Inputs!$D$7+$D$2104)^L2078</f>
        <v>-4762.2255937446444</v>
      </c>
      <c r="M2091" s="16">
        <f>(M2086*Inputs!$D$19-M2087-M2088)/(Inputs!$D$7+$D$2104)^M2078</f>
        <v>-6293.3302689644106</v>
      </c>
    </row>
    <row r="2092" spans="1:13" ht="15" customHeight="1" x14ac:dyDescent="0.2">
      <c r="B2092" s="10" t="s">
        <v>903</v>
      </c>
      <c r="C2092" s="10" t="s">
        <v>110</v>
      </c>
      <c r="D2092" s="16">
        <f t="shared" ref="D2092:M2092" si="455">D2085*$D$2102</f>
        <v>3414.4993838063378</v>
      </c>
      <c r="E2092" s="16">
        <f t="shared" si="455"/>
        <v>13009.582645128416</v>
      </c>
      <c r="F2092" s="16">
        <f t="shared" si="455"/>
        <v>21240.828508895662</v>
      </c>
      <c r="G2092" s="16">
        <f t="shared" si="455"/>
        <v>24768.505307653053</v>
      </c>
      <c r="H2092" s="16">
        <f t="shared" si="455"/>
        <v>24768.505307653053</v>
      </c>
      <c r="I2092" s="16">
        <f t="shared" si="455"/>
        <v>24768.505307653053</v>
      </c>
      <c r="J2092" s="16">
        <f t="shared" si="455"/>
        <v>24768.505307653053</v>
      </c>
      <c r="K2092" s="16">
        <f t="shared" si="455"/>
        <v>24768.505307653053</v>
      </c>
      <c r="L2092" s="16">
        <f t="shared" si="455"/>
        <v>24768.505307653053</v>
      </c>
      <c r="M2092" s="16">
        <f t="shared" si="455"/>
        <v>24768.505307653053</v>
      </c>
    </row>
    <row r="2093" spans="1:13" ht="15" customHeight="1" x14ac:dyDescent="0.2">
      <c r="B2093" s="10" t="s">
        <v>904</v>
      </c>
      <c r="C2093" s="10" t="s">
        <v>110</v>
      </c>
      <c r="D2093" s="16">
        <f t="shared" ref="D2093:M2093" si="456">D2092*$D$2103</f>
        <v>3107.1944392637674</v>
      </c>
      <c r="E2093" s="16">
        <f t="shared" si="456"/>
        <v>11838.720207066859</v>
      </c>
      <c r="F2093" s="16">
        <f t="shared" si="456"/>
        <v>19329.153943095054</v>
      </c>
      <c r="G2093" s="16">
        <f t="shared" si="456"/>
        <v>22539.339829964279</v>
      </c>
      <c r="H2093" s="16">
        <f t="shared" si="456"/>
        <v>22539.339829964279</v>
      </c>
      <c r="I2093" s="16">
        <f t="shared" si="456"/>
        <v>22539.339829964279</v>
      </c>
      <c r="J2093" s="16">
        <f t="shared" si="456"/>
        <v>22539.339829964279</v>
      </c>
      <c r="K2093" s="16">
        <f t="shared" si="456"/>
        <v>22539.339829964279</v>
      </c>
      <c r="L2093" s="16">
        <f t="shared" si="456"/>
        <v>22539.339829964279</v>
      </c>
      <c r="M2093" s="16">
        <f t="shared" si="456"/>
        <v>22539.339829964279</v>
      </c>
    </row>
    <row r="2094" spans="1:13" ht="15" customHeight="1" x14ac:dyDescent="0.2">
      <c r="B2094" s="10" t="s">
        <v>905</v>
      </c>
      <c r="C2094" s="10" t="s">
        <v>110</v>
      </c>
      <c r="D2094" s="16">
        <f t="shared" ref="D2094:M2094" si="457">D2093-D2086</f>
        <v>1290.2171533313256</v>
      </c>
      <c r="E2094" s="16">
        <f t="shared" si="457"/>
        <v>4915.8558253171504</v>
      </c>
      <c r="F2094" s="16">
        <f t="shared" si="457"/>
        <v>8026.1491400815539</v>
      </c>
      <c r="G2094" s="16">
        <f t="shared" si="457"/>
        <v>9359.1319892662978</v>
      </c>
      <c r="H2094" s="16">
        <f t="shared" si="457"/>
        <v>9359.1319892662978</v>
      </c>
      <c r="I2094" s="16">
        <f t="shared" si="457"/>
        <v>9359.1319892662978</v>
      </c>
      <c r="J2094" s="16">
        <f t="shared" si="457"/>
        <v>9359.1319892662978</v>
      </c>
      <c r="K2094" s="16">
        <f t="shared" si="457"/>
        <v>9359.1319892662978</v>
      </c>
      <c r="L2094" s="16">
        <f t="shared" si="457"/>
        <v>9359.1319892662978</v>
      </c>
      <c r="M2094" s="16">
        <f t="shared" si="457"/>
        <v>9359.1319892662978</v>
      </c>
    </row>
    <row r="2095" spans="1:13" ht="15" customHeight="1" x14ac:dyDescent="0.2">
      <c r="B2095" s="10" t="s">
        <v>906</v>
      </c>
      <c r="C2095" s="10" t="s">
        <v>110</v>
      </c>
      <c r="D2095" s="16">
        <f>MAX(D2094,Inputs!$D$6)*Inputs!$D$19</f>
        <v>387.06514599939766</v>
      </c>
      <c r="E2095" s="16">
        <f>MAX(E2094,Inputs!$D$6)*Inputs!$D$19</f>
        <v>1474.756747595145</v>
      </c>
      <c r="F2095" s="16">
        <f>MAX(F2094,Inputs!$D$6)*Inputs!$D$19</f>
        <v>2407.8447420244661</v>
      </c>
      <c r="G2095" s="16">
        <f>MAX(G2094,Inputs!$D$6)*Inputs!$D$19</f>
        <v>2807.7395967798893</v>
      </c>
      <c r="H2095" s="16">
        <f>MAX(H2094,Inputs!$D$6)*Inputs!$D$19</f>
        <v>2807.7395967798893</v>
      </c>
      <c r="I2095" s="16">
        <f>MAX(I2094,Inputs!$D$6)*Inputs!$D$19</f>
        <v>2807.7395967798893</v>
      </c>
      <c r="J2095" s="16">
        <f>MAX(J2094,Inputs!$D$6)*Inputs!$D$19</f>
        <v>2807.7395967798893</v>
      </c>
      <c r="K2095" s="16">
        <f>MAX(K2094,Inputs!$D$6)*Inputs!$D$19</f>
        <v>2807.7395967798893</v>
      </c>
      <c r="L2095" s="16">
        <f>MAX(L2094,Inputs!$D$6)*Inputs!$D$19</f>
        <v>2807.7395967798893</v>
      </c>
      <c r="M2095" s="16">
        <f>MAX(M2094,Inputs!$D$6)*Inputs!$D$19</f>
        <v>2807.7395967798893</v>
      </c>
    </row>
    <row r="2096" spans="1:13" ht="15" customHeight="1" x14ac:dyDescent="0.2">
      <c r="B2096" s="10" t="s">
        <v>907</v>
      </c>
      <c r="C2096" s="10" t="s">
        <v>110</v>
      </c>
      <c r="D2096" s="16">
        <f t="shared" ref="D2096:M2096" si="458">D2089*$D$2102</f>
        <v>176.3838399378696</v>
      </c>
      <c r="E2096" s="16">
        <f t="shared" si="458"/>
        <v>235.17845325049279</v>
      </c>
      <c r="F2096" s="16">
        <f t="shared" si="458"/>
        <v>176.3838399378696</v>
      </c>
      <c r="G2096" s="16">
        <f t="shared" si="458"/>
        <v>0</v>
      </c>
      <c r="H2096" s="16">
        <f t="shared" si="458"/>
        <v>0</v>
      </c>
      <c r="I2096" s="16">
        <f t="shared" si="458"/>
        <v>0</v>
      </c>
      <c r="J2096" s="16">
        <f t="shared" si="458"/>
        <v>0</v>
      </c>
      <c r="K2096" s="16">
        <f t="shared" si="458"/>
        <v>0</v>
      </c>
      <c r="L2096" s="16">
        <f t="shared" si="458"/>
        <v>0</v>
      </c>
      <c r="M2096" s="16">
        <f t="shared" si="458"/>
        <v>0</v>
      </c>
    </row>
    <row r="2097" spans="2:13" ht="15" customHeight="1" x14ac:dyDescent="0.2">
      <c r="B2097" s="10" t="s">
        <v>908</v>
      </c>
      <c r="C2097" s="10" t="s">
        <v>110</v>
      </c>
      <c r="D2097" s="16">
        <f t="shared" ref="D2097:M2097" si="459">D2093-D2095-D2087-D2088-D2096</f>
        <v>-13017.223166819653</v>
      </c>
      <c r="E2097" s="16">
        <f t="shared" si="459"/>
        <v>-10619.17315397365</v>
      </c>
      <c r="F2097" s="16">
        <f t="shared" si="459"/>
        <v>1183.9567409865645</v>
      </c>
      <c r="G2097" s="16">
        <f t="shared" si="459"/>
        <v>17093.59538461722</v>
      </c>
      <c r="H2097" s="16">
        <f t="shared" si="459"/>
        <v>4849.8120113761106</v>
      </c>
      <c r="I2097" s="16">
        <f t="shared" si="459"/>
        <v>-110.78406255998561</v>
      </c>
      <c r="J2097" s="16">
        <f t="shared" si="459"/>
        <v>4849.8120113761106</v>
      </c>
      <c r="K2097" s="16">
        <f t="shared" si="459"/>
        <v>17093.59538461722</v>
      </c>
      <c r="L2097" s="16">
        <f t="shared" si="459"/>
        <v>4849.8120113761106</v>
      </c>
      <c r="M2097" s="16">
        <f t="shared" si="459"/>
        <v>-110.78406255998561</v>
      </c>
    </row>
    <row r="2098" spans="2:13" ht="15" customHeight="1" x14ac:dyDescent="0.2">
      <c r="B2098" s="10" t="s">
        <v>909</v>
      </c>
      <c r="C2098" s="10" t="s">
        <v>110</v>
      </c>
      <c r="D2098" s="16">
        <f>D2097/(Inputs!$D$7+$D$2104)^D2078</f>
        <v>-12160.180027698547</v>
      </c>
      <c r="E2098" s="16">
        <f>E2097/(Inputs!$D$7+$D$2104)^E2078</f>
        <v>-9016.4312613992988</v>
      </c>
      <c r="F2098" s="16">
        <f>F2097/(Inputs!$D$7+$D$2104)^F2078</f>
        <v>913.9353062628129</v>
      </c>
      <c r="G2098" s="16">
        <f>G2097/(Inputs!$D$7+$D$2104)^G2078</f>
        <v>11996.337807547627</v>
      </c>
      <c r="H2098" s="16">
        <f>H2097/(Inputs!$D$7+$D$2104)^H2078</f>
        <v>3094.3954818837974</v>
      </c>
      <c r="I2098" s="16">
        <f>I2097/(Inputs!$D$7+$D$2104)^I2078</f>
        <v>-64.246654873077489</v>
      </c>
      <c r="J2098" s="16">
        <f>J2097/(Inputs!$D$7+$D$2104)^J2078</f>
        <v>2557.0179955600133</v>
      </c>
      <c r="K2098" s="16">
        <f>K2097/(Inputs!$D$7+$D$2104)^K2078</f>
        <v>8193.6601376597391</v>
      </c>
      <c r="L2098" s="16">
        <f>L2097/(Inputs!$D$7+$D$2104)^L2078</f>
        <v>2113.5137503475148</v>
      </c>
      <c r="M2098" s="16">
        <f>M2097/(Inputs!$D$7+$D$2104)^M2078</f>
        <v>-43.881329740507802</v>
      </c>
    </row>
    <row r="2099" spans="2:13" ht="15" customHeight="1" x14ac:dyDescent="0.2">
      <c r="B2099" s="3" t="s">
        <v>910</v>
      </c>
      <c r="C2099" s="10" t="s">
        <v>896</v>
      </c>
      <c r="D2099" s="28">
        <f>(D2085*$D$2103-D2089)/(Inputs!$D$7+$D$2104)^D2078</f>
        <v>100.69965563392681</v>
      </c>
      <c r="E2099" s="28">
        <f>(E2085*$D$2103-E2089)/(Inputs!$D$7+$D$2104)^E2078</f>
        <v>362.37073829579333</v>
      </c>
      <c r="F2099" s="28">
        <f>(F2085*$D$2103-F2089)/(Inputs!$D$7+$D$2104)^F2078</f>
        <v>543.78821810698628</v>
      </c>
      <c r="G2099" s="28">
        <f>(G2085*$D$2103-G2089)/(Inputs!$D$7+$D$2104)^G2078</f>
        <v>581.80176739088995</v>
      </c>
      <c r="H2099" s="28">
        <f>(H2085*$D$2103-H2089)/(Inputs!$D$7+$D$2104)^H2078</f>
        <v>528.94520291078243</v>
      </c>
      <c r="I2099" s="28">
        <f>(I2085*$D$2103-I2089)/(Inputs!$D$7+$D$2104)^I2078</f>
        <v>480.76517619572735</v>
      </c>
      <c r="J2099" s="28">
        <f>(J2085*$D$2103-J2089)/(Inputs!$D$7+$D$2104)^J2078</f>
        <v>437.08776412917615</v>
      </c>
      <c r="K2099" s="28">
        <f>(K2085*$D$2103-K2089)/(Inputs!$D$7+$D$2104)^K2078</f>
        <v>397.37843548315675</v>
      </c>
      <c r="L2099" s="28">
        <f>(L2085*$D$2103-L2089)/(Inputs!$D$7+$D$2104)^L2078</f>
        <v>361.27669073887188</v>
      </c>
      <c r="M2099" s="28">
        <f>(M2085*$D$2103-M2089)/(Inputs!$D$7+$D$2104)^M2078</f>
        <v>328.3690842126407</v>
      </c>
    </row>
    <row r="2100" spans="2:13" ht="15" customHeight="1" x14ac:dyDescent="0.2">
      <c r="B2100" s="10" t="s">
        <v>911</v>
      </c>
      <c r="C2100" s="10" t="s">
        <v>110</v>
      </c>
      <c r="D2100" s="16">
        <f>(-D2087-D2088)/(Inputs!$D$7+$D$2104)^D2078</f>
        <v>-14536.447397527105</v>
      </c>
      <c r="E2100" s="16">
        <f>(-E2087-E2088)/(Inputs!$D$7+$D$2104)^E2078</f>
        <v>-17616.488200475756</v>
      </c>
      <c r="F2100" s="16">
        <f>(-F2087-F2088)/(Inputs!$D$7+$D$2104)^F2078</f>
        <v>-12012.025548964448</v>
      </c>
      <c r="G2100" s="16">
        <f>(-G2087-G2088)/(Inputs!$D$7+$D$2104)^G2078</f>
        <v>-1851.359915178487</v>
      </c>
      <c r="H2100" s="16">
        <f>(-H2087-H2088)/(Inputs!$D$7+$D$2104)^H2078</f>
        <v>-9495.2419037884629</v>
      </c>
      <c r="I2100" s="16">
        <f>(-I2087-I2088)/(Inputs!$D$7+$D$2104)^I2078</f>
        <v>-11507.131858586603</v>
      </c>
      <c r="J2100" s="16">
        <f>(-J2087-J2088)/(Inputs!$D$7+$D$2104)^J2078</f>
        <v>-7846.2835672839774</v>
      </c>
      <c r="K2100" s="16">
        <f>(-K2087-K2088)/(Inputs!$D$7+$D$2104)^K2078</f>
        <v>-1264.5037327904422</v>
      </c>
      <c r="L2100" s="16">
        <f>(-L2087-L2088)/(Inputs!$D$7+$D$2104)^L2078</f>
        <v>-6485.3779822337692</v>
      </c>
      <c r="M2100" s="16">
        <f>(-M2087-M2088)/(Inputs!$D$7+$D$2104)^M2078</f>
        <v>-7859.5258920747219</v>
      </c>
    </row>
    <row r="2101" spans="2:13" ht="15" customHeight="1" x14ac:dyDescent="0.2">
      <c r="B2101" s="10" t="s">
        <v>912</v>
      </c>
      <c r="C2101" s="10" t="s">
        <v>110</v>
      </c>
      <c r="D2101" s="16">
        <f>Prices!I7</f>
        <v>35754.545454545456</v>
      </c>
    </row>
    <row r="2102" spans="2:13" ht="15" customHeight="1" x14ac:dyDescent="0.2">
      <c r="B2102" s="3" t="s">
        <v>913</v>
      </c>
      <c r="C2102" s="10" t="s">
        <v>914</v>
      </c>
      <c r="D2102" s="28">
        <f>IF(J2109&gt;=J2105,J2109,(D2101-J2108)/J2107)</f>
        <v>27.188260491386448</v>
      </c>
      <c r="G2102" s="99" t="s">
        <v>915</v>
      </c>
      <c r="H2102" s="91"/>
      <c r="I2102" s="91"/>
      <c r="J2102" s="28">
        <f>D2102*Inputs!$D$15</f>
        <v>18.974686996938601</v>
      </c>
      <c r="K2102" s="99" t="s">
        <v>916</v>
      </c>
      <c r="L2102" s="91"/>
      <c r="M2102" s="91"/>
    </row>
    <row r="2103" spans="2:13" ht="15" customHeight="1" x14ac:dyDescent="0.2">
      <c r="B2103" s="10" t="s">
        <v>917</v>
      </c>
      <c r="C2103" s="10" t="s">
        <v>104</v>
      </c>
      <c r="D2103" s="30">
        <f>Inputs!$D$145</f>
        <v>0.91</v>
      </c>
      <c r="G2103" s="99" t="s">
        <v>918</v>
      </c>
      <c r="H2103" s="91"/>
      <c r="I2103" s="91"/>
      <c r="J2103" s="28">
        <f>IF(-D2114/D2113&gt;=J2105,-D2114/D2113,-J2108/J2107)</f>
        <v>21.247590232765496</v>
      </c>
      <c r="K2103" s="99" t="s">
        <v>919</v>
      </c>
      <c r="L2103" s="91"/>
      <c r="M2103" s="91"/>
    </row>
    <row r="2104" spans="2:13" ht="15" customHeight="1" x14ac:dyDescent="0.2">
      <c r="B2104" s="10" t="s">
        <v>920</v>
      </c>
      <c r="C2104" s="10" t="s">
        <v>104</v>
      </c>
      <c r="D2104" s="30">
        <f>Inputs!$D$147</f>
        <v>0.1</v>
      </c>
      <c r="G2104" s="99" t="s">
        <v>918</v>
      </c>
      <c r="H2104" s="91"/>
      <c r="I2104" s="91"/>
      <c r="J2104" s="28">
        <f>J2103*Inputs!$D$15</f>
        <v>14.82869322344704</v>
      </c>
      <c r="K2104" s="99" t="s">
        <v>916</v>
      </c>
      <c r="L2104" s="91"/>
      <c r="M2104" s="91"/>
    </row>
    <row r="2105" spans="2:13" ht="15" customHeight="1" x14ac:dyDescent="0.2">
      <c r="B2105" s="3" t="s">
        <v>921</v>
      </c>
      <c r="C2105" s="10" t="s">
        <v>848</v>
      </c>
      <c r="D2105" s="28">
        <f>Capital!$D$13</f>
        <v>57.347931490590682</v>
      </c>
      <c r="G2105" s="99" t="s">
        <v>922</v>
      </c>
      <c r="H2105" s="91"/>
      <c r="I2105" s="91"/>
      <c r="J2105" s="28">
        <f>($D$2105/Inputs!$D$21+$D$2106/Inputs!$D$22)/$D$2103</f>
        <v>15.898732030612395</v>
      </c>
      <c r="K2105" s="99" t="s">
        <v>919</v>
      </c>
      <c r="L2105" s="91"/>
      <c r="M2105" s="91"/>
    </row>
    <row r="2106" spans="2:13" ht="15" customHeight="1" x14ac:dyDescent="0.2">
      <c r="B2106" s="3" t="s">
        <v>923</v>
      </c>
      <c r="C2106" s="10" t="s">
        <v>848</v>
      </c>
      <c r="D2106" s="28">
        <f>Capital!$D$14</f>
        <v>2.6172655041921802</v>
      </c>
    </row>
    <row r="2107" spans="2:13" ht="15" customHeight="1" x14ac:dyDescent="0.2">
      <c r="B2107" s="10" t="s">
        <v>924</v>
      </c>
      <c r="C2107" s="10" t="s">
        <v>896</v>
      </c>
      <c r="D2107" s="28">
        <f>(M2080*(Inputs!$D$7+Inputs!$D$20)*$D$2103*(Inputs!$D$7-Inputs!$D$19)-M2080*Inputs!$D$20*Inputs!$D$23)/($D$2104-Inputs!$D$20)/(Inputs!$D$7+$D$2104)^M2078</f>
        <v>3138.3905294052083</v>
      </c>
      <c r="G2107" s="92" t="s">
        <v>910</v>
      </c>
      <c r="H2107" s="91"/>
      <c r="I2107" s="91"/>
      <c r="J2107" s="28">
        <f>SUM(D2099:M2099)+(M2080*(Inputs!$D$7+Inputs!$D$20)*$D$2103-M2080*Inputs!$D$20*Inputs!$D$23)/($D$2104-Inputs!$D$20)/(Inputs!$D$7+$D$2104)^M2078</f>
        <v>8607.1865077749862</v>
      </c>
      <c r="K2107" s="99" t="s">
        <v>896</v>
      </c>
      <c r="L2107" s="91"/>
      <c r="M2107" s="91"/>
    </row>
    <row r="2108" spans="2:13" ht="15" customHeight="1" x14ac:dyDescent="0.2">
      <c r="B2108" s="10" t="s">
        <v>925</v>
      </c>
      <c r="C2108" s="10" t="s">
        <v>110</v>
      </c>
      <c r="D2108" s="16">
        <f>(D2111*Inputs!$D$19-D2111-D2112)/($D$2104-Inputs!$D$20)/(Inputs!$D$7+$D$2104)^M2078</f>
        <v>-57156.954988173631</v>
      </c>
      <c r="G2108" s="92" t="s">
        <v>926</v>
      </c>
      <c r="H2108" s="91"/>
      <c r="I2108" s="91"/>
      <c r="J2108" s="16">
        <f>SUM(D2100:M2100)-(D2111+D2112)/($D$2104-Inputs!$D$20)/(Inputs!$D$7+$D$2104)^M2078</f>
        <v>-169036.01450291832</v>
      </c>
      <c r="K2108" s="99" t="s">
        <v>110</v>
      </c>
      <c r="L2108" s="91"/>
      <c r="M2108" s="91"/>
    </row>
    <row r="2109" spans="2:13" ht="15" customHeight="1" x14ac:dyDescent="0.2">
      <c r="B2109" s="10" t="s">
        <v>927</v>
      </c>
      <c r="C2109" s="10" t="s">
        <v>928</v>
      </c>
      <c r="D2109" s="16">
        <f>(M2080*(Inputs!$D$7+Inputs!$D$20)*$D$2102*$D$2103-D2111)-MAX((M2080*(Inputs!$D$7+Inputs!$D$20)*$D$2102*$D$2103-D2111),Inputs!$D$6)*Inputs!$D$19-D2112-M2080*Inputs!$D$20*$D$2102*Inputs!$D$23</f>
        <v>5333.989524925104</v>
      </c>
      <c r="G2109" s="99" t="s">
        <v>929</v>
      </c>
      <c r="H2109" s="91"/>
      <c r="I2109" s="91"/>
      <c r="J2109" s="28">
        <f>(D2101-D2114)/D2113</f>
        <v>27.188260491386448</v>
      </c>
      <c r="K2109" s="99" t="s">
        <v>919</v>
      </c>
      <c r="L2109" s="91"/>
      <c r="M2109" s="91"/>
    </row>
    <row r="2110" spans="2:13" ht="15" customHeight="1" x14ac:dyDescent="0.2">
      <c r="B2110" s="10" t="s">
        <v>930</v>
      </c>
      <c r="C2110" s="10" t="s">
        <v>110</v>
      </c>
      <c r="D2110" s="16">
        <f>D2109/($D$2104-Inputs!$D$20)</f>
        <v>71119.860332334705</v>
      </c>
      <c r="G2110" s="99" t="s">
        <v>931</v>
      </c>
      <c r="H2110" s="91"/>
      <c r="I2110" s="91"/>
      <c r="J2110" s="16">
        <f>MIN(D2094:M2094,(M2080*(Inputs!$D$7+Inputs!$D$20)*$D$2102*$D$2103-D2111))</f>
        <v>1290.2171533313256</v>
      </c>
      <c r="K2110" s="99" t="s">
        <v>110</v>
      </c>
      <c r="L2110" s="91"/>
      <c r="M2110" s="91"/>
    </row>
    <row r="2111" spans="2:13" ht="15" customHeight="1" x14ac:dyDescent="0.2">
      <c r="B2111" s="10" t="s">
        <v>932</v>
      </c>
      <c r="C2111" s="10" t="s">
        <v>928</v>
      </c>
      <c r="D2111" s="16">
        <f>M2080*(Inputs!$D$7+Inputs!$D$20)*($D$2105/Inputs!$D$21+$D$2106/Inputs!$D$22)</f>
        <v>13509.71303671543</v>
      </c>
      <c r="G2111" s="99" t="s">
        <v>933</v>
      </c>
      <c r="H2111" s="91"/>
      <c r="I2111" s="91"/>
      <c r="J2111" s="31" t="str">
        <f>IF(J2110&lt;Inputs!$D$6,"breached","satisfied")</f>
        <v>satisfied</v>
      </c>
      <c r="K2111" s="99" t="s">
        <v>934</v>
      </c>
      <c r="L2111" s="91"/>
      <c r="M2111" s="91"/>
    </row>
    <row r="2112" spans="2:13" ht="15" customHeight="1" x14ac:dyDescent="0.2">
      <c r="B2112" s="10" t="s">
        <v>935</v>
      </c>
      <c r="C2112" s="10" t="s">
        <v>928</v>
      </c>
      <c r="D2112" s="16">
        <f>M2080*Inputs!$D$20*($D$2105+$D$2106)</f>
        <v>1365.7073615561799</v>
      </c>
    </row>
    <row r="2113" spans="1:13" ht="15" customHeight="1" x14ac:dyDescent="0.2">
      <c r="B2113" s="10" t="s">
        <v>936</v>
      </c>
      <c r="C2113" s="10" t="s">
        <v>896</v>
      </c>
      <c r="D2113" s="28">
        <f>SUM(D2090:M2090)+D2107</f>
        <v>6018.6046183356739</v>
      </c>
      <c r="G2113" s="99" t="s">
        <v>937</v>
      </c>
      <c r="H2113" s="91"/>
      <c r="I2113" s="91"/>
      <c r="J2113" s="16">
        <f>D2115-D2101</f>
        <v>0</v>
      </c>
      <c r="K2113" s="99" t="s">
        <v>110</v>
      </c>
      <c r="L2113" s="91"/>
      <c r="M2113" s="91"/>
    </row>
    <row r="2114" spans="1:13" ht="15" customHeight="1" x14ac:dyDescent="0.2">
      <c r="B2114" s="10" t="s">
        <v>938</v>
      </c>
      <c r="C2114" s="10" t="s">
        <v>110</v>
      </c>
      <c r="D2114" s="16">
        <f>SUM(D2091:M2091)+D2108</f>
        <v>-127880.84470342637</v>
      </c>
    </row>
    <row r="2115" spans="1:13" ht="15" customHeight="1" x14ac:dyDescent="0.2">
      <c r="B2115" s="10" t="s">
        <v>939</v>
      </c>
      <c r="C2115" s="10" t="s">
        <v>110</v>
      </c>
      <c r="D2115" s="16">
        <f>SUM(D2098:M2098)+D2110/(Inputs!$D$7+$D$2104)^M2078</f>
        <v>35754.545454545456</v>
      </c>
    </row>
    <row r="2116" spans="1:13" ht="15" customHeight="1" x14ac:dyDescent="0.2">
      <c r="B2116" s="10" t="s">
        <v>940</v>
      </c>
      <c r="C2116" s="10" t="s">
        <v>104</v>
      </c>
      <c r="D2116" s="30">
        <f>IF(ABS(D2101)&gt;Inputs!$D$6,D2115/D2101-Inputs!$D$7,Inputs!$D$6)</f>
        <v>0</v>
      </c>
    </row>
    <row r="2117" spans="1:13" ht="15" customHeight="1" x14ac:dyDescent="0.2">
      <c r="B2117" s="10" t="s">
        <v>941</v>
      </c>
      <c r="C2117" s="10" t="s">
        <v>104</v>
      </c>
      <c r="D2117" s="30">
        <f>IF(ABS(D2115)&gt;Inputs!$D$119,D2110/(Inputs!$D$7+$D$2104)^M2078/D2115,Inputs!$D$6)</f>
        <v>0.78788371914301847</v>
      </c>
    </row>
    <row r="2118" spans="1:13" ht="15" customHeight="1" x14ac:dyDescent="0.2">
      <c r="B2118" s="10" t="s">
        <v>942</v>
      </c>
      <c r="C2118" s="10" t="s">
        <v>943</v>
      </c>
      <c r="D2118" s="26">
        <f>$D$2102*Inputs!$D$8/Prices!$P$6/(Inputs!$D$26/Inputs!$D$25)/Inputs!$D$11/Inputs!$D$56</f>
        <v>4.9442677553071102</v>
      </c>
    </row>
    <row r="2122" spans="1:13" ht="15" customHeight="1" x14ac:dyDescent="0.2">
      <c r="A2122" s="104" t="s">
        <v>2211</v>
      </c>
      <c r="B2122" s="10" t="s">
        <v>886</v>
      </c>
      <c r="C2122" s="10" t="s">
        <v>107</v>
      </c>
      <c r="D2122" s="28">
        <f>Inputs!$D$60</f>
        <v>1</v>
      </c>
      <c r="E2122" s="28">
        <f>Inputs!$D$62</f>
        <v>2</v>
      </c>
      <c r="F2122" s="28">
        <f>Inputs!$D$64</f>
        <v>3</v>
      </c>
      <c r="G2122" s="28">
        <f>Inputs!$D$66</f>
        <v>4</v>
      </c>
      <c r="H2122" s="28">
        <f>Inputs!$D$68</f>
        <v>5</v>
      </c>
      <c r="I2122" s="28">
        <f>Inputs!$D$70</f>
        <v>6</v>
      </c>
      <c r="J2122" s="28">
        <f>Inputs!$D$72</f>
        <v>7</v>
      </c>
      <c r="K2122" s="28">
        <f>Inputs!$D$74</f>
        <v>8</v>
      </c>
      <c r="L2122" s="28">
        <f>Inputs!$D$76</f>
        <v>9</v>
      </c>
      <c r="M2122" s="28">
        <f>Inputs!$D$78</f>
        <v>10</v>
      </c>
    </row>
    <row r="2123" spans="1:13" ht="15" customHeight="1" x14ac:dyDescent="0.2">
      <c r="A2123" s="91"/>
      <c r="B2123" s="10" t="s">
        <v>887</v>
      </c>
      <c r="C2123" s="10" t="s">
        <v>161</v>
      </c>
      <c r="D2123" s="29">
        <f>Inputs!$D$61</f>
        <v>46568</v>
      </c>
      <c r="E2123" s="29">
        <f>Inputs!$D$63</f>
        <v>46934</v>
      </c>
      <c r="F2123" s="29">
        <f>Inputs!$D$65</f>
        <v>47299</v>
      </c>
      <c r="G2123" s="29">
        <f>Inputs!$D$67</f>
        <v>47664</v>
      </c>
      <c r="H2123" s="29">
        <f>Inputs!$D$69</f>
        <v>48029</v>
      </c>
      <c r="I2123" s="29">
        <f>Inputs!$D$71</f>
        <v>48395</v>
      </c>
      <c r="J2123" s="29">
        <f>Inputs!$D$73</f>
        <v>48760</v>
      </c>
      <c r="K2123" s="29">
        <f>Inputs!$D$75</f>
        <v>49125</v>
      </c>
      <c r="L2123" s="29">
        <f>Inputs!$D$77</f>
        <v>49490</v>
      </c>
      <c r="M2123" s="29">
        <f>Inputs!$D$79</f>
        <v>49856</v>
      </c>
    </row>
    <row r="2124" spans="1:13" ht="15" customHeight="1" x14ac:dyDescent="0.2">
      <c r="A2124" s="91"/>
      <c r="B2124" s="10" t="s">
        <v>888</v>
      </c>
      <c r="C2124" s="10" t="s">
        <v>107</v>
      </c>
      <c r="D2124" s="28">
        <f>(D2123-Inputs!$D$13)/Inputs!$D$10</f>
        <v>0.71457905544147848</v>
      </c>
      <c r="E2124" s="28">
        <f>(E2123-Inputs!$D$13)/Inputs!$D$10</f>
        <v>1.7166324435318274</v>
      </c>
      <c r="F2124" s="28">
        <f>(F2123-Inputs!$D$13)/Inputs!$D$10</f>
        <v>2.7159479808350446</v>
      </c>
      <c r="G2124" s="28">
        <f>(G2123-Inputs!$D$13)/Inputs!$D$10</f>
        <v>3.7152635181382614</v>
      </c>
      <c r="H2124" s="28">
        <f>(H2123-Inputs!$D$13)/Inputs!$D$10</f>
        <v>4.7145790554414786</v>
      </c>
      <c r="I2124" s="28">
        <f>(I2123-Inputs!$D$13)/Inputs!$D$10</f>
        <v>5.7166324435318279</v>
      </c>
      <c r="J2124" s="28">
        <f>(J2123-Inputs!$D$13)/Inputs!$D$10</f>
        <v>6.7159479808350442</v>
      </c>
      <c r="K2124" s="28">
        <f>(K2123-Inputs!$D$13)/Inputs!$D$10</f>
        <v>7.7152635181382614</v>
      </c>
      <c r="L2124" s="28">
        <f>(L2123-Inputs!$D$13)/Inputs!$D$10</f>
        <v>8.7145790554414777</v>
      </c>
      <c r="M2124" s="28">
        <f>(M2123-Inputs!$D$13)/Inputs!$D$10</f>
        <v>9.716632443531827</v>
      </c>
    </row>
    <row r="2125" spans="1:13" ht="15" customHeight="1" x14ac:dyDescent="0.2">
      <c r="A2125" s="91"/>
      <c r="B2125" s="10" t="s">
        <v>889</v>
      </c>
      <c r="C2125" s="10" t="s">
        <v>107</v>
      </c>
      <c r="D2125" s="28">
        <f>D2124</f>
        <v>0.71457905544147848</v>
      </c>
      <c r="E2125" s="28">
        <f>Inputs!$D$7</f>
        <v>1</v>
      </c>
      <c r="F2125" s="28">
        <f>Inputs!$D$7</f>
        <v>1</v>
      </c>
      <c r="G2125" s="28">
        <f>Inputs!$D$7</f>
        <v>1</v>
      </c>
      <c r="H2125" s="28">
        <f>Inputs!$D$7</f>
        <v>1</v>
      </c>
      <c r="I2125" s="28">
        <f>Inputs!$D$7</f>
        <v>1</v>
      </c>
      <c r="J2125" s="28">
        <f>Inputs!$D$7</f>
        <v>1</v>
      </c>
      <c r="K2125" s="28">
        <f>Inputs!$D$7</f>
        <v>1</v>
      </c>
      <c r="L2125" s="28">
        <f>Inputs!$D$7</f>
        <v>1</v>
      </c>
      <c r="M2125" s="28">
        <f>Inputs!$D$7</f>
        <v>1</v>
      </c>
    </row>
    <row r="2126" spans="1:13" ht="15" customHeight="1" x14ac:dyDescent="0.2">
      <c r="A2126" s="91"/>
      <c r="B2126" s="3" t="s">
        <v>890</v>
      </c>
      <c r="C2126" s="10" t="s">
        <v>199</v>
      </c>
      <c r="D2126" s="28">
        <f>Inputs!$D$24+(Inputs!$D$80-Inputs!$D$24)*Inputs!$D$83</f>
        <v>305.5</v>
      </c>
      <c r="E2126" s="28">
        <f>Inputs!$D$24+(Inputs!$D$80-Inputs!$D$24)*Inputs!$D$84</f>
        <v>651.5</v>
      </c>
      <c r="F2126" s="28">
        <f>Inputs!$D$24+(Inputs!$D$80-Inputs!$D$24)*Inputs!$D$85</f>
        <v>911</v>
      </c>
      <c r="G2126" s="28">
        <f>Inputs!$D$24+(Inputs!$D$80-Inputs!$D$24)*Inputs!$D$86</f>
        <v>911</v>
      </c>
      <c r="H2126" s="28">
        <f>Inputs!$D$24+(Inputs!$D$80-Inputs!$D$24)*Inputs!$D$87</f>
        <v>911</v>
      </c>
      <c r="I2126" s="28">
        <f>Inputs!$D$24+(Inputs!$D$80-Inputs!$D$24)*Inputs!$D$88</f>
        <v>911</v>
      </c>
      <c r="J2126" s="28">
        <f>Inputs!$D$24+(Inputs!$D$80-Inputs!$D$24)*Inputs!$D$89</f>
        <v>911</v>
      </c>
      <c r="K2126" s="28">
        <f>Inputs!$D$24+(Inputs!$D$80-Inputs!$D$24)*Inputs!$D$90</f>
        <v>911</v>
      </c>
      <c r="L2126" s="28">
        <f>Inputs!$D$24+(Inputs!$D$80-Inputs!$D$24)*Inputs!$D$91</f>
        <v>911</v>
      </c>
      <c r="M2126" s="28">
        <f>Inputs!$D$24+(Inputs!$D$80-Inputs!$D$24)*Inputs!$D$92</f>
        <v>911</v>
      </c>
    </row>
    <row r="2127" spans="1:13" ht="15" customHeight="1" x14ac:dyDescent="0.2">
      <c r="A2127" s="91"/>
      <c r="B2127" s="10" t="s">
        <v>891</v>
      </c>
      <c r="C2127" s="10" t="s">
        <v>199</v>
      </c>
      <c r="D2127" s="28">
        <f>Inputs!$D$24</f>
        <v>46</v>
      </c>
      <c r="E2127" s="28">
        <f t="shared" ref="E2127:M2127" si="460">D2126</f>
        <v>305.5</v>
      </c>
      <c r="F2127" s="28">
        <f t="shared" si="460"/>
        <v>651.5</v>
      </c>
      <c r="G2127" s="28">
        <f t="shared" si="460"/>
        <v>911</v>
      </c>
      <c r="H2127" s="28">
        <f t="shared" si="460"/>
        <v>911</v>
      </c>
      <c r="I2127" s="28">
        <f t="shared" si="460"/>
        <v>911</v>
      </c>
      <c r="J2127" s="28">
        <f t="shared" si="460"/>
        <v>911</v>
      </c>
      <c r="K2127" s="28">
        <f t="shared" si="460"/>
        <v>911</v>
      </c>
      <c r="L2127" s="28">
        <f t="shared" si="460"/>
        <v>911</v>
      </c>
      <c r="M2127" s="28">
        <f t="shared" si="460"/>
        <v>911</v>
      </c>
    </row>
    <row r="2128" spans="1:13" ht="15" customHeight="1" x14ac:dyDescent="0.2">
      <c r="B2128" s="10" t="s">
        <v>892</v>
      </c>
      <c r="C2128" s="10" t="s">
        <v>199</v>
      </c>
      <c r="D2128" s="28">
        <f>(D2127+D2126)*Inputs!$D$12</f>
        <v>175.75</v>
      </c>
      <c r="E2128" s="28">
        <f>(E2127+E2126)*Inputs!$D$12</f>
        <v>478.5</v>
      </c>
      <c r="F2128" s="28">
        <f>(F2127+F2126)*Inputs!$D$12</f>
        <v>781.25</v>
      </c>
      <c r="G2128" s="28">
        <f>(G2127+G2126)*Inputs!$D$12</f>
        <v>911</v>
      </c>
      <c r="H2128" s="28">
        <f>(H2127+H2126)*Inputs!$D$12</f>
        <v>911</v>
      </c>
      <c r="I2128" s="28">
        <f>(I2127+I2126)*Inputs!$D$12</f>
        <v>911</v>
      </c>
      <c r="J2128" s="28">
        <f>(J2127+J2126)*Inputs!$D$12</f>
        <v>911</v>
      </c>
      <c r="K2128" s="28">
        <f>(K2127+K2126)*Inputs!$D$12</f>
        <v>911</v>
      </c>
      <c r="L2128" s="28">
        <f>(L2127+L2126)*Inputs!$D$12</f>
        <v>911</v>
      </c>
      <c r="M2128" s="28">
        <f>(M2127+M2126)*Inputs!$D$12</f>
        <v>911</v>
      </c>
    </row>
    <row r="2129" spans="2:13" ht="15" customHeight="1" x14ac:dyDescent="0.2">
      <c r="B2129" s="10" t="s">
        <v>893</v>
      </c>
      <c r="C2129" s="10" t="s">
        <v>199</v>
      </c>
      <c r="D2129" s="28">
        <f t="shared" ref="D2129:M2129" si="461">D2126-D2127</f>
        <v>259.5</v>
      </c>
      <c r="E2129" s="28">
        <f t="shared" si="461"/>
        <v>346</v>
      </c>
      <c r="F2129" s="28">
        <f t="shared" si="461"/>
        <v>259.5</v>
      </c>
      <c r="G2129" s="28">
        <f t="shared" si="461"/>
        <v>0</v>
      </c>
      <c r="H2129" s="28">
        <f t="shared" si="461"/>
        <v>0</v>
      </c>
      <c r="I2129" s="28">
        <f t="shared" si="461"/>
        <v>0</v>
      </c>
      <c r="J2129" s="28">
        <f t="shared" si="461"/>
        <v>0</v>
      </c>
      <c r="K2129" s="28">
        <f t="shared" si="461"/>
        <v>0</v>
      </c>
      <c r="L2129" s="28">
        <f t="shared" si="461"/>
        <v>0</v>
      </c>
      <c r="M2129" s="28">
        <f t="shared" si="461"/>
        <v>0</v>
      </c>
    </row>
    <row r="2130" spans="2:13" ht="15" customHeight="1" x14ac:dyDescent="0.2">
      <c r="B2130" s="10" t="s">
        <v>894</v>
      </c>
      <c r="C2130" s="10" t="s">
        <v>199</v>
      </c>
      <c r="D2130" s="28">
        <f>IF(MOD(D2122,Inputs!$D$21)=Inputs!$D$6,Inputs!$D$24,Inputs!$D$6)+SUMPRODUCT(--(D2122&gt;$D$2122:$M$2122),--(MOD(D2122-$D$2122:$M$2122,Inputs!$D$21)=Inputs!$D$6),$D$2129:$M$2129)</f>
        <v>0</v>
      </c>
      <c r="E2130" s="28">
        <f>IF(MOD(E2122,Inputs!$D$21)=Inputs!$D$6,Inputs!$D$24,Inputs!$D$6)+SUMPRODUCT(--(E2122&gt;$D$2122:$M$2122),--(MOD(E2122-$D$2122:$M$2122,Inputs!$D$21)=Inputs!$D$6),$D$2129:$M$2129)</f>
        <v>0</v>
      </c>
      <c r="F2130" s="28">
        <f>IF(MOD(F2122,Inputs!$D$21)=Inputs!$D$6,Inputs!$D$24,Inputs!$D$6)+SUMPRODUCT(--(F2122&gt;$D$2122:$M$2122),--(MOD(F2122-$D$2122:$M$2122,Inputs!$D$21)=Inputs!$D$6),$D$2129:$M$2129)</f>
        <v>0</v>
      </c>
      <c r="G2130" s="28">
        <f>IF(MOD(G2122,Inputs!$D$21)=Inputs!$D$6,Inputs!$D$24,Inputs!$D$6)+SUMPRODUCT(--(G2122&gt;$D$2122:$M$2122),--(MOD(G2122-$D$2122:$M$2122,Inputs!$D$21)=Inputs!$D$6),$D$2129:$M$2129)</f>
        <v>46</v>
      </c>
      <c r="H2130" s="28">
        <f>IF(MOD(H2122,Inputs!$D$21)=Inputs!$D$6,Inputs!$D$24,Inputs!$D$6)+SUMPRODUCT(--(H2122&gt;$D$2122:$M$2122),--(MOD(H2122-$D$2122:$M$2122,Inputs!$D$21)=Inputs!$D$6),$D$2129:$M$2129)</f>
        <v>259.5</v>
      </c>
      <c r="I2130" s="28">
        <f>IF(MOD(I2122,Inputs!$D$21)=Inputs!$D$6,Inputs!$D$24,Inputs!$D$6)+SUMPRODUCT(--(I2122&gt;$D$2122:$M$2122),--(MOD(I2122-$D$2122:$M$2122,Inputs!$D$21)=Inputs!$D$6),$D$2129:$M$2129)</f>
        <v>346</v>
      </c>
      <c r="J2130" s="28">
        <f>IF(MOD(J2122,Inputs!$D$21)=Inputs!$D$6,Inputs!$D$24,Inputs!$D$6)+SUMPRODUCT(--(J2122&gt;$D$2122:$M$2122),--(MOD(J2122-$D$2122:$M$2122,Inputs!$D$21)=Inputs!$D$6),$D$2129:$M$2129)</f>
        <v>259.5</v>
      </c>
      <c r="K2130" s="28">
        <f>IF(MOD(K2122,Inputs!$D$21)=Inputs!$D$6,Inputs!$D$24,Inputs!$D$6)+SUMPRODUCT(--(K2122&gt;$D$2122:$M$2122),--(MOD(K2122-$D$2122:$M$2122,Inputs!$D$21)=Inputs!$D$6),$D$2129:$M$2129)</f>
        <v>46</v>
      </c>
      <c r="L2130" s="28">
        <f>IF(MOD(L2122,Inputs!$D$21)=Inputs!$D$6,Inputs!$D$24,Inputs!$D$6)+SUMPRODUCT(--(L2122&gt;$D$2122:$M$2122),--(MOD(L2122-$D$2122:$M$2122,Inputs!$D$21)=Inputs!$D$6),$D$2129:$M$2129)</f>
        <v>259.5</v>
      </c>
      <c r="M2130" s="28">
        <f>IF(MOD(M2122,Inputs!$D$21)=Inputs!$D$6,Inputs!$D$24,Inputs!$D$6)+SUMPRODUCT(--(M2122&gt;$D$2122:$M$2122),--(MOD(M2122-$D$2122:$M$2122,Inputs!$D$21)=Inputs!$D$6),$D$2129:$M$2129)</f>
        <v>346</v>
      </c>
    </row>
    <row r="2131" spans="2:13" ht="15" customHeight="1" x14ac:dyDescent="0.2">
      <c r="B2131" s="10" t="s">
        <v>895</v>
      </c>
      <c r="C2131" s="10" t="s">
        <v>896</v>
      </c>
      <c r="D2131" s="28">
        <f t="shared" ref="D2131:M2131" si="462">D2128*D2125</f>
        <v>125.58726899383984</v>
      </c>
      <c r="E2131" s="28">
        <f t="shared" si="462"/>
        <v>478.5</v>
      </c>
      <c r="F2131" s="28">
        <f t="shared" si="462"/>
        <v>781.25</v>
      </c>
      <c r="G2131" s="28">
        <f t="shared" si="462"/>
        <v>911</v>
      </c>
      <c r="H2131" s="28">
        <f t="shared" si="462"/>
        <v>911</v>
      </c>
      <c r="I2131" s="28">
        <f t="shared" si="462"/>
        <v>911</v>
      </c>
      <c r="J2131" s="28">
        <f t="shared" si="462"/>
        <v>911</v>
      </c>
      <c r="K2131" s="28">
        <f t="shared" si="462"/>
        <v>911</v>
      </c>
      <c r="L2131" s="28">
        <f t="shared" si="462"/>
        <v>911</v>
      </c>
      <c r="M2131" s="28">
        <f t="shared" si="462"/>
        <v>911</v>
      </c>
    </row>
    <row r="2132" spans="2:13" ht="15" customHeight="1" x14ac:dyDescent="0.2">
      <c r="B2132" s="10" t="s">
        <v>897</v>
      </c>
      <c r="C2132" s="10" t="s">
        <v>110</v>
      </c>
      <c r="D2132" s="16">
        <f>D2131*($D$2151/Inputs!$D$21+$D$2152/Inputs!$D$22)</f>
        <v>1816.9772859324419</v>
      </c>
      <c r="E2132" s="16">
        <f>E2131*($D$2151/Inputs!$D$21+$D$2152/Inputs!$D$22)</f>
        <v>6922.8643817497086</v>
      </c>
      <c r="F2132" s="16">
        <f>F2131*($D$2151/Inputs!$D$21+$D$2152/Inputs!$D$22)</f>
        <v>11303.0048030135</v>
      </c>
      <c r="G2132" s="16">
        <f>G2131*($D$2151/Inputs!$D$21+$D$2152/Inputs!$D$22)</f>
        <v>13180.207840697982</v>
      </c>
      <c r="H2132" s="16">
        <f>H2131*($D$2151/Inputs!$D$21+$D$2152/Inputs!$D$22)</f>
        <v>13180.207840697982</v>
      </c>
      <c r="I2132" s="16">
        <f>I2131*($D$2151/Inputs!$D$21+$D$2152/Inputs!$D$22)</f>
        <v>13180.207840697982</v>
      </c>
      <c r="J2132" s="16">
        <f>J2131*($D$2151/Inputs!$D$21+$D$2152/Inputs!$D$22)</f>
        <v>13180.207840697982</v>
      </c>
      <c r="K2132" s="16">
        <f>K2131*($D$2151/Inputs!$D$21+$D$2152/Inputs!$D$22)</f>
        <v>13180.207840697982</v>
      </c>
      <c r="L2132" s="16">
        <f>L2131*($D$2151/Inputs!$D$21+$D$2152/Inputs!$D$22)</f>
        <v>13180.207840697982</v>
      </c>
      <c r="M2132" s="16">
        <f>M2131*($D$2151/Inputs!$D$21+$D$2152/Inputs!$D$22)</f>
        <v>13180.207840697982</v>
      </c>
    </row>
    <row r="2133" spans="2:13" ht="15" customHeight="1" x14ac:dyDescent="0.2">
      <c r="B2133" s="10" t="s">
        <v>898</v>
      </c>
      <c r="C2133" s="10" t="s">
        <v>110</v>
      </c>
      <c r="D2133" s="16">
        <f t="shared" ref="D2133:M2133" si="463">D2129*($D$2151+$D$2152)</f>
        <v>15560.968620146154</v>
      </c>
      <c r="E2133" s="16">
        <f t="shared" si="463"/>
        <v>20747.95816019487</v>
      </c>
      <c r="F2133" s="16">
        <f t="shared" si="463"/>
        <v>15560.968620146154</v>
      </c>
      <c r="G2133" s="16">
        <f t="shared" si="463"/>
        <v>0</v>
      </c>
      <c r="H2133" s="16">
        <f t="shared" si="463"/>
        <v>0</v>
      </c>
      <c r="I2133" s="16">
        <f t="shared" si="463"/>
        <v>0</v>
      </c>
      <c r="J2133" s="16">
        <f t="shared" si="463"/>
        <v>0</v>
      </c>
      <c r="K2133" s="16">
        <f t="shared" si="463"/>
        <v>0</v>
      </c>
      <c r="L2133" s="16">
        <f t="shared" si="463"/>
        <v>0</v>
      </c>
      <c r="M2133" s="16">
        <f t="shared" si="463"/>
        <v>0</v>
      </c>
    </row>
    <row r="2134" spans="2:13" ht="15" customHeight="1" x14ac:dyDescent="0.2">
      <c r="B2134" s="10" t="s">
        <v>899</v>
      </c>
      <c r="C2134" s="10" t="s">
        <v>110</v>
      </c>
      <c r="D2134" s="16">
        <f t="shared" ref="D2134:M2134" si="464">D2130*$D$2151</f>
        <v>0</v>
      </c>
      <c r="E2134" s="16">
        <f t="shared" si="464"/>
        <v>0</v>
      </c>
      <c r="F2134" s="16">
        <f t="shared" si="464"/>
        <v>0</v>
      </c>
      <c r="G2134" s="16">
        <f t="shared" si="464"/>
        <v>2638.0048485671714</v>
      </c>
      <c r="H2134" s="16">
        <f t="shared" si="464"/>
        <v>14881.788221808281</v>
      </c>
      <c r="I2134" s="16">
        <f t="shared" si="464"/>
        <v>19842.384295744378</v>
      </c>
      <c r="J2134" s="16">
        <f t="shared" si="464"/>
        <v>14881.788221808281</v>
      </c>
      <c r="K2134" s="16">
        <f t="shared" si="464"/>
        <v>2638.0048485671714</v>
      </c>
      <c r="L2134" s="16">
        <f t="shared" si="464"/>
        <v>14881.788221808281</v>
      </c>
      <c r="M2134" s="16">
        <f t="shared" si="464"/>
        <v>19842.384295744378</v>
      </c>
    </row>
    <row r="2135" spans="2:13" ht="15" customHeight="1" x14ac:dyDescent="0.2">
      <c r="B2135" s="10" t="s">
        <v>900</v>
      </c>
      <c r="C2135" s="10" t="s">
        <v>199</v>
      </c>
      <c r="D2135" s="28">
        <f>D2129*Inputs!$D$23</f>
        <v>6.4875000000000007</v>
      </c>
      <c r="E2135" s="28">
        <f>E2129*Inputs!$D$23</f>
        <v>8.65</v>
      </c>
      <c r="F2135" s="28">
        <f>F2129*Inputs!$D$23</f>
        <v>6.4875000000000007</v>
      </c>
      <c r="G2135" s="28">
        <f>G2129*Inputs!$D$23</f>
        <v>0</v>
      </c>
      <c r="H2135" s="28">
        <f>H2129*Inputs!$D$23</f>
        <v>0</v>
      </c>
      <c r="I2135" s="28">
        <f>I2129*Inputs!$D$23</f>
        <v>0</v>
      </c>
      <c r="J2135" s="28">
        <f>J2129*Inputs!$D$23</f>
        <v>0</v>
      </c>
      <c r="K2135" s="28">
        <f>K2129*Inputs!$D$23</f>
        <v>0</v>
      </c>
      <c r="L2135" s="28">
        <f>L2129*Inputs!$D$23</f>
        <v>0</v>
      </c>
      <c r="M2135" s="28">
        <f>M2129*Inputs!$D$23</f>
        <v>0</v>
      </c>
    </row>
    <row r="2136" spans="2:13" ht="15" customHeight="1" x14ac:dyDescent="0.2">
      <c r="B2136" s="3" t="s">
        <v>901</v>
      </c>
      <c r="C2136" s="10" t="s">
        <v>896</v>
      </c>
      <c r="D2136" s="28">
        <f>(D2131*$D$2149*(Inputs!$D$7-Inputs!$D$19)-D2135)/(Inputs!$D$7+$D$2150)^D2124</f>
        <v>67.793124463406599</v>
      </c>
      <c r="E2136" s="28">
        <f>(E2131*$D$2149*(Inputs!$D$7-Inputs!$D$19)-E2135)/(Inputs!$D$7+$D$2150)^E2124</f>
        <v>243.79740661130509</v>
      </c>
      <c r="F2136" s="28">
        <f>(F2131*$D$2149*(Inputs!$D$7-Inputs!$D$19)-F2135)/(Inputs!$D$7+$D$2150)^F2124</f>
        <v>361.0415111553192</v>
      </c>
      <c r="G2136" s="28">
        <f>(G2131*$D$2149*(Inputs!$D$7-Inputs!$D$19)-G2135)/(Inputs!$D$7+$D$2150)^G2124</f>
        <v>380.89027585596818</v>
      </c>
      <c r="H2136" s="28">
        <f>(H2131*$D$2149*(Inputs!$D$7-Inputs!$D$19)-H2135)/(Inputs!$D$7+$D$2150)^H2124</f>
        <v>340.1069842659083</v>
      </c>
      <c r="I2136" s="28">
        <f>(I2131*$D$2149*(Inputs!$D$7-Inputs!$D$19)-I2135)/(Inputs!$D$7+$D$2150)^I2124</f>
        <v>303.59629279937076</v>
      </c>
      <c r="J2136" s="28">
        <f>(J2131*$D$2149*(Inputs!$D$7-Inputs!$D$19)-J2135)/(Inputs!$D$7+$D$2150)^J2124</f>
        <v>271.08914593910282</v>
      </c>
      <c r="K2136" s="28">
        <f>(K2131*$D$2149*(Inputs!$D$7-Inputs!$D$19)-K2135)/(Inputs!$D$7+$D$2150)^K2124</f>
        <v>242.06265619507093</v>
      </c>
      <c r="L2136" s="28">
        <f>(L2131*$D$2149*(Inputs!$D$7-Inputs!$D$19)-L2135)/(Inputs!$D$7+$D$2150)^L2124</f>
        <v>216.14413709273217</v>
      </c>
      <c r="M2136" s="28">
        <f>(M2131*$D$2149*(Inputs!$D$7-Inputs!$D$19)-M2135)/(Inputs!$D$7+$D$2150)^M2124</f>
        <v>192.94093261068662</v>
      </c>
    </row>
    <row r="2137" spans="2:13" ht="15" customHeight="1" x14ac:dyDescent="0.2">
      <c r="B2137" s="10" t="s">
        <v>902</v>
      </c>
      <c r="C2137" s="10" t="s">
        <v>110</v>
      </c>
      <c r="D2137" s="16">
        <f>(D2132*Inputs!$D$19-D2133-D2134)/(Inputs!$D$7+$D$2150)^D2124</f>
        <v>-13847.790632947557</v>
      </c>
      <c r="E2137" s="16">
        <f>(E2132*Inputs!$D$19-E2133-E2134)/(Inputs!$D$7+$D$2150)^E2124</f>
        <v>-15370.239105459035</v>
      </c>
      <c r="F2137" s="16">
        <f>(F2132*Inputs!$D$19-F2133-F2134)/(Inputs!$D$7+$D$2150)^F2124</f>
        <v>-8945.8041564234754</v>
      </c>
      <c r="G2137" s="16">
        <f>(G2132*Inputs!$D$19-G2133-G2134)/(Inputs!$D$7+$D$2150)^G2124</f>
        <v>863.80744262020482</v>
      </c>
      <c r="H2137" s="16">
        <f>(H2132*Inputs!$D$19-H2133-H2134)/(Inputs!$D$7+$D$2150)^H2124</f>
        <v>-6404.5339628745278</v>
      </c>
      <c r="I2137" s="16">
        <f>(I2132*Inputs!$D$19-I2133-I2134)/(Inputs!$D$7+$D$2150)^I2124</f>
        <v>-8312.2134333380691</v>
      </c>
      <c r="J2137" s="16">
        <f>(J2132*Inputs!$D$19-J2133-J2134)/(Inputs!$D$7+$D$2150)^J2124</f>
        <v>-5104.8632414329013</v>
      </c>
      <c r="K2137" s="16">
        <f>(K2132*Inputs!$D$19-K2133-K2134)/(Inputs!$D$7+$D$2150)^K2124</f>
        <v>548.96524604578394</v>
      </c>
      <c r="L2137" s="16">
        <f>(L2132*Inputs!$D$19-L2133-L2134)/(Inputs!$D$7+$D$2150)^L2124</f>
        <v>-4070.1971171644977</v>
      </c>
      <c r="M2137" s="16">
        <f>(M2132*Inputs!$D$19-M2133-M2134)/(Inputs!$D$7+$D$2150)^M2124</f>
        <v>-5282.5619084458349</v>
      </c>
    </row>
    <row r="2138" spans="2:13" ht="15" customHeight="1" x14ac:dyDescent="0.2">
      <c r="B2138" s="10" t="s">
        <v>903</v>
      </c>
      <c r="C2138" s="10" t="s">
        <v>110</v>
      </c>
      <c r="D2138" s="16">
        <f t="shared" ref="D2138:M2138" si="465">D2131*$D$2148</f>
        <v>3729.6825175459139</v>
      </c>
      <c r="E2138" s="16">
        <f t="shared" si="465"/>
        <v>14210.461768487525</v>
      </c>
      <c r="F2138" s="16">
        <f t="shared" si="465"/>
        <v>23201.51150811051</v>
      </c>
      <c r="G2138" s="16">
        <f t="shared" si="465"/>
        <v>27054.818539377502</v>
      </c>
      <c r="H2138" s="16">
        <f t="shared" si="465"/>
        <v>27054.818539377502</v>
      </c>
      <c r="I2138" s="16">
        <f t="shared" si="465"/>
        <v>27054.818539377502</v>
      </c>
      <c r="J2138" s="16">
        <f t="shared" si="465"/>
        <v>27054.818539377502</v>
      </c>
      <c r="K2138" s="16">
        <f t="shared" si="465"/>
        <v>27054.818539377502</v>
      </c>
      <c r="L2138" s="16">
        <f t="shared" si="465"/>
        <v>27054.818539377502</v>
      </c>
      <c r="M2138" s="16">
        <f t="shared" si="465"/>
        <v>27054.818539377502</v>
      </c>
    </row>
    <row r="2139" spans="2:13" ht="15" customHeight="1" x14ac:dyDescent="0.2">
      <c r="B2139" s="10" t="s">
        <v>904</v>
      </c>
      <c r="C2139" s="10" t="s">
        <v>110</v>
      </c>
      <c r="D2139" s="16">
        <f t="shared" ref="D2139:M2139" si="466">D2138*$D$2149</f>
        <v>3394.0110909667819</v>
      </c>
      <c r="E2139" s="16">
        <f t="shared" si="466"/>
        <v>12931.520209323648</v>
      </c>
      <c r="F2139" s="16">
        <f t="shared" si="466"/>
        <v>21113.375472380565</v>
      </c>
      <c r="G2139" s="16">
        <f t="shared" si="466"/>
        <v>24619.884870833528</v>
      </c>
      <c r="H2139" s="16">
        <f t="shared" si="466"/>
        <v>24619.884870833528</v>
      </c>
      <c r="I2139" s="16">
        <f t="shared" si="466"/>
        <v>24619.884870833528</v>
      </c>
      <c r="J2139" s="16">
        <f t="shared" si="466"/>
        <v>24619.884870833528</v>
      </c>
      <c r="K2139" s="16">
        <f t="shared" si="466"/>
        <v>24619.884870833528</v>
      </c>
      <c r="L2139" s="16">
        <f t="shared" si="466"/>
        <v>24619.884870833528</v>
      </c>
      <c r="M2139" s="16">
        <f t="shared" si="466"/>
        <v>24619.884870833528</v>
      </c>
    </row>
    <row r="2140" spans="2:13" ht="15" customHeight="1" x14ac:dyDescent="0.2">
      <c r="B2140" s="10" t="s">
        <v>905</v>
      </c>
      <c r="C2140" s="10" t="s">
        <v>110</v>
      </c>
      <c r="D2140" s="16">
        <f t="shared" ref="D2140:M2140" si="467">D2139-D2132</f>
        <v>1577.03380503434</v>
      </c>
      <c r="E2140" s="16">
        <f t="shared" si="467"/>
        <v>6008.655827573939</v>
      </c>
      <c r="F2140" s="16">
        <f t="shared" si="467"/>
        <v>9810.3706693670647</v>
      </c>
      <c r="G2140" s="16">
        <f t="shared" si="467"/>
        <v>11439.677030135546</v>
      </c>
      <c r="H2140" s="16">
        <f t="shared" si="467"/>
        <v>11439.677030135546</v>
      </c>
      <c r="I2140" s="16">
        <f t="shared" si="467"/>
        <v>11439.677030135546</v>
      </c>
      <c r="J2140" s="16">
        <f t="shared" si="467"/>
        <v>11439.677030135546</v>
      </c>
      <c r="K2140" s="16">
        <f t="shared" si="467"/>
        <v>11439.677030135546</v>
      </c>
      <c r="L2140" s="16">
        <f t="shared" si="467"/>
        <v>11439.677030135546</v>
      </c>
      <c r="M2140" s="16">
        <f t="shared" si="467"/>
        <v>11439.677030135546</v>
      </c>
    </row>
    <row r="2141" spans="2:13" ht="15" customHeight="1" x14ac:dyDescent="0.2">
      <c r="B2141" s="10" t="s">
        <v>906</v>
      </c>
      <c r="C2141" s="10" t="s">
        <v>110</v>
      </c>
      <c r="D2141" s="16">
        <f>MAX(D2140,Inputs!$D$6)*Inputs!$D$19</f>
        <v>473.11014151030201</v>
      </c>
      <c r="E2141" s="16">
        <f>MAX(E2140,Inputs!$D$6)*Inputs!$D$19</f>
        <v>1802.5967482721817</v>
      </c>
      <c r="F2141" s="16">
        <f>MAX(F2140,Inputs!$D$6)*Inputs!$D$19</f>
        <v>2943.1112008101195</v>
      </c>
      <c r="G2141" s="16">
        <f>MAX(G2140,Inputs!$D$6)*Inputs!$D$19</f>
        <v>3431.9031090406638</v>
      </c>
      <c r="H2141" s="16">
        <f>MAX(H2140,Inputs!$D$6)*Inputs!$D$19</f>
        <v>3431.9031090406638</v>
      </c>
      <c r="I2141" s="16">
        <f>MAX(I2140,Inputs!$D$6)*Inputs!$D$19</f>
        <v>3431.9031090406638</v>
      </c>
      <c r="J2141" s="16">
        <f>MAX(J2140,Inputs!$D$6)*Inputs!$D$19</f>
        <v>3431.9031090406638</v>
      </c>
      <c r="K2141" s="16">
        <f>MAX(K2140,Inputs!$D$6)*Inputs!$D$19</f>
        <v>3431.9031090406638</v>
      </c>
      <c r="L2141" s="16">
        <f>MAX(L2140,Inputs!$D$6)*Inputs!$D$19</f>
        <v>3431.9031090406638</v>
      </c>
      <c r="M2141" s="16">
        <f>MAX(M2140,Inputs!$D$6)*Inputs!$D$19</f>
        <v>3431.9031090406638</v>
      </c>
    </row>
    <row r="2142" spans="2:13" ht="15" customHeight="1" x14ac:dyDescent="0.2">
      <c r="B2142" s="10" t="s">
        <v>907</v>
      </c>
      <c r="C2142" s="10" t="s">
        <v>110</v>
      </c>
      <c r="D2142" s="16">
        <f t="shared" ref="D2142:M2142" si="468">D2135*$D$2148</f>
        <v>192.66535156334967</v>
      </c>
      <c r="E2142" s="16">
        <f t="shared" si="468"/>
        <v>256.88713541779958</v>
      </c>
      <c r="F2142" s="16">
        <f t="shared" si="468"/>
        <v>192.66535156334967</v>
      </c>
      <c r="G2142" s="16">
        <f t="shared" si="468"/>
        <v>0</v>
      </c>
      <c r="H2142" s="16">
        <f t="shared" si="468"/>
        <v>0</v>
      </c>
      <c r="I2142" s="16">
        <f t="shared" si="468"/>
        <v>0</v>
      </c>
      <c r="J2142" s="16">
        <f t="shared" si="468"/>
        <v>0</v>
      </c>
      <c r="K2142" s="16">
        <f t="shared" si="468"/>
        <v>0</v>
      </c>
      <c r="L2142" s="16">
        <f t="shared" si="468"/>
        <v>0</v>
      </c>
      <c r="M2142" s="16">
        <f t="shared" si="468"/>
        <v>0</v>
      </c>
    </row>
    <row r="2143" spans="2:13" ht="15" customHeight="1" x14ac:dyDescent="0.2">
      <c r="B2143" s="10" t="s">
        <v>908</v>
      </c>
      <c r="C2143" s="10" t="s">
        <v>110</v>
      </c>
      <c r="D2143" s="16">
        <f t="shared" ref="D2143:M2143" si="469">D2139-D2141-D2133-D2134-D2142</f>
        <v>-12832.733022253024</v>
      </c>
      <c r="E2143" s="16">
        <f t="shared" si="469"/>
        <v>-9875.9218345612044</v>
      </c>
      <c r="F2143" s="16">
        <f t="shared" si="469"/>
        <v>2416.6302998609426</v>
      </c>
      <c r="G2143" s="16">
        <f t="shared" si="469"/>
        <v>18549.976913225692</v>
      </c>
      <c r="H2143" s="16">
        <f t="shared" si="469"/>
        <v>6306.1935399845825</v>
      </c>
      <c r="I2143" s="16">
        <f t="shared" si="469"/>
        <v>1345.5974660484862</v>
      </c>
      <c r="J2143" s="16">
        <f t="shared" si="469"/>
        <v>6306.1935399845825</v>
      </c>
      <c r="K2143" s="16">
        <f t="shared" si="469"/>
        <v>18549.976913225692</v>
      </c>
      <c r="L2143" s="16">
        <f t="shared" si="469"/>
        <v>6306.1935399845825</v>
      </c>
      <c r="M2143" s="16">
        <f t="shared" si="469"/>
        <v>1345.5974660484862</v>
      </c>
    </row>
    <row r="2144" spans="2:13" ht="15" customHeight="1" x14ac:dyDescent="0.2">
      <c r="B2144" s="10" t="s">
        <v>909</v>
      </c>
      <c r="C2144" s="10" t="s">
        <v>110</v>
      </c>
      <c r="D2144" s="16">
        <f>D2143/(Inputs!$D$7+$D$2150)^D2124</f>
        <v>-11834.474847464682</v>
      </c>
      <c r="E2144" s="16">
        <f>E2143/(Inputs!$D$7+$D$2150)^E2124</f>
        <v>-8129.9596364802301</v>
      </c>
      <c r="F2144" s="16">
        <f>F2143/(Inputs!$D$7+$D$2150)^F2124</f>
        <v>1776.3830768254843</v>
      </c>
      <c r="G2144" s="16">
        <f>G2143/(Inputs!$D$7+$D$2150)^G2124</f>
        <v>12175.461994427736</v>
      </c>
      <c r="H2144" s="16">
        <f>H2143/(Inputs!$D$7+$D$2150)^H2124</f>
        <v>3695.9410572012907</v>
      </c>
      <c r="I2144" s="16">
        <f>I2143/(Inputs!$D$7+$D$2150)^I2124</f>
        <v>703.96945460342135</v>
      </c>
      <c r="J2144" s="16">
        <f>J2143/(Inputs!$D$7+$D$2150)^J2124</f>
        <v>2945.9245207814283</v>
      </c>
      <c r="K2144" s="16">
        <f>K2143/(Inputs!$D$7+$D$2150)^K2124</f>
        <v>7737.7262103897665</v>
      </c>
      <c r="L2144" s="16">
        <f>L2143/(Inputs!$D$7+$D$2150)^L2124</f>
        <v>2348.8373585700838</v>
      </c>
      <c r="M2144" s="16">
        <f>M2143/(Inputs!$D$7+$D$2150)^M2124</f>
        <v>447.38531504526344</v>
      </c>
    </row>
    <row r="2145" spans="2:13" ht="15" customHeight="1" x14ac:dyDescent="0.2">
      <c r="B2145" s="3" t="s">
        <v>910</v>
      </c>
      <c r="C2145" s="10" t="s">
        <v>896</v>
      </c>
      <c r="D2145" s="28">
        <f>(D2131*$D$2149-D2135)/(Inputs!$D$7+$D$2150)^D2124</f>
        <v>99.411393850242476</v>
      </c>
      <c r="E2145" s="28">
        <f>(E2131*$D$2149-E2135)/(Inputs!$D$7+$D$2150)^E2124</f>
        <v>351.33376727554656</v>
      </c>
      <c r="F2145" s="28">
        <f>(F2131*$D$2149-F2135)/(Inputs!$D$7+$D$2150)^F2124</f>
        <v>517.81733372362282</v>
      </c>
      <c r="G2145" s="28">
        <f>(G2131*$D$2149-G2135)/(Inputs!$D$7+$D$2150)^G2124</f>
        <v>544.12896550852611</v>
      </c>
      <c r="H2145" s="28">
        <f>(H2131*$D$2149-H2135)/(Inputs!$D$7+$D$2150)^H2124</f>
        <v>485.86712037986911</v>
      </c>
      <c r="I2145" s="28">
        <f>(I2131*$D$2149-I2135)/(Inputs!$D$7+$D$2150)^I2124</f>
        <v>433.70898971338687</v>
      </c>
      <c r="J2145" s="28">
        <f>(J2131*$D$2149-J2135)/(Inputs!$D$7+$D$2150)^J2124</f>
        <v>387.27020848443271</v>
      </c>
      <c r="K2145" s="28">
        <f>(K2131*$D$2149-K2135)/(Inputs!$D$7+$D$2150)^K2124</f>
        <v>345.80379456438709</v>
      </c>
      <c r="L2145" s="28">
        <f>(L2131*$D$2149-L2135)/(Inputs!$D$7+$D$2150)^L2124</f>
        <v>308.77733870390313</v>
      </c>
      <c r="M2145" s="28">
        <f>(M2131*$D$2149-M2135)/(Inputs!$D$7+$D$2150)^M2124</f>
        <v>275.62990372955232</v>
      </c>
    </row>
    <row r="2146" spans="2:13" ht="15" customHeight="1" x14ac:dyDescent="0.2">
      <c r="B2146" s="10" t="s">
        <v>911</v>
      </c>
      <c r="C2146" s="10" t="s">
        <v>110</v>
      </c>
      <c r="D2146" s="16">
        <f>(-D2133-D2134)/(Inputs!$D$7+$D$2150)^D2124</f>
        <v>-14350.481025200577</v>
      </c>
      <c r="E2146" s="16">
        <f>(-E2133-E2134)/(Inputs!$D$7+$D$2150)^E2124</f>
        <v>-17079.930887207098</v>
      </c>
      <c r="F2146" s="16">
        <f>(-F2133-F2134)/(Inputs!$D$7+$D$2150)^F2124</f>
        <v>-11438.340948315768</v>
      </c>
      <c r="G2146" s="16">
        <f>(-G2133-G2134)/(Inputs!$D$7+$D$2150)^G2124</f>
        <v>-1731.4807411941122</v>
      </c>
      <c r="H2146" s="16">
        <f>(-H2133-H2134)/(Inputs!$D$7+$D$2150)^H2124</f>
        <v>-8721.9353076959778</v>
      </c>
      <c r="I2146" s="16">
        <f>(-I2133-I2134)/(Inputs!$D$7+$D$2150)^I2124</f>
        <v>-10380.8403353543</v>
      </c>
      <c r="J2146" s="16">
        <f>(-J2133-J2134)/(Inputs!$D$7+$D$2150)^J2124</f>
        <v>-6951.9948218729187</v>
      </c>
      <c r="K2146" s="16">
        <f>(-K2133-K2134)/(Inputs!$D$7+$D$2150)^K2124</f>
        <v>-1100.3873134386547</v>
      </c>
      <c r="L2146" s="16">
        <f>(-L2133-L2134)/(Inputs!$D$7+$D$2150)^L2124</f>
        <v>-5542.947566718196</v>
      </c>
      <c r="M2146" s="16">
        <f>(-M2133-M2134)/(Inputs!$D$7+$D$2150)^M2124</f>
        <v>-6597.2117021517279</v>
      </c>
    </row>
    <row r="2147" spans="2:13" ht="15" customHeight="1" x14ac:dyDescent="0.2">
      <c r="B2147" s="10" t="s">
        <v>912</v>
      </c>
      <c r="C2147" s="10" t="s">
        <v>110</v>
      </c>
      <c r="D2147" s="16">
        <f>Prices!I7</f>
        <v>35754.545454545456</v>
      </c>
    </row>
    <row r="2148" spans="2:13" ht="15" customHeight="1" x14ac:dyDescent="0.2">
      <c r="B2148" s="3" t="s">
        <v>913</v>
      </c>
      <c r="C2148" s="10" t="s">
        <v>914</v>
      </c>
      <c r="D2148" s="28">
        <f>IF(J2155&gt;=J2151,J2155,(D2147-J2154)/J2153)</f>
        <v>29.697934730381451</v>
      </c>
      <c r="G2148" s="99" t="s">
        <v>915</v>
      </c>
      <c r="H2148" s="91"/>
      <c r="I2148" s="91"/>
      <c r="J2148" s="28">
        <f>D2148*Inputs!$D$15</f>
        <v>20.726188648333213</v>
      </c>
      <c r="K2148" s="99" t="s">
        <v>916</v>
      </c>
      <c r="L2148" s="91"/>
      <c r="M2148" s="91"/>
    </row>
    <row r="2149" spans="2:13" ht="15" customHeight="1" x14ac:dyDescent="0.2">
      <c r="B2149" s="10" t="s">
        <v>917</v>
      </c>
      <c r="C2149" s="10" t="s">
        <v>104</v>
      </c>
      <c r="D2149" s="30">
        <f>Inputs!$D$145</f>
        <v>0.91</v>
      </c>
      <c r="G2149" s="99" t="s">
        <v>918</v>
      </c>
      <c r="H2149" s="91"/>
      <c r="I2149" s="91"/>
      <c r="J2149" s="28">
        <f>IF(-D2160/D2159&gt;=J2151,-D2160/D2159,-J2154/J2153)</f>
        <v>22.089290977420866</v>
      </c>
      <c r="K2149" s="99" t="s">
        <v>919</v>
      </c>
      <c r="L2149" s="91"/>
      <c r="M2149" s="91"/>
    </row>
    <row r="2150" spans="2:13" ht="15" customHeight="1" x14ac:dyDescent="0.2">
      <c r="B2150" s="10" t="s">
        <v>920</v>
      </c>
      <c r="C2150" s="10" t="s">
        <v>104</v>
      </c>
      <c r="D2150" s="30">
        <f>Inputs!$D$148</f>
        <v>0.12</v>
      </c>
      <c r="G2150" s="99" t="s">
        <v>918</v>
      </c>
      <c r="H2150" s="91"/>
      <c r="I2150" s="91"/>
      <c r="J2150" s="28">
        <f>J2149*Inputs!$D$15</f>
        <v>15.416116173142022</v>
      </c>
      <c r="K2150" s="99" t="s">
        <v>916</v>
      </c>
      <c r="L2150" s="91"/>
      <c r="M2150" s="91"/>
    </row>
    <row r="2151" spans="2:13" ht="15" customHeight="1" x14ac:dyDescent="0.2">
      <c r="B2151" s="3" t="s">
        <v>921</v>
      </c>
      <c r="C2151" s="10" t="s">
        <v>848</v>
      </c>
      <c r="D2151" s="28">
        <f>Capital!$D$13</f>
        <v>57.347931490590682</v>
      </c>
      <c r="G2151" s="99" t="s">
        <v>922</v>
      </c>
      <c r="H2151" s="91"/>
      <c r="I2151" s="91"/>
      <c r="J2151" s="28">
        <f>($D$2151/Inputs!$D$21+$D$2152/Inputs!$D$22)/$D$2149</f>
        <v>15.898732030612395</v>
      </c>
      <c r="K2151" s="99" t="s">
        <v>919</v>
      </c>
      <c r="L2151" s="91"/>
      <c r="M2151" s="91"/>
    </row>
    <row r="2152" spans="2:13" ht="15" customHeight="1" x14ac:dyDescent="0.2">
      <c r="B2152" s="3" t="s">
        <v>923</v>
      </c>
      <c r="C2152" s="10" t="s">
        <v>848</v>
      </c>
      <c r="D2152" s="28">
        <f>Capital!$D$14</f>
        <v>2.6172655041921802</v>
      </c>
    </row>
    <row r="2153" spans="2:13" ht="15" customHeight="1" x14ac:dyDescent="0.2">
      <c r="B2153" s="10" t="s">
        <v>924</v>
      </c>
      <c r="C2153" s="10" t="s">
        <v>896</v>
      </c>
      <c r="D2153" s="28">
        <f>(M2126*(Inputs!$D$7+Inputs!$D$20)*$D$2149*(Inputs!$D$7-Inputs!$D$19)-M2126*Inputs!$D$20*Inputs!$D$23)/($D$2150-Inputs!$D$20)/(Inputs!$D$7+$D$2150)^M2124</f>
        <v>2079.7384176146556</v>
      </c>
      <c r="G2153" s="92" t="s">
        <v>910</v>
      </c>
      <c r="H2153" s="91"/>
      <c r="I2153" s="91"/>
      <c r="J2153" s="28">
        <f>SUM(D2145:M2145)+(M2126*(Inputs!$D$7+Inputs!$D$20)*$D$2149-M2126*Inputs!$D$20*Inputs!$D$23)/($D$2150-Inputs!$D$20)/(Inputs!$D$7+$D$2150)^M2124</f>
        <v>6721.6577114095699</v>
      </c>
      <c r="K2153" s="99" t="s">
        <v>896</v>
      </c>
      <c r="L2153" s="91"/>
      <c r="M2153" s="91"/>
    </row>
    <row r="2154" spans="2:13" ht="15" customHeight="1" x14ac:dyDescent="0.2">
      <c r="B2154" s="10" t="s">
        <v>925</v>
      </c>
      <c r="C2154" s="10" t="s">
        <v>110</v>
      </c>
      <c r="D2154" s="16">
        <f>(D2157*Inputs!$D$19-D2157-D2158)/($D$2150-Inputs!$D$20)/(Inputs!$D$7+$D$2150)^M2124</f>
        <v>-37876.58483194092</v>
      </c>
      <c r="G2154" s="92" t="s">
        <v>926</v>
      </c>
      <c r="H2154" s="91"/>
      <c r="I2154" s="91"/>
      <c r="J2154" s="16">
        <f>SUM(D2146:M2146)-(D2157+D2158)/($D$2150-Inputs!$D$20)/(Inputs!$D$7+$D$2150)^M2124</f>
        <v>-135956.51483423277</v>
      </c>
      <c r="K2154" s="99" t="s">
        <v>110</v>
      </c>
      <c r="L2154" s="91"/>
      <c r="M2154" s="91"/>
    </row>
    <row r="2155" spans="2:13" ht="15" customHeight="1" x14ac:dyDescent="0.2">
      <c r="B2155" s="10" t="s">
        <v>927</v>
      </c>
      <c r="C2155" s="10" t="s">
        <v>928</v>
      </c>
      <c r="D2155" s="16">
        <f>(M2126*(Inputs!$D$7+Inputs!$D$20)*$D$2148*$D$2149-D2157)-MAX((M2126*(Inputs!$D$7+Inputs!$D$20)*$D$2148*$D$2149-D2157),Inputs!$D$6)*Inputs!$D$19-D2158-M2126*Inputs!$D$20*$D$2148*Inputs!$D$23</f>
        <v>6825.3516459789598</v>
      </c>
      <c r="G2155" s="99" t="s">
        <v>929</v>
      </c>
      <c r="H2155" s="91"/>
      <c r="I2155" s="91"/>
      <c r="J2155" s="28">
        <f>(D2147-D2160)/D2159</f>
        <v>29.697934730381451</v>
      </c>
      <c r="K2155" s="99" t="s">
        <v>919</v>
      </c>
      <c r="L2155" s="91"/>
      <c r="M2155" s="91"/>
    </row>
    <row r="2156" spans="2:13" ht="15" customHeight="1" x14ac:dyDescent="0.2">
      <c r="B2156" s="10" t="s">
        <v>930</v>
      </c>
      <c r="C2156" s="10" t="s">
        <v>110</v>
      </c>
      <c r="D2156" s="16">
        <f>D2155/($D$2150-Inputs!$D$20)</f>
        <v>71845.806799778526</v>
      </c>
      <c r="G2156" s="99" t="s">
        <v>931</v>
      </c>
      <c r="H2156" s="91"/>
      <c r="I2156" s="91"/>
      <c r="J2156" s="16">
        <f>MIN(D2140:M2140,(M2126*(Inputs!$D$7+Inputs!$D$20)*$D$2148*$D$2149-D2157))</f>
        <v>1577.03380503434</v>
      </c>
      <c r="K2156" s="99" t="s">
        <v>110</v>
      </c>
      <c r="L2156" s="91"/>
      <c r="M2156" s="91"/>
    </row>
    <row r="2157" spans="2:13" ht="15" customHeight="1" x14ac:dyDescent="0.2">
      <c r="B2157" s="10" t="s">
        <v>932</v>
      </c>
      <c r="C2157" s="10" t="s">
        <v>928</v>
      </c>
      <c r="D2157" s="16">
        <f>M2126*(Inputs!$D$7+Inputs!$D$20)*($D$2151/Inputs!$D$21+$D$2152/Inputs!$D$22)</f>
        <v>13509.71303671543</v>
      </c>
      <c r="G2157" s="99" t="s">
        <v>933</v>
      </c>
      <c r="H2157" s="91"/>
      <c r="I2157" s="91"/>
      <c r="J2157" s="31" t="str">
        <f>IF(J2156&lt;Inputs!$D$6,"breached","satisfied")</f>
        <v>satisfied</v>
      </c>
      <c r="K2157" s="99" t="s">
        <v>934</v>
      </c>
      <c r="L2157" s="91"/>
      <c r="M2157" s="91"/>
    </row>
    <row r="2158" spans="2:13" ht="15" customHeight="1" x14ac:dyDescent="0.2">
      <c r="B2158" s="10" t="s">
        <v>935</v>
      </c>
      <c r="C2158" s="10" t="s">
        <v>928</v>
      </c>
      <c r="D2158" s="16">
        <f>M2126*Inputs!$D$20*($D$2151+$D$2152)</f>
        <v>1365.7073615561799</v>
      </c>
    </row>
    <row r="2159" spans="2:13" ht="15" customHeight="1" x14ac:dyDescent="0.2">
      <c r="B2159" s="10" t="s">
        <v>936</v>
      </c>
      <c r="C2159" s="10" t="s">
        <v>896</v>
      </c>
      <c r="D2159" s="28">
        <f>SUM(D2136:M2136)+D2153</f>
        <v>4699.200884603526</v>
      </c>
      <c r="G2159" s="99" t="s">
        <v>937</v>
      </c>
      <c r="H2159" s="91"/>
      <c r="I2159" s="91"/>
      <c r="J2159" s="16">
        <f>D2161-D2147</f>
        <v>0</v>
      </c>
      <c r="K2159" s="99" t="s">
        <v>110</v>
      </c>
      <c r="L2159" s="91"/>
      <c r="M2159" s="91"/>
    </row>
    <row r="2160" spans="2:13" ht="15" customHeight="1" x14ac:dyDescent="0.2">
      <c r="B2160" s="10" t="s">
        <v>938</v>
      </c>
      <c r="C2160" s="10" t="s">
        <v>110</v>
      </c>
      <c r="D2160" s="16">
        <f>SUM(D2137:M2137)+D2154</f>
        <v>-103802.01570136083</v>
      </c>
    </row>
    <row r="2161" spans="1:13" ht="15" customHeight="1" x14ac:dyDescent="0.2">
      <c r="B2161" s="10" t="s">
        <v>939</v>
      </c>
      <c r="C2161" s="10" t="s">
        <v>110</v>
      </c>
      <c r="D2161" s="16">
        <f>SUM(D2144:M2144)+D2156/(Inputs!$D$7+$D$2150)^M2124</f>
        <v>35754.545454545485</v>
      </c>
    </row>
    <row r="2162" spans="1:13" ht="15" customHeight="1" x14ac:dyDescent="0.2">
      <c r="B2162" s="10" t="s">
        <v>940</v>
      </c>
      <c r="C2162" s="10" t="s">
        <v>104</v>
      </c>
      <c r="D2162" s="30">
        <f>IF(ABS(D2147)&gt;Inputs!$D$6,D2161/D2147-Inputs!$D$7,Inputs!$D$6)</f>
        <v>8.8817841970012523E-16</v>
      </c>
    </row>
    <row r="2163" spans="1:13" ht="15" customHeight="1" x14ac:dyDescent="0.2">
      <c r="B2163" s="10" t="s">
        <v>941</v>
      </c>
      <c r="C2163" s="10" t="s">
        <v>104</v>
      </c>
      <c r="D2163" s="30">
        <f>IF(ABS(D2161)&gt;Inputs!$D$119,D2156/(Inputs!$D$7+$D$2150)^M2124/D2161,Inputs!$D$6)</f>
        <v>0.66809270393365083</v>
      </c>
    </row>
    <row r="2164" spans="1:13" ht="15" customHeight="1" x14ac:dyDescent="0.2">
      <c r="B2164" s="10" t="s">
        <v>942</v>
      </c>
      <c r="C2164" s="10" t="s">
        <v>943</v>
      </c>
      <c r="D2164" s="26">
        <f>$D$2148*Inputs!$D$8/Prices!$P$6/(Inputs!$D$26/Inputs!$D$25)/Inputs!$D$11/Inputs!$D$56</f>
        <v>5.4006596388599055</v>
      </c>
    </row>
    <row r="2168" spans="1:13" ht="15" customHeight="1" x14ac:dyDescent="0.2">
      <c r="A2168" s="104" t="s">
        <v>2212</v>
      </c>
      <c r="B2168" s="10" t="s">
        <v>886</v>
      </c>
      <c r="C2168" s="10" t="s">
        <v>107</v>
      </c>
      <c r="D2168" s="28">
        <f>Inputs!$D$60</f>
        <v>1</v>
      </c>
      <c r="E2168" s="28">
        <f>Inputs!$D$62</f>
        <v>2</v>
      </c>
      <c r="F2168" s="28">
        <f>Inputs!$D$64</f>
        <v>3</v>
      </c>
      <c r="G2168" s="28">
        <f>Inputs!$D$66</f>
        <v>4</v>
      </c>
      <c r="H2168" s="28">
        <f>Inputs!$D$68</f>
        <v>5</v>
      </c>
      <c r="I2168" s="28">
        <f>Inputs!$D$70</f>
        <v>6</v>
      </c>
      <c r="J2168" s="28">
        <f>Inputs!$D$72</f>
        <v>7</v>
      </c>
      <c r="K2168" s="28">
        <f>Inputs!$D$74</f>
        <v>8</v>
      </c>
      <c r="L2168" s="28">
        <f>Inputs!$D$76</f>
        <v>9</v>
      </c>
      <c r="M2168" s="28">
        <f>Inputs!$D$78</f>
        <v>10</v>
      </c>
    </row>
    <row r="2169" spans="1:13" ht="15" customHeight="1" x14ac:dyDescent="0.2">
      <c r="A2169" s="91"/>
      <c r="B2169" s="10" t="s">
        <v>887</v>
      </c>
      <c r="C2169" s="10" t="s">
        <v>161</v>
      </c>
      <c r="D2169" s="29">
        <f>Inputs!$D$61</f>
        <v>46568</v>
      </c>
      <c r="E2169" s="29">
        <f>Inputs!$D$63</f>
        <v>46934</v>
      </c>
      <c r="F2169" s="29">
        <f>Inputs!$D$65</f>
        <v>47299</v>
      </c>
      <c r="G2169" s="29">
        <f>Inputs!$D$67</f>
        <v>47664</v>
      </c>
      <c r="H2169" s="29">
        <f>Inputs!$D$69</f>
        <v>48029</v>
      </c>
      <c r="I2169" s="29">
        <f>Inputs!$D$71</f>
        <v>48395</v>
      </c>
      <c r="J2169" s="29">
        <f>Inputs!$D$73</f>
        <v>48760</v>
      </c>
      <c r="K2169" s="29">
        <f>Inputs!$D$75</f>
        <v>49125</v>
      </c>
      <c r="L2169" s="29">
        <f>Inputs!$D$77</f>
        <v>49490</v>
      </c>
      <c r="M2169" s="29">
        <f>Inputs!$D$79</f>
        <v>49856</v>
      </c>
    </row>
    <row r="2170" spans="1:13" ht="15" customHeight="1" x14ac:dyDescent="0.2">
      <c r="A2170" s="91"/>
      <c r="B2170" s="10" t="s">
        <v>888</v>
      </c>
      <c r="C2170" s="10" t="s">
        <v>107</v>
      </c>
      <c r="D2170" s="28">
        <f>(D2169-Inputs!$D$13)/Inputs!$D$10</f>
        <v>0.71457905544147848</v>
      </c>
      <c r="E2170" s="28">
        <f>(E2169-Inputs!$D$13)/Inputs!$D$10</f>
        <v>1.7166324435318274</v>
      </c>
      <c r="F2170" s="28">
        <f>(F2169-Inputs!$D$13)/Inputs!$D$10</f>
        <v>2.7159479808350446</v>
      </c>
      <c r="G2170" s="28">
        <f>(G2169-Inputs!$D$13)/Inputs!$D$10</f>
        <v>3.7152635181382614</v>
      </c>
      <c r="H2170" s="28">
        <f>(H2169-Inputs!$D$13)/Inputs!$D$10</f>
        <v>4.7145790554414786</v>
      </c>
      <c r="I2170" s="28">
        <f>(I2169-Inputs!$D$13)/Inputs!$D$10</f>
        <v>5.7166324435318279</v>
      </c>
      <c r="J2170" s="28">
        <f>(J2169-Inputs!$D$13)/Inputs!$D$10</f>
        <v>6.7159479808350442</v>
      </c>
      <c r="K2170" s="28">
        <f>(K2169-Inputs!$D$13)/Inputs!$D$10</f>
        <v>7.7152635181382614</v>
      </c>
      <c r="L2170" s="28">
        <f>(L2169-Inputs!$D$13)/Inputs!$D$10</f>
        <v>8.7145790554414777</v>
      </c>
      <c r="M2170" s="28">
        <f>(M2169-Inputs!$D$13)/Inputs!$D$10</f>
        <v>9.716632443531827</v>
      </c>
    </row>
    <row r="2171" spans="1:13" ht="15" customHeight="1" x14ac:dyDescent="0.2">
      <c r="A2171" s="91"/>
      <c r="B2171" s="10" t="s">
        <v>889</v>
      </c>
      <c r="C2171" s="10" t="s">
        <v>107</v>
      </c>
      <c r="D2171" s="28">
        <f>D2170</f>
        <v>0.71457905544147848</v>
      </c>
      <c r="E2171" s="28">
        <f>Inputs!$D$7</f>
        <v>1</v>
      </c>
      <c r="F2171" s="28">
        <f>Inputs!$D$7</f>
        <v>1</v>
      </c>
      <c r="G2171" s="28">
        <f>Inputs!$D$7</f>
        <v>1</v>
      </c>
      <c r="H2171" s="28">
        <f>Inputs!$D$7</f>
        <v>1</v>
      </c>
      <c r="I2171" s="28">
        <f>Inputs!$D$7</f>
        <v>1</v>
      </c>
      <c r="J2171" s="28">
        <f>Inputs!$D$7</f>
        <v>1</v>
      </c>
      <c r="K2171" s="28">
        <f>Inputs!$D$7</f>
        <v>1</v>
      </c>
      <c r="L2171" s="28">
        <f>Inputs!$D$7</f>
        <v>1</v>
      </c>
      <c r="M2171" s="28">
        <f>Inputs!$D$7</f>
        <v>1</v>
      </c>
    </row>
    <row r="2172" spans="1:13" ht="15" customHeight="1" x14ac:dyDescent="0.2">
      <c r="A2172" s="91"/>
      <c r="B2172" s="3" t="s">
        <v>890</v>
      </c>
      <c r="C2172" s="10" t="s">
        <v>199</v>
      </c>
      <c r="D2172" s="28">
        <f>Inputs!$D$24+(Inputs!$D$80-Inputs!$D$24)*Inputs!$D$83</f>
        <v>305.5</v>
      </c>
      <c r="E2172" s="28">
        <f>Inputs!$D$24+(Inputs!$D$80-Inputs!$D$24)*Inputs!$D$84</f>
        <v>651.5</v>
      </c>
      <c r="F2172" s="28">
        <f>Inputs!$D$24+(Inputs!$D$80-Inputs!$D$24)*Inputs!$D$85</f>
        <v>911</v>
      </c>
      <c r="G2172" s="28">
        <f>Inputs!$D$24+(Inputs!$D$80-Inputs!$D$24)*Inputs!$D$86</f>
        <v>911</v>
      </c>
      <c r="H2172" s="28">
        <f>Inputs!$D$24+(Inputs!$D$80-Inputs!$D$24)*Inputs!$D$87</f>
        <v>911</v>
      </c>
      <c r="I2172" s="28">
        <f>Inputs!$D$24+(Inputs!$D$80-Inputs!$D$24)*Inputs!$D$88</f>
        <v>911</v>
      </c>
      <c r="J2172" s="28">
        <f>Inputs!$D$24+(Inputs!$D$80-Inputs!$D$24)*Inputs!$D$89</f>
        <v>911</v>
      </c>
      <c r="K2172" s="28">
        <f>Inputs!$D$24+(Inputs!$D$80-Inputs!$D$24)*Inputs!$D$90</f>
        <v>911</v>
      </c>
      <c r="L2172" s="28">
        <f>Inputs!$D$24+(Inputs!$D$80-Inputs!$D$24)*Inputs!$D$91</f>
        <v>911</v>
      </c>
      <c r="M2172" s="28">
        <f>Inputs!$D$24+(Inputs!$D$80-Inputs!$D$24)*Inputs!$D$92</f>
        <v>911</v>
      </c>
    </row>
    <row r="2173" spans="1:13" ht="15" customHeight="1" x14ac:dyDescent="0.2">
      <c r="A2173" s="91"/>
      <c r="B2173" s="10" t="s">
        <v>891</v>
      </c>
      <c r="C2173" s="10" t="s">
        <v>199</v>
      </c>
      <c r="D2173" s="28">
        <f>Inputs!$D$24</f>
        <v>46</v>
      </c>
      <c r="E2173" s="28">
        <f t="shared" ref="E2173:M2173" si="470">D2172</f>
        <v>305.5</v>
      </c>
      <c r="F2173" s="28">
        <f t="shared" si="470"/>
        <v>651.5</v>
      </c>
      <c r="G2173" s="28">
        <f t="shared" si="470"/>
        <v>911</v>
      </c>
      <c r="H2173" s="28">
        <f t="shared" si="470"/>
        <v>911</v>
      </c>
      <c r="I2173" s="28">
        <f t="shared" si="470"/>
        <v>911</v>
      </c>
      <c r="J2173" s="28">
        <f t="shared" si="470"/>
        <v>911</v>
      </c>
      <c r="K2173" s="28">
        <f t="shared" si="470"/>
        <v>911</v>
      </c>
      <c r="L2173" s="28">
        <f t="shared" si="470"/>
        <v>911</v>
      </c>
      <c r="M2173" s="28">
        <f t="shared" si="470"/>
        <v>911</v>
      </c>
    </row>
    <row r="2174" spans="1:13" ht="15" customHeight="1" x14ac:dyDescent="0.2">
      <c r="B2174" s="10" t="s">
        <v>892</v>
      </c>
      <c r="C2174" s="10" t="s">
        <v>199</v>
      </c>
      <c r="D2174" s="28">
        <f>(D2173+D2172)*Inputs!$D$12</f>
        <v>175.75</v>
      </c>
      <c r="E2174" s="28">
        <f>(E2173+E2172)*Inputs!$D$12</f>
        <v>478.5</v>
      </c>
      <c r="F2174" s="28">
        <f>(F2173+F2172)*Inputs!$D$12</f>
        <v>781.25</v>
      </c>
      <c r="G2174" s="28">
        <f>(G2173+G2172)*Inputs!$D$12</f>
        <v>911</v>
      </c>
      <c r="H2174" s="28">
        <f>(H2173+H2172)*Inputs!$D$12</f>
        <v>911</v>
      </c>
      <c r="I2174" s="28">
        <f>(I2173+I2172)*Inputs!$D$12</f>
        <v>911</v>
      </c>
      <c r="J2174" s="28">
        <f>(J2173+J2172)*Inputs!$D$12</f>
        <v>911</v>
      </c>
      <c r="K2174" s="28">
        <f>(K2173+K2172)*Inputs!$D$12</f>
        <v>911</v>
      </c>
      <c r="L2174" s="28">
        <f>(L2173+L2172)*Inputs!$D$12</f>
        <v>911</v>
      </c>
      <c r="M2174" s="28">
        <f>(M2173+M2172)*Inputs!$D$12</f>
        <v>911</v>
      </c>
    </row>
    <row r="2175" spans="1:13" ht="15" customHeight="1" x14ac:dyDescent="0.2">
      <c r="B2175" s="10" t="s">
        <v>893</v>
      </c>
      <c r="C2175" s="10" t="s">
        <v>199</v>
      </c>
      <c r="D2175" s="28">
        <f t="shared" ref="D2175:M2175" si="471">D2172-D2173</f>
        <v>259.5</v>
      </c>
      <c r="E2175" s="28">
        <f t="shared" si="471"/>
        <v>346</v>
      </c>
      <c r="F2175" s="28">
        <f t="shared" si="471"/>
        <v>259.5</v>
      </c>
      <c r="G2175" s="28">
        <f t="shared" si="471"/>
        <v>0</v>
      </c>
      <c r="H2175" s="28">
        <f t="shared" si="471"/>
        <v>0</v>
      </c>
      <c r="I2175" s="28">
        <f t="shared" si="471"/>
        <v>0</v>
      </c>
      <c r="J2175" s="28">
        <f t="shared" si="471"/>
        <v>0</v>
      </c>
      <c r="K2175" s="28">
        <f t="shared" si="471"/>
        <v>0</v>
      </c>
      <c r="L2175" s="28">
        <f t="shared" si="471"/>
        <v>0</v>
      </c>
      <c r="M2175" s="28">
        <f t="shared" si="471"/>
        <v>0</v>
      </c>
    </row>
    <row r="2176" spans="1:13" ht="15" customHeight="1" x14ac:dyDescent="0.2">
      <c r="B2176" s="10" t="s">
        <v>894</v>
      </c>
      <c r="C2176" s="10" t="s">
        <v>199</v>
      </c>
      <c r="D2176" s="28">
        <f>IF(MOD(D2168,Inputs!$D$21)=Inputs!$D$6,Inputs!$D$24,Inputs!$D$6)+SUMPRODUCT(--(D2168&gt;$D$2168:$M$2168),--(MOD(D2168-$D$2168:$M$2168,Inputs!$D$21)=Inputs!$D$6),$D$2175:$M$2175)</f>
        <v>0</v>
      </c>
      <c r="E2176" s="28">
        <f>IF(MOD(E2168,Inputs!$D$21)=Inputs!$D$6,Inputs!$D$24,Inputs!$D$6)+SUMPRODUCT(--(E2168&gt;$D$2168:$M$2168),--(MOD(E2168-$D$2168:$M$2168,Inputs!$D$21)=Inputs!$D$6),$D$2175:$M$2175)</f>
        <v>0</v>
      </c>
      <c r="F2176" s="28">
        <f>IF(MOD(F2168,Inputs!$D$21)=Inputs!$D$6,Inputs!$D$24,Inputs!$D$6)+SUMPRODUCT(--(F2168&gt;$D$2168:$M$2168),--(MOD(F2168-$D$2168:$M$2168,Inputs!$D$21)=Inputs!$D$6),$D$2175:$M$2175)</f>
        <v>0</v>
      </c>
      <c r="G2176" s="28">
        <f>IF(MOD(G2168,Inputs!$D$21)=Inputs!$D$6,Inputs!$D$24,Inputs!$D$6)+SUMPRODUCT(--(G2168&gt;$D$2168:$M$2168),--(MOD(G2168-$D$2168:$M$2168,Inputs!$D$21)=Inputs!$D$6),$D$2175:$M$2175)</f>
        <v>46</v>
      </c>
      <c r="H2176" s="28">
        <f>IF(MOD(H2168,Inputs!$D$21)=Inputs!$D$6,Inputs!$D$24,Inputs!$D$6)+SUMPRODUCT(--(H2168&gt;$D$2168:$M$2168),--(MOD(H2168-$D$2168:$M$2168,Inputs!$D$21)=Inputs!$D$6),$D$2175:$M$2175)</f>
        <v>259.5</v>
      </c>
      <c r="I2176" s="28">
        <f>IF(MOD(I2168,Inputs!$D$21)=Inputs!$D$6,Inputs!$D$24,Inputs!$D$6)+SUMPRODUCT(--(I2168&gt;$D$2168:$M$2168),--(MOD(I2168-$D$2168:$M$2168,Inputs!$D$21)=Inputs!$D$6),$D$2175:$M$2175)</f>
        <v>346</v>
      </c>
      <c r="J2176" s="28">
        <f>IF(MOD(J2168,Inputs!$D$21)=Inputs!$D$6,Inputs!$D$24,Inputs!$D$6)+SUMPRODUCT(--(J2168&gt;$D$2168:$M$2168),--(MOD(J2168-$D$2168:$M$2168,Inputs!$D$21)=Inputs!$D$6),$D$2175:$M$2175)</f>
        <v>259.5</v>
      </c>
      <c r="K2176" s="28">
        <f>IF(MOD(K2168,Inputs!$D$21)=Inputs!$D$6,Inputs!$D$24,Inputs!$D$6)+SUMPRODUCT(--(K2168&gt;$D$2168:$M$2168),--(MOD(K2168-$D$2168:$M$2168,Inputs!$D$21)=Inputs!$D$6),$D$2175:$M$2175)</f>
        <v>46</v>
      </c>
      <c r="L2176" s="28">
        <f>IF(MOD(L2168,Inputs!$D$21)=Inputs!$D$6,Inputs!$D$24,Inputs!$D$6)+SUMPRODUCT(--(L2168&gt;$D$2168:$M$2168),--(MOD(L2168-$D$2168:$M$2168,Inputs!$D$21)=Inputs!$D$6),$D$2175:$M$2175)</f>
        <v>259.5</v>
      </c>
      <c r="M2176" s="28">
        <f>IF(MOD(M2168,Inputs!$D$21)=Inputs!$D$6,Inputs!$D$24,Inputs!$D$6)+SUMPRODUCT(--(M2168&gt;$D$2168:$M$2168),--(MOD(M2168-$D$2168:$M$2168,Inputs!$D$21)=Inputs!$D$6),$D$2175:$M$2175)</f>
        <v>346</v>
      </c>
    </row>
    <row r="2177" spans="2:13" ht="15" customHeight="1" x14ac:dyDescent="0.2">
      <c r="B2177" s="10" t="s">
        <v>895</v>
      </c>
      <c r="C2177" s="10" t="s">
        <v>896</v>
      </c>
      <c r="D2177" s="28">
        <f t="shared" ref="D2177:M2177" si="472">D2174*D2171</f>
        <v>125.58726899383984</v>
      </c>
      <c r="E2177" s="28">
        <f t="shared" si="472"/>
        <v>478.5</v>
      </c>
      <c r="F2177" s="28">
        <f t="shared" si="472"/>
        <v>781.25</v>
      </c>
      <c r="G2177" s="28">
        <f t="shared" si="472"/>
        <v>911</v>
      </c>
      <c r="H2177" s="28">
        <f t="shared" si="472"/>
        <v>911</v>
      </c>
      <c r="I2177" s="28">
        <f t="shared" si="472"/>
        <v>911</v>
      </c>
      <c r="J2177" s="28">
        <f t="shared" si="472"/>
        <v>911</v>
      </c>
      <c r="K2177" s="28">
        <f t="shared" si="472"/>
        <v>911</v>
      </c>
      <c r="L2177" s="28">
        <f t="shared" si="472"/>
        <v>911</v>
      </c>
      <c r="M2177" s="28">
        <f t="shared" si="472"/>
        <v>911</v>
      </c>
    </row>
    <row r="2178" spans="2:13" ht="15" customHeight="1" x14ac:dyDescent="0.2">
      <c r="B2178" s="10" t="s">
        <v>897</v>
      </c>
      <c r="C2178" s="10" t="s">
        <v>110</v>
      </c>
      <c r="D2178" s="16">
        <f>D2177*($D$2197/Inputs!$D$21+$D$2198/Inputs!$D$22)</f>
        <v>1816.9772859324419</v>
      </c>
      <c r="E2178" s="16">
        <f>E2177*($D$2197/Inputs!$D$21+$D$2198/Inputs!$D$22)</f>
        <v>6922.8643817497086</v>
      </c>
      <c r="F2178" s="16">
        <f>F2177*($D$2197/Inputs!$D$21+$D$2198/Inputs!$D$22)</f>
        <v>11303.0048030135</v>
      </c>
      <c r="G2178" s="16">
        <f>G2177*($D$2197/Inputs!$D$21+$D$2198/Inputs!$D$22)</f>
        <v>13180.207840697982</v>
      </c>
      <c r="H2178" s="16">
        <f>H2177*($D$2197/Inputs!$D$21+$D$2198/Inputs!$D$22)</f>
        <v>13180.207840697982</v>
      </c>
      <c r="I2178" s="16">
        <f>I2177*($D$2197/Inputs!$D$21+$D$2198/Inputs!$D$22)</f>
        <v>13180.207840697982</v>
      </c>
      <c r="J2178" s="16">
        <f>J2177*($D$2197/Inputs!$D$21+$D$2198/Inputs!$D$22)</f>
        <v>13180.207840697982</v>
      </c>
      <c r="K2178" s="16">
        <f>K2177*($D$2197/Inputs!$D$21+$D$2198/Inputs!$D$22)</f>
        <v>13180.207840697982</v>
      </c>
      <c r="L2178" s="16">
        <f>L2177*($D$2197/Inputs!$D$21+$D$2198/Inputs!$D$22)</f>
        <v>13180.207840697982</v>
      </c>
      <c r="M2178" s="16">
        <f>M2177*($D$2197/Inputs!$D$21+$D$2198/Inputs!$D$22)</f>
        <v>13180.207840697982</v>
      </c>
    </row>
    <row r="2179" spans="2:13" ht="15" customHeight="1" x14ac:dyDescent="0.2">
      <c r="B2179" s="10" t="s">
        <v>898</v>
      </c>
      <c r="C2179" s="10" t="s">
        <v>110</v>
      </c>
      <c r="D2179" s="16">
        <f t="shared" ref="D2179:M2179" si="473">D2175*($D$2197+$D$2198)</f>
        <v>15560.968620146154</v>
      </c>
      <c r="E2179" s="16">
        <f t="shared" si="473"/>
        <v>20747.95816019487</v>
      </c>
      <c r="F2179" s="16">
        <f t="shared" si="473"/>
        <v>15560.968620146154</v>
      </c>
      <c r="G2179" s="16">
        <f t="shared" si="473"/>
        <v>0</v>
      </c>
      <c r="H2179" s="16">
        <f t="shared" si="473"/>
        <v>0</v>
      </c>
      <c r="I2179" s="16">
        <f t="shared" si="473"/>
        <v>0</v>
      </c>
      <c r="J2179" s="16">
        <f t="shared" si="473"/>
        <v>0</v>
      </c>
      <c r="K2179" s="16">
        <f t="shared" si="473"/>
        <v>0</v>
      </c>
      <c r="L2179" s="16">
        <f t="shared" si="473"/>
        <v>0</v>
      </c>
      <c r="M2179" s="16">
        <f t="shared" si="473"/>
        <v>0</v>
      </c>
    </row>
    <row r="2180" spans="2:13" ht="15" customHeight="1" x14ac:dyDescent="0.2">
      <c r="B2180" s="10" t="s">
        <v>899</v>
      </c>
      <c r="C2180" s="10" t="s">
        <v>110</v>
      </c>
      <c r="D2180" s="16">
        <f t="shared" ref="D2180:M2180" si="474">D2176*$D$2197</f>
        <v>0</v>
      </c>
      <c r="E2180" s="16">
        <f t="shared" si="474"/>
        <v>0</v>
      </c>
      <c r="F2180" s="16">
        <f t="shared" si="474"/>
        <v>0</v>
      </c>
      <c r="G2180" s="16">
        <f t="shared" si="474"/>
        <v>2638.0048485671714</v>
      </c>
      <c r="H2180" s="16">
        <f t="shared" si="474"/>
        <v>14881.788221808281</v>
      </c>
      <c r="I2180" s="16">
        <f t="shared" si="474"/>
        <v>19842.384295744378</v>
      </c>
      <c r="J2180" s="16">
        <f t="shared" si="474"/>
        <v>14881.788221808281</v>
      </c>
      <c r="K2180" s="16">
        <f t="shared" si="474"/>
        <v>2638.0048485671714</v>
      </c>
      <c r="L2180" s="16">
        <f t="shared" si="474"/>
        <v>14881.788221808281</v>
      </c>
      <c r="M2180" s="16">
        <f t="shared" si="474"/>
        <v>19842.384295744378</v>
      </c>
    </row>
    <row r="2181" spans="2:13" ht="15" customHeight="1" x14ac:dyDescent="0.2">
      <c r="B2181" s="10" t="s">
        <v>900</v>
      </c>
      <c r="C2181" s="10" t="s">
        <v>199</v>
      </c>
      <c r="D2181" s="28">
        <f>D2175*Inputs!$D$23</f>
        <v>6.4875000000000007</v>
      </c>
      <c r="E2181" s="28">
        <f>E2175*Inputs!$D$23</f>
        <v>8.65</v>
      </c>
      <c r="F2181" s="28">
        <f>F2175*Inputs!$D$23</f>
        <v>6.4875000000000007</v>
      </c>
      <c r="G2181" s="28">
        <f>G2175*Inputs!$D$23</f>
        <v>0</v>
      </c>
      <c r="H2181" s="28">
        <f>H2175*Inputs!$D$23</f>
        <v>0</v>
      </c>
      <c r="I2181" s="28">
        <f>I2175*Inputs!$D$23</f>
        <v>0</v>
      </c>
      <c r="J2181" s="28">
        <f>J2175*Inputs!$D$23</f>
        <v>0</v>
      </c>
      <c r="K2181" s="28">
        <f>K2175*Inputs!$D$23</f>
        <v>0</v>
      </c>
      <c r="L2181" s="28">
        <f>L2175*Inputs!$D$23</f>
        <v>0</v>
      </c>
      <c r="M2181" s="28">
        <f>M2175*Inputs!$D$23</f>
        <v>0</v>
      </c>
    </row>
    <row r="2182" spans="2:13" ht="15" customHeight="1" x14ac:dyDescent="0.2">
      <c r="B2182" s="3" t="s">
        <v>901</v>
      </c>
      <c r="C2182" s="10" t="s">
        <v>896</v>
      </c>
      <c r="D2182" s="28">
        <f>(D2177*$D$2195*(Inputs!$D$7-Inputs!$D$19)-D2181)/(Inputs!$D$7+$D$2196)^D2170</f>
        <v>66.941093664025175</v>
      </c>
      <c r="E2182" s="28">
        <f>(E2177*$D$2195*(Inputs!$D$7-Inputs!$D$19)-E2181)/(Inputs!$D$7+$D$2196)^E2170</f>
        <v>236.50134886069964</v>
      </c>
      <c r="F2182" s="28">
        <f>(F2177*$D$2195*(Inputs!$D$7-Inputs!$D$19)-F2181)/(Inputs!$D$7+$D$2196)^F2170</f>
        <v>344.09638613757659</v>
      </c>
      <c r="G2182" s="28">
        <f>(G2177*$D$2195*(Inputs!$D$7-Inputs!$D$19)-G2181)/(Inputs!$D$7+$D$2196)^G2170</f>
        <v>356.64923033671215</v>
      </c>
      <c r="H2182" s="28">
        <f>(H2177*$D$2195*(Inputs!$D$7-Inputs!$D$19)-H2181)/(Inputs!$D$7+$D$2196)^H2170</f>
        <v>312.87826095227666</v>
      </c>
      <c r="I2182" s="28">
        <f>(I2177*$D$2195*(Inputs!$D$7-Inputs!$D$19)-I2181)/(Inputs!$D$7+$D$2196)^I2170</f>
        <v>274.38078227493429</v>
      </c>
      <c r="J2182" s="28">
        <f>(J2177*$D$2195*(Inputs!$D$7-Inputs!$D$19)-J2181)/(Inputs!$D$7+$D$2196)^J2170</f>
        <v>240.70648327449891</v>
      </c>
      <c r="K2182" s="28">
        <f>(K2177*$D$2195*(Inputs!$D$7-Inputs!$D$19)-K2181)/(Inputs!$D$7+$D$2196)^K2170</f>
        <v>211.16497522162516</v>
      </c>
      <c r="L2182" s="28">
        <f>(L2177*$D$2195*(Inputs!$D$7-Inputs!$D$19)-L2181)/(Inputs!$D$7+$D$2196)^L2170</f>
        <v>185.24904752772656</v>
      </c>
      <c r="M2182" s="28">
        <f>(M2177*$D$2195*(Inputs!$D$7-Inputs!$D$19)-M2181)/(Inputs!$D$7+$D$2196)^M2170</f>
        <v>162.45544967439267</v>
      </c>
    </row>
    <row r="2183" spans="2:13" ht="15" customHeight="1" x14ac:dyDescent="0.2">
      <c r="B2183" s="10" t="s">
        <v>902</v>
      </c>
      <c r="C2183" s="10" t="s">
        <v>110</v>
      </c>
      <c r="D2183" s="16">
        <f>(D2178*Inputs!$D$19-D2179-D2180)/(Inputs!$D$7+$D$2196)^D2170</f>
        <v>-13673.750208995338</v>
      </c>
      <c r="E2183" s="16">
        <f>(E2178*Inputs!$D$19-E2179-E2180)/(Inputs!$D$7+$D$2196)^E2170</f>
        <v>-14910.258198718562</v>
      </c>
      <c r="F2183" s="16">
        <f>(F2178*Inputs!$D$19-F2179-F2180)/(Inputs!$D$7+$D$2196)^F2170</f>
        <v>-8525.9417164238148</v>
      </c>
      <c r="G2183" s="16">
        <f>(G2178*Inputs!$D$19-G2179-G2180)/(Inputs!$D$7+$D$2196)^G2170</f>
        <v>808.83204192410847</v>
      </c>
      <c r="H2183" s="16">
        <f>(H2178*Inputs!$D$19-H2179-H2180)/(Inputs!$D$7+$D$2196)^H2170</f>
        <v>-5891.7915280072548</v>
      </c>
      <c r="I2183" s="16">
        <f>(I2178*Inputs!$D$19-I2179-I2180)/(Inputs!$D$7+$D$2196)^I2170</f>
        <v>-7512.3171078465948</v>
      </c>
      <c r="J2183" s="16">
        <f>(J2178*Inputs!$D$19-J2179-J2180)/(Inputs!$D$7+$D$2196)^J2170</f>
        <v>-4532.7291662153211</v>
      </c>
      <c r="K2183" s="16">
        <f>(K2178*Inputs!$D$19-K2179-K2180)/(Inputs!$D$7+$D$2196)^K2170</f>
        <v>478.89349972832292</v>
      </c>
      <c r="L2183" s="16">
        <f>(L2178*Inputs!$D$19-L2179-L2180)/(Inputs!$D$7+$D$2196)^L2170</f>
        <v>-3488.413562109869</v>
      </c>
      <c r="M2183" s="16">
        <f>(M2178*Inputs!$D$19-M2179-M2180)/(Inputs!$D$7+$D$2196)^M2170</f>
        <v>-4447.8947969066312</v>
      </c>
    </row>
    <row r="2184" spans="2:13" ht="15" customHeight="1" x14ac:dyDescent="0.2">
      <c r="B2184" s="10" t="s">
        <v>903</v>
      </c>
      <c r="C2184" s="10" t="s">
        <v>110</v>
      </c>
      <c r="D2184" s="16">
        <f t="shared" ref="D2184:M2184" si="475">D2177*$D$2194</f>
        <v>4051.2534099068284</v>
      </c>
      <c r="E2184" s="16">
        <f t="shared" si="475"/>
        <v>15435.678888243869</v>
      </c>
      <c r="F2184" s="16">
        <f t="shared" si="475"/>
        <v>25201.931309175598</v>
      </c>
      <c r="G2184" s="16">
        <f t="shared" si="475"/>
        <v>29387.468061003477</v>
      </c>
      <c r="H2184" s="16">
        <f t="shared" si="475"/>
        <v>29387.468061003477</v>
      </c>
      <c r="I2184" s="16">
        <f t="shared" si="475"/>
        <v>29387.468061003477</v>
      </c>
      <c r="J2184" s="16">
        <f t="shared" si="475"/>
        <v>29387.468061003477</v>
      </c>
      <c r="K2184" s="16">
        <f t="shared" si="475"/>
        <v>29387.468061003477</v>
      </c>
      <c r="L2184" s="16">
        <f t="shared" si="475"/>
        <v>29387.468061003477</v>
      </c>
      <c r="M2184" s="16">
        <f t="shared" si="475"/>
        <v>29387.468061003477</v>
      </c>
    </row>
    <row r="2185" spans="2:13" ht="15" customHeight="1" x14ac:dyDescent="0.2">
      <c r="B2185" s="10" t="s">
        <v>904</v>
      </c>
      <c r="C2185" s="10" t="s">
        <v>110</v>
      </c>
      <c r="D2185" s="16">
        <f t="shared" ref="D2185:M2185" si="476">D2184*$D$2195</f>
        <v>3686.6406030152139</v>
      </c>
      <c r="E2185" s="16">
        <f t="shared" si="476"/>
        <v>14046.467788301921</v>
      </c>
      <c r="F2185" s="16">
        <f t="shared" si="476"/>
        <v>22933.757491349796</v>
      </c>
      <c r="G2185" s="16">
        <f t="shared" si="476"/>
        <v>26742.595935513167</v>
      </c>
      <c r="H2185" s="16">
        <f t="shared" si="476"/>
        <v>26742.595935513167</v>
      </c>
      <c r="I2185" s="16">
        <f t="shared" si="476"/>
        <v>26742.595935513167</v>
      </c>
      <c r="J2185" s="16">
        <f t="shared" si="476"/>
        <v>26742.595935513167</v>
      </c>
      <c r="K2185" s="16">
        <f t="shared" si="476"/>
        <v>26742.595935513167</v>
      </c>
      <c r="L2185" s="16">
        <f t="shared" si="476"/>
        <v>26742.595935513167</v>
      </c>
      <c r="M2185" s="16">
        <f t="shared" si="476"/>
        <v>26742.595935513167</v>
      </c>
    </row>
    <row r="2186" spans="2:13" ht="15" customHeight="1" x14ac:dyDescent="0.2">
      <c r="B2186" s="10" t="s">
        <v>905</v>
      </c>
      <c r="C2186" s="10" t="s">
        <v>110</v>
      </c>
      <c r="D2186" s="16">
        <f t="shared" ref="D2186:M2186" si="477">D2185-D2178</f>
        <v>1869.663317082772</v>
      </c>
      <c r="E2186" s="16">
        <f t="shared" si="477"/>
        <v>7123.6034065522126</v>
      </c>
      <c r="F2186" s="16">
        <f t="shared" si="477"/>
        <v>11630.752688336295</v>
      </c>
      <c r="G2186" s="16">
        <f t="shared" si="477"/>
        <v>13562.388094815185</v>
      </c>
      <c r="H2186" s="16">
        <f t="shared" si="477"/>
        <v>13562.388094815185</v>
      </c>
      <c r="I2186" s="16">
        <f t="shared" si="477"/>
        <v>13562.388094815185</v>
      </c>
      <c r="J2186" s="16">
        <f t="shared" si="477"/>
        <v>13562.388094815185</v>
      </c>
      <c r="K2186" s="16">
        <f t="shared" si="477"/>
        <v>13562.388094815185</v>
      </c>
      <c r="L2186" s="16">
        <f t="shared" si="477"/>
        <v>13562.388094815185</v>
      </c>
      <c r="M2186" s="16">
        <f t="shared" si="477"/>
        <v>13562.388094815185</v>
      </c>
    </row>
    <row r="2187" spans="2:13" ht="15" customHeight="1" x14ac:dyDescent="0.2">
      <c r="B2187" s="10" t="s">
        <v>906</v>
      </c>
      <c r="C2187" s="10" t="s">
        <v>110</v>
      </c>
      <c r="D2187" s="16">
        <f>MAX(D2186,Inputs!$D$6)*Inputs!$D$19</f>
        <v>560.89899512483157</v>
      </c>
      <c r="E2187" s="16">
        <f>MAX(E2186,Inputs!$D$6)*Inputs!$D$19</f>
        <v>2137.0810219656637</v>
      </c>
      <c r="F2187" s="16">
        <f>MAX(F2186,Inputs!$D$6)*Inputs!$D$19</f>
        <v>3489.2258065008887</v>
      </c>
      <c r="G2187" s="16">
        <f>MAX(G2186,Inputs!$D$6)*Inputs!$D$19</f>
        <v>4068.7164284445553</v>
      </c>
      <c r="H2187" s="16">
        <f>MAX(H2186,Inputs!$D$6)*Inputs!$D$19</f>
        <v>4068.7164284445553</v>
      </c>
      <c r="I2187" s="16">
        <f>MAX(I2186,Inputs!$D$6)*Inputs!$D$19</f>
        <v>4068.7164284445553</v>
      </c>
      <c r="J2187" s="16">
        <f>MAX(J2186,Inputs!$D$6)*Inputs!$D$19</f>
        <v>4068.7164284445553</v>
      </c>
      <c r="K2187" s="16">
        <f>MAX(K2186,Inputs!$D$6)*Inputs!$D$19</f>
        <v>4068.7164284445553</v>
      </c>
      <c r="L2187" s="16">
        <f>MAX(L2186,Inputs!$D$6)*Inputs!$D$19</f>
        <v>4068.7164284445553</v>
      </c>
      <c r="M2187" s="16">
        <f>MAX(M2186,Inputs!$D$6)*Inputs!$D$19</f>
        <v>4068.7164284445553</v>
      </c>
    </row>
    <row r="2188" spans="2:13" ht="15" customHeight="1" x14ac:dyDescent="0.2">
      <c r="B2188" s="10" t="s">
        <v>907</v>
      </c>
      <c r="C2188" s="10" t="s">
        <v>110</v>
      </c>
      <c r="D2188" s="16">
        <f t="shared" ref="D2188:M2188" si="478">D2181*$D$2194</f>
        <v>209.27683759139418</v>
      </c>
      <c r="E2188" s="16">
        <f t="shared" si="478"/>
        <v>279.03578345519219</v>
      </c>
      <c r="F2188" s="16">
        <f t="shared" si="478"/>
        <v>209.27683759139418</v>
      </c>
      <c r="G2188" s="16">
        <f t="shared" si="478"/>
        <v>0</v>
      </c>
      <c r="H2188" s="16">
        <f t="shared" si="478"/>
        <v>0</v>
      </c>
      <c r="I2188" s="16">
        <f t="shared" si="478"/>
        <v>0</v>
      </c>
      <c r="J2188" s="16">
        <f t="shared" si="478"/>
        <v>0</v>
      </c>
      <c r="K2188" s="16">
        <f t="shared" si="478"/>
        <v>0</v>
      </c>
      <c r="L2188" s="16">
        <f t="shared" si="478"/>
        <v>0</v>
      </c>
      <c r="M2188" s="16">
        <f t="shared" si="478"/>
        <v>0</v>
      </c>
    </row>
    <row r="2189" spans="2:13" ht="15" customHeight="1" x14ac:dyDescent="0.2">
      <c r="B2189" s="10" t="s">
        <v>908</v>
      </c>
      <c r="C2189" s="10" t="s">
        <v>110</v>
      </c>
      <c r="D2189" s="16">
        <f t="shared" ref="D2189:M2189" si="479">D2185-D2187-D2179-D2180-D2188</f>
        <v>-12644.503849847166</v>
      </c>
      <c r="E2189" s="16">
        <f t="shared" si="479"/>
        <v>-9117.6071773138046</v>
      </c>
      <c r="F2189" s="16">
        <f t="shared" si="479"/>
        <v>3674.2862271113577</v>
      </c>
      <c r="G2189" s="16">
        <f t="shared" si="479"/>
        <v>20035.874658501438</v>
      </c>
      <c r="H2189" s="16">
        <f t="shared" si="479"/>
        <v>7792.0912852603287</v>
      </c>
      <c r="I2189" s="16">
        <f t="shared" si="479"/>
        <v>2831.4952113242325</v>
      </c>
      <c r="J2189" s="16">
        <f t="shared" si="479"/>
        <v>7792.0912852603287</v>
      </c>
      <c r="K2189" s="16">
        <f t="shared" si="479"/>
        <v>20035.874658501438</v>
      </c>
      <c r="L2189" s="16">
        <f t="shared" si="479"/>
        <v>7792.0912852603287</v>
      </c>
      <c r="M2189" s="16">
        <f t="shared" si="479"/>
        <v>2831.4952113242325</v>
      </c>
    </row>
    <row r="2190" spans="2:13" ht="15" customHeight="1" x14ac:dyDescent="0.2">
      <c r="B2190" s="10" t="s">
        <v>909</v>
      </c>
      <c r="C2190" s="10" t="s">
        <v>110</v>
      </c>
      <c r="D2190" s="16">
        <f>D2189/(Inputs!$D$7+$D$2196)^D2170</f>
        <v>-11514.332808314568</v>
      </c>
      <c r="E2190" s="16">
        <f>E2189/(Inputs!$D$7+$D$2196)^E2170</f>
        <v>-7281.0860406197135</v>
      </c>
      <c r="F2190" s="16">
        <f>F2189/(Inputs!$D$7+$D$2196)^F2170</f>
        <v>2574.0819471598902</v>
      </c>
      <c r="G2190" s="16">
        <f>G2189/(Inputs!$D$7+$D$2196)^G2170</f>
        <v>12313.791279576801</v>
      </c>
      <c r="H2190" s="16">
        <f>H2189/(Inputs!$D$7+$D$2196)^H2170</f>
        <v>4201.1831160293477</v>
      </c>
      <c r="I2190" s="16">
        <f>I2189/(Inputs!$D$7+$D$2196)^I2170</f>
        <v>1338.787695290378</v>
      </c>
      <c r="J2190" s="16">
        <f>J2189/(Inputs!$D$7+$D$2196)^J2170</f>
        <v>3232.0942029458279</v>
      </c>
      <c r="K2190" s="16">
        <f>K2189/(Inputs!$D$7+$D$2196)^K2170</f>
        <v>7290.7529562904538</v>
      </c>
      <c r="L2190" s="16">
        <f>L2189/(Inputs!$D$7+$D$2196)^L2170</f>
        <v>2487.4376646216137</v>
      </c>
      <c r="M2190" s="16">
        <f>M2189/(Inputs!$D$7+$D$2196)^M2170</f>
        <v>792.66978996732371</v>
      </c>
    </row>
    <row r="2191" spans="2:13" ht="15" customHeight="1" x14ac:dyDescent="0.2">
      <c r="B2191" s="3" t="s">
        <v>910</v>
      </c>
      <c r="C2191" s="10" t="s">
        <v>896</v>
      </c>
      <c r="D2191" s="28">
        <f>(D2177*$D$2195-D2181)/(Inputs!$D$7+$D$2196)^D2170</f>
        <v>98.161981464543032</v>
      </c>
      <c r="E2191" s="28">
        <f>(E2177*$D$2195-E2181)/(Inputs!$D$7+$D$2196)^E2170</f>
        <v>340.81949851686772</v>
      </c>
      <c r="F2191" s="28">
        <f>(F2177*$D$2195-F2181)/(Inputs!$D$7+$D$2196)^F2170</f>
        <v>493.51409106262543</v>
      </c>
      <c r="G2191" s="28">
        <f>(G2177*$D$2195-G2181)/(Inputs!$D$7+$D$2196)^G2170</f>
        <v>509.49890048101742</v>
      </c>
      <c r="H2191" s="28">
        <f>(H2177*$D$2195-H2181)/(Inputs!$D$7+$D$2196)^H2170</f>
        <v>446.96894421753819</v>
      </c>
      <c r="I2191" s="28">
        <f>(I2177*$D$2195-I2181)/(Inputs!$D$7+$D$2196)^I2170</f>
        <v>391.97254610704903</v>
      </c>
      <c r="J2191" s="28">
        <f>(J2177*$D$2195-J2181)/(Inputs!$D$7+$D$2196)^J2170</f>
        <v>343.86640467785566</v>
      </c>
      <c r="K2191" s="28">
        <f>(K2177*$D$2195-K2181)/(Inputs!$D$7+$D$2196)^K2170</f>
        <v>301.66425031660742</v>
      </c>
      <c r="L2191" s="28">
        <f>(L2177*$D$2195-L2181)/(Inputs!$D$7+$D$2196)^L2170</f>
        <v>264.64149646818083</v>
      </c>
      <c r="M2191" s="28">
        <f>(M2177*$D$2195-M2181)/(Inputs!$D$7+$D$2196)^M2170</f>
        <v>232.07921382056099</v>
      </c>
    </row>
    <row r="2192" spans="2:13" ht="15" customHeight="1" x14ac:dyDescent="0.2">
      <c r="B2192" s="10" t="s">
        <v>911</v>
      </c>
      <c r="C2192" s="10" t="s">
        <v>110</v>
      </c>
      <c r="D2192" s="16">
        <f>(-D2179-D2180)/(Inputs!$D$7+$D$2196)^D2170</f>
        <v>-14170.122737893587</v>
      </c>
      <c r="E2192" s="16">
        <f>(-E2179-E2180)/(Inputs!$D$7+$D$2196)^E2170</f>
        <v>-16568.784506031301</v>
      </c>
      <c r="F2192" s="16">
        <f>(-F2179-F2180)/(Inputs!$D$7+$D$2196)^F2170</f>
        <v>-10901.493767656277</v>
      </c>
      <c r="G2192" s="16">
        <f>(-G2179-G2180)/(Inputs!$D$7+$D$2196)^G2170</f>
        <v>-1621.2839046676961</v>
      </c>
      <c r="H2192" s="16">
        <f>(-H2179-H2180)/(Inputs!$D$7+$D$2196)^H2170</f>
        <v>-8023.6633690433682</v>
      </c>
      <c r="I2192" s="16">
        <f>(-I2179-I2180)/(Inputs!$D$7+$D$2196)^I2170</f>
        <v>-9381.8770500204446</v>
      </c>
      <c r="J2192" s="16">
        <f>(-J2179-J2180)/(Inputs!$D$7+$D$2196)^J2170</f>
        <v>-6172.8411129063252</v>
      </c>
      <c r="K2192" s="16">
        <f>(-K2179-K2180)/(Inputs!$D$7+$D$2196)^K2170</f>
        <v>-959.93022397147342</v>
      </c>
      <c r="L2192" s="16">
        <f>(-L2179-L2180)/(Inputs!$D$7+$D$2196)^L2170</f>
        <v>-4750.6528330682277</v>
      </c>
      <c r="M2192" s="16">
        <f>(-M2179-M2180)/(Inputs!$D$7+$D$2196)^M2170</f>
        <v>-5554.82436602912</v>
      </c>
    </row>
    <row r="2193" spans="2:13" ht="15" customHeight="1" x14ac:dyDescent="0.2">
      <c r="B2193" s="10" t="s">
        <v>912</v>
      </c>
      <c r="C2193" s="10" t="s">
        <v>110</v>
      </c>
      <c r="D2193" s="16">
        <f>Prices!I7</f>
        <v>35754.545454545456</v>
      </c>
    </row>
    <row r="2194" spans="2:13" ht="15" customHeight="1" x14ac:dyDescent="0.2">
      <c r="B2194" s="3" t="s">
        <v>913</v>
      </c>
      <c r="C2194" s="10" t="s">
        <v>914</v>
      </c>
      <c r="D2194" s="28">
        <f>IF(J2201&gt;=J2197,J2201,(D2193-J2200)/J2199)</f>
        <v>32.258472075744763</v>
      </c>
      <c r="G2194" s="99" t="s">
        <v>915</v>
      </c>
      <c r="H2194" s="91"/>
      <c r="I2194" s="91"/>
      <c r="J2194" s="28">
        <f>D2194*Inputs!$D$15</f>
        <v>22.513187661662268</v>
      </c>
      <c r="K2194" s="99" t="s">
        <v>916</v>
      </c>
      <c r="L2194" s="91"/>
      <c r="M2194" s="91"/>
    </row>
    <row r="2195" spans="2:13" ht="15" customHeight="1" x14ac:dyDescent="0.2">
      <c r="B2195" s="10" t="s">
        <v>917</v>
      </c>
      <c r="C2195" s="10" t="s">
        <v>104</v>
      </c>
      <c r="D2195" s="30">
        <f>Inputs!$D$145</f>
        <v>0.91</v>
      </c>
      <c r="G2195" s="99" t="s">
        <v>918</v>
      </c>
      <c r="H2195" s="91"/>
      <c r="I2195" s="91"/>
      <c r="J2195" s="28">
        <f>IF(-D2206/D2205&gt;=J2197,-D2206/D2205,-J2200/J2199)</f>
        <v>22.941592530423179</v>
      </c>
      <c r="K2195" s="99" t="s">
        <v>919</v>
      </c>
      <c r="L2195" s="91"/>
      <c r="M2195" s="91"/>
    </row>
    <row r="2196" spans="2:13" ht="15" customHeight="1" x14ac:dyDescent="0.2">
      <c r="B2196" s="10" t="s">
        <v>920</v>
      </c>
      <c r="C2196" s="10" t="s">
        <v>104</v>
      </c>
      <c r="D2196" s="30">
        <f>Inputs!$D$149</f>
        <v>0.14000000000000001</v>
      </c>
      <c r="G2196" s="99" t="s">
        <v>918</v>
      </c>
      <c r="H2196" s="91"/>
      <c r="I2196" s="91"/>
      <c r="J2196" s="28">
        <f>J2195*Inputs!$D$15</f>
        <v>16.010937426982338</v>
      </c>
      <c r="K2196" s="99" t="s">
        <v>916</v>
      </c>
      <c r="L2196" s="91"/>
      <c r="M2196" s="91"/>
    </row>
    <row r="2197" spans="2:13" ht="15" customHeight="1" x14ac:dyDescent="0.2">
      <c r="B2197" s="3" t="s">
        <v>921</v>
      </c>
      <c r="C2197" s="10" t="s">
        <v>848</v>
      </c>
      <c r="D2197" s="28">
        <f>Capital!$D$13</f>
        <v>57.347931490590682</v>
      </c>
      <c r="G2197" s="99" t="s">
        <v>922</v>
      </c>
      <c r="H2197" s="91"/>
      <c r="I2197" s="91"/>
      <c r="J2197" s="28">
        <f>($D$2197/Inputs!$D$21+$D$2198/Inputs!$D$22)/$D$2195</f>
        <v>15.898732030612395</v>
      </c>
      <c r="K2197" s="99" t="s">
        <v>919</v>
      </c>
      <c r="L2197" s="91"/>
      <c r="M2197" s="91"/>
    </row>
    <row r="2198" spans="2:13" ht="15" customHeight="1" x14ac:dyDescent="0.2">
      <c r="B2198" s="3" t="s">
        <v>923</v>
      </c>
      <c r="C2198" s="10" t="s">
        <v>848</v>
      </c>
      <c r="D2198" s="28">
        <f>Capital!$D$14</f>
        <v>2.6172655041921802</v>
      </c>
    </row>
    <row r="2199" spans="2:13" ht="15" customHeight="1" x14ac:dyDescent="0.2">
      <c r="B2199" s="10" t="s">
        <v>924</v>
      </c>
      <c r="C2199" s="10" t="s">
        <v>896</v>
      </c>
      <c r="D2199" s="28">
        <f>(M2172*(Inputs!$D$7+Inputs!$D$20)*$D$2195*(Inputs!$D$7-Inputs!$D$19)-M2172*Inputs!$D$20*Inputs!$D$23)/($D$2196-Inputs!$D$20)/(Inputs!$D$7+$D$2196)^M2170</f>
        <v>1446.5864421896979</v>
      </c>
      <c r="G2199" s="92" t="s">
        <v>910</v>
      </c>
      <c r="H2199" s="91"/>
      <c r="I2199" s="91"/>
      <c r="J2199" s="28">
        <f>SUM(D2191:M2191)+(M2172*(Inputs!$D$7+Inputs!$D$20)*$D$2195-M2172*Inputs!$D$20*Inputs!$D$23)/($D$2196-Inputs!$D$20)/(Inputs!$D$7+$D$2196)^M2170</f>
        <v>5490.3334062775211</v>
      </c>
      <c r="K2199" s="99" t="s">
        <v>896</v>
      </c>
      <c r="L2199" s="91"/>
      <c r="M2199" s="91"/>
    </row>
    <row r="2200" spans="2:13" ht="15" customHeight="1" x14ac:dyDescent="0.2">
      <c r="B2200" s="10" t="s">
        <v>925</v>
      </c>
      <c r="C2200" s="10" t="s">
        <v>110</v>
      </c>
      <c r="D2200" s="16">
        <f>(D2203*Inputs!$D$19-D2203-D2204)/($D$2196-Inputs!$D$20)/(Inputs!$D$7+$D$2196)^M2170</f>
        <v>-26345.502698929216</v>
      </c>
      <c r="G2200" s="92" t="s">
        <v>926</v>
      </c>
      <c r="H2200" s="91"/>
      <c r="I2200" s="91"/>
      <c r="J2200" s="16">
        <f>SUM(D2192:M2192)-(D2203+D2204)/($D$2196-Inputs!$D$20)/(Inputs!$D$7+$D$2196)^M2170</f>
        <v>-114317.08794717836</v>
      </c>
      <c r="K2200" s="99" t="s">
        <v>110</v>
      </c>
      <c r="L2200" s="91"/>
      <c r="M2200" s="91"/>
    </row>
    <row r="2201" spans="2:13" ht="15" customHeight="1" x14ac:dyDescent="0.2">
      <c r="B2201" s="10" t="s">
        <v>927</v>
      </c>
      <c r="C2201" s="10" t="s">
        <v>928</v>
      </c>
      <c r="D2201" s="16">
        <f>(M2172*(Inputs!$D$7+Inputs!$D$20)*$D$2194*$D$2195-D2203)-MAX((M2172*(Inputs!$D$7+Inputs!$D$20)*$D$2194*$D$2195-D2203),Inputs!$D$6)*Inputs!$D$19-D2204-M2172*Inputs!$D$20*$D$2194*Inputs!$D$23</f>
        <v>8346.9389289355859</v>
      </c>
      <c r="G2201" s="99" t="s">
        <v>929</v>
      </c>
      <c r="H2201" s="91"/>
      <c r="I2201" s="91"/>
      <c r="J2201" s="28">
        <f>(D2193-D2206)/D2205</f>
        <v>32.258472075744763</v>
      </c>
      <c r="K2201" s="99" t="s">
        <v>919</v>
      </c>
      <c r="L2201" s="91"/>
      <c r="M2201" s="91"/>
    </row>
    <row r="2202" spans="2:13" ht="15" customHeight="1" x14ac:dyDescent="0.2">
      <c r="B2202" s="10" t="s">
        <v>930</v>
      </c>
      <c r="C2202" s="10" t="s">
        <v>110</v>
      </c>
      <c r="D2202" s="16">
        <f>D2201/($D$2196-Inputs!$D$20)</f>
        <v>72582.077642918128</v>
      </c>
      <c r="G2202" s="99" t="s">
        <v>931</v>
      </c>
      <c r="H2202" s="91"/>
      <c r="I2202" s="91"/>
      <c r="J2202" s="16">
        <f>MIN(D2186:M2186,(M2172*(Inputs!$D$7+Inputs!$D$20)*$D$2194*$D$2195-D2203))</f>
        <v>1869.663317082772</v>
      </c>
      <c r="K2202" s="99" t="s">
        <v>110</v>
      </c>
      <c r="L2202" s="91"/>
      <c r="M2202" s="91"/>
    </row>
    <row r="2203" spans="2:13" ht="15" customHeight="1" x14ac:dyDescent="0.2">
      <c r="B2203" s="10" t="s">
        <v>932</v>
      </c>
      <c r="C2203" s="10" t="s">
        <v>928</v>
      </c>
      <c r="D2203" s="16">
        <f>M2172*(Inputs!$D$7+Inputs!$D$20)*($D$2197/Inputs!$D$21+$D$2198/Inputs!$D$22)</f>
        <v>13509.71303671543</v>
      </c>
      <c r="G2203" s="99" t="s">
        <v>933</v>
      </c>
      <c r="H2203" s="91"/>
      <c r="I2203" s="91"/>
      <c r="J2203" s="31" t="str">
        <f>IF(J2202&lt;Inputs!$D$6,"breached","satisfied")</f>
        <v>satisfied</v>
      </c>
      <c r="K2203" s="99" t="s">
        <v>934</v>
      </c>
      <c r="L2203" s="91"/>
      <c r="M2203" s="91"/>
    </row>
    <row r="2204" spans="2:13" ht="15" customHeight="1" x14ac:dyDescent="0.2">
      <c r="B2204" s="10" t="s">
        <v>935</v>
      </c>
      <c r="C2204" s="10" t="s">
        <v>928</v>
      </c>
      <c r="D2204" s="16">
        <f>M2172*Inputs!$D$20*($D$2197+$D$2198)</f>
        <v>1365.7073615561799</v>
      </c>
    </row>
    <row r="2205" spans="2:13" ht="15" customHeight="1" x14ac:dyDescent="0.2">
      <c r="B2205" s="10" t="s">
        <v>936</v>
      </c>
      <c r="C2205" s="10" t="s">
        <v>896</v>
      </c>
      <c r="D2205" s="28">
        <f>SUM(D2182:M2182)+D2199</f>
        <v>3837.6095001141657</v>
      </c>
      <c r="G2205" s="99" t="s">
        <v>937</v>
      </c>
      <c r="H2205" s="91"/>
      <c r="I2205" s="91"/>
      <c r="J2205" s="16">
        <f>D2207-D2193</f>
        <v>0</v>
      </c>
      <c r="K2205" s="99" t="s">
        <v>110</v>
      </c>
      <c r="L2205" s="91"/>
      <c r="M2205" s="91"/>
    </row>
    <row r="2206" spans="2:13" ht="15" customHeight="1" x14ac:dyDescent="0.2">
      <c r="B2206" s="10" t="s">
        <v>938</v>
      </c>
      <c r="C2206" s="10" t="s">
        <v>110</v>
      </c>
      <c r="D2206" s="16">
        <f>SUM(D2183:M2183)+D2200</f>
        <v>-88040.873442500175</v>
      </c>
    </row>
    <row r="2207" spans="2:13" ht="15" customHeight="1" x14ac:dyDescent="0.2">
      <c r="B2207" s="10" t="s">
        <v>939</v>
      </c>
      <c r="C2207" s="10" t="s">
        <v>110</v>
      </c>
      <c r="D2207" s="16">
        <f>SUM(D2190:M2190)+D2202/(Inputs!$D$7+$D$2196)^M2170</f>
        <v>35754.54545454547</v>
      </c>
    </row>
    <row r="2208" spans="2:13" ht="15" customHeight="1" x14ac:dyDescent="0.2">
      <c r="B2208" s="10" t="s">
        <v>940</v>
      </c>
      <c r="C2208" s="10" t="s">
        <v>104</v>
      </c>
      <c r="D2208" s="30">
        <f>IF(ABS(D2193)&gt;Inputs!$D$6,D2207/D2193-Inputs!$D$7,Inputs!$D$6)</f>
        <v>4.4408920985006262E-16</v>
      </c>
    </row>
    <row r="2209" spans="1:13" ht="15" customHeight="1" x14ac:dyDescent="0.2">
      <c r="B2209" s="10" t="s">
        <v>941</v>
      </c>
      <c r="C2209" s="10" t="s">
        <v>104</v>
      </c>
      <c r="D2209" s="30">
        <f>IF(ABS(D2207)&gt;Inputs!$D$119,D2202/(Inputs!$D$7+$D$2196)^M2170/D2207,Inputs!$D$6)</f>
        <v>0.56829601364754434</v>
      </c>
    </row>
    <row r="2210" spans="1:13" ht="15" customHeight="1" x14ac:dyDescent="0.2">
      <c r="B2210" s="10" t="s">
        <v>942</v>
      </c>
      <c r="C2210" s="10" t="s">
        <v>943</v>
      </c>
      <c r="D2210" s="26">
        <f>$D$2194*Inputs!$D$8/Prices!$P$6/(Inputs!$D$26/Inputs!$D$25)/Inputs!$D$11/Inputs!$D$56</f>
        <v>5.8663011328035992</v>
      </c>
    </row>
    <row r="2214" spans="1:13" ht="15" customHeight="1" x14ac:dyDescent="0.2">
      <c r="A2214" s="104" t="s">
        <v>2213</v>
      </c>
      <c r="B2214" s="10" t="s">
        <v>886</v>
      </c>
      <c r="C2214" s="10" t="s">
        <v>107</v>
      </c>
      <c r="D2214" s="28">
        <f>Inputs!$D$60</f>
        <v>1</v>
      </c>
      <c r="E2214" s="28">
        <f>Inputs!$D$62</f>
        <v>2</v>
      </c>
      <c r="F2214" s="28">
        <f>Inputs!$D$64</f>
        <v>3</v>
      </c>
      <c r="G2214" s="28">
        <f>Inputs!$D$66</f>
        <v>4</v>
      </c>
      <c r="H2214" s="28">
        <f>Inputs!$D$68</f>
        <v>5</v>
      </c>
      <c r="I2214" s="28">
        <f>Inputs!$D$70</f>
        <v>6</v>
      </c>
      <c r="J2214" s="28">
        <f>Inputs!$D$72</f>
        <v>7</v>
      </c>
      <c r="K2214" s="28">
        <f>Inputs!$D$74</f>
        <v>8</v>
      </c>
      <c r="L2214" s="28">
        <f>Inputs!$D$76</f>
        <v>9</v>
      </c>
      <c r="M2214" s="28">
        <f>Inputs!$D$78</f>
        <v>10</v>
      </c>
    </row>
    <row r="2215" spans="1:13" ht="15" customHeight="1" x14ac:dyDescent="0.2">
      <c r="A2215" s="91"/>
      <c r="B2215" s="10" t="s">
        <v>887</v>
      </c>
      <c r="C2215" s="10" t="s">
        <v>161</v>
      </c>
      <c r="D2215" s="29">
        <f>Inputs!$D$61</f>
        <v>46568</v>
      </c>
      <c r="E2215" s="29">
        <f>Inputs!$D$63</f>
        <v>46934</v>
      </c>
      <c r="F2215" s="29">
        <f>Inputs!$D$65</f>
        <v>47299</v>
      </c>
      <c r="G2215" s="29">
        <f>Inputs!$D$67</f>
        <v>47664</v>
      </c>
      <c r="H2215" s="29">
        <f>Inputs!$D$69</f>
        <v>48029</v>
      </c>
      <c r="I2215" s="29">
        <f>Inputs!$D$71</f>
        <v>48395</v>
      </c>
      <c r="J2215" s="29">
        <f>Inputs!$D$73</f>
        <v>48760</v>
      </c>
      <c r="K2215" s="29">
        <f>Inputs!$D$75</f>
        <v>49125</v>
      </c>
      <c r="L2215" s="29">
        <f>Inputs!$D$77</f>
        <v>49490</v>
      </c>
      <c r="M2215" s="29">
        <f>Inputs!$D$79</f>
        <v>49856</v>
      </c>
    </row>
    <row r="2216" spans="1:13" ht="15" customHeight="1" x14ac:dyDescent="0.2">
      <c r="A2216" s="91"/>
      <c r="B2216" s="10" t="s">
        <v>888</v>
      </c>
      <c r="C2216" s="10" t="s">
        <v>107</v>
      </c>
      <c r="D2216" s="28">
        <f>(D2215-Inputs!$D$13)/Inputs!$D$10</f>
        <v>0.71457905544147848</v>
      </c>
      <c r="E2216" s="28">
        <f>(E2215-Inputs!$D$13)/Inputs!$D$10</f>
        <v>1.7166324435318274</v>
      </c>
      <c r="F2216" s="28">
        <f>(F2215-Inputs!$D$13)/Inputs!$D$10</f>
        <v>2.7159479808350446</v>
      </c>
      <c r="G2216" s="28">
        <f>(G2215-Inputs!$D$13)/Inputs!$D$10</f>
        <v>3.7152635181382614</v>
      </c>
      <c r="H2216" s="28">
        <f>(H2215-Inputs!$D$13)/Inputs!$D$10</f>
        <v>4.7145790554414786</v>
      </c>
      <c r="I2216" s="28">
        <f>(I2215-Inputs!$D$13)/Inputs!$D$10</f>
        <v>5.7166324435318279</v>
      </c>
      <c r="J2216" s="28">
        <f>(J2215-Inputs!$D$13)/Inputs!$D$10</f>
        <v>6.7159479808350442</v>
      </c>
      <c r="K2216" s="28">
        <f>(K2215-Inputs!$D$13)/Inputs!$D$10</f>
        <v>7.7152635181382614</v>
      </c>
      <c r="L2216" s="28">
        <f>(L2215-Inputs!$D$13)/Inputs!$D$10</f>
        <v>8.7145790554414777</v>
      </c>
      <c r="M2216" s="28">
        <f>(M2215-Inputs!$D$13)/Inputs!$D$10</f>
        <v>9.716632443531827</v>
      </c>
    </row>
    <row r="2217" spans="1:13" ht="15" customHeight="1" x14ac:dyDescent="0.2">
      <c r="A2217" s="91"/>
      <c r="B2217" s="10" t="s">
        <v>889</v>
      </c>
      <c r="C2217" s="10" t="s">
        <v>107</v>
      </c>
      <c r="D2217" s="28">
        <f>D2216</f>
        <v>0.71457905544147848</v>
      </c>
      <c r="E2217" s="28">
        <f>Inputs!$D$7</f>
        <v>1</v>
      </c>
      <c r="F2217" s="28">
        <f>Inputs!$D$7</f>
        <v>1</v>
      </c>
      <c r="G2217" s="28">
        <f>Inputs!$D$7</f>
        <v>1</v>
      </c>
      <c r="H2217" s="28">
        <f>Inputs!$D$7</f>
        <v>1</v>
      </c>
      <c r="I2217" s="28">
        <f>Inputs!$D$7</f>
        <v>1</v>
      </c>
      <c r="J2217" s="28">
        <f>Inputs!$D$7</f>
        <v>1</v>
      </c>
      <c r="K2217" s="28">
        <f>Inputs!$D$7</f>
        <v>1</v>
      </c>
      <c r="L2217" s="28">
        <f>Inputs!$D$7</f>
        <v>1</v>
      </c>
      <c r="M2217" s="28">
        <f>Inputs!$D$7</f>
        <v>1</v>
      </c>
    </row>
    <row r="2218" spans="1:13" ht="15" customHeight="1" x14ac:dyDescent="0.2">
      <c r="A2218" s="91"/>
      <c r="B2218" s="3" t="s">
        <v>890</v>
      </c>
      <c r="C2218" s="10" t="s">
        <v>199</v>
      </c>
      <c r="D2218" s="28">
        <f>Inputs!$D$24+(Inputs!$D$80-Inputs!$D$24)*Inputs!$D$83</f>
        <v>305.5</v>
      </c>
      <c r="E2218" s="28">
        <f>Inputs!$D$24+(Inputs!$D$80-Inputs!$D$24)*Inputs!$D$84</f>
        <v>651.5</v>
      </c>
      <c r="F2218" s="28">
        <f>Inputs!$D$24+(Inputs!$D$80-Inputs!$D$24)*Inputs!$D$85</f>
        <v>911</v>
      </c>
      <c r="G2218" s="28">
        <f>Inputs!$D$24+(Inputs!$D$80-Inputs!$D$24)*Inputs!$D$86</f>
        <v>911</v>
      </c>
      <c r="H2218" s="28">
        <f>Inputs!$D$24+(Inputs!$D$80-Inputs!$D$24)*Inputs!$D$87</f>
        <v>911</v>
      </c>
      <c r="I2218" s="28">
        <f>Inputs!$D$24+(Inputs!$D$80-Inputs!$D$24)*Inputs!$D$88</f>
        <v>911</v>
      </c>
      <c r="J2218" s="28">
        <f>Inputs!$D$24+(Inputs!$D$80-Inputs!$D$24)*Inputs!$D$89</f>
        <v>911</v>
      </c>
      <c r="K2218" s="28">
        <f>Inputs!$D$24+(Inputs!$D$80-Inputs!$D$24)*Inputs!$D$90</f>
        <v>911</v>
      </c>
      <c r="L2218" s="28">
        <f>Inputs!$D$24+(Inputs!$D$80-Inputs!$D$24)*Inputs!$D$91</f>
        <v>911</v>
      </c>
      <c r="M2218" s="28">
        <f>Inputs!$D$24+(Inputs!$D$80-Inputs!$D$24)*Inputs!$D$92</f>
        <v>911</v>
      </c>
    </row>
    <row r="2219" spans="1:13" ht="15" customHeight="1" x14ac:dyDescent="0.2">
      <c r="A2219" s="91"/>
      <c r="B2219" s="10" t="s">
        <v>891</v>
      </c>
      <c r="C2219" s="10" t="s">
        <v>199</v>
      </c>
      <c r="D2219" s="28">
        <f>Inputs!$D$24</f>
        <v>46</v>
      </c>
      <c r="E2219" s="28">
        <f t="shared" ref="E2219:M2219" si="480">D2218</f>
        <v>305.5</v>
      </c>
      <c r="F2219" s="28">
        <f t="shared" si="480"/>
        <v>651.5</v>
      </c>
      <c r="G2219" s="28">
        <f t="shared" si="480"/>
        <v>911</v>
      </c>
      <c r="H2219" s="28">
        <f t="shared" si="480"/>
        <v>911</v>
      </c>
      <c r="I2219" s="28">
        <f t="shared" si="480"/>
        <v>911</v>
      </c>
      <c r="J2219" s="28">
        <f t="shared" si="480"/>
        <v>911</v>
      </c>
      <c r="K2219" s="28">
        <f t="shared" si="480"/>
        <v>911</v>
      </c>
      <c r="L2219" s="28">
        <f t="shared" si="480"/>
        <v>911</v>
      </c>
      <c r="M2219" s="28">
        <f t="shared" si="480"/>
        <v>911</v>
      </c>
    </row>
    <row r="2220" spans="1:13" ht="15" customHeight="1" x14ac:dyDescent="0.2">
      <c r="B2220" s="10" t="s">
        <v>892</v>
      </c>
      <c r="C2220" s="10" t="s">
        <v>199</v>
      </c>
      <c r="D2220" s="28">
        <f>(D2219+D2218)*Inputs!$D$12</f>
        <v>175.75</v>
      </c>
      <c r="E2220" s="28">
        <f>(E2219+E2218)*Inputs!$D$12</f>
        <v>478.5</v>
      </c>
      <c r="F2220" s="28">
        <f>(F2219+F2218)*Inputs!$D$12</f>
        <v>781.25</v>
      </c>
      <c r="G2220" s="28">
        <f>(G2219+G2218)*Inputs!$D$12</f>
        <v>911</v>
      </c>
      <c r="H2220" s="28">
        <f>(H2219+H2218)*Inputs!$D$12</f>
        <v>911</v>
      </c>
      <c r="I2220" s="28">
        <f>(I2219+I2218)*Inputs!$D$12</f>
        <v>911</v>
      </c>
      <c r="J2220" s="28">
        <f>(J2219+J2218)*Inputs!$D$12</f>
        <v>911</v>
      </c>
      <c r="K2220" s="28">
        <f>(K2219+K2218)*Inputs!$D$12</f>
        <v>911</v>
      </c>
      <c r="L2220" s="28">
        <f>(L2219+L2218)*Inputs!$D$12</f>
        <v>911</v>
      </c>
      <c r="M2220" s="28">
        <f>(M2219+M2218)*Inputs!$D$12</f>
        <v>911</v>
      </c>
    </row>
    <row r="2221" spans="1:13" ht="15" customHeight="1" x14ac:dyDescent="0.2">
      <c r="B2221" s="10" t="s">
        <v>893</v>
      </c>
      <c r="C2221" s="10" t="s">
        <v>199</v>
      </c>
      <c r="D2221" s="28">
        <f t="shared" ref="D2221:M2221" si="481">D2218-D2219</f>
        <v>259.5</v>
      </c>
      <c r="E2221" s="28">
        <f t="shared" si="481"/>
        <v>346</v>
      </c>
      <c r="F2221" s="28">
        <f t="shared" si="481"/>
        <v>259.5</v>
      </c>
      <c r="G2221" s="28">
        <f t="shared" si="481"/>
        <v>0</v>
      </c>
      <c r="H2221" s="28">
        <f t="shared" si="481"/>
        <v>0</v>
      </c>
      <c r="I2221" s="28">
        <f t="shared" si="481"/>
        <v>0</v>
      </c>
      <c r="J2221" s="28">
        <f t="shared" si="481"/>
        <v>0</v>
      </c>
      <c r="K2221" s="28">
        <f t="shared" si="481"/>
        <v>0</v>
      </c>
      <c r="L2221" s="28">
        <f t="shared" si="481"/>
        <v>0</v>
      </c>
      <c r="M2221" s="28">
        <f t="shared" si="481"/>
        <v>0</v>
      </c>
    </row>
    <row r="2222" spans="1:13" ht="15" customHeight="1" x14ac:dyDescent="0.2">
      <c r="B2222" s="10" t="s">
        <v>894</v>
      </c>
      <c r="C2222" s="10" t="s">
        <v>199</v>
      </c>
      <c r="D2222" s="28">
        <f>IF(MOD(D2214,Inputs!$D$21)=Inputs!$D$6,Inputs!$D$24,Inputs!$D$6)+SUMPRODUCT(--(D2214&gt;$D$2214:$M$2214),--(MOD(D2214-$D$2214:$M$2214,Inputs!$D$21)=Inputs!$D$6),$D$2221:$M$2221)</f>
        <v>0</v>
      </c>
      <c r="E2222" s="28">
        <f>IF(MOD(E2214,Inputs!$D$21)=Inputs!$D$6,Inputs!$D$24,Inputs!$D$6)+SUMPRODUCT(--(E2214&gt;$D$2214:$M$2214),--(MOD(E2214-$D$2214:$M$2214,Inputs!$D$21)=Inputs!$D$6),$D$2221:$M$2221)</f>
        <v>0</v>
      </c>
      <c r="F2222" s="28">
        <f>IF(MOD(F2214,Inputs!$D$21)=Inputs!$D$6,Inputs!$D$24,Inputs!$D$6)+SUMPRODUCT(--(F2214&gt;$D$2214:$M$2214),--(MOD(F2214-$D$2214:$M$2214,Inputs!$D$21)=Inputs!$D$6),$D$2221:$M$2221)</f>
        <v>0</v>
      </c>
      <c r="G2222" s="28">
        <f>IF(MOD(G2214,Inputs!$D$21)=Inputs!$D$6,Inputs!$D$24,Inputs!$D$6)+SUMPRODUCT(--(G2214&gt;$D$2214:$M$2214),--(MOD(G2214-$D$2214:$M$2214,Inputs!$D$21)=Inputs!$D$6),$D$2221:$M$2221)</f>
        <v>46</v>
      </c>
      <c r="H2222" s="28">
        <f>IF(MOD(H2214,Inputs!$D$21)=Inputs!$D$6,Inputs!$D$24,Inputs!$D$6)+SUMPRODUCT(--(H2214&gt;$D$2214:$M$2214),--(MOD(H2214-$D$2214:$M$2214,Inputs!$D$21)=Inputs!$D$6),$D$2221:$M$2221)</f>
        <v>259.5</v>
      </c>
      <c r="I2222" s="28">
        <f>IF(MOD(I2214,Inputs!$D$21)=Inputs!$D$6,Inputs!$D$24,Inputs!$D$6)+SUMPRODUCT(--(I2214&gt;$D$2214:$M$2214),--(MOD(I2214-$D$2214:$M$2214,Inputs!$D$21)=Inputs!$D$6),$D$2221:$M$2221)</f>
        <v>346</v>
      </c>
      <c r="J2222" s="28">
        <f>IF(MOD(J2214,Inputs!$D$21)=Inputs!$D$6,Inputs!$D$24,Inputs!$D$6)+SUMPRODUCT(--(J2214&gt;$D$2214:$M$2214),--(MOD(J2214-$D$2214:$M$2214,Inputs!$D$21)=Inputs!$D$6),$D$2221:$M$2221)</f>
        <v>259.5</v>
      </c>
      <c r="K2222" s="28">
        <f>IF(MOD(K2214,Inputs!$D$21)=Inputs!$D$6,Inputs!$D$24,Inputs!$D$6)+SUMPRODUCT(--(K2214&gt;$D$2214:$M$2214),--(MOD(K2214-$D$2214:$M$2214,Inputs!$D$21)=Inputs!$D$6),$D$2221:$M$2221)</f>
        <v>46</v>
      </c>
      <c r="L2222" s="28">
        <f>IF(MOD(L2214,Inputs!$D$21)=Inputs!$D$6,Inputs!$D$24,Inputs!$D$6)+SUMPRODUCT(--(L2214&gt;$D$2214:$M$2214),--(MOD(L2214-$D$2214:$M$2214,Inputs!$D$21)=Inputs!$D$6),$D$2221:$M$2221)</f>
        <v>259.5</v>
      </c>
      <c r="M2222" s="28">
        <f>IF(MOD(M2214,Inputs!$D$21)=Inputs!$D$6,Inputs!$D$24,Inputs!$D$6)+SUMPRODUCT(--(M2214&gt;$D$2214:$M$2214),--(MOD(M2214-$D$2214:$M$2214,Inputs!$D$21)=Inputs!$D$6),$D$2221:$M$2221)</f>
        <v>346</v>
      </c>
    </row>
    <row r="2223" spans="1:13" ht="15" customHeight="1" x14ac:dyDescent="0.2">
      <c r="B2223" s="10" t="s">
        <v>895</v>
      </c>
      <c r="C2223" s="10" t="s">
        <v>896</v>
      </c>
      <c r="D2223" s="28">
        <f t="shared" ref="D2223:M2223" si="482">D2220*D2217</f>
        <v>125.58726899383984</v>
      </c>
      <c r="E2223" s="28">
        <f t="shared" si="482"/>
        <v>478.5</v>
      </c>
      <c r="F2223" s="28">
        <f t="shared" si="482"/>
        <v>781.25</v>
      </c>
      <c r="G2223" s="28">
        <f t="shared" si="482"/>
        <v>911</v>
      </c>
      <c r="H2223" s="28">
        <f t="shared" si="482"/>
        <v>911</v>
      </c>
      <c r="I2223" s="28">
        <f t="shared" si="482"/>
        <v>911</v>
      </c>
      <c r="J2223" s="28">
        <f t="shared" si="482"/>
        <v>911</v>
      </c>
      <c r="K2223" s="28">
        <f t="shared" si="482"/>
        <v>911</v>
      </c>
      <c r="L2223" s="28">
        <f t="shared" si="482"/>
        <v>911</v>
      </c>
      <c r="M2223" s="28">
        <f t="shared" si="482"/>
        <v>911</v>
      </c>
    </row>
    <row r="2224" spans="1:13" ht="15" customHeight="1" x14ac:dyDescent="0.2">
      <c r="B2224" s="10" t="s">
        <v>897</v>
      </c>
      <c r="C2224" s="10" t="s">
        <v>110</v>
      </c>
      <c r="D2224" s="16">
        <f>D2223*($D$2243/Inputs!$D$21+$D$2244/Inputs!$D$22)</f>
        <v>1816.9772859324419</v>
      </c>
      <c r="E2224" s="16">
        <f>E2223*($D$2243/Inputs!$D$21+$D$2244/Inputs!$D$22)</f>
        <v>6922.8643817497086</v>
      </c>
      <c r="F2224" s="16">
        <f>F2223*($D$2243/Inputs!$D$21+$D$2244/Inputs!$D$22)</f>
        <v>11303.0048030135</v>
      </c>
      <c r="G2224" s="16">
        <f>G2223*($D$2243/Inputs!$D$21+$D$2244/Inputs!$D$22)</f>
        <v>13180.207840697982</v>
      </c>
      <c r="H2224" s="16">
        <f>H2223*($D$2243/Inputs!$D$21+$D$2244/Inputs!$D$22)</f>
        <v>13180.207840697982</v>
      </c>
      <c r="I2224" s="16">
        <f>I2223*($D$2243/Inputs!$D$21+$D$2244/Inputs!$D$22)</f>
        <v>13180.207840697982</v>
      </c>
      <c r="J2224" s="16">
        <f>J2223*($D$2243/Inputs!$D$21+$D$2244/Inputs!$D$22)</f>
        <v>13180.207840697982</v>
      </c>
      <c r="K2224" s="16">
        <f>K2223*($D$2243/Inputs!$D$21+$D$2244/Inputs!$D$22)</f>
        <v>13180.207840697982</v>
      </c>
      <c r="L2224" s="16">
        <f>L2223*($D$2243/Inputs!$D$21+$D$2244/Inputs!$D$22)</f>
        <v>13180.207840697982</v>
      </c>
      <c r="M2224" s="16">
        <f>M2223*($D$2243/Inputs!$D$21+$D$2244/Inputs!$D$22)</f>
        <v>13180.207840697982</v>
      </c>
    </row>
    <row r="2225" spans="2:13" ht="15" customHeight="1" x14ac:dyDescent="0.2">
      <c r="B2225" s="10" t="s">
        <v>898</v>
      </c>
      <c r="C2225" s="10" t="s">
        <v>110</v>
      </c>
      <c r="D2225" s="16">
        <f t="shared" ref="D2225:M2225" si="483">D2221*($D$2243+$D$2244)</f>
        <v>15560.968620146154</v>
      </c>
      <c r="E2225" s="16">
        <f t="shared" si="483"/>
        <v>20747.95816019487</v>
      </c>
      <c r="F2225" s="16">
        <f t="shared" si="483"/>
        <v>15560.968620146154</v>
      </c>
      <c r="G2225" s="16">
        <f t="shared" si="483"/>
        <v>0</v>
      </c>
      <c r="H2225" s="16">
        <f t="shared" si="483"/>
        <v>0</v>
      </c>
      <c r="I2225" s="16">
        <f t="shared" si="483"/>
        <v>0</v>
      </c>
      <c r="J2225" s="16">
        <f t="shared" si="483"/>
        <v>0</v>
      </c>
      <c r="K2225" s="16">
        <f t="shared" si="483"/>
        <v>0</v>
      </c>
      <c r="L2225" s="16">
        <f t="shared" si="483"/>
        <v>0</v>
      </c>
      <c r="M2225" s="16">
        <f t="shared" si="483"/>
        <v>0</v>
      </c>
    </row>
    <row r="2226" spans="2:13" ht="15" customHeight="1" x14ac:dyDescent="0.2">
      <c r="B2226" s="10" t="s">
        <v>899</v>
      </c>
      <c r="C2226" s="10" t="s">
        <v>110</v>
      </c>
      <c r="D2226" s="16">
        <f t="shared" ref="D2226:M2226" si="484">D2222*$D$2243</f>
        <v>0</v>
      </c>
      <c r="E2226" s="16">
        <f t="shared" si="484"/>
        <v>0</v>
      </c>
      <c r="F2226" s="16">
        <f t="shared" si="484"/>
        <v>0</v>
      </c>
      <c r="G2226" s="16">
        <f t="shared" si="484"/>
        <v>2638.0048485671714</v>
      </c>
      <c r="H2226" s="16">
        <f t="shared" si="484"/>
        <v>14881.788221808281</v>
      </c>
      <c r="I2226" s="16">
        <f t="shared" si="484"/>
        <v>19842.384295744378</v>
      </c>
      <c r="J2226" s="16">
        <f t="shared" si="484"/>
        <v>14881.788221808281</v>
      </c>
      <c r="K2226" s="16">
        <f t="shared" si="484"/>
        <v>2638.0048485671714</v>
      </c>
      <c r="L2226" s="16">
        <f t="shared" si="484"/>
        <v>14881.788221808281</v>
      </c>
      <c r="M2226" s="16">
        <f t="shared" si="484"/>
        <v>19842.384295744378</v>
      </c>
    </row>
    <row r="2227" spans="2:13" ht="15" customHeight="1" x14ac:dyDescent="0.2">
      <c r="B2227" s="10" t="s">
        <v>900</v>
      </c>
      <c r="C2227" s="10" t="s">
        <v>199</v>
      </c>
      <c r="D2227" s="28">
        <f>D2221*Inputs!$D$23</f>
        <v>6.4875000000000007</v>
      </c>
      <c r="E2227" s="28">
        <f>E2221*Inputs!$D$23</f>
        <v>8.65</v>
      </c>
      <c r="F2227" s="28">
        <f>F2221*Inputs!$D$23</f>
        <v>6.4875000000000007</v>
      </c>
      <c r="G2227" s="28">
        <f>G2221*Inputs!$D$23</f>
        <v>0</v>
      </c>
      <c r="H2227" s="28">
        <f>H2221*Inputs!$D$23</f>
        <v>0</v>
      </c>
      <c r="I2227" s="28">
        <f>I2221*Inputs!$D$23</f>
        <v>0</v>
      </c>
      <c r="J2227" s="28">
        <f>J2221*Inputs!$D$23</f>
        <v>0</v>
      </c>
      <c r="K2227" s="28">
        <f>K2221*Inputs!$D$23</f>
        <v>0</v>
      </c>
      <c r="L2227" s="28">
        <f>L2221*Inputs!$D$23</f>
        <v>0</v>
      </c>
      <c r="M2227" s="28">
        <f>M2221*Inputs!$D$23</f>
        <v>0</v>
      </c>
    </row>
    <row r="2228" spans="2:13" ht="15" customHeight="1" x14ac:dyDescent="0.2">
      <c r="B2228" s="3" t="s">
        <v>901</v>
      </c>
      <c r="C2228" s="10" t="s">
        <v>896</v>
      </c>
      <c r="D2228" s="28">
        <f>(D2223*$D$2241*(Inputs!$D$7-Inputs!$D$19)-D2227)/(Inputs!$D$7+$D$2242)^D2216</f>
        <v>35.463133557820996</v>
      </c>
      <c r="E2228" s="28">
        <f>(E2223*$D$2241*(Inputs!$D$7-Inputs!$D$19)-E2227)/(Inputs!$D$7+$D$2242)^E2216</f>
        <v>139.16901741018501</v>
      </c>
      <c r="F2228" s="28">
        <f>(F2223*$D$2241*(Inputs!$D$7-Inputs!$D$19)-F2227)/(Inputs!$D$7+$D$2242)^F2216</f>
        <v>216.59715305054928</v>
      </c>
      <c r="G2228" s="28">
        <f>(G2223*$D$2241*(Inputs!$D$7-Inputs!$D$19)-G2227)/(Inputs!$D$7+$D$2242)^G2216</f>
        <v>239.55672210234928</v>
      </c>
      <c r="H2228" s="28">
        <f>(H2223*$D$2241*(Inputs!$D$7-Inputs!$D$19)-H2227)/(Inputs!$D$7+$D$2242)^H2216</f>
        <v>221.82346440279065</v>
      </c>
      <c r="I2228" s="28">
        <f>(I2223*$D$2241*(Inputs!$D$7-Inputs!$D$19)-I2227)/(Inputs!$D$7+$D$2242)^I2216</f>
        <v>205.35964093895382</v>
      </c>
      <c r="J2228" s="28">
        <f>(J2223*$D$2241*(Inputs!$D$7-Inputs!$D$19)-J2227)/(Inputs!$D$7+$D$2242)^J2216</f>
        <v>190.15783235725434</v>
      </c>
      <c r="K2228" s="28">
        <f>(K2223*$D$2241*(Inputs!$D$7-Inputs!$D$19)-K2227)/(Inputs!$D$7+$D$2242)^K2216</f>
        <v>176.08134218329064</v>
      </c>
      <c r="L2228" s="28">
        <f>(L2223*$D$2241*(Inputs!$D$7-Inputs!$D$19)-L2227)/(Inputs!$D$7+$D$2242)^L2216</f>
        <v>163.04686838678248</v>
      </c>
      <c r="M2228" s="28">
        <f>(M2223*$D$2241*(Inputs!$D$7-Inputs!$D$19)-M2227)/(Inputs!$D$7+$D$2242)^M2216</f>
        <v>150.94546664969172</v>
      </c>
    </row>
    <row r="2229" spans="2:13" ht="15" customHeight="1" x14ac:dyDescent="0.2">
      <c r="B2229" s="10" t="s">
        <v>902</v>
      </c>
      <c r="C2229" s="10" t="s">
        <v>110</v>
      </c>
      <c r="D2229" s="16">
        <f>(D2224*Inputs!$D$19-D2225-D2226)/(Inputs!$D$7+$D$2242)^D2216</f>
        <v>-14212.377724210151</v>
      </c>
      <c r="E2229" s="16">
        <f>(E2224*Inputs!$D$19-E2225-E2226)/(Inputs!$D$7+$D$2242)^E2216</f>
        <v>-16360.387094728963</v>
      </c>
      <c r="F2229" s="16">
        <f>(F2224*Inputs!$D$19-F2225-F2226)/(Inputs!$D$7+$D$2242)^F2216</f>
        <v>-9874.5154652847668</v>
      </c>
      <c r="G2229" s="16">
        <f>(G2224*Inputs!$D$19-G2225-G2226)/(Inputs!$D$7+$D$2242)^G2216</f>
        <v>988.77347238742834</v>
      </c>
      <c r="H2229" s="16">
        <f>(H2224*Inputs!$D$19-H2225-H2226)/(Inputs!$D$7+$D$2242)^H2216</f>
        <v>-7602.4024163036647</v>
      </c>
      <c r="I2229" s="16">
        <f>(I2224*Inputs!$D$19-I2225-I2226)/(Inputs!$D$7+$D$2242)^I2216</f>
        <v>-10233.087939303265</v>
      </c>
      <c r="J2229" s="16">
        <f>(J2224*Inputs!$D$19-J2225-J2226)/(Inputs!$D$7+$D$2242)^J2216</f>
        <v>-6517.1480757635773</v>
      </c>
      <c r="K2229" s="16">
        <f>(K2224*Inputs!$D$19-K2225-K2226)/(Inputs!$D$7+$D$2242)^K2216</f>
        <v>726.77801985796941</v>
      </c>
      <c r="L2229" s="16">
        <f>(L2224*Inputs!$D$19-L2225-L2226)/(Inputs!$D$7+$D$2242)^L2216</f>
        <v>-5587.9927289550824</v>
      </c>
      <c r="M2229" s="16">
        <f>(M2224*Inputs!$D$19-M2225-M2226)/(Inputs!$D$7+$D$2242)^M2216</f>
        <v>-7521.6251216792398</v>
      </c>
    </row>
    <row r="2230" spans="2:13" ht="15" customHeight="1" x14ac:dyDescent="0.2">
      <c r="B2230" s="10" t="s">
        <v>903</v>
      </c>
      <c r="C2230" s="10" t="s">
        <v>110</v>
      </c>
      <c r="D2230" s="16">
        <f t="shared" ref="D2230:M2230" si="485">D2223*$D$2240</f>
        <v>5583.3503571580368</v>
      </c>
      <c r="E2230" s="16">
        <f t="shared" si="485"/>
        <v>21273.120813154768</v>
      </c>
      <c r="F2230" s="16">
        <f t="shared" si="485"/>
        <v>34732.759948332627</v>
      </c>
      <c r="G2230" s="16">
        <f t="shared" si="485"/>
        <v>40501.17672055171</v>
      </c>
      <c r="H2230" s="16">
        <f t="shared" si="485"/>
        <v>40501.17672055171</v>
      </c>
      <c r="I2230" s="16">
        <f t="shared" si="485"/>
        <v>40501.17672055171</v>
      </c>
      <c r="J2230" s="16">
        <f t="shared" si="485"/>
        <v>40501.17672055171</v>
      </c>
      <c r="K2230" s="16">
        <f t="shared" si="485"/>
        <v>40501.17672055171</v>
      </c>
      <c r="L2230" s="16">
        <f t="shared" si="485"/>
        <v>40501.17672055171</v>
      </c>
      <c r="M2230" s="16">
        <f t="shared" si="485"/>
        <v>40501.17672055171</v>
      </c>
    </row>
    <row r="2231" spans="2:13" ht="15" customHeight="1" x14ac:dyDescent="0.2">
      <c r="B2231" s="10" t="s">
        <v>904</v>
      </c>
      <c r="C2231" s="10" t="s">
        <v>110</v>
      </c>
      <c r="D2231" s="16">
        <f t="shared" ref="D2231:M2231" si="486">D2230*$D$2241</f>
        <v>2791.6751785790184</v>
      </c>
      <c r="E2231" s="16">
        <f t="shared" si="486"/>
        <v>10636.560406577384</v>
      </c>
      <c r="F2231" s="16">
        <f t="shared" si="486"/>
        <v>17366.379974166313</v>
      </c>
      <c r="G2231" s="16">
        <f t="shared" si="486"/>
        <v>20250.588360275855</v>
      </c>
      <c r="H2231" s="16">
        <f t="shared" si="486"/>
        <v>20250.588360275855</v>
      </c>
      <c r="I2231" s="16">
        <f t="shared" si="486"/>
        <v>20250.588360275855</v>
      </c>
      <c r="J2231" s="16">
        <f t="shared" si="486"/>
        <v>20250.588360275855</v>
      </c>
      <c r="K2231" s="16">
        <f t="shared" si="486"/>
        <v>20250.588360275855</v>
      </c>
      <c r="L2231" s="16">
        <f t="shared" si="486"/>
        <v>20250.588360275855</v>
      </c>
      <c r="M2231" s="16">
        <f t="shared" si="486"/>
        <v>20250.588360275855</v>
      </c>
    </row>
    <row r="2232" spans="2:13" ht="15" customHeight="1" x14ac:dyDescent="0.2">
      <c r="B2232" s="10" t="s">
        <v>905</v>
      </c>
      <c r="C2232" s="10" t="s">
        <v>110</v>
      </c>
      <c r="D2232" s="16">
        <f t="shared" ref="D2232:M2232" si="487">D2231-D2224</f>
        <v>974.69789264657652</v>
      </c>
      <c r="E2232" s="16">
        <f t="shared" si="487"/>
        <v>3713.6960248276755</v>
      </c>
      <c r="F2232" s="16">
        <f t="shared" si="487"/>
        <v>6063.375171152813</v>
      </c>
      <c r="G2232" s="16">
        <f t="shared" si="487"/>
        <v>7070.3805195778732</v>
      </c>
      <c r="H2232" s="16">
        <f t="shared" si="487"/>
        <v>7070.3805195778732</v>
      </c>
      <c r="I2232" s="16">
        <f t="shared" si="487"/>
        <v>7070.3805195778732</v>
      </c>
      <c r="J2232" s="16">
        <f t="shared" si="487"/>
        <v>7070.3805195778732</v>
      </c>
      <c r="K2232" s="16">
        <f t="shared" si="487"/>
        <v>7070.3805195778732</v>
      </c>
      <c r="L2232" s="16">
        <f t="shared" si="487"/>
        <v>7070.3805195778732</v>
      </c>
      <c r="M2232" s="16">
        <f t="shared" si="487"/>
        <v>7070.3805195778732</v>
      </c>
    </row>
    <row r="2233" spans="2:13" ht="15" customHeight="1" x14ac:dyDescent="0.2">
      <c r="B2233" s="10" t="s">
        <v>906</v>
      </c>
      <c r="C2233" s="10" t="s">
        <v>110</v>
      </c>
      <c r="D2233" s="16">
        <f>MAX(D2232,Inputs!$D$6)*Inputs!$D$19</f>
        <v>292.40936779397293</v>
      </c>
      <c r="E2233" s="16">
        <f>MAX(E2232,Inputs!$D$6)*Inputs!$D$19</f>
        <v>1114.1088074483025</v>
      </c>
      <c r="F2233" s="16">
        <f>MAX(F2232,Inputs!$D$6)*Inputs!$D$19</f>
        <v>1819.0125513458438</v>
      </c>
      <c r="G2233" s="16">
        <f>MAX(G2232,Inputs!$D$6)*Inputs!$D$19</f>
        <v>2121.1141558733621</v>
      </c>
      <c r="H2233" s="16">
        <f>MAX(H2232,Inputs!$D$6)*Inputs!$D$19</f>
        <v>2121.1141558733621</v>
      </c>
      <c r="I2233" s="16">
        <f>MAX(I2232,Inputs!$D$6)*Inputs!$D$19</f>
        <v>2121.1141558733621</v>
      </c>
      <c r="J2233" s="16">
        <f>MAX(J2232,Inputs!$D$6)*Inputs!$D$19</f>
        <v>2121.1141558733621</v>
      </c>
      <c r="K2233" s="16">
        <f>MAX(K2232,Inputs!$D$6)*Inputs!$D$19</f>
        <v>2121.1141558733621</v>
      </c>
      <c r="L2233" s="16">
        <f>MAX(L2232,Inputs!$D$6)*Inputs!$D$19</f>
        <v>2121.1141558733621</v>
      </c>
      <c r="M2233" s="16">
        <f>MAX(M2232,Inputs!$D$6)*Inputs!$D$19</f>
        <v>2121.1141558733621</v>
      </c>
    </row>
    <row r="2234" spans="2:13" ht="15" customHeight="1" x14ac:dyDescent="0.2">
      <c r="B2234" s="10" t="s">
        <v>907</v>
      </c>
      <c r="C2234" s="10" t="s">
        <v>110</v>
      </c>
      <c r="D2234" s="16">
        <f t="shared" ref="D2234:M2234" si="488">D2227*$D$2240</f>
        <v>288.42083861095415</v>
      </c>
      <c r="E2234" s="16">
        <f t="shared" si="488"/>
        <v>384.56111814793883</v>
      </c>
      <c r="F2234" s="16">
        <f t="shared" si="488"/>
        <v>288.42083861095415</v>
      </c>
      <c r="G2234" s="16">
        <f t="shared" si="488"/>
        <v>0</v>
      </c>
      <c r="H2234" s="16">
        <f t="shared" si="488"/>
        <v>0</v>
      </c>
      <c r="I2234" s="16">
        <f t="shared" si="488"/>
        <v>0</v>
      </c>
      <c r="J2234" s="16">
        <f t="shared" si="488"/>
        <v>0</v>
      </c>
      <c r="K2234" s="16">
        <f t="shared" si="488"/>
        <v>0</v>
      </c>
      <c r="L2234" s="16">
        <f t="shared" si="488"/>
        <v>0</v>
      </c>
      <c r="M2234" s="16">
        <f t="shared" si="488"/>
        <v>0</v>
      </c>
    </row>
    <row r="2235" spans="2:13" ht="15" customHeight="1" x14ac:dyDescent="0.2">
      <c r="B2235" s="10" t="s">
        <v>908</v>
      </c>
      <c r="C2235" s="10" t="s">
        <v>110</v>
      </c>
      <c r="D2235" s="16">
        <f t="shared" ref="D2235:M2235" si="489">D2231-D2233-D2225-D2226-D2234</f>
        <v>-13350.123647972063</v>
      </c>
      <c r="E2235" s="16">
        <f t="shared" si="489"/>
        <v>-11610.067679213727</v>
      </c>
      <c r="F2235" s="16">
        <f t="shared" si="489"/>
        <v>-302.0220359366387</v>
      </c>
      <c r="G2235" s="16">
        <f t="shared" si="489"/>
        <v>15491.469355835321</v>
      </c>
      <c r="H2235" s="16">
        <f t="shared" si="489"/>
        <v>3247.685982594212</v>
      </c>
      <c r="I2235" s="16">
        <f t="shared" si="489"/>
        <v>-1712.9100913418843</v>
      </c>
      <c r="J2235" s="16">
        <f t="shared" si="489"/>
        <v>3247.685982594212</v>
      </c>
      <c r="K2235" s="16">
        <f t="shared" si="489"/>
        <v>15491.469355835321</v>
      </c>
      <c r="L2235" s="16">
        <f t="shared" si="489"/>
        <v>3247.685982594212</v>
      </c>
      <c r="M2235" s="16">
        <f t="shared" si="489"/>
        <v>-1712.9100913418843</v>
      </c>
    </row>
    <row r="2236" spans="2:13" ht="15" customHeight="1" x14ac:dyDescent="0.2">
      <c r="B2236" s="10" t="s">
        <v>909</v>
      </c>
      <c r="C2236" s="10" t="s">
        <v>110</v>
      </c>
      <c r="D2236" s="16">
        <f>D2235/(Inputs!$D$7+$D$2242)^D2216</f>
        <v>-12635.76011796445</v>
      </c>
      <c r="E2236" s="16">
        <f>E2235/(Inputs!$D$7+$D$2242)^E2216</f>
        <v>-10173.220280068765</v>
      </c>
      <c r="F2236" s="16">
        <f>F2235/(Inputs!$D$7+$D$2242)^F2216</f>
        <v>-245.05380461661969</v>
      </c>
      <c r="G2236" s="16">
        <f>G2235/(Inputs!$D$7+$D$2242)^G2216</f>
        <v>11638.970109559048</v>
      </c>
      <c r="H2236" s="16">
        <f>H2235/(Inputs!$D$7+$D$2242)^H2216</f>
        <v>2259.4102429086697</v>
      </c>
      <c r="I2236" s="16">
        <f>I2235/(Inputs!$D$7+$D$2242)^I2216</f>
        <v>-1103.2228361884272</v>
      </c>
      <c r="J2236" s="16">
        <f>J2235/(Inputs!$D$7+$D$2242)^J2216</f>
        <v>1936.876043992959</v>
      </c>
      <c r="K2236" s="16">
        <f>K2235/(Inputs!$D$7+$D$2242)^K2216</f>
        <v>8554.990486331506</v>
      </c>
      <c r="L2236" s="16">
        <f>L2235/(Inputs!$D$7+$D$2242)^L2216</f>
        <v>1660.7339782519582</v>
      </c>
      <c r="M2236" s="16">
        <f>M2235/(Inputs!$D$7+$D$2242)^M2216</f>
        <v>-810.90171888526527</v>
      </c>
    </row>
    <row r="2237" spans="2:13" ht="15" customHeight="1" x14ac:dyDescent="0.2">
      <c r="B2237" s="3" t="s">
        <v>910</v>
      </c>
      <c r="C2237" s="10" t="s">
        <v>896</v>
      </c>
      <c r="D2237" s="28">
        <f>(D2223*$D$2241-D2227)/(Inputs!$D$7+$D$2242)^D2216</f>
        <v>53.293199930848452</v>
      </c>
      <c r="E2237" s="28">
        <f>(E2223*$D$2241-E2227)/(Inputs!$D$7+$D$2242)^E2216</f>
        <v>202.06123352613673</v>
      </c>
      <c r="F2237" s="28">
        <f>(F2223*$D$2241-F2227)/(Inputs!$D$7+$D$2242)^F2216</f>
        <v>311.68042285055395</v>
      </c>
      <c r="G2237" s="28">
        <f>(G2223*$D$2241-G2227)/(Inputs!$D$7+$D$2242)^G2216</f>
        <v>342.22388871764184</v>
      </c>
      <c r="H2237" s="28">
        <f>(H2223*$D$2241-H2227)/(Inputs!$D$7+$D$2242)^H2216</f>
        <v>316.89066343255809</v>
      </c>
      <c r="I2237" s="28">
        <f>(I2223*$D$2241-I2227)/(Inputs!$D$7+$D$2242)^I2216</f>
        <v>293.37091562707695</v>
      </c>
      <c r="J2237" s="28">
        <f>(J2223*$D$2241-J2227)/(Inputs!$D$7+$D$2242)^J2216</f>
        <v>271.65404622464905</v>
      </c>
      <c r="K2237" s="28">
        <f>(K2223*$D$2241-K2227)/(Inputs!$D$7+$D$2242)^K2216</f>
        <v>251.54477454755809</v>
      </c>
      <c r="L2237" s="28">
        <f>(L2223*$D$2241-L2227)/(Inputs!$D$7+$D$2242)^L2216</f>
        <v>232.92409769540356</v>
      </c>
      <c r="M2237" s="28">
        <f>(M2223*$D$2241-M2227)/(Inputs!$D$7+$D$2242)^M2216</f>
        <v>215.63638092813108</v>
      </c>
    </row>
    <row r="2238" spans="2:13" ht="15" customHeight="1" x14ac:dyDescent="0.2">
      <c r="B2238" s="10" t="s">
        <v>911</v>
      </c>
      <c r="C2238" s="10" t="s">
        <v>110</v>
      </c>
      <c r="D2238" s="16">
        <f>(-D2225-D2226)/(Inputs!$D$7+$D$2242)^D2216</f>
        <v>-14728.303038392241</v>
      </c>
      <c r="E2238" s="16">
        <f>(-E2225-E2226)/(Inputs!$D$7+$D$2242)^E2216</f>
        <v>-18180.216908055725</v>
      </c>
      <c r="F2238" s="16">
        <f>(-F2225-F2226)/(Inputs!$D$7+$D$2242)^F2216</f>
        <v>-12625.815702688111</v>
      </c>
      <c r="G2238" s="16">
        <f>(-G2225-G2226)/(Inputs!$D$7+$D$2242)^G2216</f>
        <v>-1981.9720696655354</v>
      </c>
      <c r="H2238" s="16">
        <f>(-H2225-H2226)/(Inputs!$D$7+$D$2242)^H2216</f>
        <v>-10353.237634844469</v>
      </c>
      <c r="I2238" s="16">
        <f>(-I2225-I2226)/(Inputs!$D$7+$D$2242)^I2216</f>
        <v>-12779.755102232404</v>
      </c>
      <c r="J2238" s="16">
        <f>(-J2225-J2226)/(Inputs!$D$7+$D$2242)^J2216</f>
        <v>-8875.2974434962562</v>
      </c>
      <c r="K2238" s="16">
        <f>(-K2225-K2226)/(Inputs!$D$7+$D$2242)^K2216</f>
        <v>-1456.8086386129401</v>
      </c>
      <c r="L2238" s="16">
        <f>(-L2225-L2226)/(Inputs!$D$7+$D$2242)^L2216</f>
        <v>-7609.9387347064285</v>
      </c>
      <c r="M2238" s="16">
        <f>(-M2225-M2226)/(Inputs!$D$7+$D$2242)^M2216</f>
        <v>-9393.5015115686074</v>
      </c>
    </row>
    <row r="2239" spans="2:13" ht="15" customHeight="1" x14ac:dyDescent="0.2">
      <c r="B2239" s="10" t="s">
        <v>912</v>
      </c>
      <c r="C2239" s="10" t="s">
        <v>110</v>
      </c>
      <c r="D2239" s="16">
        <f>Prices!I8</f>
        <v>32775</v>
      </c>
    </row>
    <row r="2240" spans="2:13" ht="15" customHeight="1" x14ac:dyDescent="0.2">
      <c r="B2240" s="3" t="s">
        <v>913</v>
      </c>
      <c r="C2240" s="10" t="s">
        <v>914</v>
      </c>
      <c r="D2240" s="28">
        <f>IF(J2247&gt;=J2243,J2247,(D2239-J2246)/J2245)</f>
        <v>44.457932733865761</v>
      </c>
      <c r="G2240" s="99" t="s">
        <v>915</v>
      </c>
      <c r="H2240" s="91"/>
      <c r="I2240" s="91"/>
      <c r="J2240" s="28">
        <f>D2240*Inputs!$D$15</f>
        <v>31.027191254964912</v>
      </c>
      <c r="K2240" s="99" t="s">
        <v>916</v>
      </c>
      <c r="L2240" s="91"/>
      <c r="M2240" s="91"/>
    </row>
    <row r="2241" spans="2:13" ht="15" customHeight="1" x14ac:dyDescent="0.2">
      <c r="B2241" s="10" t="s">
        <v>917</v>
      </c>
      <c r="C2241" s="10" t="s">
        <v>104</v>
      </c>
      <c r="D2241" s="30">
        <f>Inputs!$D$140</f>
        <v>0.5</v>
      </c>
      <c r="G2241" s="99" t="s">
        <v>918</v>
      </c>
      <c r="H2241" s="91"/>
      <c r="I2241" s="91"/>
      <c r="J2241" s="28">
        <f>IF(-D2252/D2251&gt;=J2243,-D2252/D2251,-J2246/J2245)</f>
        <v>37.248891644724878</v>
      </c>
      <c r="K2241" s="99" t="s">
        <v>919</v>
      </c>
      <c r="L2241" s="91"/>
      <c r="M2241" s="91"/>
    </row>
    <row r="2242" spans="2:13" ht="15" customHeight="1" x14ac:dyDescent="0.2">
      <c r="B2242" s="10" t="s">
        <v>920</v>
      </c>
      <c r="C2242" s="10" t="s">
        <v>104</v>
      </c>
      <c r="D2242" s="30">
        <f>Inputs!$D$146</f>
        <v>0.08</v>
      </c>
      <c r="G2242" s="99" t="s">
        <v>918</v>
      </c>
      <c r="H2242" s="91"/>
      <c r="I2242" s="91"/>
      <c r="J2242" s="28">
        <f>J2241*Inputs!$D$15</f>
        <v>25.99600147885349</v>
      </c>
      <c r="K2242" s="99" t="s">
        <v>916</v>
      </c>
      <c r="L2242" s="91"/>
      <c r="M2242" s="91"/>
    </row>
    <row r="2243" spans="2:13" ht="15" customHeight="1" x14ac:dyDescent="0.2">
      <c r="B2243" s="3" t="s">
        <v>921</v>
      </c>
      <c r="C2243" s="10" t="s">
        <v>848</v>
      </c>
      <c r="D2243" s="28">
        <f>Capital!$D$13</f>
        <v>57.347931490590682</v>
      </c>
      <c r="G2243" s="99" t="s">
        <v>922</v>
      </c>
      <c r="H2243" s="91"/>
      <c r="I2243" s="91"/>
      <c r="J2243" s="28">
        <f>($D$2243/Inputs!$D$21+$D$2244/Inputs!$D$22)/$D$2241</f>
        <v>28.93569229571456</v>
      </c>
      <c r="K2243" s="99" t="s">
        <v>919</v>
      </c>
      <c r="L2243" s="91"/>
      <c r="M2243" s="91"/>
    </row>
    <row r="2244" spans="2:13" ht="15" customHeight="1" x14ac:dyDescent="0.2">
      <c r="B2244" s="3" t="s">
        <v>923</v>
      </c>
      <c r="C2244" s="10" t="s">
        <v>848</v>
      </c>
      <c r="D2244" s="28">
        <f>Capital!$D$14</f>
        <v>2.6172655041921802</v>
      </c>
    </row>
    <row r="2245" spans="2:13" ht="15" customHeight="1" x14ac:dyDescent="0.2">
      <c r="B2245" s="10" t="s">
        <v>924</v>
      </c>
      <c r="C2245" s="10" t="s">
        <v>896</v>
      </c>
      <c r="D2245" s="28">
        <f>(M2218*(Inputs!$D$7+Inputs!$D$20)*$D$2241*(Inputs!$D$7-Inputs!$D$19)-M2218*Inputs!$D$20*Inputs!$D$23)/($D$2242-Inputs!$D$20)/(Inputs!$D$7+$D$2242)^M2216</f>
        <v>2808.1737789049789</v>
      </c>
      <c r="G2245" s="92" t="s">
        <v>910</v>
      </c>
      <c r="H2245" s="91"/>
      <c r="I2245" s="91"/>
      <c r="J2245" s="28">
        <f>SUM(D2237:M2237)+(M2218*(Inputs!$D$7+Inputs!$D$20)*$D$2241-M2218*Inputs!$D$20*Inputs!$D$23)/($D$2242-Inputs!$D$20)/(Inputs!$D$7+$D$2242)^M2216</f>
        <v>6505.0568048473606</v>
      </c>
      <c r="K2245" s="99" t="s">
        <v>896</v>
      </c>
      <c r="L2245" s="91"/>
      <c r="M2245" s="91"/>
    </row>
    <row r="2246" spans="2:13" ht="15" customHeight="1" x14ac:dyDescent="0.2">
      <c r="B2246" s="10" t="s">
        <v>925</v>
      </c>
      <c r="C2246" s="10" t="s">
        <v>110</v>
      </c>
      <c r="D2246" s="16">
        <f>(D2249*Inputs!$D$19-D2249-D2250)/($D$2242-Inputs!$D$20)/(Inputs!$D$7+$D$2242)^M2216</f>
        <v>-93153.423070883771</v>
      </c>
      <c r="G2246" s="92" t="s">
        <v>926</v>
      </c>
      <c r="H2246" s="91"/>
      <c r="I2246" s="91"/>
      <c r="J2246" s="16">
        <f>SUM(D2238:M2238)-(D2249+D2250)/($D$2242-Inputs!$D$20)/(Inputs!$D$7+$D$2242)^M2216</f>
        <v>-226023.23893944838</v>
      </c>
      <c r="K2246" s="99" t="s">
        <v>110</v>
      </c>
      <c r="L2246" s="91"/>
      <c r="M2246" s="91"/>
    </row>
    <row r="2247" spans="2:13" ht="15" customHeight="1" x14ac:dyDescent="0.2">
      <c r="B2247" s="10" t="s">
        <v>927</v>
      </c>
      <c r="C2247" s="10" t="s">
        <v>928</v>
      </c>
      <c r="D2247" s="16">
        <f>(M2218*(Inputs!$D$7+Inputs!$D$20)*$D$2240*$D$2241-D2249)-MAX((M2218*(Inputs!$D$7+Inputs!$D$20)*$D$2240*$D$2241-D2249),Inputs!$D$6)*Inputs!$D$19-D2250-M2218*Inputs!$D$20*$D$2240*Inputs!$D$23</f>
        <v>3681.9774257905979</v>
      </c>
      <c r="G2247" s="99" t="s">
        <v>929</v>
      </c>
      <c r="H2247" s="91"/>
      <c r="I2247" s="91"/>
      <c r="J2247" s="28">
        <f>(D2239-D2252)/D2251</f>
        <v>44.457932733865761</v>
      </c>
      <c r="K2247" s="99" t="s">
        <v>919</v>
      </c>
      <c r="L2247" s="91"/>
      <c r="M2247" s="91"/>
    </row>
    <row r="2248" spans="2:13" ht="15" customHeight="1" x14ac:dyDescent="0.2">
      <c r="B2248" s="10" t="s">
        <v>930</v>
      </c>
      <c r="C2248" s="10" t="s">
        <v>110</v>
      </c>
      <c r="D2248" s="16">
        <f>D2247/($D$2242-Inputs!$D$20)</f>
        <v>66945.044105283596</v>
      </c>
      <c r="G2248" s="99" t="s">
        <v>931</v>
      </c>
      <c r="H2248" s="91"/>
      <c r="I2248" s="91"/>
      <c r="J2248" s="16">
        <f>MIN(D2232:M2232,(M2218*(Inputs!$D$7+Inputs!$D$20)*$D$2240*$D$2241-D2249))</f>
        <v>974.69789264657652</v>
      </c>
      <c r="K2248" s="99" t="s">
        <v>110</v>
      </c>
      <c r="L2248" s="91"/>
      <c r="M2248" s="91"/>
    </row>
    <row r="2249" spans="2:13" ht="15" customHeight="1" x14ac:dyDescent="0.2">
      <c r="B2249" s="10" t="s">
        <v>932</v>
      </c>
      <c r="C2249" s="10" t="s">
        <v>928</v>
      </c>
      <c r="D2249" s="16">
        <f>M2218*(Inputs!$D$7+Inputs!$D$20)*($D$2243/Inputs!$D$21+$D$2244/Inputs!$D$22)</f>
        <v>13509.71303671543</v>
      </c>
      <c r="G2249" s="99" t="s">
        <v>933</v>
      </c>
      <c r="H2249" s="91"/>
      <c r="I2249" s="91"/>
      <c r="J2249" s="31" t="str">
        <f>IF(J2248&lt;Inputs!$D$6,"breached","satisfied")</f>
        <v>satisfied</v>
      </c>
      <c r="K2249" s="99" t="s">
        <v>934</v>
      </c>
      <c r="L2249" s="91"/>
      <c r="M2249" s="91"/>
    </row>
    <row r="2250" spans="2:13" ht="15" customHeight="1" x14ac:dyDescent="0.2">
      <c r="B2250" s="10" t="s">
        <v>935</v>
      </c>
      <c r="C2250" s="10" t="s">
        <v>928</v>
      </c>
      <c r="D2250" s="16">
        <f>M2218*Inputs!$D$20*($D$2243+$D$2244)</f>
        <v>1365.7073615561799</v>
      </c>
    </row>
    <row r="2251" spans="2:13" ht="15" customHeight="1" x14ac:dyDescent="0.2">
      <c r="B2251" s="10" t="s">
        <v>936</v>
      </c>
      <c r="C2251" s="10" t="s">
        <v>896</v>
      </c>
      <c r="D2251" s="28">
        <f>SUM(D2228:M2228)+D2245</f>
        <v>4546.3744199446473</v>
      </c>
      <c r="G2251" s="99" t="s">
        <v>937</v>
      </c>
      <c r="H2251" s="91"/>
      <c r="I2251" s="91"/>
      <c r="J2251" s="16">
        <f>D2253-D2239</f>
        <v>0</v>
      </c>
      <c r="K2251" s="99" t="s">
        <v>110</v>
      </c>
      <c r="L2251" s="91"/>
      <c r="M2251" s="91"/>
    </row>
    <row r="2252" spans="2:13" ht="15" customHeight="1" x14ac:dyDescent="0.2">
      <c r="B2252" s="10" t="s">
        <v>938</v>
      </c>
      <c r="C2252" s="10" t="s">
        <v>110</v>
      </c>
      <c r="D2252" s="16">
        <f>SUM(D2229:M2229)+D2246</f>
        <v>-169347.40814486711</v>
      </c>
    </row>
    <row r="2253" spans="2:13" ht="15" customHeight="1" x14ac:dyDescent="0.2">
      <c r="B2253" s="10" t="s">
        <v>939</v>
      </c>
      <c r="C2253" s="10" t="s">
        <v>110</v>
      </c>
      <c r="D2253" s="16">
        <f>SUM(D2236:M2236)+D2248/(Inputs!$D$7+$D$2242)^M2216</f>
        <v>32775.000000000022</v>
      </c>
    </row>
    <row r="2254" spans="2:13" ht="15" customHeight="1" x14ac:dyDescent="0.2">
      <c r="B2254" s="10" t="s">
        <v>940</v>
      </c>
      <c r="C2254" s="10" t="s">
        <v>104</v>
      </c>
      <c r="D2254" s="30">
        <f>IF(ABS(D2239)&gt;Inputs!$D$6,D2253/D2239-Inputs!$D$7,Inputs!$D$6)</f>
        <v>6.6613381477509392E-16</v>
      </c>
    </row>
    <row r="2255" spans="2:13" ht="15" customHeight="1" x14ac:dyDescent="0.2">
      <c r="B2255" s="10" t="s">
        <v>941</v>
      </c>
      <c r="C2255" s="10" t="s">
        <v>104</v>
      </c>
      <c r="D2255" s="30">
        <f>IF(ABS(D2253)&gt;Inputs!$D$119,D2248/(Inputs!$D$7+$D$2242)^M2216/D2253,Inputs!$D$6)</f>
        <v>0.96696194955543502</v>
      </c>
    </row>
    <row r="2256" spans="2:13" ht="15" customHeight="1" x14ac:dyDescent="0.2">
      <c r="B2256" s="10" t="s">
        <v>942</v>
      </c>
      <c r="C2256" s="10" t="s">
        <v>943</v>
      </c>
      <c r="D2256" s="26">
        <f>$D$2240*Inputs!$D$8/Prices!$P$6/(Inputs!$D$26/Inputs!$D$25)/Inputs!$D$11/Inputs!$D$56</f>
        <v>8.0848101096171234</v>
      </c>
    </row>
    <row r="2260" spans="1:13" ht="15" customHeight="1" x14ac:dyDescent="0.2">
      <c r="A2260" s="104" t="s">
        <v>2214</v>
      </c>
      <c r="B2260" s="10" t="s">
        <v>886</v>
      </c>
      <c r="C2260" s="10" t="s">
        <v>107</v>
      </c>
      <c r="D2260" s="28">
        <f>Inputs!$D$60</f>
        <v>1</v>
      </c>
      <c r="E2260" s="28">
        <f>Inputs!$D$62</f>
        <v>2</v>
      </c>
      <c r="F2260" s="28">
        <f>Inputs!$D$64</f>
        <v>3</v>
      </c>
      <c r="G2260" s="28">
        <f>Inputs!$D$66</f>
        <v>4</v>
      </c>
      <c r="H2260" s="28">
        <f>Inputs!$D$68</f>
        <v>5</v>
      </c>
      <c r="I2260" s="28">
        <f>Inputs!$D$70</f>
        <v>6</v>
      </c>
      <c r="J2260" s="28">
        <f>Inputs!$D$72</f>
        <v>7</v>
      </c>
      <c r="K2260" s="28">
        <f>Inputs!$D$74</f>
        <v>8</v>
      </c>
      <c r="L2260" s="28">
        <f>Inputs!$D$76</f>
        <v>9</v>
      </c>
      <c r="M2260" s="28">
        <f>Inputs!$D$78</f>
        <v>10</v>
      </c>
    </row>
    <row r="2261" spans="1:13" ht="15" customHeight="1" x14ac:dyDescent="0.2">
      <c r="A2261" s="91"/>
      <c r="B2261" s="10" t="s">
        <v>887</v>
      </c>
      <c r="C2261" s="10" t="s">
        <v>161</v>
      </c>
      <c r="D2261" s="29">
        <f>Inputs!$D$61</f>
        <v>46568</v>
      </c>
      <c r="E2261" s="29">
        <f>Inputs!$D$63</f>
        <v>46934</v>
      </c>
      <c r="F2261" s="29">
        <f>Inputs!$D$65</f>
        <v>47299</v>
      </c>
      <c r="G2261" s="29">
        <f>Inputs!$D$67</f>
        <v>47664</v>
      </c>
      <c r="H2261" s="29">
        <f>Inputs!$D$69</f>
        <v>48029</v>
      </c>
      <c r="I2261" s="29">
        <f>Inputs!$D$71</f>
        <v>48395</v>
      </c>
      <c r="J2261" s="29">
        <f>Inputs!$D$73</f>
        <v>48760</v>
      </c>
      <c r="K2261" s="29">
        <f>Inputs!$D$75</f>
        <v>49125</v>
      </c>
      <c r="L2261" s="29">
        <f>Inputs!$D$77</f>
        <v>49490</v>
      </c>
      <c r="M2261" s="29">
        <f>Inputs!$D$79</f>
        <v>49856</v>
      </c>
    </row>
    <row r="2262" spans="1:13" ht="15" customHeight="1" x14ac:dyDescent="0.2">
      <c r="A2262" s="91"/>
      <c r="B2262" s="10" t="s">
        <v>888</v>
      </c>
      <c r="C2262" s="10" t="s">
        <v>107</v>
      </c>
      <c r="D2262" s="28">
        <f>(D2261-Inputs!$D$13)/Inputs!$D$10</f>
        <v>0.71457905544147848</v>
      </c>
      <c r="E2262" s="28">
        <f>(E2261-Inputs!$D$13)/Inputs!$D$10</f>
        <v>1.7166324435318274</v>
      </c>
      <c r="F2262" s="28">
        <f>(F2261-Inputs!$D$13)/Inputs!$D$10</f>
        <v>2.7159479808350446</v>
      </c>
      <c r="G2262" s="28">
        <f>(G2261-Inputs!$D$13)/Inputs!$D$10</f>
        <v>3.7152635181382614</v>
      </c>
      <c r="H2262" s="28">
        <f>(H2261-Inputs!$D$13)/Inputs!$D$10</f>
        <v>4.7145790554414786</v>
      </c>
      <c r="I2262" s="28">
        <f>(I2261-Inputs!$D$13)/Inputs!$D$10</f>
        <v>5.7166324435318279</v>
      </c>
      <c r="J2262" s="28">
        <f>(J2261-Inputs!$D$13)/Inputs!$D$10</f>
        <v>6.7159479808350442</v>
      </c>
      <c r="K2262" s="28">
        <f>(K2261-Inputs!$D$13)/Inputs!$D$10</f>
        <v>7.7152635181382614</v>
      </c>
      <c r="L2262" s="28">
        <f>(L2261-Inputs!$D$13)/Inputs!$D$10</f>
        <v>8.7145790554414777</v>
      </c>
      <c r="M2262" s="28">
        <f>(M2261-Inputs!$D$13)/Inputs!$D$10</f>
        <v>9.716632443531827</v>
      </c>
    </row>
    <row r="2263" spans="1:13" ht="15" customHeight="1" x14ac:dyDescent="0.2">
      <c r="A2263" s="91"/>
      <c r="B2263" s="10" t="s">
        <v>889</v>
      </c>
      <c r="C2263" s="10" t="s">
        <v>107</v>
      </c>
      <c r="D2263" s="28">
        <f>D2262</f>
        <v>0.71457905544147848</v>
      </c>
      <c r="E2263" s="28">
        <f>Inputs!$D$7</f>
        <v>1</v>
      </c>
      <c r="F2263" s="28">
        <f>Inputs!$D$7</f>
        <v>1</v>
      </c>
      <c r="G2263" s="28">
        <f>Inputs!$D$7</f>
        <v>1</v>
      </c>
      <c r="H2263" s="28">
        <f>Inputs!$D$7</f>
        <v>1</v>
      </c>
      <c r="I2263" s="28">
        <f>Inputs!$D$7</f>
        <v>1</v>
      </c>
      <c r="J2263" s="28">
        <f>Inputs!$D$7</f>
        <v>1</v>
      </c>
      <c r="K2263" s="28">
        <f>Inputs!$D$7</f>
        <v>1</v>
      </c>
      <c r="L2263" s="28">
        <f>Inputs!$D$7</f>
        <v>1</v>
      </c>
      <c r="M2263" s="28">
        <f>Inputs!$D$7</f>
        <v>1</v>
      </c>
    </row>
    <row r="2264" spans="1:13" ht="15" customHeight="1" x14ac:dyDescent="0.2">
      <c r="A2264" s="91"/>
      <c r="B2264" s="3" t="s">
        <v>890</v>
      </c>
      <c r="C2264" s="10" t="s">
        <v>199</v>
      </c>
      <c r="D2264" s="28">
        <f>Inputs!$D$24+(Inputs!$D$80-Inputs!$D$24)*Inputs!$D$83</f>
        <v>305.5</v>
      </c>
      <c r="E2264" s="28">
        <f>Inputs!$D$24+(Inputs!$D$80-Inputs!$D$24)*Inputs!$D$84</f>
        <v>651.5</v>
      </c>
      <c r="F2264" s="28">
        <f>Inputs!$D$24+(Inputs!$D$80-Inputs!$D$24)*Inputs!$D$85</f>
        <v>911</v>
      </c>
      <c r="G2264" s="28">
        <f>Inputs!$D$24+(Inputs!$D$80-Inputs!$D$24)*Inputs!$D$86</f>
        <v>911</v>
      </c>
      <c r="H2264" s="28">
        <f>Inputs!$D$24+(Inputs!$D$80-Inputs!$D$24)*Inputs!$D$87</f>
        <v>911</v>
      </c>
      <c r="I2264" s="28">
        <f>Inputs!$D$24+(Inputs!$D$80-Inputs!$D$24)*Inputs!$D$88</f>
        <v>911</v>
      </c>
      <c r="J2264" s="28">
        <f>Inputs!$D$24+(Inputs!$D$80-Inputs!$D$24)*Inputs!$D$89</f>
        <v>911</v>
      </c>
      <c r="K2264" s="28">
        <f>Inputs!$D$24+(Inputs!$D$80-Inputs!$D$24)*Inputs!$D$90</f>
        <v>911</v>
      </c>
      <c r="L2264" s="28">
        <f>Inputs!$D$24+(Inputs!$D$80-Inputs!$D$24)*Inputs!$D$91</f>
        <v>911</v>
      </c>
      <c r="M2264" s="28">
        <f>Inputs!$D$24+(Inputs!$D$80-Inputs!$D$24)*Inputs!$D$92</f>
        <v>911</v>
      </c>
    </row>
    <row r="2265" spans="1:13" ht="15" customHeight="1" x14ac:dyDescent="0.2">
      <c r="A2265" s="91"/>
      <c r="B2265" s="10" t="s">
        <v>891</v>
      </c>
      <c r="C2265" s="10" t="s">
        <v>199</v>
      </c>
      <c r="D2265" s="28">
        <f>Inputs!$D$24</f>
        <v>46</v>
      </c>
      <c r="E2265" s="28">
        <f t="shared" ref="E2265:M2265" si="490">D2264</f>
        <v>305.5</v>
      </c>
      <c r="F2265" s="28">
        <f t="shared" si="490"/>
        <v>651.5</v>
      </c>
      <c r="G2265" s="28">
        <f t="shared" si="490"/>
        <v>911</v>
      </c>
      <c r="H2265" s="28">
        <f t="shared" si="490"/>
        <v>911</v>
      </c>
      <c r="I2265" s="28">
        <f t="shared" si="490"/>
        <v>911</v>
      </c>
      <c r="J2265" s="28">
        <f t="shared" si="490"/>
        <v>911</v>
      </c>
      <c r="K2265" s="28">
        <f t="shared" si="490"/>
        <v>911</v>
      </c>
      <c r="L2265" s="28">
        <f t="shared" si="490"/>
        <v>911</v>
      </c>
      <c r="M2265" s="28">
        <f t="shared" si="490"/>
        <v>911</v>
      </c>
    </row>
    <row r="2266" spans="1:13" ht="15" customHeight="1" x14ac:dyDescent="0.2">
      <c r="B2266" s="10" t="s">
        <v>892</v>
      </c>
      <c r="C2266" s="10" t="s">
        <v>199</v>
      </c>
      <c r="D2266" s="28">
        <f>(D2265+D2264)*Inputs!$D$12</f>
        <v>175.75</v>
      </c>
      <c r="E2266" s="28">
        <f>(E2265+E2264)*Inputs!$D$12</f>
        <v>478.5</v>
      </c>
      <c r="F2266" s="28">
        <f>(F2265+F2264)*Inputs!$D$12</f>
        <v>781.25</v>
      </c>
      <c r="G2266" s="28">
        <f>(G2265+G2264)*Inputs!$D$12</f>
        <v>911</v>
      </c>
      <c r="H2266" s="28">
        <f>(H2265+H2264)*Inputs!$D$12</f>
        <v>911</v>
      </c>
      <c r="I2266" s="28">
        <f>(I2265+I2264)*Inputs!$D$12</f>
        <v>911</v>
      </c>
      <c r="J2266" s="28">
        <f>(J2265+J2264)*Inputs!$D$12</f>
        <v>911</v>
      </c>
      <c r="K2266" s="28">
        <f>(K2265+K2264)*Inputs!$D$12</f>
        <v>911</v>
      </c>
      <c r="L2266" s="28">
        <f>(L2265+L2264)*Inputs!$D$12</f>
        <v>911</v>
      </c>
      <c r="M2266" s="28">
        <f>(M2265+M2264)*Inputs!$D$12</f>
        <v>911</v>
      </c>
    </row>
    <row r="2267" spans="1:13" ht="15" customHeight="1" x14ac:dyDescent="0.2">
      <c r="B2267" s="10" t="s">
        <v>893</v>
      </c>
      <c r="C2267" s="10" t="s">
        <v>199</v>
      </c>
      <c r="D2267" s="28">
        <f t="shared" ref="D2267:M2267" si="491">D2264-D2265</f>
        <v>259.5</v>
      </c>
      <c r="E2267" s="28">
        <f t="shared" si="491"/>
        <v>346</v>
      </c>
      <c r="F2267" s="28">
        <f t="shared" si="491"/>
        <v>259.5</v>
      </c>
      <c r="G2267" s="28">
        <f t="shared" si="491"/>
        <v>0</v>
      </c>
      <c r="H2267" s="28">
        <f t="shared" si="491"/>
        <v>0</v>
      </c>
      <c r="I2267" s="28">
        <f t="shared" si="491"/>
        <v>0</v>
      </c>
      <c r="J2267" s="28">
        <f t="shared" si="491"/>
        <v>0</v>
      </c>
      <c r="K2267" s="28">
        <f t="shared" si="491"/>
        <v>0</v>
      </c>
      <c r="L2267" s="28">
        <f t="shared" si="491"/>
        <v>0</v>
      </c>
      <c r="M2267" s="28">
        <f t="shared" si="491"/>
        <v>0</v>
      </c>
    </row>
    <row r="2268" spans="1:13" ht="15" customHeight="1" x14ac:dyDescent="0.2">
      <c r="B2268" s="10" t="s">
        <v>894</v>
      </c>
      <c r="C2268" s="10" t="s">
        <v>199</v>
      </c>
      <c r="D2268" s="28">
        <f>IF(MOD(D2260,Inputs!$D$21)=Inputs!$D$6,Inputs!$D$24,Inputs!$D$6)+SUMPRODUCT(--(D2260&gt;$D$2260:$M$2260),--(MOD(D2260-$D$2260:$M$2260,Inputs!$D$21)=Inputs!$D$6),$D$2267:$M$2267)</f>
        <v>0</v>
      </c>
      <c r="E2268" s="28">
        <f>IF(MOD(E2260,Inputs!$D$21)=Inputs!$D$6,Inputs!$D$24,Inputs!$D$6)+SUMPRODUCT(--(E2260&gt;$D$2260:$M$2260),--(MOD(E2260-$D$2260:$M$2260,Inputs!$D$21)=Inputs!$D$6),$D$2267:$M$2267)</f>
        <v>0</v>
      </c>
      <c r="F2268" s="28">
        <f>IF(MOD(F2260,Inputs!$D$21)=Inputs!$D$6,Inputs!$D$24,Inputs!$D$6)+SUMPRODUCT(--(F2260&gt;$D$2260:$M$2260),--(MOD(F2260-$D$2260:$M$2260,Inputs!$D$21)=Inputs!$D$6),$D$2267:$M$2267)</f>
        <v>0</v>
      </c>
      <c r="G2268" s="28">
        <f>IF(MOD(G2260,Inputs!$D$21)=Inputs!$D$6,Inputs!$D$24,Inputs!$D$6)+SUMPRODUCT(--(G2260&gt;$D$2260:$M$2260),--(MOD(G2260-$D$2260:$M$2260,Inputs!$D$21)=Inputs!$D$6),$D$2267:$M$2267)</f>
        <v>46</v>
      </c>
      <c r="H2268" s="28">
        <f>IF(MOD(H2260,Inputs!$D$21)=Inputs!$D$6,Inputs!$D$24,Inputs!$D$6)+SUMPRODUCT(--(H2260&gt;$D$2260:$M$2260),--(MOD(H2260-$D$2260:$M$2260,Inputs!$D$21)=Inputs!$D$6),$D$2267:$M$2267)</f>
        <v>259.5</v>
      </c>
      <c r="I2268" s="28">
        <f>IF(MOD(I2260,Inputs!$D$21)=Inputs!$D$6,Inputs!$D$24,Inputs!$D$6)+SUMPRODUCT(--(I2260&gt;$D$2260:$M$2260),--(MOD(I2260-$D$2260:$M$2260,Inputs!$D$21)=Inputs!$D$6),$D$2267:$M$2267)</f>
        <v>346</v>
      </c>
      <c r="J2268" s="28">
        <f>IF(MOD(J2260,Inputs!$D$21)=Inputs!$D$6,Inputs!$D$24,Inputs!$D$6)+SUMPRODUCT(--(J2260&gt;$D$2260:$M$2260),--(MOD(J2260-$D$2260:$M$2260,Inputs!$D$21)=Inputs!$D$6),$D$2267:$M$2267)</f>
        <v>259.5</v>
      </c>
      <c r="K2268" s="28">
        <f>IF(MOD(K2260,Inputs!$D$21)=Inputs!$D$6,Inputs!$D$24,Inputs!$D$6)+SUMPRODUCT(--(K2260&gt;$D$2260:$M$2260),--(MOD(K2260-$D$2260:$M$2260,Inputs!$D$21)=Inputs!$D$6),$D$2267:$M$2267)</f>
        <v>46</v>
      </c>
      <c r="L2268" s="28">
        <f>IF(MOD(L2260,Inputs!$D$21)=Inputs!$D$6,Inputs!$D$24,Inputs!$D$6)+SUMPRODUCT(--(L2260&gt;$D$2260:$M$2260),--(MOD(L2260-$D$2260:$M$2260,Inputs!$D$21)=Inputs!$D$6),$D$2267:$M$2267)</f>
        <v>259.5</v>
      </c>
      <c r="M2268" s="28">
        <f>IF(MOD(M2260,Inputs!$D$21)=Inputs!$D$6,Inputs!$D$24,Inputs!$D$6)+SUMPRODUCT(--(M2260&gt;$D$2260:$M$2260),--(MOD(M2260-$D$2260:$M$2260,Inputs!$D$21)=Inputs!$D$6),$D$2267:$M$2267)</f>
        <v>346</v>
      </c>
    </row>
    <row r="2269" spans="1:13" ht="15" customHeight="1" x14ac:dyDescent="0.2">
      <c r="B2269" s="10" t="s">
        <v>895</v>
      </c>
      <c r="C2269" s="10" t="s">
        <v>896</v>
      </c>
      <c r="D2269" s="28">
        <f t="shared" ref="D2269:M2269" si="492">D2266*D2263</f>
        <v>125.58726899383984</v>
      </c>
      <c r="E2269" s="28">
        <f t="shared" si="492"/>
        <v>478.5</v>
      </c>
      <c r="F2269" s="28">
        <f t="shared" si="492"/>
        <v>781.25</v>
      </c>
      <c r="G2269" s="28">
        <f t="shared" si="492"/>
        <v>911</v>
      </c>
      <c r="H2269" s="28">
        <f t="shared" si="492"/>
        <v>911</v>
      </c>
      <c r="I2269" s="28">
        <f t="shared" si="492"/>
        <v>911</v>
      </c>
      <c r="J2269" s="28">
        <f t="shared" si="492"/>
        <v>911</v>
      </c>
      <c r="K2269" s="28">
        <f t="shared" si="492"/>
        <v>911</v>
      </c>
      <c r="L2269" s="28">
        <f t="shared" si="492"/>
        <v>911</v>
      </c>
      <c r="M2269" s="28">
        <f t="shared" si="492"/>
        <v>911</v>
      </c>
    </row>
    <row r="2270" spans="1:13" ht="15" customHeight="1" x14ac:dyDescent="0.2">
      <c r="B2270" s="10" t="s">
        <v>897</v>
      </c>
      <c r="C2270" s="10" t="s">
        <v>110</v>
      </c>
      <c r="D2270" s="16">
        <f>D2269*($D$2289/Inputs!$D$21+$D$2290/Inputs!$D$22)</f>
        <v>1816.9772859324419</v>
      </c>
      <c r="E2270" s="16">
        <f>E2269*($D$2289/Inputs!$D$21+$D$2290/Inputs!$D$22)</f>
        <v>6922.8643817497086</v>
      </c>
      <c r="F2270" s="16">
        <f>F2269*($D$2289/Inputs!$D$21+$D$2290/Inputs!$D$22)</f>
        <v>11303.0048030135</v>
      </c>
      <c r="G2270" s="16">
        <f>G2269*($D$2289/Inputs!$D$21+$D$2290/Inputs!$D$22)</f>
        <v>13180.207840697982</v>
      </c>
      <c r="H2270" s="16">
        <f>H2269*($D$2289/Inputs!$D$21+$D$2290/Inputs!$D$22)</f>
        <v>13180.207840697982</v>
      </c>
      <c r="I2270" s="16">
        <f>I2269*($D$2289/Inputs!$D$21+$D$2290/Inputs!$D$22)</f>
        <v>13180.207840697982</v>
      </c>
      <c r="J2270" s="16">
        <f>J2269*($D$2289/Inputs!$D$21+$D$2290/Inputs!$D$22)</f>
        <v>13180.207840697982</v>
      </c>
      <c r="K2270" s="16">
        <f>K2269*($D$2289/Inputs!$D$21+$D$2290/Inputs!$D$22)</f>
        <v>13180.207840697982</v>
      </c>
      <c r="L2270" s="16">
        <f>L2269*($D$2289/Inputs!$D$21+$D$2290/Inputs!$D$22)</f>
        <v>13180.207840697982</v>
      </c>
      <c r="M2270" s="16">
        <f>M2269*($D$2289/Inputs!$D$21+$D$2290/Inputs!$D$22)</f>
        <v>13180.207840697982</v>
      </c>
    </row>
    <row r="2271" spans="1:13" ht="15" customHeight="1" x14ac:dyDescent="0.2">
      <c r="B2271" s="10" t="s">
        <v>898</v>
      </c>
      <c r="C2271" s="10" t="s">
        <v>110</v>
      </c>
      <c r="D2271" s="16">
        <f t="shared" ref="D2271:M2271" si="493">D2267*($D$2289+$D$2290)</f>
        <v>15560.968620146154</v>
      </c>
      <c r="E2271" s="16">
        <f t="shared" si="493"/>
        <v>20747.95816019487</v>
      </c>
      <c r="F2271" s="16">
        <f t="shared" si="493"/>
        <v>15560.968620146154</v>
      </c>
      <c r="G2271" s="16">
        <f t="shared" si="493"/>
        <v>0</v>
      </c>
      <c r="H2271" s="16">
        <f t="shared" si="493"/>
        <v>0</v>
      </c>
      <c r="I2271" s="16">
        <f t="shared" si="493"/>
        <v>0</v>
      </c>
      <c r="J2271" s="16">
        <f t="shared" si="493"/>
        <v>0</v>
      </c>
      <c r="K2271" s="16">
        <f t="shared" si="493"/>
        <v>0</v>
      </c>
      <c r="L2271" s="16">
        <f t="shared" si="493"/>
        <v>0</v>
      </c>
      <c r="M2271" s="16">
        <f t="shared" si="493"/>
        <v>0</v>
      </c>
    </row>
    <row r="2272" spans="1:13" ht="15" customHeight="1" x14ac:dyDescent="0.2">
      <c r="B2272" s="10" t="s">
        <v>899</v>
      </c>
      <c r="C2272" s="10" t="s">
        <v>110</v>
      </c>
      <c r="D2272" s="16">
        <f t="shared" ref="D2272:M2272" si="494">D2268*$D$2289</f>
        <v>0</v>
      </c>
      <c r="E2272" s="16">
        <f t="shared" si="494"/>
        <v>0</v>
      </c>
      <c r="F2272" s="16">
        <f t="shared" si="494"/>
        <v>0</v>
      </c>
      <c r="G2272" s="16">
        <f t="shared" si="494"/>
        <v>2638.0048485671714</v>
      </c>
      <c r="H2272" s="16">
        <f t="shared" si="494"/>
        <v>14881.788221808281</v>
      </c>
      <c r="I2272" s="16">
        <f t="shared" si="494"/>
        <v>19842.384295744378</v>
      </c>
      <c r="J2272" s="16">
        <f t="shared" si="494"/>
        <v>14881.788221808281</v>
      </c>
      <c r="K2272" s="16">
        <f t="shared" si="494"/>
        <v>2638.0048485671714</v>
      </c>
      <c r="L2272" s="16">
        <f t="shared" si="494"/>
        <v>14881.788221808281</v>
      </c>
      <c r="M2272" s="16">
        <f t="shared" si="494"/>
        <v>19842.384295744378</v>
      </c>
    </row>
    <row r="2273" spans="2:13" ht="15" customHeight="1" x14ac:dyDescent="0.2">
      <c r="B2273" s="10" t="s">
        <v>900</v>
      </c>
      <c r="C2273" s="10" t="s">
        <v>199</v>
      </c>
      <c r="D2273" s="28">
        <f>D2267*Inputs!$D$23</f>
        <v>6.4875000000000007</v>
      </c>
      <c r="E2273" s="28">
        <f>E2267*Inputs!$D$23</f>
        <v>8.65</v>
      </c>
      <c r="F2273" s="28">
        <f>F2267*Inputs!$D$23</f>
        <v>6.4875000000000007</v>
      </c>
      <c r="G2273" s="28">
        <f>G2267*Inputs!$D$23</f>
        <v>0</v>
      </c>
      <c r="H2273" s="28">
        <f>H2267*Inputs!$D$23</f>
        <v>0</v>
      </c>
      <c r="I2273" s="28">
        <f>I2267*Inputs!$D$23</f>
        <v>0</v>
      </c>
      <c r="J2273" s="28">
        <f>J2267*Inputs!$D$23</f>
        <v>0</v>
      </c>
      <c r="K2273" s="28">
        <f>K2267*Inputs!$D$23</f>
        <v>0</v>
      </c>
      <c r="L2273" s="28">
        <f>L2267*Inputs!$D$23</f>
        <v>0</v>
      </c>
      <c r="M2273" s="28">
        <f>M2267*Inputs!$D$23</f>
        <v>0</v>
      </c>
    </row>
    <row r="2274" spans="2:13" ht="15" customHeight="1" x14ac:dyDescent="0.2">
      <c r="B2274" s="3" t="s">
        <v>901</v>
      </c>
      <c r="C2274" s="10" t="s">
        <v>896</v>
      </c>
      <c r="D2274" s="28">
        <f>(D2269*$D$2287*(Inputs!$D$7-Inputs!$D$19)-D2273)/(Inputs!$D$7+$D$2288)^D2262</f>
        <v>35.001179305651803</v>
      </c>
      <c r="E2274" s="28">
        <f>(E2269*$D$2287*(Inputs!$D$7-Inputs!$D$19)-E2273)/(Inputs!$D$7+$D$2288)^E2262</f>
        <v>134.85369099155164</v>
      </c>
      <c r="F2274" s="28">
        <f>(F2269*$D$2287*(Inputs!$D$7-Inputs!$D$19)-F2273)/(Inputs!$D$7+$D$2288)^F2262</f>
        <v>206.06752051055432</v>
      </c>
      <c r="G2274" s="28">
        <f>(G2269*$D$2287*(Inputs!$D$7-Inputs!$D$19)-G2273)/(Inputs!$D$7+$D$2288)^G2262</f>
        <v>223.76991053495766</v>
      </c>
      <c r="H2274" s="28">
        <f>(H2269*$D$2287*(Inputs!$D$7-Inputs!$D$19)-H2273)/(Inputs!$D$7+$D$2288)^H2262</f>
        <v>203.44046265799324</v>
      </c>
      <c r="I2274" s="28">
        <f>(I2269*$D$2287*(Inputs!$D$7-Inputs!$D$19)-I2273)/(Inputs!$D$7+$D$2288)^I2262</f>
        <v>184.9096831522028</v>
      </c>
      <c r="J2274" s="28">
        <f>(J2269*$D$2287*(Inputs!$D$7-Inputs!$D$19)-J2273)/(Inputs!$D$7+$D$2288)^J2262</f>
        <v>168.11067851122158</v>
      </c>
      <c r="K2274" s="28">
        <f>(K2269*$D$2287*(Inputs!$D$7-Inputs!$D$19)-K2273)/(Inputs!$D$7+$D$2288)^K2262</f>
        <v>152.83785980121411</v>
      </c>
      <c r="L2274" s="28">
        <f>(L2269*$D$2287*(Inputs!$D$7-Inputs!$D$19)-L2273)/(Inputs!$D$7+$D$2288)^L2262</f>
        <v>138.95257336110456</v>
      </c>
      <c r="M2274" s="28">
        <f>(M2269*$D$2287*(Inputs!$D$7-Inputs!$D$19)-M2273)/(Inputs!$D$7+$D$2288)^M2262</f>
        <v>126.29580162024641</v>
      </c>
    </row>
    <row r="2275" spans="2:13" ht="15" customHeight="1" x14ac:dyDescent="0.2">
      <c r="B2275" s="10" t="s">
        <v>902</v>
      </c>
      <c r="C2275" s="10" t="s">
        <v>110</v>
      </c>
      <c r="D2275" s="16">
        <f>(D2270*Inputs!$D$19-D2271-D2272)/(Inputs!$D$7+$D$2288)^D2262</f>
        <v>-14027.24269342025</v>
      </c>
      <c r="E2275" s="16">
        <f>(E2270*Inputs!$D$19-E2271-E2272)/(Inputs!$D$7+$D$2288)^E2262</f>
        <v>-15853.087323826181</v>
      </c>
      <c r="F2275" s="16">
        <f>(F2270*Inputs!$D$19-F2271-F2272)/(Inputs!$D$7+$D$2288)^F2262</f>
        <v>-9394.4767487293357</v>
      </c>
      <c r="G2275" s="16">
        <f>(G2270*Inputs!$D$19-G2271-G2272)/(Inputs!$D$7+$D$2288)^G2262</f>
        <v>923.61320322684639</v>
      </c>
      <c r="H2275" s="16">
        <f>(H2270*Inputs!$D$19-H2271-H2272)/(Inputs!$D$7+$D$2288)^H2262</f>
        <v>-6972.3744918015345</v>
      </c>
      <c r="I2275" s="16">
        <f>(I2270*Inputs!$D$19-I2271-I2272)/(Inputs!$D$7+$D$2288)^I2262</f>
        <v>-9214.0648467907959</v>
      </c>
      <c r="J2275" s="16">
        <f>(J2270*Inputs!$D$19-J2271-J2272)/(Inputs!$D$7+$D$2288)^J2262</f>
        <v>-5761.5411965591911</v>
      </c>
      <c r="K2275" s="16">
        <f>(K2270*Inputs!$D$19-K2271-K2272)/(Inputs!$D$7+$D$2288)^K2262</f>
        <v>630.8402453567694</v>
      </c>
      <c r="L2275" s="16">
        <f>(L2270*Inputs!$D$19-L2271-L2272)/(Inputs!$D$7+$D$2288)^L2262</f>
        <v>-4762.2255937446444</v>
      </c>
      <c r="M2275" s="16">
        <f>(M2270*Inputs!$D$19-M2271-M2272)/(Inputs!$D$7+$D$2288)^M2262</f>
        <v>-6293.3302689644106</v>
      </c>
    </row>
    <row r="2276" spans="2:13" ht="15" customHeight="1" x14ac:dyDescent="0.2">
      <c r="B2276" s="10" t="s">
        <v>903</v>
      </c>
      <c r="C2276" s="10" t="s">
        <v>110</v>
      </c>
      <c r="D2276" s="16">
        <f t="shared" ref="D2276:M2276" si="495">D2269*$D$2286</f>
        <v>6119.0920239341931</v>
      </c>
      <c r="E2276" s="16">
        <f t="shared" si="495"/>
        <v>23314.349909114844</v>
      </c>
      <c r="F2276" s="16">
        <f t="shared" si="495"/>
        <v>38065.487704275802</v>
      </c>
      <c r="G2276" s="16">
        <f t="shared" si="495"/>
        <v>44387.403902201928</v>
      </c>
      <c r="H2276" s="16">
        <f t="shared" si="495"/>
        <v>44387.403902201928</v>
      </c>
      <c r="I2276" s="16">
        <f t="shared" si="495"/>
        <v>44387.403902201928</v>
      </c>
      <c r="J2276" s="16">
        <f t="shared" si="495"/>
        <v>44387.403902201928</v>
      </c>
      <c r="K2276" s="16">
        <f t="shared" si="495"/>
        <v>44387.403902201928</v>
      </c>
      <c r="L2276" s="16">
        <f t="shared" si="495"/>
        <v>44387.403902201928</v>
      </c>
      <c r="M2276" s="16">
        <f t="shared" si="495"/>
        <v>44387.403902201928</v>
      </c>
    </row>
    <row r="2277" spans="2:13" ht="15" customHeight="1" x14ac:dyDescent="0.2">
      <c r="B2277" s="10" t="s">
        <v>904</v>
      </c>
      <c r="C2277" s="10" t="s">
        <v>110</v>
      </c>
      <c r="D2277" s="16">
        <f t="shared" ref="D2277:M2277" si="496">D2276*$D$2287</f>
        <v>3059.5460119670965</v>
      </c>
      <c r="E2277" s="16">
        <f t="shared" si="496"/>
        <v>11657.174954557422</v>
      </c>
      <c r="F2277" s="16">
        <f t="shared" si="496"/>
        <v>19032.743852137901</v>
      </c>
      <c r="G2277" s="16">
        <f t="shared" si="496"/>
        <v>22193.701951100964</v>
      </c>
      <c r="H2277" s="16">
        <f t="shared" si="496"/>
        <v>22193.701951100964</v>
      </c>
      <c r="I2277" s="16">
        <f t="shared" si="496"/>
        <v>22193.701951100964</v>
      </c>
      <c r="J2277" s="16">
        <f t="shared" si="496"/>
        <v>22193.701951100964</v>
      </c>
      <c r="K2277" s="16">
        <f t="shared" si="496"/>
        <v>22193.701951100964</v>
      </c>
      <c r="L2277" s="16">
        <f t="shared" si="496"/>
        <v>22193.701951100964</v>
      </c>
      <c r="M2277" s="16">
        <f t="shared" si="496"/>
        <v>22193.701951100964</v>
      </c>
    </row>
    <row r="2278" spans="2:13" ht="15" customHeight="1" x14ac:dyDescent="0.2">
      <c r="B2278" s="10" t="s">
        <v>905</v>
      </c>
      <c r="C2278" s="10" t="s">
        <v>110</v>
      </c>
      <c r="D2278" s="16">
        <f t="shared" ref="D2278:M2278" si="497">D2277-D2270</f>
        <v>1242.5687260346547</v>
      </c>
      <c r="E2278" s="16">
        <f t="shared" si="497"/>
        <v>4734.3105728077135</v>
      </c>
      <c r="F2278" s="16">
        <f t="shared" si="497"/>
        <v>7729.7390491244005</v>
      </c>
      <c r="G2278" s="16">
        <f t="shared" si="497"/>
        <v>9013.4941104029822</v>
      </c>
      <c r="H2278" s="16">
        <f t="shared" si="497"/>
        <v>9013.4941104029822</v>
      </c>
      <c r="I2278" s="16">
        <f t="shared" si="497"/>
        <v>9013.4941104029822</v>
      </c>
      <c r="J2278" s="16">
        <f t="shared" si="497"/>
        <v>9013.4941104029822</v>
      </c>
      <c r="K2278" s="16">
        <f t="shared" si="497"/>
        <v>9013.4941104029822</v>
      </c>
      <c r="L2278" s="16">
        <f t="shared" si="497"/>
        <v>9013.4941104029822</v>
      </c>
      <c r="M2278" s="16">
        <f t="shared" si="497"/>
        <v>9013.4941104029822</v>
      </c>
    </row>
    <row r="2279" spans="2:13" ht="15" customHeight="1" x14ac:dyDescent="0.2">
      <c r="B2279" s="10" t="s">
        <v>906</v>
      </c>
      <c r="C2279" s="10" t="s">
        <v>110</v>
      </c>
      <c r="D2279" s="16">
        <f>MAX(D2278,Inputs!$D$6)*Inputs!$D$19</f>
        <v>372.7706178103964</v>
      </c>
      <c r="E2279" s="16">
        <f>MAX(E2278,Inputs!$D$6)*Inputs!$D$19</f>
        <v>1420.293171842314</v>
      </c>
      <c r="F2279" s="16">
        <f>MAX(F2278,Inputs!$D$6)*Inputs!$D$19</f>
        <v>2318.9217147373201</v>
      </c>
      <c r="G2279" s="16">
        <f>MAX(G2278,Inputs!$D$6)*Inputs!$D$19</f>
        <v>2704.0482331208946</v>
      </c>
      <c r="H2279" s="16">
        <f>MAX(H2278,Inputs!$D$6)*Inputs!$D$19</f>
        <v>2704.0482331208946</v>
      </c>
      <c r="I2279" s="16">
        <f>MAX(I2278,Inputs!$D$6)*Inputs!$D$19</f>
        <v>2704.0482331208946</v>
      </c>
      <c r="J2279" s="16">
        <f>MAX(J2278,Inputs!$D$6)*Inputs!$D$19</f>
        <v>2704.0482331208946</v>
      </c>
      <c r="K2279" s="16">
        <f>MAX(K2278,Inputs!$D$6)*Inputs!$D$19</f>
        <v>2704.0482331208946</v>
      </c>
      <c r="L2279" s="16">
        <f>MAX(L2278,Inputs!$D$6)*Inputs!$D$19</f>
        <v>2704.0482331208946</v>
      </c>
      <c r="M2279" s="16">
        <f>MAX(M2278,Inputs!$D$6)*Inputs!$D$19</f>
        <v>2704.0482331208946</v>
      </c>
    </row>
    <row r="2280" spans="2:13" ht="15" customHeight="1" x14ac:dyDescent="0.2">
      <c r="B2280" s="10" t="s">
        <v>907</v>
      </c>
      <c r="C2280" s="10" t="s">
        <v>110</v>
      </c>
      <c r="D2280" s="16">
        <f t="shared" ref="D2280:M2280" si="498">D2273*$D$2286</f>
        <v>316.09580989630632</v>
      </c>
      <c r="E2280" s="16">
        <f t="shared" si="498"/>
        <v>421.46107986174172</v>
      </c>
      <c r="F2280" s="16">
        <f t="shared" si="498"/>
        <v>316.09580989630632</v>
      </c>
      <c r="G2280" s="16">
        <f t="shared" si="498"/>
        <v>0</v>
      </c>
      <c r="H2280" s="16">
        <f t="shared" si="498"/>
        <v>0</v>
      </c>
      <c r="I2280" s="16">
        <f t="shared" si="498"/>
        <v>0</v>
      </c>
      <c r="J2280" s="16">
        <f t="shared" si="498"/>
        <v>0</v>
      </c>
      <c r="K2280" s="16">
        <f t="shared" si="498"/>
        <v>0</v>
      </c>
      <c r="L2280" s="16">
        <f t="shared" si="498"/>
        <v>0</v>
      </c>
      <c r="M2280" s="16">
        <f t="shared" si="498"/>
        <v>0</v>
      </c>
    </row>
    <row r="2281" spans="2:13" ht="15" customHeight="1" x14ac:dyDescent="0.2">
      <c r="B2281" s="10" t="s">
        <v>908</v>
      </c>
      <c r="C2281" s="10" t="s">
        <v>110</v>
      </c>
      <c r="D2281" s="16">
        <f t="shared" ref="D2281:M2281" si="499">D2277-D2279-D2271-D2272-D2280</f>
        <v>-13190.289035885758</v>
      </c>
      <c r="E2281" s="16">
        <f t="shared" si="499"/>
        <v>-10932.537457341503</v>
      </c>
      <c r="F2281" s="16">
        <f t="shared" si="499"/>
        <v>836.7577073581208</v>
      </c>
      <c r="G2281" s="16">
        <f t="shared" si="499"/>
        <v>16851.648869412897</v>
      </c>
      <c r="H2281" s="16">
        <f t="shared" si="499"/>
        <v>4607.8654961717875</v>
      </c>
      <c r="I2281" s="16">
        <f t="shared" si="499"/>
        <v>-352.73057776430869</v>
      </c>
      <c r="J2281" s="16">
        <f t="shared" si="499"/>
        <v>4607.8654961717875</v>
      </c>
      <c r="K2281" s="16">
        <f t="shared" si="499"/>
        <v>16851.648869412897</v>
      </c>
      <c r="L2281" s="16">
        <f t="shared" si="499"/>
        <v>4607.8654961717875</v>
      </c>
      <c r="M2281" s="16">
        <f t="shared" si="499"/>
        <v>-352.73057776430869</v>
      </c>
    </row>
    <row r="2282" spans="2:13" ht="15" customHeight="1" x14ac:dyDescent="0.2">
      <c r="B2282" s="10" t="s">
        <v>909</v>
      </c>
      <c r="C2282" s="10" t="s">
        <v>110</v>
      </c>
      <c r="D2282" s="16">
        <f>D2281/(Inputs!$D$7+$D$2288)^D2262</f>
        <v>-12321.851383987365</v>
      </c>
      <c r="E2282" s="16">
        <f>E2281/(Inputs!$D$7+$D$2288)^E2262</f>
        <v>-9282.4997829428303</v>
      </c>
      <c r="F2282" s="16">
        <f>F2281/(Inputs!$D$7+$D$2288)^F2262</f>
        <v>645.92090662440137</v>
      </c>
      <c r="G2282" s="16">
        <f>G2281/(Inputs!$D$7+$D$2288)^G2262</f>
        <v>11826.538999137665</v>
      </c>
      <c r="H2282" s="16">
        <f>H2281/(Inputs!$D$7+$D$2288)^H2262</f>
        <v>2940.0228584192946</v>
      </c>
      <c r="I2282" s="16">
        <f>I2281/(Inputs!$D$7+$D$2288)^I2262</f>
        <v>-204.55794063820531</v>
      </c>
      <c r="J2282" s="16">
        <f>J2281/(Inputs!$D$7+$D$2288)^J2262</f>
        <v>2429.4539596985605</v>
      </c>
      <c r="K2282" s="16">
        <f>K2281/(Inputs!$D$7+$D$2288)^K2262</f>
        <v>8077.6852668107795</v>
      </c>
      <c r="L2282" s="16">
        <f>L2281/(Inputs!$D$7+$D$2288)^L2262</f>
        <v>2008.075171381254</v>
      </c>
      <c r="M2282" s="16">
        <f>M2281/(Inputs!$D$7+$D$2288)^M2262</f>
        <v>-139.71582585766359</v>
      </c>
    </row>
    <row r="2283" spans="2:13" ht="15" customHeight="1" x14ac:dyDescent="0.2">
      <c r="B2283" s="3" t="s">
        <v>910</v>
      </c>
      <c r="C2283" s="10" t="s">
        <v>896</v>
      </c>
      <c r="D2283" s="28">
        <f>(D2269*$D$2287-D2273)/(Inputs!$D$7+$D$2288)^D2262</f>
        <v>52.598985465011189</v>
      </c>
      <c r="E2283" s="28">
        <f>(E2269*$D$2287-E2273)/(Inputs!$D$7+$D$2288)^E2262</f>
        <v>195.79575723375925</v>
      </c>
      <c r="F2283" s="28">
        <f>(F2269*$D$2287-F2273)/(Inputs!$D$7+$D$2288)^F2262</f>
        <v>296.52842165245573</v>
      </c>
      <c r="G2283" s="28">
        <f>(G2269*$D$2287-G2273)/(Inputs!$D$7+$D$2288)^G2262</f>
        <v>319.67130076422529</v>
      </c>
      <c r="H2283" s="28">
        <f>(H2269*$D$2287-H2273)/(Inputs!$D$7+$D$2288)^H2262</f>
        <v>290.62923236856182</v>
      </c>
      <c r="I2283" s="28">
        <f>(I2269*$D$2287-I2273)/(Inputs!$D$7+$D$2288)^I2262</f>
        <v>264.15669021743264</v>
      </c>
      <c r="J2283" s="28">
        <f>(J2269*$D$2287-J2273)/(Inputs!$D$7+$D$2288)^J2262</f>
        <v>240.158112158888</v>
      </c>
      <c r="K2283" s="28">
        <f>(K2269*$D$2287-K2273)/(Inputs!$D$7+$D$2288)^K2262</f>
        <v>218.3397997160202</v>
      </c>
      <c r="L2283" s="28">
        <f>(L2269*$D$2287-L2273)/(Inputs!$D$7+$D$2288)^L2262</f>
        <v>198.50367623014941</v>
      </c>
      <c r="M2283" s="28">
        <f>(M2269*$D$2287-M2273)/(Inputs!$D$7+$D$2288)^M2262</f>
        <v>180.42257374320917</v>
      </c>
    </row>
    <row r="2284" spans="2:13" ht="15" customHeight="1" x14ac:dyDescent="0.2">
      <c r="B2284" s="10" t="s">
        <v>911</v>
      </c>
      <c r="C2284" s="10" t="s">
        <v>110</v>
      </c>
      <c r="D2284" s="16">
        <f>(-D2271-D2272)/(Inputs!$D$7+$D$2288)^D2262</f>
        <v>-14536.447397527105</v>
      </c>
      <c r="E2284" s="16">
        <f>(-E2271-E2272)/(Inputs!$D$7+$D$2288)^E2262</f>
        <v>-17616.488200475756</v>
      </c>
      <c r="F2284" s="16">
        <f>(-F2271-F2272)/(Inputs!$D$7+$D$2288)^F2262</f>
        <v>-12012.025548964448</v>
      </c>
      <c r="G2284" s="16">
        <f>(-G2271-G2272)/(Inputs!$D$7+$D$2288)^G2262</f>
        <v>-1851.359915178487</v>
      </c>
      <c r="H2284" s="16">
        <f>(-H2271-H2272)/(Inputs!$D$7+$D$2288)^H2262</f>
        <v>-9495.2419037884629</v>
      </c>
      <c r="I2284" s="16">
        <f>(-I2271-I2272)/(Inputs!$D$7+$D$2288)^I2262</f>
        <v>-11507.131858586603</v>
      </c>
      <c r="J2284" s="16">
        <f>(-J2271-J2272)/(Inputs!$D$7+$D$2288)^J2262</f>
        <v>-7846.2835672839774</v>
      </c>
      <c r="K2284" s="16">
        <f>(-K2271-K2272)/(Inputs!$D$7+$D$2288)^K2262</f>
        <v>-1264.5037327904422</v>
      </c>
      <c r="L2284" s="16">
        <f>(-L2271-L2272)/(Inputs!$D$7+$D$2288)^L2262</f>
        <v>-6485.3779822337692</v>
      </c>
      <c r="M2284" s="16">
        <f>(-M2271-M2272)/(Inputs!$D$7+$D$2288)^M2262</f>
        <v>-7859.5258920747219</v>
      </c>
    </row>
    <row r="2285" spans="2:13" ht="15" customHeight="1" x14ac:dyDescent="0.2">
      <c r="B2285" s="10" t="s">
        <v>912</v>
      </c>
      <c r="C2285" s="10" t="s">
        <v>110</v>
      </c>
      <c r="D2285" s="16">
        <f>Prices!I8</f>
        <v>32775</v>
      </c>
    </row>
    <row r="2286" spans="2:13" ht="15" customHeight="1" x14ac:dyDescent="0.2">
      <c r="B2286" s="3" t="s">
        <v>913</v>
      </c>
      <c r="C2286" s="10" t="s">
        <v>914</v>
      </c>
      <c r="D2286" s="28">
        <f>IF(J2293&gt;=J2289,J2293,(D2285-J2292)/J2291)</f>
        <v>48.723824261473027</v>
      </c>
      <c r="G2286" s="99" t="s">
        <v>915</v>
      </c>
      <c r="H2286" s="91"/>
      <c r="I2286" s="91"/>
      <c r="J2286" s="28">
        <f>D2286*Inputs!$D$15</f>
        <v>34.004356952082027</v>
      </c>
      <c r="K2286" s="99" t="s">
        <v>916</v>
      </c>
      <c r="L2286" s="91"/>
      <c r="M2286" s="91"/>
    </row>
    <row r="2287" spans="2:13" ht="15" customHeight="1" x14ac:dyDescent="0.2">
      <c r="B2287" s="10" t="s">
        <v>917</v>
      </c>
      <c r="C2287" s="10" t="s">
        <v>104</v>
      </c>
      <c r="D2287" s="30">
        <f>Inputs!$D$140</f>
        <v>0.5</v>
      </c>
      <c r="G2287" s="99" t="s">
        <v>918</v>
      </c>
      <c r="H2287" s="91"/>
      <c r="I2287" s="91"/>
      <c r="J2287" s="28">
        <f>IF(-D2298/D2297&gt;=J2289,-D2298/D2297,-J2292/J2291)</f>
        <v>38.783797845890525</v>
      </c>
      <c r="K2287" s="99" t="s">
        <v>919</v>
      </c>
      <c r="L2287" s="91"/>
      <c r="M2287" s="91"/>
    </row>
    <row r="2288" spans="2:13" ht="15" customHeight="1" x14ac:dyDescent="0.2">
      <c r="B2288" s="10" t="s">
        <v>920</v>
      </c>
      <c r="C2288" s="10" t="s">
        <v>104</v>
      </c>
      <c r="D2288" s="30">
        <f>Inputs!$D$147</f>
        <v>0.1</v>
      </c>
      <c r="G2288" s="99" t="s">
        <v>918</v>
      </c>
      <c r="H2288" s="91"/>
      <c r="I2288" s="91"/>
      <c r="J2288" s="28">
        <f>J2287*Inputs!$D$15</f>
        <v>27.067212516646997</v>
      </c>
      <c r="K2288" s="99" t="s">
        <v>916</v>
      </c>
      <c r="L2288" s="91"/>
      <c r="M2288" s="91"/>
    </row>
    <row r="2289" spans="2:13" ht="15" customHeight="1" x14ac:dyDescent="0.2">
      <c r="B2289" s="3" t="s">
        <v>921</v>
      </c>
      <c r="C2289" s="10" t="s">
        <v>848</v>
      </c>
      <c r="D2289" s="28">
        <f>Capital!$D$13</f>
        <v>57.347931490590682</v>
      </c>
      <c r="G2289" s="99" t="s">
        <v>922</v>
      </c>
      <c r="H2289" s="91"/>
      <c r="I2289" s="91"/>
      <c r="J2289" s="28">
        <f>($D$2289/Inputs!$D$21+$D$2290/Inputs!$D$22)/$D$2287</f>
        <v>28.93569229571456</v>
      </c>
      <c r="K2289" s="99" t="s">
        <v>919</v>
      </c>
      <c r="L2289" s="91"/>
      <c r="M2289" s="91"/>
    </row>
    <row r="2290" spans="2:13" ht="15" customHeight="1" x14ac:dyDescent="0.2">
      <c r="B2290" s="3" t="s">
        <v>923</v>
      </c>
      <c r="C2290" s="10" t="s">
        <v>848</v>
      </c>
      <c r="D2290" s="28">
        <f>Capital!$D$14</f>
        <v>2.6172655041921802</v>
      </c>
    </row>
    <row r="2291" spans="2:13" ht="15" customHeight="1" x14ac:dyDescent="0.2">
      <c r="B2291" s="10" t="s">
        <v>924</v>
      </c>
      <c r="C2291" s="10" t="s">
        <v>896</v>
      </c>
      <c r="D2291" s="28">
        <f>(M2264*(Inputs!$D$7+Inputs!$D$20)*$D$2287*(Inputs!$D$7-Inputs!$D$19)-M2264*Inputs!$D$20*Inputs!$D$23)/($D$2288-Inputs!$D$20)/(Inputs!$D$7+$D$2288)^M2262</f>
        <v>1723.0355792476471</v>
      </c>
      <c r="G2291" s="92" t="s">
        <v>910</v>
      </c>
      <c r="H2291" s="91"/>
      <c r="I2291" s="91"/>
      <c r="J2291" s="28">
        <f>SUM(D2283:M2283)+(M2264*(Inputs!$D$7+Inputs!$D$20)*$D$2287-M2264*Inputs!$D$20*Inputs!$D$23)/($D$2288-Inputs!$D$20)/(Inputs!$D$7+$D$2288)^M2262</f>
        <v>4719.5726811445174</v>
      </c>
      <c r="K2291" s="99" t="s">
        <v>896</v>
      </c>
      <c r="L2291" s="91"/>
      <c r="M2291" s="91"/>
    </row>
    <row r="2292" spans="2:13" ht="15" customHeight="1" x14ac:dyDescent="0.2">
      <c r="B2292" s="10" t="s">
        <v>925</v>
      </c>
      <c r="C2292" s="10" t="s">
        <v>110</v>
      </c>
      <c r="D2292" s="16">
        <f>(D2295*Inputs!$D$19-D2295-D2296)/($D$2288-Inputs!$D$20)/(Inputs!$D$7+$D$2288)^M2262</f>
        <v>-57156.954988173631</v>
      </c>
      <c r="G2292" s="92" t="s">
        <v>926</v>
      </c>
      <c r="H2292" s="91"/>
      <c r="I2292" s="91"/>
      <c r="J2292" s="16">
        <f>SUM(D2284:M2284)-(D2295+D2296)/($D$2288-Inputs!$D$20)/(Inputs!$D$7+$D$2288)^M2262</f>
        <v>-169036.01450291832</v>
      </c>
      <c r="K2292" s="99" t="s">
        <v>110</v>
      </c>
      <c r="L2292" s="91"/>
      <c r="M2292" s="91"/>
    </row>
    <row r="2293" spans="2:13" ht="15" customHeight="1" x14ac:dyDescent="0.2">
      <c r="B2293" s="10" t="s">
        <v>927</v>
      </c>
      <c r="C2293" s="10" t="s">
        <v>928</v>
      </c>
      <c r="D2293" s="16">
        <f>(M2264*(Inputs!$D$7+Inputs!$D$20)*$D$2286*$D$2287-D2295)-MAX((M2264*(Inputs!$D$7+Inputs!$D$20)*$D$2286*$D$2287-D2295),Inputs!$D$6)*Inputs!$D$19-D2296-M2264*Inputs!$D$20*$D$2286*Inputs!$D$23</f>
        <v>5073.7325352190819</v>
      </c>
      <c r="G2293" s="99" t="s">
        <v>929</v>
      </c>
      <c r="H2293" s="91"/>
      <c r="I2293" s="91"/>
      <c r="J2293" s="28">
        <f>(D2285-D2298)/D2297</f>
        <v>48.723824261473027</v>
      </c>
      <c r="K2293" s="99" t="s">
        <v>919</v>
      </c>
      <c r="L2293" s="91"/>
      <c r="M2293" s="91"/>
    </row>
    <row r="2294" spans="2:13" ht="15" customHeight="1" x14ac:dyDescent="0.2">
      <c r="B2294" s="10" t="s">
        <v>930</v>
      </c>
      <c r="C2294" s="10" t="s">
        <v>110</v>
      </c>
      <c r="D2294" s="16">
        <f>D2293/($D$2288-Inputs!$D$20)</f>
        <v>67649.767136254421</v>
      </c>
      <c r="G2294" s="99" t="s">
        <v>931</v>
      </c>
      <c r="H2294" s="91"/>
      <c r="I2294" s="91"/>
      <c r="J2294" s="16">
        <f>MIN(D2278:M2278,(M2264*(Inputs!$D$7+Inputs!$D$20)*$D$2286*$D$2287-D2295))</f>
        <v>1242.5687260346547</v>
      </c>
      <c r="K2294" s="99" t="s">
        <v>110</v>
      </c>
      <c r="L2294" s="91"/>
      <c r="M2294" s="91"/>
    </row>
    <row r="2295" spans="2:13" ht="15" customHeight="1" x14ac:dyDescent="0.2">
      <c r="B2295" s="10" t="s">
        <v>932</v>
      </c>
      <c r="C2295" s="10" t="s">
        <v>928</v>
      </c>
      <c r="D2295" s="16">
        <f>M2264*(Inputs!$D$7+Inputs!$D$20)*($D$2289/Inputs!$D$21+$D$2290/Inputs!$D$22)</f>
        <v>13509.71303671543</v>
      </c>
      <c r="G2295" s="99" t="s">
        <v>933</v>
      </c>
      <c r="H2295" s="91"/>
      <c r="I2295" s="91"/>
      <c r="J2295" s="31" t="str">
        <f>IF(J2294&lt;Inputs!$D$6,"breached","satisfied")</f>
        <v>satisfied</v>
      </c>
      <c r="K2295" s="99" t="s">
        <v>934</v>
      </c>
      <c r="L2295" s="91"/>
      <c r="M2295" s="91"/>
    </row>
    <row r="2296" spans="2:13" ht="15" customHeight="1" x14ac:dyDescent="0.2">
      <c r="B2296" s="10" t="s">
        <v>935</v>
      </c>
      <c r="C2296" s="10" t="s">
        <v>928</v>
      </c>
      <c r="D2296" s="16">
        <f>M2264*Inputs!$D$20*($D$2289+$D$2290)</f>
        <v>1365.7073615561799</v>
      </c>
    </row>
    <row r="2297" spans="2:13" ht="15" customHeight="1" x14ac:dyDescent="0.2">
      <c r="B2297" s="10" t="s">
        <v>936</v>
      </c>
      <c r="C2297" s="10" t="s">
        <v>896</v>
      </c>
      <c r="D2297" s="28">
        <f>SUM(D2274:M2274)+D2291</f>
        <v>3297.2749396943454</v>
      </c>
      <c r="G2297" s="99" t="s">
        <v>937</v>
      </c>
      <c r="H2297" s="91"/>
      <c r="I2297" s="91"/>
      <c r="J2297" s="16">
        <f>D2299-D2285</f>
        <v>0</v>
      </c>
      <c r="K2297" s="99" t="s">
        <v>110</v>
      </c>
      <c r="L2297" s="91"/>
      <c r="M2297" s="91"/>
    </row>
    <row r="2298" spans="2:13" ht="15" customHeight="1" x14ac:dyDescent="0.2">
      <c r="B2298" s="10" t="s">
        <v>938</v>
      </c>
      <c r="C2298" s="10" t="s">
        <v>110</v>
      </c>
      <c r="D2298" s="16">
        <f>SUM(D2275:M2275)+D2292</f>
        <v>-127880.84470342637</v>
      </c>
    </row>
    <row r="2299" spans="2:13" ht="15" customHeight="1" x14ac:dyDescent="0.2">
      <c r="B2299" s="10" t="s">
        <v>939</v>
      </c>
      <c r="C2299" s="10" t="s">
        <v>110</v>
      </c>
      <c r="D2299" s="16">
        <f>SUM(D2282:M2282)+D2294/(Inputs!$D$7+$D$2288)^M2262</f>
        <v>32774.999999999985</v>
      </c>
    </row>
    <row r="2300" spans="2:13" ht="15" customHeight="1" x14ac:dyDescent="0.2">
      <c r="B2300" s="10" t="s">
        <v>940</v>
      </c>
      <c r="C2300" s="10" t="s">
        <v>104</v>
      </c>
      <c r="D2300" s="30">
        <f>IF(ABS(D2285)&gt;Inputs!$D$6,D2299/D2285-Inputs!$D$7,Inputs!$D$6)</f>
        <v>-4.4408920985006262E-16</v>
      </c>
    </row>
    <row r="2301" spans="2:13" ht="15" customHeight="1" x14ac:dyDescent="0.2">
      <c r="B2301" s="10" t="s">
        <v>941</v>
      </c>
      <c r="C2301" s="10" t="s">
        <v>104</v>
      </c>
      <c r="D2301" s="30">
        <f>IF(ABS(D2299)&gt;Inputs!$D$119,D2294/(Inputs!$D$7+$D$2288)^M2262/D2299,Inputs!$D$6)</f>
        <v>0.81757216693681489</v>
      </c>
    </row>
    <row r="2302" spans="2:13" ht="15" customHeight="1" x14ac:dyDescent="0.2">
      <c r="B2302" s="10" t="s">
        <v>942</v>
      </c>
      <c r="C2302" s="10" t="s">
        <v>943</v>
      </c>
      <c r="D2302" s="26">
        <f>$D$2286*Inputs!$D$8/Prices!$P$6/(Inputs!$D$26/Inputs!$D$25)/Inputs!$D$11/Inputs!$D$56</f>
        <v>8.8605754416532978</v>
      </c>
    </row>
    <row r="2306" spans="1:13" ht="15" customHeight="1" x14ac:dyDescent="0.2">
      <c r="A2306" s="104" t="s">
        <v>2215</v>
      </c>
      <c r="B2306" s="10" t="s">
        <v>886</v>
      </c>
      <c r="C2306" s="10" t="s">
        <v>107</v>
      </c>
      <c r="D2306" s="28">
        <f>Inputs!$D$60</f>
        <v>1</v>
      </c>
      <c r="E2306" s="28">
        <f>Inputs!$D$62</f>
        <v>2</v>
      </c>
      <c r="F2306" s="28">
        <f>Inputs!$D$64</f>
        <v>3</v>
      </c>
      <c r="G2306" s="28">
        <f>Inputs!$D$66</f>
        <v>4</v>
      </c>
      <c r="H2306" s="28">
        <f>Inputs!$D$68</f>
        <v>5</v>
      </c>
      <c r="I2306" s="28">
        <f>Inputs!$D$70</f>
        <v>6</v>
      </c>
      <c r="J2306" s="28">
        <f>Inputs!$D$72</f>
        <v>7</v>
      </c>
      <c r="K2306" s="28">
        <f>Inputs!$D$74</f>
        <v>8</v>
      </c>
      <c r="L2306" s="28">
        <f>Inputs!$D$76</f>
        <v>9</v>
      </c>
      <c r="M2306" s="28">
        <f>Inputs!$D$78</f>
        <v>10</v>
      </c>
    </row>
    <row r="2307" spans="1:13" ht="15" customHeight="1" x14ac:dyDescent="0.2">
      <c r="A2307" s="91"/>
      <c r="B2307" s="10" t="s">
        <v>887</v>
      </c>
      <c r="C2307" s="10" t="s">
        <v>161</v>
      </c>
      <c r="D2307" s="29">
        <f>Inputs!$D$61</f>
        <v>46568</v>
      </c>
      <c r="E2307" s="29">
        <f>Inputs!$D$63</f>
        <v>46934</v>
      </c>
      <c r="F2307" s="29">
        <f>Inputs!$D$65</f>
        <v>47299</v>
      </c>
      <c r="G2307" s="29">
        <f>Inputs!$D$67</f>
        <v>47664</v>
      </c>
      <c r="H2307" s="29">
        <f>Inputs!$D$69</f>
        <v>48029</v>
      </c>
      <c r="I2307" s="29">
        <f>Inputs!$D$71</f>
        <v>48395</v>
      </c>
      <c r="J2307" s="29">
        <f>Inputs!$D$73</f>
        <v>48760</v>
      </c>
      <c r="K2307" s="29">
        <f>Inputs!$D$75</f>
        <v>49125</v>
      </c>
      <c r="L2307" s="29">
        <f>Inputs!$D$77</f>
        <v>49490</v>
      </c>
      <c r="M2307" s="29">
        <f>Inputs!$D$79</f>
        <v>49856</v>
      </c>
    </row>
    <row r="2308" spans="1:13" ht="15" customHeight="1" x14ac:dyDescent="0.2">
      <c r="A2308" s="91"/>
      <c r="B2308" s="10" t="s">
        <v>888</v>
      </c>
      <c r="C2308" s="10" t="s">
        <v>107</v>
      </c>
      <c r="D2308" s="28">
        <f>(D2307-Inputs!$D$13)/Inputs!$D$10</f>
        <v>0.71457905544147848</v>
      </c>
      <c r="E2308" s="28">
        <f>(E2307-Inputs!$D$13)/Inputs!$D$10</f>
        <v>1.7166324435318274</v>
      </c>
      <c r="F2308" s="28">
        <f>(F2307-Inputs!$D$13)/Inputs!$D$10</f>
        <v>2.7159479808350446</v>
      </c>
      <c r="G2308" s="28">
        <f>(G2307-Inputs!$D$13)/Inputs!$D$10</f>
        <v>3.7152635181382614</v>
      </c>
      <c r="H2308" s="28">
        <f>(H2307-Inputs!$D$13)/Inputs!$D$10</f>
        <v>4.7145790554414786</v>
      </c>
      <c r="I2308" s="28">
        <f>(I2307-Inputs!$D$13)/Inputs!$D$10</f>
        <v>5.7166324435318279</v>
      </c>
      <c r="J2308" s="28">
        <f>(J2307-Inputs!$D$13)/Inputs!$D$10</f>
        <v>6.7159479808350442</v>
      </c>
      <c r="K2308" s="28">
        <f>(K2307-Inputs!$D$13)/Inputs!$D$10</f>
        <v>7.7152635181382614</v>
      </c>
      <c r="L2308" s="28">
        <f>(L2307-Inputs!$D$13)/Inputs!$D$10</f>
        <v>8.7145790554414777</v>
      </c>
      <c r="M2308" s="28">
        <f>(M2307-Inputs!$D$13)/Inputs!$D$10</f>
        <v>9.716632443531827</v>
      </c>
    </row>
    <row r="2309" spans="1:13" ht="15" customHeight="1" x14ac:dyDescent="0.2">
      <c r="A2309" s="91"/>
      <c r="B2309" s="10" t="s">
        <v>889</v>
      </c>
      <c r="C2309" s="10" t="s">
        <v>107</v>
      </c>
      <c r="D2309" s="28">
        <f>D2308</f>
        <v>0.71457905544147848</v>
      </c>
      <c r="E2309" s="28">
        <f>Inputs!$D$7</f>
        <v>1</v>
      </c>
      <c r="F2309" s="28">
        <f>Inputs!$D$7</f>
        <v>1</v>
      </c>
      <c r="G2309" s="28">
        <f>Inputs!$D$7</f>
        <v>1</v>
      </c>
      <c r="H2309" s="28">
        <f>Inputs!$D$7</f>
        <v>1</v>
      </c>
      <c r="I2309" s="28">
        <f>Inputs!$D$7</f>
        <v>1</v>
      </c>
      <c r="J2309" s="28">
        <f>Inputs!$D$7</f>
        <v>1</v>
      </c>
      <c r="K2309" s="28">
        <f>Inputs!$D$7</f>
        <v>1</v>
      </c>
      <c r="L2309" s="28">
        <f>Inputs!$D$7</f>
        <v>1</v>
      </c>
      <c r="M2309" s="28">
        <f>Inputs!$D$7</f>
        <v>1</v>
      </c>
    </row>
    <row r="2310" spans="1:13" ht="15" customHeight="1" x14ac:dyDescent="0.2">
      <c r="A2310" s="91"/>
      <c r="B2310" s="3" t="s">
        <v>890</v>
      </c>
      <c r="C2310" s="10" t="s">
        <v>199</v>
      </c>
      <c r="D2310" s="28">
        <f>Inputs!$D$24+(Inputs!$D$80-Inputs!$D$24)*Inputs!$D$83</f>
        <v>305.5</v>
      </c>
      <c r="E2310" s="28">
        <f>Inputs!$D$24+(Inputs!$D$80-Inputs!$D$24)*Inputs!$D$84</f>
        <v>651.5</v>
      </c>
      <c r="F2310" s="28">
        <f>Inputs!$D$24+(Inputs!$D$80-Inputs!$D$24)*Inputs!$D$85</f>
        <v>911</v>
      </c>
      <c r="G2310" s="28">
        <f>Inputs!$D$24+(Inputs!$D$80-Inputs!$D$24)*Inputs!$D$86</f>
        <v>911</v>
      </c>
      <c r="H2310" s="28">
        <f>Inputs!$D$24+(Inputs!$D$80-Inputs!$D$24)*Inputs!$D$87</f>
        <v>911</v>
      </c>
      <c r="I2310" s="28">
        <f>Inputs!$D$24+(Inputs!$D$80-Inputs!$D$24)*Inputs!$D$88</f>
        <v>911</v>
      </c>
      <c r="J2310" s="28">
        <f>Inputs!$D$24+(Inputs!$D$80-Inputs!$D$24)*Inputs!$D$89</f>
        <v>911</v>
      </c>
      <c r="K2310" s="28">
        <f>Inputs!$D$24+(Inputs!$D$80-Inputs!$D$24)*Inputs!$D$90</f>
        <v>911</v>
      </c>
      <c r="L2310" s="28">
        <f>Inputs!$D$24+(Inputs!$D$80-Inputs!$D$24)*Inputs!$D$91</f>
        <v>911</v>
      </c>
      <c r="M2310" s="28">
        <f>Inputs!$D$24+(Inputs!$D$80-Inputs!$D$24)*Inputs!$D$92</f>
        <v>911</v>
      </c>
    </row>
    <row r="2311" spans="1:13" ht="15" customHeight="1" x14ac:dyDescent="0.2">
      <c r="A2311" s="91"/>
      <c r="B2311" s="10" t="s">
        <v>891</v>
      </c>
      <c r="C2311" s="10" t="s">
        <v>199</v>
      </c>
      <c r="D2311" s="28">
        <f>Inputs!$D$24</f>
        <v>46</v>
      </c>
      <c r="E2311" s="28">
        <f t="shared" ref="E2311:M2311" si="500">D2310</f>
        <v>305.5</v>
      </c>
      <c r="F2311" s="28">
        <f t="shared" si="500"/>
        <v>651.5</v>
      </c>
      <c r="G2311" s="28">
        <f t="shared" si="500"/>
        <v>911</v>
      </c>
      <c r="H2311" s="28">
        <f t="shared" si="500"/>
        <v>911</v>
      </c>
      <c r="I2311" s="28">
        <f t="shared" si="500"/>
        <v>911</v>
      </c>
      <c r="J2311" s="28">
        <f t="shared" si="500"/>
        <v>911</v>
      </c>
      <c r="K2311" s="28">
        <f t="shared" si="500"/>
        <v>911</v>
      </c>
      <c r="L2311" s="28">
        <f t="shared" si="500"/>
        <v>911</v>
      </c>
      <c r="M2311" s="28">
        <f t="shared" si="500"/>
        <v>911</v>
      </c>
    </row>
    <row r="2312" spans="1:13" ht="15" customHeight="1" x14ac:dyDescent="0.2">
      <c r="B2312" s="10" t="s">
        <v>892</v>
      </c>
      <c r="C2312" s="10" t="s">
        <v>199</v>
      </c>
      <c r="D2312" s="28">
        <f>(D2311+D2310)*Inputs!$D$12</f>
        <v>175.75</v>
      </c>
      <c r="E2312" s="28">
        <f>(E2311+E2310)*Inputs!$D$12</f>
        <v>478.5</v>
      </c>
      <c r="F2312" s="28">
        <f>(F2311+F2310)*Inputs!$D$12</f>
        <v>781.25</v>
      </c>
      <c r="G2312" s="28">
        <f>(G2311+G2310)*Inputs!$D$12</f>
        <v>911</v>
      </c>
      <c r="H2312" s="28">
        <f>(H2311+H2310)*Inputs!$D$12</f>
        <v>911</v>
      </c>
      <c r="I2312" s="28">
        <f>(I2311+I2310)*Inputs!$D$12</f>
        <v>911</v>
      </c>
      <c r="J2312" s="28">
        <f>(J2311+J2310)*Inputs!$D$12</f>
        <v>911</v>
      </c>
      <c r="K2312" s="28">
        <f>(K2311+K2310)*Inputs!$D$12</f>
        <v>911</v>
      </c>
      <c r="L2312" s="28">
        <f>(L2311+L2310)*Inputs!$D$12</f>
        <v>911</v>
      </c>
      <c r="M2312" s="28">
        <f>(M2311+M2310)*Inputs!$D$12</f>
        <v>911</v>
      </c>
    </row>
    <row r="2313" spans="1:13" ht="15" customHeight="1" x14ac:dyDescent="0.2">
      <c r="B2313" s="10" t="s">
        <v>893</v>
      </c>
      <c r="C2313" s="10" t="s">
        <v>199</v>
      </c>
      <c r="D2313" s="28">
        <f t="shared" ref="D2313:M2313" si="501">D2310-D2311</f>
        <v>259.5</v>
      </c>
      <c r="E2313" s="28">
        <f t="shared" si="501"/>
        <v>346</v>
      </c>
      <c r="F2313" s="28">
        <f t="shared" si="501"/>
        <v>259.5</v>
      </c>
      <c r="G2313" s="28">
        <f t="shared" si="501"/>
        <v>0</v>
      </c>
      <c r="H2313" s="28">
        <f t="shared" si="501"/>
        <v>0</v>
      </c>
      <c r="I2313" s="28">
        <f t="shared" si="501"/>
        <v>0</v>
      </c>
      <c r="J2313" s="28">
        <f t="shared" si="501"/>
        <v>0</v>
      </c>
      <c r="K2313" s="28">
        <f t="shared" si="501"/>
        <v>0</v>
      </c>
      <c r="L2313" s="28">
        <f t="shared" si="501"/>
        <v>0</v>
      </c>
      <c r="M2313" s="28">
        <f t="shared" si="501"/>
        <v>0</v>
      </c>
    </row>
    <row r="2314" spans="1:13" ht="15" customHeight="1" x14ac:dyDescent="0.2">
      <c r="B2314" s="10" t="s">
        <v>894</v>
      </c>
      <c r="C2314" s="10" t="s">
        <v>199</v>
      </c>
      <c r="D2314" s="28">
        <f>IF(MOD(D2306,Inputs!$D$21)=Inputs!$D$6,Inputs!$D$24,Inputs!$D$6)+SUMPRODUCT(--(D2306&gt;$D$2306:$M$2306),--(MOD(D2306-$D$2306:$M$2306,Inputs!$D$21)=Inputs!$D$6),$D$2313:$M$2313)</f>
        <v>0</v>
      </c>
      <c r="E2314" s="28">
        <f>IF(MOD(E2306,Inputs!$D$21)=Inputs!$D$6,Inputs!$D$24,Inputs!$D$6)+SUMPRODUCT(--(E2306&gt;$D$2306:$M$2306),--(MOD(E2306-$D$2306:$M$2306,Inputs!$D$21)=Inputs!$D$6),$D$2313:$M$2313)</f>
        <v>0</v>
      </c>
      <c r="F2314" s="28">
        <f>IF(MOD(F2306,Inputs!$D$21)=Inputs!$D$6,Inputs!$D$24,Inputs!$D$6)+SUMPRODUCT(--(F2306&gt;$D$2306:$M$2306),--(MOD(F2306-$D$2306:$M$2306,Inputs!$D$21)=Inputs!$D$6),$D$2313:$M$2313)</f>
        <v>0</v>
      </c>
      <c r="G2314" s="28">
        <f>IF(MOD(G2306,Inputs!$D$21)=Inputs!$D$6,Inputs!$D$24,Inputs!$D$6)+SUMPRODUCT(--(G2306&gt;$D$2306:$M$2306),--(MOD(G2306-$D$2306:$M$2306,Inputs!$D$21)=Inputs!$D$6),$D$2313:$M$2313)</f>
        <v>46</v>
      </c>
      <c r="H2314" s="28">
        <f>IF(MOD(H2306,Inputs!$D$21)=Inputs!$D$6,Inputs!$D$24,Inputs!$D$6)+SUMPRODUCT(--(H2306&gt;$D$2306:$M$2306),--(MOD(H2306-$D$2306:$M$2306,Inputs!$D$21)=Inputs!$D$6),$D$2313:$M$2313)</f>
        <v>259.5</v>
      </c>
      <c r="I2314" s="28">
        <f>IF(MOD(I2306,Inputs!$D$21)=Inputs!$D$6,Inputs!$D$24,Inputs!$D$6)+SUMPRODUCT(--(I2306&gt;$D$2306:$M$2306),--(MOD(I2306-$D$2306:$M$2306,Inputs!$D$21)=Inputs!$D$6),$D$2313:$M$2313)</f>
        <v>346</v>
      </c>
      <c r="J2314" s="28">
        <f>IF(MOD(J2306,Inputs!$D$21)=Inputs!$D$6,Inputs!$D$24,Inputs!$D$6)+SUMPRODUCT(--(J2306&gt;$D$2306:$M$2306),--(MOD(J2306-$D$2306:$M$2306,Inputs!$D$21)=Inputs!$D$6),$D$2313:$M$2313)</f>
        <v>259.5</v>
      </c>
      <c r="K2314" s="28">
        <f>IF(MOD(K2306,Inputs!$D$21)=Inputs!$D$6,Inputs!$D$24,Inputs!$D$6)+SUMPRODUCT(--(K2306&gt;$D$2306:$M$2306),--(MOD(K2306-$D$2306:$M$2306,Inputs!$D$21)=Inputs!$D$6),$D$2313:$M$2313)</f>
        <v>46</v>
      </c>
      <c r="L2314" s="28">
        <f>IF(MOD(L2306,Inputs!$D$21)=Inputs!$D$6,Inputs!$D$24,Inputs!$D$6)+SUMPRODUCT(--(L2306&gt;$D$2306:$M$2306),--(MOD(L2306-$D$2306:$M$2306,Inputs!$D$21)=Inputs!$D$6),$D$2313:$M$2313)</f>
        <v>259.5</v>
      </c>
      <c r="M2314" s="28">
        <f>IF(MOD(M2306,Inputs!$D$21)=Inputs!$D$6,Inputs!$D$24,Inputs!$D$6)+SUMPRODUCT(--(M2306&gt;$D$2306:$M$2306),--(MOD(M2306-$D$2306:$M$2306,Inputs!$D$21)=Inputs!$D$6),$D$2313:$M$2313)</f>
        <v>346</v>
      </c>
    </row>
    <row r="2315" spans="1:13" ht="15" customHeight="1" x14ac:dyDescent="0.2">
      <c r="B2315" s="10" t="s">
        <v>895</v>
      </c>
      <c r="C2315" s="10" t="s">
        <v>896</v>
      </c>
      <c r="D2315" s="28">
        <f t="shared" ref="D2315:M2315" si="502">D2312*D2309</f>
        <v>125.58726899383984</v>
      </c>
      <c r="E2315" s="28">
        <f t="shared" si="502"/>
        <v>478.5</v>
      </c>
      <c r="F2315" s="28">
        <f t="shared" si="502"/>
        <v>781.25</v>
      </c>
      <c r="G2315" s="28">
        <f t="shared" si="502"/>
        <v>911</v>
      </c>
      <c r="H2315" s="28">
        <f t="shared" si="502"/>
        <v>911</v>
      </c>
      <c r="I2315" s="28">
        <f t="shared" si="502"/>
        <v>911</v>
      </c>
      <c r="J2315" s="28">
        <f t="shared" si="502"/>
        <v>911</v>
      </c>
      <c r="K2315" s="28">
        <f t="shared" si="502"/>
        <v>911</v>
      </c>
      <c r="L2315" s="28">
        <f t="shared" si="502"/>
        <v>911</v>
      </c>
      <c r="M2315" s="28">
        <f t="shared" si="502"/>
        <v>911</v>
      </c>
    </row>
    <row r="2316" spans="1:13" ht="15" customHeight="1" x14ac:dyDescent="0.2">
      <c r="B2316" s="10" t="s">
        <v>897</v>
      </c>
      <c r="C2316" s="10" t="s">
        <v>110</v>
      </c>
      <c r="D2316" s="16">
        <f>D2315*($D$2335/Inputs!$D$21+$D$2336/Inputs!$D$22)</f>
        <v>1816.9772859324419</v>
      </c>
      <c r="E2316" s="16">
        <f>E2315*($D$2335/Inputs!$D$21+$D$2336/Inputs!$D$22)</f>
        <v>6922.8643817497086</v>
      </c>
      <c r="F2316" s="16">
        <f>F2315*($D$2335/Inputs!$D$21+$D$2336/Inputs!$D$22)</f>
        <v>11303.0048030135</v>
      </c>
      <c r="G2316" s="16">
        <f>G2315*($D$2335/Inputs!$D$21+$D$2336/Inputs!$D$22)</f>
        <v>13180.207840697982</v>
      </c>
      <c r="H2316" s="16">
        <f>H2315*($D$2335/Inputs!$D$21+$D$2336/Inputs!$D$22)</f>
        <v>13180.207840697982</v>
      </c>
      <c r="I2316" s="16">
        <f>I2315*($D$2335/Inputs!$D$21+$D$2336/Inputs!$D$22)</f>
        <v>13180.207840697982</v>
      </c>
      <c r="J2316" s="16">
        <f>J2315*($D$2335/Inputs!$D$21+$D$2336/Inputs!$D$22)</f>
        <v>13180.207840697982</v>
      </c>
      <c r="K2316" s="16">
        <f>K2315*($D$2335/Inputs!$D$21+$D$2336/Inputs!$D$22)</f>
        <v>13180.207840697982</v>
      </c>
      <c r="L2316" s="16">
        <f>L2315*($D$2335/Inputs!$D$21+$D$2336/Inputs!$D$22)</f>
        <v>13180.207840697982</v>
      </c>
      <c r="M2316" s="16">
        <f>M2315*($D$2335/Inputs!$D$21+$D$2336/Inputs!$D$22)</f>
        <v>13180.207840697982</v>
      </c>
    </row>
    <row r="2317" spans="1:13" ht="15" customHeight="1" x14ac:dyDescent="0.2">
      <c r="B2317" s="10" t="s">
        <v>898</v>
      </c>
      <c r="C2317" s="10" t="s">
        <v>110</v>
      </c>
      <c r="D2317" s="16">
        <f t="shared" ref="D2317:M2317" si="503">D2313*($D$2335+$D$2336)</f>
        <v>15560.968620146154</v>
      </c>
      <c r="E2317" s="16">
        <f t="shared" si="503"/>
        <v>20747.95816019487</v>
      </c>
      <c r="F2317" s="16">
        <f t="shared" si="503"/>
        <v>15560.968620146154</v>
      </c>
      <c r="G2317" s="16">
        <f t="shared" si="503"/>
        <v>0</v>
      </c>
      <c r="H2317" s="16">
        <f t="shared" si="503"/>
        <v>0</v>
      </c>
      <c r="I2317" s="16">
        <f t="shared" si="503"/>
        <v>0</v>
      </c>
      <c r="J2317" s="16">
        <f t="shared" si="503"/>
        <v>0</v>
      </c>
      <c r="K2317" s="16">
        <f t="shared" si="503"/>
        <v>0</v>
      </c>
      <c r="L2317" s="16">
        <f t="shared" si="503"/>
        <v>0</v>
      </c>
      <c r="M2317" s="16">
        <f t="shared" si="503"/>
        <v>0</v>
      </c>
    </row>
    <row r="2318" spans="1:13" ht="15" customHeight="1" x14ac:dyDescent="0.2">
      <c r="B2318" s="10" t="s">
        <v>899</v>
      </c>
      <c r="C2318" s="10" t="s">
        <v>110</v>
      </c>
      <c r="D2318" s="16">
        <f t="shared" ref="D2318:M2318" si="504">D2314*$D$2335</f>
        <v>0</v>
      </c>
      <c r="E2318" s="16">
        <f t="shared" si="504"/>
        <v>0</v>
      </c>
      <c r="F2318" s="16">
        <f t="shared" si="504"/>
        <v>0</v>
      </c>
      <c r="G2318" s="16">
        <f t="shared" si="504"/>
        <v>2638.0048485671714</v>
      </c>
      <c r="H2318" s="16">
        <f t="shared" si="504"/>
        <v>14881.788221808281</v>
      </c>
      <c r="I2318" s="16">
        <f t="shared" si="504"/>
        <v>19842.384295744378</v>
      </c>
      <c r="J2318" s="16">
        <f t="shared" si="504"/>
        <v>14881.788221808281</v>
      </c>
      <c r="K2318" s="16">
        <f t="shared" si="504"/>
        <v>2638.0048485671714</v>
      </c>
      <c r="L2318" s="16">
        <f t="shared" si="504"/>
        <v>14881.788221808281</v>
      </c>
      <c r="M2318" s="16">
        <f t="shared" si="504"/>
        <v>19842.384295744378</v>
      </c>
    </row>
    <row r="2319" spans="1:13" ht="15" customHeight="1" x14ac:dyDescent="0.2">
      <c r="B2319" s="10" t="s">
        <v>900</v>
      </c>
      <c r="C2319" s="10" t="s">
        <v>199</v>
      </c>
      <c r="D2319" s="28">
        <f>D2313*Inputs!$D$23</f>
        <v>6.4875000000000007</v>
      </c>
      <c r="E2319" s="28">
        <f>E2313*Inputs!$D$23</f>
        <v>8.65</v>
      </c>
      <c r="F2319" s="28">
        <f>F2313*Inputs!$D$23</f>
        <v>6.4875000000000007</v>
      </c>
      <c r="G2319" s="28">
        <f>G2313*Inputs!$D$23</f>
        <v>0</v>
      </c>
      <c r="H2319" s="28">
        <f>H2313*Inputs!$D$23</f>
        <v>0</v>
      </c>
      <c r="I2319" s="28">
        <f>I2313*Inputs!$D$23</f>
        <v>0</v>
      </c>
      <c r="J2319" s="28">
        <f>J2313*Inputs!$D$23</f>
        <v>0</v>
      </c>
      <c r="K2319" s="28">
        <f>K2313*Inputs!$D$23</f>
        <v>0</v>
      </c>
      <c r="L2319" s="28">
        <f>L2313*Inputs!$D$23</f>
        <v>0</v>
      </c>
      <c r="M2319" s="28">
        <f>M2313*Inputs!$D$23</f>
        <v>0</v>
      </c>
    </row>
    <row r="2320" spans="1:13" ht="15" customHeight="1" x14ac:dyDescent="0.2">
      <c r="B2320" s="3" t="s">
        <v>901</v>
      </c>
      <c r="C2320" s="10" t="s">
        <v>896</v>
      </c>
      <c r="D2320" s="28">
        <f>(D2315*$D$2333*(Inputs!$D$7-Inputs!$D$19)-D2319)/(Inputs!$D$7+$D$2334)^D2308</f>
        <v>34.553405364425309</v>
      </c>
      <c r="E2320" s="28">
        <f>(E2315*$D$2333*(Inputs!$D$7-Inputs!$D$19)-E2319)/(Inputs!$D$7+$D$2334)^E2308</f>
        <v>130.74636078479486</v>
      </c>
      <c r="F2320" s="28">
        <f>(F2315*$D$2333*(Inputs!$D$7-Inputs!$D$19)-F2319)/(Inputs!$D$7+$D$2334)^F2308</f>
        <v>196.22590281428219</v>
      </c>
      <c r="G2320" s="28">
        <f>(G2315*$D$2333*(Inputs!$D$7-Inputs!$D$19)-G2319)/(Inputs!$D$7+$D$2334)^G2308</f>
        <v>209.2803713494331</v>
      </c>
      <c r="H2320" s="28">
        <f>(H2315*$D$2333*(Inputs!$D$7-Inputs!$D$19)-H2319)/(Inputs!$D$7+$D$2334)^H2308</f>
        <v>186.8719693768727</v>
      </c>
      <c r="I2320" s="28">
        <f>(I2315*$D$2333*(Inputs!$D$7-Inputs!$D$19)-I2319)/(Inputs!$D$7+$D$2334)^I2308</f>
        <v>166.81114988976415</v>
      </c>
      <c r="J2320" s="28">
        <f>(J2315*$D$2333*(Inputs!$D$7-Inputs!$D$19)-J2319)/(Inputs!$D$7+$D$2334)^J2308</f>
        <v>148.95008018632026</v>
      </c>
      <c r="K2320" s="28">
        <f>(K2315*$D$2333*(Inputs!$D$7-Inputs!$D$19)-K2319)/(Inputs!$D$7+$D$2334)^K2308</f>
        <v>133.00145944784117</v>
      </c>
      <c r="L2320" s="28">
        <f>(L2315*$D$2333*(Inputs!$D$7-Inputs!$D$19)-L2319)/(Inputs!$D$7+$D$2334)^L2308</f>
        <v>118.76051488611658</v>
      </c>
      <c r="M2320" s="28">
        <f>(M2315*$D$2333*(Inputs!$D$7-Inputs!$D$19)-M2319)/(Inputs!$D$7+$D$2334)^M2308</f>
        <v>106.01150143444319</v>
      </c>
    </row>
    <row r="2321" spans="2:13" ht="15" customHeight="1" x14ac:dyDescent="0.2">
      <c r="B2321" s="10" t="s">
        <v>902</v>
      </c>
      <c r="C2321" s="10" t="s">
        <v>110</v>
      </c>
      <c r="D2321" s="16">
        <f>(D2316*Inputs!$D$19-D2317-D2318)/(Inputs!$D$7+$D$2334)^D2308</f>
        <v>-13847.790632947557</v>
      </c>
      <c r="E2321" s="16">
        <f>(E2316*Inputs!$D$19-E2317-E2318)/(Inputs!$D$7+$D$2334)^E2308</f>
        <v>-15370.239105459035</v>
      </c>
      <c r="F2321" s="16">
        <f>(F2316*Inputs!$D$19-F2317-F2318)/(Inputs!$D$7+$D$2334)^F2308</f>
        <v>-8945.8041564234754</v>
      </c>
      <c r="G2321" s="16">
        <f>(G2316*Inputs!$D$19-G2317-G2318)/(Inputs!$D$7+$D$2334)^G2308</f>
        <v>863.80744262020482</v>
      </c>
      <c r="H2321" s="16">
        <f>(H2316*Inputs!$D$19-H2317-H2318)/(Inputs!$D$7+$D$2334)^H2308</f>
        <v>-6404.5339628745278</v>
      </c>
      <c r="I2321" s="16">
        <f>(I2316*Inputs!$D$19-I2317-I2318)/(Inputs!$D$7+$D$2334)^I2308</f>
        <v>-8312.2134333380691</v>
      </c>
      <c r="J2321" s="16">
        <f>(J2316*Inputs!$D$19-J2317-J2318)/(Inputs!$D$7+$D$2334)^J2308</f>
        <v>-5104.8632414329013</v>
      </c>
      <c r="K2321" s="16">
        <f>(K2316*Inputs!$D$19-K2317-K2318)/(Inputs!$D$7+$D$2334)^K2308</f>
        <v>548.96524604578394</v>
      </c>
      <c r="L2321" s="16">
        <f>(L2316*Inputs!$D$19-L2317-L2318)/(Inputs!$D$7+$D$2334)^L2308</f>
        <v>-4070.1971171644977</v>
      </c>
      <c r="M2321" s="16">
        <f>(M2316*Inputs!$D$19-M2317-M2318)/(Inputs!$D$7+$D$2334)^M2308</f>
        <v>-5282.5619084458349</v>
      </c>
    </row>
    <row r="2322" spans="2:13" ht="15" customHeight="1" x14ac:dyDescent="0.2">
      <c r="B2322" s="10" t="s">
        <v>903</v>
      </c>
      <c r="C2322" s="10" t="s">
        <v>110</v>
      </c>
      <c r="D2322" s="16">
        <f t="shared" ref="D2322:M2322" si="505">D2315*$D$2332</f>
        <v>6666.2050531443738</v>
      </c>
      <c r="E2322" s="16">
        <f t="shared" si="505"/>
        <v>25398.905028232155</v>
      </c>
      <c r="F2322" s="16">
        <f t="shared" si="505"/>
        <v>41468.954134391577</v>
      </c>
      <c r="G2322" s="16">
        <f t="shared" si="505"/>
        <v>48356.11803703133</v>
      </c>
      <c r="H2322" s="16">
        <f t="shared" si="505"/>
        <v>48356.11803703133</v>
      </c>
      <c r="I2322" s="16">
        <f t="shared" si="505"/>
        <v>48356.11803703133</v>
      </c>
      <c r="J2322" s="16">
        <f t="shared" si="505"/>
        <v>48356.11803703133</v>
      </c>
      <c r="K2322" s="16">
        <f t="shared" si="505"/>
        <v>48356.11803703133</v>
      </c>
      <c r="L2322" s="16">
        <f t="shared" si="505"/>
        <v>48356.11803703133</v>
      </c>
      <c r="M2322" s="16">
        <f t="shared" si="505"/>
        <v>48356.11803703133</v>
      </c>
    </row>
    <row r="2323" spans="2:13" ht="15" customHeight="1" x14ac:dyDescent="0.2">
      <c r="B2323" s="10" t="s">
        <v>904</v>
      </c>
      <c r="C2323" s="10" t="s">
        <v>110</v>
      </c>
      <c r="D2323" s="16">
        <f t="shared" ref="D2323:M2323" si="506">D2322*$D$2333</f>
        <v>3333.1025265721869</v>
      </c>
      <c r="E2323" s="16">
        <f t="shared" si="506"/>
        <v>12699.452514116078</v>
      </c>
      <c r="F2323" s="16">
        <f t="shared" si="506"/>
        <v>20734.477067195789</v>
      </c>
      <c r="G2323" s="16">
        <f t="shared" si="506"/>
        <v>24178.059018515665</v>
      </c>
      <c r="H2323" s="16">
        <f t="shared" si="506"/>
        <v>24178.059018515665</v>
      </c>
      <c r="I2323" s="16">
        <f t="shared" si="506"/>
        <v>24178.059018515665</v>
      </c>
      <c r="J2323" s="16">
        <f t="shared" si="506"/>
        <v>24178.059018515665</v>
      </c>
      <c r="K2323" s="16">
        <f t="shared" si="506"/>
        <v>24178.059018515665</v>
      </c>
      <c r="L2323" s="16">
        <f t="shared" si="506"/>
        <v>24178.059018515665</v>
      </c>
      <c r="M2323" s="16">
        <f t="shared" si="506"/>
        <v>24178.059018515665</v>
      </c>
    </row>
    <row r="2324" spans="2:13" ht="15" customHeight="1" x14ac:dyDescent="0.2">
      <c r="B2324" s="10" t="s">
        <v>905</v>
      </c>
      <c r="C2324" s="10" t="s">
        <v>110</v>
      </c>
      <c r="D2324" s="16">
        <f t="shared" ref="D2324:M2324" si="507">D2323-D2316</f>
        <v>1516.125240639745</v>
      </c>
      <c r="E2324" s="16">
        <f t="shared" si="507"/>
        <v>5776.5881323663689</v>
      </c>
      <c r="F2324" s="16">
        <f t="shared" si="507"/>
        <v>9431.4722641822882</v>
      </c>
      <c r="G2324" s="16">
        <f t="shared" si="507"/>
        <v>10997.851177817683</v>
      </c>
      <c r="H2324" s="16">
        <f t="shared" si="507"/>
        <v>10997.851177817683</v>
      </c>
      <c r="I2324" s="16">
        <f t="shared" si="507"/>
        <v>10997.851177817683</v>
      </c>
      <c r="J2324" s="16">
        <f t="shared" si="507"/>
        <v>10997.851177817683</v>
      </c>
      <c r="K2324" s="16">
        <f t="shared" si="507"/>
        <v>10997.851177817683</v>
      </c>
      <c r="L2324" s="16">
        <f t="shared" si="507"/>
        <v>10997.851177817683</v>
      </c>
      <c r="M2324" s="16">
        <f t="shared" si="507"/>
        <v>10997.851177817683</v>
      </c>
    </row>
    <row r="2325" spans="2:13" ht="15" customHeight="1" x14ac:dyDescent="0.2">
      <c r="B2325" s="10" t="s">
        <v>906</v>
      </c>
      <c r="C2325" s="10" t="s">
        <v>110</v>
      </c>
      <c r="D2325" s="16">
        <f>MAX(D2324,Inputs!$D$6)*Inputs!$D$19</f>
        <v>454.83757219192347</v>
      </c>
      <c r="E2325" s="16">
        <f>MAX(E2324,Inputs!$D$6)*Inputs!$D$19</f>
        <v>1732.9764397099107</v>
      </c>
      <c r="F2325" s="16">
        <f>MAX(F2324,Inputs!$D$6)*Inputs!$D$19</f>
        <v>2829.4416792546863</v>
      </c>
      <c r="G2325" s="16">
        <f>MAX(G2324,Inputs!$D$6)*Inputs!$D$19</f>
        <v>3299.355353345305</v>
      </c>
      <c r="H2325" s="16">
        <f>MAX(H2324,Inputs!$D$6)*Inputs!$D$19</f>
        <v>3299.355353345305</v>
      </c>
      <c r="I2325" s="16">
        <f>MAX(I2324,Inputs!$D$6)*Inputs!$D$19</f>
        <v>3299.355353345305</v>
      </c>
      <c r="J2325" s="16">
        <f>MAX(J2324,Inputs!$D$6)*Inputs!$D$19</f>
        <v>3299.355353345305</v>
      </c>
      <c r="K2325" s="16">
        <f>MAX(K2324,Inputs!$D$6)*Inputs!$D$19</f>
        <v>3299.355353345305</v>
      </c>
      <c r="L2325" s="16">
        <f>MAX(L2324,Inputs!$D$6)*Inputs!$D$19</f>
        <v>3299.355353345305</v>
      </c>
      <c r="M2325" s="16">
        <f>MAX(M2324,Inputs!$D$6)*Inputs!$D$19</f>
        <v>3299.355353345305</v>
      </c>
    </row>
    <row r="2326" spans="2:13" ht="15" customHeight="1" x14ac:dyDescent="0.2">
      <c r="B2326" s="10" t="s">
        <v>907</v>
      </c>
      <c r="C2326" s="10" t="s">
        <v>110</v>
      </c>
      <c r="D2326" s="16">
        <f t="shared" ref="D2326:M2326" si="508">D2319*$D$2332</f>
        <v>344.35819513198771</v>
      </c>
      <c r="E2326" s="16">
        <f t="shared" si="508"/>
        <v>459.14426017598356</v>
      </c>
      <c r="F2326" s="16">
        <f t="shared" si="508"/>
        <v>344.35819513198771</v>
      </c>
      <c r="G2326" s="16">
        <f t="shared" si="508"/>
        <v>0</v>
      </c>
      <c r="H2326" s="16">
        <f t="shared" si="508"/>
        <v>0</v>
      </c>
      <c r="I2326" s="16">
        <f t="shared" si="508"/>
        <v>0</v>
      </c>
      <c r="J2326" s="16">
        <f t="shared" si="508"/>
        <v>0</v>
      </c>
      <c r="K2326" s="16">
        <f t="shared" si="508"/>
        <v>0</v>
      </c>
      <c r="L2326" s="16">
        <f t="shared" si="508"/>
        <v>0</v>
      </c>
      <c r="M2326" s="16">
        <f t="shared" si="508"/>
        <v>0</v>
      </c>
    </row>
    <row r="2327" spans="2:13" ht="15" customHeight="1" x14ac:dyDescent="0.2">
      <c r="B2327" s="10" t="s">
        <v>908</v>
      </c>
      <c r="C2327" s="10" t="s">
        <v>110</v>
      </c>
      <c r="D2327" s="16">
        <f t="shared" ref="D2327:M2327" si="509">D2323-D2325-D2317-D2318-D2326</f>
        <v>-13027.061860897878</v>
      </c>
      <c r="E2327" s="16">
        <f t="shared" si="509"/>
        <v>-10240.626345964685</v>
      </c>
      <c r="F2327" s="16">
        <f t="shared" si="509"/>
        <v>1999.70857266296</v>
      </c>
      <c r="G2327" s="16">
        <f t="shared" si="509"/>
        <v>18240.698816603188</v>
      </c>
      <c r="H2327" s="16">
        <f t="shared" si="509"/>
        <v>5996.9154433620788</v>
      </c>
      <c r="I2327" s="16">
        <f t="shared" si="509"/>
        <v>1036.3193694259826</v>
      </c>
      <c r="J2327" s="16">
        <f t="shared" si="509"/>
        <v>5996.9154433620788</v>
      </c>
      <c r="K2327" s="16">
        <f t="shared" si="509"/>
        <v>18240.698816603188</v>
      </c>
      <c r="L2327" s="16">
        <f t="shared" si="509"/>
        <v>5996.9154433620788</v>
      </c>
      <c r="M2327" s="16">
        <f t="shared" si="509"/>
        <v>1036.3193694259826</v>
      </c>
    </row>
    <row r="2328" spans="2:13" ht="15" customHeight="1" x14ac:dyDescent="0.2">
      <c r="B2328" s="10" t="s">
        <v>909</v>
      </c>
      <c r="C2328" s="10" t="s">
        <v>110</v>
      </c>
      <c r="D2328" s="16">
        <f>D2327/(Inputs!$D$7+$D$2334)^D2308</f>
        <v>-12013.686847674735</v>
      </c>
      <c r="E2328" s="16">
        <f>E2327/(Inputs!$D$7+$D$2334)^E2308</f>
        <v>-8430.1881120212456</v>
      </c>
      <c r="F2328" s="16">
        <f>F2327/(Inputs!$D$7+$D$2334)^F2308</f>
        <v>1469.9180372213859</v>
      </c>
      <c r="G2328" s="16">
        <f>G2327/(Inputs!$D$7+$D$2334)^G2308</f>
        <v>11972.464237139346</v>
      </c>
      <c r="H2328" s="16">
        <f>H2327/(Inputs!$D$7+$D$2334)^H2308</f>
        <v>3514.6789998044646</v>
      </c>
      <c r="I2328" s="16">
        <f>I2327/(Inputs!$D$7+$D$2334)^I2308</f>
        <v>542.16598923312995</v>
      </c>
      <c r="J2328" s="16">
        <f>J2327/(Inputs!$D$7+$D$2334)^J2308</f>
        <v>2801.4459343244912</v>
      </c>
      <c r="K2328" s="16">
        <f>K2327/(Inputs!$D$7+$D$2334)^K2308</f>
        <v>7608.7174657573578</v>
      </c>
      <c r="L2328" s="16">
        <f>L2327/(Inputs!$D$7+$D$2334)^L2308</f>
        <v>2233.6420441655468</v>
      </c>
      <c r="M2328" s="16">
        <f>M2327/(Inputs!$D$7+$D$2334)^M2308</f>
        <v>344.55628765389315</v>
      </c>
    </row>
    <row r="2329" spans="2:13" ht="15" customHeight="1" x14ac:dyDescent="0.2">
      <c r="B2329" s="3" t="s">
        <v>910</v>
      </c>
      <c r="C2329" s="10" t="s">
        <v>896</v>
      </c>
      <c r="D2329" s="28">
        <f>(D2315*$D$2333-D2319)/(Inputs!$D$7+$D$2334)^D2308</f>
        <v>51.926080851697769</v>
      </c>
      <c r="E2329" s="28">
        <f>(E2315*$D$2333-E2319)/(Inputs!$D$7+$D$2334)^E2308</f>
        <v>189.83227323767477</v>
      </c>
      <c r="F2329" s="28">
        <f>(F2315*$D$2333-F2319)/(Inputs!$D$7+$D$2334)^F2308</f>
        <v>282.36646466499843</v>
      </c>
      <c r="G2329" s="28">
        <f>(G2315*$D$2333-G2319)/(Inputs!$D$7+$D$2334)^G2308</f>
        <v>298.97195907061871</v>
      </c>
      <c r="H2329" s="28">
        <f>(H2315*$D$2333-H2319)/(Inputs!$D$7+$D$2334)^H2308</f>
        <v>266.95995625267534</v>
      </c>
      <c r="I2329" s="28">
        <f>(I2315*$D$2333-I2319)/(Inputs!$D$7+$D$2334)^I2308</f>
        <v>238.30164269966312</v>
      </c>
      <c r="J2329" s="28">
        <f>(J2315*$D$2333-J2319)/(Inputs!$D$7+$D$2334)^J2308</f>
        <v>212.78582883760038</v>
      </c>
      <c r="K2329" s="28">
        <f>(K2315*$D$2333-K2319)/(Inputs!$D$7+$D$2334)^K2308</f>
        <v>190.00208492548742</v>
      </c>
      <c r="L2329" s="28">
        <f>(L2315*$D$2333-L2319)/(Inputs!$D$7+$D$2334)^L2308</f>
        <v>169.65787840873799</v>
      </c>
      <c r="M2329" s="28">
        <f>(M2315*$D$2333-M2319)/(Inputs!$D$7+$D$2334)^M2308</f>
        <v>151.44500204920459</v>
      </c>
    </row>
    <row r="2330" spans="2:13" ht="15" customHeight="1" x14ac:dyDescent="0.2">
      <c r="B2330" s="10" t="s">
        <v>911</v>
      </c>
      <c r="C2330" s="10" t="s">
        <v>110</v>
      </c>
      <c r="D2330" s="16">
        <f>(-D2317-D2318)/(Inputs!$D$7+$D$2334)^D2308</f>
        <v>-14350.481025200577</v>
      </c>
      <c r="E2330" s="16">
        <f>(-E2317-E2318)/(Inputs!$D$7+$D$2334)^E2308</f>
        <v>-17079.930887207098</v>
      </c>
      <c r="F2330" s="16">
        <f>(-F2317-F2318)/(Inputs!$D$7+$D$2334)^F2308</f>
        <v>-11438.340948315768</v>
      </c>
      <c r="G2330" s="16">
        <f>(-G2317-G2318)/(Inputs!$D$7+$D$2334)^G2308</f>
        <v>-1731.4807411941122</v>
      </c>
      <c r="H2330" s="16">
        <f>(-H2317-H2318)/(Inputs!$D$7+$D$2334)^H2308</f>
        <v>-8721.9353076959778</v>
      </c>
      <c r="I2330" s="16">
        <f>(-I2317-I2318)/(Inputs!$D$7+$D$2334)^I2308</f>
        <v>-10380.8403353543</v>
      </c>
      <c r="J2330" s="16">
        <f>(-J2317-J2318)/(Inputs!$D$7+$D$2334)^J2308</f>
        <v>-6951.9948218729187</v>
      </c>
      <c r="K2330" s="16">
        <f>(-K2317-K2318)/(Inputs!$D$7+$D$2334)^K2308</f>
        <v>-1100.3873134386547</v>
      </c>
      <c r="L2330" s="16">
        <f>(-L2317-L2318)/(Inputs!$D$7+$D$2334)^L2308</f>
        <v>-5542.947566718196</v>
      </c>
      <c r="M2330" s="16">
        <f>(-M2317-M2318)/(Inputs!$D$7+$D$2334)^M2308</f>
        <v>-6597.2117021517279</v>
      </c>
    </row>
    <row r="2331" spans="2:13" ht="15" customHeight="1" x14ac:dyDescent="0.2">
      <c r="B2331" s="10" t="s">
        <v>912</v>
      </c>
      <c r="C2331" s="10" t="s">
        <v>110</v>
      </c>
      <c r="D2331" s="16">
        <f>Prices!I8</f>
        <v>32775</v>
      </c>
    </row>
    <row r="2332" spans="2:13" ht="15" customHeight="1" x14ac:dyDescent="0.2">
      <c r="B2332" s="3" t="s">
        <v>913</v>
      </c>
      <c r="C2332" s="10" t="s">
        <v>914</v>
      </c>
      <c r="D2332" s="28">
        <f>IF(J2339&gt;=J2335,J2339,(D2331-J2338)/J2337)</f>
        <v>53.08026129202122</v>
      </c>
      <c r="G2332" s="99" t="s">
        <v>915</v>
      </c>
      <c r="H2332" s="91"/>
      <c r="I2332" s="91"/>
      <c r="J2332" s="28">
        <f>D2332*Inputs!$D$15</f>
        <v>37.044714355701608</v>
      </c>
      <c r="K2332" s="99" t="s">
        <v>916</v>
      </c>
      <c r="L2332" s="91"/>
      <c r="M2332" s="91"/>
    </row>
    <row r="2333" spans="2:13" ht="15" customHeight="1" x14ac:dyDescent="0.2">
      <c r="B2333" s="10" t="s">
        <v>917</v>
      </c>
      <c r="C2333" s="10" t="s">
        <v>104</v>
      </c>
      <c r="D2333" s="30">
        <f>Inputs!$D$140</f>
        <v>0.5</v>
      </c>
      <c r="G2333" s="99" t="s">
        <v>918</v>
      </c>
      <c r="H2333" s="91"/>
      <c r="I2333" s="91"/>
      <c r="J2333" s="28">
        <f>IF(-D2344/D2343&gt;=J2335,-D2344/D2343,-J2338/J2337)</f>
        <v>40.342352538398764</v>
      </c>
      <c r="K2333" s="99" t="s">
        <v>919</v>
      </c>
      <c r="L2333" s="91"/>
      <c r="M2333" s="91"/>
    </row>
    <row r="2334" spans="2:13" ht="15" customHeight="1" x14ac:dyDescent="0.2">
      <c r="B2334" s="10" t="s">
        <v>920</v>
      </c>
      <c r="C2334" s="10" t="s">
        <v>104</v>
      </c>
      <c r="D2334" s="30">
        <f>Inputs!$D$148</f>
        <v>0.12</v>
      </c>
      <c r="G2334" s="99" t="s">
        <v>918</v>
      </c>
      <c r="H2334" s="91"/>
      <c r="I2334" s="91"/>
      <c r="J2334" s="28">
        <f>J2333*Inputs!$D$15</f>
        <v>28.154927836548495</v>
      </c>
      <c r="K2334" s="99" t="s">
        <v>916</v>
      </c>
      <c r="L2334" s="91"/>
      <c r="M2334" s="91"/>
    </row>
    <row r="2335" spans="2:13" ht="15" customHeight="1" x14ac:dyDescent="0.2">
      <c r="B2335" s="3" t="s">
        <v>921</v>
      </c>
      <c r="C2335" s="10" t="s">
        <v>848</v>
      </c>
      <c r="D2335" s="28">
        <f>Capital!$D$13</f>
        <v>57.347931490590682</v>
      </c>
      <c r="G2335" s="99" t="s">
        <v>922</v>
      </c>
      <c r="H2335" s="91"/>
      <c r="I2335" s="91"/>
      <c r="J2335" s="28">
        <f>($D$2335/Inputs!$D$21+$D$2336/Inputs!$D$22)/$D$2333</f>
        <v>28.93569229571456</v>
      </c>
      <c r="K2335" s="99" t="s">
        <v>919</v>
      </c>
      <c r="L2335" s="91"/>
      <c r="M2335" s="91"/>
    </row>
    <row r="2336" spans="2:13" ht="15" customHeight="1" x14ac:dyDescent="0.2">
      <c r="B2336" s="3" t="s">
        <v>923</v>
      </c>
      <c r="C2336" s="10" t="s">
        <v>848</v>
      </c>
      <c r="D2336" s="28">
        <f>Capital!$D$14</f>
        <v>2.6172655041921802</v>
      </c>
    </row>
    <row r="2337" spans="1:13" ht="15" customHeight="1" x14ac:dyDescent="0.2">
      <c r="B2337" s="10" t="s">
        <v>924</v>
      </c>
      <c r="C2337" s="10" t="s">
        <v>896</v>
      </c>
      <c r="D2337" s="28">
        <f>(M2310*(Inputs!$D$7+Inputs!$D$20)*$D$2333*(Inputs!$D$7-Inputs!$D$19)-M2310*Inputs!$D$20*Inputs!$D$23)/($D$2334-Inputs!$D$20)/(Inputs!$D$7+$D$2334)^M2308</f>
        <v>1141.8156075551869</v>
      </c>
      <c r="G2337" s="92" t="s">
        <v>910</v>
      </c>
      <c r="H2337" s="91"/>
      <c r="I2337" s="91"/>
      <c r="J2337" s="28">
        <f>SUM(D2329:M2329)+(M2310*(Inputs!$D$7+Inputs!$D$20)*$D$2333-M2310*Inputs!$D$20*Inputs!$D$23)/($D$2334-Inputs!$D$20)/(Inputs!$D$7+$D$2334)^M2308</f>
        <v>3684.2683378180759</v>
      </c>
      <c r="K2337" s="99" t="s">
        <v>896</v>
      </c>
      <c r="L2337" s="91"/>
      <c r="M2337" s="91"/>
    </row>
    <row r="2338" spans="1:13" ht="15" customHeight="1" x14ac:dyDescent="0.2">
      <c r="B2338" s="10" t="s">
        <v>925</v>
      </c>
      <c r="C2338" s="10" t="s">
        <v>110</v>
      </c>
      <c r="D2338" s="16">
        <f>(D2341*Inputs!$D$19-D2341-D2342)/($D$2334-Inputs!$D$20)/(Inputs!$D$7+$D$2334)^M2308</f>
        <v>-37876.58483194092</v>
      </c>
      <c r="G2338" s="92" t="s">
        <v>926</v>
      </c>
      <c r="H2338" s="91"/>
      <c r="I2338" s="91"/>
      <c r="J2338" s="16">
        <f>SUM(D2330:M2330)-(D2341+D2342)/($D$2334-Inputs!$D$20)/(Inputs!$D$7+$D$2334)^M2308</f>
        <v>-135956.51483423277</v>
      </c>
      <c r="K2338" s="99" t="s">
        <v>110</v>
      </c>
      <c r="L2338" s="91"/>
      <c r="M2338" s="91"/>
    </row>
    <row r="2339" spans="1:13" ht="15" customHeight="1" x14ac:dyDescent="0.2">
      <c r="B2339" s="10" t="s">
        <v>927</v>
      </c>
      <c r="C2339" s="10" t="s">
        <v>928</v>
      </c>
      <c r="D2339" s="16">
        <f>(M2310*(Inputs!$D$7+Inputs!$D$20)*$D$2332*$D$2333-D2341)-MAX((M2310*(Inputs!$D$7+Inputs!$D$20)*$D$2332*$D$2333-D2341),Inputs!$D$6)*Inputs!$D$19-D2342-M2310*Inputs!$D$20*$D$2332*Inputs!$D$23</f>
        <v>6495.0282847548624</v>
      </c>
      <c r="G2339" s="99" t="s">
        <v>929</v>
      </c>
      <c r="H2339" s="91"/>
      <c r="I2339" s="91"/>
      <c r="J2339" s="28">
        <f>(D2331-D2344)/D2343</f>
        <v>53.08026129202122</v>
      </c>
      <c r="K2339" s="99" t="s">
        <v>919</v>
      </c>
      <c r="L2339" s="91"/>
      <c r="M2339" s="91"/>
    </row>
    <row r="2340" spans="1:13" ht="15" customHeight="1" x14ac:dyDescent="0.2">
      <c r="B2340" s="10" t="s">
        <v>930</v>
      </c>
      <c r="C2340" s="10" t="s">
        <v>110</v>
      </c>
      <c r="D2340" s="16">
        <f>D2339/($D$2334-Inputs!$D$20)</f>
        <v>68368.718786893282</v>
      </c>
      <c r="G2340" s="99" t="s">
        <v>931</v>
      </c>
      <c r="H2340" s="91"/>
      <c r="I2340" s="91"/>
      <c r="J2340" s="16">
        <f>MIN(D2324:M2324,(M2310*(Inputs!$D$7+Inputs!$D$20)*$D$2332*$D$2333-D2341))</f>
        <v>1516.125240639745</v>
      </c>
      <c r="K2340" s="99" t="s">
        <v>110</v>
      </c>
      <c r="L2340" s="91"/>
      <c r="M2340" s="91"/>
    </row>
    <row r="2341" spans="1:13" ht="15" customHeight="1" x14ac:dyDescent="0.2">
      <c r="B2341" s="10" t="s">
        <v>932</v>
      </c>
      <c r="C2341" s="10" t="s">
        <v>928</v>
      </c>
      <c r="D2341" s="16">
        <f>M2310*(Inputs!$D$7+Inputs!$D$20)*($D$2335/Inputs!$D$21+$D$2336/Inputs!$D$22)</f>
        <v>13509.71303671543</v>
      </c>
      <c r="G2341" s="99" t="s">
        <v>933</v>
      </c>
      <c r="H2341" s="91"/>
      <c r="I2341" s="91"/>
      <c r="J2341" s="31" t="str">
        <f>IF(J2340&lt;Inputs!$D$6,"breached","satisfied")</f>
        <v>satisfied</v>
      </c>
      <c r="K2341" s="99" t="s">
        <v>934</v>
      </c>
      <c r="L2341" s="91"/>
      <c r="M2341" s="91"/>
    </row>
    <row r="2342" spans="1:13" ht="15" customHeight="1" x14ac:dyDescent="0.2">
      <c r="B2342" s="10" t="s">
        <v>935</v>
      </c>
      <c r="C2342" s="10" t="s">
        <v>928</v>
      </c>
      <c r="D2342" s="16">
        <f>M2310*Inputs!$D$20*($D$2335+$D$2336)</f>
        <v>1365.7073615561799</v>
      </c>
    </row>
    <row r="2343" spans="1:13" ht="15" customHeight="1" x14ac:dyDescent="0.2">
      <c r="B2343" s="10" t="s">
        <v>936</v>
      </c>
      <c r="C2343" s="10" t="s">
        <v>896</v>
      </c>
      <c r="D2343" s="28">
        <f>SUM(D2320:M2320)+D2337</f>
        <v>2573.0283230894806</v>
      </c>
      <c r="G2343" s="99" t="s">
        <v>937</v>
      </c>
      <c r="H2343" s="91"/>
      <c r="I2343" s="91"/>
      <c r="J2343" s="16">
        <f>D2345-D2331</f>
        <v>0</v>
      </c>
      <c r="K2343" s="99" t="s">
        <v>110</v>
      </c>
      <c r="L2343" s="91"/>
      <c r="M2343" s="91"/>
    </row>
    <row r="2344" spans="1:13" ht="15" customHeight="1" x14ac:dyDescent="0.2">
      <c r="B2344" s="10" t="s">
        <v>938</v>
      </c>
      <c r="C2344" s="10" t="s">
        <v>110</v>
      </c>
      <c r="D2344" s="16">
        <f>SUM(D2321:M2321)+D2338</f>
        <v>-103802.01570136083</v>
      </c>
    </row>
    <row r="2345" spans="1:13" ht="15" customHeight="1" x14ac:dyDescent="0.2">
      <c r="B2345" s="10" t="s">
        <v>939</v>
      </c>
      <c r="C2345" s="10" t="s">
        <v>110</v>
      </c>
      <c r="D2345" s="16">
        <f>SUM(D2328:M2328)+D2340/(Inputs!$D$7+$D$2334)^M2308</f>
        <v>32775</v>
      </c>
    </row>
    <row r="2346" spans="1:13" ht="15" customHeight="1" x14ac:dyDescent="0.2">
      <c r="B2346" s="10" t="s">
        <v>940</v>
      </c>
      <c r="C2346" s="10" t="s">
        <v>104</v>
      </c>
      <c r="D2346" s="30">
        <f>IF(ABS(D2331)&gt;Inputs!$D$6,D2345/D2331-Inputs!$D$7,Inputs!$D$6)</f>
        <v>0</v>
      </c>
    </row>
    <row r="2347" spans="1:13" ht="15" customHeight="1" x14ac:dyDescent="0.2">
      <c r="B2347" s="10" t="s">
        <v>941</v>
      </c>
      <c r="C2347" s="10" t="s">
        <v>104</v>
      </c>
      <c r="D2347" s="30">
        <f>IF(ABS(D2345)&gt;Inputs!$D$119,D2340/(Inputs!$D$7+$D$2334)^M2308/D2345,Inputs!$D$6)</f>
        <v>0.69355563583207835</v>
      </c>
    </row>
    <row r="2348" spans="1:13" ht="15" customHeight="1" x14ac:dyDescent="0.2">
      <c r="B2348" s="10" t="s">
        <v>942</v>
      </c>
      <c r="C2348" s="10" t="s">
        <v>943</v>
      </c>
      <c r="D2348" s="26">
        <f>$D$2332*Inputs!$D$8/Prices!$P$6/(Inputs!$D$26/Inputs!$D$25)/Inputs!$D$11/Inputs!$D$56</f>
        <v>9.6528067484332674</v>
      </c>
    </row>
    <row r="2352" spans="1:13" ht="15" customHeight="1" x14ac:dyDescent="0.2">
      <c r="A2352" s="104" t="s">
        <v>2216</v>
      </c>
      <c r="B2352" s="10" t="s">
        <v>886</v>
      </c>
      <c r="C2352" s="10" t="s">
        <v>107</v>
      </c>
      <c r="D2352" s="28">
        <f>Inputs!$D$60</f>
        <v>1</v>
      </c>
      <c r="E2352" s="28">
        <f>Inputs!$D$62</f>
        <v>2</v>
      </c>
      <c r="F2352" s="28">
        <f>Inputs!$D$64</f>
        <v>3</v>
      </c>
      <c r="G2352" s="28">
        <f>Inputs!$D$66</f>
        <v>4</v>
      </c>
      <c r="H2352" s="28">
        <f>Inputs!$D$68</f>
        <v>5</v>
      </c>
      <c r="I2352" s="28">
        <f>Inputs!$D$70</f>
        <v>6</v>
      </c>
      <c r="J2352" s="28">
        <f>Inputs!$D$72</f>
        <v>7</v>
      </c>
      <c r="K2352" s="28">
        <f>Inputs!$D$74</f>
        <v>8</v>
      </c>
      <c r="L2352" s="28">
        <f>Inputs!$D$76</f>
        <v>9</v>
      </c>
      <c r="M2352" s="28">
        <f>Inputs!$D$78</f>
        <v>10</v>
      </c>
    </row>
    <row r="2353" spans="1:13" ht="15" customHeight="1" x14ac:dyDescent="0.2">
      <c r="A2353" s="91"/>
      <c r="B2353" s="10" t="s">
        <v>887</v>
      </c>
      <c r="C2353" s="10" t="s">
        <v>161</v>
      </c>
      <c r="D2353" s="29">
        <f>Inputs!$D$61</f>
        <v>46568</v>
      </c>
      <c r="E2353" s="29">
        <f>Inputs!$D$63</f>
        <v>46934</v>
      </c>
      <c r="F2353" s="29">
        <f>Inputs!$D$65</f>
        <v>47299</v>
      </c>
      <c r="G2353" s="29">
        <f>Inputs!$D$67</f>
        <v>47664</v>
      </c>
      <c r="H2353" s="29">
        <f>Inputs!$D$69</f>
        <v>48029</v>
      </c>
      <c r="I2353" s="29">
        <f>Inputs!$D$71</f>
        <v>48395</v>
      </c>
      <c r="J2353" s="29">
        <f>Inputs!$D$73</f>
        <v>48760</v>
      </c>
      <c r="K2353" s="29">
        <f>Inputs!$D$75</f>
        <v>49125</v>
      </c>
      <c r="L2353" s="29">
        <f>Inputs!$D$77</f>
        <v>49490</v>
      </c>
      <c r="M2353" s="29">
        <f>Inputs!$D$79</f>
        <v>49856</v>
      </c>
    </row>
    <row r="2354" spans="1:13" ht="15" customHeight="1" x14ac:dyDescent="0.2">
      <c r="A2354" s="91"/>
      <c r="B2354" s="10" t="s">
        <v>888</v>
      </c>
      <c r="C2354" s="10" t="s">
        <v>107</v>
      </c>
      <c r="D2354" s="28">
        <f>(D2353-Inputs!$D$13)/Inputs!$D$10</f>
        <v>0.71457905544147848</v>
      </c>
      <c r="E2354" s="28">
        <f>(E2353-Inputs!$D$13)/Inputs!$D$10</f>
        <v>1.7166324435318274</v>
      </c>
      <c r="F2354" s="28">
        <f>(F2353-Inputs!$D$13)/Inputs!$D$10</f>
        <v>2.7159479808350446</v>
      </c>
      <c r="G2354" s="28">
        <f>(G2353-Inputs!$D$13)/Inputs!$D$10</f>
        <v>3.7152635181382614</v>
      </c>
      <c r="H2354" s="28">
        <f>(H2353-Inputs!$D$13)/Inputs!$D$10</f>
        <v>4.7145790554414786</v>
      </c>
      <c r="I2354" s="28">
        <f>(I2353-Inputs!$D$13)/Inputs!$D$10</f>
        <v>5.7166324435318279</v>
      </c>
      <c r="J2354" s="28">
        <f>(J2353-Inputs!$D$13)/Inputs!$D$10</f>
        <v>6.7159479808350442</v>
      </c>
      <c r="K2354" s="28">
        <f>(K2353-Inputs!$D$13)/Inputs!$D$10</f>
        <v>7.7152635181382614</v>
      </c>
      <c r="L2354" s="28">
        <f>(L2353-Inputs!$D$13)/Inputs!$D$10</f>
        <v>8.7145790554414777</v>
      </c>
      <c r="M2354" s="28">
        <f>(M2353-Inputs!$D$13)/Inputs!$D$10</f>
        <v>9.716632443531827</v>
      </c>
    </row>
    <row r="2355" spans="1:13" ht="15" customHeight="1" x14ac:dyDescent="0.2">
      <c r="A2355" s="91"/>
      <c r="B2355" s="10" t="s">
        <v>889</v>
      </c>
      <c r="C2355" s="10" t="s">
        <v>107</v>
      </c>
      <c r="D2355" s="28">
        <f>D2354</f>
        <v>0.71457905544147848</v>
      </c>
      <c r="E2355" s="28">
        <f>Inputs!$D$7</f>
        <v>1</v>
      </c>
      <c r="F2355" s="28">
        <f>Inputs!$D$7</f>
        <v>1</v>
      </c>
      <c r="G2355" s="28">
        <f>Inputs!$D$7</f>
        <v>1</v>
      </c>
      <c r="H2355" s="28">
        <f>Inputs!$D$7</f>
        <v>1</v>
      </c>
      <c r="I2355" s="28">
        <f>Inputs!$D$7</f>
        <v>1</v>
      </c>
      <c r="J2355" s="28">
        <f>Inputs!$D$7</f>
        <v>1</v>
      </c>
      <c r="K2355" s="28">
        <f>Inputs!$D$7</f>
        <v>1</v>
      </c>
      <c r="L2355" s="28">
        <f>Inputs!$D$7</f>
        <v>1</v>
      </c>
      <c r="M2355" s="28">
        <f>Inputs!$D$7</f>
        <v>1</v>
      </c>
    </row>
    <row r="2356" spans="1:13" ht="15" customHeight="1" x14ac:dyDescent="0.2">
      <c r="A2356" s="91"/>
      <c r="B2356" s="3" t="s">
        <v>890</v>
      </c>
      <c r="C2356" s="10" t="s">
        <v>199</v>
      </c>
      <c r="D2356" s="28">
        <f>Inputs!$D$24+(Inputs!$D$80-Inputs!$D$24)*Inputs!$D$83</f>
        <v>305.5</v>
      </c>
      <c r="E2356" s="28">
        <f>Inputs!$D$24+(Inputs!$D$80-Inputs!$D$24)*Inputs!$D$84</f>
        <v>651.5</v>
      </c>
      <c r="F2356" s="28">
        <f>Inputs!$D$24+(Inputs!$D$80-Inputs!$D$24)*Inputs!$D$85</f>
        <v>911</v>
      </c>
      <c r="G2356" s="28">
        <f>Inputs!$D$24+(Inputs!$D$80-Inputs!$D$24)*Inputs!$D$86</f>
        <v>911</v>
      </c>
      <c r="H2356" s="28">
        <f>Inputs!$D$24+(Inputs!$D$80-Inputs!$D$24)*Inputs!$D$87</f>
        <v>911</v>
      </c>
      <c r="I2356" s="28">
        <f>Inputs!$D$24+(Inputs!$D$80-Inputs!$D$24)*Inputs!$D$88</f>
        <v>911</v>
      </c>
      <c r="J2356" s="28">
        <f>Inputs!$D$24+(Inputs!$D$80-Inputs!$D$24)*Inputs!$D$89</f>
        <v>911</v>
      </c>
      <c r="K2356" s="28">
        <f>Inputs!$D$24+(Inputs!$D$80-Inputs!$D$24)*Inputs!$D$90</f>
        <v>911</v>
      </c>
      <c r="L2356" s="28">
        <f>Inputs!$D$24+(Inputs!$D$80-Inputs!$D$24)*Inputs!$D$91</f>
        <v>911</v>
      </c>
      <c r="M2356" s="28">
        <f>Inputs!$D$24+(Inputs!$D$80-Inputs!$D$24)*Inputs!$D$92</f>
        <v>911</v>
      </c>
    </row>
    <row r="2357" spans="1:13" ht="15" customHeight="1" x14ac:dyDescent="0.2">
      <c r="A2357" s="91"/>
      <c r="B2357" s="10" t="s">
        <v>891</v>
      </c>
      <c r="C2357" s="10" t="s">
        <v>199</v>
      </c>
      <c r="D2357" s="28">
        <f>Inputs!$D$24</f>
        <v>46</v>
      </c>
      <c r="E2357" s="28">
        <f t="shared" ref="E2357:M2357" si="510">D2356</f>
        <v>305.5</v>
      </c>
      <c r="F2357" s="28">
        <f t="shared" si="510"/>
        <v>651.5</v>
      </c>
      <c r="G2357" s="28">
        <f t="shared" si="510"/>
        <v>911</v>
      </c>
      <c r="H2357" s="28">
        <f t="shared" si="510"/>
        <v>911</v>
      </c>
      <c r="I2357" s="28">
        <f t="shared" si="510"/>
        <v>911</v>
      </c>
      <c r="J2357" s="28">
        <f t="shared" si="510"/>
        <v>911</v>
      </c>
      <c r="K2357" s="28">
        <f t="shared" si="510"/>
        <v>911</v>
      </c>
      <c r="L2357" s="28">
        <f t="shared" si="510"/>
        <v>911</v>
      </c>
      <c r="M2357" s="28">
        <f t="shared" si="510"/>
        <v>911</v>
      </c>
    </row>
    <row r="2358" spans="1:13" ht="15" customHeight="1" x14ac:dyDescent="0.2">
      <c r="B2358" s="10" t="s">
        <v>892</v>
      </c>
      <c r="C2358" s="10" t="s">
        <v>199</v>
      </c>
      <c r="D2358" s="28">
        <f>(D2357+D2356)*Inputs!$D$12</f>
        <v>175.75</v>
      </c>
      <c r="E2358" s="28">
        <f>(E2357+E2356)*Inputs!$D$12</f>
        <v>478.5</v>
      </c>
      <c r="F2358" s="28">
        <f>(F2357+F2356)*Inputs!$D$12</f>
        <v>781.25</v>
      </c>
      <c r="G2358" s="28">
        <f>(G2357+G2356)*Inputs!$D$12</f>
        <v>911</v>
      </c>
      <c r="H2358" s="28">
        <f>(H2357+H2356)*Inputs!$D$12</f>
        <v>911</v>
      </c>
      <c r="I2358" s="28">
        <f>(I2357+I2356)*Inputs!$D$12</f>
        <v>911</v>
      </c>
      <c r="J2358" s="28">
        <f>(J2357+J2356)*Inputs!$D$12</f>
        <v>911</v>
      </c>
      <c r="K2358" s="28">
        <f>(K2357+K2356)*Inputs!$D$12</f>
        <v>911</v>
      </c>
      <c r="L2358" s="28">
        <f>(L2357+L2356)*Inputs!$D$12</f>
        <v>911</v>
      </c>
      <c r="M2358" s="28">
        <f>(M2357+M2356)*Inputs!$D$12</f>
        <v>911</v>
      </c>
    </row>
    <row r="2359" spans="1:13" ht="15" customHeight="1" x14ac:dyDescent="0.2">
      <c r="B2359" s="10" t="s">
        <v>893</v>
      </c>
      <c r="C2359" s="10" t="s">
        <v>199</v>
      </c>
      <c r="D2359" s="28">
        <f t="shared" ref="D2359:M2359" si="511">D2356-D2357</f>
        <v>259.5</v>
      </c>
      <c r="E2359" s="28">
        <f t="shared" si="511"/>
        <v>346</v>
      </c>
      <c r="F2359" s="28">
        <f t="shared" si="511"/>
        <v>259.5</v>
      </c>
      <c r="G2359" s="28">
        <f t="shared" si="511"/>
        <v>0</v>
      </c>
      <c r="H2359" s="28">
        <f t="shared" si="511"/>
        <v>0</v>
      </c>
      <c r="I2359" s="28">
        <f t="shared" si="511"/>
        <v>0</v>
      </c>
      <c r="J2359" s="28">
        <f t="shared" si="511"/>
        <v>0</v>
      </c>
      <c r="K2359" s="28">
        <f t="shared" si="511"/>
        <v>0</v>
      </c>
      <c r="L2359" s="28">
        <f t="shared" si="511"/>
        <v>0</v>
      </c>
      <c r="M2359" s="28">
        <f t="shared" si="511"/>
        <v>0</v>
      </c>
    </row>
    <row r="2360" spans="1:13" ht="15" customHeight="1" x14ac:dyDescent="0.2">
      <c r="B2360" s="10" t="s">
        <v>894</v>
      </c>
      <c r="C2360" s="10" t="s">
        <v>199</v>
      </c>
      <c r="D2360" s="28">
        <f>IF(MOD(D2352,Inputs!$D$21)=Inputs!$D$6,Inputs!$D$24,Inputs!$D$6)+SUMPRODUCT(--(D2352&gt;$D$2352:$M$2352),--(MOD(D2352-$D$2352:$M$2352,Inputs!$D$21)=Inputs!$D$6),$D$2359:$M$2359)</f>
        <v>0</v>
      </c>
      <c r="E2360" s="28">
        <f>IF(MOD(E2352,Inputs!$D$21)=Inputs!$D$6,Inputs!$D$24,Inputs!$D$6)+SUMPRODUCT(--(E2352&gt;$D$2352:$M$2352),--(MOD(E2352-$D$2352:$M$2352,Inputs!$D$21)=Inputs!$D$6),$D$2359:$M$2359)</f>
        <v>0</v>
      </c>
      <c r="F2360" s="28">
        <f>IF(MOD(F2352,Inputs!$D$21)=Inputs!$D$6,Inputs!$D$24,Inputs!$D$6)+SUMPRODUCT(--(F2352&gt;$D$2352:$M$2352),--(MOD(F2352-$D$2352:$M$2352,Inputs!$D$21)=Inputs!$D$6),$D$2359:$M$2359)</f>
        <v>0</v>
      </c>
      <c r="G2360" s="28">
        <f>IF(MOD(G2352,Inputs!$D$21)=Inputs!$D$6,Inputs!$D$24,Inputs!$D$6)+SUMPRODUCT(--(G2352&gt;$D$2352:$M$2352),--(MOD(G2352-$D$2352:$M$2352,Inputs!$D$21)=Inputs!$D$6),$D$2359:$M$2359)</f>
        <v>46</v>
      </c>
      <c r="H2360" s="28">
        <f>IF(MOD(H2352,Inputs!$D$21)=Inputs!$D$6,Inputs!$D$24,Inputs!$D$6)+SUMPRODUCT(--(H2352&gt;$D$2352:$M$2352),--(MOD(H2352-$D$2352:$M$2352,Inputs!$D$21)=Inputs!$D$6),$D$2359:$M$2359)</f>
        <v>259.5</v>
      </c>
      <c r="I2360" s="28">
        <f>IF(MOD(I2352,Inputs!$D$21)=Inputs!$D$6,Inputs!$D$24,Inputs!$D$6)+SUMPRODUCT(--(I2352&gt;$D$2352:$M$2352),--(MOD(I2352-$D$2352:$M$2352,Inputs!$D$21)=Inputs!$D$6),$D$2359:$M$2359)</f>
        <v>346</v>
      </c>
      <c r="J2360" s="28">
        <f>IF(MOD(J2352,Inputs!$D$21)=Inputs!$D$6,Inputs!$D$24,Inputs!$D$6)+SUMPRODUCT(--(J2352&gt;$D$2352:$M$2352),--(MOD(J2352-$D$2352:$M$2352,Inputs!$D$21)=Inputs!$D$6),$D$2359:$M$2359)</f>
        <v>259.5</v>
      </c>
      <c r="K2360" s="28">
        <f>IF(MOD(K2352,Inputs!$D$21)=Inputs!$D$6,Inputs!$D$24,Inputs!$D$6)+SUMPRODUCT(--(K2352&gt;$D$2352:$M$2352),--(MOD(K2352-$D$2352:$M$2352,Inputs!$D$21)=Inputs!$D$6),$D$2359:$M$2359)</f>
        <v>46</v>
      </c>
      <c r="L2360" s="28">
        <f>IF(MOD(L2352,Inputs!$D$21)=Inputs!$D$6,Inputs!$D$24,Inputs!$D$6)+SUMPRODUCT(--(L2352&gt;$D$2352:$M$2352),--(MOD(L2352-$D$2352:$M$2352,Inputs!$D$21)=Inputs!$D$6),$D$2359:$M$2359)</f>
        <v>259.5</v>
      </c>
      <c r="M2360" s="28">
        <f>IF(MOD(M2352,Inputs!$D$21)=Inputs!$D$6,Inputs!$D$24,Inputs!$D$6)+SUMPRODUCT(--(M2352&gt;$D$2352:$M$2352),--(MOD(M2352-$D$2352:$M$2352,Inputs!$D$21)=Inputs!$D$6),$D$2359:$M$2359)</f>
        <v>346</v>
      </c>
    </row>
    <row r="2361" spans="1:13" ht="15" customHeight="1" x14ac:dyDescent="0.2">
      <c r="B2361" s="10" t="s">
        <v>895</v>
      </c>
      <c r="C2361" s="10" t="s">
        <v>896</v>
      </c>
      <c r="D2361" s="28">
        <f t="shared" ref="D2361:M2361" si="512">D2358*D2355</f>
        <v>125.58726899383984</v>
      </c>
      <c r="E2361" s="28">
        <f t="shared" si="512"/>
        <v>478.5</v>
      </c>
      <c r="F2361" s="28">
        <f t="shared" si="512"/>
        <v>781.25</v>
      </c>
      <c r="G2361" s="28">
        <f t="shared" si="512"/>
        <v>911</v>
      </c>
      <c r="H2361" s="28">
        <f t="shared" si="512"/>
        <v>911</v>
      </c>
      <c r="I2361" s="28">
        <f t="shared" si="512"/>
        <v>911</v>
      </c>
      <c r="J2361" s="28">
        <f t="shared" si="512"/>
        <v>911</v>
      </c>
      <c r="K2361" s="28">
        <f t="shared" si="512"/>
        <v>911</v>
      </c>
      <c r="L2361" s="28">
        <f t="shared" si="512"/>
        <v>911</v>
      </c>
      <c r="M2361" s="28">
        <f t="shared" si="512"/>
        <v>911</v>
      </c>
    </row>
    <row r="2362" spans="1:13" ht="15" customHeight="1" x14ac:dyDescent="0.2">
      <c r="B2362" s="10" t="s">
        <v>897</v>
      </c>
      <c r="C2362" s="10" t="s">
        <v>110</v>
      </c>
      <c r="D2362" s="16">
        <f>D2361*($D$2381/Inputs!$D$21+$D$2382/Inputs!$D$22)</f>
        <v>1816.9772859324419</v>
      </c>
      <c r="E2362" s="16">
        <f>E2361*($D$2381/Inputs!$D$21+$D$2382/Inputs!$D$22)</f>
        <v>6922.8643817497086</v>
      </c>
      <c r="F2362" s="16">
        <f>F2361*($D$2381/Inputs!$D$21+$D$2382/Inputs!$D$22)</f>
        <v>11303.0048030135</v>
      </c>
      <c r="G2362" s="16">
        <f>G2361*($D$2381/Inputs!$D$21+$D$2382/Inputs!$D$22)</f>
        <v>13180.207840697982</v>
      </c>
      <c r="H2362" s="16">
        <f>H2361*($D$2381/Inputs!$D$21+$D$2382/Inputs!$D$22)</f>
        <v>13180.207840697982</v>
      </c>
      <c r="I2362" s="16">
        <f>I2361*($D$2381/Inputs!$D$21+$D$2382/Inputs!$D$22)</f>
        <v>13180.207840697982</v>
      </c>
      <c r="J2362" s="16">
        <f>J2361*($D$2381/Inputs!$D$21+$D$2382/Inputs!$D$22)</f>
        <v>13180.207840697982</v>
      </c>
      <c r="K2362" s="16">
        <f>K2361*($D$2381/Inputs!$D$21+$D$2382/Inputs!$D$22)</f>
        <v>13180.207840697982</v>
      </c>
      <c r="L2362" s="16">
        <f>L2361*($D$2381/Inputs!$D$21+$D$2382/Inputs!$D$22)</f>
        <v>13180.207840697982</v>
      </c>
      <c r="M2362" s="16">
        <f>M2361*($D$2381/Inputs!$D$21+$D$2382/Inputs!$D$22)</f>
        <v>13180.207840697982</v>
      </c>
    </row>
    <row r="2363" spans="1:13" ht="15" customHeight="1" x14ac:dyDescent="0.2">
      <c r="B2363" s="10" t="s">
        <v>898</v>
      </c>
      <c r="C2363" s="10" t="s">
        <v>110</v>
      </c>
      <c r="D2363" s="16">
        <f t="shared" ref="D2363:M2363" si="513">D2359*($D$2381+$D$2382)</f>
        <v>15560.968620146154</v>
      </c>
      <c r="E2363" s="16">
        <f t="shared" si="513"/>
        <v>20747.95816019487</v>
      </c>
      <c r="F2363" s="16">
        <f t="shared" si="513"/>
        <v>15560.968620146154</v>
      </c>
      <c r="G2363" s="16">
        <f t="shared" si="513"/>
        <v>0</v>
      </c>
      <c r="H2363" s="16">
        <f t="shared" si="513"/>
        <v>0</v>
      </c>
      <c r="I2363" s="16">
        <f t="shared" si="513"/>
        <v>0</v>
      </c>
      <c r="J2363" s="16">
        <f t="shared" si="513"/>
        <v>0</v>
      </c>
      <c r="K2363" s="16">
        <f t="shared" si="513"/>
        <v>0</v>
      </c>
      <c r="L2363" s="16">
        <f t="shared" si="513"/>
        <v>0</v>
      </c>
      <c r="M2363" s="16">
        <f t="shared" si="513"/>
        <v>0</v>
      </c>
    </row>
    <row r="2364" spans="1:13" ht="15" customHeight="1" x14ac:dyDescent="0.2">
      <c r="B2364" s="10" t="s">
        <v>899</v>
      </c>
      <c r="C2364" s="10" t="s">
        <v>110</v>
      </c>
      <c r="D2364" s="16">
        <f t="shared" ref="D2364:M2364" si="514">D2360*$D$2381</f>
        <v>0</v>
      </c>
      <c r="E2364" s="16">
        <f t="shared" si="514"/>
        <v>0</v>
      </c>
      <c r="F2364" s="16">
        <f t="shared" si="514"/>
        <v>0</v>
      </c>
      <c r="G2364" s="16">
        <f t="shared" si="514"/>
        <v>2638.0048485671714</v>
      </c>
      <c r="H2364" s="16">
        <f t="shared" si="514"/>
        <v>14881.788221808281</v>
      </c>
      <c r="I2364" s="16">
        <f t="shared" si="514"/>
        <v>19842.384295744378</v>
      </c>
      <c r="J2364" s="16">
        <f t="shared" si="514"/>
        <v>14881.788221808281</v>
      </c>
      <c r="K2364" s="16">
        <f t="shared" si="514"/>
        <v>2638.0048485671714</v>
      </c>
      <c r="L2364" s="16">
        <f t="shared" si="514"/>
        <v>14881.788221808281</v>
      </c>
      <c r="M2364" s="16">
        <f t="shared" si="514"/>
        <v>19842.384295744378</v>
      </c>
    </row>
    <row r="2365" spans="1:13" ht="15" customHeight="1" x14ac:dyDescent="0.2">
      <c r="B2365" s="10" t="s">
        <v>900</v>
      </c>
      <c r="C2365" s="10" t="s">
        <v>199</v>
      </c>
      <c r="D2365" s="28">
        <f>D2359*Inputs!$D$23</f>
        <v>6.4875000000000007</v>
      </c>
      <c r="E2365" s="28">
        <f>E2359*Inputs!$D$23</f>
        <v>8.65</v>
      </c>
      <c r="F2365" s="28">
        <f>F2359*Inputs!$D$23</f>
        <v>6.4875000000000007</v>
      </c>
      <c r="G2365" s="28">
        <f>G2359*Inputs!$D$23</f>
        <v>0</v>
      </c>
      <c r="H2365" s="28">
        <f>H2359*Inputs!$D$23</f>
        <v>0</v>
      </c>
      <c r="I2365" s="28">
        <f>I2359*Inputs!$D$23</f>
        <v>0</v>
      </c>
      <c r="J2365" s="28">
        <f>J2359*Inputs!$D$23</f>
        <v>0</v>
      </c>
      <c r="K2365" s="28">
        <f>K2359*Inputs!$D$23</f>
        <v>0</v>
      </c>
      <c r="L2365" s="28">
        <f>L2359*Inputs!$D$23</f>
        <v>0</v>
      </c>
      <c r="M2365" s="28">
        <f>M2359*Inputs!$D$23</f>
        <v>0</v>
      </c>
    </row>
    <row r="2366" spans="1:13" ht="15" customHeight="1" x14ac:dyDescent="0.2">
      <c r="B2366" s="3" t="s">
        <v>901</v>
      </c>
      <c r="C2366" s="10" t="s">
        <v>896</v>
      </c>
      <c r="D2366" s="28">
        <f>(D2361*$D$2379*(Inputs!$D$7-Inputs!$D$19)-D2365)/(Inputs!$D$7+$D$2380)^D2354</f>
        <v>34.11913469425</v>
      </c>
      <c r="E2366" s="28">
        <f>(E2361*$D$2379*(Inputs!$D$7-Inputs!$D$19)-E2365)/(Inputs!$D$7+$D$2380)^E2354</f>
        <v>126.83355050421525</v>
      </c>
      <c r="F2366" s="28">
        <f>(F2361*$D$2379*(Inputs!$D$7-Inputs!$D$19)-F2365)/(Inputs!$D$7+$D$2380)^F2354</f>
        <v>187.01623480611519</v>
      </c>
      <c r="G2366" s="28">
        <f>(G2361*$D$2379*(Inputs!$D$7-Inputs!$D$19)-G2365)/(Inputs!$D$7+$D$2380)^G2354</f>
        <v>195.96111556962208</v>
      </c>
      <c r="H2366" s="28">
        <f>(H2361*$D$2379*(Inputs!$D$7-Inputs!$D$19)-H2365)/(Inputs!$D$7+$D$2380)^H2354</f>
        <v>171.91113239136084</v>
      </c>
      <c r="I2366" s="28">
        <f>(I2361*$D$2379*(Inputs!$D$7-Inputs!$D$19)-I2365)/(Inputs!$D$7+$D$2380)^I2354</f>
        <v>150.75867157963424</v>
      </c>
      <c r="J2366" s="28">
        <f>(J2361*$D$2379*(Inputs!$D$7-Inputs!$D$19)-J2365)/(Inputs!$D$7+$D$2380)^J2354</f>
        <v>132.25630949148294</v>
      </c>
      <c r="K2366" s="28">
        <f>(K2361*$D$2379*(Inputs!$D$7-Inputs!$D$19)-K2365)/(Inputs!$D$7+$D$2380)^K2354</f>
        <v>116.02471166023361</v>
      </c>
      <c r="L2366" s="28">
        <f>(L2361*$D$2379*(Inputs!$D$7-Inputs!$D$19)-L2365)/(Inputs!$D$7+$D$2380)^L2354</f>
        <v>101.78519094930031</v>
      </c>
      <c r="M2366" s="28">
        <f>(M2361*$D$2379*(Inputs!$D$7-Inputs!$D$19)-M2365)/(Inputs!$D$7+$D$2380)^M2354</f>
        <v>89.26123608483114</v>
      </c>
    </row>
    <row r="2367" spans="1:13" ht="15" customHeight="1" x14ac:dyDescent="0.2">
      <c r="B2367" s="10" t="s">
        <v>902</v>
      </c>
      <c r="C2367" s="10" t="s">
        <v>110</v>
      </c>
      <c r="D2367" s="16">
        <f>(D2362*Inputs!$D$19-D2363-D2364)/(Inputs!$D$7+$D$2380)^D2354</f>
        <v>-13673.750208995338</v>
      </c>
      <c r="E2367" s="16">
        <f>(E2362*Inputs!$D$19-E2363-E2364)/(Inputs!$D$7+$D$2380)^E2354</f>
        <v>-14910.258198718562</v>
      </c>
      <c r="F2367" s="16">
        <f>(F2362*Inputs!$D$19-F2363-F2364)/(Inputs!$D$7+$D$2380)^F2354</f>
        <v>-8525.9417164238148</v>
      </c>
      <c r="G2367" s="16">
        <f>(G2362*Inputs!$D$19-G2363-G2364)/(Inputs!$D$7+$D$2380)^G2354</f>
        <v>808.83204192410847</v>
      </c>
      <c r="H2367" s="16">
        <f>(H2362*Inputs!$D$19-H2363-H2364)/(Inputs!$D$7+$D$2380)^H2354</f>
        <v>-5891.7915280072548</v>
      </c>
      <c r="I2367" s="16">
        <f>(I2362*Inputs!$D$19-I2363-I2364)/(Inputs!$D$7+$D$2380)^I2354</f>
        <v>-7512.3171078465948</v>
      </c>
      <c r="J2367" s="16">
        <f>(J2362*Inputs!$D$19-J2363-J2364)/(Inputs!$D$7+$D$2380)^J2354</f>
        <v>-4532.7291662153211</v>
      </c>
      <c r="K2367" s="16">
        <f>(K2362*Inputs!$D$19-K2363-K2364)/(Inputs!$D$7+$D$2380)^K2354</f>
        <v>478.89349972832292</v>
      </c>
      <c r="L2367" s="16">
        <f>(L2362*Inputs!$D$19-L2363-L2364)/(Inputs!$D$7+$D$2380)^L2354</f>
        <v>-3488.413562109869</v>
      </c>
      <c r="M2367" s="16">
        <f>(M2362*Inputs!$D$19-M2363-M2364)/(Inputs!$D$7+$D$2380)^M2354</f>
        <v>-4447.8947969066312</v>
      </c>
    </row>
    <row r="2368" spans="1:13" ht="15" customHeight="1" x14ac:dyDescent="0.2">
      <c r="B2368" s="10" t="s">
        <v>903</v>
      </c>
      <c r="C2368" s="10" t="s">
        <v>110</v>
      </c>
      <c r="D2368" s="16">
        <f t="shared" ref="D2368:M2368" si="515">D2361*$D$2378</f>
        <v>7224.7583847580909</v>
      </c>
      <c r="E2368" s="16">
        <f t="shared" si="515"/>
        <v>27527.048838655115</v>
      </c>
      <c r="F2368" s="16">
        <f t="shared" si="515"/>
        <v>44943.588098640139</v>
      </c>
      <c r="G2368" s="16">
        <f t="shared" si="515"/>
        <v>52407.819210062298</v>
      </c>
      <c r="H2368" s="16">
        <f t="shared" si="515"/>
        <v>52407.819210062298</v>
      </c>
      <c r="I2368" s="16">
        <f t="shared" si="515"/>
        <v>52407.819210062298</v>
      </c>
      <c r="J2368" s="16">
        <f t="shared" si="515"/>
        <v>52407.819210062298</v>
      </c>
      <c r="K2368" s="16">
        <f t="shared" si="515"/>
        <v>52407.819210062298</v>
      </c>
      <c r="L2368" s="16">
        <f t="shared" si="515"/>
        <v>52407.819210062298</v>
      </c>
      <c r="M2368" s="16">
        <f t="shared" si="515"/>
        <v>52407.819210062298</v>
      </c>
    </row>
    <row r="2369" spans="2:13" ht="15" customHeight="1" x14ac:dyDescent="0.2">
      <c r="B2369" s="10" t="s">
        <v>904</v>
      </c>
      <c r="C2369" s="10" t="s">
        <v>110</v>
      </c>
      <c r="D2369" s="16">
        <f t="shared" ref="D2369:M2369" si="516">D2368*$D$2379</f>
        <v>3612.3791923790454</v>
      </c>
      <c r="E2369" s="16">
        <f t="shared" si="516"/>
        <v>13763.524419327558</v>
      </c>
      <c r="F2369" s="16">
        <f t="shared" si="516"/>
        <v>22471.794049320069</v>
      </c>
      <c r="G2369" s="16">
        <f t="shared" si="516"/>
        <v>26203.909605031149</v>
      </c>
      <c r="H2369" s="16">
        <f t="shared" si="516"/>
        <v>26203.909605031149</v>
      </c>
      <c r="I2369" s="16">
        <f t="shared" si="516"/>
        <v>26203.909605031149</v>
      </c>
      <c r="J2369" s="16">
        <f t="shared" si="516"/>
        <v>26203.909605031149</v>
      </c>
      <c r="K2369" s="16">
        <f t="shared" si="516"/>
        <v>26203.909605031149</v>
      </c>
      <c r="L2369" s="16">
        <f t="shared" si="516"/>
        <v>26203.909605031149</v>
      </c>
      <c r="M2369" s="16">
        <f t="shared" si="516"/>
        <v>26203.909605031149</v>
      </c>
    </row>
    <row r="2370" spans="2:13" ht="15" customHeight="1" x14ac:dyDescent="0.2">
      <c r="B2370" s="10" t="s">
        <v>905</v>
      </c>
      <c r="C2370" s="10" t="s">
        <v>110</v>
      </c>
      <c r="D2370" s="16">
        <f t="shared" ref="D2370:M2370" si="517">D2369-D2362</f>
        <v>1795.4019064466036</v>
      </c>
      <c r="E2370" s="16">
        <f t="shared" si="517"/>
        <v>6840.6600375778489</v>
      </c>
      <c r="F2370" s="16">
        <f t="shared" si="517"/>
        <v>11168.789246306569</v>
      </c>
      <c r="G2370" s="16">
        <f t="shared" si="517"/>
        <v>13023.701764333167</v>
      </c>
      <c r="H2370" s="16">
        <f t="shared" si="517"/>
        <v>13023.701764333167</v>
      </c>
      <c r="I2370" s="16">
        <f t="shared" si="517"/>
        <v>13023.701764333167</v>
      </c>
      <c r="J2370" s="16">
        <f t="shared" si="517"/>
        <v>13023.701764333167</v>
      </c>
      <c r="K2370" s="16">
        <f t="shared" si="517"/>
        <v>13023.701764333167</v>
      </c>
      <c r="L2370" s="16">
        <f t="shared" si="517"/>
        <v>13023.701764333167</v>
      </c>
      <c r="M2370" s="16">
        <f t="shared" si="517"/>
        <v>13023.701764333167</v>
      </c>
    </row>
    <row r="2371" spans="2:13" ht="15" customHeight="1" x14ac:dyDescent="0.2">
      <c r="B2371" s="10" t="s">
        <v>906</v>
      </c>
      <c r="C2371" s="10" t="s">
        <v>110</v>
      </c>
      <c r="D2371" s="16">
        <f>MAX(D2370,Inputs!$D$6)*Inputs!$D$19</f>
        <v>538.62057193398107</v>
      </c>
      <c r="E2371" s="16">
        <f>MAX(E2370,Inputs!$D$6)*Inputs!$D$19</f>
        <v>2052.1980112733545</v>
      </c>
      <c r="F2371" s="16">
        <f>MAX(F2370,Inputs!$D$6)*Inputs!$D$19</f>
        <v>3350.6367738919707</v>
      </c>
      <c r="G2371" s="16">
        <f>MAX(G2370,Inputs!$D$6)*Inputs!$D$19</f>
        <v>3907.11052929995</v>
      </c>
      <c r="H2371" s="16">
        <f>MAX(H2370,Inputs!$D$6)*Inputs!$D$19</f>
        <v>3907.11052929995</v>
      </c>
      <c r="I2371" s="16">
        <f>MAX(I2370,Inputs!$D$6)*Inputs!$D$19</f>
        <v>3907.11052929995</v>
      </c>
      <c r="J2371" s="16">
        <f>MAX(J2370,Inputs!$D$6)*Inputs!$D$19</f>
        <v>3907.11052929995</v>
      </c>
      <c r="K2371" s="16">
        <f>MAX(K2370,Inputs!$D$6)*Inputs!$D$19</f>
        <v>3907.11052929995</v>
      </c>
      <c r="L2371" s="16">
        <f>MAX(L2370,Inputs!$D$6)*Inputs!$D$19</f>
        <v>3907.11052929995</v>
      </c>
      <c r="M2371" s="16">
        <f>MAX(M2370,Inputs!$D$6)*Inputs!$D$19</f>
        <v>3907.11052929995</v>
      </c>
    </row>
    <row r="2372" spans="2:13" ht="15" customHeight="1" x14ac:dyDescent="0.2">
      <c r="B2372" s="10" t="s">
        <v>907</v>
      </c>
      <c r="C2372" s="10" t="s">
        <v>110</v>
      </c>
      <c r="D2372" s="16">
        <f t="shared" ref="D2372:M2372" si="518">D2365*$D$2378</f>
        <v>373.21155557110779</v>
      </c>
      <c r="E2372" s="16">
        <f t="shared" si="518"/>
        <v>497.61540742814367</v>
      </c>
      <c r="F2372" s="16">
        <f t="shared" si="518"/>
        <v>373.21155557110779</v>
      </c>
      <c r="G2372" s="16">
        <f t="shared" si="518"/>
        <v>0</v>
      </c>
      <c r="H2372" s="16">
        <f t="shared" si="518"/>
        <v>0</v>
      </c>
      <c r="I2372" s="16">
        <f t="shared" si="518"/>
        <v>0</v>
      </c>
      <c r="J2372" s="16">
        <f t="shared" si="518"/>
        <v>0</v>
      </c>
      <c r="K2372" s="16">
        <f t="shared" si="518"/>
        <v>0</v>
      </c>
      <c r="L2372" s="16">
        <f t="shared" si="518"/>
        <v>0</v>
      </c>
      <c r="M2372" s="16">
        <f t="shared" si="518"/>
        <v>0</v>
      </c>
    </row>
    <row r="2373" spans="2:13" ht="15" customHeight="1" x14ac:dyDescent="0.2">
      <c r="B2373" s="10" t="s">
        <v>908</v>
      </c>
      <c r="C2373" s="10" t="s">
        <v>110</v>
      </c>
      <c r="D2373" s="16">
        <f t="shared" ref="D2373:M2373" si="519">D2369-D2371-D2363-D2364-D2372</f>
        <v>-12860.421555272196</v>
      </c>
      <c r="E2373" s="16">
        <f t="shared" si="519"/>
        <v>-9534.2471595688112</v>
      </c>
      <c r="F2373" s="16">
        <f t="shared" si="519"/>
        <v>3186.977099710839</v>
      </c>
      <c r="G2373" s="16">
        <f t="shared" si="519"/>
        <v>19658.794227164028</v>
      </c>
      <c r="H2373" s="16">
        <f t="shared" si="519"/>
        <v>7415.0108539229186</v>
      </c>
      <c r="I2373" s="16">
        <f t="shared" si="519"/>
        <v>2454.4147799868224</v>
      </c>
      <c r="J2373" s="16">
        <f t="shared" si="519"/>
        <v>7415.0108539229186</v>
      </c>
      <c r="K2373" s="16">
        <f t="shared" si="519"/>
        <v>19658.794227164028</v>
      </c>
      <c r="L2373" s="16">
        <f t="shared" si="519"/>
        <v>7415.0108539229186</v>
      </c>
      <c r="M2373" s="16">
        <f t="shared" si="519"/>
        <v>2454.4147799868224</v>
      </c>
    </row>
    <row r="2374" spans="2:13" ht="15" customHeight="1" x14ac:dyDescent="0.2">
      <c r="B2374" s="10" t="s">
        <v>909</v>
      </c>
      <c r="C2374" s="10" t="s">
        <v>110</v>
      </c>
      <c r="D2374" s="16">
        <f>D2373/(Inputs!$D$7+$D$2380)^D2354</f>
        <v>-11710.951698940433</v>
      </c>
      <c r="E2374" s="16">
        <f>E2373/(Inputs!$D$7+$D$2380)^E2354</f>
        <v>-7613.8039895031752</v>
      </c>
      <c r="F2374" s="16">
        <f>F2373/(Inputs!$D$7+$D$2380)^F2354</f>
        <v>2232.6894834284858</v>
      </c>
      <c r="G2374" s="16">
        <f>G2373/(Inputs!$D$7+$D$2380)^G2354</f>
        <v>12082.042488658333</v>
      </c>
      <c r="H2374" s="16">
        <f>H2373/(Inputs!$D$7+$D$2380)^H2354</f>
        <v>3997.8764704159339</v>
      </c>
      <c r="I2374" s="16">
        <f>I2373/(Inputs!$D$7+$D$2380)^I2354</f>
        <v>1160.4965085031631</v>
      </c>
      <c r="J2374" s="16">
        <f>J2373/(Inputs!$D$7+$D$2380)^J2354</f>
        <v>3075.6843982409746</v>
      </c>
      <c r="K2374" s="16">
        <f>K2373/(Inputs!$D$7+$D$2380)^K2354</f>
        <v>7153.5390678832409</v>
      </c>
      <c r="L2374" s="16">
        <f>L2373/(Inputs!$D$7+$D$2380)^L2354</f>
        <v>2367.0638094956207</v>
      </c>
      <c r="M2374" s="16">
        <f>M2373/(Inputs!$D$7+$D$2380)^M2354</f>
        <v>687.1070946416894</v>
      </c>
    </row>
    <row r="2375" spans="2:13" ht="15" customHeight="1" x14ac:dyDescent="0.2">
      <c r="B2375" s="3" t="s">
        <v>910</v>
      </c>
      <c r="C2375" s="10" t="s">
        <v>896</v>
      </c>
      <c r="D2375" s="28">
        <f>(D2361*$D$2379-D2365)/(Inputs!$D$7+$D$2380)^D2354</f>
        <v>51.273468650578494</v>
      </c>
      <c r="E2375" s="28">
        <f>(E2361*$D$2379-E2365)/(Inputs!$D$7+$D$2380)^E2354</f>
        <v>184.15121515046144</v>
      </c>
      <c r="F2375" s="28">
        <f>(F2361*$D$2379-F2365)/(Inputs!$D$7+$D$2380)^F2354</f>
        <v>269.11387487482324</v>
      </c>
      <c r="G2375" s="28">
        <f>(G2361*$D$2379-G2365)/(Inputs!$D$7+$D$2380)^G2354</f>
        <v>279.94445081374585</v>
      </c>
      <c r="H2375" s="28">
        <f>(H2361*$D$2379-H2365)/(Inputs!$D$7+$D$2380)^H2354</f>
        <v>245.58733198765836</v>
      </c>
      <c r="I2375" s="28">
        <f>(I2361*$D$2379-I2365)/(Inputs!$D$7+$D$2380)^I2354</f>
        <v>215.36953082804891</v>
      </c>
      <c r="J2375" s="28">
        <f>(J2361*$D$2379-J2365)/(Inputs!$D$7+$D$2380)^J2354</f>
        <v>188.93758498783279</v>
      </c>
      <c r="K2375" s="28">
        <f>(K2361*$D$2379-K2365)/(Inputs!$D$7+$D$2380)^K2354</f>
        <v>165.74958808604802</v>
      </c>
      <c r="L2375" s="28">
        <f>(L2361*$D$2379-L2365)/(Inputs!$D$7+$D$2380)^L2354</f>
        <v>145.4074156418576</v>
      </c>
      <c r="M2375" s="28">
        <f>(M2361*$D$2379-M2365)/(Inputs!$D$7+$D$2380)^M2354</f>
        <v>127.51605154975879</v>
      </c>
    </row>
    <row r="2376" spans="2:13" ht="15" customHeight="1" x14ac:dyDescent="0.2">
      <c r="B2376" s="10" t="s">
        <v>911</v>
      </c>
      <c r="C2376" s="10" t="s">
        <v>110</v>
      </c>
      <c r="D2376" s="16">
        <f>(-D2363-D2364)/(Inputs!$D$7+$D$2380)^D2354</f>
        <v>-14170.122737893587</v>
      </c>
      <c r="E2376" s="16">
        <f>(-E2363-E2364)/(Inputs!$D$7+$D$2380)^E2354</f>
        <v>-16568.784506031301</v>
      </c>
      <c r="F2376" s="16">
        <f>(-F2363-F2364)/(Inputs!$D$7+$D$2380)^F2354</f>
        <v>-10901.493767656277</v>
      </c>
      <c r="G2376" s="16">
        <f>(-G2363-G2364)/(Inputs!$D$7+$D$2380)^G2354</f>
        <v>-1621.2839046676961</v>
      </c>
      <c r="H2376" s="16">
        <f>(-H2363-H2364)/(Inputs!$D$7+$D$2380)^H2354</f>
        <v>-8023.6633690433682</v>
      </c>
      <c r="I2376" s="16">
        <f>(-I2363-I2364)/(Inputs!$D$7+$D$2380)^I2354</f>
        <v>-9381.8770500204446</v>
      </c>
      <c r="J2376" s="16">
        <f>(-J2363-J2364)/(Inputs!$D$7+$D$2380)^J2354</f>
        <v>-6172.8411129063252</v>
      </c>
      <c r="K2376" s="16">
        <f>(-K2363-K2364)/(Inputs!$D$7+$D$2380)^K2354</f>
        <v>-959.93022397147342</v>
      </c>
      <c r="L2376" s="16">
        <f>(-L2363-L2364)/(Inputs!$D$7+$D$2380)^L2354</f>
        <v>-4750.6528330682277</v>
      </c>
      <c r="M2376" s="16">
        <f>(-M2363-M2364)/(Inputs!$D$7+$D$2380)^M2354</f>
        <v>-5554.82436602912</v>
      </c>
    </row>
    <row r="2377" spans="2:13" ht="15" customHeight="1" x14ac:dyDescent="0.2">
      <c r="B2377" s="10" t="s">
        <v>912</v>
      </c>
      <c r="C2377" s="10" t="s">
        <v>110</v>
      </c>
      <c r="D2377" s="16">
        <f>Prices!I8</f>
        <v>32775</v>
      </c>
    </row>
    <row r="2378" spans="2:13" ht="15" customHeight="1" x14ac:dyDescent="0.2">
      <c r="B2378" s="3" t="s">
        <v>913</v>
      </c>
      <c r="C2378" s="10" t="s">
        <v>914</v>
      </c>
      <c r="D2378" s="28">
        <f>IF(J2385&gt;=J2381,J2385,(D2377-J2384)/J2383)</f>
        <v>57.527792766259381</v>
      </c>
      <c r="G2378" s="99" t="s">
        <v>915</v>
      </c>
      <c r="H2378" s="91"/>
      <c r="I2378" s="91"/>
      <c r="J2378" s="28">
        <f>D2378*Inputs!$D$15</f>
        <v>40.148646571572421</v>
      </c>
      <c r="K2378" s="99" t="s">
        <v>916</v>
      </c>
      <c r="L2378" s="91"/>
      <c r="M2378" s="91"/>
    </row>
    <row r="2379" spans="2:13" ht="15" customHeight="1" x14ac:dyDescent="0.2">
      <c r="B2379" s="10" t="s">
        <v>917</v>
      </c>
      <c r="C2379" s="10" t="s">
        <v>104</v>
      </c>
      <c r="D2379" s="30">
        <f>Inputs!$D$140</f>
        <v>0.5</v>
      </c>
      <c r="G2379" s="99" t="s">
        <v>918</v>
      </c>
      <c r="H2379" s="91"/>
      <c r="I2379" s="91"/>
      <c r="J2379" s="28">
        <f>IF(-D2390/D2389&gt;=J2381,-D2390/D2389,-J2384/J2383)</f>
        <v>41.921619883591745</v>
      </c>
      <c r="K2379" s="99" t="s">
        <v>919</v>
      </c>
      <c r="L2379" s="91"/>
      <c r="M2379" s="91"/>
    </row>
    <row r="2380" spans="2:13" ht="15" customHeight="1" x14ac:dyDescent="0.2">
      <c r="B2380" s="10" t="s">
        <v>920</v>
      </c>
      <c r="C2380" s="10" t="s">
        <v>104</v>
      </c>
      <c r="D2380" s="30">
        <f>Inputs!$D$149</f>
        <v>0.14000000000000001</v>
      </c>
      <c r="G2380" s="99" t="s">
        <v>918</v>
      </c>
      <c r="H2380" s="91"/>
      <c r="I2380" s="91"/>
      <c r="J2380" s="28">
        <f>J2379*Inputs!$D$15</f>
        <v>29.257098516758678</v>
      </c>
      <c r="K2380" s="99" t="s">
        <v>916</v>
      </c>
      <c r="L2380" s="91"/>
      <c r="M2380" s="91"/>
    </row>
    <row r="2381" spans="2:13" ht="15" customHeight="1" x14ac:dyDescent="0.2">
      <c r="B2381" s="3" t="s">
        <v>921</v>
      </c>
      <c r="C2381" s="10" t="s">
        <v>848</v>
      </c>
      <c r="D2381" s="28">
        <f>Capital!$D$13</f>
        <v>57.347931490590682</v>
      </c>
      <c r="G2381" s="99" t="s">
        <v>922</v>
      </c>
      <c r="H2381" s="91"/>
      <c r="I2381" s="91"/>
      <c r="J2381" s="28">
        <f>($D$2381/Inputs!$D$21+$D$2382/Inputs!$D$22)/$D$2379</f>
        <v>28.93569229571456</v>
      </c>
      <c r="K2381" s="99" t="s">
        <v>919</v>
      </c>
      <c r="L2381" s="91"/>
      <c r="M2381" s="91"/>
    </row>
    <row r="2382" spans="2:13" ht="15" customHeight="1" x14ac:dyDescent="0.2">
      <c r="B2382" s="3" t="s">
        <v>923</v>
      </c>
      <c r="C2382" s="10" t="s">
        <v>848</v>
      </c>
      <c r="D2382" s="28">
        <f>Capital!$D$14</f>
        <v>2.6172655041921802</v>
      </c>
    </row>
    <row r="2383" spans="2:13" ht="15" customHeight="1" x14ac:dyDescent="0.2">
      <c r="B2383" s="10" t="s">
        <v>924</v>
      </c>
      <c r="C2383" s="10" t="s">
        <v>896</v>
      </c>
      <c r="D2383" s="28">
        <f>(M2356*(Inputs!$D$7+Inputs!$D$20)*$D$2379*(Inputs!$D$7-Inputs!$D$19)-M2356*Inputs!$D$20*Inputs!$D$23)/($D$2380-Inputs!$D$20)/(Inputs!$D$7+$D$2380)^M2354</f>
        <v>794.20323410882349</v>
      </c>
      <c r="G2383" s="92" t="s">
        <v>910</v>
      </c>
      <c r="H2383" s="91"/>
      <c r="I2383" s="91"/>
      <c r="J2383" s="28">
        <f>SUM(D2375:M2375)+(M2356*(Inputs!$D$7+Inputs!$D$20)*$D$2379-M2356*Inputs!$D$20*Inputs!$D$23)/($D$2380-Inputs!$D$20)/(Inputs!$D$7+$D$2380)^M2354</f>
        <v>3008.2205801713835</v>
      </c>
      <c r="K2383" s="99" t="s">
        <v>896</v>
      </c>
      <c r="L2383" s="91"/>
      <c r="M2383" s="91"/>
    </row>
    <row r="2384" spans="2:13" ht="15" customHeight="1" x14ac:dyDescent="0.2">
      <c r="B2384" s="10" t="s">
        <v>925</v>
      </c>
      <c r="C2384" s="10" t="s">
        <v>110</v>
      </c>
      <c r="D2384" s="16">
        <f>(D2387*Inputs!$D$19-D2387-D2388)/($D$2380-Inputs!$D$20)/(Inputs!$D$7+$D$2380)^M2354</f>
        <v>-26345.502698929216</v>
      </c>
      <c r="G2384" s="92" t="s">
        <v>926</v>
      </c>
      <c r="H2384" s="91"/>
      <c r="I2384" s="91"/>
      <c r="J2384" s="16">
        <f>SUM(D2376:M2376)-(D2387+D2388)/($D$2380-Inputs!$D$20)/(Inputs!$D$7+$D$2380)^M2354</f>
        <v>-114317.08794717836</v>
      </c>
      <c r="K2384" s="99" t="s">
        <v>110</v>
      </c>
      <c r="L2384" s="91"/>
      <c r="M2384" s="91"/>
    </row>
    <row r="2385" spans="1:13" ht="15" customHeight="1" x14ac:dyDescent="0.2">
      <c r="B2385" s="10" t="s">
        <v>927</v>
      </c>
      <c r="C2385" s="10" t="s">
        <v>928</v>
      </c>
      <c r="D2385" s="16">
        <f>(M2356*(Inputs!$D$7+Inputs!$D$20)*$D$2378*$D$2379-D2387)-MAX((M2356*(Inputs!$D$7+Inputs!$D$20)*$D$2378*$D$2379-D2387),Inputs!$D$6)*Inputs!$D$19-D2388-M2356*Inputs!$D$20*$D$2378*Inputs!$D$23</f>
        <v>7946.0437673465767</v>
      </c>
      <c r="G2385" s="99" t="s">
        <v>929</v>
      </c>
      <c r="H2385" s="91"/>
      <c r="I2385" s="91"/>
      <c r="J2385" s="28">
        <f>(D2377-D2390)/D2389</f>
        <v>57.527792766259381</v>
      </c>
      <c r="K2385" s="99" t="s">
        <v>919</v>
      </c>
      <c r="L2385" s="91"/>
      <c r="M2385" s="91"/>
    </row>
    <row r="2386" spans="1:13" ht="15" customHeight="1" x14ac:dyDescent="0.2">
      <c r="B2386" s="10" t="s">
        <v>930</v>
      </c>
      <c r="C2386" s="10" t="s">
        <v>110</v>
      </c>
      <c r="D2386" s="16">
        <f>D2385/($D$2380-Inputs!$D$20)</f>
        <v>69096.032759535432</v>
      </c>
      <c r="G2386" s="99" t="s">
        <v>931</v>
      </c>
      <c r="H2386" s="91"/>
      <c r="I2386" s="91"/>
      <c r="J2386" s="16">
        <f>MIN(D2370:M2370,(M2356*(Inputs!$D$7+Inputs!$D$20)*$D$2378*$D$2379-D2387))</f>
        <v>1795.4019064466036</v>
      </c>
      <c r="K2386" s="99" t="s">
        <v>110</v>
      </c>
      <c r="L2386" s="91"/>
      <c r="M2386" s="91"/>
    </row>
    <row r="2387" spans="1:13" ht="15" customHeight="1" x14ac:dyDescent="0.2">
      <c r="B2387" s="10" t="s">
        <v>932</v>
      </c>
      <c r="C2387" s="10" t="s">
        <v>928</v>
      </c>
      <c r="D2387" s="16">
        <f>M2356*(Inputs!$D$7+Inputs!$D$20)*($D$2381/Inputs!$D$21+$D$2382/Inputs!$D$22)</f>
        <v>13509.71303671543</v>
      </c>
      <c r="G2387" s="99" t="s">
        <v>933</v>
      </c>
      <c r="H2387" s="91"/>
      <c r="I2387" s="91"/>
      <c r="J2387" s="31" t="str">
        <f>IF(J2386&lt;Inputs!$D$6,"breached","satisfied")</f>
        <v>satisfied</v>
      </c>
      <c r="K2387" s="99" t="s">
        <v>934</v>
      </c>
      <c r="L2387" s="91"/>
      <c r="M2387" s="91"/>
    </row>
    <row r="2388" spans="1:13" ht="15" customHeight="1" x14ac:dyDescent="0.2">
      <c r="B2388" s="10" t="s">
        <v>935</v>
      </c>
      <c r="C2388" s="10" t="s">
        <v>928</v>
      </c>
      <c r="D2388" s="16">
        <f>M2356*Inputs!$D$20*($D$2381+$D$2382)</f>
        <v>1365.7073615561799</v>
      </c>
    </row>
    <row r="2389" spans="1:13" ht="15" customHeight="1" x14ac:dyDescent="0.2">
      <c r="B2389" s="10" t="s">
        <v>936</v>
      </c>
      <c r="C2389" s="10" t="s">
        <v>896</v>
      </c>
      <c r="D2389" s="28">
        <f>SUM(D2366:M2366)+D2383</f>
        <v>2100.1305218398693</v>
      </c>
      <c r="G2389" s="99" t="s">
        <v>937</v>
      </c>
      <c r="H2389" s="91"/>
      <c r="I2389" s="91"/>
      <c r="J2389" s="16">
        <f>D2391-D2377</f>
        <v>0</v>
      </c>
      <c r="K2389" s="99" t="s">
        <v>110</v>
      </c>
      <c r="L2389" s="91"/>
      <c r="M2389" s="91"/>
    </row>
    <row r="2390" spans="1:13" ht="15" customHeight="1" x14ac:dyDescent="0.2">
      <c r="B2390" s="10" t="s">
        <v>938</v>
      </c>
      <c r="C2390" s="10" t="s">
        <v>110</v>
      </c>
      <c r="D2390" s="16">
        <f>SUM(D2367:M2367)+D2384</f>
        <v>-88040.873442500175</v>
      </c>
    </row>
    <row r="2391" spans="1:13" ht="15" customHeight="1" x14ac:dyDescent="0.2">
      <c r="B2391" s="10" t="s">
        <v>939</v>
      </c>
      <c r="C2391" s="10" t="s">
        <v>110</v>
      </c>
      <c r="D2391" s="16">
        <f>SUM(D2374:M2374)+D2386/(Inputs!$D$7+$D$2380)^M2354</f>
        <v>32775</v>
      </c>
    </row>
    <row r="2392" spans="1:13" ht="15" customHeight="1" x14ac:dyDescent="0.2">
      <c r="B2392" s="10" t="s">
        <v>940</v>
      </c>
      <c r="C2392" s="10" t="s">
        <v>104</v>
      </c>
      <c r="D2392" s="30">
        <f>IF(ABS(D2377)&gt;Inputs!$D$6,D2391/D2377-Inputs!$D$7,Inputs!$D$6)</f>
        <v>0</v>
      </c>
    </row>
    <row r="2393" spans="1:13" ht="15" customHeight="1" x14ac:dyDescent="0.2">
      <c r="B2393" s="10" t="s">
        <v>941</v>
      </c>
      <c r="C2393" s="10" t="s">
        <v>104</v>
      </c>
      <c r="D2393" s="30">
        <f>IF(ABS(D2391)&gt;Inputs!$D$119,D2386/(Inputs!$D$7+$D$2380)^M2354/D2391,Inputs!$D$6)</f>
        <v>0.59018326063085169</v>
      </c>
    </row>
    <row r="2394" spans="1:13" ht="15" customHeight="1" x14ac:dyDescent="0.2">
      <c r="B2394" s="10" t="s">
        <v>942</v>
      </c>
      <c r="C2394" s="10" t="s">
        <v>943</v>
      </c>
      <c r="D2394" s="26">
        <f>$D$2378*Inputs!$D$8/Prices!$P$6/(Inputs!$D$26/Inputs!$D$25)/Inputs!$D$11/Inputs!$D$56</f>
        <v>10.461603856499664</v>
      </c>
    </row>
    <row r="2398" spans="1:13" ht="15" customHeight="1" x14ac:dyDescent="0.2">
      <c r="A2398" s="104" t="s">
        <v>2217</v>
      </c>
      <c r="B2398" s="10" t="s">
        <v>886</v>
      </c>
      <c r="C2398" s="10" t="s">
        <v>107</v>
      </c>
      <c r="D2398" s="28">
        <f>Inputs!$D$60</f>
        <v>1</v>
      </c>
      <c r="E2398" s="28">
        <f>Inputs!$D$62</f>
        <v>2</v>
      </c>
      <c r="F2398" s="28">
        <f>Inputs!$D$64</f>
        <v>3</v>
      </c>
      <c r="G2398" s="28">
        <f>Inputs!$D$66</f>
        <v>4</v>
      </c>
      <c r="H2398" s="28">
        <f>Inputs!$D$68</f>
        <v>5</v>
      </c>
      <c r="I2398" s="28">
        <f>Inputs!$D$70</f>
        <v>6</v>
      </c>
      <c r="J2398" s="28">
        <f>Inputs!$D$72</f>
        <v>7</v>
      </c>
      <c r="K2398" s="28">
        <f>Inputs!$D$74</f>
        <v>8</v>
      </c>
      <c r="L2398" s="28">
        <f>Inputs!$D$76</f>
        <v>9</v>
      </c>
      <c r="M2398" s="28">
        <f>Inputs!$D$78</f>
        <v>10</v>
      </c>
    </row>
    <row r="2399" spans="1:13" ht="15" customHeight="1" x14ac:dyDescent="0.2">
      <c r="A2399" s="91"/>
      <c r="B2399" s="10" t="s">
        <v>887</v>
      </c>
      <c r="C2399" s="10" t="s">
        <v>161</v>
      </c>
      <c r="D2399" s="29">
        <f>Inputs!$D$61</f>
        <v>46568</v>
      </c>
      <c r="E2399" s="29">
        <f>Inputs!$D$63</f>
        <v>46934</v>
      </c>
      <c r="F2399" s="29">
        <f>Inputs!$D$65</f>
        <v>47299</v>
      </c>
      <c r="G2399" s="29">
        <f>Inputs!$D$67</f>
        <v>47664</v>
      </c>
      <c r="H2399" s="29">
        <f>Inputs!$D$69</f>
        <v>48029</v>
      </c>
      <c r="I2399" s="29">
        <f>Inputs!$D$71</f>
        <v>48395</v>
      </c>
      <c r="J2399" s="29">
        <f>Inputs!$D$73</f>
        <v>48760</v>
      </c>
      <c r="K2399" s="29">
        <f>Inputs!$D$75</f>
        <v>49125</v>
      </c>
      <c r="L2399" s="29">
        <f>Inputs!$D$77</f>
        <v>49490</v>
      </c>
      <c r="M2399" s="29">
        <f>Inputs!$D$79</f>
        <v>49856</v>
      </c>
    </row>
    <row r="2400" spans="1:13" ht="15" customHeight="1" x14ac:dyDescent="0.2">
      <c r="A2400" s="91"/>
      <c r="B2400" s="10" t="s">
        <v>888</v>
      </c>
      <c r="C2400" s="10" t="s">
        <v>107</v>
      </c>
      <c r="D2400" s="28">
        <f>(D2399-Inputs!$D$13)/Inputs!$D$10</f>
        <v>0.71457905544147848</v>
      </c>
      <c r="E2400" s="28">
        <f>(E2399-Inputs!$D$13)/Inputs!$D$10</f>
        <v>1.7166324435318274</v>
      </c>
      <c r="F2400" s="28">
        <f>(F2399-Inputs!$D$13)/Inputs!$D$10</f>
        <v>2.7159479808350446</v>
      </c>
      <c r="G2400" s="28">
        <f>(G2399-Inputs!$D$13)/Inputs!$D$10</f>
        <v>3.7152635181382614</v>
      </c>
      <c r="H2400" s="28">
        <f>(H2399-Inputs!$D$13)/Inputs!$D$10</f>
        <v>4.7145790554414786</v>
      </c>
      <c r="I2400" s="28">
        <f>(I2399-Inputs!$D$13)/Inputs!$D$10</f>
        <v>5.7166324435318279</v>
      </c>
      <c r="J2400" s="28">
        <f>(J2399-Inputs!$D$13)/Inputs!$D$10</f>
        <v>6.7159479808350442</v>
      </c>
      <c r="K2400" s="28">
        <f>(K2399-Inputs!$D$13)/Inputs!$D$10</f>
        <v>7.7152635181382614</v>
      </c>
      <c r="L2400" s="28">
        <f>(L2399-Inputs!$D$13)/Inputs!$D$10</f>
        <v>8.7145790554414777</v>
      </c>
      <c r="M2400" s="28">
        <f>(M2399-Inputs!$D$13)/Inputs!$D$10</f>
        <v>9.716632443531827</v>
      </c>
    </row>
    <row r="2401" spans="1:13" ht="15" customHeight="1" x14ac:dyDescent="0.2">
      <c r="A2401" s="91"/>
      <c r="B2401" s="10" t="s">
        <v>889</v>
      </c>
      <c r="C2401" s="10" t="s">
        <v>107</v>
      </c>
      <c r="D2401" s="28">
        <f>D2400</f>
        <v>0.71457905544147848</v>
      </c>
      <c r="E2401" s="28">
        <f>Inputs!$D$7</f>
        <v>1</v>
      </c>
      <c r="F2401" s="28">
        <f>Inputs!$D$7</f>
        <v>1</v>
      </c>
      <c r="G2401" s="28">
        <f>Inputs!$D$7</f>
        <v>1</v>
      </c>
      <c r="H2401" s="28">
        <f>Inputs!$D$7</f>
        <v>1</v>
      </c>
      <c r="I2401" s="28">
        <f>Inputs!$D$7</f>
        <v>1</v>
      </c>
      <c r="J2401" s="28">
        <f>Inputs!$D$7</f>
        <v>1</v>
      </c>
      <c r="K2401" s="28">
        <f>Inputs!$D$7</f>
        <v>1</v>
      </c>
      <c r="L2401" s="28">
        <f>Inputs!$D$7</f>
        <v>1</v>
      </c>
      <c r="M2401" s="28">
        <f>Inputs!$D$7</f>
        <v>1</v>
      </c>
    </row>
    <row r="2402" spans="1:13" ht="15" customHeight="1" x14ac:dyDescent="0.2">
      <c r="A2402" s="91"/>
      <c r="B2402" s="3" t="s">
        <v>890</v>
      </c>
      <c r="C2402" s="10" t="s">
        <v>199</v>
      </c>
      <c r="D2402" s="28">
        <f>Inputs!$D$24+(Inputs!$D$80-Inputs!$D$24)*Inputs!$D$83</f>
        <v>305.5</v>
      </c>
      <c r="E2402" s="28">
        <f>Inputs!$D$24+(Inputs!$D$80-Inputs!$D$24)*Inputs!$D$84</f>
        <v>651.5</v>
      </c>
      <c r="F2402" s="28">
        <f>Inputs!$D$24+(Inputs!$D$80-Inputs!$D$24)*Inputs!$D$85</f>
        <v>911</v>
      </c>
      <c r="G2402" s="28">
        <f>Inputs!$D$24+(Inputs!$D$80-Inputs!$D$24)*Inputs!$D$86</f>
        <v>911</v>
      </c>
      <c r="H2402" s="28">
        <f>Inputs!$D$24+(Inputs!$D$80-Inputs!$D$24)*Inputs!$D$87</f>
        <v>911</v>
      </c>
      <c r="I2402" s="28">
        <f>Inputs!$D$24+(Inputs!$D$80-Inputs!$D$24)*Inputs!$D$88</f>
        <v>911</v>
      </c>
      <c r="J2402" s="28">
        <f>Inputs!$D$24+(Inputs!$D$80-Inputs!$D$24)*Inputs!$D$89</f>
        <v>911</v>
      </c>
      <c r="K2402" s="28">
        <f>Inputs!$D$24+(Inputs!$D$80-Inputs!$D$24)*Inputs!$D$90</f>
        <v>911</v>
      </c>
      <c r="L2402" s="28">
        <f>Inputs!$D$24+(Inputs!$D$80-Inputs!$D$24)*Inputs!$D$91</f>
        <v>911</v>
      </c>
      <c r="M2402" s="28">
        <f>Inputs!$D$24+(Inputs!$D$80-Inputs!$D$24)*Inputs!$D$92</f>
        <v>911</v>
      </c>
    </row>
    <row r="2403" spans="1:13" ht="15" customHeight="1" x14ac:dyDescent="0.2">
      <c r="A2403" s="91"/>
      <c r="B2403" s="10" t="s">
        <v>891</v>
      </c>
      <c r="C2403" s="10" t="s">
        <v>199</v>
      </c>
      <c r="D2403" s="28">
        <f>Inputs!$D$24</f>
        <v>46</v>
      </c>
      <c r="E2403" s="28">
        <f t="shared" ref="E2403:M2403" si="520">D2402</f>
        <v>305.5</v>
      </c>
      <c r="F2403" s="28">
        <f t="shared" si="520"/>
        <v>651.5</v>
      </c>
      <c r="G2403" s="28">
        <f t="shared" si="520"/>
        <v>911</v>
      </c>
      <c r="H2403" s="28">
        <f t="shared" si="520"/>
        <v>911</v>
      </c>
      <c r="I2403" s="28">
        <f t="shared" si="520"/>
        <v>911</v>
      </c>
      <c r="J2403" s="28">
        <f t="shared" si="520"/>
        <v>911</v>
      </c>
      <c r="K2403" s="28">
        <f t="shared" si="520"/>
        <v>911</v>
      </c>
      <c r="L2403" s="28">
        <f t="shared" si="520"/>
        <v>911</v>
      </c>
      <c r="M2403" s="28">
        <f t="shared" si="520"/>
        <v>911</v>
      </c>
    </row>
    <row r="2404" spans="1:13" ht="15" customHeight="1" x14ac:dyDescent="0.2">
      <c r="B2404" s="10" t="s">
        <v>892</v>
      </c>
      <c r="C2404" s="10" t="s">
        <v>199</v>
      </c>
      <c r="D2404" s="28">
        <f>(D2403+D2402)*Inputs!$D$12</f>
        <v>175.75</v>
      </c>
      <c r="E2404" s="28">
        <f>(E2403+E2402)*Inputs!$D$12</f>
        <v>478.5</v>
      </c>
      <c r="F2404" s="28">
        <f>(F2403+F2402)*Inputs!$D$12</f>
        <v>781.25</v>
      </c>
      <c r="G2404" s="28">
        <f>(G2403+G2402)*Inputs!$D$12</f>
        <v>911</v>
      </c>
      <c r="H2404" s="28">
        <f>(H2403+H2402)*Inputs!$D$12</f>
        <v>911</v>
      </c>
      <c r="I2404" s="28">
        <f>(I2403+I2402)*Inputs!$D$12</f>
        <v>911</v>
      </c>
      <c r="J2404" s="28">
        <f>(J2403+J2402)*Inputs!$D$12</f>
        <v>911</v>
      </c>
      <c r="K2404" s="28">
        <f>(K2403+K2402)*Inputs!$D$12</f>
        <v>911</v>
      </c>
      <c r="L2404" s="28">
        <f>(L2403+L2402)*Inputs!$D$12</f>
        <v>911</v>
      </c>
      <c r="M2404" s="28">
        <f>(M2403+M2402)*Inputs!$D$12</f>
        <v>911</v>
      </c>
    </row>
    <row r="2405" spans="1:13" ht="15" customHeight="1" x14ac:dyDescent="0.2">
      <c r="B2405" s="10" t="s">
        <v>893</v>
      </c>
      <c r="C2405" s="10" t="s">
        <v>199</v>
      </c>
      <c r="D2405" s="28">
        <f t="shared" ref="D2405:M2405" si="521">D2402-D2403</f>
        <v>259.5</v>
      </c>
      <c r="E2405" s="28">
        <f t="shared" si="521"/>
        <v>346</v>
      </c>
      <c r="F2405" s="28">
        <f t="shared" si="521"/>
        <v>259.5</v>
      </c>
      <c r="G2405" s="28">
        <f t="shared" si="521"/>
        <v>0</v>
      </c>
      <c r="H2405" s="28">
        <f t="shared" si="521"/>
        <v>0</v>
      </c>
      <c r="I2405" s="28">
        <f t="shared" si="521"/>
        <v>0</v>
      </c>
      <c r="J2405" s="28">
        <f t="shared" si="521"/>
        <v>0</v>
      </c>
      <c r="K2405" s="28">
        <f t="shared" si="521"/>
        <v>0</v>
      </c>
      <c r="L2405" s="28">
        <f t="shared" si="521"/>
        <v>0</v>
      </c>
      <c r="M2405" s="28">
        <f t="shared" si="521"/>
        <v>0</v>
      </c>
    </row>
    <row r="2406" spans="1:13" ht="15" customHeight="1" x14ac:dyDescent="0.2">
      <c r="B2406" s="10" t="s">
        <v>894</v>
      </c>
      <c r="C2406" s="10" t="s">
        <v>199</v>
      </c>
      <c r="D2406" s="28">
        <f>IF(MOD(D2398,Inputs!$D$21)=Inputs!$D$6,Inputs!$D$24,Inputs!$D$6)+SUMPRODUCT(--(D2398&gt;$D$2398:$M$2398),--(MOD(D2398-$D$2398:$M$2398,Inputs!$D$21)=Inputs!$D$6),$D$2405:$M$2405)</f>
        <v>0</v>
      </c>
      <c r="E2406" s="28">
        <f>IF(MOD(E2398,Inputs!$D$21)=Inputs!$D$6,Inputs!$D$24,Inputs!$D$6)+SUMPRODUCT(--(E2398&gt;$D$2398:$M$2398),--(MOD(E2398-$D$2398:$M$2398,Inputs!$D$21)=Inputs!$D$6),$D$2405:$M$2405)</f>
        <v>0</v>
      </c>
      <c r="F2406" s="28">
        <f>IF(MOD(F2398,Inputs!$D$21)=Inputs!$D$6,Inputs!$D$24,Inputs!$D$6)+SUMPRODUCT(--(F2398&gt;$D$2398:$M$2398),--(MOD(F2398-$D$2398:$M$2398,Inputs!$D$21)=Inputs!$D$6),$D$2405:$M$2405)</f>
        <v>0</v>
      </c>
      <c r="G2406" s="28">
        <f>IF(MOD(G2398,Inputs!$D$21)=Inputs!$D$6,Inputs!$D$24,Inputs!$D$6)+SUMPRODUCT(--(G2398&gt;$D$2398:$M$2398),--(MOD(G2398-$D$2398:$M$2398,Inputs!$D$21)=Inputs!$D$6),$D$2405:$M$2405)</f>
        <v>46</v>
      </c>
      <c r="H2406" s="28">
        <f>IF(MOD(H2398,Inputs!$D$21)=Inputs!$D$6,Inputs!$D$24,Inputs!$D$6)+SUMPRODUCT(--(H2398&gt;$D$2398:$M$2398),--(MOD(H2398-$D$2398:$M$2398,Inputs!$D$21)=Inputs!$D$6),$D$2405:$M$2405)</f>
        <v>259.5</v>
      </c>
      <c r="I2406" s="28">
        <f>IF(MOD(I2398,Inputs!$D$21)=Inputs!$D$6,Inputs!$D$24,Inputs!$D$6)+SUMPRODUCT(--(I2398&gt;$D$2398:$M$2398),--(MOD(I2398-$D$2398:$M$2398,Inputs!$D$21)=Inputs!$D$6),$D$2405:$M$2405)</f>
        <v>346</v>
      </c>
      <c r="J2406" s="28">
        <f>IF(MOD(J2398,Inputs!$D$21)=Inputs!$D$6,Inputs!$D$24,Inputs!$D$6)+SUMPRODUCT(--(J2398&gt;$D$2398:$M$2398),--(MOD(J2398-$D$2398:$M$2398,Inputs!$D$21)=Inputs!$D$6),$D$2405:$M$2405)</f>
        <v>259.5</v>
      </c>
      <c r="K2406" s="28">
        <f>IF(MOD(K2398,Inputs!$D$21)=Inputs!$D$6,Inputs!$D$24,Inputs!$D$6)+SUMPRODUCT(--(K2398&gt;$D$2398:$M$2398),--(MOD(K2398-$D$2398:$M$2398,Inputs!$D$21)=Inputs!$D$6),$D$2405:$M$2405)</f>
        <v>46</v>
      </c>
      <c r="L2406" s="28">
        <f>IF(MOD(L2398,Inputs!$D$21)=Inputs!$D$6,Inputs!$D$24,Inputs!$D$6)+SUMPRODUCT(--(L2398&gt;$D$2398:$M$2398),--(MOD(L2398-$D$2398:$M$2398,Inputs!$D$21)=Inputs!$D$6),$D$2405:$M$2405)</f>
        <v>259.5</v>
      </c>
      <c r="M2406" s="28">
        <f>IF(MOD(M2398,Inputs!$D$21)=Inputs!$D$6,Inputs!$D$24,Inputs!$D$6)+SUMPRODUCT(--(M2398&gt;$D$2398:$M$2398),--(MOD(M2398-$D$2398:$M$2398,Inputs!$D$21)=Inputs!$D$6),$D$2405:$M$2405)</f>
        <v>346</v>
      </c>
    </row>
    <row r="2407" spans="1:13" ht="15" customHeight="1" x14ac:dyDescent="0.2">
      <c r="B2407" s="10" t="s">
        <v>895</v>
      </c>
      <c r="C2407" s="10" t="s">
        <v>896</v>
      </c>
      <c r="D2407" s="28">
        <f t="shared" ref="D2407:M2407" si="522">D2404*D2401</f>
        <v>125.58726899383984</v>
      </c>
      <c r="E2407" s="28">
        <f t="shared" si="522"/>
        <v>478.5</v>
      </c>
      <c r="F2407" s="28">
        <f t="shared" si="522"/>
        <v>781.25</v>
      </c>
      <c r="G2407" s="28">
        <f t="shared" si="522"/>
        <v>911</v>
      </c>
      <c r="H2407" s="28">
        <f t="shared" si="522"/>
        <v>911</v>
      </c>
      <c r="I2407" s="28">
        <f t="shared" si="522"/>
        <v>911</v>
      </c>
      <c r="J2407" s="28">
        <f t="shared" si="522"/>
        <v>911</v>
      </c>
      <c r="K2407" s="28">
        <f t="shared" si="522"/>
        <v>911</v>
      </c>
      <c r="L2407" s="28">
        <f t="shared" si="522"/>
        <v>911</v>
      </c>
      <c r="M2407" s="28">
        <f t="shared" si="522"/>
        <v>911</v>
      </c>
    </row>
    <row r="2408" spans="1:13" ht="15" customHeight="1" x14ac:dyDescent="0.2">
      <c r="B2408" s="10" t="s">
        <v>897</v>
      </c>
      <c r="C2408" s="10" t="s">
        <v>110</v>
      </c>
      <c r="D2408" s="16">
        <f>D2407*($D$2427/Inputs!$D$21+$D$2428/Inputs!$D$22)</f>
        <v>1816.9772859324419</v>
      </c>
      <c r="E2408" s="16">
        <f>E2407*($D$2427/Inputs!$D$21+$D$2428/Inputs!$D$22)</f>
        <v>6922.8643817497086</v>
      </c>
      <c r="F2408" s="16">
        <f>F2407*($D$2427/Inputs!$D$21+$D$2428/Inputs!$D$22)</f>
        <v>11303.0048030135</v>
      </c>
      <c r="G2408" s="16">
        <f>G2407*($D$2427/Inputs!$D$21+$D$2428/Inputs!$D$22)</f>
        <v>13180.207840697982</v>
      </c>
      <c r="H2408" s="16">
        <f>H2407*($D$2427/Inputs!$D$21+$D$2428/Inputs!$D$22)</f>
        <v>13180.207840697982</v>
      </c>
      <c r="I2408" s="16">
        <f>I2407*($D$2427/Inputs!$D$21+$D$2428/Inputs!$D$22)</f>
        <v>13180.207840697982</v>
      </c>
      <c r="J2408" s="16">
        <f>J2407*($D$2427/Inputs!$D$21+$D$2428/Inputs!$D$22)</f>
        <v>13180.207840697982</v>
      </c>
      <c r="K2408" s="16">
        <f>K2407*($D$2427/Inputs!$D$21+$D$2428/Inputs!$D$22)</f>
        <v>13180.207840697982</v>
      </c>
      <c r="L2408" s="16">
        <f>L2407*($D$2427/Inputs!$D$21+$D$2428/Inputs!$D$22)</f>
        <v>13180.207840697982</v>
      </c>
      <c r="M2408" s="16">
        <f>M2407*($D$2427/Inputs!$D$21+$D$2428/Inputs!$D$22)</f>
        <v>13180.207840697982</v>
      </c>
    </row>
    <row r="2409" spans="1:13" ht="15" customHeight="1" x14ac:dyDescent="0.2">
      <c r="B2409" s="10" t="s">
        <v>898</v>
      </c>
      <c r="C2409" s="10" t="s">
        <v>110</v>
      </c>
      <c r="D2409" s="16">
        <f t="shared" ref="D2409:M2409" si="523">D2405*($D$2427+$D$2428)</f>
        <v>15560.968620146154</v>
      </c>
      <c r="E2409" s="16">
        <f t="shared" si="523"/>
        <v>20747.95816019487</v>
      </c>
      <c r="F2409" s="16">
        <f t="shared" si="523"/>
        <v>15560.968620146154</v>
      </c>
      <c r="G2409" s="16">
        <f t="shared" si="523"/>
        <v>0</v>
      </c>
      <c r="H2409" s="16">
        <f t="shared" si="523"/>
        <v>0</v>
      </c>
      <c r="I2409" s="16">
        <f t="shared" si="523"/>
        <v>0</v>
      </c>
      <c r="J2409" s="16">
        <f t="shared" si="523"/>
        <v>0</v>
      </c>
      <c r="K2409" s="16">
        <f t="shared" si="523"/>
        <v>0</v>
      </c>
      <c r="L2409" s="16">
        <f t="shared" si="523"/>
        <v>0</v>
      </c>
      <c r="M2409" s="16">
        <f t="shared" si="523"/>
        <v>0</v>
      </c>
    </row>
    <row r="2410" spans="1:13" ht="15" customHeight="1" x14ac:dyDescent="0.2">
      <c r="B2410" s="10" t="s">
        <v>899</v>
      </c>
      <c r="C2410" s="10" t="s">
        <v>110</v>
      </c>
      <c r="D2410" s="16">
        <f t="shared" ref="D2410:M2410" si="524">D2406*$D$2427</f>
        <v>0</v>
      </c>
      <c r="E2410" s="16">
        <f t="shared" si="524"/>
        <v>0</v>
      </c>
      <c r="F2410" s="16">
        <f t="shared" si="524"/>
        <v>0</v>
      </c>
      <c r="G2410" s="16">
        <f t="shared" si="524"/>
        <v>2638.0048485671714</v>
      </c>
      <c r="H2410" s="16">
        <f t="shared" si="524"/>
        <v>14881.788221808281</v>
      </c>
      <c r="I2410" s="16">
        <f t="shared" si="524"/>
        <v>19842.384295744378</v>
      </c>
      <c r="J2410" s="16">
        <f t="shared" si="524"/>
        <v>14881.788221808281</v>
      </c>
      <c r="K2410" s="16">
        <f t="shared" si="524"/>
        <v>2638.0048485671714</v>
      </c>
      <c r="L2410" s="16">
        <f t="shared" si="524"/>
        <v>14881.788221808281</v>
      </c>
      <c r="M2410" s="16">
        <f t="shared" si="524"/>
        <v>19842.384295744378</v>
      </c>
    </row>
    <row r="2411" spans="1:13" ht="15" customHeight="1" x14ac:dyDescent="0.2">
      <c r="B2411" s="10" t="s">
        <v>900</v>
      </c>
      <c r="C2411" s="10" t="s">
        <v>199</v>
      </c>
      <c r="D2411" s="28">
        <f>D2405*Inputs!$D$23</f>
        <v>6.4875000000000007</v>
      </c>
      <c r="E2411" s="28">
        <f>E2405*Inputs!$D$23</f>
        <v>8.65</v>
      </c>
      <c r="F2411" s="28">
        <f>F2405*Inputs!$D$23</f>
        <v>6.4875000000000007</v>
      </c>
      <c r="G2411" s="28">
        <f>G2405*Inputs!$D$23</f>
        <v>0</v>
      </c>
      <c r="H2411" s="28">
        <f>H2405*Inputs!$D$23</f>
        <v>0</v>
      </c>
      <c r="I2411" s="28">
        <f>I2405*Inputs!$D$23</f>
        <v>0</v>
      </c>
      <c r="J2411" s="28">
        <f>J2405*Inputs!$D$23</f>
        <v>0</v>
      </c>
      <c r="K2411" s="28">
        <f>K2405*Inputs!$D$23</f>
        <v>0</v>
      </c>
      <c r="L2411" s="28">
        <f>L2405*Inputs!$D$23</f>
        <v>0</v>
      </c>
      <c r="M2411" s="28">
        <f>M2405*Inputs!$D$23</f>
        <v>0</v>
      </c>
    </row>
    <row r="2412" spans="1:13" ht="15" customHeight="1" x14ac:dyDescent="0.2">
      <c r="B2412" s="3" t="s">
        <v>901</v>
      </c>
      <c r="C2412" s="10" t="s">
        <v>896</v>
      </c>
      <c r="D2412" s="28">
        <f>(D2407*$D$2425*(Inputs!$D$7-Inputs!$D$19)-D2411)/(Inputs!$D$7+$D$2426)^D2400</f>
        <v>42.951761434492518</v>
      </c>
      <c r="E2412" s="28">
        <f>(E2407*$D$2425*(Inputs!$D$7-Inputs!$D$19)-E2411)/(Inputs!$D$7+$D$2426)^E2400</f>
        <v>165.58374817888472</v>
      </c>
      <c r="F2412" s="28">
        <f>(F2407*$D$2425*(Inputs!$D$7-Inputs!$D$19)-F2411)/(Inputs!$D$7+$D$2426)^F2400</f>
        <v>256.53212636655121</v>
      </c>
      <c r="G2412" s="28">
        <f>(G2407*$D$2425*(Inputs!$D$7-Inputs!$D$19)-G2411)/(Inputs!$D$7+$D$2426)^G2400</f>
        <v>282.67693208077219</v>
      </c>
      <c r="H2412" s="28">
        <f>(H2407*$D$2425*(Inputs!$D$7-Inputs!$D$19)-H2411)/(Inputs!$D$7+$D$2426)^H2400</f>
        <v>261.75168799529297</v>
      </c>
      <c r="I2412" s="28">
        <f>(I2407*$D$2425*(Inputs!$D$7-Inputs!$D$19)-I2411)/(Inputs!$D$7+$D$2426)^I2400</f>
        <v>242.32437630796554</v>
      </c>
      <c r="J2412" s="28">
        <f>(J2407*$D$2425*(Inputs!$D$7-Inputs!$D$19)-J2411)/(Inputs!$D$7+$D$2426)^J2400</f>
        <v>224.38624218156014</v>
      </c>
      <c r="K2412" s="28">
        <f>(K2407*$D$2425*(Inputs!$D$7-Inputs!$D$19)-K2411)/(Inputs!$D$7+$D$2426)^K2400</f>
        <v>207.77598377628297</v>
      </c>
      <c r="L2412" s="28">
        <f>(L2407*$D$2425*(Inputs!$D$7-Inputs!$D$19)-L2411)/(Inputs!$D$7+$D$2426)^L2400</f>
        <v>192.39530469640334</v>
      </c>
      <c r="M2412" s="28">
        <f>(M2407*$D$2425*(Inputs!$D$7-Inputs!$D$19)-M2411)/(Inputs!$D$7+$D$2426)^M2400</f>
        <v>178.11565064663625</v>
      </c>
    </row>
    <row r="2413" spans="1:13" ht="15" customHeight="1" x14ac:dyDescent="0.2">
      <c r="B2413" s="10" t="s">
        <v>902</v>
      </c>
      <c r="C2413" s="10" t="s">
        <v>110</v>
      </c>
      <c r="D2413" s="16">
        <f>(D2408*Inputs!$D$19-D2409-D2410)/(Inputs!$D$7+$D$2426)^D2400</f>
        <v>-14212.377724210151</v>
      </c>
      <c r="E2413" s="16">
        <f>(E2408*Inputs!$D$19-E2409-E2410)/(Inputs!$D$7+$D$2426)^E2400</f>
        <v>-16360.387094728963</v>
      </c>
      <c r="F2413" s="16">
        <f>(F2408*Inputs!$D$19-F2409-F2410)/(Inputs!$D$7+$D$2426)^F2400</f>
        <v>-9874.5154652847668</v>
      </c>
      <c r="G2413" s="16">
        <f>(G2408*Inputs!$D$19-G2409-G2410)/(Inputs!$D$7+$D$2426)^G2400</f>
        <v>988.77347238742834</v>
      </c>
      <c r="H2413" s="16">
        <f>(H2408*Inputs!$D$19-H2409-H2410)/(Inputs!$D$7+$D$2426)^H2400</f>
        <v>-7602.4024163036647</v>
      </c>
      <c r="I2413" s="16">
        <f>(I2408*Inputs!$D$19-I2409-I2410)/(Inputs!$D$7+$D$2426)^I2400</f>
        <v>-10233.087939303265</v>
      </c>
      <c r="J2413" s="16">
        <f>(J2408*Inputs!$D$19-J2409-J2410)/(Inputs!$D$7+$D$2426)^J2400</f>
        <v>-6517.1480757635773</v>
      </c>
      <c r="K2413" s="16">
        <f>(K2408*Inputs!$D$19-K2409-K2410)/(Inputs!$D$7+$D$2426)^K2400</f>
        <v>726.77801985796941</v>
      </c>
      <c r="L2413" s="16">
        <f>(L2408*Inputs!$D$19-L2409-L2410)/(Inputs!$D$7+$D$2426)^L2400</f>
        <v>-5587.9927289550824</v>
      </c>
      <c r="M2413" s="16">
        <f>(M2408*Inputs!$D$19-M2409-M2410)/(Inputs!$D$7+$D$2426)^M2400</f>
        <v>-7521.6251216792398</v>
      </c>
    </row>
    <row r="2414" spans="1:13" ht="15" customHeight="1" x14ac:dyDescent="0.2">
      <c r="B2414" s="10" t="s">
        <v>903</v>
      </c>
      <c r="C2414" s="10" t="s">
        <v>110</v>
      </c>
      <c r="D2414" s="16">
        <f t="shared" ref="D2414:M2414" si="525">D2407*$D$2424</f>
        <v>4727.8640070940946</v>
      </c>
      <c r="E2414" s="16">
        <f t="shared" si="525"/>
        <v>18013.632635848553</v>
      </c>
      <c r="F2414" s="16">
        <f t="shared" si="525"/>
        <v>29410.972824987843</v>
      </c>
      <c r="G2414" s="16">
        <f t="shared" si="525"/>
        <v>34295.54719176182</v>
      </c>
      <c r="H2414" s="16">
        <f t="shared" si="525"/>
        <v>34295.54719176182</v>
      </c>
      <c r="I2414" s="16">
        <f t="shared" si="525"/>
        <v>34295.54719176182</v>
      </c>
      <c r="J2414" s="16">
        <f t="shared" si="525"/>
        <v>34295.54719176182</v>
      </c>
      <c r="K2414" s="16">
        <f t="shared" si="525"/>
        <v>34295.54719176182</v>
      </c>
      <c r="L2414" s="16">
        <f t="shared" si="525"/>
        <v>34295.54719176182</v>
      </c>
      <c r="M2414" s="16">
        <f t="shared" si="525"/>
        <v>34295.54719176182</v>
      </c>
    </row>
    <row r="2415" spans="1:13" ht="15" customHeight="1" x14ac:dyDescent="0.2">
      <c r="B2415" s="10" t="s">
        <v>904</v>
      </c>
      <c r="C2415" s="10" t="s">
        <v>110</v>
      </c>
      <c r="D2415" s="16">
        <f t="shared" ref="D2415:M2415" si="526">D2414*$D$2425</f>
        <v>2789.4397641855157</v>
      </c>
      <c r="E2415" s="16">
        <f t="shared" si="526"/>
        <v>10628.043255150646</v>
      </c>
      <c r="F2415" s="16">
        <f t="shared" si="526"/>
        <v>17352.473966742826</v>
      </c>
      <c r="G2415" s="16">
        <f t="shared" si="526"/>
        <v>20234.372843139474</v>
      </c>
      <c r="H2415" s="16">
        <f t="shared" si="526"/>
        <v>20234.372843139474</v>
      </c>
      <c r="I2415" s="16">
        <f t="shared" si="526"/>
        <v>20234.372843139474</v>
      </c>
      <c r="J2415" s="16">
        <f t="shared" si="526"/>
        <v>20234.372843139474</v>
      </c>
      <c r="K2415" s="16">
        <f t="shared" si="526"/>
        <v>20234.372843139474</v>
      </c>
      <c r="L2415" s="16">
        <f t="shared" si="526"/>
        <v>20234.372843139474</v>
      </c>
      <c r="M2415" s="16">
        <f t="shared" si="526"/>
        <v>20234.372843139474</v>
      </c>
    </row>
    <row r="2416" spans="1:13" ht="15" customHeight="1" x14ac:dyDescent="0.2">
      <c r="B2416" s="10" t="s">
        <v>905</v>
      </c>
      <c r="C2416" s="10" t="s">
        <v>110</v>
      </c>
      <c r="D2416" s="16">
        <f t="shared" ref="D2416:M2416" si="527">D2415-D2408</f>
        <v>972.46247825307387</v>
      </c>
      <c r="E2416" s="16">
        <f t="shared" si="527"/>
        <v>3705.1788734009369</v>
      </c>
      <c r="F2416" s="16">
        <f t="shared" si="527"/>
        <v>6049.4691637293254</v>
      </c>
      <c r="G2416" s="16">
        <f t="shared" si="527"/>
        <v>7054.1650024414921</v>
      </c>
      <c r="H2416" s="16">
        <f t="shared" si="527"/>
        <v>7054.1650024414921</v>
      </c>
      <c r="I2416" s="16">
        <f t="shared" si="527"/>
        <v>7054.1650024414921</v>
      </c>
      <c r="J2416" s="16">
        <f t="shared" si="527"/>
        <v>7054.1650024414921</v>
      </c>
      <c r="K2416" s="16">
        <f t="shared" si="527"/>
        <v>7054.1650024414921</v>
      </c>
      <c r="L2416" s="16">
        <f t="shared" si="527"/>
        <v>7054.1650024414921</v>
      </c>
      <c r="M2416" s="16">
        <f t="shared" si="527"/>
        <v>7054.1650024414921</v>
      </c>
    </row>
    <row r="2417" spans="2:13" ht="15" customHeight="1" x14ac:dyDescent="0.2">
      <c r="B2417" s="10" t="s">
        <v>906</v>
      </c>
      <c r="C2417" s="10" t="s">
        <v>110</v>
      </c>
      <c r="D2417" s="16">
        <f>MAX(D2416,Inputs!$D$6)*Inputs!$D$19</f>
        <v>291.73874347592215</v>
      </c>
      <c r="E2417" s="16">
        <f>MAX(E2416,Inputs!$D$6)*Inputs!$D$19</f>
        <v>1111.5536620202811</v>
      </c>
      <c r="F2417" s="16">
        <f>MAX(F2416,Inputs!$D$6)*Inputs!$D$19</f>
        <v>1814.8407491187975</v>
      </c>
      <c r="G2417" s="16">
        <f>MAX(G2416,Inputs!$D$6)*Inputs!$D$19</f>
        <v>2116.2495007324474</v>
      </c>
      <c r="H2417" s="16">
        <f>MAX(H2416,Inputs!$D$6)*Inputs!$D$19</f>
        <v>2116.2495007324474</v>
      </c>
      <c r="I2417" s="16">
        <f>MAX(I2416,Inputs!$D$6)*Inputs!$D$19</f>
        <v>2116.2495007324474</v>
      </c>
      <c r="J2417" s="16">
        <f>MAX(J2416,Inputs!$D$6)*Inputs!$D$19</f>
        <v>2116.2495007324474</v>
      </c>
      <c r="K2417" s="16">
        <f>MAX(K2416,Inputs!$D$6)*Inputs!$D$19</f>
        <v>2116.2495007324474</v>
      </c>
      <c r="L2417" s="16">
        <f>MAX(L2416,Inputs!$D$6)*Inputs!$D$19</f>
        <v>2116.2495007324474</v>
      </c>
      <c r="M2417" s="16">
        <f>MAX(M2416,Inputs!$D$6)*Inputs!$D$19</f>
        <v>2116.2495007324474</v>
      </c>
    </row>
    <row r="2418" spans="2:13" ht="15" customHeight="1" x14ac:dyDescent="0.2">
      <c r="B2418" s="10" t="s">
        <v>907</v>
      </c>
      <c r="C2418" s="10" t="s">
        <v>110</v>
      </c>
      <c r="D2418" s="16">
        <f t="shared" ref="D2418:M2418" si="528">D2411*$D$2424</f>
        <v>244.22871833869905</v>
      </c>
      <c r="E2418" s="16">
        <f t="shared" si="528"/>
        <v>325.63829111826539</v>
      </c>
      <c r="F2418" s="16">
        <f t="shared" si="528"/>
        <v>244.22871833869905</v>
      </c>
      <c r="G2418" s="16">
        <f t="shared" si="528"/>
        <v>0</v>
      </c>
      <c r="H2418" s="16">
        <f t="shared" si="528"/>
        <v>0</v>
      </c>
      <c r="I2418" s="16">
        <f t="shared" si="528"/>
        <v>0</v>
      </c>
      <c r="J2418" s="16">
        <f t="shared" si="528"/>
        <v>0</v>
      </c>
      <c r="K2418" s="16">
        <f t="shared" si="528"/>
        <v>0</v>
      </c>
      <c r="L2418" s="16">
        <f t="shared" si="528"/>
        <v>0</v>
      </c>
      <c r="M2418" s="16">
        <f t="shared" si="528"/>
        <v>0</v>
      </c>
    </row>
    <row r="2419" spans="2:13" ht="15" customHeight="1" x14ac:dyDescent="0.2">
      <c r="B2419" s="10" t="s">
        <v>908</v>
      </c>
      <c r="C2419" s="10" t="s">
        <v>110</v>
      </c>
      <c r="D2419" s="16">
        <f t="shared" ref="D2419:M2419" si="529">D2415-D2417-D2409-D2410-D2418</f>
        <v>-13307.49631777526</v>
      </c>
      <c r="E2419" s="16">
        <f t="shared" si="529"/>
        <v>-11557.106858182769</v>
      </c>
      <c r="F2419" s="16">
        <f t="shared" si="529"/>
        <v>-267.56412086082423</v>
      </c>
      <c r="G2419" s="16">
        <f t="shared" si="529"/>
        <v>15480.118493839855</v>
      </c>
      <c r="H2419" s="16">
        <f t="shared" si="529"/>
        <v>3236.3351205987456</v>
      </c>
      <c r="I2419" s="16">
        <f t="shared" si="529"/>
        <v>-1724.2609533373507</v>
      </c>
      <c r="J2419" s="16">
        <f t="shared" si="529"/>
        <v>3236.3351205987456</v>
      </c>
      <c r="K2419" s="16">
        <f t="shared" si="529"/>
        <v>15480.118493839855</v>
      </c>
      <c r="L2419" s="16">
        <f t="shared" si="529"/>
        <v>3236.3351205987456</v>
      </c>
      <c r="M2419" s="16">
        <f t="shared" si="529"/>
        <v>-1724.2609533373507</v>
      </c>
    </row>
    <row r="2420" spans="2:13" ht="15" customHeight="1" x14ac:dyDescent="0.2">
      <c r="B2420" s="10" t="s">
        <v>909</v>
      </c>
      <c r="C2420" s="10" t="s">
        <v>110</v>
      </c>
      <c r="D2420" s="16">
        <f>D2419/(Inputs!$D$7+$D$2426)^D2400</f>
        <v>-12595.413771141071</v>
      </c>
      <c r="E2420" s="16">
        <f>E2419/(Inputs!$D$7+$D$2426)^E2400</f>
        <v>-10126.813823754488</v>
      </c>
      <c r="F2420" s="16">
        <f>F2419/(Inputs!$D$7+$D$2426)^F2400</f>
        <v>-217.09543673694554</v>
      </c>
      <c r="G2420" s="16">
        <f>G2419/(Inputs!$D$7+$D$2426)^G2400</f>
        <v>11630.442039015939</v>
      </c>
      <c r="H2420" s="16">
        <f>H2419/(Inputs!$D$7+$D$2426)^H2400</f>
        <v>2251.5134653273863</v>
      </c>
      <c r="I2420" s="16">
        <f>I2419/(Inputs!$D$7+$D$2426)^I2400</f>
        <v>-1110.5335118783646</v>
      </c>
      <c r="J2420" s="16">
        <f>J2419/(Inputs!$D$7+$D$2426)^J2400</f>
        <v>1930.1065432482696</v>
      </c>
      <c r="K2420" s="16">
        <f>K2419/(Inputs!$D$7+$D$2426)^K2400</f>
        <v>8548.7220998955672</v>
      </c>
      <c r="L2420" s="16">
        <f>L2419/(Inputs!$D$7+$D$2426)^L2400</f>
        <v>1654.9296109888207</v>
      </c>
      <c r="M2420" s="16">
        <f>M2419/(Inputs!$D$7+$D$2426)^M2400</f>
        <v>-816.27528376148268</v>
      </c>
    </row>
    <row r="2421" spans="2:13" ht="15" customHeight="1" x14ac:dyDescent="0.2">
      <c r="B2421" s="3" t="s">
        <v>910</v>
      </c>
      <c r="C2421" s="10" t="s">
        <v>896</v>
      </c>
      <c r="D2421" s="28">
        <f>(D2407*$D$2425-D2411)/(Inputs!$D$7+$D$2426)^D2400</f>
        <v>63.991239754664917</v>
      </c>
      <c r="E2421" s="28">
        <f>(E2407*$D$2425-E2411)/(Inputs!$D$7+$D$2426)^E2400</f>
        <v>239.79656319570776</v>
      </c>
      <c r="F2421" s="28">
        <f>(F2407*$D$2425-F2411)/(Inputs!$D$7+$D$2426)^F2400</f>
        <v>368.73038473055669</v>
      </c>
      <c r="G2421" s="28">
        <f>(G2407*$D$2425-G2411)/(Inputs!$D$7+$D$2426)^G2400</f>
        <v>403.82418868681742</v>
      </c>
      <c r="H2421" s="28">
        <f>(H2407*$D$2425-H2411)/(Inputs!$D$7+$D$2426)^H2400</f>
        <v>373.93098285041856</v>
      </c>
      <c r="I2421" s="28">
        <f>(I2407*$D$2425-I2411)/(Inputs!$D$7+$D$2426)^I2400</f>
        <v>346.17768043995079</v>
      </c>
      <c r="J2421" s="28">
        <f>(J2407*$D$2425-J2411)/(Inputs!$D$7+$D$2426)^J2400</f>
        <v>320.55177454508589</v>
      </c>
      <c r="K2421" s="28">
        <f>(K2407*$D$2425-K2411)/(Inputs!$D$7+$D$2426)^K2400</f>
        <v>296.82283396611854</v>
      </c>
      <c r="L2421" s="28">
        <f>(L2407*$D$2425-L2411)/(Inputs!$D$7+$D$2426)^L2400</f>
        <v>274.85043528057622</v>
      </c>
      <c r="M2421" s="28">
        <f>(M2407*$D$2425-M2411)/(Inputs!$D$7+$D$2426)^M2400</f>
        <v>254.45092949519466</v>
      </c>
    </row>
    <row r="2422" spans="2:13" ht="15" customHeight="1" x14ac:dyDescent="0.2">
      <c r="B2422" s="10" t="s">
        <v>911</v>
      </c>
      <c r="C2422" s="10" t="s">
        <v>110</v>
      </c>
      <c r="D2422" s="16">
        <f>(-D2409-D2410)/(Inputs!$D$7+$D$2426)^D2400</f>
        <v>-14728.303038392241</v>
      </c>
      <c r="E2422" s="16">
        <f>(-E2409-E2410)/(Inputs!$D$7+$D$2426)^E2400</f>
        <v>-18180.216908055725</v>
      </c>
      <c r="F2422" s="16">
        <f>(-F2409-F2410)/(Inputs!$D$7+$D$2426)^F2400</f>
        <v>-12625.815702688111</v>
      </c>
      <c r="G2422" s="16">
        <f>(-G2409-G2410)/(Inputs!$D$7+$D$2426)^G2400</f>
        <v>-1981.9720696655354</v>
      </c>
      <c r="H2422" s="16">
        <f>(-H2409-H2410)/(Inputs!$D$7+$D$2426)^H2400</f>
        <v>-10353.237634844469</v>
      </c>
      <c r="I2422" s="16">
        <f>(-I2409-I2410)/(Inputs!$D$7+$D$2426)^I2400</f>
        <v>-12779.755102232404</v>
      </c>
      <c r="J2422" s="16">
        <f>(-J2409-J2410)/(Inputs!$D$7+$D$2426)^J2400</f>
        <v>-8875.2974434962562</v>
      </c>
      <c r="K2422" s="16">
        <f>(-K2409-K2410)/(Inputs!$D$7+$D$2426)^K2400</f>
        <v>-1456.8086386129401</v>
      </c>
      <c r="L2422" s="16">
        <f>(-L2409-L2410)/(Inputs!$D$7+$D$2426)^L2400</f>
        <v>-7609.9387347064285</v>
      </c>
      <c r="M2422" s="16">
        <f>(-M2409-M2410)/(Inputs!$D$7+$D$2426)^M2400</f>
        <v>-9393.5015115686074</v>
      </c>
    </row>
    <row r="2423" spans="2:13" ht="15" customHeight="1" x14ac:dyDescent="0.2">
      <c r="B2423" s="10" t="s">
        <v>912</v>
      </c>
      <c r="C2423" s="10" t="s">
        <v>110</v>
      </c>
      <c r="D2423" s="16">
        <f>Prices!I8</f>
        <v>32775</v>
      </c>
    </row>
    <row r="2424" spans="2:13" ht="15" customHeight="1" x14ac:dyDescent="0.2">
      <c r="B2424" s="3" t="s">
        <v>913</v>
      </c>
      <c r="C2424" s="10" t="s">
        <v>914</v>
      </c>
      <c r="D2424" s="28">
        <f>IF(J2431&gt;=J2427,J2431,(D2423-J2430)/J2429)</f>
        <v>37.646045215984437</v>
      </c>
      <c r="G2424" s="99" t="s">
        <v>915</v>
      </c>
      <c r="H2424" s="91"/>
      <c r="I2424" s="91"/>
      <c r="J2424" s="28">
        <f>D2424*Inputs!$D$15</f>
        <v>26.273174956235536</v>
      </c>
      <c r="K2424" s="99" t="s">
        <v>916</v>
      </c>
      <c r="L2424" s="91"/>
      <c r="M2424" s="91"/>
    </row>
    <row r="2425" spans="2:13" ht="15" customHeight="1" x14ac:dyDescent="0.2">
      <c r="B2425" s="10" t="s">
        <v>917</v>
      </c>
      <c r="C2425" s="10" t="s">
        <v>104</v>
      </c>
      <c r="D2425" s="30">
        <f>Inputs!$D$141</f>
        <v>0.59</v>
      </c>
      <c r="G2425" s="99" t="s">
        <v>918</v>
      </c>
      <c r="H2425" s="91"/>
      <c r="I2425" s="91"/>
      <c r="J2425" s="28">
        <f>IF(-D2436/D2435&gt;=J2427,-D2436/D2435,-J2430/J2429)</f>
        <v>31.541580385595349</v>
      </c>
      <c r="K2425" s="99" t="s">
        <v>919</v>
      </c>
      <c r="L2425" s="91"/>
      <c r="M2425" s="91"/>
    </row>
    <row r="2426" spans="2:13" ht="15" customHeight="1" x14ac:dyDescent="0.2">
      <c r="B2426" s="10" t="s">
        <v>920</v>
      </c>
      <c r="C2426" s="10" t="s">
        <v>104</v>
      </c>
      <c r="D2426" s="30">
        <f>Inputs!$D$146</f>
        <v>0.08</v>
      </c>
      <c r="G2426" s="99" t="s">
        <v>918</v>
      </c>
      <c r="H2426" s="91"/>
      <c r="I2426" s="91"/>
      <c r="J2426" s="28">
        <f>J2425*Inputs!$D$15</f>
        <v>22.012868951106991</v>
      </c>
      <c r="K2426" s="99" t="s">
        <v>916</v>
      </c>
      <c r="L2426" s="91"/>
      <c r="M2426" s="91"/>
    </row>
    <row r="2427" spans="2:13" ht="15" customHeight="1" x14ac:dyDescent="0.2">
      <c r="B2427" s="3" t="s">
        <v>921</v>
      </c>
      <c r="C2427" s="10" t="s">
        <v>848</v>
      </c>
      <c r="D2427" s="28">
        <f>Capital!$D$13</f>
        <v>57.347931490590682</v>
      </c>
      <c r="G2427" s="99" t="s">
        <v>922</v>
      </c>
      <c r="H2427" s="91"/>
      <c r="I2427" s="91"/>
      <c r="J2427" s="28">
        <f>($D$2427/Inputs!$D$21+$D$2428/Inputs!$D$22)/$D$2425</f>
        <v>24.521773131961492</v>
      </c>
      <c r="K2427" s="99" t="s">
        <v>919</v>
      </c>
      <c r="L2427" s="91"/>
      <c r="M2427" s="91"/>
    </row>
    <row r="2428" spans="2:13" ht="15" customHeight="1" x14ac:dyDescent="0.2">
      <c r="B2428" s="3" t="s">
        <v>923</v>
      </c>
      <c r="C2428" s="10" t="s">
        <v>848</v>
      </c>
      <c r="D2428" s="28">
        <f>Capital!$D$14</f>
        <v>2.6172655041921802</v>
      </c>
    </row>
    <row r="2429" spans="2:13" ht="15" customHeight="1" x14ac:dyDescent="0.2">
      <c r="B2429" s="10" t="s">
        <v>924</v>
      </c>
      <c r="C2429" s="10" t="s">
        <v>896</v>
      </c>
      <c r="D2429" s="28">
        <f>(M2402*(Inputs!$D$7+Inputs!$D$20)*$D$2425*(Inputs!$D$7-Inputs!$D$19)-M2402*Inputs!$D$20*Inputs!$D$23)/($D$2426-Inputs!$D$20)/(Inputs!$D$7+$D$2426)^M2400</f>
        <v>3314.5272079389447</v>
      </c>
      <c r="G2429" s="92" t="s">
        <v>910</v>
      </c>
      <c r="H2429" s="91"/>
      <c r="I2429" s="91"/>
      <c r="J2429" s="28">
        <f>SUM(D2421:M2421)+(M2402*(Inputs!$D$7+Inputs!$D$20)*$D$2425-M2402*Inputs!$D$20*Inputs!$D$23)/($D$2426-Inputs!$D$20)/(Inputs!$D$7+$D$2426)^M2400</f>
        <v>7680.2662357889876</v>
      </c>
      <c r="K2429" s="99" t="s">
        <v>896</v>
      </c>
      <c r="L2429" s="91"/>
      <c r="M2429" s="91"/>
    </row>
    <row r="2430" spans="2:13" ht="15" customHeight="1" x14ac:dyDescent="0.2">
      <c r="B2430" s="10" t="s">
        <v>925</v>
      </c>
      <c r="C2430" s="10" t="s">
        <v>110</v>
      </c>
      <c r="D2430" s="16">
        <f>(D2433*Inputs!$D$19-D2433-D2434)/($D$2426-Inputs!$D$20)/(Inputs!$D$7+$D$2426)^M2400</f>
        <v>-93153.423070883771</v>
      </c>
      <c r="G2430" s="92" t="s">
        <v>926</v>
      </c>
      <c r="H2430" s="91"/>
      <c r="I2430" s="91"/>
      <c r="J2430" s="16">
        <f>SUM(D2422:M2422)-(D2433+D2434)/($D$2426-Inputs!$D$20)/(Inputs!$D$7+$D$2426)^M2400</f>
        <v>-226023.23893944838</v>
      </c>
      <c r="K2430" s="99" t="s">
        <v>110</v>
      </c>
      <c r="L2430" s="91"/>
      <c r="M2430" s="91"/>
    </row>
    <row r="2431" spans="2:13" ht="15" customHeight="1" x14ac:dyDescent="0.2">
      <c r="B2431" s="10" t="s">
        <v>927</v>
      </c>
      <c r="C2431" s="10" t="s">
        <v>928</v>
      </c>
      <c r="D2431" s="16">
        <f>(M2402*(Inputs!$D$7+Inputs!$D$20)*$D$2424*$D$2425-D2433)-MAX((M2402*(Inputs!$D$7+Inputs!$D$20)*$D$2424*$D$2425-D2433),Inputs!$D$6)*Inputs!$D$19-D2434-M2402*Inputs!$D$20*$D$2424*Inputs!$D$23</f>
        <v>3674.2213107007401</v>
      </c>
      <c r="G2431" s="99" t="s">
        <v>929</v>
      </c>
      <c r="H2431" s="91"/>
      <c r="I2431" s="91"/>
      <c r="J2431" s="28">
        <f>(D2423-D2436)/D2435</f>
        <v>37.646045215984437</v>
      </c>
      <c r="K2431" s="99" t="s">
        <v>919</v>
      </c>
      <c r="L2431" s="91"/>
      <c r="M2431" s="91"/>
    </row>
    <row r="2432" spans="2:13" ht="15" customHeight="1" x14ac:dyDescent="0.2">
      <c r="B2432" s="10" t="s">
        <v>930</v>
      </c>
      <c r="C2432" s="10" t="s">
        <v>110</v>
      </c>
      <c r="D2432" s="16">
        <f>D2431/($D$2426-Inputs!$D$20)</f>
        <v>66804.023830922553</v>
      </c>
      <c r="G2432" s="99" t="s">
        <v>931</v>
      </c>
      <c r="H2432" s="91"/>
      <c r="I2432" s="91"/>
      <c r="J2432" s="16">
        <f>MIN(D2416:M2416,(M2402*(Inputs!$D$7+Inputs!$D$20)*$D$2424*$D$2425-D2433))</f>
        <v>972.46247825307387</v>
      </c>
      <c r="K2432" s="99" t="s">
        <v>110</v>
      </c>
      <c r="L2432" s="91"/>
      <c r="M2432" s="91"/>
    </row>
    <row r="2433" spans="1:13" ht="15" customHeight="1" x14ac:dyDescent="0.2">
      <c r="B2433" s="10" t="s">
        <v>932</v>
      </c>
      <c r="C2433" s="10" t="s">
        <v>928</v>
      </c>
      <c r="D2433" s="16">
        <f>M2402*(Inputs!$D$7+Inputs!$D$20)*($D$2427/Inputs!$D$21+$D$2428/Inputs!$D$22)</f>
        <v>13509.71303671543</v>
      </c>
      <c r="G2433" s="99" t="s">
        <v>933</v>
      </c>
      <c r="H2433" s="91"/>
      <c r="I2433" s="91"/>
      <c r="J2433" s="31" t="str">
        <f>IF(J2432&lt;Inputs!$D$6,"breached","satisfied")</f>
        <v>satisfied</v>
      </c>
      <c r="K2433" s="99" t="s">
        <v>934</v>
      </c>
      <c r="L2433" s="91"/>
      <c r="M2433" s="91"/>
    </row>
    <row r="2434" spans="1:13" ht="15" customHeight="1" x14ac:dyDescent="0.2">
      <c r="B2434" s="10" t="s">
        <v>935</v>
      </c>
      <c r="C2434" s="10" t="s">
        <v>928</v>
      </c>
      <c r="D2434" s="16">
        <f>M2402*Inputs!$D$20*($D$2427+$D$2428)</f>
        <v>1365.7073615561799</v>
      </c>
    </row>
    <row r="2435" spans="1:13" ht="15" customHeight="1" x14ac:dyDescent="0.2">
      <c r="B2435" s="10" t="s">
        <v>936</v>
      </c>
      <c r="C2435" s="10" t="s">
        <v>896</v>
      </c>
      <c r="D2435" s="28">
        <f>SUM(D2412:M2412)+D2429</f>
        <v>5369.0210216037867</v>
      </c>
      <c r="G2435" s="99" t="s">
        <v>937</v>
      </c>
      <c r="H2435" s="91"/>
      <c r="I2435" s="91"/>
      <c r="J2435" s="16">
        <f>D2437-D2423</f>
        <v>0</v>
      </c>
      <c r="K2435" s="99" t="s">
        <v>110</v>
      </c>
      <c r="L2435" s="91"/>
      <c r="M2435" s="91"/>
    </row>
    <row r="2436" spans="1:13" ht="15" customHeight="1" x14ac:dyDescent="0.2">
      <c r="B2436" s="10" t="s">
        <v>938</v>
      </c>
      <c r="C2436" s="10" t="s">
        <v>110</v>
      </c>
      <c r="D2436" s="16">
        <f>SUM(D2413:M2413)+D2430</f>
        <v>-169347.40814486711</v>
      </c>
    </row>
    <row r="2437" spans="1:13" ht="15" customHeight="1" x14ac:dyDescent="0.2">
      <c r="B2437" s="10" t="s">
        <v>939</v>
      </c>
      <c r="C2437" s="10" t="s">
        <v>110</v>
      </c>
      <c r="D2437" s="16">
        <f>SUM(D2420:M2420)+D2432/(Inputs!$D$7+$D$2426)^M2400</f>
        <v>32775.000000000036</v>
      </c>
    </row>
    <row r="2438" spans="1:13" ht="15" customHeight="1" x14ac:dyDescent="0.2">
      <c r="B2438" s="10" t="s">
        <v>940</v>
      </c>
      <c r="C2438" s="10" t="s">
        <v>104</v>
      </c>
      <c r="D2438" s="30">
        <f>IF(ABS(D2423)&gt;Inputs!$D$6,D2437/D2423-Inputs!$D$7,Inputs!$D$6)</f>
        <v>1.1102230246251565E-15</v>
      </c>
    </row>
    <row r="2439" spans="1:13" ht="15" customHeight="1" x14ac:dyDescent="0.2">
      <c r="B2439" s="10" t="s">
        <v>941</v>
      </c>
      <c r="C2439" s="10" t="s">
        <v>104</v>
      </c>
      <c r="D2439" s="30">
        <f>IF(ABS(D2437)&gt;Inputs!$D$119,D2432/(Inputs!$D$7+$D$2426)^M2400/D2437,Inputs!$D$6)</f>
        <v>0.96492503642399297</v>
      </c>
    </row>
    <row r="2440" spans="1:13" ht="15" customHeight="1" x14ac:dyDescent="0.2">
      <c r="B2440" s="10" t="s">
        <v>942</v>
      </c>
      <c r="C2440" s="10" t="s">
        <v>943</v>
      </c>
      <c r="D2440" s="26">
        <f>$D$2424*Inputs!$D$8/Prices!$P$6/(Inputs!$D$26/Inputs!$D$25)/Inputs!$D$11/Inputs!$D$56</f>
        <v>6.8460476732299265</v>
      </c>
    </row>
    <row r="2444" spans="1:13" ht="15" customHeight="1" x14ac:dyDescent="0.2">
      <c r="A2444" s="104" t="s">
        <v>2218</v>
      </c>
      <c r="B2444" s="10" t="s">
        <v>886</v>
      </c>
      <c r="C2444" s="10" t="s">
        <v>107</v>
      </c>
      <c r="D2444" s="28">
        <f>Inputs!$D$60</f>
        <v>1</v>
      </c>
      <c r="E2444" s="28">
        <f>Inputs!$D$62</f>
        <v>2</v>
      </c>
      <c r="F2444" s="28">
        <f>Inputs!$D$64</f>
        <v>3</v>
      </c>
      <c r="G2444" s="28">
        <f>Inputs!$D$66</f>
        <v>4</v>
      </c>
      <c r="H2444" s="28">
        <f>Inputs!$D$68</f>
        <v>5</v>
      </c>
      <c r="I2444" s="28">
        <f>Inputs!$D$70</f>
        <v>6</v>
      </c>
      <c r="J2444" s="28">
        <f>Inputs!$D$72</f>
        <v>7</v>
      </c>
      <c r="K2444" s="28">
        <f>Inputs!$D$74</f>
        <v>8</v>
      </c>
      <c r="L2444" s="28">
        <f>Inputs!$D$76</f>
        <v>9</v>
      </c>
      <c r="M2444" s="28">
        <f>Inputs!$D$78</f>
        <v>10</v>
      </c>
    </row>
    <row r="2445" spans="1:13" ht="15" customHeight="1" x14ac:dyDescent="0.2">
      <c r="A2445" s="91"/>
      <c r="B2445" s="10" t="s">
        <v>887</v>
      </c>
      <c r="C2445" s="10" t="s">
        <v>161</v>
      </c>
      <c r="D2445" s="29">
        <f>Inputs!$D$61</f>
        <v>46568</v>
      </c>
      <c r="E2445" s="29">
        <f>Inputs!$D$63</f>
        <v>46934</v>
      </c>
      <c r="F2445" s="29">
        <f>Inputs!$D$65</f>
        <v>47299</v>
      </c>
      <c r="G2445" s="29">
        <f>Inputs!$D$67</f>
        <v>47664</v>
      </c>
      <c r="H2445" s="29">
        <f>Inputs!$D$69</f>
        <v>48029</v>
      </c>
      <c r="I2445" s="29">
        <f>Inputs!$D$71</f>
        <v>48395</v>
      </c>
      <c r="J2445" s="29">
        <f>Inputs!$D$73</f>
        <v>48760</v>
      </c>
      <c r="K2445" s="29">
        <f>Inputs!$D$75</f>
        <v>49125</v>
      </c>
      <c r="L2445" s="29">
        <f>Inputs!$D$77</f>
        <v>49490</v>
      </c>
      <c r="M2445" s="29">
        <f>Inputs!$D$79</f>
        <v>49856</v>
      </c>
    </row>
    <row r="2446" spans="1:13" ht="15" customHeight="1" x14ac:dyDescent="0.2">
      <c r="A2446" s="91"/>
      <c r="B2446" s="10" t="s">
        <v>888</v>
      </c>
      <c r="C2446" s="10" t="s">
        <v>107</v>
      </c>
      <c r="D2446" s="28">
        <f>(D2445-Inputs!$D$13)/Inputs!$D$10</f>
        <v>0.71457905544147848</v>
      </c>
      <c r="E2446" s="28">
        <f>(E2445-Inputs!$D$13)/Inputs!$D$10</f>
        <v>1.7166324435318274</v>
      </c>
      <c r="F2446" s="28">
        <f>(F2445-Inputs!$D$13)/Inputs!$D$10</f>
        <v>2.7159479808350446</v>
      </c>
      <c r="G2446" s="28">
        <f>(G2445-Inputs!$D$13)/Inputs!$D$10</f>
        <v>3.7152635181382614</v>
      </c>
      <c r="H2446" s="28">
        <f>(H2445-Inputs!$D$13)/Inputs!$D$10</f>
        <v>4.7145790554414786</v>
      </c>
      <c r="I2446" s="28">
        <f>(I2445-Inputs!$D$13)/Inputs!$D$10</f>
        <v>5.7166324435318279</v>
      </c>
      <c r="J2446" s="28">
        <f>(J2445-Inputs!$D$13)/Inputs!$D$10</f>
        <v>6.7159479808350442</v>
      </c>
      <c r="K2446" s="28">
        <f>(K2445-Inputs!$D$13)/Inputs!$D$10</f>
        <v>7.7152635181382614</v>
      </c>
      <c r="L2446" s="28">
        <f>(L2445-Inputs!$D$13)/Inputs!$D$10</f>
        <v>8.7145790554414777</v>
      </c>
      <c r="M2446" s="28">
        <f>(M2445-Inputs!$D$13)/Inputs!$D$10</f>
        <v>9.716632443531827</v>
      </c>
    </row>
    <row r="2447" spans="1:13" ht="15" customHeight="1" x14ac:dyDescent="0.2">
      <c r="A2447" s="91"/>
      <c r="B2447" s="10" t="s">
        <v>889</v>
      </c>
      <c r="C2447" s="10" t="s">
        <v>107</v>
      </c>
      <c r="D2447" s="28">
        <f>D2446</f>
        <v>0.71457905544147848</v>
      </c>
      <c r="E2447" s="28">
        <f>Inputs!$D$7</f>
        <v>1</v>
      </c>
      <c r="F2447" s="28">
        <f>Inputs!$D$7</f>
        <v>1</v>
      </c>
      <c r="G2447" s="28">
        <f>Inputs!$D$7</f>
        <v>1</v>
      </c>
      <c r="H2447" s="28">
        <f>Inputs!$D$7</f>
        <v>1</v>
      </c>
      <c r="I2447" s="28">
        <f>Inputs!$D$7</f>
        <v>1</v>
      </c>
      <c r="J2447" s="28">
        <f>Inputs!$D$7</f>
        <v>1</v>
      </c>
      <c r="K2447" s="28">
        <f>Inputs!$D$7</f>
        <v>1</v>
      </c>
      <c r="L2447" s="28">
        <f>Inputs!$D$7</f>
        <v>1</v>
      </c>
      <c r="M2447" s="28">
        <f>Inputs!$D$7</f>
        <v>1</v>
      </c>
    </row>
    <row r="2448" spans="1:13" ht="15" customHeight="1" x14ac:dyDescent="0.2">
      <c r="A2448" s="91"/>
      <c r="B2448" s="3" t="s">
        <v>890</v>
      </c>
      <c r="C2448" s="10" t="s">
        <v>199</v>
      </c>
      <c r="D2448" s="28">
        <f>Inputs!$D$24+(Inputs!$D$80-Inputs!$D$24)*Inputs!$D$83</f>
        <v>305.5</v>
      </c>
      <c r="E2448" s="28">
        <f>Inputs!$D$24+(Inputs!$D$80-Inputs!$D$24)*Inputs!$D$84</f>
        <v>651.5</v>
      </c>
      <c r="F2448" s="28">
        <f>Inputs!$D$24+(Inputs!$D$80-Inputs!$D$24)*Inputs!$D$85</f>
        <v>911</v>
      </c>
      <c r="G2448" s="28">
        <f>Inputs!$D$24+(Inputs!$D$80-Inputs!$D$24)*Inputs!$D$86</f>
        <v>911</v>
      </c>
      <c r="H2448" s="28">
        <f>Inputs!$D$24+(Inputs!$D$80-Inputs!$D$24)*Inputs!$D$87</f>
        <v>911</v>
      </c>
      <c r="I2448" s="28">
        <f>Inputs!$D$24+(Inputs!$D$80-Inputs!$D$24)*Inputs!$D$88</f>
        <v>911</v>
      </c>
      <c r="J2448" s="28">
        <f>Inputs!$D$24+(Inputs!$D$80-Inputs!$D$24)*Inputs!$D$89</f>
        <v>911</v>
      </c>
      <c r="K2448" s="28">
        <f>Inputs!$D$24+(Inputs!$D$80-Inputs!$D$24)*Inputs!$D$90</f>
        <v>911</v>
      </c>
      <c r="L2448" s="28">
        <f>Inputs!$D$24+(Inputs!$D$80-Inputs!$D$24)*Inputs!$D$91</f>
        <v>911</v>
      </c>
      <c r="M2448" s="28">
        <f>Inputs!$D$24+(Inputs!$D$80-Inputs!$D$24)*Inputs!$D$92</f>
        <v>911</v>
      </c>
    </row>
    <row r="2449" spans="1:13" ht="15" customHeight="1" x14ac:dyDescent="0.2">
      <c r="A2449" s="91"/>
      <c r="B2449" s="10" t="s">
        <v>891</v>
      </c>
      <c r="C2449" s="10" t="s">
        <v>199</v>
      </c>
      <c r="D2449" s="28">
        <f>Inputs!$D$24</f>
        <v>46</v>
      </c>
      <c r="E2449" s="28">
        <f t="shared" ref="E2449:M2449" si="530">D2448</f>
        <v>305.5</v>
      </c>
      <c r="F2449" s="28">
        <f t="shared" si="530"/>
        <v>651.5</v>
      </c>
      <c r="G2449" s="28">
        <f t="shared" si="530"/>
        <v>911</v>
      </c>
      <c r="H2449" s="28">
        <f t="shared" si="530"/>
        <v>911</v>
      </c>
      <c r="I2449" s="28">
        <f t="shared" si="530"/>
        <v>911</v>
      </c>
      <c r="J2449" s="28">
        <f t="shared" si="530"/>
        <v>911</v>
      </c>
      <c r="K2449" s="28">
        <f t="shared" si="530"/>
        <v>911</v>
      </c>
      <c r="L2449" s="28">
        <f t="shared" si="530"/>
        <v>911</v>
      </c>
      <c r="M2449" s="28">
        <f t="shared" si="530"/>
        <v>911</v>
      </c>
    </row>
    <row r="2450" spans="1:13" ht="15" customHeight="1" x14ac:dyDescent="0.2">
      <c r="B2450" s="10" t="s">
        <v>892</v>
      </c>
      <c r="C2450" s="10" t="s">
        <v>199</v>
      </c>
      <c r="D2450" s="28">
        <f>(D2449+D2448)*Inputs!$D$12</f>
        <v>175.75</v>
      </c>
      <c r="E2450" s="28">
        <f>(E2449+E2448)*Inputs!$D$12</f>
        <v>478.5</v>
      </c>
      <c r="F2450" s="28">
        <f>(F2449+F2448)*Inputs!$D$12</f>
        <v>781.25</v>
      </c>
      <c r="G2450" s="28">
        <f>(G2449+G2448)*Inputs!$D$12</f>
        <v>911</v>
      </c>
      <c r="H2450" s="28">
        <f>(H2449+H2448)*Inputs!$D$12</f>
        <v>911</v>
      </c>
      <c r="I2450" s="28">
        <f>(I2449+I2448)*Inputs!$D$12</f>
        <v>911</v>
      </c>
      <c r="J2450" s="28">
        <f>(J2449+J2448)*Inputs!$D$12</f>
        <v>911</v>
      </c>
      <c r="K2450" s="28">
        <f>(K2449+K2448)*Inputs!$D$12</f>
        <v>911</v>
      </c>
      <c r="L2450" s="28">
        <f>(L2449+L2448)*Inputs!$D$12</f>
        <v>911</v>
      </c>
      <c r="M2450" s="28">
        <f>(M2449+M2448)*Inputs!$D$12</f>
        <v>911</v>
      </c>
    </row>
    <row r="2451" spans="1:13" ht="15" customHeight="1" x14ac:dyDescent="0.2">
      <c r="B2451" s="10" t="s">
        <v>893</v>
      </c>
      <c r="C2451" s="10" t="s">
        <v>199</v>
      </c>
      <c r="D2451" s="28">
        <f t="shared" ref="D2451:M2451" si="531">D2448-D2449</f>
        <v>259.5</v>
      </c>
      <c r="E2451" s="28">
        <f t="shared" si="531"/>
        <v>346</v>
      </c>
      <c r="F2451" s="28">
        <f t="shared" si="531"/>
        <v>259.5</v>
      </c>
      <c r="G2451" s="28">
        <f t="shared" si="531"/>
        <v>0</v>
      </c>
      <c r="H2451" s="28">
        <f t="shared" si="531"/>
        <v>0</v>
      </c>
      <c r="I2451" s="28">
        <f t="shared" si="531"/>
        <v>0</v>
      </c>
      <c r="J2451" s="28">
        <f t="shared" si="531"/>
        <v>0</v>
      </c>
      <c r="K2451" s="28">
        <f t="shared" si="531"/>
        <v>0</v>
      </c>
      <c r="L2451" s="28">
        <f t="shared" si="531"/>
        <v>0</v>
      </c>
      <c r="M2451" s="28">
        <f t="shared" si="531"/>
        <v>0</v>
      </c>
    </row>
    <row r="2452" spans="1:13" ht="15" customHeight="1" x14ac:dyDescent="0.2">
      <c r="B2452" s="10" t="s">
        <v>894</v>
      </c>
      <c r="C2452" s="10" t="s">
        <v>199</v>
      </c>
      <c r="D2452" s="28">
        <f>IF(MOD(D2444,Inputs!$D$21)=Inputs!$D$6,Inputs!$D$24,Inputs!$D$6)+SUMPRODUCT(--(D2444&gt;$D$2444:$M$2444),--(MOD(D2444-$D$2444:$M$2444,Inputs!$D$21)=Inputs!$D$6),$D$2451:$M$2451)</f>
        <v>0</v>
      </c>
      <c r="E2452" s="28">
        <f>IF(MOD(E2444,Inputs!$D$21)=Inputs!$D$6,Inputs!$D$24,Inputs!$D$6)+SUMPRODUCT(--(E2444&gt;$D$2444:$M$2444),--(MOD(E2444-$D$2444:$M$2444,Inputs!$D$21)=Inputs!$D$6),$D$2451:$M$2451)</f>
        <v>0</v>
      </c>
      <c r="F2452" s="28">
        <f>IF(MOD(F2444,Inputs!$D$21)=Inputs!$D$6,Inputs!$D$24,Inputs!$D$6)+SUMPRODUCT(--(F2444&gt;$D$2444:$M$2444),--(MOD(F2444-$D$2444:$M$2444,Inputs!$D$21)=Inputs!$D$6),$D$2451:$M$2451)</f>
        <v>0</v>
      </c>
      <c r="G2452" s="28">
        <f>IF(MOD(G2444,Inputs!$D$21)=Inputs!$D$6,Inputs!$D$24,Inputs!$D$6)+SUMPRODUCT(--(G2444&gt;$D$2444:$M$2444),--(MOD(G2444-$D$2444:$M$2444,Inputs!$D$21)=Inputs!$D$6),$D$2451:$M$2451)</f>
        <v>46</v>
      </c>
      <c r="H2452" s="28">
        <f>IF(MOD(H2444,Inputs!$D$21)=Inputs!$D$6,Inputs!$D$24,Inputs!$D$6)+SUMPRODUCT(--(H2444&gt;$D$2444:$M$2444),--(MOD(H2444-$D$2444:$M$2444,Inputs!$D$21)=Inputs!$D$6),$D$2451:$M$2451)</f>
        <v>259.5</v>
      </c>
      <c r="I2452" s="28">
        <f>IF(MOD(I2444,Inputs!$D$21)=Inputs!$D$6,Inputs!$D$24,Inputs!$D$6)+SUMPRODUCT(--(I2444&gt;$D$2444:$M$2444),--(MOD(I2444-$D$2444:$M$2444,Inputs!$D$21)=Inputs!$D$6),$D$2451:$M$2451)</f>
        <v>346</v>
      </c>
      <c r="J2452" s="28">
        <f>IF(MOD(J2444,Inputs!$D$21)=Inputs!$D$6,Inputs!$D$24,Inputs!$D$6)+SUMPRODUCT(--(J2444&gt;$D$2444:$M$2444),--(MOD(J2444-$D$2444:$M$2444,Inputs!$D$21)=Inputs!$D$6),$D$2451:$M$2451)</f>
        <v>259.5</v>
      </c>
      <c r="K2452" s="28">
        <f>IF(MOD(K2444,Inputs!$D$21)=Inputs!$D$6,Inputs!$D$24,Inputs!$D$6)+SUMPRODUCT(--(K2444&gt;$D$2444:$M$2444),--(MOD(K2444-$D$2444:$M$2444,Inputs!$D$21)=Inputs!$D$6),$D$2451:$M$2451)</f>
        <v>46</v>
      </c>
      <c r="L2452" s="28">
        <f>IF(MOD(L2444,Inputs!$D$21)=Inputs!$D$6,Inputs!$D$24,Inputs!$D$6)+SUMPRODUCT(--(L2444&gt;$D$2444:$M$2444),--(MOD(L2444-$D$2444:$M$2444,Inputs!$D$21)=Inputs!$D$6),$D$2451:$M$2451)</f>
        <v>259.5</v>
      </c>
      <c r="M2452" s="28">
        <f>IF(MOD(M2444,Inputs!$D$21)=Inputs!$D$6,Inputs!$D$24,Inputs!$D$6)+SUMPRODUCT(--(M2444&gt;$D$2444:$M$2444),--(MOD(M2444-$D$2444:$M$2444,Inputs!$D$21)=Inputs!$D$6),$D$2451:$M$2451)</f>
        <v>346</v>
      </c>
    </row>
    <row r="2453" spans="1:13" ht="15" customHeight="1" x14ac:dyDescent="0.2">
      <c r="B2453" s="10" t="s">
        <v>895</v>
      </c>
      <c r="C2453" s="10" t="s">
        <v>896</v>
      </c>
      <c r="D2453" s="28">
        <f t="shared" ref="D2453:M2453" si="532">D2450*D2447</f>
        <v>125.58726899383984</v>
      </c>
      <c r="E2453" s="28">
        <f t="shared" si="532"/>
        <v>478.5</v>
      </c>
      <c r="F2453" s="28">
        <f t="shared" si="532"/>
        <v>781.25</v>
      </c>
      <c r="G2453" s="28">
        <f t="shared" si="532"/>
        <v>911</v>
      </c>
      <c r="H2453" s="28">
        <f t="shared" si="532"/>
        <v>911</v>
      </c>
      <c r="I2453" s="28">
        <f t="shared" si="532"/>
        <v>911</v>
      </c>
      <c r="J2453" s="28">
        <f t="shared" si="532"/>
        <v>911</v>
      </c>
      <c r="K2453" s="28">
        <f t="shared" si="532"/>
        <v>911</v>
      </c>
      <c r="L2453" s="28">
        <f t="shared" si="532"/>
        <v>911</v>
      </c>
      <c r="M2453" s="28">
        <f t="shared" si="532"/>
        <v>911</v>
      </c>
    </row>
    <row r="2454" spans="1:13" ht="15" customHeight="1" x14ac:dyDescent="0.2">
      <c r="B2454" s="10" t="s">
        <v>897</v>
      </c>
      <c r="C2454" s="10" t="s">
        <v>110</v>
      </c>
      <c r="D2454" s="16">
        <f>D2453*($D$2473/Inputs!$D$21+$D$2474/Inputs!$D$22)</f>
        <v>1816.9772859324419</v>
      </c>
      <c r="E2454" s="16">
        <f>E2453*($D$2473/Inputs!$D$21+$D$2474/Inputs!$D$22)</f>
        <v>6922.8643817497086</v>
      </c>
      <c r="F2454" s="16">
        <f>F2453*($D$2473/Inputs!$D$21+$D$2474/Inputs!$D$22)</f>
        <v>11303.0048030135</v>
      </c>
      <c r="G2454" s="16">
        <f>G2453*($D$2473/Inputs!$D$21+$D$2474/Inputs!$D$22)</f>
        <v>13180.207840697982</v>
      </c>
      <c r="H2454" s="16">
        <f>H2453*($D$2473/Inputs!$D$21+$D$2474/Inputs!$D$22)</f>
        <v>13180.207840697982</v>
      </c>
      <c r="I2454" s="16">
        <f>I2453*($D$2473/Inputs!$D$21+$D$2474/Inputs!$D$22)</f>
        <v>13180.207840697982</v>
      </c>
      <c r="J2454" s="16">
        <f>J2453*($D$2473/Inputs!$D$21+$D$2474/Inputs!$D$22)</f>
        <v>13180.207840697982</v>
      </c>
      <c r="K2454" s="16">
        <f>K2453*($D$2473/Inputs!$D$21+$D$2474/Inputs!$D$22)</f>
        <v>13180.207840697982</v>
      </c>
      <c r="L2454" s="16">
        <f>L2453*($D$2473/Inputs!$D$21+$D$2474/Inputs!$D$22)</f>
        <v>13180.207840697982</v>
      </c>
      <c r="M2454" s="16">
        <f>M2453*($D$2473/Inputs!$D$21+$D$2474/Inputs!$D$22)</f>
        <v>13180.207840697982</v>
      </c>
    </row>
    <row r="2455" spans="1:13" ht="15" customHeight="1" x14ac:dyDescent="0.2">
      <c r="B2455" s="10" t="s">
        <v>898</v>
      </c>
      <c r="C2455" s="10" t="s">
        <v>110</v>
      </c>
      <c r="D2455" s="16">
        <f t="shared" ref="D2455:M2455" si="533">D2451*($D$2473+$D$2474)</f>
        <v>15560.968620146154</v>
      </c>
      <c r="E2455" s="16">
        <f t="shared" si="533"/>
        <v>20747.95816019487</v>
      </c>
      <c r="F2455" s="16">
        <f t="shared" si="533"/>
        <v>15560.968620146154</v>
      </c>
      <c r="G2455" s="16">
        <f t="shared" si="533"/>
        <v>0</v>
      </c>
      <c r="H2455" s="16">
        <f t="shared" si="533"/>
        <v>0</v>
      </c>
      <c r="I2455" s="16">
        <f t="shared" si="533"/>
        <v>0</v>
      </c>
      <c r="J2455" s="16">
        <f t="shared" si="533"/>
        <v>0</v>
      </c>
      <c r="K2455" s="16">
        <f t="shared" si="533"/>
        <v>0</v>
      </c>
      <c r="L2455" s="16">
        <f t="shared" si="533"/>
        <v>0</v>
      </c>
      <c r="M2455" s="16">
        <f t="shared" si="533"/>
        <v>0</v>
      </c>
    </row>
    <row r="2456" spans="1:13" ht="15" customHeight="1" x14ac:dyDescent="0.2">
      <c r="B2456" s="10" t="s">
        <v>899</v>
      </c>
      <c r="C2456" s="10" t="s">
        <v>110</v>
      </c>
      <c r="D2456" s="16">
        <f t="shared" ref="D2456:M2456" si="534">D2452*$D$2473</f>
        <v>0</v>
      </c>
      <c r="E2456" s="16">
        <f t="shared" si="534"/>
        <v>0</v>
      </c>
      <c r="F2456" s="16">
        <f t="shared" si="534"/>
        <v>0</v>
      </c>
      <c r="G2456" s="16">
        <f t="shared" si="534"/>
        <v>2638.0048485671714</v>
      </c>
      <c r="H2456" s="16">
        <f t="shared" si="534"/>
        <v>14881.788221808281</v>
      </c>
      <c r="I2456" s="16">
        <f t="shared" si="534"/>
        <v>19842.384295744378</v>
      </c>
      <c r="J2456" s="16">
        <f t="shared" si="534"/>
        <v>14881.788221808281</v>
      </c>
      <c r="K2456" s="16">
        <f t="shared" si="534"/>
        <v>2638.0048485671714</v>
      </c>
      <c r="L2456" s="16">
        <f t="shared" si="534"/>
        <v>14881.788221808281</v>
      </c>
      <c r="M2456" s="16">
        <f t="shared" si="534"/>
        <v>19842.384295744378</v>
      </c>
    </row>
    <row r="2457" spans="1:13" ht="15" customHeight="1" x14ac:dyDescent="0.2">
      <c r="B2457" s="10" t="s">
        <v>900</v>
      </c>
      <c r="C2457" s="10" t="s">
        <v>199</v>
      </c>
      <c r="D2457" s="28">
        <f>D2451*Inputs!$D$23</f>
        <v>6.4875000000000007</v>
      </c>
      <c r="E2457" s="28">
        <f>E2451*Inputs!$D$23</f>
        <v>8.65</v>
      </c>
      <c r="F2457" s="28">
        <f>F2451*Inputs!$D$23</f>
        <v>6.4875000000000007</v>
      </c>
      <c r="G2457" s="28">
        <f>G2451*Inputs!$D$23</f>
        <v>0</v>
      </c>
      <c r="H2457" s="28">
        <f>H2451*Inputs!$D$23</f>
        <v>0</v>
      </c>
      <c r="I2457" s="28">
        <f>I2451*Inputs!$D$23</f>
        <v>0</v>
      </c>
      <c r="J2457" s="28">
        <f>J2451*Inputs!$D$23</f>
        <v>0</v>
      </c>
      <c r="K2457" s="28">
        <f>K2451*Inputs!$D$23</f>
        <v>0</v>
      </c>
      <c r="L2457" s="28">
        <f>L2451*Inputs!$D$23</f>
        <v>0</v>
      </c>
      <c r="M2457" s="28">
        <f>M2451*Inputs!$D$23</f>
        <v>0</v>
      </c>
    </row>
    <row r="2458" spans="1:13" ht="15" customHeight="1" x14ac:dyDescent="0.2">
      <c r="B2458" s="3" t="s">
        <v>901</v>
      </c>
      <c r="C2458" s="10" t="s">
        <v>896</v>
      </c>
      <c r="D2458" s="28">
        <f>(D2453*$D$2471*(Inputs!$D$7-Inputs!$D$19)-D2457)/(Inputs!$D$7+$D$2472)^D2446</f>
        <v>42.392257892582741</v>
      </c>
      <c r="E2458" s="28">
        <f>(E2453*$D$2471*(Inputs!$D$7-Inputs!$D$19)-E2457)/(Inputs!$D$7+$D$2472)^E2446</f>
        <v>160.44935881327885</v>
      </c>
      <c r="F2458" s="28">
        <f>(F2453*$D$2471*(Inputs!$D$7-Inputs!$D$19)-F2457)/(Inputs!$D$7+$D$2472)^F2446</f>
        <v>244.06109899015289</v>
      </c>
      <c r="G2458" s="28">
        <f>(G2453*$D$2471*(Inputs!$D$7-Inputs!$D$19)-G2457)/(Inputs!$D$7+$D$2472)^G2446</f>
        <v>264.04849443125005</v>
      </c>
      <c r="H2458" s="28">
        <f>(H2453*$D$2471*(Inputs!$D$7-Inputs!$D$19)-H2457)/(Inputs!$D$7+$D$2472)^H2446</f>
        <v>240.05974593643205</v>
      </c>
      <c r="I2458" s="28">
        <f>(I2453*$D$2471*(Inputs!$D$7-Inputs!$D$19)-I2457)/(Inputs!$D$7+$D$2472)^I2446</f>
        <v>218.19342611959934</v>
      </c>
      <c r="J2458" s="28">
        <f>(J2453*$D$2471*(Inputs!$D$7-Inputs!$D$19)-J2457)/(Inputs!$D$7+$D$2472)^J2446</f>
        <v>198.37060064324149</v>
      </c>
      <c r="K2458" s="28">
        <f>(K2453*$D$2471*(Inputs!$D$7-Inputs!$D$19)-K2457)/(Inputs!$D$7+$D$2472)^K2446</f>
        <v>180.34867456543267</v>
      </c>
      <c r="L2458" s="28">
        <f>(L2453*$D$2471*(Inputs!$D$7-Inputs!$D$19)-L2457)/(Inputs!$D$7+$D$2472)^L2446</f>
        <v>163.9640365661034</v>
      </c>
      <c r="M2458" s="28">
        <f>(M2453*$D$2471*(Inputs!$D$7-Inputs!$D$19)-M2457)/(Inputs!$D$7+$D$2472)^M2446</f>
        <v>149.02904591189079</v>
      </c>
    </row>
    <row r="2459" spans="1:13" ht="15" customHeight="1" x14ac:dyDescent="0.2">
      <c r="B2459" s="10" t="s">
        <v>902</v>
      </c>
      <c r="C2459" s="10" t="s">
        <v>110</v>
      </c>
      <c r="D2459" s="16">
        <f>(D2454*Inputs!$D$19-D2455-D2456)/(Inputs!$D$7+$D$2472)^D2446</f>
        <v>-14027.24269342025</v>
      </c>
      <c r="E2459" s="16">
        <f>(E2454*Inputs!$D$19-E2455-E2456)/(Inputs!$D$7+$D$2472)^E2446</f>
        <v>-15853.087323826181</v>
      </c>
      <c r="F2459" s="16">
        <f>(F2454*Inputs!$D$19-F2455-F2456)/(Inputs!$D$7+$D$2472)^F2446</f>
        <v>-9394.4767487293357</v>
      </c>
      <c r="G2459" s="16">
        <f>(G2454*Inputs!$D$19-G2455-G2456)/(Inputs!$D$7+$D$2472)^G2446</f>
        <v>923.61320322684639</v>
      </c>
      <c r="H2459" s="16">
        <f>(H2454*Inputs!$D$19-H2455-H2456)/(Inputs!$D$7+$D$2472)^H2446</f>
        <v>-6972.3744918015345</v>
      </c>
      <c r="I2459" s="16">
        <f>(I2454*Inputs!$D$19-I2455-I2456)/(Inputs!$D$7+$D$2472)^I2446</f>
        <v>-9214.0648467907959</v>
      </c>
      <c r="J2459" s="16">
        <f>(J2454*Inputs!$D$19-J2455-J2456)/(Inputs!$D$7+$D$2472)^J2446</f>
        <v>-5761.5411965591911</v>
      </c>
      <c r="K2459" s="16">
        <f>(K2454*Inputs!$D$19-K2455-K2456)/(Inputs!$D$7+$D$2472)^K2446</f>
        <v>630.8402453567694</v>
      </c>
      <c r="L2459" s="16">
        <f>(L2454*Inputs!$D$19-L2455-L2456)/(Inputs!$D$7+$D$2472)^L2446</f>
        <v>-4762.2255937446444</v>
      </c>
      <c r="M2459" s="16">
        <f>(M2454*Inputs!$D$19-M2455-M2456)/(Inputs!$D$7+$D$2472)^M2446</f>
        <v>-6293.3302689644106</v>
      </c>
    </row>
    <row r="2460" spans="1:13" ht="15" customHeight="1" x14ac:dyDescent="0.2">
      <c r="B2460" s="10" t="s">
        <v>903</v>
      </c>
      <c r="C2460" s="10" t="s">
        <v>110</v>
      </c>
      <c r="D2460" s="16">
        <f t="shared" ref="D2460:M2460" si="535">D2453*$D$2470</f>
        <v>5180.5375670898584</v>
      </c>
      <c r="E2460" s="16">
        <f t="shared" si="535"/>
        <v>19738.363973613348</v>
      </c>
      <c r="F2460" s="16">
        <f t="shared" si="535"/>
        <v>32226.952673741755</v>
      </c>
      <c r="G2460" s="16">
        <f t="shared" si="535"/>
        <v>37579.204973796783</v>
      </c>
      <c r="H2460" s="16">
        <f t="shared" si="535"/>
        <v>37579.204973796783</v>
      </c>
      <c r="I2460" s="16">
        <f t="shared" si="535"/>
        <v>37579.204973796783</v>
      </c>
      <c r="J2460" s="16">
        <f t="shared" si="535"/>
        <v>37579.204973796783</v>
      </c>
      <c r="K2460" s="16">
        <f t="shared" si="535"/>
        <v>37579.204973796783</v>
      </c>
      <c r="L2460" s="16">
        <f t="shared" si="535"/>
        <v>37579.204973796783</v>
      </c>
      <c r="M2460" s="16">
        <f t="shared" si="535"/>
        <v>37579.204973796783</v>
      </c>
    </row>
    <row r="2461" spans="1:13" ht="15" customHeight="1" x14ac:dyDescent="0.2">
      <c r="B2461" s="10" t="s">
        <v>904</v>
      </c>
      <c r="C2461" s="10" t="s">
        <v>110</v>
      </c>
      <c r="D2461" s="16">
        <f t="shared" ref="D2461:M2461" si="536">D2460*$D$2471</f>
        <v>3056.5171645830164</v>
      </c>
      <c r="E2461" s="16">
        <f t="shared" si="536"/>
        <v>11645.634744431874</v>
      </c>
      <c r="F2461" s="16">
        <f t="shared" si="536"/>
        <v>19013.902077507635</v>
      </c>
      <c r="G2461" s="16">
        <f t="shared" si="536"/>
        <v>22171.730934540101</v>
      </c>
      <c r="H2461" s="16">
        <f t="shared" si="536"/>
        <v>22171.730934540101</v>
      </c>
      <c r="I2461" s="16">
        <f t="shared" si="536"/>
        <v>22171.730934540101</v>
      </c>
      <c r="J2461" s="16">
        <f t="shared" si="536"/>
        <v>22171.730934540101</v>
      </c>
      <c r="K2461" s="16">
        <f t="shared" si="536"/>
        <v>22171.730934540101</v>
      </c>
      <c r="L2461" s="16">
        <f t="shared" si="536"/>
        <v>22171.730934540101</v>
      </c>
      <c r="M2461" s="16">
        <f t="shared" si="536"/>
        <v>22171.730934540101</v>
      </c>
    </row>
    <row r="2462" spans="1:13" ht="15" customHeight="1" x14ac:dyDescent="0.2">
      <c r="B2462" s="10" t="s">
        <v>905</v>
      </c>
      <c r="C2462" s="10" t="s">
        <v>110</v>
      </c>
      <c r="D2462" s="16">
        <f t="shared" ref="D2462:M2462" si="537">D2461-D2454</f>
        <v>1239.5398786505746</v>
      </c>
      <c r="E2462" s="16">
        <f t="shared" si="537"/>
        <v>4722.7703626821658</v>
      </c>
      <c r="F2462" s="16">
        <f t="shared" si="537"/>
        <v>7710.8972744941348</v>
      </c>
      <c r="G2462" s="16">
        <f t="shared" si="537"/>
        <v>8991.5230938421191</v>
      </c>
      <c r="H2462" s="16">
        <f t="shared" si="537"/>
        <v>8991.5230938421191</v>
      </c>
      <c r="I2462" s="16">
        <f t="shared" si="537"/>
        <v>8991.5230938421191</v>
      </c>
      <c r="J2462" s="16">
        <f t="shared" si="537"/>
        <v>8991.5230938421191</v>
      </c>
      <c r="K2462" s="16">
        <f t="shared" si="537"/>
        <v>8991.5230938421191</v>
      </c>
      <c r="L2462" s="16">
        <f t="shared" si="537"/>
        <v>8991.5230938421191</v>
      </c>
      <c r="M2462" s="16">
        <f t="shared" si="537"/>
        <v>8991.5230938421191</v>
      </c>
    </row>
    <row r="2463" spans="1:13" ht="15" customHeight="1" x14ac:dyDescent="0.2">
      <c r="B2463" s="10" t="s">
        <v>906</v>
      </c>
      <c r="C2463" s="10" t="s">
        <v>110</v>
      </c>
      <c r="D2463" s="16">
        <f>MAX(D2462,Inputs!$D$6)*Inputs!$D$19</f>
        <v>371.86196359517237</v>
      </c>
      <c r="E2463" s="16">
        <f>MAX(E2462,Inputs!$D$6)*Inputs!$D$19</f>
        <v>1416.8311088046496</v>
      </c>
      <c r="F2463" s="16">
        <f>MAX(F2462,Inputs!$D$6)*Inputs!$D$19</f>
        <v>2313.2691823482405</v>
      </c>
      <c r="G2463" s="16">
        <f>MAX(G2462,Inputs!$D$6)*Inputs!$D$19</f>
        <v>2697.4569281526356</v>
      </c>
      <c r="H2463" s="16">
        <f>MAX(H2462,Inputs!$D$6)*Inputs!$D$19</f>
        <v>2697.4569281526356</v>
      </c>
      <c r="I2463" s="16">
        <f>MAX(I2462,Inputs!$D$6)*Inputs!$D$19</f>
        <v>2697.4569281526356</v>
      </c>
      <c r="J2463" s="16">
        <f>MAX(J2462,Inputs!$D$6)*Inputs!$D$19</f>
        <v>2697.4569281526356</v>
      </c>
      <c r="K2463" s="16">
        <f>MAX(K2462,Inputs!$D$6)*Inputs!$D$19</f>
        <v>2697.4569281526356</v>
      </c>
      <c r="L2463" s="16">
        <f>MAX(L2462,Inputs!$D$6)*Inputs!$D$19</f>
        <v>2697.4569281526356</v>
      </c>
      <c r="M2463" s="16">
        <f>MAX(M2462,Inputs!$D$6)*Inputs!$D$19</f>
        <v>2697.4569281526356</v>
      </c>
    </row>
    <row r="2464" spans="1:13" ht="15" customHeight="1" x14ac:dyDescent="0.2">
      <c r="B2464" s="10" t="s">
        <v>907</v>
      </c>
      <c r="C2464" s="10" t="s">
        <v>110</v>
      </c>
      <c r="D2464" s="16">
        <f t="shared" ref="D2464:M2464" si="538">D2457*$D$2470</f>
        <v>267.61261500275157</v>
      </c>
      <c r="E2464" s="16">
        <f t="shared" si="538"/>
        <v>356.81682000366874</v>
      </c>
      <c r="F2464" s="16">
        <f t="shared" si="538"/>
        <v>267.61261500275157</v>
      </c>
      <c r="G2464" s="16">
        <f t="shared" si="538"/>
        <v>0</v>
      </c>
      <c r="H2464" s="16">
        <f t="shared" si="538"/>
        <v>0</v>
      </c>
      <c r="I2464" s="16">
        <f t="shared" si="538"/>
        <v>0</v>
      </c>
      <c r="J2464" s="16">
        <f t="shared" si="538"/>
        <v>0</v>
      </c>
      <c r="K2464" s="16">
        <f t="shared" si="538"/>
        <v>0</v>
      </c>
      <c r="L2464" s="16">
        <f t="shared" si="538"/>
        <v>0</v>
      </c>
      <c r="M2464" s="16">
        <f t="shared" si="538"/>
        <v>0</v>
      </c>
    </row>
    <row r="2465" spans="2:13" ht="15" customHeight="1" x14ac:dyDescent="0.2">
      <c r="B2465" s="10" t="s">
        <v>908</v>
      </c>
      <c r="C2465" s="10" t="s">
        <v>110</v>
      </c>
      <c r="D2465" s="16">
        <f t="shared" ref="D2465:M2465" si="539">D2461-D2463-D2455-D2456-D2464</f>
        <v>-13143.926034161061</v>
      </c>
      <c r="E2465" s="16">
        <f t="shared" si="539"/>
        <v>-10875.971344571315</v>
      </c>
      <c r="F2465" s="16">
        <f t="shared" si="539"/>
        <v>872.05166001048804</v>
      </c>
      <c r="G2465" s="16">
        <f t="shared" si="539"/>
        <v>16836.269157820294</v>
      </c>
      <c r="H2465" s="16">
        <f t="shared" si="539"/>
        <v>4592.4857845791848</v>
      </c>
      <c r="I2465" s="16">
        <f t="shared" si="539"/>
        <v>-368.11028935691138</v>
      </c>
      <c r="J2465" s="16">
        <f t="shared" si="539"/>
        <v>4592.4857845791848</v>
      </c>
      <c r="K2465" s="16">
        <f t="shared" si="539"/>
        <v>16836.269157820294</v>
      </c>
      <c r="L2465" s="16">
        <f t="shared" si="539"/>
        <v>4592.4857845791848</v>
      </c>
      <c r="M2465" s="16">
        <f t="shared" si="539"/>
        <v>-368.11028935691138</v>
      </c>
    </row>
    <row r="2466" spans="2:13" ht="15" customHeight="1" x14ac:dyDescent="0.2">
      <c r="B2466" s="10" t="s">
        <v>909</v>
      </c>
      <c r="C2466" s="10" t="s">
        <v>110</v>
      </c>
      <c r="D2466" s="16">
        <f>D2465/(Inputs!$D$7+$D$2472)^D2446</f>
        <v>-12278.540883708481</v>
      </c>
      <c r="E2466" s="16">
        <f>E2465/(Inputs!$D$7+$D$2472)^E2446</f>
        <v>-9234.4711407762679</v>
      </c>
      <c r="F2466" s="16">
        <f>F2465/(Inputs!$D$7+$D$2472)^F2446</f>
        <v>673.16547419169945</v>
      </c>
      <c r="G2466" s="16">
        <f>G2465/(Inputs!$D$7+$D$2472)^G2446</f>
        <v>11815.745470245929</v>
      </c>
      <c r="H2466" s="16">
        <f>H2465/(Inputs!$D$7+$D$2472)^H2446</f>
        <v>2930.2099192882124</v>
      </c>
      <c r="I2466" s="16">
        <f>I2465/(Inputs!$D$7+$D$2472)^I2446</f>
        <v>-213.47704867508918</v>
      </c>
      <c r="J2466" s="16">
        <f>J2465/(Inputs!$D$7+$D$2472)^J2446</f>
        <v>2421.3451506938895</v>
      </c>
      <c r="K2466" s="16">
        <f>K2465/(Inputs!$D$7+$D$2472)^K2446</f>
        <v>8070.3131413468518</v>
      </c>
      <c r="L2466" s="16">
        <f>L2465/(Inputs!$D$7+$D$2472)^L2446</f>
        <v>2001.3728019180464</v>
      </c>
      <c r="M2466" s="16">
        <f>M2465/(Inputs!$D$7+$D$2472)^M2446</f>
        <v>-145.80769665671002</v>
      </c>
    </row>
    <row r="2467" spans="2:13" ht="15" customHeight="1" x14ac:dyDescent="0.2">
      <c r="B2467" s="3" t="s">
        <v>910</v>
      </c>
      <c r="C2467" s="10" t="s">
        <v>896</v>
      </c>
      <c r="D2467" s="28">
        <f>(D2453*$D$2471-D2457)/(Inputs!$D$7+$D$2472)^D2446</f>
        <v>63.15766916062681</v>
      </c>
      <c r="E2467" s="28">
        <f>(E2453*$D$2471-E2457)/(Inputs!$D$7+$D$2472)^E2446</f>
        <v>232.36099697908384</v>
      </c>
      <c r="F2467" s="28">
        <f>(F2453*$D$2471-F2457)/(Inputs!$D$7+$D$2472)^F2446</f>
        <v>350.80496233759658</v>
      </c>
      <c r="G2467" s="28">
        <f>(G2453*$D$2471-G2457)/(Inputs!$D$7+$D$2472)^G2446</f>
        <v>377.21213490178582</v>
      </c>
      <c r="H2467" s="28">
        <f>(H2453*$D$2471-H2457)/(Inputs!$D$7+$D$2472)^H2446</f>
        <v>342.94249419490291</v>
      </c>
      <c r="I2467" s="28">
        <f>(I2453*$D$2471-I2457)/(Inputs!$D$7+$D$2472)^I2446</f>
        <v>311.70489445657051</v>
      </c>
      <c r="J2467" s="28">
        <f>(J2453*$D$2471-J2457)/(Inputs!$D$7+$D$2472)^J2446</f>
        <v>283.38657234748786</v>
      </c>
      <c r="K2467" s="28">
        <f>(K2453*$D$2471-K2457)/(Inputs!$D$7+$D$2472)^K2446</f>
        <v>257.64096366490384</v>
      </c>
      <c r="L2467" s="28">
        <f>(L2453*$D$2471-L2457)/(Inputs!$D$7+$D$2472)^L2446</f>
        <v>234.23433795157629</v>
      </c>
      <c r="M2467" s="28">
        <f>(M2453*$D$2471-M2457)/(Inputs!$D$7+$D$2472)^M2446</f>
        <v>212.89863701698684</v>
      </c>
    </row>
    <row r="2468" spans="2:13" ht="15" customHeight="1" x14ac:dyDescent="0.2">
      <c r="B2468" s="10" t="s">
        <v>911</v>
      </c>
      <c r="C2468" s="10" t="s">
        <v>110</v>
      </c>
      <c r="D2468" s="16">
        <f>(-D2455-D2456)/(Inputs!$D$7+$D$2472)^D2446</f>
        <v>-14536.447397527105</v>
      </c>
      <c r="E2468" s="16">
        <f>(-E2455-E2456)/(Inputs!$D$7+$D$2472)^E2446</f>
        <v>-17616.488200475756</v>
      </c>
      <c r="F2468" s="16">
        <f>(-F2455-F2456)/(Inputs!$D$7+$D$2472)^F2446</f>
        <v>-12012.025548964448</v>
      </c>
      <c r="G2468" s="16">
        <f>(-G2455-G2456)/(Inputs!$D$7+$D$2472)^G2446</f>
        <v>-1851.359915178487</v>
      </c>
      <c r="H2468" s="16">
        <f>(-H2455-H2456)/(Inputs!$D$7+$D$2472)^H2446</f>
        <v>-9495.2419037884629</v>
      </c>
      <c r="I2468" s="16">
        <f>(-I2455-I2456)/(Inputs!$D$7+$D$2472)^I2446</f>
        <v>-11507.131858586603</v>
      </c>
      <c r="J2468" s="16">
        <f>(-J2455-J2456)/(Inputs!$D$7+$D$2472)^J2446</f>
        <v>-7846.2835672839774</v>
      </c>
      <c r="K2468" s="16">
        <f>(-K2455-K2456)/(Inputs!$D$7+$D$2472)^K2446</f>
        <v>-1264.5037327904422</v>
      </c>
      <c r="L2468" s="16">
        <f>(-L2455-L2456)/(Inputs!$D$7+$D$2472)^L2446</f>
        <v>-6485.3779822337692</v>
      </c>
      <c r="M2468" s="16">
        <f>(-M2455-M2456)/(Inputs!$D$7+$D$2472)^M2446</f>
        <v>-7859.5258920747219</v>
      </c>
    </row>
    <row r="2469" spans="2:13" ht="15" customHeight="1" x14ac:dyDescent="0.2">
      <c r="B2469" s="10" t="s">
        <v>912</v>
      </c>
      <c r="C2469" s="10" t="s">
        <v>110</v>
      </c>
      <c r="D2469" s="16">
        <f>Prices!I8</f>
        <v>32775</v>
      </c>
    </row>
    <row r="2470" spans="2:13" ht="15" customHeight="1" x14ac:dyDescent="0.2">
      <c r="B2470" s="3" t="s">
        <v>913</v>
      </c>
      <c r="C2470" s="10" t="s">
        <v>914</v>
      </c>
      <c r="D2470" s="28">
        <f>IF(J2477&gt;=J2473,J2477,(D2469-J2476)/J2475)</f>
        <v>41.250499422389446</v>
      </c>
      <c r="G2470" s="99" t="s">
        <v>915</v>
      </c>
      <c r="H2470" s="91"/>
      <c r="I2470" s="91"/>
      <c r="J2470" s="28">
        <f>D2470*Inputs!$D$15</f>
        <v>28.788723546885592</v>
      </c>
      <c r="K2470" s="99" t="s">
        <v>916</v>
      </c>
      <c r="L2470" s="91"/>
      <c r="M2470" s="91"/>
    </row>
    <row r="2471" spans="2:13" ht="15" customHeight="1" x14ac:dyDescent="0.2">
      <c r="B2471" s="10" t="s">
        <v>917</v>
      </c>
      <c r="C2471" s="10" t="s">
        <v>104</v>
      </c>
      <c r="D2471" s="30">
        <f>Inputs!$D$141</f>
        <v>0.59</v>
      </c>
      <c r="G2471" s="99" t="s">
        <v>918</v>
      </c>
      <c r="H2471" s="91"/>
      <c r="I2471" s="91"/>
      <c r="J2471" s="28">
        <f>IF(-D2482/D2481&gt;=J2473,-D2482/D2481,-J2476/J2475)</f>
        <v>32.835087452382361</v>
      </c>
      <c r="K2471" s="99" t="s">
        <v>919</v>
      </c>
      <c r="L2471" s="91"/>
      <c r="M2471" s="91"/>
    </row>
    <row r="2472" spans="2:13" ht="15" customHeight="1" x14ac:dyDescent="0.2">
      <c r="B2472" s="10" t="s">
        <v>920</v>
      </c>
      <c r="C2472" s="10" t="s">
        <v>104</v>
      </c>
      <c r="D2472" s="30">
        <f>Inputs!$D$147</f>
        <v>0.1</v>
      </c>
      <c r="G2472" s="99" t="s">
        <v>918</v>
      </c>
      <c r="H2472" s="91"/>
      <c r="I2472" s="91"/>
      <c r="J2472" s="28">
        <f>J2471*Inputs!$D$15</f>
        <v>22.915607533017649</v>
      </c>
      <c r="K2472" s="99" t="s">
        <v>916</v>
      </c>
      <c r="L2472" s="91"/>
      <c r="M2472" s="91"/>
    </row>
    <row r="2473" spans="2:13" ht="15" customHeight="1" x14ac:dyDescent="0.2">
      <c r="B2473" s="3" t="s">
        <v>921</v>
      </c>
      <c r="C2473" s="10" t="s">
        <v>848</v>
      </c>
      <c r="D2473" s="28">
        <f>Capital!$D$13</f>
        <v>57.347931490590682</v>
      </c>
      <c r="G2473" s="99" t="s">
        <v>922</v>
      </c>
      <c r="H2473" s="91"/>
      <c r="I2473" s="91"/>
      <c r="J2473" s="28">
        <f>($D$2473/Inputs!$D$21+$D$2474/Inputs!$D$22)/$D$2471</f>
        <v>24.521773131961492</v>
      </c>
      <c r="K2473" s="99" t="s">
        <v>919</v>
      </c>
      <c r="L2473" s="91"/>
      <c r="M2473" s="91"/>
    </row>
    <row r="2474" spans="2:13" ht="15" customHeight="1" x14ac:dyDescent="0.2">
      <c r="B2474" s="3" t="s">
        <v>923</v>
      </c>
      <c r="C2474" s="10" t="s">
        <v>848</v>
      </c>
      <c r="D2474" s="28">
        <f>Capital!$D$14</f>
        <v>2.6172655041921802</v>
      </c>
    </row>
    <row r="2475" spans="2:13" ht="15" customHeight="1" x14ac:dyDescent="0.2">
      <c r="B2475" s="10" t="s">
        <v>924</v>
      </c>
      <c r="C2475" s="10" t="s">
        <v>896</v>
      </c>
      <c r="D2475" s="28">
        <f>(M2448*(Inputs!$D$7+Inputs!$D$20)*$D$2471*(Inputs!$D$7-Inputs!$D$19)-M2448*Inputs!$D$20*Inputs!$D$23)/($D$2472-Inputs!$D$20)/(Inputs!$D$7+$D$2472)^M2446</f>
        <v>2033.7232512334531</v>
      </c>
      <c r="G2475" s="92" t="s">
        <v>910</v>
      </c>
      <c r="H2475" s="91"/>
      <c r="I2475" s="91"/>
      <c r="J2475" s="28">
        <f>SUM(D2467:M2467)+(M2448*(Inputs!$D$7+Inputs!$D$20)*$D$2471-M2448*Inputs!$D$20*Inputs!$D$23)/($D$2472-Inputs!$D$20)/(Inputs!$D$7+$D$2472)^M2446</f>
        <v>5572.9513260146196</v>
      </c>
      <c r="K2475" s="99" t="s">
        <v>896</v>
      </c>
      <c r="L2475" s="91"/>
      <c r="M2475" s="91"/>
    </row>
    <row r="2476" spans="2:13" ht="15" customHeight="1" x14ac:dyDescent="0.2">
      <c r="B2476" s="10" t="s">
        <v>925</v>
      </c>
      <c r="C2476" s="10" t="s">
        <v>110</v>
      </c>
      <c r="D2476" s="16">
        <f>(D2479*Inputs!$D$19-D2479-D2480)/($D$2472-Inputs!$D$20)/(Inputs!$D$7+$D$2472)^M2446</f>
        <v>-57156.954988173631</v>
      </c>
      <c r="G2476" s="92" t="s">
        <v>926</v>
      </c>
      <c r="H2476" s="91"/>
      <c r="I2476" s="91"/>
      <c r="J2476" s="16">
        <f>SUM(D2468:M2468)-(D2479+D2480)/($D$2472-Inputs!$D$20)/(Inputs!$D$7+$D$2472)^M2446</f>
        <v>-169036.01450291832</v>
      </c>
      <c r="K2476" s="99" t="s">
        <v>110</v>
      </c>
      <c r="L2476" s="91"/>
      <c r="M2476" s="91"/>
    </row>
    <row r="2477" spans="2:13" ht="15" customHeight="1" x14ac:dyDescent="0.2">
      <c r="B2477" s="10" t="s">
        <v>927</v>
      </c>
      <c r="C2477" s="10" t="s">
        <v>928</v>
      </c>
      <c r="D2477" s="16">
        <f>(M2448*(Inputs!$D$7+Inputs!$D$20)*$D$2470*$D$2471-D2479)-MAX((M2448*(Inputs!$D$7+Inputs!$D$20)*$D$2470*$D$2471-D2479),Inputs!$D$6)*Inputs!$D$19-D2480-M2448*Inputs!$D$20*$D$2470*Inputs!$D$23</f>
        <v>5062.2234551669189</v>
      </c>
      <c r="G2477" s="99" t="s">
        <v>929</v>
      </c>
      <c r="H2477" s="91"/>
      <c r="I2477" s="91"/>
      <c r="J2477" s="28">
        <f>(D2469-D2482)/D2481</f>
        <v>41.250499422389446</v>
      </c>
      <c r="K2477" s="99" t="s">
        <v>919</v>
      </c>
      <c r="L2477" s="91"/>
      <c r="M2477" s="91"/>
    </row>
    <row r="2478" spans="2:13" ht="15" customHeight="1" x14ac:dyDescent="0.2">
      <c r="B2478" s="10" t="s">
        <v>930</v>
      </c>
      <c r="C2478" s="10" t="s">
        <v>110</v>
      </c>
      <c r="D2478" s="16">
        <f>D2477/($D$2472-Inputs!$D$20)</f>
        <v>67496.312735558909</v>
      </c>
      <c r="G2478" s="99" t="s">
        <v>931</v>
      </c>
      <c r="H2478" s="91"/>
      <c r="I2478" s="91"/>
      <c r="J2478" s="16">
        <f>MIN(D2462:M2462,(M2448*(Inputs!$D$7+Inputs!$D$20)*$D$2470*$D$2471-D2479))</f>
        <v>1239.5398786505746</v>
      </c>
      <c r="K2478" s="99" t="s">
        <v>110</v>
      </c>
      <c r="L2478" s="91"/>
      <c r="M2478" s="91"/>
    </row>
    <row r="2479" spans="2:13" ht="15" customHeight="1" x14ac:dyDescent="0.2">
      <c r="B2479" s="10" t="s">
        <v>932</v>
      </c>
      <c r="C2479" s="10" t="s">
        <v>928</v>
      </c>
      <c r="D2479" s="16">
        <f>M2448*(Inputs!$D$7+Inputs!$D$20)*($D$2473/Inputs!$D$21+$D$2474/Inputs!$D$22)</f>
        <v>13509.71303671543</v>
      </c>
      <c r="G2479" s="99" t="s">
        <v>933</v>
      </c>
      <c r="H2479" s="91"/>
      <c r="I2479" s="91"/>
      <c r="J2479" s="31" t="str">
        <f>IF(J2478&lt;Inputs!$D$6,"breached","satisfied")</f>
        <v>satisfied</v>
      </c>
      <c r="K2479" s="99" t="s">
        <v>934</v>
      </c>
      <c r="L2479" s="91"/>
      <c r="M2479" s="91"/>
    </row>
    <row r="2480" spans="2:13" ht="15" customHeight="1" x14ac:dyDescent="0.2">
      <c r="B2480" s="10" t="s">
        <v>935</v>
      </c>
      <c r="C2480" s="10" t="s">
        <v>928</v>
      </c>
      <c r="D2480" s="16">
        <f>M2448*Inputs!$D$20*($D$2473+$D$2474)</f>
        <v>1365.7073615561799</v>
      </c>
    </row>
    <row r="2481" spans="1:13" ht="15" customHeight="1" x14ac:dyDescent="0.2">
      <c r="B2481" s="10" t="s">
        <v>936</v>
      </c>
      <c r="C2481" s="10" t="s">
        <v>896</v>
      </c>
      <c r="D2481" s="28">
        <f>SUM(D2458:M2458)+D2475</f>
        <v>3894.6399911034173</v>
      </c>
      <c r="G2481" s="99" t="s">
        <v>937</v>
      </c>
      <c r="H2481" s="91"/>
      <c r="I2481" s="91"/>
      <c r="J2481" s="16">
        <f>D2483-D2469</f>
        <v>0</v>
      </c>
      <c r="K2481" s="99" t="s">
        <v>110</v>
      </c>
      <c r="L2481" s="91"/>
      <c r="M2481" s="91"/>
    </row>
    <row r="2482" spans="1:13" ht="15" customHeight="1" x14ac:dyDescent="0.2">
      <c r="B2482" s="10" t="s">
        <v>938</v>
      </c>
      <c r="C2482" s="10" t="s">
        <v>110</v>
      </c>
      <c r="D2482" s="16">
        <f>SUM(D2459:M2459)+D2476</f>
        <v>-127880.84470342637</v>
      </c>
    </row>
    <row r="2483" spans="1:13" ht="15" customHeight="1" x14ac:dyDescent="0.2">
      <c r="B2483" s="10" t="s">
        <v>939</v>
      </c>
      <c r="C2483" s="10" t="s">
        <v>110</v>
      </c>
      <c r="D2483" s="16">
        <f>SUM(D2466:M2466)+D2478/(Inputs!$D$7+$D$2472)^M2446</f>
        <v>32774.999999999993</v>
      </c>
    </row>
    <row r="2484" spans="1:13" ht="15" customHeight="1" x14ac:dyDescent="0.2">
      <c r="B2484" s="10" t="s">
        <v>940</v>
      </c>
      <c r="C2484" s="10" t="s">
        <v>104</v>
      </c>
      <c r="D2484" s="30">
        <f>IF(ABS(D2469)&gt;Inputs!$D$6,D2483/D2469-Inputs!$D$7,Inputs!$D$6)</f>
        <v>-2.2204460492503131E-16</v>
      </c>
    </row>
    <row r="2485" spans="1:13" ht="15" customHeight="1" x14ac:dyDescent="0.2">
      <c r="B2485" s="10" t="s">
        <v>941</v>
      </c>
      <c r="C2485" s="10" t="s">
        <v>104</v>
      </c>
      <c r="D2485" s="30">
        <f>IF(ABS(D2483)&gt;Inputs!$D$119,D2478/(Inputs!$D$7+$D$2472)^M2446/D2483,Inputs!$D$6)</f>
        <v>0.81571761440524537</v>
      </c>
    </row>
    <row r="2486" spans="1:13" ht="15" customHeight="1" x14ac:dyDescent="0.2">
      <c r="B2486" s="10" t="s">
        <v>942</v>
      </c>
      <c r="C2486" s="10" t="s">
        <v>943</v>
      </c>
      <c r="D2486" s="26">
        <f>$D$2470*Inputs!$D$8/Prices!$P$6/(Inputs!$D$26/Inputs!$D$25)/Inputs!$D$11/Inputs!$D$56</f>
        <v>7.5015286192748345</v>
      </c>
    </row>
    <row r="2490" spans="1:13" ht="15" customHeight="1" x14ac:dyDescent="0.2">
      <c r="A2490" s="104" t="s">
        <v>2219</v>
      </c>
      <c r="B2490" s="10" t="s">
        <v>886</v>
      </c>
      <c r="C2490" s="10" t="s">
        <v>107</v>
      </c>
      <c r="D2490" s="28">
        <f>Inputs!$D$60</f>
        <v>1</v>
      </c>
      <c r="E2490" s="28">
        <f>Inputs!$D$62</f>
        <v>2</v>
      </c>
      <c r="F2490" s="28">
        <f>Inputs!$D$64</f>
        <v>3</v>
      </c>
      <c r="G2490" s="28">
        <f>Inputs!$D$66</f>
        <v>4</v>
      </c>
      <c r="H2490" s="28">
        <f>Inputs!$D$68</f>
        <v>5</v>
      </c>
      <c r="I2490" s="28">
        <f>Inputs!$D$70</f>
        <v>6</v>
      </c>
      <c r="J2490" s="28">
        <f>Inputs!$D$72</f>
        <v>7</v>
      </c>
      <c r="K2490" s="28">
        <f>Inputs!$D$74</f>
        <v>8</v>
      </c>
      <c r="L2490" s="28">
        <f>Inputs!$D$76</f>
        <v>9</v>
      </c>
      <c r="M2490" s="28">
        <f>Inputs!$D$78</f>
        <v>10</v>
      </c>
    </row>
    <row r="2491" spans="1:13" ht="15" customHeight="1" x14ac:dyDescent="0.2">
      <c r="A2491" s="91"/>
      <c r="B2491" s="10" t="s">
        <v>887</v>
      </c>
      <c r="C2491" s="10" t="s">
        <v>161</v>
      </c>
      <c r="D2491" s="29">
        <f>Inputs!$D$61</f>
        <v>46568</v>
      </c>
      <c r="E2491" s="29">
        <f>Inputs!$D$63</f>
        <v>46934</v>
      </c>
      <c r="F2491" s="29">
        <f>Inputs!$D$65</f>
        <v>47299</v>
      </c>
      <c r="G2491" s="29">
        <f>Inputs!$D$67</f>
        <v>47664</v>
      </c>
      <c r="H2491" s="29">
        <f>Inputs!$D$69</f>
        <v>48029</v>
      </c>
      <c r="I2491" s="29">
        <f>Inputs!$D$71</f>
        <v>48395</v>
      </c>
      <c r="J2491" s="29">
        <f>Inputs!$D$73</f>
        <v>48760</v>
      </c>
      <c r="K2491" s="29">
        <f>Inputs!$D$75</f>
        <v>49125</v>
      </c>
      <c r="L2491" s="29">
        <f>Inputs!$D$77</f>
        <v>49490</v>
      </c>
      <c r="M2491" s="29">
        <f>Inputs!$D$79</f>
        <v>49856</v>
      </c>
    </row>
    <row r="2492" spans="1:13" ht="15" customHeight="1" x14ac:dyDescent="0.2">
      <c r="A2492" s="91"/>
      <c r="B2492" s="10" t="s">
        <v>888</v>
      </c>
      <c r="C2492" s="10" t="s">
        <v>107</v>
      </c>
      <c r="D2492" s="28">
        <f>(D2491-Inputs!$D$13)/Inputs!$D$10</f>
        <v>0.71457905544147848</v>
      </c>
      <c r="E2492" s="28">
        <f>(E2491-Inputs!$D$13)/Inputs!$D$10</f>
        <v>1.7166324435318274</v>
      </c>
      <c r="F2492" s="28">
        <f>(F2491-Inputs!$D$13)/Inputs!$D$10</f>
        <v>2.7159479808350446</v>
      </c>
      <c r="G2492" s="28">
        <f>(G2491-Inputs!$D$13)/Inputs!$D$10</f>
        <v>3.7152635181382614</v>
      </c>
      <c r="H2492" s="28">
        <f>(H2491-Inputs!$D$13)/Inputs!$D$10</f>
        <v>4.7145790554414786</v>
      </c>
      <c r="I2492" s="28">
        <f>(I2491-Inputs!$D$13)/Inputs!$D$10</f>
        <v>5.7166324435318279</v>
      </c>
      <c r="J2492" s="28">
        <f>(J2491-Inputs!$D$13)/Inputs!$D$10</f>
        <v>6.7159479808350442</v>
      </c>
      <c r="K2492" s="28">
        <f>(K2491-Inputs!$D$13)/Inputs!$D$10</f>
        <v>7.7152635181382614</v>
      </c>
      <c r="L2492" s="28">
        <f>(L2491-Inputs!$D$13)/Inputs!$D$10</f>
        <v>8.7145790554414777</v>
      </c>
      <c r="M2492" s="28">
        <f>(M2491-Inputs!$D$13)/Inputs!$D$10</f>
        <v>9.716632443531827</v>
      </c>
    </row>
    <row r="2493" spans="1:13" ht="15" customHeight="1" x14ac:dyDescent="0.2">
      <c r="A2493" s="91"/>
      <c r="B2493" s="10" t="s">
        <v>889</v>
      </c>
      <c r="C2493" s="10" t="s">
        <v>107</v>
      </c>
      <c r="D2493" s="28">
        <f>D2492</f>
        <v>0.71457905544147848</v>
      </c>
      <c r="E2493" s="28">
        <f>Inputs!$D$7</f>
        <v>1</v>
      </c>
      <c r="F2493" s="28">
        <f>Inputs!$D$7</f>
        <v>1</v>
      </c>
      <c r="G2493" s="28">
        <f>Inputs!$D$7</f>
        <v>1</v>
      </c>
      <c r="H2493" s="28">
        <f>Inputs!$D$7</f>
        <v>1</v>
      </c>
      <c r="I2493" s="28">
        <f>Inputs!$D$7</f>
        <v>1</v>
      </c>
      <c r="J2493" s="28">
        <f>Inputs!$D$7</f>
        <v>1</v>
      </c>
      <c r="K2493" s="28">
        <f>Inputs!$D$7</f>
        <v>1</v>
      </c>
      <c r="L2493" s="28">
        <f>Inputs!$D$7</f>
        <v>1</v>
      </c>
      <c r="M2493" s="28">
        <f>Inputs!$D$7</f>
        <v>1</v>
      </c>
    </row>
    <row r="2494" spans="1:13" ht="15" customHeight="1" x14ac:dyDescent="0.2">
      <c r="A2494" s="91"/>
      <c r="B2494" s="3" t="s">
        <v>890</v>
      </c>
      <c r="C2494" s="10" t="s">
        <v>199</v>
      </c>
      <c r="D2494" s="28">
        <f>Inputs!$D$24+(Inputs!$D$80-Inputs!$D$24)*Inputs!$D$83</f>
        <v>305.5</v>
      </c>
      <c r="E2494" s="28">
        <f>Inputs!$D$24+(Inputs!$D$80-Inputs!$D$24)*Inputs!$D$84</f>
        <v>651.5</v>
      </c>
      <c r="F2494" s="28">
        <f>Inputs!$D$24+(Inputs!$D$80-Inputs!$D$24)*Inputs!$D$85</f>
        <v>911</v>
      </c>
      <c r="G2494" s="28">
        <f>Inputs!$D$24+(Inputs!$D$80-Inputs!$D$24)*Inputs!$D$86</f>
        <v>911</v>
      </c>
      <c r="H2494" s="28">
        <f>Inputs!$D$24+(Inputs!$D$80-Inputs!$D$24)*Inputs!$D$87</f>
        <v>911</v>
      </c>
      <c r="I2494" s="28">
        <f>Inputs!$D$24+(Inputs!$D$80-Inputs!$D$24)*Inputs!$D$88</f>
        <v>911</v>
      </c>
      <c r="J2494" s="28">
        <f>Inputs!$D$24+(Inputs!$D$80-Inputs!$D$24)*Inputs!$D$89</f>
        <v>911</v>
      </c>
      <c r="K2494" s="28">
        <f>Inputs!$D$24+(Inputs!$D$80-Inputs!$D$24)*Inputs!$D$90</f>
        <v>911</v>
      </c>
      <c r="L2494" s="28">
        <f>Inputs!$D$24+(Inputs!$D$80-Inputs!$D$24)*Inputs!$D$91</f>
        <v>911</v>
      </c>
      <c r="M2494" s="28">
        <f>Inputs!$D$24+(Inputs!$D$80-Inputs!$D$24)*Inputs!$D$92</f>
        <v>911</v>
      </c>
    </row>
    <row r="2495" spans="1:13" ht="15" customHeight="1" x14ac:dyDescent="0.2">
      <c r="A2495" s="91"/>
      <c r="B2495" s="10" t="s">
        <v>891</v>
      </c>
      <c r="C2495" s="10" t="s">
        <v>199</v>
      </c>
      <c r="D2495" s="28">
        <f>Inputs!$D$24</f>
        <v>46</v>
      </c>
      <c r="E2495" s="28">
        <f t="shared" ref="E2495:M2495" si="540">D2494</f>
        <v>305.5</v>
      </c>
      <c r="F2495" s="28">
        <f t="shared" si="540"/>
        <v>651.5</v>
      </c>
      <c r="G2495" s="28">
        <f t="shared" si="540"/>
        <v>911</v>
      </c>
      <c r="H2495" s="28">
        <f t="shared" si="540"/>
        <v>911</v>
      </c>
      <c r="I2495" s="28">
        <f t="shared" si="540"/>
        <v>911</v>
      </c>
      <c r="J2495" s="28">
        <f t="shared" si="540"/>
        <v>911</v>
      </c>
      <c r="K2495" s="28">
        <f t="shared" si="540"/>
        <v>911</v>
      </c>
      <c r="L2495" s="28">
        <f t="shared" si="540"/>
        <v>911</v>
      </c>
      <c r="M2495" s="28">
        <f t="shared" si="540"/>
        <v>911</v>
      </c>
    </row>
    <row r="2496" spans="1:13" ht="15" customHeight="1" x14ac:dyDescent="0.2">
      <c r="B2496" s="10" t="s">
        <v>892</v>
      </c>
      <c r="C2496" s="10" t="s">
        <v>199</v>
      </c>
      <c r="D2496" s="28">
        <f>(D2495+D2494)*Inputs!$D$12</f>
        <v>175.75</v>
      </c>
      <c r="E2496" s="28">
        <f>(E2495+E2494)*Inputs!$D$12</f>
        <v>478.5</v>
      </c>
      <c r="F2496" s="28">
        <f>(F2495+F2494)*Inputs!$D$12</f>
        <v>781.25</v>
      </c>
      <c r="G2496" s="28">
        <f>(G2495+G2494)*Inputs!$D$12</f>
        <v>911</v>
      </c>
      <c r="H2496" s="28">
        <f>(H2495+H2494)*Inputs!$D$12</f>
        <v>911</v>
      </c>
      <c r="I2496" s="28">
        <f>(I2495+I2494)*Inputs!$D$12</f>
        <v>911</v>
      </c>
      <c r="J2496" s="28">
        <f>(J2495+J2494)*Inputs!$D$12</f>
        <v>911</v>
      </c>
      <c r="K2496" s="28">
        <f>(K2495+K2494)*Inputs!$D$12</f>
        <v>911</v>
      </c>
      <c r="L2496" s="28">
        <f>(L2495+L2494)*Inputs!$D$12</f>
        <v>911</v>
      </c>
      <c r="M2496" s="28">
        <f>(M2495+M2494)*Inputs!$D$12</f>
        <v>911</v>
      </c>
    </row>
    <row r="2497" spans="2:13" ht="15" customHeight="1" x14ac:dyDescent="0.2">
      <c r="B2497" s="10" t="s">
        <v>893</v>
      </c>
      <c r="C2497" s="10" t="s">
        <v>199</v>
      </c>
      <c r="D2497" s="28">
        <f t="shared" ref="D2497:M2497" si="541">D2494-D2495</f>
        <v>259.5</v>
      </c>
      <c r="E2497" s="28">
        <f t="shared" si="541"/>
        <v>346</v>
      </c>
      <c r="F2497" s="28">
        <f t="shared" si="541"/>
        <v>259.5</v>
      </c>
      <c r="G2497" s="28">
        <f t="shared" si="541"/>
        <v>0</v>
      </c>
      <c r="H2497" s="28">
        <f t="shared" si="541"/>
        <v>0</v>
      </c>
      <c r="I2497" s="28">
        <f t="shared" si="541"/>
        <v>0</v>
      </c>
      <c r="J2497" s="28">
        <f t="shared" si="541"/>
        <v>0</v>
      </c>
      <c r="K2497" s="28">
        <f t="shared" si="541"/>
        <v>0</v>
      </c>
      <c r="L2497" s="28">
        <f t="shared" si="541"/>
        <v>0</v>
      </c>
      <c r="M2497" s="28">
        <f t="shared" si="541"/>
        <v>0</v>
      </c>
    </row>
    <row r="2498" spans="2:13" ht="15" customHeight="1" x14ac:dyDescent="0.2">
      <c r="B2498" s="10" t="s">
        <v>894</v>
      </c>
      <c r="C2498" s="10" t="s">
        <v>199</v>
      </c>
      <c r="D2498" s="28">
        <f>IF(MOD(D2490,Inputs!$D$21)=Inputs!$D$6,Inputs!$D$24,Inputs!$D$6)+SUMPRODUCT(--(D2490&gt;$D$2490:$M$2490),--(MOD(D2490-$D$2490:$M$2490,Inputs!$D$21)=Inputs!$D$6),$D$2497:$M$2497)</f>
        <v>0</v>
      </c>
      <c r="E2498" s="28">
        <f>IF(MOD(E2490,Inputs!$D$21)=Inputs!$D$6,Inputs!$D$24,Inputs!$D$6)+SUMPRODUCT(--(E2490&gt;$D$2490:$M$2490),--(MOD(E2490-$D$2490:$M$2490,Inputs!$D$21)=Inputs!$D$6),$D$2497:$M$2497)</f>
        <v>0</v>
      </c>
      <c r="F2498" s="28">
        <f>IF(MOD(F2490,Inputs!$D$21)=Inputs!$D$6,Inputs!$D$24,Inputs!$D$6)+SUMPRODUCT(--(F2490&gt;$D$2490:$M$2490),--(MOD(F2490-$D$2490:$M$2490,Inputs!$D$21)=Inputs!$D$6),$D$2497:$M$2497)</f>
        <v>0</v>
      </c>
      <c r="G2498" s="28">
        <f>IF(MOD(G2490,Inputs!$D$21)=Inputs!$D$6,Inputs!$D$24,Inputs!$D$6)+SUMPRODUCT(--(G2490&gt;$D$2490:$M$2490),--(MOD(G2490-$D$2490:$M$2490,Inputs!$D$21)=Inputs!$D$6),$D$2497:$M$2497)</f>
        <v>46</v>
      </c>
      <c r="H2498" s="28">
        <f>IF(MOD(H2490,Inputs!$D$21)=Inputs!$D$6,Inputs!$D$24,Inputs!$D$6)+SUMPRODUCT(--(H2490&gt;$D$2490:$M$2490),--(MOD(H2490-$D$2490:$M$2490,Inputs!$D$21)=Inputs!$D$6),$D$2497:$M$2497)</f>
        <v>259.5</v>
      </c>
      <c r="I2498" s="28">
        <f>IF(MOD(I2490,Inputs!$D$21)=Inputs!$D$6,Inputs!$D$24,Inputs!$D$6)+SUMPRODUCT(--(I2490&gt;$D$2490:$M$2490),--(MOD(I2490-$D$2490:$M$2490,Inputs!$D$21)=Inputs!$D$6),$D$2497:$M$2497)</f>
        <v>346</v>
      </c>
      <c r="J2498" s="28">
        <f>IF(MOD(J2490,Inputs!$D$21)=Inputs!$D$6,Inputs!$D$24,Inputs!$D$6)+SUMPRODUCT(--(J2490&gt;$D$2490:$M$2490),--(MOD(J2490-$D$2490:$M$2490,Inputs!$D$21)=Inputs!$D$6),$D$2497:$M$2497)</f>
        <v>259.5</v>
      </c>
      <c r="K2498" s="28">
        <f>IF(MOD(K2490,Inputs!$D$21)=Inputs!$D$6,Inputs!$D$24,Inputs!$D$6)+SUMPRODUCT(--(K2490&gt;$D$2490:$M$2490),--(MOD(K2490-$D$2490:$M$2490,Inputs!$D$21)=Inputs!$D$6),$D$2497:$M$2497)</f>
        <v>46</v>
      </c>
      <c r="L2498" s="28">
        <f>IF(MOD(L2490,Inputs!$D$21)=Inputs!$D$6,Inputs!$D$24,Inputs!$D$6)+SUMPRODUCT(--(L2490&gt;$D$2490:$M$2490),--(MOD(L2490-$D$2490:$M$2490,Inputs!$D$21)=Inputs!$D$6),$D$2497:$M$2497)</f>
        <v>259.5</v>
      </c>
      <c r="M2498" s="28">
        <f>IF(MOD(M2490,Inputs!$D$21)=Inputs!$D$6,Inputs!$D$24,Inputs!$D$6)+SUMPRODUCT(--(M2490&gt;$D$2490:$M$2490),--(MOD(M2490-$D$2490:$M$2490,Inputs!$D$21)=Inputs!$D$6),$D$2497:$M$2497)</f>
        <v>346</v>
      </c>
    </row>
    <row r="2499" spans="2:13" ht="15" customHeight="1" x14ac:dyDescent="0.2">
      <c r="B2499" s="10" t="s">
        <v>895</v>
      </c>
      <c r="C2499" s="10" t="s">
        <v>896</v>
      </c>
      <c r="D2499" s="28">
        <f t="shared" ref="D2499:M2499" si="542">D2496*D2493</f>
        <v>125.58726899383984</v>
      </c>
      <c r="E2499" s="28">
        <f t="shared" si="542"/>
        <v>478.5</v>
      </c>
      <c r="F2499" s="28">
        <f t="shared" si="542"/>
        <v>781.25</v>
      </c>
      <c r="G2499" s="28">
        <f t="shared" si="542"/>
        <v>911</v>
      </c>
      <c r="H2499" s="28">
        <f t="shared" si="542"/>
        <v>911</v>
      </c>
      <c r="I2499" s="28">
        <f t="shared" si="542"/>
        <v>911</v>
      </c>
      <c r="J2499" s="28">
        <f t="shared" si="542"/>
        <v>911</v>
      </c>
      <c r="K2499" s="28">
        <f t="shared" si="542"/>
        <v>911</v>
      </c>
      <c r="L2499" s="28">
        <f t="shared" si="542"/>
        <v>911</v>
      </c>
      <c r="M2499" s="28">
        <f t="shared" si="542"/>
        <v>911</v>
      </c>
    </row>
    <row r="2500" spans="2:13" ht="15" customHeight="1" x14ac:dyDescent="0.2">
      <c r="B2500" s="10" t="s">
        <v>897</v>
      </c>
      <c r="C2500" s="10" t="s">
        <v>110</v>
      </c>
      <c r="D2500" s="16">
        <f>D2499*($D$2519/Inputs!$D$21+$D$2520/Inputs!$D$22)</f>
        <v>1816.9772859324419</v>
      </c>
      <c r="E2500" s="16">
        <f>E2499*($D$2519/Inputs!$D$21+$D$2520/Inputs!$D$22)</f>
        <v>6922.8643817497086</v>
      </c>
      <c r="F2500" s="16">
        <f>F2499*($D$2519/Inputs!$D$21+$D$2520/Inputs!$D$22)</f>
        <v>11303.0048030135</v>
      </c>
      <c r="G2500" s="16">
        <f>G2499*($D$2519/Inputs!$D$21+$D$2520/Inputs!$D$22)</f>
        <v>13180.207840697982</v>
      </c>
      <c r="H2500" s="16">
        <f>H2499*($D$2519/Inputs!$D$21+$D$2520/Inputs!$D$22)</f>
        <v>13180.207840697982</v>
      </c>
      <c r="I2500" s="16">
        <f>I2499*($D$2519/Inputs!$D$21+$D$2520/Inputs!$D$22)</f>
        <v>13180.207840697982</v>
      </c>
      <c r="J2500" s="16">
        <f>J2499*($D$2519/Inputs!$D$21+$D$2520/Inputs!$D$22)</f>
        <v>13180.207840697982</v>
      </c>
      <c r="K2500" s="16">
        <f>K2499*($D$2519/Inputs!$D$21+$D$2520/Inputs!$D$22)</f>
        <v>13180.207840697982</v>
      </c>
      <c r="L2500" s="16">
        <f>L2499*($D$2519/Inputs!$D$21+$D$2520/Inputs!$D$22)</f>
        <v>13180.207840697982</v>
      </c>
      <c r="M2500" s="16">
        <f>M2499*($D$2519/Inputs!$D$21+$D$2520/Inputs!$D$22)</f>
        <v>13180.207840697982</v>
      </c>
    </row>
    <row r="2501" spans="2:13" ht="15" customHeight="1" x14ac:dyDescent="0.2">
      <c r="B2501" s="10" t="s">
        <v>898</v>
      </c>
      <c r="C2501" s="10" t="s">
        <v>110</v>
      </c>
      <c r="D2501" s="16">
        <f t="shared" ref="D2501:M2501" si="543">D2497*($D$2519+$D$2520)</f>
        <v>15560.968620146154</v>
      </c>
      <c r="E2501" s="16">
        <f t="shared" si="543"/>
        <v>20747.95816019487</v>
      </c>
      <c r="F2501" s="16">
        <f t="shared" si="543"/>
        <v>15560.968620146154</v>
      </c>
      <c r="G2501" s="16">
        <f t="shared" si="543"/>
        <v>0</v>
      </c>
      <c r="H2501" s="16">
        <f t="shared" si="543"/>
        <v>0</v>
      </c>
      <c r="I2501" s="16">
        <f t="shared" si="543"/>
        <v>0</v>
      </c>
      <c r="J2501" s="16">
        <f t="shared" si="543"/>
        <v>0</v>
      </c>
      <c r="K2501" s="16">
        <f t="shared" si="543"/>
        <v>0</v>
      </c>
      <c r="L2501" s="16">
        <f t="shared" si="543"/>
        <v>0</v>
      </c>
      <c r="M2501" s="16">
        <f t="shared" si="543"/>
        <v>0</v>
      </c>
    </row>
    <row r="2502" spans="2:13" ht="15" customHeight="1" x14ac:dyDescent="0.2">
      <c r="B2502" s="10" t="s">
        <v>899</v>
      </c>
      <c r="C2502" s="10" t="s">
        <v>110</v>
      </c>
      <c r="D2502" s="16">
        <f t="shared" ref="D2502:M2502" si="544">D2498*$D$2519</f>
        <v>0</v>
      </c>
      <c r="E2502" s="16">
        <f t="shared" si="544"/>
        <v>0</v>
      </c>
      <c r="F2502" s="16">
        <f t="shared" si="544"/>
        <v>0</v>
      </c>
      <c r="G2502" s="16">
        <f t="shared" si="544"/>
        <v>2638.0048485671714</v>
      </c>
      <c r="H2502" s="16">
        <f t="shared" si="544"/>
        <v>14881.788221808281</v>
      </c>
      <c r="I2502" s="16">
        <f t="shared" si="544"/>
        <v>19842.384295744378</v>
      </c>
      <c r="J2502" s="16">
        <f t="shared" si="544"/>
        <v>14881.788221808281</v>
      </c>
      <c r="K2502" s="16">
        <f t="shared" si="544"/>
        <v>2638.0048485671714</v>
      </c>
      <c r="L2502" s="16">
        <f t="shared" si="544"/>
        <v>14881.788221808281</v>
      </c>
      <c r="M2502" s="16">
        <f t="shared" si="544"/>
        <v>19842.384295744378</v>
      </c>
    </row>
    <row r="2503" spans="2:13" ht="15" customHeight="1" x14ac:dyDescent="0.2">
      <c r="B2503" s="10" t="s">
        <v>900</v>
      </c>
      <c r="C2503" s="10" t="s">
        <v>199</v>
      </c>
      <c r="D2503" s="28">
        <f>D2497*Inputs!$D$23</f>
        <v>6.4875000000000007</v>
      </c>
      <c r="E2503" s="28">
        <f>E2497*Inputs!$D$23</f>
        <v>8.65</v>
      </c>
      <c r="F2503" s="28">
        <f>F2497*Inputs!$D$23</f>
        <v>6.4875000000000007</v>
      </c>
      <c r="G2503" s="28">
        <f>G2497*Inputs!$D$23</f>
        <v>0</v>
      </c>
      <c r="H2503" s="28">
        <f>H2497*Inputs!$D$23</f>
        <v>0</v>
      </c>
      <c r="I2503" s="28">
        <f>I2497*Inputs!$D$23</f>
        <v>0</v>
      </c>
      <c r="J2503" s="28">
        <f>J2497*Inputs!$D$23</f>
        <v>0</v>
      </c>
      <c r="K2503" s="28">
        <f>K2497*Inputs!$D$23</f>
        <v>0</v>
      </c>
      <c r="L2503" s="28">
        <f>L2497*Inputs!$D$23</f>
        <v>0</v>
      </c>
      <c r="M2503" s="28">
        <f>M2497*Inputs!$D$23</f>
        <v>0</v>
      </c>
    </row>
    <row r="2504" spans="2:13" ht="15" customHeight="1" x14ac:dyDescent="0.2">
      <c r="B2504" s="3" t="s">
        <v>901</v>
      </c>
      <c r="C2504" s="10" t="s">
        <v>896</v>
      </c>
      <c r="D2504" s="28">
        <f>(D2499*$D$2517*(Inputs!$D$7-Inputs!$D$19)-D2503)/(Inputs!$D$7+$D$2518)^D2492</f>
        <v>41.849929069079735</v>
      </c>
      <c r="E2504" s="28">
        <f>(E2499*$D$2517*(Inputs!$D$7-Inputs!$D$19)-E2503)/(Inputs!$D$7+$D$2518)^E2492</f>
        <v>155.56244401500442</v>
      </c>
      <c r="F2504" s="28">
        <f>(F2499*$D$2517*(Inputs!$D$7-Inputs!$D$19)-F2503)/(Inputs!$D$7+$D$2518)^F2492</f>
        <v>232.40493879158302</v>
      </c>
      <c r="G2504" s="28">
        <f>(G2499*$D$2517*(Inputs!$D$7-Inputs!$D$19)-G2503)/(Inputs!$D$7+$D$2518)^G2492</f>
        <v>246.95083819233108</v>
      </c>
      <c r="H2504" s="28">
        <f>(H2499*$D$2517*(Inputs!$D$7-Inputs!$D$19)-H2503)/(Inputs!$D$7+$D$2518)^H2492</f>
        <v>220.50892386470983</v>
      </c>
      <c r="I2504" s="28">
        <f>(I2499*$D$2517*(Inputs!$D$7-Inputs!$D$19)-I2503)/(Inputs!$D$7+$D$2518)^I2492</f>
        <v>196.83715686992173</v>
      </c>
      <c r="J2504" s="28">
        <f>(J2499*$D$2517*(Inputs!$D$7-Inputs!$D$19)-J2503)/(Inputs!$D$7+$D$2518)^J2492</f>
        <v>175.76109461985791</v>
      </c>
      <c r="K2504" s="28">
        <f>(K2499*$D$2517*(Inputs!$D$7-Inputs!$D$19)-K2503)/(Inputs!$D$7+$D$2518)^K2492</f>
        <v>156.94172214845261</v>
      </c>
      <c r="L2504" s="28">
        <f>(L2499*$D$2517*(Inputs!$D$7-Inputs!$D$19)-L2503)/(Inputs!$D$7+$D$2518)^L2492</f>
        <v>140.13740756561756</v>
      </c>
      <c r="M2504" s="28">
        <f>(M2499*$D$2517*(Inputs!$D$7-Inputs!$D$19)-M2503)/(Inputs!$D$7+$D$2518)^M2492</f>
        <v>125.09357169264298</v>
      </c>
    </row>
    <row r="2505" spans="2:13" ht="15" customHeight="1" x14ac:dyDescent="0.2">
      <c r="B2505" s="10" t="s">
        <v>902</v>
      </c>
      <c r="C2505" s="10" t="s">
        <v>110</v>
      </c>
      <c r="D2505" s="16">
        <f>(D2500*Inputs!$D$19-D2501-D2502)/(Inputs!$D$7+$D$2518)^D2492</f>
        <v>-13847.790632947557</v>
      </c>
      <c r="E2505" s="16">
        <f>(E2500*Inputs!$D$19-E2501-E2502)/(Inputs!$D$7+$D$2518)^E2492</f>
        <v>-15370.239105459035</v>
      </c>
      <c r="F2505" s="16">
        <f>(F2500*Inputs!$D$19-F2501-F2502)/(Inputs!$D$7+$D$2518)^F2492</f>
        <v>-8945.8041564234754</v>
      </c>
      <c r="G2505" s="16">
        <f>(G2500*Inputs!$D$19-G2501-G2502)/(Inputs!$D$7+$D$2518)^G2492</f>
        <v>863.80744262020482</v>
      </c>
      <c r="H2505" s="16">
        <f>(H2500*Inputs!$D$19-H2501-H2502)/(Inputs!$D$7+$D$2518)^H2492</f>
        <v>-6404.5339628745278</v>
      </c>
      <c r="I2505" s="16">
        <f>(I2500*Inputs!$D$19-I2501-I2502)/(Inputs!$D$7+$D$2518)^I2492</f>
        <v>-8312.2134333380691</v>
      </c>
      <c r="J2505" s="16">
        <f>(J2500*Inputs!$D$19-J2501-J2502)/(Inputs!$D$7+$D$2518)^J2492</f>
        <v>-5104.8632414329013</v>
      </c>
      <c r="K2505" s="16">
        <f>(K2500*Inputs!$D$19-K2501-K2502)/(Inputs!$D$7+$D$2518)^K2492</f>
        <v>548.96524604578394</v>
      </c>
      <c r="L2505" s="16">
        <f>(L2500*Inputs!$D$19-L2501-L2502)/(Inputs!$D$7+$D$2518)^L2492</f>
        <v>-4070.1971171644977</v>
      </c>
      <c r="M2505" s="16">
        <f>(M2500*Inputs!$D$19-M2501-M2502)/(Inputs!$D$7+$D$2518)^M2492</f>
        <v>-5282.5619084458349</v>
      </c>
    </row>
    <row r="2506" spans="2:13" ht="15" customHeight="1" x14ac:dyDescent="0.2">
      <c r="B2506" s="10" t="s">
        <v>903</v>
      </c>
      <c r="C2506" s="10" t="s">
        <v>110</v>
      </c>
      <c r="D2506" s="16">
        <f t="shared" ref="D2506:M2506" si="545">D2499*$D$2516</f>
        <v>5642.6809186555683</v>
      </c>
      <c r="E2506" s="16">
        <f t="shared" si="545"/>
        <v>21499.17616019764</v>
      </c>
      <c r="F2506" s="16">
        <f t="shared" si="545"/>
        <v>35101.841954345677</v>
      </c>
      <c r="G2506" s="16">
        <f t="shared" si="545"/>
        <v>40931.555866123403</v>
      </c>
      <c r="H2506" s="16">
        <f t="shared" si="545"/>
        <v>40931.555866123403</v>
      </c>
      <c r="I2506" s="16">
        <f t="shared" si="545"/>
        <v>40931.555866123403</v>
      </c>
      <c r="J2506" s="16">
        <f t="shared" si="545"/>
        <v>40931.555866123403</v>
      </c>
      <c r="K2506" s="16">
        <f t="shared" si="545"/>
        <v>40931.555866123403</v>
      </c>
      <c r="L2506" s="16">
        <f t="shared" si="545"/>
        <v>40931.555866123403</v>
      </c>
      <c r="M2506" s="16">
        <f t="shared" si="545"/>
        <v>40931.555866123403</v>
      </c>
    </row>
    <row r="2507" spans="2:13" ht="15" customHeight="1" x14ac:dyDescent="0.2">
      <c r="B2507" s="10" t="s">
        <v>904</v>
      </c>
      <c r="C2507" s="10" t="s">
        <v>110</v>
      </c>
      <c r="D2507" s="16">
        <f t="shared" ref="D2507:M2507" si="546">D2506*$D$2517</f>
        <v>3329.181742006785</v>
      </c>
      <c r="E2507" s="16">
        <f t="shared" si="546"/>
        <v>12684.513934516606</v>
      </c>
      <c r="F2507" s="16">
        <f t="shared" si="546"/>
        <v>20710.086753063948</v>
      </c>
      <c r="G2507" s="16">
        <f t="shared" si="546"/>
        <v>24149.617961012806</v>
      </c>
      <c r="H2507" s="16">
        <f t="shared" si="546"/>
        <v>24149.617961012806</v>
      </c>
      <c r="I2507" s="16">
        <f t="shared" si="546"/>
        <v>24149.617961012806</v>
      </c>
      <c r="J2507" s="16">
        <f t="shared" si="546"/>
        <v>24149.617961012806</v>
      </c>
      <c r="K2507" s="16">
        <f t="shared" si="546"/>
        <v>24149.617961012806</v>
      </c>
      <c r="L2507" s="16">
        <f t="shared" si="546"/>
        <v>24149.617961012806</v>
      </c>
      <c r="M2507" s="16">
        <f t="shared" si="546"/>
        <v>24149.617961012806</v>
      </c>
    </row>
    <row r="2508" spans="2:13" ht="15" customHeight="1" x14ac:dyDescent="0.2">
      <c r="B2508" s="10" t="s">
        <v>905</v>
      </c>
      <c r="C2508" s="10" t="s">
        <v>110</v>
      </c>
      <c r="D2508" s="16">
        <f t="shared" ref="D2508:M2508" si="547">D2507-D2500</f>
        <v>1512.2044560743432</v>
      </c>
      <c r="E2508" s="16">
        <f t="shared" si="547"/>
        <v>5761.6495527668976</v>
      </c>
      <c r="F2508" s="16">
        <f t="shared" si="547"/>
        <v>9407.0819500504476</v>
      </c>
      <c r="G2508" s="16">
        <f t="shared" si="547"/>
        <v>10969.410120314824</v>
      </c>
      <c r="H2508" s="16">
        <f t="shared" si="547"/>
        <v>10969.410120314824</v>
      </c>
      <c r="I2508" s="16">
        <f t="shared" si="547"/>
        <v>10969.410120314824</v>
      </c>
      <c r="J2508" s="16">
        <f t="shared" si="547"/>
        <v>10969.410120314824</v>
      </c>
      <c r="K2508" s="16">
        <f t="shared" si="547"/>
        <v>10969.410120314824</v>
      </c>
      <c r="L2508" s="16">
        <f t="shared" si="547"/>
        <v>10969.410120314824</v>
      </c>
      <c r="M2508" s="16">
        <f t="shared" si="547"/>
        <v>10969.410120314824</v>
      </c>
    </row>
    <row r="2509" spans="2:13" ht="15" customHeight="1" x14ac:dyDescent="0.2">
      <c r="B2509" s="10" t="s">
        <v>906</v>
      </c>
      <c r="C2509" s="10" t="s">
        <v>110</v>
      </c>
      <c r="D2509" s="16">
        <f>MAX(D2508,Inputs!$D$6)*Inputs!$D$19</f>
        <v>453.66133682230293</v>
      </c>
      <c r="E2509" s="16">
        <f>MAX(E2508,Inputs!$D$6)*Inputs!$D$19</f>
        <v>1728.4948658300693</v>
      </c>
      <c r="F2509" s="16">
        <f>MAX(F2508,Inputs!$D$6)*Inputs!$D$19</f>
        <v>2822.124585015134</v>
      </c>
      <c r="G2509" s="16">
        <f>MAX(G2508,Inputs!$D$6)*Inputs!$D$19</f>
        <v>3290.8230360944472</v>
      </c>
      <c r="H2509" s="16">
        <f>MAX(H2508,Inputs!$D$6)*Inputs!$D$19</f>
        <v>3290.8230360944472</v>
      </c>
      <c r="I2509" s="16">
        <f>MAX(I2508,Inputs!$D$6)*Inputs!$D$19</f>
        <v>3290.8230360944472</v>
      </c>
      <c r="J2509" s="16">
        <f>MAX(J2508,Inputs!$D$6)*Inputs!$D$19</f>
        <v>3290.8230360944472</v>
      </c>
      <c r="K2509" s="16">
        <f>MAX(K2508,Inputs!$D$6)*Inputs!$D$19</f>
        <v>3290.8230360944472</v>
      </c>
      <c r="L2509" s="16">
        <f>MAX(L2508,Inputs!$D$6)*Inputs!$D$19</f>
        <v>3290.8230360944472</v>
      </c>
      <c r="M2509" s="16">
        <f>MAX(M2508,Inputs!$D$6)*Inputs!$D$19</f>
        <v>3290.8230360944472</v>
      </c>
    </row>
    <row r="2510" spans="2:13" ht="15" customHeight="1" x14ac:dyDescent="0.2">
      <c r="B2510" s="10" t="s">
        <v>907</v>
      </c>
      <c r="C2510" s="10" t="s">
        <v>110</v>
      </c>
      <c r="D2510" s="16">
        <f t="shared" ref="D2510:M2510" si="548">D2503*$D$2516</f>
        <v>291.48569558888653</v>
      </c>
      <c r="E2510" s="16">
        <f t="shared" si="548"/>
        <v>388.64759411851531</v>
      </c>
      <c r="F2510" s="16">
        <f t="shared" si="548"/>
        <v>291.48569558888653</v>
      </c>
      <c r="G2510" s="16">
        <f t="shared" si="548"/>
        <v>0</v>
      </c>
      <c r="H2510" s="16">
        <f t="shared" si="548"/>
        <v>0</v>
      </c>
      <c r="I2510" s="16">
        <f t="shared" si="548"/>
        <v>0</v>
      </c>
      <c r="J2510" s="16">
        <f t="shared" si="548"/>
        <v>0</v>
      </c>
      <c r="K2510" s="16">
        <f t="shared" si="548"/>
        <v>0</v>
      </c>
      <c r="L2510" s="16">
        <f t="shared" si="548"/>
        <v>0</v>
      </c>
      <c r="M2510" s="16">
        <f t="shared" si="548"/>
        <v>0</v>
      </c>
    </row>
    <row r="2511" spans="2:13" ht="15" customHeight="1" x14ac:dyDescent="0.2">
      <c r="B2511" s="10" t="s">
        <v>908</v>
      </c>
      <c r="C2511" s="10" t="s">
        <v>110</v>
      </c>
      <c r="D2511" s="16">
        <f t="shared" ref="D2511:M2511" si="549">D2507-D2509-D2501-D2502-D2510</f>
        <v>-12976.933910550557</v>
      </c>
      <c r="E2511" s="16">
        <f t="shared" si="549"/>
        <v>-10180.586685626848</v>
      </c>
      <c r="F2511" s="16">
        <f t="shared" si="549"/>
        <v>2035.5078523137724</v>
      </c>
      <c r="G2511" s="16">
        <f t="shared" si="549"/>
        <v>18220.790076351186</v>
      </c>
      <c r="H2511" s="16">
        <f t="shared" si="549"/>
        <v>5977.0067031100771</v>
      </c>
      <c r="I2511" s="16">
        <f t="shared" si="549"/>
        <v>1016.4106291739809</v>
      </c>
      <c r="J2511" s="16">
        <f t="shared" si="549"/>
        <v>5977.0067031100771</v>
      </c>
      <c r="K2511" s="16">
        <f t="shared" si="549"/>
        <v>18220.790076351186</v>
      </c>
      <c r="L2511" s="16">
        <f t="shared" si="549"/>
        <v>5977.0067031100771</v>
      </c>
      <c r="M2511" s="16">
        <f t="shared" si="549"/>
        <v>1016.4106291739809</v>
      </c>
    </row>
    <row r="2512" spans="2:13" ht="15" customHeight="1" x14ac:dyDescent="0.2">
      <c r="B2512" s="10" t="s">
        <v>909</v>
      </c>
      <c r="C2512" s="10" t="s">
        <v>110</v>
      </c>
      <c r="D2512" s="16">
        <f>D2511/(Inputs!$D$7+$D$2518)^D2492</f>
        <v>-11967.458350088787</v>
      </c>
      <c r="E2512" s="16">
        <f>E2511/(Inputs!$D$7+$D$2518)^E2492</f>
        <v>-8380.7628509356018</v>
      </c>
      <c r="F2512" s="16">
        <f>F2511/(Inputs!$D$7+$D$2518)^F2492</f>
        <v>1496.2328750920794</v>
      </c>
      <c r="G2512" s="16">
        <f>G2511/(Inputs!$D$7+$D$2518)^G2492</f>
        <v>11959.396937302312</v>
      </c>
      <c r="H2512" s="16">
        <f>H2511/(Inputs!$D$7+$D$2518)^H2492</f>
        <v>3503.0108627534873</v>
      </c>
      <c r="I2512" s="16">
        <f>I2511/(Inputs!$D$7+$D$2518)^I2492</f>
        <v>531.75043378607631</v>
      </c>
      <c r="J2512" s="16">
        <f>J2511/(Inputs!$D$7+$D$2518)^J2492</f>
        <v>2792.14560985548</v>
      </c>
      <c r="K2512" s="16">
        <f>K2511/(Inputs!$D$7+$D$2518)^K2492</f>
        <v>7600.412960474986</v>
      </c>
      <c r="L2512" s="16">
        <f>L2511/(Inputs!$D$7+$D$2518)^L2492</f>
        <v>2226.2267321283452</v>
      </c>
      <c r="M2512" s="16">
        <f>M2511/(Inputs!$D$7+$D$2518)^M2492</f>
        <v>337.93701387066267</v>
      </c>
    </row>
    <row r="2513" spans="2:13" ht="15" customHeight="1" x14ac:dyDescent="0.2">
      <c r="B2513" s="3" t="s">
        <v>910</v>
      </c>
      <c r="C2513" s="10" t="s">
        <v>896</v>
      </c>
      <c r="D2513" s="28">
        <f>(D2499*$D$2517-D2503)/(Inputs!$D$7+$D$2518)^D2492</f>
        <v>62.349686144061238</v>
      </c>
      <c r="E2513" s="28">
        <f>(E2499*$D$2517-E2503)/(Inputs!$D$7+$D$2518)^E2492</f>
        <v>225.28382070940276</v>
      </c>
      <c r="F2513" s="28">
        <f>(F2499*$D$2517-F2503)/(Inputs!$D$7+$D$2518)^F2492</f>
        <v>334.05080177542817</v>
      </c>
      <c r="G2513" s="28">
        <f>(G2499*$D$2517-G2503)/(Inputs!$D$7+$D$2518)^G2492</f>
        <v>352.78691170333013</v>
      </c>
      <c r="H2513" s="28">
        <f>(H2499*$D$2517-H2503)/(Inputs!$D$7+$D$2518)^H2492</f>
        <v>315.01274837815691</v>
      </c>
      <c r="I2513" s="28">
        <f>(I2499*$D$2517-I2503)/(Inputs!$D$7+$D$2518)^I2492</f>
        <v>281.19593838560246</v>
      </c>
      <c r="J2513" s="28">
        <f>(J2499*$D$2517-J2503)/(Inputs!$D$7+$D$2518)^J2492</f>
        <v>251.08727802836847</v>
      </c>
      <c r="K2513" s="28">
        <f>(K2499*$D$2517-K2503)/(Inputs!$D$7+$D$2518)^K2492</f>
        <v>224.20246021207515</v>
      </c>
      <c r="L2513" s="28">
        <f>(L2499*$D$2517-L2503)/(Inputs!$D$7+$D$2518)^L2492</f>
        <v>200.19629652231083</v>
      </c>
      <c r="M2513" s="28">
        <f>(M2499*$D$2517-M2503)/(Inputs!$D$7+$D$2518)^M2492</f>
        <v>178.70510241806141</v>
      </c>
    </row>
    <row r="2514" spans="2:13" ht="15" customHeight="1" x14ac:dyDescent="0.2">
      <c r="B2514" s="10" t="s">
        <v>911</v>
      </c>
      <c r="C2514" s="10" t="s">
        <v>110</v>
      </c>
      <c r="D2514" s="16">
        <f>(-D2501-D2502)/(Inputs!$D$7+$D$2518)^D2492</f>
        <v>-14350.481025200577</v>
      </c>
      <c r="E2514" s="16">
        <f>(-E2501-E2502)/(Inputs!$D$7+$D$2518)^E2492</f>
        <v>-17079.930887207098</v>
      </c>
      <c r="F2514" s="16">
        <f>(-F2501-F2502)/(Inputs!$D$7+$D$2518)^F2492</f>
        <v>-11438.340948315768</v>
      </c>
      <c r="G2514" s="16">
        <f>(-G2501-G2502)/(Inputs!$D$7+$D$2518)^G2492</f>
        <v>-1731.4807411941122</v>
      </c>
      <c r="H2514" s="16">
        <f>(-H2501-H2502)/(Inputs!$D$7+$D$2518)^H2492</f>
        <v>-8721.9353076959778</v>
      </c>
      <c r="I2514" s="16">
        <f>(-I2501-I2502)/(Inputs!$D$7+$D$2518)^I2492</f>
        <v>-10380.8403353543</v>
      </c>
      <c r="J2514" s="16">
        <f>(-J2501-J2502)/(Inputs!$D$7+$D$2518)^J2492</f>
        <v>-6951.9948218729187</v>
      </c>
      <c r="K2514" s="16">
        <f>(-K2501-K2502)/(Inputs!$D$7+$D$2518)^K2492</f>
        <v>-1100.3873134386547</v>
      </c>
      <c r="L2514" s="16">
        <f>(-L2501-L2502)/(Inputs!$D$7+$D$2518)^L2492</f>
        <v>-5542.947566718196</v>
      </c>
      <c r="M2514" s="16">
        <f>(-M2501-M2502)/(Inputs!$D$7+$D$2518)^M2492</f>
        <v>-6597.2117021517279</v>
      </c>
    </row>
    <row r="2515" spans="2:13" ht="15" customHeight="1" x14ac:dyDescent="0.2">
      <c r="B2515" s="10" t="s">
        <v>912</v>
      </c>
      <c r="C2515" s="10" t="s">
        <v>110</v>
      </c>
      <c r="D2515" s="16">
        <f>Prices!I8</f>
        <v>32775</v>
      </c>
    </row>
    <row r="2516" spans="2:13" ht="15" customHeight="1" x14ac:dyDescent="0.2">
      <c r="B2516" s="3" t="s">
        <v>913</v>
      </c>
      <c r="C2516" s="10" t="s">
        <v>914</v>
      </c>
      <c r="D2516" s="28">
        <f>IF(J2523&gt;=J2519,J2523,(D2515-J2522)/J2521)</f>
        <v>44.930357701562464</v>
      </c>
      <c r="G2516" s="99" t="s">
        <v>915</v>
      </c>
      <c r="H2516" s="91"/>
      <c r="I2516" s="91"/>
      <c r="J2516" s="28">
        <f>D2516*Inputs!$D$15</f>
        <v>31.356896639920443</v>
      </c>
      <c r="K2516" s="99" t="s">
        <v>916</v>
      </c>
      <c r="L2516" s="91"/>
      <c r="M2516" s="91"/>
    </row>
    <row r="2517" spans="2:13" ht="15" customHeight="1" x14ac:dyDescent="0.2">
      <c r="B2517" s="10" t="s">
        <v>917</v>
      </c>
      <c r="C2517" s="10" t="s">
        <v>104</v>
      </c>
      <c r="D2517" s="30">
        <f>Inputs!$D$141</f>
        <v>0.59</v>
      </c>
      <c r="G2517" s="99" t="s">
        <v>918</v>
      </c>
      <c r="H2517" s="91"/>
      <c r="I2517" s="91"/>
      <c r="J2517" s="28">
        <f>IF(-D2528/D2527&gt;=J2519,-D2528/D2527,-J2522/J2521)</f>
        <v>34.148217924188216</v>
      </c>
      <c r="K2517" s="99" t="s">
        <v>919</v>
      </c>
      <c r="L2517" s="91"/>
      <c r="M2517" s="91"/>
    </row>
    <row r="2518" spans="2:13" ht="15" customHeight="1" x14ac:dyDescent="0.2">
      <c r="B2518" s="10" t="s">
        <v>920</v>
      </c>
      <c r="C2518" s="10" t="s">
        <v>104</v>
      </c>
      <c r="D2518" s="30">
        <f>Inputs!$D$148</f>
        <v>0.12</v>
      </c>
      <c r="G2518" s="99" t="s">
        <v>918</v>
      </c>
      <c r="H2518" s="91"/>
      <c r="I2518" s="91"/>
      <c r="J2518" s="28">
        <f>J2517*Inputs!$D$15</f>
        <v>23.832041289290956</v>
      </c>
      <c r="K2518" s="99" t="s">
        <v>916</v>
      </c>
      <c r="L2518" s="91"/>
      <c r="M2518" s="91"/>
    </row>
    <row r="2519" spans="2:13" ht="15" customHeight="1" x14ac:dyDescent="0.2">
      <c r="B2519" s="3" t="s">
        <v>921</v>
      </c>
      <c r="C2519" s="10" t="s">
        <v>848</v>
      </c>
      <c r="D2519" s="28">
        <f>Capital!$D$13</f>
        <v>57.347931490590682</v>
      </c>
      <c r="G2519" s="99" t="s">
        <v>922</v>
      </c>
      <c r="H2519" s="91"/>
      <c r="I2519" s="91"/>
      <c r="J2519" s="28">
        <f>($D$2519/Inputs!$D$21+$D$2520/Inputs!$D$22)/$D$2517</f>
        <v>24.521773131961492</v>
      </c>
      <c r="K2519" s="99" t="s">
        <v>919</v>
      </c>
      <c r="L2519" s="91"/>
      <c r="M2519" s="91"/>
    </row>
    <row r="2520" spans="2:13" ht="15" customHeight="1" x14ac:dyDescent="0.2">
      <c r="B2520" s="3" t="s">
        <v>923</v>
      </c>
      <c r="C2520" s="10" t="s">
        <v>848</v>
      </c>
      <c r="D2520" s="28">
        <f>Capital!$D$14</f>
        <v>2.6172655041921802</v>
      </c>
    </row>
    <row r="2521" spans="2:13" ht="15" customHeight="1" x14ac:dyDescent="0.2">
      <c r="B2521" s="10" t="s">
        <v>924</v>
      </c>
      <c r="C2521" s="10" t="s">
        <v>896</v>
      </c>
      <c r="D2521" s="28">
        <f>(M2494*(Inputs!$D$7+Inputs!$D$20)*$D$2517*(Inputs!$D$7-Inputs!$D$19)-M2494*Inputs!$D$20*Inputs!$D$23)/($D$2518-Inputs!$D$20)/(Inputs!$D$7+$D$2518)^M2492</f>
        <v>1347.7011024462897</v>
      </c>
      <c r="G2521" s="92" t="s">
        <v>910</v>
      </c>
      <c r="H2521" s="91"/>
      <c r="I2521" s="91"/>
      <c r="J2521" s="28">
        <f>SUM(D2513:M2513)+(M2494*(Inputs!$D$7+Inputs!$D$20)*$D$2517-M2494*Inputs!$D$20*Inputs!$D$23)/($D$2518-Inputs!$D$20)/(Inputs!$D$7+$D$2518)^M2492</f>
        <v>4351.0123466552332</v>
      </c>
      <c r="K2521" s="99" t="s">
        <v>896</v>
      </c>
      <c r="L2521" s="91"/>
      <c r="M2521" s="91"/>
    </row>
    <row r="2522" spans="2:13" ht="15" customHeight="1" x14ac:dyDescent="0.2">
      <c r="B2522" s="10" t="s">
        <v>925</v>
      </c>
      <c r="C2522" s="10" t="s">
        <v>110</v>
      </c>
      <c r="D2522" s="16">
        <f>(D2525*Inputs!$D$19-D2525-D2526)/($D$2518-Inputs!$D$20)/(Inputs!$D$7+$D$2518)^M2492</f>
        <v>-37876.58483194092</v>
      </c>
      <c r="G2522" s="92" t="s">
        <v>926</v>
      </c>
      <c r="H2522" s="91"/>
      <c r="I2522" s="91"/>
      <c r="J2522" s="16">
        <f>SUM(D2514:M2514)-(D2525+D2526)/($D$2518-Inputs!$D$20)/(Inputs!$D$7+$D$2518)^M2492</f>
        <v>-135956.51483423277</v>
      </c>
      <c r="K2522" s="99" t="s">
        <v>110</v>
      </c>
      <c r="L2522" s="91"/>
      <c r="M2522" s="91"/>
    </row>
    <row r="2523" spans="2:13" ht="15" customHeight="1" x14ac:dyDescent="0.2">
      <c r="B2523" s="10" t="s">
        <v>927</v>
      </c>
      <c r="C2523" s="10" t="s">
        <v>928</v>
      </c>
      <c r="D2523" s="16">
        <f>(M2494*(Inputs!$D$7+Inputs!$D$20)*$D$2516*$D$2517-D2525)-MAX((M2494*(Inputs!$D$7+Inputs!$D$20)*$D$2516*$D$2517-D2525),Inputs!$D$6)*Inputs!$D$19-D2526-M2494*Inputs!$D$20*$D$2516*Inputs!$D$23</f>
        <v>6479.2621773533774</v>
      </c>
      <c r="G2523" s="99" t="s">
        <v>929</v>
      </c>
      <c r="H2523" s="91"/>
      <c r="I2523" s="91"/>
      <c r="J2523" s="28">
        <f>(D2515-D2528)/D2527</f>
        <v>44.930357701562464</v>
      </c>
      <c r="K2523" s="99" t="s">
        <v>919</v>
      </c>
      <c r="L2523" s="91"/>
      <c r="M2523" s="91"/>
    </row>
    <row r="2524" spans="2:13" ht="15" customHeight="1" x14ac:dyDescent="0.2">
      <c r="B2524" s="10" t="s">
        <v>930</v>
      </c>
      <c r="C2524" s="10" t="s">
        <v>110</v>
      </c>
      <c r="D2524" s="16">
        <f>D2523/($D$2518-Inputs!$D$20)</f>
        <v>68202.759761614492</v>
      </c>
      <c r="G2524" s="99" t="s">
        <v>931</v>
      </c>
      <c r="H2524" s="91"/>
      <c r="I2524" s="91"/>
      <c r="J2524" s="16">
        <f>MIN(D2508:M2508,(M2494*(Inputs!$D$7+Inputs!$D$20)*$D$2516*$D$2517-D2525))</f>
        <v>1512.2044560743432</v>
      </c>
      <c r="K2524" s="99" t="s">
        <v>110</v>
      </c>
      <c r="L2524" s="91"/>
      <c r="M2524" s="91"/>
    </row>
    <row r="2525" spans="2:13" ht="15" customHeight="1" x14ac:dyDescent="0.2">
      <c r="B2525" s="10" t="s">
        <v>932</v>
      </c>
      <c r="C2525" s="10" t="s">
        <v>928</v>
      </c>
      <c r="D2525" s="16">
        <f>M2494*(Inputs!$D$7+Inputs!$D$20)*($D$2519/Inputs!$D$21+$D$2520/Inputs!$D$22)</f>
        <v>13509.71303671543</v>
      </c>
      <c r="G2525" s="99" t="s">
        <v>933</v>
      </c>
      <c r="H2525" s="91"/>
      <c r="I2525" s="91"/>
      <c r="J2525" s="31" t="str">
        <f>IF(J2524&lt;Inputs!$D$6,"breached","satisfied")</f>
        <v>satisfied</v>
      </c>
      <c r="K2525" s="99" t="s">
        <v>934</v>
      </c>
      <c r="L2525" s="91"/>
      <c r="M2525" s="91"/>
    </row>
    <row r="2526" spans="2:13" ht="15" customHeight="1" x14ac:dyDescent="0.2">
      <c r="B2526" s="10" t="s">
        <v>935</v>
      </c>
      <c r="C2526" s="10" t="s">
        <v>928</v>
      </c>
      <c r="D2526" s="16">
        <f>M2494*Inputs!$D$20*($D$2519+$D$2520)</f>
        <v>1365.7073615561799</v>
      </c>
    </row>
    <row r="2527" spans="2:13" ht="15" customHeight="1" x14ac:dyDescent="0.2">
      <c r="B2527" s="10" t="s">
        <v>936</v>
      </c>
      <c r="C2527" s="10" t="s">
        <v>896</v>
      </c>
      <c r="D2527" s="28">
        <f>SUM(D2504:M2504)+D2521</f>
        <v>3039.7491292754903</v>
      </c>
      <c r="G2527" s="99" t="s">
        <v>937</v>
      </c>
      <c r="H2527" s="91"/>
      <c r="I2527" s="91"/>
      <c r="J2527" s="16">
        <f>D2529-D2515</f>
        <v>0</v>
      </c>
      <c r="K2527" s="99" t="s">
        <v>110</v>
      </c>
      <c r="L2527" s="91"/>
      <c r="M2527" s="91"/>
    </row>
    <row r="2528" spans="2:13" ht="15" customHeight="1" x14ac:dyDescent="0.2">
      <c r="B2528" s="10" t="s">
        <v>938</v>
      </c>
      <c r="C2528" s="10" t="s">
        <v>110</v>
      </c>
      <c r="D2528" s="16">
        <f>SUM(D2505:M2505)+D2522</f>
        <v>-103802.01570136083</v>
      </c>
    </row>
    <row r="2529" spans="1:13" ht="15" customHeight="1" x14ac:dyDescent="0.2">
      <c r="B2529" s="10" t="s">
        <v>939</v>
      </c>
      <c r="C2529" s="10" t="s">
        <v>110</v>
      </c>
      <c r="D2529" s="16">
        <f>SUM(D2512:M2512)+D2524/(Inputs!$D$7+$D$2518)^M2492</f>
        <v>32774.999999999993</v>
      </c>
    </row>
    <row r="2530" spans="1:13" ht="15" customHeight="1" x14ac:dyDescent="0.2">
      <c r="B2530" s="10" t="s">
        <v>940</v>
      </c>
      <c r="C2530" s="10" t="s">
        <v>104</v>
      </c>
      <c r="D2530" s="30">
        <f>IF(ABS(D2515)&gt;Inputs!$D$6,D2529/D2515-Inputs!$D$7,Inputs!$D$6)</f>
        <v>-2.2204460492503131E-16</v>
      </c>
    </row>
    <row r="2531" spans="1:13" ht="15" customHeight="1" x14ac:dyDescent="0.2">
      <c r="B2531" s="10" t="s">
        <v>941</v>
      </c>
      <c r="C2531" s="10" t="s">
        <v>104</v>
      </c>
      <c r="D2531" s="30">
        <f>IF(ABS(D2529)&gt;Inputs!$D$119,D2524/(Inputs!$D$7+$D$2518)^M2492/D2529,Inputs!$D$6)</f>
        <v>0.69187209079362189</v>
      </c>
    </row>
    <row r="2532" spans="1:13" ht="15" customHeight="1" x14ac:dyDescent="0.2">
      <c r="B2532" s="10" t="s">
        <v>942</v>
      </c>
      <c r="C2532" s="10" t="s">
        <v>943</v>
      </c>
      <c r="D2532" s="26">
        <f>$D$2516*Inputs!$D$8/Prices!$P$6/(Inputs!$D$26/Inputs!$D$25)/Inputs!$D$11/Inputs!$D$56</f>
        <v>8.170722024994161</v>
      </c>
    </row>
    <row r="2536" spans="1:13" ht="15" customHeight="1" x14ac:dyDescent="0.2">
      <c r="A2536" s="104" t="s">
        <v>2220</v>
      </c>
      <c r="B2536" s="10" t="s">
        <v>886</v>
      </c>
      <c r="C2536" s="10" t="s">
        <v>107</v>
      </c>
      <c r="D2536" s="28">
        <f>Inputs!$D$60</f>
        <v>1</v>
      </c>
      <c r="E2536" s="28">
        <f>Inputs!$D$62</f>
        <v>2</v>
      </c>
      <c r="F2536" s="28">
        <f>Inputs!$D$64</f>
        <v>3</v>
      </c>
      <c r="G2536" s="28">
        <f>Inputs!$D$66</f>
        <v>4</v>
      </c>
      <c r="H2536" s="28">
        <f>Inputs!$D$68</f>
        <v>5</v>
      </c>
      <c r="I2536" s="28">
        <f>Inputs!$D$70</f>
        <v>6</v>
      </c>
      <c r="J2536" s="28">
        <f>Inputs!$D$72</f>
        <v>7</v>
      </c>
      <c r="K2536" s="28">
        <f>Inputs!$D$74</f>
        <v>8</v>
      </c>
      <c r="L2536" s="28">
        <f>Inputs!$D$76</f>
        <v>9</v>
      </c>
      <c r="M2536" s="28">
        <f>Inputs!$D$78</f>
        <v>10</v>
      </c>
    </row>
    <row r="2537" spans="1:13" ht="15" customHeight="1" x14ac:dyDescent="0.2">
      <c r="A2537" s="91"/>
      <c r="B2537" s="10" t="s">
        <v>887</v>
      </c>
      <c r="C2537" s="10" t="s">
        <v>161</v>
      </c>
      <c r="D2537" s="29">
        <f>Inputs!$D$61</f>
        <v>46568</v>
      </c>
      <c r="E2537" s="29">
        <f>Inputs!$D$63</f>
        <v>46934</v>
      </c>
      <c r="F2537" s="29">
        <f>Inputs!$D$65</f>
        <v>47299</v>
      </c>
      <c r="G2537" s="29">
        <f>Inputs!$D$67</f>
        <v>47664</v>
      </c>
      <c r="H2537" s="29">
        <f>Inputs!$D$69</f>
        <v>48029</v>
      </c>
      <c r="I2537" s="29">
        <f>Inputs!$D$71</f>
        <v>48395</v>
      </c>
      <c r="J2537" s="29">
        <f>Inputs!$D$73</f>
        <v>48760</v>
      </c>
      <c r="K2537" s="29">
        <f>Inputs!$D$75</f>
        <v>49125</v>
      </c>
      <c r="L2537" s="29">
        <f>Inputs!$D$77</f>
        <v>49490</v>
      </c>
      <c r="M2537" s="29">
        <f>Inputs!$D$79</f>
        <v>49856</v>
      </c>
    </row>
    <row r="2538" spans="1:13" ht="15" customHeight="1" x14ac:dyDescent="0.2">
      <c r="A2538" s="91"/>
      <c r="B2538" s="10" t="s">
        <v>888</v>
      </c>
      <c r="C2538" s="10" t="s">
        <v>107</v>
      </c>
      <c r="D2538" s="28">
        <f>(D2537-Inputs!$D$13)/Inputs!$D$10</f>
        <v>0.71457905544147848</v>
      </c>
      <c r="E2538" s="28">
        <f>(E2537-Inputs!$D$13)/Inputs!$D$10</f>
        <v>1.7166324435318274</v>
      </c>
      <c r="F2538" s="28">
        <f>(F2537-Inputs!$D$13)/Inputs!$D$10</f>
        <v>2.7159479808350446</v>
      </c>
      <c r="G2538" s="28">
        <f>(G2537-Inputs!$D$13)/Inputs!$D$10</f>
        <v>3.7152635181382614</v>
      </c>
      <c r="H2538" s="28">
        <f>(H2537-Inputs!$D$13)/Inputs!$D$10</f>
        <v>4.7145790554414786</v>
      </c>
      <c r="I2538" s="28">
        <f>(I2537-Inputs!$D$13)/Inputs!$D$10</f>
        <v>5.7166324435318279</v>
      </c>
      <c r="J2538" s="28">
        <f>(J2537-Inputs!$D$13)/Inputs!$D$10</f>
        <v>6.7159479808350442</v>
      </c>
      <c r="K2538" s="28">
        <f>(K2537-Inputs!$D$13)/Inputs!$D$10</f>
        <v>7.7152635181382614</v>
      </c>
      <c r="L2538" s="28">
        <f>(L2537-Inputs!$D$13)/Inputs!$D$10</f>
        <v>8.7145790554414777</v>
      </c>
      <c r="M2538" s="28">
        <f>(M2537-Inputs!$D$13)/Inputs!$D$10</f>
        <v>9.716632443531827</v>
      </c>
    </row>
    <row r="2539" spans="1:13" ht="15" customHeight="1" x14ac:dyDescent="0.2">
      <c r="A2539" s="91"/>
      <c r="B2539" s="10" t="s">
        <v>889</v>
      </c>
      <c r="C2539" s="10" t="s">
        <v>107</v>
      </c>
      <c r="D2539" s="28">
        <f>D2538</f>
        <v>0.71457905544147848</v>
      </c>
      <c r="E2539" s="28">
        <f>Inputs!$D$7</f>
        <v>1</v>
      </c>
      <c r="F2539" s="28">
        <f>Inputs!$D$7</f>
        <v>1</v>
      </c>
      <c r="G2539" s="28">
        <f>Inputs!$D$7</f>
        <v>1</v>
      </c>
      <c r="H2539" s="28">
        <f>Inputs!$D$7</f>
        <v>1</v>
      </c>
      <c r="I2539" s="28">
        <f>Inputs!$D$7</f>
        <v>1</v>
      </c>
      <c r="J2539" s="28">
        <f>Inputs!$D$7</f>
        <v>1</v>
      </c>
      <c r="K2539" s="28">
        <f>Inputs!$D$7</f>
        <v>1</v>
      </c>
      <c r="L2539" s="28">
        <f>Inputs!$D$7</f>
        <v>1</v>
      </c>
      <c r="M2539" s="28">
        <f>Inputs!$D$7</f>
        <v>1</v>
      </c>
    </row>
    <row r="2540" spans="1:13" ht="15" customHeight="1" x14ac:dyDescent="0.2">
      <c r="A2540" s="91"/>
      <c r="B2540" s="3" t="s">
        <v>890</v>
      </c>
      <c r="C2540" s="10" t="s">
        <v>199</v>
      </c>
      <c r="D2540" s="28">
        <f>Inputs!$D$24+(Inputs!$D$80-Inputs!$D$24)*Inputs!$D$83</f>
        <v>305.5</v>
      </c>
      <c r="E2540" s="28">
        <f>Inputs!$D$24+(Inputs!$D$80-Inputs!$D$24)*Inputs!$D$84</f>
        <v>651.5</v>
      </c>
      <c r="F2540" s="28">
        <f>Inputs!$D$24+(Inputs!$D$80-Inputs!$D$24)*Inputs!$D$85</f>
        <v>911</v>
      </c>
      <c r="G2540" s="28">
        <f>Inputs!$D$24+(Inputs!$D$80-Inputs!$D$24)*Inputs!$D$86</f>
        <v>911</v>
      </c>
      <c r="H2540" s="28">
        <f>Inputs!$D$24+(Inputs!$D$80-Inputs!$D$24)*Inputs!$D$87</f>
        <v>911</v>
      </c>
      <c r="I2540" s="28">
        <f>Inputs!$D$24+(Inputs!$D$80-Inputs!$D$24)*Inputs!$D$88</f>
        <v>911</v>
      </c>
      <c r="J2540" s="28">
        <f>Inputs!$D$24+(Inputs!$D$80-Inputs!$D$24)*Inputs!$D$89</f>
        <v>911</v>
      </c>
      <c r="K2540" s="28">
        <f>Inputs!$D$24+(Inputs!$D$80-Inputs!$D$24)*Inputs!$D$90</f>
        <v>911</v>
      </c>
      <c r="L2540" s="28">
        <f>Inputs!$D$24+(Inputs!$D$80-Inputs!$D$24)*Inputs!$D$91</f>
        <v>911</v>
      </c>
      <c r="M2540" s="28">
        <f>Inputs!$D$24+(Inputs!$D$80-Inputs!$D$24)*Inputs!$D$92</f>
        <v>911</v>
      </c>
    </row>
    <row r="2541" spans="1:13" ht="15" customHeight="1" x14ac:dyDescent="0.2">
      <c r="A2541" s="91"/>
      <c r="B2541" s="10" t="s">
        <v>891</v>
      </c>
      <c r="C2541" s="10" t="s">
        <v>199</v>
      </c>
      <c r="D2541" s="28">
        <f>Inputs!$D$24</f>
        <v>46</v>
      </c>
      <c r="E2541" s="28">
        <f t="shared" ref="E2541:M2541" si="550">D2540</f>
        <v>305.5</v>
      </c>
      <c r="F2541" s="28">
        <f t="shared" si="550"/>
        <v>651.5</v>
      </c>
      <c r="G2541" s="28">
        <f t="shared" si="550"/>
        <v>911</v>
      </c>
      <c r="H2541" s="28">
        <f t="shared" si="550"/>
        <v>911</v>
      </c>
      <c r="I2541" s="28">
        <f t="shared" si="550"/>
        <v>911</v>
      </c>
      <c r="J2541" s="28">
        <f t="shared" si="550"/>
        <v>911</v>
      </c>
      <c r="K2541" s="28">
        <f t="shared" si="550"/>
        <v>911</v>
      </c>
      <c r="L2541" s="28">
        <f t="shared" si="550"/>
        <v>911</v>
      </c>
      <c r="M2541" s="28">
        <f t="shared" si="550"/>
        <v>911</v>
      </c>
    </row>
    <row r="2542" spans="1:13" ht="15" customHeight="1" x14ac:dyDescent="0.2">
      <c r="B2542" s="10" t="s">
        <v>892</v>
      </c>
      <c r="C2542" s="10" t="s">
        <v>199</v>
      </c>
      <c r="D2542" s="28">
        <f>(D2541+D2540)*Inputs!$D$12</f>
        <v>175.75</v>
      </c>
      <c r="E2542" s="28">
        <f>(E2541+E2540)*Inputs!$D$12</f>
        <v>478.5</v>
      </c>
      <c r="F2542" s="28">
        <f>(F2541+F2540)*Inputs!$D$12</f>
        <v>781.25</v>
      </c>
      <c r="G2542" s="28">
        <f>(G2541+G2540)*Inputs!$D$12</f>
        <v>911</v>
      </c>
      <c r="H2542" s="28">
        <f>(H2541+H2540)*Inputs!$D$12</f>
        <v>911</v>
      </c>
      <c r="I2542" s="28">
        <f>(I2541+I2540)*Inputs!$D$12</f>
        <v>911</v>
      </c>
      <c r="J2542" s="28">
        <f>(J2541+J2540)*Inputs!$D$12</f>
        <v>911</v>
      </c>
      <c r="K2542" s="28">
        <f>(K2541+K2540)*Inputs!$D$12</f>
        <v>911</v>
      </c>
      <c r="L2542" s="28">
        <f>(L2541+L2540)*Inputs!$D$12</f>
        <v>911</v>
      </c>
      <c r="M2542" s="28">
        <f>(M2541+M2540)*Inputs!$D$12</f>
        <v>911</v>
      </c>
    </row>
    <row r="2543" spans="1:13" ht="15" customHeight="1" x14ac:dyDescent="0.2">
      <c r="B2543" s="10" t="s">
        <v>893</v>
      </c>
      <c r="C2543" s="10" t="s">
        <v>199</v>
      </c>
      <c r="D2543" s="28">
        <f t="shared" ref="D2543:M2543" si="551">D2540-D2541</f>
        <v>259.5</v>
      </c>
      <c r="E2543" s="28">
        <f t="shared" si="551"/>
        <v>346</v>
      </c>
      <c r="F2543" s="28">
        <f t="shared" si="551"/>
        <v>259.5</v>
      </c>
      <c r="G2543" s="28">
        <f t="shared" si="551"/>
        <v>0</v>
      </c>
      <c r="H2543" s="28">
        <f t="shared" si="551"/>
        <v>0</v>
      </c>
      <c r="I2543" s="28">
        <f t="shared" si="551"/>
        <v>0</v>
      </c>
      <c r="J2543" s="28">
        <f t="shared" si="551"/>
        <v>0</v>
      </c>
      <c r="K2543" s="28">
        <f t="shared" si="551"/>
        <v>0</v>
      </c>
      <c r="L2543" s="28">
        <f t="shared" si="551"/>
        <v>0</v>
      </c>
      <c r="M2543" s="28">
        <f t="shared" si="551"/>
        <v>0</v>
      </c>
    </row>
    <row r="2544" spans="1:13" ht="15" customHeight="1" x14ac:dyDescent="0.2">
      <c r="B2544" s="10" t="s">
        <v>894</v>
      </c>
      <c r="C2544" s="10" t="s">
        <v>199</v>
      </c>
      <c r="D2544" s="28">
        <f>IF(MOD(D2536,Inputs!$D$21)=Inputs!$D$6,Inputs!$D$24,Inputs!$D$6)+SUMPRODUCT(--(D2536&gt;$D$2536:$M$2536),--(MOD(D2536-$D$2536:$M$2536,Inputs!$D$21)=Inputs!$D$6),$D$2543:$M$2543)</f>
        <v>0</v>
      </c>
      <c r="E2544" s="28">
        <f>IF(MOD(E2536,Inputs!$D$21)=Inputs!$D$6,Inputs!$D$24,Inputs!$D$6)+SUMPRODUCT(--(E2536&gt;$D$2536:$M$2536),--(MOD(E2536-$D$2536:$M$2536,Inputs!$D$21)=Inputs!$D$6),$D$2543:$M$2543)</f>
        <v>0</v>
      </c>
      <c r="F2544" s="28">
        <f>IF(MOD(F2536,Inputs!$D$21)=Inputs!$D$6,Inputs!$D$24,Inputs!$D$6)+SUMPRODUCT(--(F2536&gt;$D$2536:$M$2536),--(MOD(F2536-$D$2536:$M$2536,Inputs!$D$21)=Inputs!$D$6),$D$2543:$M$2543)</f>
        <v>0</v>
      </c>
      <c r="G2544" s="28">
        <f>IF(MOD(G2536,Inputs!$D$21)=Inputs!$D$6,Inputs!$D$24,Inputs!$D$6)+SUMPRODUCT(--(G2536&gt;$D$2536:$M$2536),--(MOD(G2536-$D$2536:$M$2536,Inputs!$D$21)=Inputs!$D$6),$D$2543:$M$2543)</f>
        <v>46</v>
      </c>
      <c r="H2544" s="28">
        <f>IF(MOD(H2536,Inputs!$D$21)=Inputs!$D$6,Inputs!$D$24,Inputs!$D$6)+SUMPRODUCT(--(H2536&gt;$D$2536:$M$2536),--(MOD(H2536-$D$2536:$M$2536,Inputs!$D$21)=Inputs!$D$6),$D$2543:$M$2543)</f>
        <v>259.5</v>
      </c>
      <c r="I2544" s="28">
        <f>IF(MOD(I2536,Inputs!$D$21)=Inputs!$D$6,Inputs!$D$24,Inputs!$D$6)+SUMPRODUCT(--(I2536&gt;$D$2536:$M$2536),--(MOD(I2536-$D$2536:$M$2536,Inputs!$D$21)=Inputs!$D$6),$D$2543:$M$2543)</f>
        <v>346</v>
      </c>
      <c r="J2544" s="28">
        <f>IF(MOD(J2536,Inputs!$D$21)=Inputs!$D$6,Inputs!$D$24,Inputs!$D$6)+SUMPRODUCT(--(J2536&gt;$D$2536:$M$2536),--(MOD(J2536-$D$2536:$M$2536,Inputs!$D$21)=Inputs!$D$6),$D$2543:$M$2543)</f>
        <v>259.5</v>
      </c>
      <c r="K2544" s="28">
        <f>IF(MOD(K2536,Inputs!$D$21)=Inputs!$D$6,Inputs!$D$24,Inputs!$D$6)+SUMPRODUCT(--(K2536&gt;$D$2536:$M$2536),--(MOD(K2536-$D$2536:$M$2536,Inputs!$D$21)=Inputs!$D$6),$D$2543:$M$2543)</f>
        <v>46</v>
      </c>
      <c r="L2544" s="28">
        <f>IF(MOD(L2536,Inputs!$D$21)=Inputs!$D$6,Inputs!$D$24,Inputs!$D$6)+SUMPRODUCT(--(L2536&gt;$D$2536:$M$2536),--(MOD(L2536-$D$2536:$M$2536,Inputs!$D$21)=Inputs!$D$6),$D$2543:$M$2543)</f>
        <v>259.5</v>
      </c>
      <c r="M2544" s="28">
        <f>IF(MOD(M2536,Inputs!$D$21)=Inputs!$D$6,Inputs!$D$24,Inputs!$D$6)+SUMPRODUCT(--(M2536&gt;$D$2536:$M$2536),--(MOD(M2536-$D$2536:$M$2536,Inputs!$D$21)=Inputs!$D$6),$D$2543:$M$2543)</f>
        <v>346</v>
      </c>
    </row>
    <row r="2545" spans="2:13" ht="15" customHeight="1" x14ac:dyDescent="0.2">
      <c r="B2545" s="10" t="s">
        <v>895</v>
      </c>
      <c r="C2545" s="10" t="s">
        <v>896</v>
      </c>
      <c r="D2545" s="28">
        <f t="shared" ref="D2545:M2545" si="552">D2542*D2539</f>
        <v>125.58726899383984</v>
      </c>
      <c r="E2545" s="28">
        <f t="shared" si="552"/>
        <v>478.5</v>
      </c>
      <c r="F2545" s="28">
        <f t="shared" si="552"/>
        <v>781.25</v>
      </c>
      <c r="G2545" s="28">
        <f t="shared" si="552"/>
        <v>911</v>
      </c>
      <c r="H2545" s="28">
        <f t="shared" si="552"/>
        <v>911</v>
      </c>
      <c r="I2545" s="28">
        <f t="shared" si="552"/>
        <v>911</v>
      </c>
      <c r="J2545" s="28">
        <f t="shared" si="552"/>
        <v>911</v>
      </c>
      <c r="K2545" s="28">
        <f t="shared" si="552"/>
        <v>911</v>
      </c>
      <c r="L2545" s="28">
        <f t="shared" si="552"/>
        <v>911</v>
      </c>
      <c r="M2545" s="28">
        <f t="shared" si="552"/>
        <v>911</v>
      </c>
    </row>
    <row r="2546" spans="2:13" ht="15" customHeight="1" x14ac:dyDescent="0.2">
      <c r="B2546" s="10" t="s">
        <v>897</v>
      </c>
      <c r="C2546" s="10" t="s">
        <v>110</v>
      </c>
      <c r="D2546" s="16">
        <f>D2545*($D$2565/Inputs!$D$21+$D$2566/Inputs!$D$22)</f>
        <v>1816.9772859324419</v>
      </c>
      <c r="E2546" s="16">
        <f>E2545*($D$2565/Inputs!$D$21+$D$2566/Inputs!$D$22)</f>
        <v>6922.8643817497086</v>
      </c>
      <c r="F2546" s="16">
        <f>F2545*($D$2565/Inputs!$D$21+$D$2566/Inputs!$D$22)</f>
        <v>11303.0048030135</v>
      </c>
      <c r="G2546" s="16">
        <f>G2545*($D$2565/Inputs!$D$21+$D$2566/Inputs!$D$22)</f>
        <v>13180.207840697982</v>
      </c>
      <c r="H2546" s="16">
        <f>H2545*($D$2565/Inputs!$D$21+$D$2566/Inputs!$D$22)</f>
        <v>13180.207840697982</v>
      </c>
      <c r="I2546" s="16">
        <f>I2545*($D$2565/Inputs!$D$21+$D$2566/Inputs!$D$22)</f>
        <v>13180.207840697982</v>
      </c>
      <c r="J2546" s="16">
        <f>J2545*($D$2565/Inputs!$D$21+$D$2566/Inputs!$D$22)</f>
        <v>13180.207840697982</v>
      </c>
      <c r="K2546" s="16">
        <f>K2545*($D$2565/Inputs!$D$21+$D$2566/Inputs!$D$22)</f>
        <v>13180.207840697982</v>
      </c>
      <c r="L2546" s="16">
        <f>L2545*($D$2565/Inputs!$D$21+$D$2566/Inputs!$D$22)</f>
        <v>13180.207840697982</v>
      </c>
      <c r="M2546" s="16">
        <f>M2545*($D$2565/Inputs!$D$21+$D$2566/Inputs!$D$22)</f>
        <v>13180.207840697982</v>
      </c>
    </row>
    <row r="2547" spans="2:13" ht="15" customHeight="1" x14ac:dyDescent="0.2">
      <c r="B2547" s="10" t="s">
        <v>898</v>
      </c>
      <c r="C2547" s="10" t="s">
        <v>110</v>
      </c>
      <c r="D2547" s="16">
        <f t="shared" ref="D2547:M2547" si="553">D2543*($D$2565+$D$2566)</f>
        <v>15560.968620146154</v>
      </c>
      <c r="E2547" s="16">
        <f t="shared" si="553"/>
        <v>20747.95816019487</v>
      </c>
      <c r="F2547" s="16">
        <f t="shared" si="553"/>
        <v>15560.968620146154</v>
      </c>
      <c r="G2547" s="16">
        <f t="shared" si="553"/>
        <v>0</v>
      </c>
      <c r="H2547" s="16">
        <f t="shared" si="553"/>
        <v>0</v>
      </c>
      <c r="I2547" s="16">
        <f t="shared" si="553"/>
        <v>0</v>
      </c>
      <c r="J2547" s="16">
        <f t="shared" si="553"/>
        <v>0</v>
      </c>
      <c r="K2547" s="16">
        <f t="shared" si="553"/>
        <v>0</v>
      </c>
      <c r="L2547" s="16">
        <f t="shared" si="553"/>
        <v>0</v>
      </c>
      <c r="M2547" s="16">
        <f t="shared" si="553"/>
        <v>0</v>
      </c>
    </row>
    <row r="2548" spans="2:13" ht="15" customHeight="1" x14ac:dyDescent="0.2">
      <c r="B2548" s="10" t="s">
        <v>899</v>
      </c>
      <c r="C2548" s="10" t="s">
        <v>110</v>
      </c>
      <c r="D2548" s="16">
        <f t="shared" ref="D2548:M2548" si="554">D2544*$D$2565</f>
        <v>0</v>
      </c>
      <c r="E2548" s="16">
        <f t="shared" si="554"/>
        <v>0</v>
      </c>
      <c r="F2548" s="16">
        <f t="shared" si="554"/>
        <v>0</v>
      </c>
      <c r="G2548" s="16">
        <f t="shared" si="554"/>
        <v>2638.0048485671714</v>
      </c>
      <c r="H2548" s="16">
        <f t="shared" si="554"/>
        <v>14881.788221808281</v>
      </c>
      <c r="I2548" s="16">
        <f t="shared" si="554"/>
        <v>19842.384295744378</v>
      </c>
      <c r="J2548" s="16">
        <f t="shared" si="554"/>
        <v>14881.788221808281</v>
      </c>
      <c r="K2548" s="16">
        <f t="shared" si="554"/>
        <v>2638.0048485671714</v>
      </c>
      <c r="L2548" s="16">
        <f t="shared" si="554"/>
        <v>14881.788221808281</v>
      </c>
      <c r="M2548" s="16">
        <f t="shared" si="554"/>
        <v>19842.384295744378</v>
      </c>
    </row>
    <row r="2549" spans="2:13" ht="15" customHeight="1" x14ac:dyDescent="0.2">
      <c r="B2549" s="10" t="s">
        <v>900</v>
      </c>
      <c r="C2549" s="10" t="s">
        <v>199</v>
      </c>
      <c r="D2549" s="28">
        <f>D2543*Inputs!$D$23</f>
        <v>6.4875000000000007</v>
      </c>
      <c r="E2549" s="28">
        <f>E2543*Inputs!$D$23</f>
        <v>8.65</v>
      </c>
      <c r="F2549" s="28">
        <f>F2543*Inputs!$D$23</f>
        <v>6.4875000000000007</v>
      </c>
      <c r="G2549" s="28">
        <f>G2543*Inputs!$D$23</f>
        <v>0</v>
      </c>
      <c r="H2549" s="28">
        <f>H2543*Inputs!$D$23</f>
        <v>0</v>
      </c>
      <c r="I2549" s="28">
        <f>I2543*Inputs!$D$23</f>
        <v>0</v>
      </c>
      <c r="J2549" s="28">
        <f>J2543*Inputs!$D$23</f>
        <v>0</v>
      </c>
      <c r="K2549" s="28">
        <f>K2543*Inputs!$D$23</f>
        <v>0</v>
      </c>
      <c r="L2549" s="28">
        <f>L2543*Inputs!$D$23</f>
        <v>0</v>
      </c>
      <c r="M2549" s="28">
        <f>M2543*Inputs!$D$23</f>
        <v>0</v>
      </c>
    </row>
    <row r="2550" spans="2:13" ht="15" customHeight="1" x14ac:dyDescent="0.2">
      <c r="B2550" s="3" t="s">
        <v>901</v>
      </c>
      <c r="C2550" s="10" t="s">
        <v>896</v>
      </c>
      <c r="D2550" s="28">
        <f>(D2545*$D$2563*(Inputs!$D$7-Inputs!$D$19)-D2549)/(Inputs!$D$7+$D$2564)^D2538</f>
        <v>41.323954955907958</v>
      </c>
      <c r="E2550" s="28">
        <f>(E2545*$D$2563*(Inputs!$D$7-Inputs!$D$19)-E2549)/(Inputs!$D$7+$D$2564)^E2538</f>
        <v>150.90696965563865</v>
      </c>
      <c r="F2550" s="28">
        <f>(F2545*$D$2563*(Inputs!$D$7-Inputs!$D$19)-F2549)/(Inputs!$D$7+$D$2564)^F2538</f>
        <v>221.49724363497256</v>
      </c>
      <c r="G2550" s="28">
        <f>(G2545*$D$2563*(Inputs!$D$7-Inputs!$D$19)-G2549)/(Inputs!$D$7+$D$2564)^G2538</f>
        <v>231.23411637215406</v>
      </c>
      <c r="H2550" s="28">
        <f>(H2545*$D$2563*(Inputs!$D$7-Inputs!$D$19)-H2549)/(Inputs!$D$7+$D$2564)^H2538</f>
        <v>202.85513622180579</v>
      </c>
      <c r="I2550" s="28">
        <f>(I2545*$D$2563*(Inputs!$D$7-Inputs!$D$19)-I2549)/(Inputs!$D$7+$D$2564)^I2538</f>
        <v>177.8952324639684</v>
      </c>
      <c r="J2550" s="28">
        <f>(J2545*$D$2563*(Inputs!$D$7-Inputs!$D$19)-J2549)/(Inputs!$D$7+$D$2564)^J2538</f>
        <v>156.06244519994988</v>
      </c>
      <c r="K2550" s="28">
        <f>(K2545*$D$2563*(Inputs!$D$7-Inputs!$D$19)-K2549)/(Inputs!$D$7+$D$2564)^K2538</f>
        <v>136.90915975907566</v>
      </c>
      <c r="L2550" s="28">
        <f>(L2545*$D$2563*(Inputs!$D$7-Inputs!$D$19)-L2549)/(Inputs!$D$7+$D$2564)^L2538</f>
        <v>120.10652532017438</v>
      </c>
      <c r="M2550" s="28">
        <f>(M2545*$D$2563*(Inputs!$D$7-Inputs!$D$19)-M2549)/(Inputs!$D$7+$D$2564)^M2538</f>
        <v>105.32825858010075</v>
      </c>
    </row>
    <row r="2551" spans="2:13" ht="15" customHeight="1" x14ac:dyDescent="0.2">
      <c r="B2551" s="10" t="s">
        <v>902</v>
      </c>
      <c r="C2551" s="10" t="s">
        <v>110</v>
      </c>
      <c r="D2551" s="16">
        <f>(D2546*Inputs!$D$19-D2547-D2548)/(Inputs!$D$7+$D$2564)^D2538</f>
        <v>-13673.750208995338</v>
      </c>
      <c r="E2551" s="16">
        <f>(E2546*Inputs!$D$19-E2547-E2548)/(Inputs!$D$7+$D$2564)^E2538</f>
        <v>-14910.258198718562</v>
      </c>
      <c r="F2551" s="16">
        <f>(F2546*Inputs!$D$19-F2547-F2548)/(Inputs!$D$7+$D$2564)^F2538</f>
        <v>-8525.9417164238148</v>
      </c>
      <c r="G2551" s="16">
        <f>(G2546*Inputs!$D$19-G2547-G2548)/(Inputs!$D$7+$D$2564)^G2538</f>
        <v>808.83204192410847</v>
      </c>
      <c r="H2551" s="16">
        <f>(H2546*Inputs!$D$19-H2547-H2548)/(Inputs!$D$7+$D$2564)^H2538</f>
        <v>-5891.7915280072548</v>
      </c>
      <c r="I2551" s="16">
        <f>(I2546*Inputs!$D$19-I2547-I2548)/(Inputs!$D$7+$D$2564)^I2538</f>
        <v>-7512.3171078465948</v>
      </c>
      <c r="J2551" s="16">
        <f>(J2546*Inputs!$D$19-J2547-J2548)/(Inputs!$D$7+$D$2564)^J2538</f>
        <v>-4532.7291662153211</v>
      </c>
      <c r="K2551" s="16">
        <f>(K2546*Inputs!$D$19-K2547-K2548)/(Inputs!$D$7+$D$2564)^K2538</f>
        <v>478.89349972832292</v>
      </c>
      <c r="L2551" s="16">
        <f>(L2546*Inputs!$D$19-L2547-L2548)/(Inputs!$D$7+$D$2564)^L2538</f>
        <v>-3488.413562109869</v>
      </c>
      <c r="M2551" s="16">
        <f>(M2546*Inputs!$D$19-M2547-M2548)/(Inputs!$D$7+$D$2564)^M2538</f>
        <v>-4447.8947969066312</v>
      </c>
    </row>
    <row r="2552" spans="2:13" ht="15" customHeight="1" x14ac:dyDescent="0.2">
      <c r="B2552" s="10" t="s">
        <v>903</v>
      </c>
      <c r="C2552" s="10" t="s">
        <v>110</v>
      </c>
      <c r="D2552" s="16">
        <f t="shared" ref="D2552:M2552" si="555">D2545*$D$2562</f>
        <v>6114.3511091190949</v>
      </c>
      <c r="E2552" s="16">
        <f t="shared" si="555"/>
        <v>23296.286551600988</v>
      </c>
      <c r="F2552" s="16">
        <f t="shared" si="555"/>
        <v>38035.995545325539</v>
      </c>
      <c r="G2552" s="16">
        <f t="shared" si="555"/>
        <v>44353.013685493206</v>
      </c>
      <c r="H2552" s="16">
        <f t="shared" si="555"/>
        <v>44353.013685493206</v>
      </c>
      <c r="I2552" s="16">
        <f t="shared" si="555"/>
        <v>44353.013685493206</v>
      </c>
      <c r="J2552" s="16">
        <f t="shared" si="555"/>
        <v>44353.013685493206</v>
      </c>
      <c r="K2552" s="16">
        <f t="shared" si="555"/>
        <v>44353.013685493206</v>
      </c>
      <c r="L2552" s="16">
        <f t="shared" si="555"/>
        <v>44353.013685493206</v>
      </c>
      <c r="M2552" s="16">
        <f t="shared" si="555"/>
        <v>44353.013685493206</v>
      </c>
    </row>
    <row r="2553" spans="2:13" ht="15" customHeight="1" x14ac:dyDescent="0.2">
      <c r="B2553" s="10" t="s">
        <v>904</v>
      </c>
      <c r="C2553" s="10" t="s">
        <v>110</v>
      </c>
      <c r="D2553" s="16">
        <f t="shared" ref="D2553:M2553" si="556">D2552*$D$2563</f>
        <v>3607.4671543802656</v>
      </c>
      <c r="E2553" s="16">
        <f t="shared" si="556"/>
        <v>13744.809065444582</v>
      </c>
      <c r="F2553" s="16">
        <f t="shared" si="556"/>
        <v>22441.237371742067</v>
      </c>
      <c r="G2553" s="16">
        <f t="shared" si="556"/>
        <v>26168.27807444099</v>
      </c>
      <c r="H2553" s="16">
        <f t="shared" si="556"/>
        <v>26168.27807444099</v>
      </c>
      <c r="I2553" s="16">
        <f t="shared" si="556"/>
        <v>26168.27807444099</v>
      </c>
      <c r="J2553" s="16">
        <f t="shared" si="556"/>
        <v>26168.27807444099</v>
      </c>
      <c r="K2553" s="16">
        <f t="shared" si="556"/>
        <v>26168.27807444099</v>
      </c>
      <c r="L2553" s="16">
        <f t="shared" si="556"/>
        <v>26168.27807444099</v>
      </c>
      <c r="M2553" s="16">
        <f t="shared" si="556"/>
        <v>26168.27807444099</v>
      </c>
    </row>
    <row r="2554" spans="2:13" ht="15" customHeight="1" x14ac:dyDescent="0.2">
      <c r="B2554" s="10" t="s">
        <v>905</v>
      </c>
      <c r="C2554" s="10" t="s">
        <v>110</v>
      </c>
      <c r="D2554" s="16">
        <f t="shared" ref="D2554:M2554" si="557">D2553-D2546</f>
        <v>1790.4898684478237</v>
      </c>
      <c r="E2554" s="16">
        <f t="shared" si="557"/>
        <v>6821.9446836948737</v>
      </c>
      <c r="F2554" s="16">
        <f t="shared" si="557"/>
        <v>11138.232568728567</v>
      </c>
      <c r="G2554" s="16">
        <f t="shared" si="557"/>
        <v>12988.070233743008</v>
      </c>
      <c r="H2554" s="16">
        <f t="shared" si="557"/>
        <v>12988.070233743008</v>
      </c>
      <c r="I2554" s="16">
        <f t="shared" si="557"/>
        <v>12988.070233743008</v>
      </c>
      <c r="J2554" s="16">
        <f t="shared" si="557"/>
        <v>12988.070233743008</v>
      </c>
      <c r="K2554" s="16">
        <f t="shared" si="557"/>
        <v>12988.070233743008</v>
      </c>
      <c r="L2554" s="16">
        <f t="shared" si="557"/>
        <v>12988.070233743008</v>
      </c>
      <c r="M2554" s="16">
        <f t="shared" si="557"/>
        <v>12988.070233743008</v>
      </c>
    </row>
    <row r="2555" spans="2:13" ht="15" customHeight="1" x14ac:dyDescent="0.2">
      <c r="B2555" s="10" t="s">
        <v>906</v>
      </c>
      <c r="C2555" s="10" t="s">
        <v>110</v>
      </c>
      <c r="D2555" s="16">
        <f>MAX(D2554,Inputs!$D$6)*Inputs!$D$19</f>
        <v>537.14696053434704</v>
      </c>
      <c r="E2555" s="16">
        <f>MAX(E2554,Inputs!$D$6)*Inputs!$D$19</f>
        <v>2046.5834051084621</v>
      </c>
      <c r="F2555" s="16">
        <f>MAX(F2554,Inputs!$D$6)*Inputs!$D$19</f>
        <v>3341.4697706185698</v>
      </c>
      <c r="G2555" s="16">
        <f>MAX(G2554,Inputs!$D$6)*Inputs!$D$19</f>
        <v>3896.4210701229022</v>
      </c>
      <c r="H2555" s="16">
        <f>MAX(H2554,Inputs!$D$6)*Inputs!$D$19</f>
        <v>3896.4210701229022</v>
      </c>
      <c r="I2555" s="16">
        <f>MAX(I2554,Inputs!$D$6)*Inputs!$D$19</f>
        <v>3896.4210701229022</v>
      </c>
      <c r="J2555" s="16">
        <f>MAX(J2554,Inputs!$D$6)*Inputs!$D$19</f>
        <v>3896.4210701229022</v>
      </c>
      <c r="K2555" s="16">
        <f>MAX(K2554,Inputs!$D$6)*Inputs!$D$19</f>
        <v>3896.4210701229022</v>
      </c>
      <c r="L2555" s="16">
        <f>MAX(L2554,Inputs!$D$6)*Inputs!$D$19</f>
        <v>3896.4210701229022</v>
      </c>
      <c r="M2555" s="16">
        <f>MAX(M2554,Inputs!$D$6)*Inputs!$D$19</f>
        <v>3896.4210701229022</v>
      </c>
    </row>
    <row r="2556" spans="2:13" ht="15" customHeight="1" x14ac:dyDescent="0.2">
      <c r="B2556" s="10" t="s">
        <v>907</v>
      </c>
      <c r="C2556" s="10" t="s">
        <v>110</v>
      </c>
      <c r="D2556" s="16">
        <f t="shared" ref="D2556:M2556" si="558">D2549*$D$2562</f>
        <v>315.85090700838333</v>
      </c>
      <c r="E2556" s="16">
        <f t="shared" si="558"/>
        <v>421.13454267784442</v>
      </c>
      <c r="F2556" s="16">
        <f t="shared" si="558"/>
        <v>315.85090700838333</v>
      </c>
      <c r="G2556" s="16">
        <f t="shared" si="558"/>
        <v>0</v>
      </c>
      <c r="H2556" s="16">
        <f t="shared" si="558"/>
        <v>0</v>
      </c>
      <c r="I2556" s="16">
        <f t="shared" si="558"/>
        <v>0</v>
      </c>
      <c r="J2556" s="16">
        <f t="shared" si="558"/>
        <v>0</v>
      </c>
      <c r="K2556" s="16">
        <f t="shared" si="558"/>
        <v>0</v>
      </c>
      <c r="L2556" s="16">
        <f t="shared" si="558"/>
        <v>0</v>
      </c>
      <c r="M2556" s="16">
        <f t="shared" si="558"/>
        <v>0</v>
      </c>
    </row>
    <row r="2557" spans="2:13" ht="15" customHeight="1" x14ac:dyDescent="0.2">
      <c r="B2557" s="10" t="s">
        <v>908</v>
      </c>
      <c r="C2557" s="10" t="s">
        <v>110</v>
      </c>
      <c r="D2557" s="16">
        <f t="shared" ref="D2557:M2557" si="559">D2553-D2555-D2547-D2548-D2556</f>
        <v>-12806.499333308619</v>
      </c>
      <c r="E2557" s="16">
        <f t="shared" si="559"/>
        <v>-9470.8670425365945</v>
      </c>
      <c r="F2557" s="16">
        <f t="shared" si="559"/>
        <v>3222.9480739689611</v>
      </c>
      <c r="G2557" s="16">
        <f t="shared" si="559"/>
        <v>19633.852155750916</v>
      </c>
      <c r="H2557" s="16">
        <f t="shared" si="559"/>
        <v>7390.0687825098066</v>
      </c>
      <c r="I2557" s="16">
        <f t="shared" si="559"/>
        <v>2429.4727085737104</v>
      </c>
      <c r="J2557" s="16">
        <f t="shared" si="559"/>
        <v>7390.0687825098066</v>
      </c>
      <c r="K2557" s="16">
        <f t="shared" si="559"/>
        <v>19633.852155750916</v>
      </c>
      <c r="L2557" s="16">
        <f t="shared" si="559"/>
        <v>7390.0687825098066</v>
      </c>
      <c r="M2557" s="16">
        <f t="shared" si="559"/>
        <v>2429.4727085737104</v>
      </c>
    </row>
    <row r="2558" spans="2:13" ht="15" customHeight="1" x14ac:dyDescent="0.2">
      <c r="B2558" s="10" t="s">
        <v>909</v>
      </c>
      <c r="C2558" s="10" t="s">
        <v>110</v>
      </c>
      <c r="D2558" s="16">
        <f>D2557/(Inputs!$D$7+$D$2564)^D2538</f>
        <v>-11661.849067724108</v>
      </c>
      <c r="E2558" s="16">
        <f>E2557/(Inputs!$D$7+$D$2564)^E2538</f>
        <v>-7563.1902619755901</v>
      </c>
      <c r="F2558" s="16">
        <f>F2557/(Inputs!$D$7+$D$2564)^F2538</f>
        <v>2257.8895439943658</v>
      </c>
      <c r="G2558" s="16">
        <f>G2557/(Inputs!$D$7+$D$2564)^G2538</f>
        <v>12066.713411855038</v>
      </c>
      <c r="H2558" s="16">
        <f>H2557/(Inputs!$D$7+$D$2564)^H2538</f>
        <v>3984.4287058218792</v>
      </c>
      <c r="I2558" s="16">
        <f>I2557/(Inputs!$D$7+$D$2564)^I2538</f>
        <v>1148.7033971571223</v>
      </c>
      <c r="J2558" s="16">
        <f>J2557/(Inputs!$D$7+$D$2564)^J2538</f>
        <v>3065.338635919597</v>
      </c>
      <c r="K2558" s="16">
        <f>K2557/(Inputs!$D$7+$D$2564)^K2538</f>
        <v>7144.4630238377176</v>
      </c>
      <c r="L2558" s="16">
        <f>L2557/(Inputs!$D$7+$D$2564)^L2538</f>
        <v>2359.1016533047641</v>
      </c>
      <c r="M2558" s="16">
        <f>M2557/(Inputs!$D$7+$D$2564)^M2538</f>
        <v>680.12462600486799</v>
      </c>
    </row>
    <row r="2559" spans="2:13" ht="15" customHeight="1" x14ac:dyDescent="0.2">
      <c r="B2559" s="3" t="s">
        <v>910</v>
      </c>
      <c r="C2559" s="10" t="s">
        <v>896</v>
      </c>
      <c r="D2559" s="28">
        <f>(D2545*$D$2563-D2549)/(Inputs!$D$7+$D$2564)^D2538</f>
        <v>61.566069024375587</v>
      </c>
      <c r="E2559" s="28">
        <f>(E2545*$D$2563-E2549)/(Inputs!$D$7+$D$2564)^E2538</f>
        <v>218.54181393820917</v>
      </c>
      <c r="F2559" s="28">
        <f>(F2545*$D$2563-F2549)/(Inputs!$D$7+$D$2564)^F2538</f>
        <v>318.37245891604812</v>
      </c>
      <c r="G2559" s="28">
        <f>(G2545*$D$2563-G2549)/(Inputs!$D$7+$D$2564)^G2538</f>
        <v>330.33445196022012</v>
      </c>
      <c r="H2559" s="28">
        <f>(H2545*$D$2563-H2549)/(Inputs!$D$7+$D$2564)^H2538</f>
        <v>289.79305174543686</v>
      </c>
      <c r="I2559" s="28">
        <f>(I2545*$D$2563-I2549)/(Inputs!$D$7+$D$2564)^I2538</f>
        <v>254.13604637709773</v>
      </c>
      <c r="J2559" s="28">
        <f>(J2545*$D$2563-J2549)/(Inputs!$D$7+$D$2564)^J2538</f>
        <v>222.94635028564269</v>
      </c>
      <c r="K2559" s="28">
        <f>(K2545*$D$2563-K2549)/(Inputs!$D$7+$D$2564)^K2538</f>
        <v>195.58451394153667</v>
      </c>
      <c r="L2559" s="28">
        <f>(L2545*$D$2563-L2549)/(Inputs!$D$7+$D$2564)^L2538</f>
        <v>171.58075045739199</v>
      </c>
      <c r="M2559" s="28">
        <f>(M2545*$D$2563-M2549)/(Inputs!$D$7+$D$2564)^M2538</f>
        <v>150.46894082871538</v>
      </c>
    </row>
    <row r="2560" spans="2:13" ht="15" customHeight="1" x14ac:dyDescent="0.2">
      <c r="B2560" s="10" t="s">
        <v>911</v>
      </c>
      <c r="C2560" s="10" t="s">
        <v>110</v>
      </c>
      <c r="D2560" s="16">
        <f>(-D2547-D2548)/(Inputs!$D$7+$D$2564)^D2538</f>
        <v>-14170.122737893587</v>
      </c>
      <c r="E2560" s="16">
        <f>(-E2547-E2548)/(Inputs!$D$7+$D$2564)^E2538</f>
        <v>-16568.784506031301</v>
      </c>
      <c r="F2560" s="16">
        <f>(-F2547-F2548)/(Inputs!$D$7+$D$2564)^F2538</f>
        <v>-10901.493767656277</v>
      </c>
      <c r="G2560" s="16">
        <f>(-G2547-G2548)/(Inputs!$D$7+$D$2564)^G2538</f>
        <v>-1621.2839046676961</v>
      </c>
      <c r="H2560" s="16">
        <f>(-H2547-H2548)/(Inputs!$D$7+$D$2564)^H2538</f>
        <v>-8023.6633690433682</v>
      </c>
      <c r="I2560" s="16">
        <f>(-I2547-I2548)/(Inputs!$D$7+$D$2564)^I2538</f>
        <v>-9381.8770500204446</v>
      </c>
      <c r="J2560" s="16">
        <f>(-J2547-J2548)/(Inputs!$D$7+$D$2564)^J2538</f>
        <v>-6172.8411129063252</v>
      </c>
      <c r="K2560" s="16">
        <f>(-K2547-K2548)/(Inputs!$D$7+$D$2564)^K2538</f>
        <v>-959.93022397147342</v>
      </c>
      <c r="L2560" s="16">
        <f>(-L2547-L2548)/(Inputs!$D$7+$D$2564)^L2538</f>
        <v>-4750.6528330682277</v>
      </c>
      <c r="M2560" s="16">
        <f>(-M2547-M2548)/(Inputs!$D$7+$D$2564)^M2538</f>
        <v>-5554.82436602912</v>
      </c>
    </row>
    <row r="2561" spans="2:13" ht="15" customHeight="1" x14ac:dyDescent="0.2">
      <c r="B2561" s="10" t="s">
        <v>912</v>
      </c>
      <c r="C2561" s="10" t="s">
        <v>110</v>
      </c>
      <c r="D2561" s="16">
        <f>Prices!I8</f>
        <v>32775</v>
      </c>
    </row>
    <row r="2562" spans="2:13" ht="15" customHeight="1" x14ac:dyDescent="0.2">
      <c r="B2562" s="3" t="s">
        <v>913</v>
      </c>
      <c r="C2562" s="10" t="s">
        <v>914</v>
      </c>
      <c r="D2562" s="28">
        <f>IF(J2569&gt;=J2565,J2569,(D2561-J2568)/J2567)</f>
        <v>48.686074298016692</v>
      </c>
      <c r="G2562" s="99" t="s">
        <v>915</v>
      </c>
      <c r="H2562" s="91"/>
      <c r="I2562" s="91"/>
      <c r="J2562" s="28">
        <f>D2562*Inputs!$D$15</f>
        <v>33.978011252585844</v>
      </c>
      <c r="K2562" s="99" t="s">
        <v>916</v>
      </c>
      <c r="L2562" s="91"/>
      <c r="M2562" s="91"/>
    </row>
    <row r="2563" spans="2:13" ht="15" customHeight="1" x14ac:dyDescent="0.2">
      <c r="B2563" s="10" t="s">
        <v>917</v>
      </c>
      <c r="C2563" s="10" t="s">
        <v>104</v>
      </c>
      <c r="D2563" s="30">
        <f>Inputs!$D$141</f>
        <v>0.59</v>
      </c>
      <c r="G2563" s="99" t="s">
        <v>918</v>
      </c>
      <c r="H2563" s="91"/>
      <c r="I2563" s="91"/>
      <c r="J2563" s="28">
        <f>IF(-D2574/D2573&gt;=J2565,-D2574/D2573,-J2568/J2567)</f>
        <v>35.478487913459944</v>
      </c>
      <c r="K2563" s="99" t="s">
        <v>919</v>
      </c>
      <c r="L2563" s="91"/>
      <c r="M2563" s="91"/>
    </row>
    <row r="2564" spans="2:13" ht="15" customHeight="1" x14ac:dyDescent="0.2">
      <c r="B2564" s="10" t="s">
        <v>920</v>
      </c>
      <c r="C2564" s="10" t="s">
        <v>104</v>
      </c>
      <c r="D2564" s="30">
        <f>Inputs!$D$149</f>
        <v>0.14000000000000001</v>
      </c>
      <c r="G2564" s="99" t="s">
        <v>918</v>
      </c>
      <c r="H2564" s="91"/>
      <c r="I2564" s="91"/>
      <c r="J2564" s="28">
        <f>J2563*Inputs!$D$15</f>
        <v>24.760436714803692</v>
      </c>
      <c r="K2564" s="99" t="s">
        <v>916</v>
      </c>
      <c r="L2564" s="91"/>
      <c r="M2564" s="91"/>
    </row>
    <row r="2565" spans="2:13" ht="15" customHeight="1" x14ac:dyDescent="0.2">
      <c r="B2565" s="3" t="s">
        <v>921</v>
      </c>
      <c r="C2565" s="10" t="s">
        <v>848</v>
      </c>
      <c r="D2565" s="28">
        <f>Capital!$D$13</f>
        <v>57.347931490590682</v>
      </c>
      <c r="G2565" s="99" t="s">
        <v>922</v>
      </c>
      <c r="H2565" s="91"/>
      <c r="I2565" s="91"/>
      <c r="J2565" s="28">
        <f>($D$2565/Inputs!$D$21+$D$2566/Inputs!$D$22)/$D$2563</f>
        <v>24.521773131961492</v>
      </c>
      <c r="K2565" s="99" t="s">
        <v>919</v>
      </c>
      <c r="L2565" s="91"/>
      <c r="M2565" s="91"/>
    </row>
    <row r="2566" spans="2:13" ht="15" customHeight="1" x14ac:dyDescent="0.2">
      <c r="B2566" s="3" t="s">
        <v>923</v>
      </c>
      <c r="C2566" s="10" t="s">
        <v>848</v>
      </c>
      <c r="D2566" s="28">
        <f>Capital!$D$14</f>
        <v>2.6172655041921802</v>
      </c>
    </row>
    <row r="2567" spans="2:13" ht="15" customHeight="1" x14ac:dyDescent="0.2">
      <c r="B2567" s="10" t="s">
        <v>924</v>
      </c>
      <c r="C2567" s="10" t="s">
        <v>896</v>
      </c>
      <c r="D2567" s="28">
        <f>(M2540*(Inputs!$D$7+Inputs!$D$20)*$D$2563*(Inputs!$D$7-Inputs!$D$19)-M2540*Inputs!$D$20*Inputs!$D$23)/($D$2564-Inputs!$D$20)/(Inputs!$D$7+$D$2564)^M2538</f>
        <v>937.40930417535674</v>
      </c>
      <c r="G2567" s="92" t="s">
        <v>910</v>
      </c>
      <c r="H2567" s="91"/>
      <c r="I2567" s="91"/>
      <c r="J2567" s="28">
        <f>SUM(D2559:M2559)+(M2540*(Inputs!$D$7+Inputs!$D$20)*$D$2563-M2540*Inputs!$D$20*Inputs!$D$23)/($D$2564-Inputs!$D$20)/(Inputs!$D$7+$D$2564)^M2538</f>
        <v>3553.0746151702915</v>
      </c>
      <c r="K2567" s="99" t="s">
        <v>896</v>
      </c>
      <c r="L2567" s="91"/>
      <c r="M2567" s="91"/>
    </row>
    <row r="2568" spans="2:13" ht="15" customHeight="1" x14ac:dyDescent="0.2">
      <c r="B2568" s="10" t="s">
        <v>925</v>
      </c>
      <c r="C2568" s="10" t="s">
        <v>110</v>
      </c>
      <c r="D2568" s="16">
        <f>(D2571*Inputs!$D$19-D2571-D2572)/($D$2564-Inputs!$D$20)/(Inputs!$D$7+$D$2564)^M2538</f>
        <v>-26345.502698929216</v>
      </c>
      <c r="G2568" s="92" t="s">
        <v>926</v>
      </c>
      <c r="H2568" s="91"/>
      <c r="I2568" s="91"/>
      <c r="J2568" s="16">
        <f>SUM(D2560:M2560)-(D2571+D2572)/($D$2564-Inputs!$D$20)/(Inputs!$D$7+$D$2564)^M2538</f>
        <v>-114317.08794717836</v>
      </c>
      <c r="K2568" s="99" t="s">
        <v>110</v>
      </c>
      <c r="L2568" s="91"/>
      <c r="M2568" s="91"/>
    </row>
    <row r="2569" spans="2:13" ht="15" customHeight="1" x14ac:dyDescent="0.2">
      <c r="B2569" s="10" t="s">
        <v>927</v>
      </c>
      <c r="C2569" s="10" t="s">
        <v>928</v>
      </c>
      <c r="D2569" s="16">
        <f>(M2540*(Inputs!$D$7+Inputs!$D$20)*$D$2562*$D$2563-D2571)-MAX((M2540*(Inputs!$D$7+Inputs!$D$20)*$D$2562*$D$2563-D2571),Inputs!$D$6)*Inputs!$D$19-D2572-M2540*Inputs!$D$20*$D$2562*Inputs!$D$23</f>
        <v>7925.5123976009936</v>
      </c>
      <c r="G2569" s="99" t="s">
        <v>929</v>
      </c>
      <c r="H2569" s="91"/>
      <c r="I2569" s="91"/>
      <c r="J2569" s="28">
        <f>(D2561-D2574)/D2573</f>
        <v>48.686074298016692</v>
      </c>
      <c r="K2569" s="99" t="s">
        <v>919</v>
      </c>
      <c r="L2569" s="91"/>
      <c r="M2569" s="91"/>
    </row>
    <row r="2570" spans="2:13" ht="15" customHeight="1" x14ac:dyDescent="0.2">
      <c r="B2570" s="10" t="s">
        <v>930</v>
      </c>
      <c r="C2570" s="10" t="s">
        <v>110</v>
      </c>
      <c r="D2570" s="16">
        <f>D2569/($D$2564-Inputs!$D$20)</f>
        <v>68917.499109573851</v>
      </c>
      <c r="G2570" s="99" t="s">
        <v>931</v>
      </c>
      <c r="H2570" s="91"/>
      <c r="I2570" s="91"/>
      <c r="J2570" s="16">
        <f>MIN(D2554:M2554,(M2540*(Inputs!$D$7+Inputs!$D$20)*$D$2562*$D$2563-D2571))</f>
        <v>1790.4898684478237</v>
      </c>
      <c r="K2570" s="99" t="s">
        <v>110</v>
      </c>
      <c r="L2570" s="91"/>
      <c r="M2570" s="91"/>
    </row>
    <row r="2571" spans="2:13" ht="15" customHeight="1" x14ac:dyDescent="0.2">
      <c r="B2571" s="10" t="s">
        <v>932</v>
      </c>
      <c r="C2571" s="10" t="s">
        <v>928</v>
      </c>
      <c r="D2571" s="16">
        <f>M2540*(Inputs!$D$7+Inputs!$D$20)*($D$2565/Inputs!$D$21+$D$2566/Inputs!$D$22)</f>
        <v>13509.71303671543</v>
      </c>
      <c r="G2571" s="99" t="s">
        <v>933</v>
      </c>
      <c r="H2571" s="91"/>
      <c r="I2571" s="91"/>
      <c r="J2571" s="31" t="str">
        <f>IF(J2570&lt;Inputs!$D$6,"breached","satisfied")</f>
        <v>satisfied</v>
      </c>
      <c r="K2571" s="99" t="s">
        <v>934</v>
      </c>
      <c r="L2571" s="91"/>
      <c r="M2571" s="91"/>
    </row>
    <row r="2572" spans="2:13" ht="15" customHeight="1" x14ac:dyDescent="0.2">
      <c r="B2572" s="10" t="s">
        <v>935</v>
      </c>
      <c r="C2572" s="10" t="s">
        <v>928</v>
      </c>
      <c r="D2572" s="16">
        <f>M2540*Inputs!$D$20*($D$2565+$D$2566)</f>
        <v>1365.7073615561799</v>
      </c>
    </row>
    <row r="2573" spans="2:13" ht="15" customHeight="1" x14ac:dyDescent="0.2">
      <c r="B2573" s="10" t="s">
        <v>936</v>
      </c>
      <c r="C2573" s="10" t="s">
        <v>896</v>
      </c>
      <c r="D2573" s="28">
        <f>SUM(D2550:M2550)+D2567</f>
        <v>2481.5283463391052</v>
      </c>
      <c r="G2573" s="99" t="s">
        <v>937</v>
      </c>
      <c r="H2573" s="91"/>
      <c r="I2573" s="91"/>
      <c r="J2573" s="16">
        <f>D2575-D2561</f>
        <v>0</v>
      </c>
      <c r="K2573" s="99" t="s">
        <v>110</v>
      </c>
      <c r="L2573" s="91"/>
      <c r="M2573" s="91"/>
    </row>
    <row r="2574" spans="2:13" ht="15" customHeight="1" x14ac:dyDescent="0.2">
      <c r="B2574" s="10" t="s">
        <v>938</v>
      </c>
      <c r="C2574" s="10" t="s">
        <v>110</v>
      </c>
      <c r="D2574" s="16">
        <f>SUM(D2551:M2551)+D2568</f>
        <v>-88040.873442500175</v>
      </c>
    </row>
    <row r="2575" spans="2:13" ht="15" customHeight="1" x14ac:dyDescent="0.2">
      <c r="B2575" s="10" t="s">
        <v>939</v>
      </c>
      <c r="C2575" s="10" t="s">
        <v>110</v>
      </c>
      <c r="D2575" s="16">
        <f>SUM(D2558:M2558)+D2570/(Inputs!$D$7+$D$2564)^M2538</f>
        <v>32774.999999999985</v>
      </c>
    </row>
    <row r="2576" spans="2:13" ht="15" customHeight="1" x14ac:dyDescent="0.2">
      <c r="B2576" s="10" t="s">
        <v>940</v>
      </c>
      <c r="C2576" s="10" t="s">
        <v>104</v>
      </c>
      <c r="D2576" s="30">
        <f>IF(ABS(D2561)&gt;Inputs!$D$6,D2575/D2561-Inputs!$D$7,Inputs!$D$6)</f>
        <v>-4.4408920985006262E-16</v>
      </c>
    </row>
    <row r="2577" spans="1:13" ht="15" customHeight="1" x14ac:dyDescent="0.2">
      <c r="B2577" s="10" t="s">
        <v>941</v>
      </c>
      <c r="C2577" s="10" t="s">
        <v>104</v>
      </c>
      <c r="D2577" s="30">
        <f>IF(ABS(D2575)&gt;Inputs!$D$119,D2570/(Inputs!$D$7+$D$2564)^M2538/D2575,Inputs!$D$6)</f>
        <v>0.5886583167598578</v>
      </c>
    </row>
    <row r="2578" spans="1:13" ht="15" customHeight="1" x14ac:dyDescent="0.2">
      <c r="B2578" s="10" t="s">
        <v>942</v>
      </c>
      <c r="C2578" s="10" t="s">
        <v>943</v>
      </c>
      <c r="D2578" s="26">
        <f>$D$2562*Inputs!$D$8/Prices!$P$6/(Inputs!$D$26/Inputs!$D$25)/Inputs!$D$11/Inputs!$D$56</f>
        <v>8.8537104961324058</v>
      </c>
    </row>
    <row r="2582" spans="1:13" ht="15" customHeight="1" x14ac:dyDescent="0.2">
      <c r="A2582" s="104" t="s">
        <v>2221</v>
      </c>
      <c r="B2582" s="10" t="s">
        <v>886</v>
      </c>
      <c r="C2582" s="10" t="s">
        <v>107</v>
      </c>
      <c r="D2582" s="28">
        <f>Inputs!$D$60</f>
        <v>1</v>
      </c>
      <c r="E2582" s="28">
        <f>Inputs!$D$62</f>
        <v>2</v>
      </c>
      <c r="F2582" s="28">
        <f>Inputs!$D$64</f>
        <v>3</v>
      </c>
      <c r="G2582" s="28">
        <f>Inputs!$D$66</f>
        <v>4</v>
      </c>
      <c r="H2582" s="28">
        <f>Inputs!$D$68</f>
        <v>5</v>
      </c>
      <c r="I2582" s="28">
        <f>Inputs!$D$70</f>
        <v>6</v>
      </c>
      <c r="J2582" s="28">
        <f>Inputs!$D$72</f>
        <v>7</v>
      </c>
      <c r="K2582" s="28">
        <f>Inputs!$D$74</f>
        <v>8</v>
      </c>
      <c r="L2582" s="28">
        <f>Inputs!$D$76</f>
        <v>9</v>
      </c>
      <c r="M2582" s="28">
        <f>Inputs!$D$78</f>
        <v>10</v>
      </c>
    </row>
    <row r="2583" spans="1:13" ht="15" customHeight="1" x14ac:dyDescent="0.2">
      <c r="A2583" s="91"/>
      <c r="B2583" s="10" t="s">
        <v>887</v>
      </c>
      <c r="C2583" s="10" t="s">
        <v>161</v>
      </c>
      <c r="D2583" s="29">
        <f>Inputs!$D$61</f>
        <v>46568</v>
      </c>
      <c r="E2583" s="29">
        <f>Inputs!$D$63</f>
        <v>46934</v>
      </c>
      <c r="F2583" s="29">
        <f>Inputs!$D$65</f>
        <v>47299</v>
      </c>
      <c r="G2583" s="29">
        <f>Inputs!$D$67</f>
        <v>47664</v>
      </c>
      <c r="H2583" s="29">
        <f>Inputs!$D$69</f>
        <v>48029</v>
      </c>
      <c r="I2583" s="29">
        <f>Inputs!$D$71</f>
        <v>48395</v>
      </c>
      <c r="J2583" s="29">
        <f>Inputs!$D$73</f>
        <v>48760</v>
      </c>
      <c r="K2583" s="29">
        <f>Inputs!$D$75</f>
        <v>49125</v>
      </c>
      <c r="L2583" s="29">
        <f>Inputs!$D$77</f>
        <v>49490</v>
      </c>
      <c r="M2583" s="29">
        <f>Inputs!$D$79</f>
        <v>49856</v>
      </c>
    </row>
    <row r="2584" spans="1:13" ht="15" customHeight="1" x14ac:dyDescent="0.2">
      <c r="A2584" s="91"/>
      <c r="B2584" s="10" t="s">
        <v>888</v>
      </c>
      <c r="C2584" s="10" t="s">
        <v>107</v>
      </c>
      <c r="D2584" s="28">
        <f>(D2583-Inputs!$D$13)/Inputs!$D$10</f>
        <v>0.71457905544147848</v>
      </c>
      <c r="E2584" s="28">
        <f>(E2583-Inputs!$D$13)/Inputs!$D$10</f>
        <v>1.7166324435318274</v>
      </c>
      <c r="F2584" s="28">
        <f>(F2583-Inputs!$D$13)/Inputs!$D$10</f>
        <v>2.7159479808350446</v>
      </c>
      <c r="G2584" s="28">
        <f>(G2583-Inputs!$D$13)/Inputs!$D$10</f>
        <v>3.7152635181382614</v>
      </c>
      <c r="H2584" s="28">
        <f>(H2583-Inputs!$D$13)/Inputs!$D$10</f>
        <v>4.7145790554414786</v>
      </c>
      <c r="I2584" s="28">
        <f>(I2583-Inputs!$D$13)/Inputs!$D$10</f>
        <v>5.7166324435318279</v>
      </c>
      <c r="J2584" s="28">
        <f>(J2583-Inputs!$D$13)/Inputs!$D$10</f>
        <v>6.7159479808350442</v>
      </c>
      <c r="K2584" s="28">
        <f>(K2583-Inputs!$D$13)/Inputs!$D$10</f>
        <v>7.7152635181382614</v>
      </c>
      <c r="L2584" s="28">
        <f>(L2583-Inputs!$D$13)/Inputs!$D$10</f>
        <v>8.7145790554414777</v>
      </c>
      <c r="M2584" s="28">
        <f>(M2583-Inputs!$D$13)/Inputs!$D$10</f>
        <v>9.716632443531827</v>
      </c>
    </row>
    <row r="2585" spans="1:13" ht="15" customHeight="1" x14ac:dyDescent="0.2">
      <c r="A2585" s="91"/>
      <c r="B2585" s="10" t="s">
        <v>889</v>
      </c>
      <c r="C2585" s="10" t="s">
        <v>107</v>
      </c>
      <c r="D2585" s="28">
        <f>D2584</f>
        <v>0.71457905544147848</v>
      </c>
      <c r="E2585" s="28">
        <f>Inputs!$D$7</f>
        <v>1</v>
      </c>
      <c r="F2585" s="28">
        <f>Inputs!$D$7</f>
        <v>1</v>
      </c>
      <c r="G2585" s="28">
        <f>Inputs!$D$7</f>
        <v>1</v>
      </c>
      <c r="H2585" s="28">
        <f>Inputs!$D$7</f>
        <v>1</v>
      </c>
      <c r="I2585" s="28">
        <f>Inputs!$D$7</f>
        <v>1</v>
      </c>
      <c r="J2585" s="28">
        <f>Inputs!$D$7</f>
        <v>1</v>
      </c>
      <c r="K2585" s="28">
        <f>Inputs!$D$7</f>
        <v>1</v>
      </c>
      <c r="L2585" s="28">
        <f>Inputs!$D$7</f>
        <v>1</v>
      </c>
      <c r="M2585" s="28">
        <f>Inputs!$D$7</f>
        <v>1</v>
      </c>
    </row>
    <row r="2586" spans="1:13" ht="15" customHeight="1" x14ac:dyDescent="0.2">
      <c r="A2586" s="91"/>
      <c r="B2586" s="3" t="s">
        <v>890</v>
      </c>
      <c r="C2586" s="10" t="s">
        <v>199</v>
      </c>
      <c r="D2586" s="28">
        <f>Inputs!$D$24+(Inputs!$D$80-Inputs!$D$24)*Inputs!$D$83</f>
        <v>305.5</v>
      </c>
      <c r="E2586" s="28">
        <f>Inputs!$D$24+(Inputs!$D$80-Inputs!$D$24)*Inputs!$D$84</f>
        <v>651.5</v>
      </c>
      <c r="F2586" s="28">
        <f>Inputs!$D$24+(Inputs!$D$80-Inputs!$D$24)*Inputs!$D$85</f>
        <v>911</v>
      </c>
      <c r="G2586" s="28">
        <f>Inputs!$D$24+(Inputs!$D$80-Inputs!$D$24)*Inputs!$D$86</f>
        <v>911</v>
      </c>
      <c r="H2586" s="28">
        <f>Inputs!$D$24+(Inputs!$D$80-Inputs!$D$24)*Inputs!$D$87</f>
        <v>911</v>
      </c>
      <c r="I2586" s="28">
        <f>Inputs!$D$24+(Inputs!$D$80-Inputs!$D$24)*Inputs!$D$88</f>
        <v>911</v>
      </c>
      <c r="J2586" s="28">
        <f>Inputs!$D$24+(Inputs!$D$80-Inputs!$D$24)*Inputs!$D$89</f>
        <v>911</v>
      </c>
      <c r="K2586" s="28">
        <f>Inputs!$D$24+(Inputs!$D$80-Inputs!$D$24)*Inputs!$D$90</f>
        <v>911</v>
      </c>
      <c r="L2586" s="28">
        <f>Inputs!$D$24+(Inputs!$D$80-Inputs!$D$24)*Inputs!$D$91</f>
        <v>911</v>
      </c>
      <c r="M2586" s="28">
        <f>Inputs!$D$24+(Inputs!$D$80-Inputs!$D$24)*Inputs!$D$92</f>
        <v>911</v>
      </c>
    </row>
    <row r="2587" spans="1:13" ht="15" customHeight="1" x14ac:dyDescent="0.2">
      <c r="A2587" s="91"/>
      <c r="B2587" s="10" t="s">
        <v>891</v>
      </c>
      <c r="C2587" s="10" t="s">
        <v>199</v>
      </c>
      <c r="D2587" s="28">
        <f>Inputs!$D$24</f>
        <v>46</v>
      </c>
      <c r="E2587" s="28">
        <f t="shared" ref="E2587:M2587" si="560">D2586</f>
        <v>305.5</v>
      </c>
      <c r="F2587" s="28">
        <f t="shared" si="560"/>
        <v>651.5</v>
      </c>
      <c r="G2587" s="28">
        <f t="shared" si="560"/>
        <v>911</v>
      </c>
      <c r="H2587" s="28">
        <f t="shared" si="560"/>
        <v>911</v>
      </c>
      <c r="I2587" s="28">
        <f t="shared" si="560"/>
        <v>911</v>
      </c>
      <c r="J2587" s="28">
        <f t="shared" si="560"/>
        <v>911</v>
      </c>
      <c r="K2587" s="28">
        <f t="shared" si="560"/>
        <v>911</v>
      </c>
      <c r="L2587" s="28">
        <f t="shared" si="560"/>
        <v>911</v>
      </c>
      <c r="M2587" s="28">
        <f t="shared" si="560"/>
        <v>911</v>
      </c>
    </row>
    <row r="2588" spans="1:13" ht="15" customHeight="1" x14ac:dyDescent="0.2">
      <c r="B2588" s="10" t="s">
        <v>892</v>
      </c>
      <c r="C2588" s="10" t="s">
        <v>199</v>
      </c>
      <c r="D2588" s="28">
        <f>(D2587+D2586)*Inputs!$D$12</f>
        <v>175.75</v>
      </c>
      <c r="E2588" s="28">
        <f>(E2587+E2586)*Inputs!$D$12</f>
        <v>478.5</v>
      </c>
      <c r="F2588" s="28">
        <f>(F2587+F2586)*Inputs!$D$12</f>
        <v>781.25</v>
      </c>
      <c r="G2588" s="28">
        <f>(G2587+G2586)*Inputs!$D$12</f>
        <v>911</v>
      </c>
      <c r="H2588" s="28">
        <f>(H2587+H2586)*Inputs!$D$12</f>
        <v>911</v>
      </c>
      <c r="I2588" s="28">
        <f>(I2587+I2586)*Inputs!$D$12</f>
        <v>911</v>
      </c>
      <c r="J2588" s="28">
        <f>(J2587+J2586)*Inputs!$D$12</f>
        <v>911</v>
      </c>
      <c r="K2588" s="28">
        <f>(K2587+K2586)*Inputs!$D$12</f>
        <v>911</v>
      </c>
      <c r="L2588" s="28">
        <f>(L2587+L2586)*Inputs!$D$12</f>
        <v>911</v>
      </c>
      <c r="M2588" s="28">
        <f>(M2587+M2586)*Inputs!$D$12</f>
        <v>911</v>
      </c>
    </row>
    <row r="2589" spans="1:13" ht="15" customHeight="1" x14ac:dyDescent="0.2">
      <c r="B2589" s="10" t="s">
        <v>893</v>
      </c>
      <c r="C2589" s="10" t="s">
        <v>199</v>
      </c>
      <c r="D2589" s="28">
        <f t="shared" ref="D2589:M2589" si="561">D2586-D2587</f>
        <v>259.5</v>
      </c>
      <c r="E2589" s="28">
        <f t="shared" si="561"/>
        <v>346</v>
      </c>
      <c r="F2589" s="28">
        <f t="shared" si="561"/>
        <v>259.5</v>
      </c>
      <c r="G2589" s="28">
        <f t="shared" si="561"/>
        <v>0</v>
      </c>
      <c r="H2589" s="28">
        <f t="shared" si="561"/>
        <v>0</v>
      </c>
      <c r="I2589" s="28">
        <f t="shared" si="561"/>
        <v>0</v>
      </c>
      <c r="J2589" s="28">
        <f t="shared" si="561"/>
        <v>0</v>
      </c>
      <c r="K2589" s="28">
        <f t="shared" si="561"/>
        <v>0</v>
      </c>
      <c r="L2589" s="28">
        <f t="shared" si="561"/>
        <v>0</v>
      </c>
      <c r="M2589" s="28">
        <f t="shared" si="561"/>
        <v>0</v>
      </c>
    </row>
    <row r="2590" spans="1:13" ht="15" customHeight="1" x14ac:dyDescent="0.2">
      <c r="B2590" s="10" t="s">
        <v>894</v>
      </c>
      <c r="C2590" s="10" t="s">
        <v>199</v>
      </c>
      <c r="D2590" s="28">
        <f>IF(MOD(D2582,Inputs!$D$21)=Inputs!$D$6,Inputs!$D$24,Inputs!$D$6)+SUMPRODUCT(--(D2582&gt;$D$2582:$M$2582),--(MOD(D2582-$D$2582:$M$2582,Inputs!$D$21)=Inputs!$D$6),$D$2589:$M$2589)</f>
        <v>0</v>
      </c>
      <c r="E2590" s="28">
        <f>IF(MOD(E2582,Inputs!$D$21)=Inputs!$D$6,Inputs!$D$24,Inputs!$D$6)+SUMPRODUCT(--(E2582&gt;$D$2582:$M$2582),--(MOD(E2582-$D$2582:$M$2582,Inputs!$D$21)=Inputs!$D$6),$D$2589:$M$2589)</f>
        <v>0</v>
      </c>
      <c r="F2590" s="28">
        <f>IF(MOD(F2582,Inputs!$D$21)=Inputs!$D$6,Inputs!$D$24,Inputs!$D$6)+SUMPRODUCT(--(F2582&gt;$D$2582:$M$2582),--(MOD(F2582-$D$2582:$M$2582,Inputs!$D$21)=Inputs!$D$6),$D$2589:$M$2589)</f>
        <v>0</v>
      </c>
      <c r="G2590" s="28">
        <f>IF(MOD(G2582,Inputs!$D$21)=Inputs!$D$6,Inputs!$D$24,Inputs!$D$6)+SUMPRODUCT(--(G2582&gt;$D$2582:$M$2582),--(MOD(G2582-$D$2582:$M$2582,Inputs!$D$21)=Inputs!$D$6),$D$2589:$M$2589)</f>
        <v>46</v>
      </c>
      <c r="H2590" s="28">
        <f>IF(MOD(H2582,Inputs!$D$21)=Inputs!$D$6,Inputs!$D$24,Inputs!$D$6)+SUMPRODUCT(--(H2582&gt;$D$2582:$M$2582),--(MOD(H2582-$D$2582:$M$2582,Inputs!$D$21)=Inputs!$D$6),$D$2589:$M$2589)</f>
        <v>259.5</v>
      </c>
      <c r="I2590" s="28">
        <f>IF(MOD(I2582,Inputs!$D$21)=Inputs!$D$6,Inputs!$D$24,Inputs!$D$6)+SUMPRODUCT(--(I2582&gt;$D$2582:$M$2582),--(MOD(I2582-$D$2582:$M$2582,Inputs!$D$21)=Inputs!$D$6),$D$2589:$M$2589)</f>
        <v>346</v>
      </c>
      <c r="J2590" s="28">
        <f>IF(MOD(J2582,Inputs!$D$21)=Inputs!$D$6,Inputs!$D$24,Inputs!$D$6)+SUMPRODUCT(--(J2582&gt;$D$2582:$M$2582),--(MOD(J2582-$D$2582:$M$2582,Inputs!$D$21)=Inputs!$D$6),$D$2589:$M$2589)</f>
        <v>259.5</v>
      </c>
      <c r="K2590" s="28">
        <f>IF(MOD(K2582,Inputs!$D$21)=Inputs!$D$6,Inputs!$D$24,Inputs!$D$6)+SUMPRODUCT(--(K2582&gt;$D$2582:$M$2582),--(MOD(K2582-$D$2582:$M$2582,Inputs!$D$21)=Inputs!$D$6),$D$2589:$M$2589)</f>
        <v>46</v>
      </c>
      <c r="L2590" s="28">
        <f>IF(MOD(L2582,Inputs!$D$21)=Inputs!$D$6,Inputs!$D$24,Inputs!$D$6)+SUMPRODUCT(--(L2582&gt;$D$2582:$M$2582),--(MOD(L2582-$D$2582:$M$2582,Inputs!$D$21)=Inputs!$D$6),$D$2589:$M$2589)</f>
        <v>259.5</v>
      </c>
      <c r="M2590" s="28">
        <f>IF(MOD(M2582,Inputs!$D$21)=Inputs!$D$6,Inputs!$D$24,Inputs!$D$6)+SUMPRODUCT(--(M2582&gt;$D$2582:$M$2582),--(MOD(M2582-$D$2582:$M$2582,Inputs!$D$21)=Inputs!$D$6),$D$2589:$M$2589)</f>
        <v>346</v>
      </c>
    </row>
    <row r="2591" spans="1:13" ht="15" customHeight="1" x14ac:dyDescent="0.2">
      <c r="B2591" s="10" t="s">
        <v>895</v>
      </c>
      <c r="C2591" s="10" t="s">
        <v>896</v>
      </c>
      <c r="D2591" s="28">
        <f t="shared" ref="D2591:M2591" si="562">D2588*D2585</f>
        <v>125.58726899383984</v>
      </c>
      <c r="E2591" s="28">
        <f t="shared" si="562"/>
        <v>478.5</v>
      </c>
      <c r="F2591" s="28">
        <f t="shared" si="562"/>
        <v>781.25</v>
      </c>
      <c r="G2591" s="28">
        <f t="shared" si="562"/>
        <v>911</v>
      </c>
      <c r="H2591" s="28">
        <f t="shared" si="562"/>
        <v>911</v>
      </c>
      <c r="I2591" s="28">
        <f t="shared" si="562"/>
        <v>911</v>
      </c>
      <c r="J2591" s="28">
        <f t="shared" si="562"/>
        <v>911</v>
      </c>
      <c r="K2591" s="28">
        <f t="shared" si="562"/>
        <v>911</v>
      </c>
      <c r="L2591" s="28">
        <f t="shared" si="562"/>
        <v>911</v>
      </c>
      <c r="M2591" s="28">
        <f t="shared" si="562"/>
        <v>911</v>
      </c>
    </row>
    <row r="2592" spans="1:13" ht="15" customHeight="1" x14ac:dyDescent="0.2">
      <c r="B2592" s="10" t="s">
        <v>897</v>
      </c>
      <c r="C2592" s="10" t="s">
        <v>110</v>
      </c>
      <c r="D2592" s="16">
        <f>D2591*($D$2611/Inputs!$D$21+$D$2612/Inputs!$D$22)</f>
        <v>1816.9772859324419</v>
      </c>
      <c r="E2592" s="16">
        <f>E2591*($D$2611/Inputs!$D$21+$D$2612/Inputs!$D$22)</f>
        <v>6922.8643817497086</v>
      </c>
      <c r="F2592" s="16">
        <f>F2591*($D$2611/Inputs!$D$21+$D$2612/Inputs!$D$22)</f>
        <v>11303.0048030135</v>
      </c>
      <c r="G2592" s="16">
        <f>G2591*($D$2611/Inputs!$D$21+$D$2612/Inputs!$D$22)</f>
        <v>13180.207840697982</v>
      </c>
      <c r="H2592" s="16">
        <f>H2591*($D$2611/Inputs!$D$21+$D$2612/Inputs!$D$22)</f>
        <v>13180.207840697982</v>
      </c>
      <c r="I2592" s="16">
        <f>I2591*($D$2611/Inputs!$D$21+$D$2612/Inputs!$D$22)</f>
        <v>13180.207840697982</v>
      </c>
      <c r="J2592" s="16">
        <f>J2591*($D$2611/Inputs!$D$21+$D$2612/Inputs!$D$22)</f>
        <v>13180.207840697982</v>
      </c>
      <c r="K2592" s="16">
        <f>K2591*($D$2611/Inputs!$D$21+$D$2612/Inputs!$D$22)</f>
        <v>13180.207840697982</v>
      </c>
      <c r="L2592" s="16">
        <f>L2591*($D$2611/Inputs!$D$21+$D$2612/Inputs!$D$22)</f>
        <v>13180.207840697982</v>
      </c>
      <c r="M2592" s="16">
        <f>M2591*($D$2611/Inputs!$D$21+$D$2612/Inputs!$D$22)</f>
        <v>13180.207840697982</v>
      </c>
    </row>
    <row r="2593" spans="2:13" ht="15" customHeight="1" x14ac:dyDescent="0.2">
      <c r="B2593" s="10" t="s">
        <v>898</v>
      </c>
      <c r="C2593" s="10" t="s">
        <v>110</v>
      </c>
      <c r="D2593" s="16">
        <f t="shared" ref="D2593:M2593" si="563">D2589*($D$2611+$D$2612)</f>
        <v>15560.968620146154</v>
      </c>
      <c r="E2593" s="16">
        <f t="shared" si="563"/>
        <v>20747.95816019487</v>
      </c>
      <c r="F2593" s="16">
        <f t="shared" si="563"/>
        <v>15560.968620146154</v>
      </c>
      <c r="G2593" s="16">
        <f t="shared" si="563"/>
        <v>0</v>
      </c>
      <c r="H2593" s="16">
        <f t="shared" si="563"/>
        <v>0</v>
      </c>
      <c r="I2593" s="16">
        <f t="shared" si="563"/>
        <v>0</v>
      </c>
      <c r="J2593" s="16">
        <f t="shared" si="563"/>
        <v>0</v>
      </c>
      <c r="K2593" s="16">
        <f t="shared" si="563"/>
        <v>0</v>
      </c>
      <c r="L2593" s="16">
        <f t="shared" si="563"/>
        <v>0</v>
      </c>
      <c r="M2593" s="16">
        <f t="shared" si="563"/>
        <v>0</v>
      </c>
    </row>
    <row r="2594" spans="2:13" ht="15" customHeight="1" x14ac:dyDescent="0.2">
      <c r="B2594" s="10" t="s">
        <v>899</v>
      </c>
      <c r="C2594" s="10" t="s">
        <v>110</v>
      </c>
      <c r="D2594" s="16">
        <f t="shared" ref="D2594:M2594" si="564">D2590*$D$2611</f>
        <v>0</v>
      </c>
      <c r="E2594" s="16">
        <f t="shared" si="564"/>
        <v>0</v>
      </c>
      <c r="F2594" s="16">
        <f t="shared" si="564"/>
        <v>0</v>
      </c>
      <c r="G2594" s="16">
        <f t="shared" si="564"/>
        <v>2638.0048485671714</v>
      </c>
      <c r="H2594" s="16">
        <f t="shared" si="564"/>
        <v>14881.788221808281</v>
      </c>
      <c r="I2594" s="16">
        <f t="shared" si="564"/>
        <v>19842.384295744378</v>
      </c>
      <c r="J2594" s="16">
        <f t="shared" si="564"/>
        <v>14881.788221808281</v>
      </c>
      <c r="K2594" s="16">
        <f t="shared" si="564"/>
        <v>2638.0048485671714</v>
      </c>
      <c r="L2594" s="16">
        <f t="shared" si="564"/>
        <v>14881.788221808281</v>
      </c>
      <c r="M2594" s="16">
        <f t="shared" si="564"/>
        <v>19842.384295744378</v>
      </c>
    </row>
    <row r="2595" spans="2:13" ht="15" customHeight="1" x14ac:dyDescent="0.2">
      <c r="B2595" s="10" t="s">
        <v>900</v>
      </c>
      <c r="C2595" s="10" t="s">
        <v>199</v>
      </c>
      <c r="D2595" s="28">
        <f>D2589*Inputs!$D$23</f>
        <v>6.4875000000000007</v>
      </c>
      <c r="E2595" s="28">
        <f>E2589*Inputs!$D$23</f>
        <v>8.65</v>
      </c>
      <c r="F2595" s="28">
        <f>F2589*Inputs!$D$23</f>
        <v>6.4875000000000007</v>
      </c>
      <c r="G2595" s="28">
        <f>G2589*Inputs!$D$23</f>
        <v>0</v>
      </c>
      <c r="H2595" s="28">
        <f>H2589*Inputs!$D$23</f>
        <v>0</v>
      </c>
      <c r="I2595" s="28">
        <f>I2589*Inputs!$D$23</f>
        <v>0</v>
      </c>
      <c r="J2595" s="28">
        <f>J2589*Inputs!$D$23</f>
        <v>0</v>
      </c>
      <c r="K2595" s="28">
        <f>K2589*Inputs!$D$23</f>
        <v>0</v>
      </c>
      <c r="L2595" s="28">
        <f>L2589*Inputs!$D$23</f>
        <v>0</v>
      </c>
      <c r="M2595" s="28">
        <f>M2589*Inputs!$D$23</f>
        <v>0</v>
      </c>
    </row>
    <row r="2596" spans="2:13" ht="15" customHeight="1" x14ac:dyDescent="0.2">
      <c r="B2596" s="3" t="s">
        <v>901</v>
      </c>
      <c r="C2596" s="10" t="s">
        <v>896</v>
      </c>
      <c r="D2596" s="28">
        <f>(D2591*$D$2609*(Inputs!$D$7-Inputs!$D$19)-D2595)/(Inputs!$D$7+$D$2610)^D2584</f>
        <v>43.783831198567135</v>
      </c>
      <c r="E2596" s="28">
        <f>(E2591*$D$2609*(Inputs!$D$7-Inputs!$D$19)-E2595)/(Inputs!$D$7+$D$2610)^E2584</f>
        <v>168.51871826429579</v>
      </c>
      <c r="F2596" s="28">
        <f>(F2591*$D$2609*(Inputs!$D$7-Inputs!$D$19)-F2595)/(Inputs!$D$7+$D$2610)^F2584</f>
        <v>260.96934562388475</v>
      </c>
      <c r="G2596" s="28">
        <f>(G2591*$D$2609*(Inputs!$D$7-Inputs!$D$19)-G2595)/(Inputs!$D$7+$D$2610)^G2584</f>
        <v>287.46806652281919</v>
      </c>
      <c r="H2596" s="28">
        <f>(H2591*$D$2609*(Inputs!$D$7-Inputs!$D$19)-H2595)/(Inputs!$D$7+$D$2610)^H2584</f>
        <v>266.1881572833488</v>
      </c>
      <c r="I2596" s="28">
        <f>(I2591*$D$2609*(Inputs!$D$7-Inputs!$D$19)-I2595)/(Inputs!$D$7+$D$2610)^I2584</f>
        <v>246.43156912674462</v>
      </c>
      <c r="J2596" s="28">
        <f>(J2591*$D$2609*(Inputs!$D$7-Inputs!$D$19)-J2595)/(Inputs!$D$7+$D$2610)^J2584</f>
        <v>228.18939882870521</v>
      </c>
      <c r="K2596" s="28">
        <f>(K2591*$D$2609*(Inputs!$D$7-Inputs!$D$19)-K2595)/(Inputs!$D$7+$D$2610)^K2584</f>
        <v>211.29761061994878</v>
      </c>
      <c r="L2596" s="28">
        <f>(L2591*$D$2609*(Inputs!$D$7-Inputs!$D$19)-L2595)/(Inputs!$D$7+$D$2610)^L2584</f>
        <v>195.65624206413901</v>
      </c>
      <c r="M2596" s="28">
        <f>(M2591*$D$2609*(Inputs!$D$7-Inputs!$D$19)-M2595)/(Inputs!$D$7+$D$2610)^M2584</f>
        <v>181.1345599796301</v>
      </c>
    </row>
    <row r="2597" spans="2:13" ht="15" customHeight="1" x14ac:dyDescent="0.2">
      <c r="B2597" s="10" t="s">
        <v>902</v>
      </c>
      <c r="C2597" s="10" t="s">
        <v>110</v>
      </c>
      <c r="D2597" s="16">
        <f>(D2592*Inputs!$D$19-D2593-D2594)/(Inputs!$D$7+$D$2610)^D2584</f>
        <v>-14212.377724210151</v>
      </c>
      <c r="E2597" s="16">
        <f>(E2592*Inputs!$D$19-E2593-E2594)/(Inputs!$D$7+$D$2610)^E2584</f>
        <v>-16360.387094728963</v>
      </c>
      <c r="F2597" s="16">
        <f>(F2592*Inputs!$D$19-F2593-F2594)/(Inputs!$D$7+$D$2610)^F2584</f>
        <v>-9874.5154652847668</v>
      </c>
      <c r="G2597" s="16">
        <f>(G2592*Inputs!$D$19-G2593-G2594)/(Inputs!$D$7+$D$2610)^G2584</f>
        <v>988.77347238742834</v>
      </c>
      <c r="H2597" s="16">
        <f>(H2592*Inputs!$D$19-H2593-H2594)/(Inputs!$D$7+$D$2610)^H2584</f>
        <v>-7602.4024163036647</v>
      </c>
      <c r="I2597" s="16">
        <f>(I2592*Inputs!$D$19-I2593-I2594)/(Inputs!$D$7+$D$2610)^I2584</f>
        <v>-10233.087939303265</v>
      </c>
      <c r="J2597" s="16">
        <f>(J2592*Inputs!$D$19-J2593-J2594)/(Inputs!$D$7+$D$2610)^J2584</f>
        <v>-6517.1480757635773</v>
      </c>
      <c r="K2597" s="16">
        <f>(K2592*Inputs!$D$19-K2593-K2594)/(Inputs!$D$7+$D$2610)^K2584</f>
        <v>726.77801985796941</v>
      </c>
      <c r="L2597" s="16">
        <f>(L2592*Inputs!$D$19-L2593-L2594)/(Inputs!$D$7+$D$2610)^L2584</f>
        <v>-5587.9927289550824</v>
      </c>
      <c r="M2597" s="16">
        <f>(M2592*Inputs!$D$19-M2593-M2594)/(Inputs!$D$7+$D$2610)^M2584</f>
        <v>-7521.6251216792398</v>
      </c>
    </row>
    <row r="2598" spans="2:13" ht="15" customHeight="1" x14ac:dyDescent="0.2">
      <c r="B2598" s="10" t="s">
        <v>903</v>
      </c>
      <c r="C2598" s="10" t="s">
        <v>110</v>
      </c>
      <c r="D2598" s="16">
        <f t="shared" ref="D2598:M2598" si="565">D2591*$D$2608</f>
        <v>4648.7216040737003</v>
      </c>
      <c r="E2598" s="16">
        <f t="shared" si="565"/>
        <v>17712.09219987398</v>
      </c>
      <c r="F2598" s="16">
        <f t="shared" si="565"/>
        <v>28918.645833127575</v>
      </c>
      <c r="G2598" s="16">
        <f t="shared" si="565"/>
        <v>33721.454533093405</v>
      </c>
      <c r="H2598" s="16">
        <f t="shared" si="565"/>
        <v>33721.454533093405</v>
      </c>
      <c r="I2598" s="16">
        <f t="shared" si="565"/>
        <v>33721.454533093405</v>
      </c>
      <c r="J2598" s="16">
        <f t="shared" si="565"/>
        <v>33721.454533093405</v>
      </c>
      <c r="K2598" s="16">
        <f t="shared" si="565"/>
        <v>33721.454533093405</v>
      </c>
      <c r="L2598" s="16">
        <f t="shared" si="565"/>
        <v>33721.454533093405</v>
      </c>
      <c r="M2598" s="16">
        <f t="shared" si="565"/>
        <v>33721.454533093405</v>
      </c>
    </row>
    <row r="2599" spans="2:13" ht="15" customHeight="1" x14ac:dyDescent="0.2">
      <c r="B2599" s="10" t="s">
        <v>904</v>
      </c>
      <c r="C2599" s="10" t="s">
        <v>110</v>
      </c>
      <c r="D2599" s="16">
        <f t="shared" ref="D2599:M2599" si="566">D2598*$D$2609</f>
        <v>2789.23296244422</v>
      </c>
      <c r="E2599" s="16">
        <f t="shared" si="566"/>
        <v>10627.255319924387</v>
      </c>
      <c r="F2599" s="16">
        <f t="shared" si="566"/>
        <v>17351.187499876545</v>
      </c>
      <c r="G2599" s="16">
        <f t="shared" si="566"/>
        <v>20232.872719856041</v>
      </c>
      <c r="H2599" s="16">
        <f t="shared" si="566"/>
        <v>20232.872719856041</v>
      </c>
      <c r="I2599" s="16">
        <f t="shared" si="566"/>
        <v>20232.872719856041</v>
      </c>
      <c r="J2599" s="16">
        <f t="shared" si="566"/>
        <v>20232.872719856041</v>
      </c>
      <c r="K2599" s="16">
        <f t="shared" si="566"/>
        <v>20232.872719856041</v>
      </c>
      <c r="L2599" s="16">
        <f t="shared" si="566"/>
        <v>20232.872719856041</v>
      </c>
      <c r="M2599" s="16">
        <f t="shared" si="566"/>
        <v>20232.872719856041</v>
      </c>
    </row>
    <row r="2600" spans="2:13" ht="15" customHeight="1" x14ac:dyDescent="0.2">
      <c r="B2600" s="10" t="s">
        <v>905</v>
      </c>
      <c r="C2600" s="10" t="s">
        <v>110</v>
      </c>
      <c r="D2600" s="16">
        <f t="shared" ref="D2600:M2600" si="567">D2599-D2592</f>
        <v>972.25567651177812</v>
      </c>
      <c r="E2600" s="16">
        <f t="shared" si="567"/>
        <v>3704.390938174678</v>
      </c>
      <c r="F2600" s="16">
        <f t="shared" si="567"/>
        <v>6048.1826968630448</v>
      </c>
      <c r="G2600" s="16">
        <f t="shared" si="567"/>
        <v>7052.6648791580592</v>
      </c>
      <c r="H2600" s="16">
        <f t="shared" si="567"/>
        <v>7052.6648791580592</v>
      </c>
      <c r="I2600" s="16">
        <f t="shared" si="567"/>
        <v>7052.6648791580592</v>
      </c>
      <c r="J2600" s="16">
        <f t="shared" si="567"/>
        <v>7052.6648791580592</v>
      </c>
      <c r="K2600" s="16">
        <f t="shared" si="567"/>
        <v>7052.6648791580592</v>
      </c>
      <c r="L2600" s="16">
        <f t="shared" si="567"/>
        <v>7052.6648791580592</v>
      </c>
      <c r="M2600" s="16">
        <f t="shared" si="567"/>
        <v>7052.6648791580592</v>
      </c>
    </row>
    <row r="2601" spans="2:13" ht="15" customHeight="1" x14ac:dyDescent="0.2">
      <c r="B2601" s="10" t="s">
        <v>906</v>
      </c>
      <c r="C2601" s="10" t="s">
        <v>110</v>
      </c>
      <c r="D2601" s="16">
        <f>MAX(D2600,Inputs!$D$6)*Inputs!$D$19</f>
        <v>291.67670295353344</v>
      </c>
      <c r="E2601" s="16">
        <f>MAX(E2600,Inputs!$D$6)*Inputs!$D$19</f>
        <v>1111.3172814524034</v>
      </c>
      <c r="F2601" s="16">
        <f>MAX(F2600,Inputs!$D$6)*Inputs!$D$19</f>
        <v>1814.4548090589135</v>
      </c>
      <c r="G2601" s="16">
        <f>MAX(G2600,Inputs!$D$6)*Inputs!$D$19</f>
        <v>2115.7994637474176</v>
      </c>
      <c r="H2601" s="16">
        <f>MAX(H2600,Inputs!$D$6)*Inputs!$D$19</f>
        <v>2115.7994637474176</v>
      </c>
      <c r="I2601" s="16">
        <f>MAX(I2600,Inputs!$D$6)*Inputs!$D$19</f>
        <v>2115.7994637474176</v>
      </c>
      <c r="J2601" s="16">
        <f>MAX(J2600,Inputs!$D$6)*Inputs!$D$19</f>
        <v>2115.7994637474176</v>
      </c>
      <c r="K2601" s="16">
        <f>MAX(K2600,Inputs!$D$6)*Inputs!$D$19</f>
        <v>2115.7994637474176</v>
      </c>
      <c r="L2601" s="16">
        <f>MAX(L2600,Inputs!$D$6)*Inputs!$D$19</f>
        <v>2115.7994637474176</v>
      </c>
      <c r="M2601" s="16">
        <f>MAX(M2600,Inputs!$D$6)*Inputs!$D$19</f>
        <v>2115.7994637474176</v>
      </c>
    </row>
    <row r="2602" spans="2:13" ht="15" customHeight="1" x14ac:dyDescent="0.2">
      <c r="B2602" s="10" t="s">
        <v>907</v>
      </c>
      <c r="C2602" s="10" t="s">
        <v>110</v>
      </c>
      <c r="D2602" s="16">
        <f t="shared" ref="D2602:M2602" si="568">D2595*$D$2608</f>
        <v>240.14043499829143</v>
      </c>
      <c r="E2602" s="16">
        <f t="shared" si="568"/>
        <v>320.18724666438857</v>
      </c>
      <c r="F2602" s="16">
        <f t="shared" si="568"/>
        <v>240.14043499829143</v>
      </c>
      <c r="G2602" s="16">
        <f t="shared" si="568"/>
        <v>0</v>
      </c>
      <c r="H2602" s="16">
        <f t="shared" si="568"/>
        <v>0</v>
      </c>
      <c r="I2602" s="16">
        <f t="shared" si="568"/>
        <v>0</v>
      </c>
      <c r="J2602" s="16">
        <f t="shared" si="568"/>
        <v>0</v>
      </c>
      <c r="K2602" s="16">
        <f t="shared" si="568"/>
        <v>0</v>
      </c>
      <c r="L2602" s="16">
        <f t="shared" si="568"/>
        <v>0</v>
      </c>
      <c r="M2602" s="16">
        <f t="shared" si="568"/>
        <v>0</v>
      </c>
    </row>
    <row r="2603" spans="2:13" ht="15" customHeight="1" x14ac:dyDescent="0.2">
      <c r="B2603" s="10" t="s">
        <v>908</v>
      </c>
      <c r="C2603" s="10" t="s">
        <v>110</v>
      </c>
      <c r="D2603" s="16">
        <f t="shared" ref="D2603:M2603" si="569">D2599-D2601-D2593-D2594-D2602</f>
        <v>-13303.552795653759</v>
      </c>
      <c r="E2603" s="16">
        <f t="shared" si="569"/>
        <v>-11552.207368387277</v>
      </c>
      <c r="F2603" s="16">
        <f t="shared" si="569"/>
        <v>-264.37636432681404</v>
      </c>
      <c r="G2603" s="16">
        <f t="shared" si="569"/>
        <v>15479.06840754145</v>
      </c>
      <c r="H2603" s="16">
        <f t="shared" si="569"/>
        <v>3235.2850343003411</v>
      </c>
      <c r="I2603" s="16">
        <f t="shared" si="569"/>
        <v>-1725.3110396357552</v>
      </c>
      <c r="J2603" s="16">
        <f t="shared" si="569"/>
        <v>3235.2850343003411</v>
      </c>
      <c r="K2603" s="16">
        <f t="shared" si="569"/>
        <v>15479.06840754145</v>
      </c>
      <c r="L2603" s="16">
        <f t="shared" si="569"/>
        <v>3235.2850343003411</v>
      </c>
      <c r="M2603" s="16">
        <f t="shared" si="569"/>
        <v>-1725.3110396357552</v>
      </c>
    </row>
    <row r="2604" spans="2:13" ht="15" customHeight="1" x14ac:dyDescent="0.2">
      <c r="B2604" s="10" t="s">
        <v>909</v>
      </c>
      <c r="C2604" s="10" t="s">
        <v>110</v>
      </c>
      <c r="D2604" s="16">
        <f>D2603/(Inputs!$D$7+$D$2610)^D2584</f>
        <v>-12591.681266419682</v>
      </c>
      <c r="E2604" s="16">
        <f>E2603/(Inputs!$D$7+$D$2610)^E2584</f>
        <v>-10122.52068866461</v>
      </c>
      <c r="F2604" s="16">
        <f>F2603/(Inputs!$D$7+$D$2610)^F2584</f>
        <v>-214.50896365252939</v>
      </c>
      <c r="G2604" s="16">
        <f>G2603/(Inputs!$D$7+$D$2610)^G2584</f>
        <v>11629.653093644854</v>
      </c>
      <c r="H2604" s="16">
        <f>H2603/(Inputs!$D$7+$D$2610)^H2584</f>
        <v>2250.7829218723632</v>
      </c>
      <c r="I2604" s="16">
        <f>I2603/(Inputs!$D$7+$D$2610)^I2584</f>
        <v>-1111.2098341151384</v>
      </c>
      <c r="J2604" s="16">
        <f>J2603/(Inputs!$D$7+$D$2610)^J2584</f>
        <v>1929.4802859664987</v>
      </c>
      <c r="K2604" s="16">
        <f>K2603/(Inputs!$D$7+$D$2610)^K2584</f>
        <v>8548.1422014955933</v>
      </c>
      <c r="L2604" s="16">
        <f>L2603/(Inputs!$D$7+$D$2610)^L2584</f>
        <v>1654.392639740614</v>
      </c>
      <c r="M2604" s="16">
        <f>M2603/(Inputs!$D$7+$D$2610)^M2584</f>
        <v>-816.77240079562137</v>
      </c>
    </row>
    <row r="2605" spans="2:13" ht="15" customHeight="1" x14ac:dyDescent="0.2">
      <c r="B2605" s="3" t="s">
        <v>910</v>
      </c>
      <c r="C2605" s="10" t="s">
        <v>896</v>
      </c>
      <c r="D2605" s="28">
        <f>(D2591*$D$2609-D2595)/(Inputs!$D$7+$D$2610)^D2584</f>
        <v>65.179910846200087</v>
      </c>
      <c r="E2605" s="28">
        <f>(E2591*$D$2609-E2595)/(Inputs!$D$7+$D$2610)^E2584</f>
        <v>243.98937760343787</v>
      </c>
      <c r="F2605" s="28">
        <f>(F2591*$D$2609-F2595)/(Inputs!$D$7+$D$2610)^F2584</f>
        <v>375.06926938389034</v>
      </c>
      <c r="G2605" s="28">
        <f>(G2591*$D$2609-G2595)/(Inputs!$D$7+$D$2610)^G2584</f>
        <v>410.66866646117023</v>
      </c>
      <c r="H2605" s="28">
        <f>(H2591*$D$2609-H2595)/(Inputs!$D$7+$D$2610)^H2584</f>
        <v>380.26879611906975</v>
      </c>
      <c r="I2605" s="28">
        <f>(I2591*$D$2609-I2595)/(Inputs!$D$7+$D$2610)^I2584</f>
        <v>352.04509875249232</v>
      </c>
      <c r="J2605" s="28">
        <f>(J2591*$D$2609-J2595)/(Inputs!$D$7+$D$2610)^J2584</f>
        <v>325.98485546957886</v>
      </c>
      <c r="K2605" s="28">
        <f>(K2591*$D$2609-K2595)/(Inputs!$D$7+$D$2610)^K2584</f>
        <v>301.85372945706973</v>
      </c>
      <c r="L2605" s="28">
        <f>(L2591*$D$2609-L2595)/(Inputs!$D$7+$D$2610)^L2584</f>
        <v>279.50891723448427</v>
      </c>
      <c r="M2605" s="28">
        <f>(M2591*$D$2609-M2595)/(Inputs!$D$7+$D$2610)^M2584</f>
        <v>258.76365711375729</v>
      </c>
    </row>
    <row r="2606" spans="2:13" ht="15" customHeight="1" x14ac:dyDescent="0.2">
      <c r="B2606" s="10" t="s">
        <v>911</v>
      </c>
      <c r="C2606" s="10" t="s">
        <v>110</v>
      </c>
      <c r="D2606" s="16">
        <f>(-D2593-D2594)/(Inputs!$D$7+$D$2610)^D2584</f>
        <v>-14728.303038392241</v>
      </c>
      <c r="E2606" s="16">
        <f>(-E2593-E2594)/(Inputs!$D$7+$D$2610)^E2584</f>
        <v>-18180.216908055725</v>
      </c>
      <c r="F2606" s="16">
        <f>(-F2593-F2594)/(Inputs!$D$7+$D$2610)^F2584</f>
        <v>-12625.815702688111</v>
      </c>
      <c r="G2606" s="16">
        <f>(-G2593-G2594)/(Inputs!$D$7+$D$2610)^G2584</f>
        <v>-1981.9720696655354</v>
      </c>
      <c r="H2606" s="16">
        <f>(-H2593-H2594)/(Inputs!$D$7+$D$2610)^H2584</f>
        <v>-10353.237634844469</v>
      </c>
      <c r="I2606" s="16">
        <f>(-I2593-I2594)/(Inputs!$D$7+$D$2610)^I2584</f>
        <v>-12779.755102232404</v>
      </c>
      <c r="J2606" s="16">
        <f>(-J2593-J2594)/(Inputs!$D$7+$D$2610)^J2584</f>
        <v>-8875.2974434962562</v>
      </c>
      <c r="K2606" s="16">
        <f>(-K2593-K2594)/(Inputs!$D$7+$D$2610)^K2584</f>
        <v>-1456.8086386129401</v>
      </c>
      <c r="L2606" s="16">
        <f>(-L2593-L2594)/(Inputs!$D$7+$D$2610)^L2584</f>
        <v>-7609.9387347064285</v>
      </c>
      <c r="M2606" s="16">
        <f>(-M2593-M2594)/(Inputs!$D$7+$D$2610)^M2584</f>
        <v>-9393.5015115686074</v>
      </c>
    </row>
    <row r="2607" spans="2:13" ht="15" customHeight="1" x14ac:dyDescent="0.2">
      <c r="B2607" s="10" t="s">
        <v>912</v>
      </c>
      <c r="C2607" s="10" t="s">
        <v>110</v>
      </c>
      <c r="D2607" s="16">
        <f>Prices!I8</f>
        <v>32775</v>
      </c>
    </row>
    <row r="2608" spans="2:13" ht="15" customHeight="1" x14ac:dyDescent="0.2">
      <c r="B2608" s="3" t="s">
        <v>913</v>
      </c>
      <c r="C2608" s="10" t="s">
        <v>914</v>
      </c>
      <c r="D2608" s="28">
        <f>IF(J2615&gt;=J2611,J2615,(D2607-J2614)/J2613)</f>
        <v>37.015866666403298</v>
      </c>
      <c r="G2608" s="99" t="s">
        <v>915</v>
      </c>
      <c r="H2608" s="91"/>
      <c r="I2608" s="91"/>
      <c r="J2608" s="28">
        <f>D2608*Inputs!$D$15</f>
        <v>25.833373346482862</v>
      </c>
      <c r="K2608" s="99" t="s">
        <v>916</v>
      </c>
      <c r="L2608" s="91"/>
      <c r="M2608" s="91"/>
    </row>
    <row r="2609" spans="2:13" ht="15" customHeight="1" x14ac:dyDescent="0.2">
      <c r="B2609" s="10" t="s">
        <v>917</v>
      </c>
      <c r="C2609" s="10" t="s">
        <v>104</v>
      </c>
      <c r="D2609" s="30">
        <f>Inputs!$D$142</f>
        <v>0.6</v>
      </c>
      <c r="G2609" s="99" t="s">
        <v>918</v>
      </c>
      <c r="H2609" s="91"/>
      <c r="I2609" s="91"/>
      <c r="J2609" s="28">
        <f>IF(-D2620/D2619&gt;=J2611,-D2620/D2619,-J2614/J2613)</f>
        <v>31.013587942701196</v>
      </c>
      <c r="K2609" s="99" t="s">
        <v>919</v>
      </c>
      <c r="L2609" s="91"/>
      <c r="M2609" s="91"/>
    </row>
    <row r="2610" spans="2:13" ht="15" customHeight="1" x14ac:dyDescent="0.2">
      <c r="B2610" s="10" t="s">
        <v>920</v>
      </c>
      <c r="C2610" s="10" t="s">
        <v>104</v>
      </c>
      <c r="D2610" s="30">
        <f>Inputs!$D$146</f>
        <v>0.08</v>
      </c>
      <c r="G2610" s="99" t="s">
        <v>918</v>
      </c>
      <c r="H2610" s="91"/>
      <c r="I2610" s="91"/>
      <c r="J2610" s="28">
        <f>J2609*Inputs!$D$15</f>
        <v>21.644383025211162</v>
      </c>
      <c r="K2610" s="99" t="s">
        <v>916</v>
      </c>
      <c r="L2610" s="91"/>
      <c r="M2610" s="91"/>
    </row>
    <row r="2611" spans="2:13" ht="15" customHeight="1" x14ac:dyDescent="0.2">
      <c r="B2611" s="3" t="s">
        <v>921</v>
      </c>
      <c r="C2611" s="10" t="s">
        <v>848</v>
      </c>
      <c r="D2611" s="28">
        <f>Capital!$D$13</f>
        <v>57.347931490590682</v>
      </c>
      <c r="G2611" s="99" t="s">
        <v>922</v>
      </c>
      <c r="H2611" s="91"/>
      <c r="I2611" s="91"/>
      <c r="J2611" s="28">
        <f>($D$2611/Inputs!$D$21+$D$2612/Inputs!$D$22)/$D$2609</f>
        <v>24.113076913095469</v>
      </c>
      <c r="K2611" s="99" t="s">
        <v>919</v>
      </c>
      <c r="L2611" s="91"/>
      <c r="M2611" s="91"/>
    </row>
    <row r="2612" spans="2:13" ht="15" customHeight="1" x14ac:dyDescent="0.2">
      <c r="B2612" s="3" t="s">
        <v>923</v>
      </c>
      <c r="C2612" s="10" t="s">
        <v>848</v>
      </c>
      <c r="D2612" s="28">
        <f>Capital!$D$14</f>
        <v>2.6172655041921802</v>
      </c>
    </row>
    <row r="2613" spans="2:13" ht="15" customHeight="1" x14ac:dyDescent="0.2">
      <c r="B2613" s="10" t="s">
        <v>924</v>
      </c>
      <c r="C2613" s="10" t="s">
        <v>896</v>
      </c>
      <c r="D2613" s="28">
        <f>(M2586*(Inputs!$D$7+Inputs!$D$20)*$D$2609*(Inputs!$D$7-Inputs!$D$19)-M2586*Inputs!$D$20*Inputs!$D$23)/($D$2610-Inputs!$D$20)/(Inputs!$D$7+$D$2610)^M2584</f>
        <v>3370.7887000538294</v>
      </c>
      <c r="G2613" s="92" t="s">
        <v>910</v>
      </c>
      <c r="H2613" s="91"/>
      <c r="I2613" s="91"/>
      <c r="J2613" s="28">
        <f>SUM(D2605:M2605)+(M2586*(Inputs!$D$7+Inputs!$D$20)*$D$2609-M2586*Inputs!$D$20*Inputs!$D$23)/($D$2610-Inputs!$D$20)/(Inputs!$D$7+$D$2610)^M2584</f>
        <v>7810.8450614491685</v>
      </c>
      <c r="K2613" s="99" t="s">
        <v>896</v>
      </c>
      <c r="L2613" s="91"/>
      <c r="M2613" s="91"/>
    </row>
    <row r="2614" spans="2:13" ht="15" customHeight="1" x14ac:dyDescent="0.2">
      <c r="B2614" s="10" t="s">
        <v>925</v>
      </c>
      <c r="C2614" s="10" t="s">
        <v>110</v>
      </c>
      <c r="D2614" s="16">
        <f>(D2617*Inputs!$D$19-D2617-D2618)/($D$2610-Inputs!$D$20)/(Inputs!$D$7+$D$2610)^M2584</f>
        <v>-93153.423070883771</v>
      </c>
      <c r="G2614" s="92" t="s">
        <v>926</v>
      </c>
      <c r="H2614" s="91"/>
      <c r="I2614" s="91"/>
      <c r="J2614" s="16">
        <f>SUM(D2606:M2606)-(D2617+D2618)/($D$2610-Inputs!$D$20)/(Inputs!$D$7+$D$2610)^M2584</f>
        <v>-226023.23893944838</v>
      </c>
      <c r="K2614" s="99" t="s">
        <v>110</v>
      </c>
      <c r="L2614" s="91"/>
      <c r="M2614" s="91"/>
    </row>
    <row r="2615" spans="2:13" ht="15" customHeight="1" x14ac:dyDescent="0.2">
      <c r="B2615" s="10" t="s">
        <v>927</v>
      </c>
      <c r="C2615" s="10" t="s">
        <v>928</v>
      </c>
      <c r="D2615" s="16">
        <f>(M2586*(Inputs!$D$7+Inputs!$D$20)*$D$2608*$D$2609-D2617)-MAX((M2586*(Inputs!$D$7+Inputs!$D$20)*$D$2608*$D$2609-D2617),Inputs!$D$6)*Inputs!$D$19-D2618-M2586*Inputs!$D$20*$D$2608*Inputs!$D$23</f>
        <v>3673.5037801565436</v>
      </c>
      <c r="G2615" s="99" t="s">
        <v>929</v>
      </c>
      <c r="H2615" s="91"/>
      <c r="I2615" s="91"/>
      <c r="J2615" s="28">
        <f>(D2607-D2620)/D2619</f>
        <v>37.015866666403298</v>
      </c>
      <c r="K2615" s="99" t="s">
        <v>919</v>
      </c>
      <c r="L2615" s="91"/>
      <c r="M2615" s="91"/>
    </row>
    <row r="2616" spans="2:13" ht="15" customHeight="1" x14ac:dyDescent="0.2">
      <c r="B2616" s="10" t="s">
        <v>930</v>
      </c>
      <c r="C2616" s="10" t="s">
        <v>110</v>
      </c>
      <c r="D2616" s="16">
        <f>D2615/($D$2610-Inputs!$D$20)</f>
        <v>66790.977821028064</v>
      </c>
      <c r="G2616" s="99" t="s">
        <v>931</v>
      </c>
      <c r="H2616" s="91"/>
      <c r="I2616" s="91"/>
      <c r="J2616" s="16">
        <f>MIN(D2600:M2600,(M2586*(Inputs!$D$7+Inputs!$D$20)*$D$2608*$D$2609-D2617))</f>
        <v>972.25567651177812</v>
      </c>
      <c r="K2616" s="99" t="s">
        <v>110</v>
      </c>
      <c r="L2616" s="91"/>
      <c r="M2616" s="91"/>
    </row>
    <row r="2617" spans="2:13" ht="15" customHeight="1" x14ac:dyDescent="0.2">
      <c r="B2617" s="10" t="s">
        <v>932</v>
      </c>
      <c r="C2617" s="10" t="s">
        <v>928</v>
      </c>
      <c r="D2617" s="16">
        <f>M2586*(Inputs!$D$7+Inputs!$D$20)*($D$2611/Inputs!$D$21+$D$2612/Inputs!$D$22)</f>
        <v>13509.71303671543</v>
      </c>
      <c r="G2617" s="99" t="s">
        <v>933</v>
      </c>
      <c r="H2617" s="91"/>
      <c r="I2617" s="91"/>
      <c r="J2617" s="31" t="str">
        <f>IF(J2616&lt;Inputs!$D$6,"breached","satisfied")</f>
        <v>satisfied</v>
      </c>
      <c r="K2617" s="99" t="s">
        <v>934</v>
      </c>
      <c r="L2617" s="91"/>
      <c r="M2617" s="91"/>
    </row>
    <row r="2618" spans="2:13" ht="15" customHeight="1" x14ac:dyDescent="0.2">
      <c r="B2618" s="10" t="s">
        <v>935</v>
      </c>
      <c r="C2618" s="10" t="s">
        <v>928</v>
      </c>
      <c r="D2618" s="16">
        <f>M2586*Inputs!$D$20*($D$2611+$D$2612)</f>
        <v>1365.7073615561799</v>
      </c>
    </row>
    <row r="2619" spans="2:13" ht="15" customHeight="1" x14ac:dyDescent="0.2">
      <c r="B2619" s="10" t="s">
        <v>936</v>
      </c>
      <c r="C2619" s="10" t="s">
        <v>896</v>
      </c>
      <c r="D2619" s="28">
        <f>SUM(D2596:M2596)+D2613</f>
        <v>5460.4261995659126</v>
      </c>
      <c r="G2619" s="99" t="s">
        <v>937</v>
      </c>
      <c r="H2619" s="91"/>
      <c r="I2619" s="91"/>
      <c r="J2619" s="16">
        <f>D2621-D2607</f>
        <v>0</v>
      </c>
      <c r="K2619" s="99" t="s">
        <v>110</v>
      </c>
      <c r="L2619" s="91"/>
      <c r="M2619" s="91"/>
    </row>
    <row r="2620" spans="2:13" ht="15" customHeight="1" x14ac:dyDescent="0.2">
      <c r="B2620" s="10" t="s">
        <v>938</v>
      </c>
      <c r="C2620" s="10" t="s">
        <v>110</v>
      </c>
      <c r="D2620" s="16">
        <f>SUM(D2597:M2597)+D2614</f>
        <v>-169347.40814486711</v>
      </c>
    </row>
    <row r="2621" spans="2:13" ht="15" customHeight="1" x14ac:dyDescent="0.2">
      <c r="B2621" s="10" t="s">
        <v>939</v>
      </c>
      <c r="C2621" s="10" t="s">
        <v>110</v>
      </c>
      <c r="D2621" s="16">
        <f>SUM(D2604:M2604)+D2616/(Inputs!$D$7+$D$2610)^M2584</f>
        <v>32775.000000000029</v>
      </c>
    </row>
    <row r="2622" spans="2:13" ht="15" customHeight="1" x14ac:dyDescent="0.2">
      <c r="B2622" s="10" t="s">
        <v>940</v>
      </c>
      <c r="C2622" s="10" t="s">
        <v>104</v>
      </c>
      <c r="D2622" s="30">
        <f>IF(ABS(D2607)&gt;Inputs!$D$6,D2621/D2607-Inputs!$D$7,Inputs!$D$6)</f>
        <v>8.8817841970012523E-16</v>
      </c>
    </row>
    <row r="2623" spans="2:13" ht="15" customHeight="1" x14ac:dyDescent="0.2">
      <c r="B2623" s="10" t="s">
        <v>941</v>
      </c>
      <c r="C2623" s="10" t="s">
        <v>104</v>
      </c>
      <c r="D2623" s="30">
        <f>IF(ABS(D2621)&gt;Inputs!$D$119,D2616/(Inputs!$D$7+$D$2610)^M2584/D2621,Inputs!$D$6)</f>
        <v>0.96473659835019554</v>
      </c>
    </row>
    <row r="2624" spans="2:13" ht="15" customHeight="1" x14ac:dyDescent="0.2">
      <c r="B2624" s="10" t="s">
        <v>942</v>
      </c>
      <c r="C2624" s="10" t="s">
        <v>943</v>
      </c>
      <c r="D2624" s="26">
        <f>$D$2608*Inputs!$D$8/Prices!$P$6/(Inputs!$D$26/Inputs!$D$25)/Inputs!$D$11/Inputs!$D$56</f>
        <v>6.7314477898071789</v>
      </c>
    </row>
    <row r="2628" spans="1:13" ht="15" customHeight="1" x14ac:dyDescent="0.2">
      <c r="A2628" s="104" t="s">
        <v>2222</v>
      </c>
      <c r="B2628" s="10" t="s">
        <v>886</v>
      </c>
      <c r="C2628" s="10" t="s">
        <v>107</v>
      </c>
      <c r="D2628" s="28">
        <f>Inputs!$D$60</f>
        <v>1</v>
      </c>
      <c r="E2628" s="28">
        <f>Inputs!$D$62</f>
        <v>2</v>
      </c>
      <c r="F2628" s="28">
        <f>Inputs!$D$64</f>
        <v>3</v>
      </c>
      <c r="G2628" s="28">
        <f>Inputs!$D$66</f>
        <v>4</v>
      </c>
      <c r="H2628" s="28">
        <f>Inputs!$D$68</f>
        <v>5</v>
      </c>
      <c r="I2628" s="28">
        <f>Inputs!$D$70</f>
        <v>6</v>
      </c>
      <c r="J2628" s="28">
        <f>Inputs!$D$72</f>
        <v>7</v>
      </c>
      <c r="K2628" s="28">
        <f>Inputs!$D$74</f>
        <v>8</v>
      </c>
      <c r="L2628" s="28">
        <f>Inputs!$D$76</f>
        <v>9</v>
      </c>
      <c r="M2628" s="28">
        <f>Inputs!$D$78</f>
        <v>10</v>
      </c>
    </row>
    <row r="2629" spans="1:13" ht="15" customHeight="1" x14ac:dyDescent="0.2">
      <c r="A2629" s="91"/>
      <c r="B2629" s="10" t="s">
        <v>887</v>
      </c>
      <c r="C2629" s="10" t="s">
        <v>161</v>
      </c>
      <c r="D2629" s="29">
        <f>Inputs!$D$61</f>
        <v>46568</v>
      </c>
      <c r="E2629" s="29">
        <f>Inputs!$D$63</f>
        <v>46934</v>
      </c>
      <c r="F2629" s="29">
        <f>Inputs!$D$65</f>
        <v>47299</v>
      </c>
      <c r="G2629" s="29">
        <f>Inputs!$D$67</f>
        <v>47664</v>
      </c>
      <c r="H2629" s="29">
        <f>Inputs!$D$69</f>
        <v>48029</v>
      </c>
      <c r="I2629" s="29">
        <f>Inputs!$D$71</f>
        <v>48395</v>
      </c>
      <c r="J2629" s="29">
        <f>Inputs!$D$73</f>
        <v>48760</v>
      </c>
      <c r="K2629" s="29">
        <f>Inputs!$D$75</f>
        <v>49125</v>
      </c>
      <c r="L2629" s="29">
        <f>Inputs!$D$77</f>
        <v>49490</v>
      </c>
      <c r="M2629" s="29">
        <f>Inputs!$D$79</f>
        <v>49856</v>
      </c>
    </row>
    <row r="2630" spans="1:13" ht="15" customHeight="1" x14ac:dyDescent="0.2">
      <c r="A2630" s="91"/>
      <c r="B2630" s="10" t="s">
        <v>888</v>
      </c>
      <c r="C2630" s="10" t="s">
        <v>107</v>
      </c>
      <c r="D2630" s="28">
        <f>(D2629-Inputs!$D$13)/Inputs!$D$10</f>
        <v>0.71457905544147848</v>
      </c>
      <c r="E2630" s="28">
        <f>(E2629-Inputs!$D$13)/Inputs!$D$10</f>
        <v>1.7166324435318274</v>
      </c>
      <c r="F2630" s="28">
        <f>(F2629-Inputs!$D$13)/Inputs!$D$10</f>
        <v>2.7159479808350446</v>
      </c>
      <c r="G2630" s="28">
        <f>(G2629-Inputs!$D$13)/Inputs!$D$10</f>
        <v>3.7152635181382614</v>
      </c>
      <c r="H2630" s="28">
        <f>(H2629-Inputs!$D$13)/Inputs!$D$10</f>
        <v>4.7145790554414786</v>
      </c>
      <c r="I2630" s="28">
        <f>(I2629-Inputs!$D$13)/Inputs!$D$10</f>
        <v>5.7166324435318279</v>
      </c>
      <c r="J2630" s="28">
        <f>(J2629-Inputs!$D$13)/Inputs!$D$10</f>
        <v>6.7159479808350442</v>
      </c>
      <c r="K2630" s="28">
        <f>(K2629-Inputs!$D$13)/Inputs!$D$10</f>
        <v>7.7152635181382614</v>
      </c>
      <c r="L2630" s="28">
        <f>(L2629-Inputs!$D$13)/Inputs!$D$10</f>
        <v>8.7145790554414777</v>
      </c>
      <c r="M2630" s="28">
        <f>(M2629-Inputs!$D$13)/Inputs!$D$10</f>
        <v>9.716632443531827</v>
      </c>
    </row>
    <row r="2631" spans="1:13" ht="15" customHeight="1" x14ac:dyDescent="0.2">
      <c r="A2631" s="91"/>
      <c r="B2631" s="10" t="s">
        <v>889</v>
      </c>
      <c r="C2631" s="10" t="s">
        <v>107</v>
      </c>
      <c r="D2631" s="28">
        <f>D2630</f>
        <v>0.71457905544147848</v>
      </c>
      <c r="E2631" s="28">
        <f>Inputs!$D$7</f>
        <v>1</v>
      </c>
      <c r="F2631" s="28">
        <f>Inputs!$D$7</f>
        <v>1</v>
      </c>
      <c r="G2631" s="28">
        <f>Inputs!$D$7</f>
        <v>1</v>
      </c>
      <c r="H2631" s="28">
        <f>Inputs!$D$7</f>
        <v>1</v>
      </c>
      <c r="I2631" s="28">
        <f>Inputs!$D$7</f>
        <v>1</v>
      </c>
      <c r="J2631" s="28">
        <f>Inputs!$D$7</f>
        <v>1</v>
      </c>
      <c r="K2631" s="28">
        <f>Inputs!$D$7</f>
        <v>1</v>
      </c>
      <c r="L2631" s="28">
        <f>Inputs!$D$7</f>
        <v>1</v>
      </c>
      <c r="M2631" s="28">
        <f>Inputs!$D$7</f>
        <v>1</v>
      </c>
    </row>
    <row r="2632" spans="1:13" ht="15" customHeight="1" x14ac:dyDescent="0.2">
      <c r="A2632" s="91"/>
      <c r="B2632" s="3" t="s">
        <v>890</v>
      </c>
      <c r="C2632" s="10" t="s">
        <v>199</v>
      </c>
      <c r="D2632" s="28">
        <f>Inputs!$D$24+(Inputs!$D$80-Inputs!$D$24)*Inputs!$D$83</f>
        <v>305.5</v>
      </c>
      <c r="E2632" s="28">
        <f>Inputs!$D$24+(Inputs!$D$80-Inputs!$D$24)*Inputs!$D$84</f>
        <v>651.5</v>
      </c>
      <c r="F2632" s="28">
        <f>Inputs!$D$24+(Inputs!$D$80-Inputs!$D$24)*Inputs!$D$85</f>
        <v>911</v>
      </c>
      <c r="G2632" s="28">
        <f>Inputs!$D$24+(Inputs!$D$80-Inputs!$D$24)*Inputs!$D$86</f>
        <v>911</v>
      </c>
      <c r="H2632" s="28">
        <f>Inputs!$D$24+(Inputs!$D$80-Inputs!$D$24)*Inputs!$D$87</f>
        <v>911</v>
      </c>
      <c r="I2632" s="28">
        <f>Inputs!$D$24+(Inputs!$D$80-Inputs!$D$24)*Inputs!$D$88</f>
        <v>911</v>
      </c>
      <c r="J2632" s="28">
        <f>Inputs!$D$24+(Inputs!$D$80-Inputs!$D$24)*Inputs!$D$89</f>
        <v>911</v>
      </c>
      <c r="K2632" s="28">
        <f>Inputs!$D$24+(Inputs!$D$80-Inputs!$D$24)*Inputs!$D$90</f>
        <v>911</v>
      </c>
      <c r="L2632" s="28">
        <f>Inputs!$D$24+(Inputs!$D$80-Inputs!$D$24)*Inputs!$D$91</f>
        <v>911</v>
      </c>
      <c r="M2632" s="28">
        <f>Inputs!$D$24+(Inputs!$D$80-Inputs!$D$24)*Inputs!$D$92</f>
        <v>911</v>
      </c>
    </row>
    <row r="2633" spans="1:13" ht="15" customHeight="1" x14ac:dyDescent="0.2">
      <c r="A2633" s="91"/>
      <c r="B2633" s="10" t="s">
        <v>891</v>
      </c>
      <c r="C2633" s="10" t="s">
        <v>199</v>
      </c>
      <c r="D2633" s="28">
        <f>Inputs!$D$24</f>
        <v>46</v>
      </c>
      <c r="E2633" s="28">
        <f t="shared" ref="E2633:M2633" si="570">D2632</f>
        <v>305.5</v>
      </c>
      <c r="F2633" s="28">
        <f t="shared" si="570"/>
        <v>651.5</v>
      </c>
      <c r="G2633" s="28">
        <f t="shared" si="570"/>
        <v>911</v>
      </c>
      <c r="H2633" s="28">
        <f t="shared" si="570"/>
        <v>911</v>
      </c>
      <c r="I2633" s="28">
        <f t="shared" si="570"/>
        <v>911</v>
      </c>
      <c r="J2633" s="28">
        <f t="shared" si="570"/>
        <v>911</v>
      </c>
      <c r="K2633" s="28">
        <f t="shared" si="570"/>
        <v>911</v>
      </c>
      <c r="L2633" s="28">
        <f t="shared" si="570"/>
        <v>911</v>
      </c>
      <c r="M2633" s="28">
        <f t="shared" si="570"/>
        <v>911</v>
      </c>
    </row>
    <row r="2634" spans="1:13" ht="15" customHeight="1" x14ac:dyDescent="0.2">
      <c r="B2634" s="10" t="s">
        <v>892</v>
      </c>
      <c r="C2634" s="10" t="s">
        <v>199</v>
      </c>
      <c r="D2634" s="28">
        <f>(D2633+D2632)*Inputs!$D$12</f>
        <v>175.75</v>
      </c>
      <c r="E2634" s="28">
        <f>(E2633+E2632)*Inputs!$D$12</f>
        <v>478.5</v>
      </c>
      <c r="F2634" s="28">
        <f>(F2633+F2632)*Inputs!$D$12</f>
        <v>781.25</v>
      </c>
      <c r="G2634" s="28">
        <f>(G2633+G2632)*Inputs!$D$12</f>
        <v>911</v>
      </c>
      <c r="H2634" s="28">
        <f>(H2633+H2632)*Inputs!$D$12</f>
        <v>911</v>
      </c>
      <c r="I2634" s="28">
        <f>(I2633+I2632)*Inputs!$D$12</f>
        <v>911</v>
      </c>
      <c r="J2634" s="28">
        <f>(J2633+J2632)*Inputs!$D$12</f>
        <v>911</v>
      </c>
      <c r="K2634" s="28">
        <f>(K2633+K2632)*Inputs!$D$12</f>
        <v>911</v>
      </c>
      <c r="L2634" s="28">
        <f>(L2633+L2632)*Inputs!$D$12</f>
        <v>911</v>
      </c>
      <c r="M2634" s="28">
        <f>(M2633+M2632)*Inputs!$D$12</f>
        <v>911</v>
      </c>
    </row>
    <row r="2635" spans="1:13" ht="15" customHeight="1" x14ac:dyDescent="0.2">
      <c r="B2635" s="10" t="s">
        <v>893</v>
      </c>
      <c r="C2635" s="10" t="s">
        <v>199</v>
      </c>
      <c r="D2635" s="28">
        <f t="shared" ref="D2635:M2635" si="571">D2632-D2633</f>
        <v>259.5</v>
      </c>
      <c r="E2635" s="28">
        <f t="shared" si="571"/>
        <v>346</v>
      </c>
      <c r="F2635" s="28">
        <f t="shared" si="571"/>
        <v>259.5</v>
      </c>
      <c r="G2635" s="28">
        <f t="shared" si="571"/>
        <v>0</v>
      </c>
      <c r="H2635" s="28">
        <f t="shared" si="571"/>
        <v>0</v>
      </c>
      <c r="I2635" s="28">
        <f t="shared" si="571"/>
        <v>0</v>
      </c>
      <c r="J2635" s="28">
        <f t="shared" si="571"/>
        <v>0</v>
      </c>
      <c r="K2635" s="28">
        <f t="shared" si="571"/>
        <v>0</v>
      </c>
      <c r="L2635" s="28">
        <f t="shared" si="571"/>
        <v>0</v>
      </c>
      <c r="M2635" s="28">
        <f t="shared" si="571"/>
        <v>0</v>
      </c>
    </row>
    <row r="2636" spans="1:13" ht="15" customHeight="1" x14ac:dyDescent="0.2">
      <c r="B2636" s="10" t="s">
        <v>894</v>
      </c>
      <c r="C2636" s="10" t="s">
        <v>199</v>
      </c>
      <c r="D2636" s="28">
        <f>IF(MOD(D2628,Inputs!$D$21)=Inputs!$D$6,Inputs!$D$24,Inputs!$D$6)+SUMPRODUCT(--(D2628&gt;$D$2628:$M$2628),--(MOD(D2628-$D$2628:$M$2628,Inputs!$D$21)=Inputs!$D$6),$D$2635:$M$2635)</f>
        <v>0</v>
      </c>
      <c r="E2636" s="28">
        <f>IF(MOD(E2628,Inputs!$D$21)=Inputs!$D$6,Inputs!$D$24,Inputs!$D$6)+SUMPRODUCT(--(E2628&gt;$D$2628:$M$2628),--(MOD(E2628-$D$2628:$M$2628,Inputs!$D$21)=Inputs!$D$6),$D$2635:$M$2635)</f>
        <v>0</v>
      </c>
      <c r="F2636" s="28">
        <f>IF(MOD(F2628,Inputs!$D$21)=Inputs!$D$6,Inputs!$D$24,Inputs!$D$6)+SUMPRODUCT(--(F2628&gt;$D$2628:$M$2628),--(MOD(F2628-$D$2628:$M$2628,Inputs!$D$21)=Inputs!$D$6),$D$2635:$M$2635)</f>
        <v>0</v>
      </c>
      <c r="G2636" s="28">
        <f>IF(MOD(G2628,Inputs!$D$21)=Inputs!$D$6,Inputs!$D$24,Inputs!$D$6)+SUMPRODUCT(--(G2628&gt;$D$2628:$M$2628),--(MOD(G2628-$D$2628:$M$2628,Inputs!$D$21)=Inputs!$D$6),$D$2635:$M$2635)</f>
        <v>46</v>
      </c>
      <c r="H2636" s="28">
        <f>IF(MOD(H2628,Inputs!$D$21)=Inputs!$D$6,Inputs!$D$24,Inputs!$D$6)+SUMPRODUCT(--(H2628&gt;$D$2628:$M$2628),--(MOD(H2628-$D$2628:$M$2628,Inputs!$D$21)=Inputs!$D$6),$D$2635:$M$2635)</f>
        <v>259.5</v>
      </c>
      <c r="I2636" s="28">
        <f>IF(MOD(I2628,Inputs!$D$21)=Inputs!$D$6,Inputs!$D$24,Inputs!$D$6)+SUMPRODUCT(--(I2628&gt;$D$2628:$M$2628),--(MOD(I2628-$D$2628:$M$2628,Inputs!$D$21)=Inputs!$D$6),$D$2635:$M$2635)</f>
        <v>346</v>
      </c>
      <c r="J2636" s="28">
        <f>IF(MOD(J2628,Inputs!$D$21)=Inputs!$D$6,Inputs!$D$24,Inputs!$D$6)+SUMPRODUCT(--(J2628&gt;$D$2628:$M$2628),--(MOD(J2628-$D$2628:$M$2628,Inputs!$D$21)=Inputs!$D$6),$D$2635:$M$2635)</f>
        <v>259.5</v>
      </c>
      <c r="K2636" s="28">
        <f>IF(MOD(K2628,Inputs!$D$21)=Inputs!$D$6,Inputs!$D$24,Inputs!$D$6)+SUMPRODUCT(--(K2628&gt;$D$2628:$M$2628),--(MOD(K2628-$D$2628:$M$2628,Inputs!$D$21)=Inputs!$D$6),$D$2635:$M$2635)</f>
        <v>46</v>
      </c>
      <c r="L2636" s="28">
        <f>IF(MOD(L2628,Inputs!$D$21)=Inputs!$D$6,Inputs!$D$24,Inputs!$D$6)+SUMPRODUCT(--(L2628&gt;$D$2628:$M$2628),--(MOD(L2628-$D$2628:$M$2628,Inputs!$D$21)=Inputs!$D$6),$D$2635:$M$2635)</f>
        <v>259.5</v>
      </c>
      <c r="M2636" s="28">
        <f>IF(MOD(M2628,Inputs!$D$21)=Inputs!$D$6,Inputs!$D$24,Inputs!$D$6)+SUMPRODUCT(--(M2628&gt;$D$2628:$M$2628),--(MOD(M2628-$D$2628:$M$2628,Inputs!$D$21)=Inputs!$D$6),$D$2635:$M$2635)</f>
        <v>346</v>
      </c>
    </row>
    <row r="2637" spans="1:13" ht="15" customHeight="1" x14ac:dyDescent="0.2">
      <c r="B2637" s="10" t="s">
        <v>895</v>
      </c>
      <c r="C2637" s="10" t="s">
        <v>896</v>
      </c>
      <c r="D2637" s="28">
        <f t="shared" ref="D2637:M2637" si="572">D2634*D2631</f>
        <v>125.58726899383984</v>
      </c>
      <c r="E2637" s="28">
        <f t="shared" si="572"/>
        <v>478.5</v>
      </c>
      <c r="F2637" s="28">
        <f t="shared" si="572"/>
        <v>781.25</v>
      </c>
      <c r="G2637" s="28">
        <f t="shared" si="572"/>
        <v>911</v>
      </c>
      <c r="H2637" s="28">
        <f t="shared" si="572"/>
        <v>911</v>
      </c>
      <c r="I2637" s="28">
        <f t="shared" si="572"/>
        <v>911</v>
      </c>
      <c r="J2637" s="28">
        <f t="shared" si="572"/>
        <v>911</v>
      </c>
      <c r="K2637" s="28">
        <f t="shared" si="572"/>
        <v>911</v>
      </c>
      <c r="L2637" s="28">
        <f t="shared" si="572"/>
        <v>911</v>
      </c>
      <c r="M2637" s="28">
        <f t="shared" si="572"/>
        <v>911</v>
      </c>
    </row>
    <row r="2638" spans="1:13" ht="15" customHeight="1" x14ac:dyDescent="0.2">
      <c r="B2638" s="10" t="s">
        <v>897</v>
      </c>
      <c r="C2638" s="10" t="s">
        <v>110</v>
      </c>
      <c r="D2638" s="16">
        <f>D2637*($D$2657/Inputs!$D$21+$D$2658/Inputs!$D$22)</f>
        <v>1816.9772859324419</v>
      </c>
      <c r="E2638" s="16">
        <f>E2637*($D$2657/Inputs!$D$21+$D$2658/Inputs!$D$22)</f>
        <v>6922.8643817497086</v>
      </c>
      <c r="F2638" s="16">
        <f>F2637*($D$2657/Inputs!$D$21+$D$2658/Inputs!$D$22)</f>
        <v>11303.0048030135</v>
      </c>
      <c r="G2638" s="16">
        <f>G2637*($D$2657/Inputs!$D$21+$D$2658/Inputs!$D$22)</f>
        <v>13180.207840697982</v>
      </c>
      <c r="H2638" s="16">
        <f>H2637*($D$2657/Inputs!$D$21+$D$2658/Inputs!$D$22)</f>
        <v>13180.207840697982</v>
      </c>
      <c r="I2638" s="16">
        <f>I2637*($D$2657/Inputs!$D$21+$D$2658/Inputs!$D$22)</f>
        <v>13180.207840697982</v>
      </c>
      <c r="J2638" s="16">
        <f>J2637*($D$2657/Inputs!$D$21+$D$2658/Inputs!$D$22)</f>
        <v>13180.207840697982</v>
      </c>
      <c r="K2638" s="16">
        <f>K2637*($D$2657/Inputs!$D$21+$D$2658/Inputs!$D$22)</f>
        <v>13180.207840697982</v>
      </c>
      <c r="L2638" s="16">
        <f>L2637*($D$2657/Inputs!$D$21+$D$2658/Inputs!$D$22)</f>
        <v>13180.207840697982</v>
      </c>
      <c r="M2638" s="16">
        <f>M2637*($D$2657/Inputs!$D$21+$D$2658/Inputs!$D$22)</f>
        <v>13180.207840697982</v>
      </c>
    </row>
    <row r="2639" spans="1:13" ht="15" customHeight="1" x14ac:dyDescent="0.2">
      <c r="B2639" s="10" t="s">
        <v>898</v>
      </c>
      <c r="C2639" s="10" t="s">
        <v>110</v>
      </c>
      <c r="D2639" s="16">
        <f t="shared" ref="D2639:M2639" si="573">D2635*($D$2657+$D$2658)</f>
        <v>15560.968620146154</v>
      </c>
      <c r="E2639" s="16">
        <f t="shared" si="573"/>
        <v>20747.95816019487</v>
      </c>
      <c r="F2639" s="16">
        <f t="shared" si="573"/>
        <v>15560.968620146154</v>
      </c>
      <c r="G2639" s="16">
        <f t="shared" si="573"/>
        <v>0</v>
      </c>
      <c r="H2639" s="16">
        <f t="shared" si="573"/>
        <v>0</v>
      </c>
      <c r="I2639" s="16">
        <f t="shared" si="573"/>
        <v>0</v>
      </c>
      <c r="J2639" s="16">
        <f t="shared" si="573"/>
        <v>0</v>
      </c>
      <c r="K2639" s="16">
        <f t="shared" si="573"/>
        <v>0</v>
      </c>
      <c r="L2639" s="16">
        <f t="shared" si="573"/>
        <v>0</v>
      </c>
      <c r="M2639" s="16">
        <f t="shared" si="573"/>
        <v>0</v>
      </c>
    </row>
    <row r="2640" spans="1:13" ht="15" customHeight="1" x14ac:dyDescent="0.2">
      <c r="B2640" s="10" t="s">
        <v>899</v>
      </c>
      <c r="C2640" s="10" t="s">
        <v>110</v>
      </c>
      <c r="D2640" s="16">
        <f t="shared" ref="D2640:M2640" si="574">D2636*$D$2657</f>
        <v>0</v>
      </c>
      <c r="E2640" s="16">
        <f t="shared" si="574"/>
        <v>0</v>
      </c>
      <c r="F2640" s="16">
        <f t="shared" si="574"/>
        <v>0</v>
      </c>
      <c r="G2640" s="16">
        <f t="shared" si="574"/>
        <v>2638.0048485671714</v>
      </c>
      <c r="H2640" s="16">
        <f t="shared" si="574"/>
        <v>14881.788221808281</v>
      </c>
      <c r="I2640" s="16">
        <f t="shared" si="574"/>
        <v>19842.384295744378</v>
      </c>
      <c r="J2640" s="16">
        <f t="shared" si="574"/>
        <v>14881.788221808281</v>
      </c>
      <c r="K2640" s="16">
        <f t="shared" si="574"/>
        <v>2638.0048485671714</v>
      </c>
      <c r="L2640" s="16">
        <f t="shared" si="574"/>
        <v>14881.788221808281</v>
      </c>
      <c r="M2640" s="16">
        <f t="shared" si="574"/>
        <v>19842.384295744378</v>
      </c>
    </row>
    <row r="2641" spans="2:13" ht="15" customHeight="1" x14ac:dyDescent="0.2">
      <c r="B2641" s="10" t="s">
        <v>900</v>
      </c>
      <c r="C2641" s="10" t="s">
        <v>199</v>
      </c>
      <c r="D2641" s="28">
        <f>D2635*Inputs!$D$23</f>
        <v>6.4875000000000007</v>
      </c>
      <c r="E2641" s="28">
        <f>E2635*Inputs!$D$23</f>
        <v>8.65</v>
      </c>
      <c r="F2641" s="28">
        <f>F2635*Inputs!$D$23</f>
        <v>6.4875000000000007</v>
      </c>
      <c r="G2641" s="28">
        <f>G2635*Inputs!$D$23</f>
        <v>0</v>
      </c>
      <c r="H2641" s="28">
        <f>H2635*Inputs!$D$23</f>
        <v>0</v>
      </c>
      <c r="I2641" s="28">
        <f>I2635*Inputs!$D$23</f>
        <v>0</v>
      </c>
      <c r="J2641" s="28">
        <f>J2635*Inputs!$D$23</f>
        <v>0</v>
      </c>
      <c r="K2641" s="28">
        <f>K2635*Inputs!$D$23</f>
        <v>0</v>
      </c>
      <c r="L2641" s="28">
        <f>L2635*Inputs!$D$23</f>
        <v>0</v>
      </c>
      <c r="M2641" s="28">
        <f>M2635*Inputs!$D$23</f>
        <v>0</v>
      </c>
    </row>
    <row r="2642" spans="2:13" ht="15" customHeight="1" x14ac:dyDescent="0.2">
      <c r="B2642" s="3" t="s">
        <v>901</v>
      </c>
      <c r="C2642" s="10" t="s">
        <v>896</v>
      </c>
      <c r="D2642" s="28">
        <f>(D2637*$D$2655*(Inputs!$D$7-Inputs!$D$19)-D2641)/(Inputs!$D$7+$D$2656)^D2630</f>
        <v>43.213488846686175</v>
      </c>
      <c r="E2642" s="28">
        <f>(E2637*$D$2655*(Inputs!$D$7-Inputs!$D$19)-E2641)/(Inputs!$D$7+$D$2656)^E2630</f>
        <v>163.29332190458183</v>
      </c>
      <c r="F2642" s="28">
        <f>(F2637*$D$2655*(Inputs!$D$7-Inputs!$D$19)-F2641)/(Inputs!$D$7+$D$2656)^F2630</f>
        <v>248.28260771010829</v>
      </c>
      <c r="G2642" s="28">
        <f>(G2637*$D$2655*(Inputs!$D$7-Inputs!$D$19)-G2641)/(Inputs!$D$7+$D$2656)^G2630</f>
        <v>268.5238926419492</v>
      </c>
      <c r="H2642" s="28">
        <f>(H2637*$D$2655*(Inputs!$D$7-Inputs!$D$19)-H2641)/(Inputs!$D$7+$D$2656)^H2630</f>
        <v>244.12855518959191</v>
      </c>
      <c r="I2642" s="28">
        <f>(I2637*$D$2655*(Inputs!$D$7-Inputs!$D$19)-I2641)/(Inputs!$D$7+$D$2656)^I2630</f>
        <v>221.8916197826434</v>
      </c>
      <c r="J2642" s="28">
        <f>(J2637*$D$2655*(Inputs!$D$7-Inputs!$D$19)-J2641)/(Inputs!$D$7+$D$2656)^J2630</f>
        <v>201.73281421346593</v>
      </c>
      <c r="K2642" s="28">
        <f>(K2637*$D$2655*(Inputs!$D$7-Inputs!$D$19)-K2641)/(Inputs!$D$7+$D$2656)^K2630</f>
        <v>183.40543176145695</v>
      </c>
      <c r="L2642" s="28">
        <f>(L2637*$D$2655*(Inputs!$D$7-Inputs!$D$19)-L2641)/(Inputs!$D$7+$D$2656)^L2630</f>
        <v>166.74308803332551</v>
      </c>
      <c r="M2642" s="28">
        <f>(M2637*$D$2655*(Inputs!$D$7-Inputs!$D$19)-M2641)/(Inputs!$D$7+$D$2656)^M2630</f>
        <v>151.55496194429571</v>
      </c>
    </row>
    <row r="2643" spans="2:13" ht="15" customHeight="1" x14ac:dyDescent="0.2">
      <c r="B2643" s="10" t="s">
        <v>902</v>
      </c>
      <c r="C2643" s="10" t="s">
        <v>110</v>
      </c>
      <c r="D2643" s="16">
        <f>(D2638*Inputs!$D$19-D2639-D2640)/(Inputs!$D$7+$D$2656)^D2630</f>
        <v>-14027.24269342025</v>
      </c>
      <c r="E2643" s="16">
        <f>(E2638*Inputs!$D$19-E2639-E2640)/(Inputs!$D$7+$D$2656)^E2630</f>
        <v>-15853.087323826181</v>
      </c>
      <c r="F2643" s="16">
        <f>(F2638*Inputs!$D$19-F2639-F2640)/(Inputs!$D$7+$D$2656)^F2630</f>
        <v>-9394.4767487293357</v>
      </c>
      <c r="G2643" s="16">
        <f>(G2638*Inputs!$D$19-G2639-G2640)/(Inputs!$D$7+$D$2656)^G2630</f>
        <v>923.61320322684639</v>
      </c>
      <c r="H2643" s="16">
        <f>(H2638*Inputs!$D$19-H2639-H2640)/(Inputs!$D$7+$D$2656)^H2630</f>
        <v>-6972.3744918015345</v>
      </c>
      <c r="I2643" s="16">
        <f>(I2638*Inputs!$D$19-I2639-I2640)/(Inputs!$D$7+$D$2656)^I2630</f>
        <v>-9214.0648467907959</v>
      </c>
      <c r="J2643" s="16">
        <f>(J2638*Inputs!$D$19-J2639-J2640)/(Inputs!$D$7+$D$2656)^J2630</f>
        <v>-5761.5411965591911</v>
      </c>
      <c r="K2643" s="16">
        <f>(K2638*Inputs!$D$19-K2639-K2640)/(Inputs!$D$7+$D$2656)^K2630</f>
        <v>630.8402453567694</v>
      </c>
      <c r="L2643" s="16">
        <f>(L2638*Inputs!$D$19-L2639-L2640)/(Inputs!$D$7+$D$2656)^L2630</f>
        <v>-4762.2255937446444</v>
      </c>
      <c r="M2643" s="16">
        <f>(M2638*Inputs!$D$19-M2639-M2640)/(Inputs!$D$7+$D$2656)^M2630</f>
        <v>-6293.3302689644106</v>
      </c>
    </row>
    <row r="2644" spans="2:13" ht="15" customHeight="1" x14ac:dyDescent="0.2">
      <c r="B2644" s="10" t="s">
        <v>903</v>
      </c>
      <c r="C2644" s="10" t="s">
        <v>110</v>
      </c>
      <c r="D2644" s="16">
        <f t="shared" ref="D2644:M2644" si="575">D2637*$D$2654</f>
        <v>5093.7283651086254</v>
      </c>
      <c r="E2644" s="16">
        <f t="shared" si="575"/>
        <v>19407.612270189835</v>
      </c>
      <c r="F2644" s="16">
        <f t="shared" si="575"/>
        <v>31686.932259322482</v>
      </c>
      <c r="G2644" s="16">
        <f t="shared" si="575"/>
        <v>36949.49796895076</v>
      </c>
      <c r="H2644" s="16">
        <f t="shared" si="575"/>
        <v>36949.49796895076</v>
      </c>
      <c r="I2644" s="16">
        <f t="shared" si="575"/>
        <v>36949.49796895076</v>
      </c>
      <c r="J2644" s="16">
        <f t="shared" si="575"/>
        <v>36949.49796895076</v>
      </c>
      <c r="K2644" s="16">
        <f t="shared" si="575"/>
        <v>36949.49796895076</v>
      </c>
      <c r="L2644" s="16">
        <f t="shared" si="575"/>
        <v>36949.49796895076</v>
      </c>
      <c r="M2644" s="16">
        <f t="shared" si="575"/>
        <v>36949.49796895076</v>
      </c>
    </row>
    <row r="2645" spans="2:13" ht="15" customHeight="1" x14ac:dyDescent="0.2">
      <c r="B2645" s="10" t="s">
        <v>904</v>
      </c>
      <c r="C2645" s="10" t="s">
        <v>110</v>
      </c>
      <c r="D2645" s="16">
        <f t="shared" ref="D2645:M2645" si="576">D2644*$D$2655</f>
        <v>3056.237019065175</v>
      </c>
      <c r="E2645" s="16">
        <f t="shared" si="576"/>
        <v>11644.567362113901</v>
      </c>
      <c r="F2645" s="16">
        <f t="shared" si="576"/>
        <v>19012.159355593489</v>
      </c>
      <c r="G2645" s="16">
        <f t="shared" si="576"/>
        <v>22169.698781370455</v>
      </c>
      <c r="H2645" s="16">
        <f t="shared" si="576"/>
        <v>22169.698781370455</v>
      </c>
      <c r="I2645" s="16">
        <f t="shared" si="576"/>
        <v>22169.698781370455</v>
      </c>
      <c r="J2645" s="16">
        <f t="shared" si="576"/>
        <v>22169.698781370455</v>
      </c>
      <c r="K2645" s="16">
        <f t="shared" si="576"/>
        <v>22169.698781370455</v>
      </c>
      <c r="L2645" s="16">
        <f t="shared" si="576"/>
        <v>22169.698781370455</v>
      </c>
      <c r="M2645" s="16">
        <f t="shared" si="576"/>
        <v>22169.698781370455</v>
      </c>
    </row>
    <row r="2646" spans="2:13" ht="15" customHeight="1" x14ac:dyDescent="0.2">
      <c r="B2646" s="10" t="s">
        <v>905</v>
      </c>
      <c r="C2646" s="10" t="s">
        <v>110</v>
      </c>
      <c r="D2646" s="16">
        <f t="shared" ref="D2646:M2646" si="577">D2645-D2638</f>
        <v>1239.2597331327331</v>
      </c>
      <c r="E2646" s="16">
        <f t="shared" si="577"/>
        <v>4721.7029803641926</v>
      </c>
      <c r="F2646" s="16">
        <f t="shared" si="577"/>
        <v>7709.1545525799884</v>
      </c>
      <c r="G2646" s="16">
        <f t="shared" si="577"/>
        <v>8989.4909406724728</v>
      </c>
      <c r="H2646" s="16">
        <f t="shared" si="577"/>
        <v>8989.4909406724728</v>
      </c>
      <c r="I2646" s="16">
        <f t="shared" si="577"/>
        <v>8989.4909406724728</v>
      </c>
      <c r="J2646" s="16">
        <f t="shared" si="577"/>
        <v>8989.4909406724728</v>
      </c>
      <c r="K2646" s="16">
        <f t="shared" si="577"/>
        <v>8989.4909406724728</v>
      </c>
      <c r="L2646" s="16">
        <f t="shared" si="577"/>
        <v>8989.4909406724728</v>
      </c>
      <c r="M2646" s="16">
        <f t="shared" si="577"/>
        <v>8989.4909406724728</v>
      </c>
    </row>
    <row r="2647" spans="2:13" ht="15" customHeight="1" x14ac:dyDescent="0.2">
      <c r="B2647" s="10" t="s">
        <v>906</v>
      </c>
      <c r="C2647" s="10" t="s">
        <v>110</v>
      </c>
      <c r="D2647" s="16">
        <f>MAX(D2646,Inputs!$D$6)*Inputs!$D$19</f>
        <v>371.77791993981992</v>
      </c>
      <c r="E2647" s="16">
        <f>MAX(E2646,Inputs!$D$6)*Inputs!$D$19</f>
        <v>1416.5108941092578</v>
      </c>
      <c r="F2647" s="16">
        <f>MAX(F2646,Inputs!$D$6)*Inputs!$D$19</f>
        <v>2312.7463657739963</v>
      </c>
      <c r="G2647" s="16">
        <f>MAX(G2646,Inputs!$D$6)*Inputs!$D$19</f>
        <v>2696.8472822017416</v>
      </c>
      <c r="H2647" s="16">
        <f>MAX(H2646,Inputs!$D$6)*Inputs!$D$19</f>
        <v>2696.8472822017416</v>
      </c>
      <c r="I2647" s="16">
        <f>MAX(I2646,Inputs!$D$6)*Inputs!$D$19</f>
        <v>2696.8472822017416</v>
      </c>
      <c r="J2647" s="16">
        <f>MAX(J2646,Inputs!$D$6)*Inputs!$D$19</f>
        <v>2696.8472822017416</v>
      </c>
      <c r="K2647" s="16">
        <f>MAX(K2646,Inputs!$D$6)*Inputs!$D$19</f>
        <v>2696.8472822017416</v>
      </c>
      <c r="L2647" s="16">
        <f>MAX(L2646,Inputs!$D$6)*Inputs!$D$19</f>
        <v>2696.8472822017416</v>
      </c>
      <c r="M2647" s="16">
        <f>MAX(M2646,Inputs!$D$6)*Inputs!$D$19</f>
        <v>2696.8472822017416</v>
      </c>
    </row>
    <row r="2648" spans="2:13" ht="15" customHeight="1" x14ac:dyDescent="0.2">
      <c r="B2648" s="10" t="s">
        <v>907</v>
      </c>
      <c r="C2648" s="10" t="s">
        <v>110</v>
      </c>
      <c r="D2648" s="16">
        <f t="shared" ref="D2648:M2648" si="578">D2641*$D$2654</f>
        <v>263.12828548141391</v>
      </c>
      <c r="E2648" s="16">
        <f t="shared" si="578"/>
        <v>350.83771397521855</v>
      </c>
      <c r="F2648" s="16">
        <f t="shared" si="578"/>
        <v>263.12828548141391</v>
      </c>
      <c r="G2648" s="16">
        <f t="shared" si="578"/>
        <v>0</v>
      </c>
      <c r="H2648" s="16">
        <f t="shared" si="578"/>
        <v>0</v>
      </c>
      <c r="I2648" s="16">
        <f t="shared" si="578"/>
        <v>0</v>
      </c>
      <c r="J2648" s="16">
        <f t="shared" si="578"/>
        <v>0</v>
      </c>
      <c r="K2648" s="16">
        <f t="shared" si="578"/>
        <v>0</v>
      </c>
      <c r="L2648" s="16">
        <f t="shared" si="578"/>
        <v>0</v>
      </c>
      <c r="M2648" s="16">
        <f t="shared" si="578"/>
        <v>0</v>
      </c>
    </row>
    <row r="2649" spans="2:13" ht="15" customHeight="1" x14ac:dyDescent="0.2">
      <c r="B2649" s="10" t="s">
        <v>908</v>
      </c>
      <c r="C2649" s="10" t="s">
        <v>110</v>
      </c>
      <c r="D2649" s="16">
        <f t="shared" ref="D2649:M2649" si="579">D2645-D2647-D2639-D2640-D2648</f>
        <v>-13139.637806502213</v>
      </c>
      <c r="E2649" s="16">
        <f t="shared" si="579"/>
        <v>-10870.739406165447</v>
      </c>
      <c r="F2649" s="16">
        <f t="shared" si="579"/>
        <v>875.31608419192389</v>
      </c>
      <c r="G2649" s="16">
        <f t="shared" si="579"/>
        <v>16834.846650601539</v>
      </c>
      <c r="H2649" s="16">
        <f t="shared" si="579"/>
        <v>4591.0632773604302</v>
      </c>
      <c r="I2649" s="16">
        <f t="shared" si="579"/>
        <v>-369.532796575666</v>
      </c>
      <c r="J2649" s="16">
        <f t="shared" si="579"/>
        <v>4591.0632773604302</v>
      </c>
      <c r="K2649" s="16">
        <f t="shared" si="579"/>
        <v>16834.846650601539</v>
      </c>
      <c r="L2649" s="16">
        <f t="shared" si="579"/>
        <v>4591.0632773604302</v>
      </c>
      <c r="M2649" s="16">
        <f t="shared" si="579"/>
        <v>-369.532796575666</v>
      </c>
    </row>
    <row r="2650" spans="2:13" ht="15" customHeight="1" x14ac:dyDescent="0.2">
      <c r="B2650" s="10" t="s">
        <v>909</v>
      </c>
      <c r="C2650" s="10" t="s">
        <v>110</v>
      </c>
      <c r="D2650" s="16">
        <f>D2649/(Inputs!$D$7+$D$2656)^D2630</f>
        <v>-12274.534989389618</v>
      </c>
      <c r="E2650" s="16">
        <f>E2649/(Inputs!$D$7+$D$2656)^E2630</f>
        <v>-9230.0288539506946</v>
      </c>
      <c r="F2650" s="16">
        <f>F2649/(Inputs!$D$7+$D$2656)^F2630</f>
        <v>675.68539101868271</v>
      </c>
      <c r="G2650" s="16">
        <f>G2649/(Inputs!$D$7+$D$2656)^G2630</f>
        <v>11814.74715030528</v>
      </c>
      <c r="H2650" s="16">
        <f>H2649/(Inputs!$D$7+$D$2656)^H2630</f>
        <v>2929.3022964978163</v>
      </c>
      <c r="I2650" s="16">
        <f>I2649/(Inputs!$D$7+$D$2656)^I2630</f>
        <v>-214.30199883692589</v>
      </c>
      <c r="J2650" s="16">
        <f>J2649/(Inputs!$D$7+$D$2656)^J2630</f>
        <v>2420.5951470754735</v>
      </c>
      <c r="K2650" s="16">
        <f>K2649/(Inputs!$D$7+$D$2656)^K2630</f>
        <v>8069.6312753946286</v>
      </c>
      <c r="L2650" s="16">
        <f>L2649/(Inputs!$D$7+$D$2656)^L2630</f>
        <v>2000.7528833398098</v>
      </c>
      <c r="M2650" s="16">
        <f>M2649/(Inputs!$D$7+$D$2656)^M2630</f>
        <v>-146.37114871725009</v>
      </c>
    </row>
    <row r="2651" spans="2:13" ht="15" customHeight="1" x14ac:dyDescent="0.2">
      <c r="B2651" s="3" t="s">
        <v>910</v>
      </c>
      <c r="C2651" s="10" t="s">
        <v>896</v>
      </c>
      <c r="D2651" s="28">
        <f>(D2637*$D$2655-D2641)/(Inputs!$D$7+$D$2656)^D2630</f>
        <v>64.330856237917445</v>
      </c>
      <c r="E2651" s="28">
        <f>(E2637*$D$2655-E2641)/(Inputs!$D$7+$D$2656)^E2630</f>
        <v>236.42380139523098</v>
      </c>
      <c r="F2651" s="28">
        <f>(F2637*$D$2655-F2641)/(Inputs!$D$7+$D$2656)^F2630</f>
        <v>356.83568908039001</v>
      </c>
      <c r="G2651" s="28">
        <f>(G2637*$D$2655-G2641)/(Inputs!$D$7+$D$2656)^G2630</f>
        <v>383.60556091707036</v>
      </c>
      <c r="H2651" s="28">
        <f>(H2637*$D$2655-H2641)/(Inputs!$D$7+$D$2656)^H2630</f>
        <v>348.75507884227414</v>
      </c>
      <c r="I2651" s="28">
        <f>(I2637*$D$2655-I2641)/(Inputs!$D$7+$D$2656)^I2630</f>
        <v>316.98802826091918</v>
      </c>
      <c r="J2651" s="28">
        <f>(J2637*$D$2655-J2641)/(Inputs!$D$7+$D$2656)^J2630</f>
        <v>288.18973459066564</v>
      </c>
      <c r="K2651" s="28">
        <f>(K2637*$D$2655-K2641)/(Inputs!$D$7+$D$2656)^K2630</f>
        <v>262.00775965922423</v>
      </c>
      <c r="L2651" s="28">
        <f>(L2637*$D$2655-L2641)/(Inputs!$D$7+$D$2656)^L2630</f>
        <v>238.2044114761793</v>
      </c>
      <c r="M2651" s="28">
        <f>(M2637*$D$2655-M2641)/(Inputs!$D$7+$D$2656)^M2630</f>
        <v>216.50708849185102</v>
      </c>
    </row>
    <row r="2652" spans="2:13" ht="15" customHeight="1" x14ac:dyDescent="0.2">
      <c r="B2652" s="10" t="s">
        <v>911</v>
      </c>
      <c r="C2652" s="10" t="s">
        <v>110</v>
      </c>
      <c r="D2652" s="16">
        <f>(-D2639-D2640)/(Inputs!$D$7+$D$2656)^D2630</f>
        <v>-14536.447397527105</v>
      </c>
      <c r="E2652" s="16">
        <f>(-E2639-E2640)/(Inputs!$D$7+$D$2656)^E2630</f>
        <v>-17616.488200475756</v>
      </c>
      <c r="F2652" s="16">
        <f>(-F2639-F2640)/(Inputs!$D$7+$D$2656)^F2630</f>
        <v>-12012.025548964448</v>
      </c>
      <c r="G2652" s="16">
        <f>(-G2639-G2640)/(Inputs!$D$7+$D$2656)^G2630</f>
        <v>-1851.359915178487</v>
      </c>
      <c r="H2652" s="16">
        <f>(-H2639-H2640)/(Inputs!$D$7+$D$2656)^H2630</f>
        <v>-9495.2419037884629</v>
      </c>
      <c r="I2652" s="16">
        <f>(-I2639-I2640)/(Inputs!$D$7+$D$2656)^I2630</f>
        <v>-11507.131858586603</v>
      </c>
      <c r="J2652" s="16">
        <f>(-J2639-J2640)/(Inputs!$D$7+$D$2656)^J2630</f>
        <v>-7846.2835672839774</v>
      </c>
      <c r="K2652" s="16">
        <f>(-K2639-K2640)/(Inputs!$D$7+$D$2656)^K2630</f>
        <v>-1264.5037327904422</v>
      </c>
      <c r="L2652" s="16">
        <f>(-L2639-L2640)/(Inputs!$D$7+$D$2656)^L2630</f>
        <v>-6485.3779822337692</v>
      </c>
      <c r="M2652" s="16">
        <f>(-M2639-M2640)/(Inputs!$D$7+$D$2656)^M2630</f>
        <v>-7859.5258920747219</v>
      </c>
    </row>
    <row r="2653" spans="2:13" ht="15" customHeight="1" x14ac:dyDescent="0.2">
      <c r="B2653" s="10" t="s">
        <v>912</v>
      </c>
      <c r="C2653" s="10" t="s">
        <v>110</v>
      </c>
      <c r="D2653" s="16">
        <f>Prices!I8</f>
        <v>32775</v>
      </c>
    </row>
    <row r="2654" spans="2:13" ht="15" customHeight="1" x14ac:dyDescent="0.2">
      <c r="B2654" s="3" t="s">
        <v>913</v>
      </c>
      <c r="C2654" s="10" t="s">
        <v>914</v>
      </c>
      <c r="D2654" s="28">
        <f>IF(J2661&gt;=J2657,J2661,(D2653-J2660)/J2659)</f>
        <v>40.559273291932776</v>
      </c>
      <c r="G2654" s="99" t="s">
        <v>915</v>
      </c>
      <c r="H2654" s="91"/>
      <c r="I2654" s="91"/>
      <c r="J2654" s="28">
        <f>D2654*Inputs!$D$15</f>
        <v>28.306316830439883</v>
      </c>
      <c r="K2654" s="99" t="s">
        <v>916</v>
      </c>
      <c r="L2654" s="91"/>
      <c r="M2654" s="91"/>
    </row>
    <row r="2655" spans="2:13" ht="15" customHeight="1" x14ac:dyDescent="0.2">
      <c r="B2655" s="10" t="s">
        <v>917</v>
      </c>
      <c r="C2655" s="10" t="s">
        <v>104</v>
      </c>
      <c r="D2655" s="30">
        <f>Inputs!$D$142</f>
        <v>0.6</v>
      </c>
      <c r="G2655" s="99" t="s">
        <v>918</v>
      </c>
      <c r="H2655" s="91"/>
      <c r="I2655" s="91"/>
      <c r="J2655" s="28">
        <f>IF(-D2666/D2665&gt;=J2657,-D2666/D2665,-J2660/J2659)</f>
        <v>32.284876648616972</v>
      </c>
      <c r="K2655" s="99" t="s">
        <v>919</v>
      </c>
      <c r="L2655" s="91"/>
      <c r="M2655" s="91"/>
    </row>
    <row r="2656" spans="2:13" ht="15" customHeight="1" x14ac:dyDescent="0.2">
      <c r="B2656" s="10" t="s">
        <v>920</v>
      </c>
      <c r="C2656" s="10" t="s">
        <v>104</v>
      </c>
      <c r="D2656" s="30">
        <f>Inputs!$D$147</f>
        <v>0.1</v>
      </c>
      <c r="G2656" s="99" t="s">
        <v>918</v>
      </c>
      <c r="H2656" s="91"/>
      <c r="I2656" s="91"/>
      <c r="J2656" s="28">
        <f>J2655*Inputs!$D$15</f>
        <v>22.531615413069783</v>
      </c>
      <c r="K2656" s="99" t="s">
        <v>916</v>
      </c>
      <c r="L2656" s="91"/>
      <c r="M2656" s="91"/>
    </row>
    <row r="2657" spans="2:13" ht="15" customHeight="1" x14ac:dyDescent="0.2">
      <c r="B2657" s="3" t="s">
        <v>921</v>
      </c>
      <c r="C2657" s="10" t="s">
        <v>848</v>
      </c>
      <c r="D2657" s="28">
        <f>Capital!$D$13</f>
        <v>57.347931490590682</v>
      </c>
      <c r="G2657" s="99" t="s">
        <v>922</v>
      </c>
      <c r="H2657" s="91"/>
      <c r="I2657" s="91"/>
      <c r="J2657" s="28">
        <f>($D$2657/Inputs!$D$21+$D$2658/Inputs!$D$22)/$D$2655</f>
        <v>24.113076913095469</v>
      </c>
      <c r="K2657" s="99" t="s">
        <v>919</v>
      </c>
      <c r="L2657" s="91"/>
      <c r="M2657" s="91"/>
    </row>
    <row r="2658" spans="2:13" ht="15" customHeight="1" x14ac:dyDescent="0.2">
      <c r="B2658" s="3" t="s">
        <v>923</v>
      </c>
      <c r="C2658" s="10" t="s">
        <v>848</v>
      </c>
      <c r="D2658" s="28">
        <f>Capital!$D$14</f>
        <v>2.6172655041921802</v>
      </c>
    </row>
    <row r="2659" spans="2:13" ht="15" customHeight="1" x14ac:dyDescent="0.2">
      <c r="B2659" s="10" t="s">
        <v>924</v>
      </c>
      <c r="C2659" s="10" t="s">
        <v>896</v>
      </c>
      <c r="D2659" s="28">
        <f>(M2632*(Inputs!$D$7+Inputs!$D$20)*$D$2655*(Inputs!$D$7-Inputs!$D$19)-M2632*Inputs!$D$20*Inputs!$D$23)/($D$2656-Inputs!$D$20)/(Inputs!$D$7+$D$2656)^M2630</f>
        <v>2068.2441036763203</v>
      </c>
      <c r="G2659" s="92" t="s">
        <v>910</v>
      </c>
      <c r="H2659" s="91"/>
      <c r="I2659" s="91"/>
      <c r="J2659" s="28">
        <f>SUM(D2651:M2651)+(M2632*(Inputs!$D$7+Inputs!$D$20)*$D$2655-M2632*Inputs!$D$20*Inputs!$D$23)/($D$2656-Inputs!$D$20)/(Inputs!$D$7+$D$2656)^M2630</f>
        <v>5667.7711754446318</v>
      </c>
      <c r="K2659" s="99" t="s">
        <v>896</v>
      </c>
      <c r="L2659" s="91"/>
      <c r="M2659" s="91"/>
    </row>
    <row r="2660" spans="2:13" ht="15" customHeight="1" x14ac:dyDescent="0.2">
      <c r="B2660" s="10" t="s">
        <v>925</v>
      </c>
      <c r="C2660" s="10" t="s">
        <v>110</v>
      </c>
      <c r="D2660" s="16">
        <f>(D2663*Inputs!$D$19-D2663-D2664)/($D$2656-Inputs!$D$20)/(Inputs!$D$7+$D$2656)^M2630</f>
        <v>-57156.954988173631</v>
      </c>
      <c r="G2660" s="92" t="s">
        <v>926</v>
      </c>
      <c r="H2660" s="91"/>
      <c r="I2660" s="91"/>
      <c r="J2660" s="16">
        <f>SUM(D2652:M2652)-(D2663+D2664)/($D$2656-Inputs!$D$20)/(Inputs!$D$7+$D$2656)^M2630</f>
        <v>-169036.01450291832</v>
      </c>
      <c r="K2660" s="99" t="s">
        <v>110</v>
      </c>
      <c r="L2660" s="91"/>
      <c r="M2660" s="91"/>
    </row>
    <row r="2661" spans="2:13" ht="15" customHeight="1" x14ac:dyDescent="0.2">
      <c r="B2661" s="10" t="s">
        <v>927</v>
      </c>
      <c r="C2661" s="10" t="s">
        <v>928</v>
      </c>
      <c r="D2661" s="16">
        <f>(M2632*(Inputs!$D$7+Inputs!$D$20)*$D$2654*$D$2655-D2663)-MAX((M2632*(Inputs!$D$7+Inputs!$D$20)*$D$2654*$D$2655-D2663),Inputs!$D$6)*Inputs!$D$19-D2664-M2632*Inputs!$D$20*$D$2654*Inputs!$D$23</f>
        <v>5061.1589521457245</v>
      </c>
      <c r="G2661" s="99" t="s">
        <v>929</v>
      </c>
      <c r="H2661" s="91"/>
      <c r="I2661" s="91"/>
      <c r="J2661" s="28">
        <f>(D2653-D2666)/D2665</f>
        <v>40.559273291932776</v>
      </c>
      <c r="K2661" s="99" t="s">
        <v>919</v>
      </c>
      <c r="L2661" s="91"/>
      <c r="M2661" s="91"/>
    </row>
    <row r="2662" spans="2:13" ht="15" customHeight="1" x14ac:dyDescent="0.2">
      <c r="B2662" s="10" t="s">
        <v>930</v>
      </c>
      <c r="C2662" s="10" t="s">
        <v>110</v>
      </c>
      <c r="D2662" s="16">
        <f>D2661/($D$2656-Inputs!$D$20)</f>
        <v>67482.119361942983</v>
      </c>
      <c r="G2662" s="99" t="s">
        <v>931</v>
      </c>
      <c r="H2662" s="91"/>
      <c r="I2662" s="91"/>
      <c r="J2662" s="16">
        <f>MIN(D2646:M2646,(M2632*(Inputs!$D$7+Inputs!$D$20)*$D$2654*$D$2655-D2663))</f>
        <v>1239.2597331327331</v>
      </c>
      <c r="K2662" s="99" t="s">
        <v>110</v>
      </c>
      <c r="L2662" s="91"/>
      <c r="M2662" s="91"/>
    </row>
    <row r="2663" spans="2:13" ht="15" customHeight="1" x14ac:dyDescent="0.2">
      <c r="B2663" s="10" t="s">
        <v>932</v>
      </c>
      <c r="C2663" s="10" t="s">
        <v>928</v>
      </c>
      <c r="D2663" s="16">
        <f>M2632*(Inputs!$D$7+Inputs!$D$20)*($D$2657/Inputs!$D$21+$D$2658/Inputs!$D$22)</f>
        <v>13509.71303671543</v>
      </c>
      <c r="G2663" s="99" t="s">
        <v>933</v>
      </c>
      <c r="H2663" s="91"/>
      <c r="I2663" s="91"/>
      <c r="J2663" s="31" t="str">
        <f>IF(J2662&lt;Inputs!$D$6,"breached","satisfied")</f>
        <v>satisfied</v>
      </c>
      <c r="K2663" s="99" t="s">
        <v>934</v>
      </c>
      <c r="L2663" s="91"/>
      <c r="M2663" s="91"/>
    </row>
    <row r="2664" spans="2:13" ht="15" customHeight="1" x14ac:dyDescent="0.2">
      <c r="B2664" s="10" t="s">
        <v>935</v>
      </c>
      <c r="C2664" s="10" t="s">
        <v>928</v>
      </c>
      <c r="D2664" s="16">
        <f>M2632*Inputs!$D$20*($D$2657+$D$2658)</f>
        <v>1365.7073615561799</v>
      </c>
    </row>
    <row r="2665" spans="2:13" ht="15" customHeight="1" x14ac:dyDescent="0.2">
      <c r="B2665" s="10" t="s">
        <v>936</v>
      </c>
      <c r="C2665" s="10" t="s">
        <v>896</v>
      </c>
      <c r="D2665" s="28">
        <f>SUM(D2642:M2642)+D2659</f>
        <v>3961.0138857044249</v>
      </c>
      <c r="G2665" s="99" t="s">
        <v>937</v>
      </c>
      <c r="H2665" s="91"/>
      <c r="I2665" s="91"/>
      <c r="J2665" s="16">
        <f>D2667-D2653</f>
        <v>0</v>
      </c>
      <c r="K2665" s="99" t="s">
        <v>110</v>
      </c>
      <c r="L2665" s="91"/>
      <c r="M2665" s="91"/>
    </row>
    <row r="2666" spans="2:13" ht="15" customHeight="1" x14ac:dyDescent="0.2">
      <c r="B2666" s="10" t="s">
        <v>938</v>
      </c>
      <c r="C2666" s="10" t="s">
        <v>110</v>
      </c>
      <c r="D2666" s="16">
        <f>SUM(D2643:M2643)+D2660</f>
        <v>-127880.84470342637</v>
      </c>
    </row>
    <row r="2667" spans="2:13" ht="15" customHeight="1" x14ac:dyDescent="0.2">
      <c r="B2667" s="10" t="s">
        <v>939</v>
      </c>
      <c r="C2667" s="10" t="s">
        <v>110</v>
      </c>
      <c r="D2667" s="16">
        <f>SUM(D2650:M2650)+D2662/(Inputs!$D$7+$D$2656)^M2630</f>
        <v>32774.999999999993</v>
      </c>
    </row>
    <row r="2668" spans="2:13" ht="15" customHeight="1" x14ac:dyDescent="0.2">
      <c r="B2668" s="10" t="s">
        <v>940</v>
      </c>
      <c r="C2668" s="10" t="s">
        <v>104</v>
      </c>
      <c r="D2668" s="30">
        <f>IF(ABS(D2653)&gt;Inputs!$D$6,D2667/D2653-Inputs!$D$7,Inputs!$D$6)</f>
        <v>-2.2204460492503131E-16</v>
      </c>
    </row>
    <row r="2669" spans="2:13" ht="15" customHeight="1" x14ac:dyDescent="0.2">
      <c r="B2669" s="10" t="s">
        <v>941</v>
      </c>
      <c r="C2669" s="10" t="s">
        <v>104</v>
      </c>
      <c r="D2669" s="30">
        <f>IF(ABS(D2667)&gt;Inputs!$D$119,D2662/(Inputs!$D$7+$D$2656)^M2630/D2667,Inputs!$D$6)</f>
        <v>0.81554608229634784</v>
      </c>
    </row>
    <row r="2670" spans="2:13" ht="15" customHeight="1" x14ac:dyDescent="0.2">
      <c r="B2670" s="10" t="s">
        <v>942</v>
      </c>
      <c r="C2670" s="10" t="s">
        <v>943</v>
      </c>
      <c r="D2670" s="26">
        <f>$D$2654*Inputs!$D$8/Prices!$P$6/(Inputs!$D$26/Inputs!$D$25)/Inputs!$D$11/Inputs!$D$56</f>
        <v>7.3758270478364798</v>
      </c>
    </row>
    <row r="2674" spans="1:13" ht="15" customHeight="1" x14ac:dyDescent="0.2">
      <c r="A2674" s="104" t="s">
        <v>2223</v>
      </c>
      <c r="B2674" s="10" t="s">
        <v>886</v>
      </c>
      <c r="C2674" s="10" t="s">
        <v>107</v>
      </c>
      <c r="D2674" s="28">
        <f>Inputs!$D$60</f>
        <v>1</v>
      </c>
      <c r="E2674" s="28">
        <f>Inputs!$D$62</f>
        <v>2</v>
      </c>
      <c r="F2674" s="28">
        <f>Inputs!$D$64</f>
        <v>3</v>
      </c>
      <c r="G2674" s="28">
        <f>Inputs!$D$66</f>
        <v>4</v>
      </c>
      <c r="H2674" s="28">
        <f>Inputs!$D$68</f>
        <v>5</v>
      </c>
      <c r="I2674" s="28">
        <f>Inputs!$D$70</f>
        <v>6</v>
      </c>
      <c r="J2674" s="28">
        <f>Inputs!$D$72</f>
        <v>7</v>
      </c>
      <c r="K2674" s="28">
        <f>Inputs!$D$74</f>
        <v>8</v>
      </c>
      <c r="L2674" s="28">
        <f>Inputs!$D$76</f>
        <v>9</v>
      </c>
      <c r="M2674" s="28">
        <f>Inputs!$D$78</f>
        <v>10</v>
      </c>
    </row>
    <row r="2675" spans="1:13" ht="15" customHeight="1" x14ac:dyDescent="0.2">
      <c r="A2675" s="91"/>
      <c r="B2675" s="10" t="s">
        <v>887</v>
      </c>
      <c r="C2675" s="10" t="s">
        <v>161</v>
      </c>
      <c r="D2675" s="29">
        <f>Inputs!$D$61</f>
        <v>46568</v>
      </c>
      <c r="E2675" s="29">
        <f>Inputs!$D$63</f>
        <v>46934</v>
      </c>
      <c r="F2675" s="29">
        <f>Inputs!$D$65</f>
        <v>47299</v>
      </c>
      <c r="G2675" s="29">
        <f>Inputs!$D$67</f>
        <v>47664</v>
      </c>
      <c r="H2675" s="29">
        <f>Inputs!$D$69</f>
        <v>48029</v>
      </c>
      <c r="I2675" s="29">
        <f>Inputs!$D$71</f>
        <v>48395</v>
      </c>
      <c r="J2675" s="29">
        <f>Inputs!$D$73</f>
        <v>48760</v>
      </c>
      <c r="K2675" s="29">
        <f>Inputs!$D$75</f>
        <v>49125</v>
      </c>
      <c r="L2675" s="29">
        <f>Inputs!$D$77</f>
        <v>49490</v>
      </c>
      <c r="M2675" s="29">
        <f>Inputs!$D$79</f>
        <v>49856</v>
      </c>
    </row>
    <row r="2676" spans="1:13" ht="15" customHeight="1" x14ac:dyDescent="0.2">
      <c r="A2676" s="91"/>
      <c r="B2676" s="10" t="s">
        <v>888</v>
      </c>
      <c r="C2676" s="10" t="s">
        <v>107</v>
      </c>
      <c r="D2676" s="28">
        <f>(D2675-Inputs!$D$13)/Inputs!$D$10</f>
        <v>0.71457905544147848</v>
      </c>
      <c r="E2676" s="28">
        <f>(E2675-Inputs!$D$13)/Inputs!$D$10</f>
        <v>1.7166324435318274</v>
      </c>
      <c r="F2676" s="28">
        <f>(F2675-Inputs!$D$13)/Inputs!$D$10</f>
        <v>2.7159479808350446</v>
      </c>
      <c r="G2676" s="28">
        <f>(G2675-Inputs!$D$13)/Inputs!$D$10</f>
        <v>3.7152635181382614</v>
      </c>
      <c r="H2676" s="28">
        <f>(H2675-Inputs!$D$13)/Inputs!$D$10</f>
        <v>4.7145790554414786</v>
      </c>
      <c r="I2676" s="28">
        <f>(I2675-Inputs!$D$13)/Inputs!$D$10</f>
        <v>5.7166324435318279</v>
      </c>
      <c r="J2676" s="28">
        <f>(J2675-Inputs!$D$13)/Inputs!$D$10</f>
        <v>6.7159479808350442</v>
      </c>
      <c r="K2676" s="28">
        <f>(K2675-Inputs!$D$13)/Inputs!$D$10</f>
        <v>7.7152635181382614</v>
      </c>
      <c r="L2676" s="28">
        <f>(L2675-Inputs!$D$13)/Inputs!$D$10</f>
        <v>8.7145790554414777</v>
      </c>
      <c r="M2676" s="28">
        <f>(M2675-Inputs!$D$13)/Inputs!$D$10</f>
        <v>9.716632443531827</v>
      </c>
    </row>
    <row r="2677" spans="1:13" ht="15" customHeight="1" x14ac:dyDescent="0.2">
      <c r="A2677" s="91"/>
      <c r="B2677" s="10" t="s">
        <v>889</v>
      </c>
      <c r="C2677" s="10" t="s">
        <v>107</v>
      </c>
      <c r="D2677" s="28">
        <f>D2676</f>
        <v>0.71457905544147848</v>
      </c>
      <c r="E2677" s="28">
        <f>Inputs!$D$7</f>
        <v>1</v>
      </c>
      <c r="F2677" s="28">
        <f>Inputs!$D$7</f>
        <v>1</v>
      </c>
      <c r="G2677" s="28">
        <f>Inputs!$D$7</f>
        <v>1</v>
      </c>
      <c r="H2677" s="28">
        <f>Inputs!$D$7</f>
        <v>1</v>
      </c>
      <c r="I2677" s="28">
        <f>Inputs!$D$7</f>
        <v>1</v>
      </c>
      <c r="J2677" s="28">
        <f>Inputs!$D$7</f>
        <v>1</v>
      </c>
      <c r="K2677" s="28">
        <f>Inputs!$D$7</f>
        <v>1</v>
      </c>
      <c r="L2677" s="28">
        <f>Inputs!$D$7</f>
        <v>1</v>
      </c>
      <c r="M2677" s="28">
        <f>Inputs!$D$7</f>
        <v>1</v>
      </c>
    </row>
    <row r="2678" spans="1:13" ht="15" customHeight="1" x14ac:dyDescent="0.2">
      <c r="A2678" s="91"/>
      <c r="B2678" s="3" t="s">
        <v>890</v>
      </c>
      <c r="C2678" s="10" t="s">
        <v>199</v>
      </c>
      <c r="D2678" s="28">
        <f>Inputs!$D$24+(Inputs!$D$80-Inputs!$D$24)*Inputs!$D$83</f>
        <v>305.5</v>
      </c>
      <c r="E2678" s="28">
        <f>Inputs!$D$24+(Inputs!$D$80-Inputs!$D$24)*Inputs!$D$84</f>
        <v>651.5</v>
      </c>
      <c r="F2678" s="28">
        <f>Inputs!$D$24+(Inputs!$D$80-Inputs!$D$24)*Inputs!$D$85</f>
        <v>911</v>
      </c>
      <c r="G2678" s="28">
        <f>Inputs!$D$24+(Inputs!$D$80-Inputs!$D$24)*Inputs!$D$86</f>
        <v>911</v>
      </c>
      <c r="H2678" s="28">
        <f>Inputs!$D$24+(Inputs!$D$80-Inputs!$D$24)*Inputs!$D$87</f>
        <v>911</v>
      </c>
      <c r="I2678" s="28">
        <f>Inputs!$D$24+(Inputs!$D$80-Inputs!$D$24)*Inputs!$D$88</f>
        <v>911</v>
      </c>
      <c r="J2678" s="28">
        <f>Inputs!$D$24+(Inputs!$D$80-Inputs!$D$24)*Inputs!$D$89</f>
        <v>911</v>
      </c>
      <c r="K2678" s="28">
        <f>Inputs!$D$24+(Inputs!$D$80-Inputs!$D$24)*Inputs!$D$90</f>
        <v>911</v>
      </c>
      <c r="L2678" s="28">
        <f>Inputs!$D$24+(Inputs!$D$80-Inputs!$D$24)*Inputs!$D$91</f>
        <v>911</v>
      </c>
      <c r="M2678" s="28">
        <f>Inputs!$D$24+(Inputs!$D$80-Inputs!$D$24)*Inputs!$D$92</f>
        <v>911</v>
      </c>
    </row>
    <row r="2679" spans="1:13" ht="15" customHeight="1" x14ac:dyDescent="0.2">
      <c r="A2679" s="91"/>
      <c r="B2679" s="10" t="s">
        <v>891</v>
      </c>
      <c r="C2679" s="10" t="s">
        <v>199</v>
      </c>
      <c r="D2679" s="28">
        <f>Inputs!$D$24</f>
        <v>46</v>
      </c>
      <c r="E2679" s="28">
        <f t="shared" ref="E2679:M2679" si="580">D2678</f>
        <v>305.5</v>
      </c>
      <c r="F2679" s="28">
        <f t="shared" si="580"/>
        <v>651.5</v>
      </c>
      <c r="G2679" s="28">
        <f t="shared" si="580"/>
        <v>911</v>
      </c>
      <c r="H2679" s="28">
        <f t="shared" si="580"/>
        <v>911</v>
      </c>
      <c r="I2679" s="28">
        <f t="shared" si="580"/>
        <v>911</v>
      </c>
      <c r="J2679" s="28">
        <f t="shared" si="580"/>
        <v>911</v>
      </c>
      <c r="K2679" s="28">
        <f t="shared" si="580"/>
        <v>911</v>
      </c>
      <c r="L2679" s="28">
        <f t="shared" si="580"/>
        <v>911</v>
      </c>
      <c r="M2679" s="28">
        <f t="shared" si="580"/>
        <v>911</v>
      </c>
    </row>
    <row r="2680" spans="1:13" ht="15" customHeight="1" x14ac:dyDescent="0.2">
      <c r="B2680" s="10" t="s">
        <v>892</v>
      </c>
      <c r="C2680" s="10" t="s">
        <v>199</v>
      </c>
      <c r="D2680" s="28">
        <f>(D2679+D2678)*Inputs!$D$12</f>
        <v>175.75</v>
      </c>
      <c r="E2680" s="28">
        <f>(E2679+E2678)*Inputs!$D$12</f>
        <v>478.5</v>
      </c>
      <c r="F2680" s="28">
        <f>(F2679+F2678)*Inputs!$D$12</f>
        <v>781.25</v>
      </c>
      <c r="G2680" s="28">
        <f>(G2679+G2678)*Inputs!$D$12</f>
        <v>911</v>
      </c>
      <c r="H2680" s="28">
        <f>(H2679+H2678)*Inputs!$D$12</f>
        <v>911</v>
      </c>
      <c r="I2680" s="28">
        <f>(I2679+I2678)*Inputs!$D$12</f>
        <v>911</v>
      </c>
      <c r="J2680" s="28">
        <f>(J2679+J2678)*Inputs!$D$12</f>
        <v>911</v>
      </c>
      <c r="K2680" s="28">
        <f>(K2679+K2678)*Inputs!$D$12</f>
        <v>911</v>
      </c>
      <c r="L2680" s="28">
        <f>(L2679+L2678)*Inputs!$D$12</f>
        <v>911</v>
      </c>
      <c r="M2680" s="28">
        <f>(M2679+M2678)*Inputs!$D$12</f>
        <v>911</v>
      </c>
    </row>
    <row r="2681" spans="1:13" ht="15" customHeight="1" x14ac:dyDescent="0.2">
      <c r="B2681" s="10" t="s">
        <v>893</v>
      </c>
      <c r="C2681" s="10" t="s">
        <v>199</v>
      </c>
      <c r="D2681" s="28">
        <f t="shared" ref="D2681:M2681" si="581">D2678-D2679</f>
        <v>259.5</v>
      </c>
      <c r="E2681" s="28">
        <f t="shared" si="581"/>
        <v>346</v>
      </c>
      <c r="F2681" s="28">
        <f t="shared" si="581"/>
        <v>259.5</v>
      </c>
      <c r="G2681" s="28">
        <f t="shared" si="581"/>
        <v>0</v>
      </c>
      <c r="H2681" s="28">
        <f t="shared" si="581"/>
        <v>0</v>
      </c>
      <c r="I2681" s="28">
        <f t="shared" si="581"/>
        <v>0</v>
      </c>
      <c r="J2681" s="28">
        <f t="shared" si="581"/>
        <v>0</v>
      </c>
      <c r="K2681" s="28">
        <f t="shared" si="581"/>
        <v>0</v>
      </c>
      <c r="L2681" s="28">
        <f t="shared" si="581"/>
        <v>0</v>
      </c>
      <c r="M2681" s="28">
        <f t="shared" si="581"/>
        <v>0</v>
      </c>
    </row>
    <row r="2682" spans="1:13" ht="15" customHeight="1" x14ac:dyDescent="0.2">
      <c r="B2682" s="10" t="s">
        <v>894</v>
      </c>
      <c r="C2682" s="10" t="s">
        <v>199</v>
      </c>
      <c r="D2682" s="28">
        <f>IF(MOD(D2674,Inputs!$D$21)=Inputs!$D$6,Inputs!$D$24,Inputs!$D$6)+SUMPRODUCT(--(D2674&gt;$D$2674:$M$2674),--(MOD(D2674-$D$2674:$M$2674,Inputs!$D$21)=Inputs!$D$6),$D$2681:$M$2681)</f>
        <v>0</v>
      </c>
      <c r="E2682" s="28">
        <f>IF(MOD(E2674,Inputs!$D$21)=Inputs!$D$6,Inputs!$D$24,Inputs!$D$6)+SUMPRODUCT(--(E2674&gt;$D$2674:$M$2674),--(MOD(E2674-$D$2674:$M$2674,Inputs!$D$21)=Inputs!$D$6),$D$2681:$M$2681)</f>
        <v>0</v>
      </c>
      <c r="F2682" s="28">
        <f>IF(MOD(F2674,Inputs!$D$21)=Inputs!$D$6,Inputs!$D$24,Inputs!$D$6)+SUMPRODUCT(--(F2674&gt;$D$2674:$M$2674),--(MOD(F2674-$D$2674:$M$2674,Inputs!$D$21)=Inputs!$D$6),$D$2681:$M$2681)</f>
        <v>0</v>
      </c>
      <c r="G2682" s="28">
        <f>IF(MOD(G2674,Inputs!$D$21)=Inputs!$D$6,Inputs!$D$24,Inputs!$D$6)+SUMPRODUCT(--(G2674&gt;$D$2674:$M$2674),--(MOD(G2674-$D$2674:$M$2674,Inputs!$D$21)=Inputs!$D$6),$D$2681:$M$2681)</f>
        <v>46</v>
      </c>
      <c r="H2682" s="28">
        <f>IF(MOD(H2674,Inputs!$D$21)=Inputs!$D$6,Inputs!$D$24,Inputs!$D$6)+SUMPRODUCT(--(H2674&gt;$D$2674:$M$2674),--(MOD(H2674-$D$2674:$M$2674,Inputs!$D$21)=Inputs!$D$6),$D$2681:$M$2681)</f>
        <v>259.5</v>
      </c>
      <c r="I2682" s="28">
        <f>IF(MOD(I2674,Inputs!$D$21)=Inputs!$D$6,Inputs!$D$24,Inputs!$D$6)+SUMPRODUCT(--(I2674&gt;$D$2674:$M$2674),--(MOD(I2674-$D$2674:$M$2674,Inputs!$D$21)=Inputs!$D$6),$D$2681:$M$2681)</f>
        <v>346</v>
      </c>
      <c r="J2682" s="28">
        <f>IF(MOD(J2674,Inputs!$D$21)=Inputs!$D$6,Inputs!$D$24,Inputs!$D$6)+SUMPRODUCT(--(J2674&gt;$D$2674:$M$2674),--(MOD(J2674-$D$2674:$M$2674,Inputs!$D$21)=Inputs!$D$6),$D$2681:$M$2681)</f>
        <v>259.5</v>
      </c>
      <c r="K2682" s="28">
        <f>IF(MOD(K2674,Inputs!$D$21)=Inputs!$D$6,Inputs!$D$24,Inputs!$D$6)+SUMPRODUCT(--(K2674&gt;$D$2674:$M$2674),--(MOD(K2674-$D$2674:$M$2674,Inputs!$D$21)=Inputs!$D$6),$D$2681:$M$2681)</f>
        <v>46</v>
      </c>
      <c r="L2682" s="28">
        <f>IF(MOD(L2674,Inputs!$D$21)=Inputs!$D$6,Inputs!$D$24,Inputs!$D$6)+SUMPRODUCT(--(L2674&gt;$D$2674:$M$2674),--(MOD(L2674-$D$2674:$M$2674,Inputs!$D$21)=Inputs!$D$6),$D$2681:$M$2681)</f>
        <v>259.5</v>
      </c>
      <c r="M2682" s="28">
        <f>IF(MOD(M2674,Inputs!$D$21)=Inputs!$D$6,Inputs!$D$24,Inputs!$D$6)+SUMPRODUCT(--(M2674&gt;$D$2674:$M$2674),--(MOD(M2674-$D$2674:$M$2674,Inputs!$D$21)=Inputs!$D$6),$D$2681:$M$2681)</f>
        <v>346</v>
      </c>
    </row>
    <row r="2683" spans="1:13" ht="15" customHeight="1" x14ac:dyDescent="0.2">
      <c r="B2683" s="10" t="s">
        <v>895</v>
      </c>
      <c r="C2683" s="10" t="s">
        <v>896</v>
      </c>
      <c r="D2683" s="28">
        <f t="shared" ref="D2683:M2683" si="582">D2680*D2677</f>
        <v>125.58726899383984</v>
      </c>
      <c r="E2683" s="28">
        <f t="shared" si="582"/>
        <v>478.5</v>
      </c>
      <c r="F2683" s="28">
        <f t="shared" si="582"/>
        <v>781.25</v>
      </c>
      <c r="G2683" s="28">
        <f t="shared" si="582"/>
        <v>911</v>
      </c>
      <c r="H2683" s="28">
        <f t="shared" si="582"/>
        <v>911</v>
      </c>
      <c r="I2683" s="28">
        <f t="shared" si="582"/>
        <v>911</v>
      </c>
      <c r="J2683" s="28">
        <f t="shared" si="582"/>
        <v>911</v>
      </c>
      <c r="K2683" s="28">
        <f t="shared" si="582"/>
        <v>911</v>
      </c>
      <c r="L2683" s="28">
        <f t="shared" si="582"/>
        <v>911</v>
      </c>
      <c r="M2683" s="28">
        <f t="shared" si="582"/>
        <v>911</v>
      </c>
    </row>
    <row r="2684" spans="1:13" ht="15" customHeight="1" x14ac:dyDescent="0.2">
      <c r="B2684" s="10" t="s">
        <v>897</v>
      </c>
      <c r="C2684" s="10" t="s">
        <v>110</v>
      </c>
      <c r="D2684" s="16">
        <f>D2683*($D$2703/Inputs!$D$21+$D$2704/Inputs!$D$22)</f>
        <v>1816.9772859324419</v>
      </c>
      <c r="E2684" s="16">
        <f>E2683*($D$2703/Inputs!$D$21+$D$2704/Inputs!$D$22)</f>
        <v>6922.8643817497086</v>
      </c>
      <c r="F2684" s="16">
        <f>F2683*($D$2703/Inputs!$D$21+$D$2704/Inputs!$D$22)</f>
        <v>11303.0048030135</v>
      </c>
      <c r="G2684" s="16">
        <f>G2683*($D$2703/Inputs!$D$21+$D$2704/Inputs!$D$22)</f>
        <v>13180.207840697982</v>
      </c>
      <c r="H2684" s="16">
        <f>H2683*($D$2703/Inputs!$D$21+$D$2704/Inputs!$D$22)</f>
        <v>13180.207840697982</v>
      </c>
      <c r="I2684" s="16">
        <f>I2683*($D$2703/Inputs!$D$21+$D$2704/Inputs!$D$22)</f>
        <v>13180.207840697982</v>
      </c>
      <c r="J2684" s="16">
        <f>J2683*($D$2703/Inputs!$D$21+$D$2704/Inputs!$D$22)</f>
        <v>13180.207840697982</v>
      </c>
      <c r="K2684" s="16">
        <f>K2683*($D$2703/Inputs!$D$21+$D$2704/Inputs!$D$22)</f>
        <v>13180.207840697982</v>
      </c>
      <c r="L2684" s="16">
        <f>L2683*($D$2703/Inputs!$D$21+$D$2704/Inputs!$D$22)</f>
        <v>13180.207840697982</v>
      </c>
      <c r="M2684" s="16">
        <f>M2683*($D$2703/Inputs!$D$21+$D$2704/Inputs!$D$22)</f>
        <v>13180.207840697982</v>
      </c>
    </row>
    <row r="2685" spans="1:13" ht="15" customHeight="1" x14ac:dyDescent="0.2">
      <c r="B2685" s="10" t="s">
        <v>898</v>
      </c>
      <c r="C2685" s="10" t="s">
        <v>110</v>
      </c>
      <c r="D2685" s="16">
        <f t="shared" ref="D2685:M2685" si="583">D2681*($D$2703+$D$2704)</f>
        <v>15560.968620146154</v>
      </c>
      <c r="E2685" s="16">
        <f t="shared" si="583"/>
        <v>20747.95816019487</v>
      </c>
      <c r="F2685" s="16">
        <f t="shared" si="583"/>
        <v>15560.968620146154</v>
      </c>
      <c r="G2685" s="16">
        <f t="shared" si="583"/>
        <v>0</v>
      </c>
      <c r="H2685" s="16">
        <f t="shared" si="583"/>
        <v>0</v>
      </c>
      <c r="I2685" s="16">
        <f t="shared" si="583"/>
        <v>0</v>
      </c>
      <c r="J2685" s="16">
        <f t="shared" si="583"/>
        <v>0</v>
      </c>
      <c r="K2685" s="16">
        <f t="shared" si="583"/>
        <v>0</v>
      </c>
      <c r="L2685" s="16">
        <f t="shared" si="583"/>
        <v>0</v>
      </c>
      <c r="M2685" s="16">
        <f t="shared" si="583"/>
        <v>0</v>
      </c>
    </row>
    <row r="2686" spans="1:13" ht="15" customHeight="1" x14ac:dyDescent="0.2">
      <c r="B2686" s="10" t="s">
        <v>899</v>
      </c>
      <c r="C2686" s="10" t="s">
        <v>110</v>
      </c>
      <c r="D2686" s="16">
        <f t="shared" ref="D2686:M2686" si="584">D2682*$D$2703</f>
        <v>0</v>
      </c>
      <c r="E2686" s="16">
        <f t="shared" si="584"/>
        <v>0</v>
      </c>
      <c r="F2686" s="16">
        <f t="shared" si="584"/>
        <v>0</v>
      </c>
      <c r="G2686" s="16">
        <f t="shared" si="584"/>
        <v>2638.0048485671714</v>
      </c>
      <c r="H2686" s="16">
        <f t="shared" si="584"/>
        <v>14881.788221808281</v>
      </c>
      <c r="I2686" s="16">
        <f t="shared" si="584"/>
        <v>19842.384295744378</v>
      </c>
      <c r="J2686" s="16">
        <f t="shared" si="584"/>
        <v>14881.788221808281</v>
      </c>
      <c r="K2686" s="16">
        <f t="shared" si="584"/>
        <v>2638.0048485671714</v>
      </c>
      <c r="L2686" s="16">
        <f t="shared" si="584"/>
        <v>14881.788221808281</v>
      </c>
      <c r="M2686" s="16">
        <f t="shared" si="584"/>
        <v>19842.384295744378</v>
      </c>
    </row>
    <row r="2687" spans="1:13" ht="15" customHeight="1" x14ac:dyDescent="0.2">
      <c r="B2687" s="10" t="s">
        <v>900</v>
      </c>
      <c r="C2687" s="10" t="s">
        <v>199</v>
      </c>
      <c r="D2687" s="28">
        <f>D2681*Inputs!$D$23</f>
        <v>6.4875000000000007</v>
      </c>
      <c r="E2687" s="28">
        <f>E2681*Inputs!$D$23</f>
        <v>8.65</v>
      </c>
      <c r="F2687" s="28">
        <f>F2681*Inputs!$D$23</f>
        <v>6.4875000000000007</v>
      </c>
      <c r="G2687" s="28">
        <f>G2681*Inputs!$D$23</f>
        <v>0</v>
      </c>
      <c r="H2687" s="28">
        <f>H2681*Inputs!$D$23</f>
        <v>0</v>
      </c>
      <c r="I2687" s="28">
        <f>I2681*Inputs!$D$23</f>
        <v>0</v>
      </c>
      <c r="J2687" s="28">
        <f>J2681*Inputs!$D$23</f>
        <v>0</v>
      </c>
      <c r="K2687" s="28">
        <f>K2681*Inputs!$D$23</f>
        <v>0</v>
      </c>
      <c r="L2687" s="28">
        <f>L2681*Inputs!$D$23</f>
        <v>0</v>
      </c>
      <c r="M2687" s="28">
        <f>M2681*Inputs!$D$23</f>
        <v>0</v>
      </c>
    </row>
    <row r="2688" spans="1:13" ht="15" customHeight="1" x14ac:dyDescent="0.2">
      <c r="B2688" s="3" t="s">
        <v>901</v>
      </c>
      <c r="C2688" s="10" t="s">
        <v>896</v>
      </c>
      <c r="D2688" s="28">
        <f>(D2683*$D$2701*(Inputs!$D$7-Inputs!$D$19)-D2687)/(Inputs!$D$7+$D$2702)^D2676</f>
        <v>42.660653925152452</v>
      </c>
      <c r="E2688" s="28">
        <f>(E2683*$D$2701*(Inputs!$D$7-Inputs!$D$19)-E2687)/(Inputs!$D$7+$D$2702)^E2676</f>
        <v>158.31978659613881</v>
      </c>
      <c r="F2688" s="28">
        <f>(F2683*$D$2701*(Inputs!$D$7-Inputs!$D$19)-F2687)/(Inputs!$D$7+$D$2702)^F2676</f>
        <v>236.42483167794978</v>
      </c>
      <c r="G2688" s="28">
        <f>(G2683*$D$2701*(Inputs!$D$7-Inputs!$D$19)-G2687)/(Inputs!$D$7+$D$2702)^G2676</f>
        <v>251.13644561931974</v>
      </c>
      <c r="H2688" s="28">
        <f>(H2683*$D$2701*(Inputs!$D$7-Inputs!$D$19)-H2687)/(Inputs!$D$7+$D$2702)^H2676</f>
        <v>224.24636325224728</v>
      </c>
      <c r="I2688" s="28">
        <f>(I2683*$D$2701*(Inputs!$D$7-Inputs!$D$19)-I2687)/(Inputs!$D$7+$D$2702)^I2676</f>
        <v>200.17337986771702</v>
      </c>
      <c r="J2688" s="28">
        <f>(J2683*$D$2701*(Inputs!$D$7-Inputs!$D$19)-J2687)/(Inputs!$D$7+$D$2702)^J2676</f>
        <v>178.74009622358432</v>
      </c>
      <c r="K2688" s="28">
        <f>(K2683*$D$2701*(Inputs!$D$7-Inputs!$D$19)-K2687)/(Inputs!$D$7+$D$2702)^K2676</f>
        <v>159.60175133740944</v>
      </c>
      <c r="L2688" s="28">
        <f>(L2683*$D$2701*(Inputs!$D$7-Inputs!$D$19)-L2687)/(Inputs!$D$7+$D$2702)^L2676</f>
        <v>142.5126178633399</v>
      </c>
      <c r="M2688" s="28">
        <f>(M2683*$D$2701*(Inputs!$D$7-Inputs!$D$19)-M2687)/(Inputs!$D$7+$D$2702)^M2676</f>
        <v>127.21380172133185</v>
      </c>
    </row>
    <row r="2689" spans="2:13" ht="15" customHeight="1" x14ac:dyDescent="0.2">
      <c r="B2689" s="10" t="s">
        <v>902</v>
      </c>
      <c r="C2689" s="10" t="s">
        <v>110</v>
      </c>
      <c r="D2689" s="16">
        <f>(D2684*Inputs!$D$19-D2685-D2686)/(Inputs!$D$7+$D$2702)^D2676</f>
        <v>-13847.790632947557</v>
      </c>
      <c r="E2689" s="16">
        <f>(E2684*Inputs!$D$19-E2685-E2686)/(Inputs!$D$7+$D$2702)^E2676</f>
        <v>-15370.239105459035</v>
      </c>
      <c r="F2689" s="16">
        <f>(F2684*Inputs!$D$19-F2685-F2686)/(Inputs!$D$7+$D$2702)^F2676</f>
        <v>-8945.8041564234754</v>
      </c>
      <c r="G2689" s="16">
        <f>(G2684*Inputs!$D$19-G2685-G2686)/(Inputs!$D$7+$D$2702)^G2676</f>
        <v>863.80744262020482</v>
      </c>
      <c r="H2689" s="16">
        <f>(H2684*Inputs!$D$19-H2685-H2686)/(Inputs!$D$7+$D$2702)^H2676</f>
        <v>-6404.5339628745278</v>
      </c>
      <c r="I2689" s="16">
        <f>(I2684*Inputs!$D$19-I2685-I2686)/(Inputs!$D$7+$D$2702)^I2676</f>
        <v>-8312.2134333380691</v>
      </c>
      <c r="J2689" s="16">
        <f>(J2684*Inputs!$D$19-J2685-J2686)/(Inputs!$D$7+$D$2702)^J2676</f>
        <v>-5104.8632414329013</v>
      </c>
      <c r="K2689" s="16">
        <f>(K2684*Inputs!$D$19-K2685-K2686)/(Inputs!$D$7+$D$2702)^K2676</f>
        <v>548.96524604578394</v>
      </c>
      <c r="L2689" s="16">
        <f>(L2684*Inputs!$D$19-L2685-L2686)/(Inputs!$D$7+$D$2702)^L2676</f>
        <v>-4070.1971171644977</v>
      </c>
      <c r="M2689" s="16">
        <f>(M2684*Inputs!$D$19-M2685-M2686)/(Inputs!$D$7+$D$2702)^M2676</f>
        <v>-5282.5619084458349</v>
      </c>
    </row>
    <row r="2690" spans="2:13" ht="15" customHeight="1" x14ac:dyDescent="0.2">
      <c r="B2690" s="10" t="s">
        <v>903</v>
      </c>
      <c r="C2690" s="10" t="s">
        <v>110</v>
      </c>
      <c r="D2690" s="16">
        <f t="shared" ref="D2690:M2690" si="585">D2683*$D$2700</f>
        <v>5548.0319548902489</v>
      </c>
      <c r="E2690" s="16">
        <f t="shared" si="585"/>
        <v>21138.554183746131</v>
      </c>
      <c r="F2690" s="16">
        <f t="shared" si="585"/>
        <v>34513.052154757919</v>
      </c>
      <c r="G2690" s="16">
        <f t="shared" si="585"/>
        <v>40244.979856620121</v>
      </c>
      <c r="H2690" s="16">
        <f t="shared" si="585"/>
        <v>40244.979856620121</v>
      </c>
      <c r="I2690" s="16">
        <f t="shared" si="585"/>
        <v>40244.979856620121</v>
      </c>
      <c r="J2690" s="16">
        <f t="shared" si="585"/>
        <v>40244.979856620121</v>
      </c>
      <c r="K2690" s="16">
        <f t="shared" si="585"/>
        <v>40244.979856620121</v>
      </c>
      <c r="L2690" s="16">
        <f t="shared" si="585"/>
        <v>40244.979856620121</v>
      </c>
      <c r="M2690" s="16">
        <f t="shared" si="585"/>
        <v>40244.979856620121</v>
      </c>
    </row>
    <row r="2691" spans="2:13" ht="15" customHeight="1" x14ac:dyDescent="0.2">
      <c r="B2691" s="10" t="s">
        <v>904</v>
      </c>
      <c r="C2691" s="10" t="s">
        <v>110</v>
      </c>
      <c r="D2691" s="16">
        <f t="shared" ref="D2691:M2691" si="586">D2690*$D$2701</f>
        <v>3328.8191729341493</v>
      </c>
      <c r="E2691" s="16">
        <f t="shared" si="586"/>
        <v>12683.132510247679</v>
      </c>
      <c r="F2691" s="16">
        <f t="shared" si="586"/>
        <v>20707.831292854749</v>
      </c>
      <c r="G2691" s="16">
        <f t="shared" si="586"/>
        <v>24146.987913972072</v>
      </c>
      <c r="H2691" s="16">
        <f t="shared" si="586"/>
        <v>24146.987913972072</v>
      </c>
      <c r="I2691" s="16">
        <f t="shared" si="586"/>
        <v>24146.987913972072</v>
      </c>
      <c r="J2691" s="16">
        <f t="shared" si="586"/>
        <v>24146.987913972072</v>
      </c>
      <c r="K2691" s="16">
        <f t="shared" si="586"/>
        <v>24146.987913972072</v>
      </c>
      <c r="L2691" s="16">
        <f t="shared" si="586"/>
        <v>24146.987913972072</v>
      </c>
      <c r="M2691" s="16">
        <f t="shared" si="586"/>
        <v>24146.987913972072</v>
      </c>
    </row>
    <row r="2692" spans="2:13" ht="15" customHeight="1" x14ac:dyDescent="0.2">
      <c r="B2692" s="10" t="s">
        <v>905</v>
      </c>
      <c r="C2692" s="10" t="s">
        <v>110</v>
      </c>
      <c r="D2692" s="16">
        <f t="shared" ref="D2692:M2692" si="587">D2691-D2684</f>
        <v>1511.8418870017074</v>
      </c>
      <c r="E2692" s="16">
        <f t="shared" si="587"/>
        <v>5760.2681284979699</v>
      </c>
      <c r="F2692" s="16">
        <f t="shared" si="587"/>
        <v>9404.826489841249</v>
      </c>
      <c r="G2692" s="16">
        <f t="shared" si="587"/>
        <v>10966.780073274091</v>
      </c>
      <c r="H2692" s="16">
        <f t="shared" si="587"/>
        <v>10966.780073274091</v>
      </c>
      <c r="I2692" s="16">
        <f t="shared" si="587"/>
        <v>10966.780073274091</v>
      </c>
      <c r="J2692" s="16">
        <f t="shared" si="587"/>
        <v>10966.780073274091</v>
      </c>
      <c r="K2692" s="16">
        <f t="shared" si="587"/>
        <v>10966.780073274091</v>
      </c>
      <c r="L2692" s="16">
        <f t="shared" si="587"/>
        <v>10966.780073274091</v>
      </c>
      <c r="M2692" s="16">
        <f t="shared" si="587"/>
        <v>10966.780073274091</v>
      </c>
    </row>
    <row r="2693" spans="2:13" ht="15" customHeight="1" x14ac:dyDescent="0.2">
      <c r="B2693" s="10" t="s">
        <v>906</v>
      </c>
      <c r="C2693" s="10" t="s">
        <v>110</v>
      </c>
      <c r="D2693" s="16">
        <f>MAX(D2692,Inputs!$D$6)*Inputs!$D$19</f>
        <v>453.55256610051219</v>
      </c>
      <c r="E2693" s="16">
        <f>MAX(E2692,Inputs!$D$6)*Inputs!$D$19</f>
        <v>1728.0804385493909</v>
      </c>
      <c r="F2693" s="16">
        <f>MAX(F2692,Inputs!$D$6)*Inputs!$D$19</f>
        <v>2821.4479469523744</v>
      </c>
      <c r="G2693" s="16">
        <f>MAX(G2692,Inputs!$D$6)*Inputs!$D$19</f>
        <v>3290.0340219822269</v>
      </c>
      <c r="H2693" s="16">
        <f>MAX(H2692,Inputs!$D$6)*Inputs!$D$19</f>
        <v>3290.0340219822269</v>
      </c>
      <c r="I2693" s="16">
        <f>MAX(I2692,Inputs!$D$6)*Inputs!$D$19</f>
        <v>3290.0340219822269</v>
      </c>
      <c r="J2693" s="16">
        <f>MAX(J2692,Inputs!$D$6)*Inputs!$D$19</f>
        <v>3290.0340219822269</v>
      </c>
      <c r="K2693" s="16">
        <f>MAX(K2692,Inputs!$D$6)*Inputs!$D$19</f>
        <v>3290.0340219822269</v>
      </c>
      <c r="L2693" s="16">
        <f>MAX(L2692,Inputs!$D$6)*Inputs!$D$19</f>
        <v>3290.0340219822269</v>
      </c>
      <c r="M2693" s="16">
        <f>MAX(M2692,Inputs!$D$6)*Inputs!$D$19</f>
        <v>3290.0340219822269</v>
      </c>
    </row>
    <row r="2694" spans="2:13" ht="15" customHeight="1" x14ac:dyDescent="0.2">
      <c r="B2694" s="10" t="s">
        <v>907</v>
      </c>
      <c r="C2694" s="10" t="s">
        <v>110</v>
      </c>
      <c r="D2694" s="16">
        <f t="shared" ref="D2694:M2694" si="588">D2687*$D$2700</f>
        <v>286.5963850931098</v>
      </c>
      <c r="E2694" s="16">
        <f t="shared" si="588"/>
        <v>382.12851345747976</v>
      </c>
      <c r="F2694" s="16">
        <f t="shared" si="588"/>
        <v>286.5963850931098</v>
      </c>
      <c r="G2694" s="16">
        <f t="shared" si="588"/>
        <v>0</v>
      </c>
      <c r="H2694" s="16">
        <f t="shared" si="588"/>
        <v>0</v>
      </c>
      <c r="I2694" s="16">
        <f t="shared" si="588"/>
        <v>0</v>
      </c>
      <c r="J2694" s="16">
        <f t="shared" si="588"/>
        <v>0</v>
      </c>
      <c r="K2694" s="16">
        <f t="shared" si="588"/>
        <v>0</v>
      </c>
      <c r="L2694" s="16">
        <f t="shared" si="588"/>
        <v>0</v>
      </c>
      <c r="M2694" s="16">
        <f t="shared" si="588"/>
        <v>0</v>
      </c>
    </row>
    <row r="2695" spans="2:13" ht="15" customHeight="1" x14ac:dyDescent="0.2">
      <c r="B2695" s="10" t="s">
        <v>908</v>
      </c>
      <c r="C2695" s="10" t="s">
        <v>110</v>
      </c>
      <c r="D2695" s="16">
        <f t="shared" ref="D2695:M2695" si="589">D2691-D2693-D2685-D2686-D2694</f>
        <v>-12972.298398405626</v>
      </c>
      <c r="E2695" s="16">
        <f t="shared" si="589"/>
        <v>-10175.034601954061</v>
      </c>
      <c r="F2695" s="16">
        <f t="shared" si="589"/>
        <v>2038.8183406631101</v>
      </c>
      <c r="G2695" s="16">
        <f t="shared" si="589"/>
        <v>18218.949043422672</v>
      </c>
      <c r="H2695" s="16">
        <f t="shared" si="589"/>
        <v>5975.1656701815627</v>
      </c>
      <c r="I2695" s="16">
        <f t="shared" si="589"/>
        <v>1014.5695962454665</v>
      </c>
      <c r="J2695" s="16">
        <f t="shared" si="589"/>
        <v>5975.1656701815627</v>
      </c>
      <c r="K2695" s="16">
        <f t="shared" si="589"/>
        <v>18218.949043422672</v>
      </c>
      <c r="L2695" s="16">
        <f t="shared" si="589"/>
        <v>5975.1656701815627</v>
      </c>
      <c r="M2695" s="16">
        <f t="shared" si="589"/>
        <v>1014.5695962454665</v>
      </c>
    </row>
    <row r="2696" spans="2:13" ht="15" customHeight="1" x14ac:dyDescent="0.2">
      <c r="B2696" s="10" t="s">
        <v>909</v>
      </c>
      <c r="C2696" s="10" t="s">
        <v>110</v>
      </c>
      <c r="D2696" s="16">
        <f>D2695/(Inputs!$D$7+$D$2702)^D2676</f>
        <v>-11963.183434387731</v>
      </c>
      <c r="E2696" s="16">
        <f>E2695/(Inputs!$D$7+$D$2702)^E2676</f>
        <v>-8376.1923189980007</v>
      </c>
      <c r="F2696" s="16">
        <f>F2695/(Inputs!$D$7+$D$2702)^F2676</f>
        <v>1498.6663029441302</v>
      </c>
      <c r="G2696" s="16">
        <f>G2695/(Inputs!$D$7+$D$2702)^G2676</f>
        <v>11958.188557013944</v>
      </c>
      <c r="H2696" s="16">
        <f>H2695/(Inputs!$D$7+$D$2702)^H2676</f>
        <v>3501.9318680881611</v>
      </c>
      <c r="I2696" s="16">
        <f>I2695/(Inputs!$D$7+$D$2702)^I2676</f>
        <v>530.78726985384992</v>
      </c>
      <c r="J2696" s="16">
        <f>J2695/(Inputs!$D$7+$D$2702)^J2676</f>
        <v>2791.2855753491981</v>
      </c>
      <c r="K2696" s="16">
        <f>K2695/(Inputs!$D$7+$D$2702)^K2676</f>
        <v>7599.6450129561408</v>
      </c>
      <c r="L2696" s="16">
        <f>L2695/(Inputs!$D$7+$D$2702)^L2676</f>
        <v>2225.5410115120285</v>
      </c>
      <c r="M2696" s="16">
        <f>M2695/(Inputs!$D$7+$D$2702)^M2676</f>
        <v>337.32490577926529</v>
      </c>
    </row>
    <row r="2697" spans="2:13" ht="15" customHeight="1" x14ac:dyDescent="0.2">
      <c r="B2697" s="3" t="s">
        <v>910</v>
      </c>
      <c r="C2697" s="10" t="s">
        <v>896</v>
      </c>
      <c r="D2697" s="28">
        <f>(D2683*$D$2701-D2687)/(Inputs!$D$7+$D$2702)^D2676</f>
        <v>63.507864509879404</v>
      </c>
      <c r="E2697" s="28">
        <f>(E2683*$D$2701-E2687)/(Inputs!$D$7+$D$2702)^E2676</f>
        <v>229.22288153959471</v>
      </c>
      <c r="F2697" s="28">
        <f>(F2683*$D$2701-F2687)/(Inputs!$D$7+$D$2702)^F2676</f>
        <v>339.79350589880926</v>
      </c>
      <c r="G2697" s="28">
        <f>(G2683*$D$2701-G2687)/(Inputs!$D$7+$D$2702)^G2676</f>
        <v>358.76635088474251</v>
      </c>
      <c r="H2697" s="28">
        <f>(H2683*$D$2701-H2687)/(Inputs!$D$7+$D$2702)^H2676</f>
        <v>320.3519475032104</v>
      </c>
      <c r="I2697" s="28">
        <f>(I2683*$D$2701-I2687)/(Inputs!$D$7+$D$2702)^I2676</f>
        <v>285.96197123959575</v>
      </c>
      <c r="J2697" s="28">
        <f>(J2683*$D$2701-J2687)/(Inputs!$D$7+$D$2702)^J2676</f>
        <v>255.34299460512048</v>
      </c>
      <c r="K2697" s="28">
        <f>(K2683*$D$2701-K2687)/(Inputs!$D$7+$D$2702)^K2676</f>
        <v>228.0025019105849</v>
      </c>
      <c r="L2697" s="28">
        <f>(L2683*$D$2701-L2687)/(Inputs!$D$7+$D$2702)^L2676</f>
        <v>203.58945409048559</v>
      </c>
      <c r="M2697" s="28">
        <f>(M2683*$D$2701-M2687)/(Inputs!$D$7+$D$2702)^M2676</f>
        <v>181.73400245904551</v>
      </c>
    </row>
    <row r="2698" spans="2:13" ht="15" customHeight="1" x14ac:dyDescent="0.2">
      <c r="B2698" s="10" t="s">
        <v>911</v>
      </c>
      <c r="C2698" s="10" t="s">
        <v>110</v>
      </c>
      <c r="D2698" s="16">
        <f>(-D2685-D2686)/(Inputs!$D$7+$D$2702)^D2676</f>
        <v>-14350.481025200577</v>
      </c>
      <c r="E2698" s="16">
        <f>(-E2685-E2686)/(Inputs!$D$7+$D$2702)^E2676</f>
        <v>-17079.930887207098</v>
      </c>
      <c r="F2698" s="16">
        <f>(-F2685-F2686)/(Inputs!$D$7+$D$2702)^F2676</f>
        <v>-11438.340948315768</v>
      </c>
      <c r="G2698" s="16">
        <f>(-G2685-G2686)/(Inputs!$D$7+$D$2702)^G2676</f>
        <v>-1731.4807411941122</v>
      </c>
      <c r="H2698" s="16">
        <f>(-H2685-H2686)/(Inputs!$D$7+$D$2702)^H2676</f>
        <v>-8721.9353076959778</v>
      </c>
      <c r="I2698" s="16">
        <f>(-I2685-I2686)/(Inputs!$D$7+$D$2702)^I2676</f>
        <v>-10380.8403353543</v>
      </c>
      <c r="J2698" s="16">
        <f>(-J2685-J2686)/(Inputs!$D$7+$D$2702)^J2676</f>
        <v>-6951.9948218729187</v>
      </c>
      <c r="K2698" s="16">
        <f>(-K2685-K2686)/(Inputs!$D$7+$D$2702)^K2676</f>
        <v>-1100.3873134386547</v>
      </c>
      <c r="L2698" s="16">
        <f>(-L2685-L2686)/(Inputs!$D$7+$D$2702)^L2676</f>
        <v>-5542.947566718196</v>
      </c>
      <c r="M2698" s="16">
        <f>(-M2685-M2686)/(Inputs!$D$7+$D$2702)^M2676</f>
        <v>-6597.2117021517279</v>
      </c>
    </row>
    <row r="2699" spans="2:13" ht="15" customHeight="1" x14ac:dyDescent="0.2">
      <c r="B2699" s="10" t="s">
        <v>912</v>
      </c>
      <c r="C2699" s="10" t="s">
        <v>110</v>
      </c>
      <c r="D2699" s="16">
        <f>Prices!I8</f>
        <v>32775</v>
      </c>
    </row>
    <row r="2700" spans="2:13" ht="15" customHeight="1" x14ac:dyDescent="0.2">
      <c r="B2700" s="3" t="s">
        <v>913</v>
      </c>
      <c r="C2700" s="10" t="s">
        <v>914</v>
      </c>
      <c r="D2700" s="28">
        <f>IF(J2707&gt;=J2703,J2707,(D2699-J2706)/J2705)</f>
        <v>44.176706758090141</v>
      </c>
      <c r="G2700" s="99" t="s">
        <v>915</v>
      </c>
      <c r="H2700" s="91"/>
      <c r="I2700" s="91"/>
      <c r="J2700" s="28">
        <f>D2700*Inputs!$D$15</f>
        <v>30.830923646471106</v>
      </c>
      <c r="K2700" s="99" t="s">
        <v>916</v>
      </c>
      <c r="L2700" s="91"/>
      <c r="M2700" s="91"/>
    </row>
    <row r="2701" spans="2:13" ht="15" customHeight="1" x14ac:dyDescent="0.2">
      <c r="B2701" s="10" t="s">
        <v>917</v>
      </c>
      <c r="C2701" s="10" t="s">
        <v>104</v>
      </c>
      <c r="D2701" s="30">
        <f>Inputs!$D$142</f>
        <v>0.6</v>
      </c>
      <c r="G2701" s="99" t="s">
        <v>918</v>
      </c>
      <c r="H2701" s="91"/>
      <c r="I2701" s="91"/>
      <c r="J2701" s="28">
        <f>IF(-D2712/D2711&gt;=J2703,-D2712/D2711,-J2706/J2705)</f>
        <v>33.575423983231723</v>
      </c>
      <c r="K2701" s="99" t="s">
        <v>919</v>
      </c>
      <c r="L2701" s="91"/>
      <c r="M2701" s="91"/>
    </row>
    <row r="2702" spans="2:13" ht="15" customHeight="1" x14ac:dyDescent="0.2">
      <c r="B2702" s="10" t="s">
        <v>920</v>
      </c>
      <c r="C2702" s="10" t="s">
        <v>104</v>
      </c>
      <c r="D2702" s="30">
        <f>Inputs!$D$148</f>
        <v>0.12</v>
      </c>
      <c r="G2702" s="99" t="s">
        <v>918</v>
      </c>
      <c r="H2702" s="91"/>
      <c r="I2702" s="91"/>
      <c r="J2702" s="28">
        <f>J2701*Inputs!$D$15</f>
        <v>23.43228839789742</v>
      </c>
      <c r="K2702" s="99" t="s">
        <v>916</v>
      </c>
      <c r="L2702" s="91"/>
      <c r="M2702" s="91"/>
    </row>
    <row r="2703" spans="2:13" ht="15" customHeight="1" x14ac:dyDescent="0.2">
      <c r="B2703" s="3" t="s">
        <v>921</v>
      </c>
      <c r="C2703" s="10" t="s">
        <v>848</v>
      </c>
      <c r="D2703" s="28">
        <f>Capital!$D$13</f>
        <v>57.347931490590682</v>
      </c>
      <c r="G2703" s="99" t="s">
        <v>922</v>
      </c>
      <c r="H2703" s="91"/>
      <c r="I2703" s="91"/>
      <c r="J2703" s="28">
        <f>($D$2703/Inputs!$D$21+$D$2704/Inputs!$D$22)/$D$2701</f>
        <v>24.113076913095469</v>
      </c>
      <c r="K2703" s="99" t="s">
        <v>919</v>
      </c>
      <c r="L2703" s="91"/>
      <c r="M2703" s="91"/>
    </row>
    <row r="2704" spans="2:13" ht="15" customHeight="1" x14ac:dyDescent="0.2">
      <c r="B2704" s="3" t="s">
        <v>923</v>
      </c>
      <c r="C2704" s="10" t="s">
        <v>848</v>
      </c>
      <c r="D2704" s="28">
        <f>Capital!$D$14</f>
        <v>2.6172655041921802</v>
      </c>
    </row>
    <row r="2705" spans="1:13" ht="15" customHeight="1" x14ac:dyDescent="0.2">
      <c r="B2705" s="10" t="s">
        <v>924</v>
      </c>
      <c r="C2705" s="10" t="s">
        <v>896</v>
      </c>
      <c r="D2705" s="28">
        <f>(M2678*(Inputs!$D$7+Inputs!$D$20)*$D$2701*(Inputs!$D$7-Inputs!$D$19)-M2678*Inputs!$D$20*Inputs!$D$23)/($D$2702-Inputs!$D$20)/(Inputs!$D$7+$D$2702)^M2676</f>
        <v>1370.577268545301</v>
      </c>
      <c r="G2705" s="92" t="s">
        <v>910</v>
      </c>
      <c r="H2705" s="91"/>
      <c r="I2705" s="91"/>
      <c r="J2705" s="28">
        <f>SUM(D2697:M2697)+(M2678*(Inputs!$D$7+Inputs!$D$20)*$D$2701-M2678*Inputs!$D$20*Inputs!$D$23)/($D$2702-Inputs!$D$20)/(Inputs!$D$7+$D$2702)^M2676</f>
        <v>4425.0950143038062</v>
      </c>
      <c r="K2705" s="99" t="s">
        <v>896</v>
      </c>
      <c r="L2705" s="91"/>
      <c r="M2705" s="91"/>
    </row>
    <row r="2706" spans="1:13" ht="15" customHeight="1" x14ac:dyDescent="0.2">
      <c r="B2706" s="10" t="s">
        <v>925</v>
      </c>
      <c r="C2706" s="10" t="s">
        <v>110</v>
      </c>
      <c r="D2706" s="16">
        <f>(D2709*Inputs!$D$19-D2709-D2710)/($D$2702-Inputs!$D$20)/(Inputs!$D$7+$D$2702)^M2676</f>
        <v>-37876.58483194092</v>
      </c>
      <c r="G2706" s="92" t="s">
        <v>926</v>
      </c>
      <c r="H2706" s="91"/>
      <c r="I2706" s="91"/>
      <c r="J2706" s="16">
        <f>SUM(D2698:M2698)-(D2709+D2710)/($D$2702-Inputs!$D$20)/(Inputs!$D$7+$D$2702)^M2676</f>
        <v>-135956.51483423277</v>
      </c>
      <c r="K2706" s="99" t="s">
        <v>110</v>
      </c>
      <c r="L2706" s="91"/>
      <c r="M2706" s="91"/>
    </row>
    <row r="2707" spans="1:13" ht="15" customHeight="1" x14ac:dyDescent="0.2">
      <c r="B2707" s="10" t="s">
        <v>927</v>
      </c>
      <c r="C2707" s="10" t="s">
        <v>928</v>
      </c>
      <c r="D2707" s="16">
        <f>(M2678*(Inputs!$D$7+Inputs!$D$20)*$D$2700*$D$2701-D2709)-MAX((M2678*(Inputs!$D$7+Inputs!$D$20)*$D$2700*$D$2701-D2709),Inputs!$D$6)*Inputs!$D$19-D2710-M2678*Inputs!$D$20*$D$2700*Inputs!$D$23</f>
        <v>6477.8042286075924</v>
      </c>
      <c r="G2707" s="99" t="s">
        <v>929</v>
      </c>
      <c r="H2707" s="91"/>
      <c r="I2707" s="91"/>
      <c r="J2707" s="28">
        <f>(D2699-D2712)/D2711</f>
        <v>44.176706758090141</v>
      </c>
      <c r="K2707" s="99" t="s">
        <v>919</v>
      </c>
      <c r="L2707" s="91"/>
      <c r="M2707" s="91"/>
    </row>
    <row r="2708" spans="1:13" ht="15" customHeight="1" x14ac:dyDescent="0.2">
      <c r="B2708" s="10" t="s">
        <v>930</v>
      </c>
      <c r="C2708" s="10" t="s">
        <v>110</v>
      </c>
      <c r="D2708" s="16">
        <f>D2707/($D$2702-Inputs!$D$20)</f>
        <v>68187.412932711493</v>
      </c>
      <c r="G2708" s="99" t="s">
        <v>931</v>
      </c>
      <c r="H2708" s="91"/>
      <c r="I2708" s="91"/>
      <c r="J2708" s="16">
        <f>MIN(D2692:M2692,(M2678*(Inputs!$D$7+Inputs!$D$20)*$D$2700*$D$2701-D2709))</f>
        <v>1511.8418870017074</v>
      </c>
      <c r="K2708" s="99" t="s">
        <v>110</v>
      </c>
      <c r="L2708" s="91"/>
      <c r="M2708" s="91"/>
    </row>
    <row r="2709" spans="1:13" ht="15" customHeight="1" x14ac:dyDescent="0.2">
      <c r="B2709" s="10" t="s">
        <v>932</v>
      </c>
      <c r="C2709" s="10" t="s">
        <v>928</v>
      </c>
      <c r="D2709" s="16">
        <f>M2678*(Inputs!$D$7+Inputs!$D$20)*($D$2703/Inputs!$D$21+$D$2704/Inputs!$D$22)</f>
        <v>13509.71303671543</v>
      </c>
      <c r="G2709" s="99" t="s">
        <v>933</v>
      </c>
      <c r="H2709" s="91"/>
      <c r="I2709" s="91"/>
      <c r="J2709" s="31" t="str">
        <f>IF(J2708&lt;Inputs!$D$6,"breached","satisfied")</f>
        <v>satisfied</v>
      </c>
      <c r="K2709" s="99" t="s">
        <v>934</v>
      </c>
      <c r="L2709" s="91"/>
      <c r="M2709" s="91"/>
    </row>
    <row r="2710" spans="1:13" ht="15" customHeight="1" x14ac:dyDescent="0.2">
      <c r="B2710" s="10" t="s">
        <v>935</v>
      </c>
      <c r="C2710" s="10" t="s">
        <v>928</v>
      </c>
      <c r="D2710" s="16">
        <f>M2678*Inputs!$D$20*($D$2703+$D$2704)</f>
        <v>1365.7073615561799</v>
      </c>
    </row>
    <row r="2711" spans="1:13" ht="15" customHeight="1" x14ac:dyDescent="0.2">
      <c r="B2711" s="10" t="s">
        <v>936</v>
      </c>
      <c r="C2711" s="10" t="s">
        <v>896</v>
      </c>
      <c r="D2711" s="28">
        <f>SUM(D2688:M2688)+D2705</f>
        <v>3091.6069966294917</v>
      </c>
      <c r="G2711" s="99" t="s">
        <v>937</v>
      </c>
      <c r="H2711" s="91"/>
      <c r="I2711" s="91"/>
      <c r="J2711" s="16">
        <f>D2713-D2699</f>
        <v>0</v>
      </c>
      <c r="K2711" s="99" t="s">
        <v>110</v>
      </c>
      <c r="L2711" s="91"/>
      <c r="M2711" s="91"/>
    </row>
    <row r="2712" spans="1:13" ht="15" customHeight="1" x14ac:dyDescent="0.2">
      <c r="B2712" s="10" t="s">
        <v>938</v>
      </c>
      <c r="C2712" s="10" t="s">
        <v>110</v>
      </c>
      <c r="D2712" s="16">
        <f>SUM(D2689:M2689)+D2706</f>
        <v>-103802.01570136083</v>
      </c>
    </row>
    <row r="2713" spans="1:13" ht="15" customHeight="1" x14ac:dyDescent="0.2">
      <c r="B2713" s="10" t="s">
        <v>939</v>
      </c>
      <c r="C2713" s="10" t="s">
        <v>110</v>
      </c>
      <c r="D2713" s="16">
        <f>SUM(D2696:M2696)+D2708/(Inputs!$D$7+$D$2702)^M2676</f>
        <v>32775.000000000015</v>
      </c>
    </row>
    <row r="2714" spans="1:13" ht="15" customHeight="1" x14ac:dyDescent="0.2">
      <c r="B2714" s="10" t="s">
        <v>940</v>
      </c>
      <c r="C2714" s="10" t="s">
        <v>104</v>
      </c>
      <c r="D2714" s="30">
        <f>IF(ABS(D2699)&gt;Inputs!$D$6,D2713/D2699-Inputs!$D$7,Inputs!$D$6)</f>
        <v>4.4408920985006262E-16</v>
      </c>
    </row>
    <row r="2715" spans="1:13" ht="15" customHeight="1" x14ac:dyDescent="0.2">
      <c r="B2715" s="10" t="s">
        <v>941</v>
      </c>
      <c r="C2715" s="10" t="s">
        <v>104</v>
      </c>
      <c r="D2715" s="30">
        <f>IF(ABS(D2713)&gt;Inputs!$D$119,D2708/(Inputs!$D$7+$D$2702)^M2676/D2713,Inputs!$D$6)</f>
        <v>0.6917164073192682</v>
      </c>
    </row>
    <row r="2716" spans="1:13" ht="15" customHeight="1" x14ac:dyDescent="0.2">
      <c r="B2716" s="10" t="s">
        <v>942</v>
      </c>
      <c r="C2716" s="10" t="s">
        <v>943</v>
      </c>
      <c r="D2716" s="26">
        <f>$D$2700*Inputs!$D$8/Prices!$P$6/(Inputs!$D$26/Inputs!$D$25)/Inputs!$D$11/Inputs!$D$56</f>
        <v>8.0336683116921446</v>
      </c>
    </row>
    <row r="2720" spans="1:13" ht="15" customHeight="1" x14ac:dyDescent="0.2">
      <c r="A2720" s="104" t="s">
        <v>2224</v>
      </c>
      <c r="B2720" s="10" t="s">
        <v>886</v>
      </c>
      <c r="C2720" s="10" t="s">
        <v>107</v>
      </c>
      <c r="D2720" s="28">
        <f>Inputs!$D$60</f>
        <v>1</v>
      </c>
      <c r="E2720" s="28">
        <f>Inputs!$D$62</f>
        <v>2</v>
      </c>
      <c r="F2720" s="28">
        <f>Inputs!$D$64</f>
        <v>3</v>
      </c>
      <c r="G2720" s="28">
        <f>Inputs!$D$66</f>
        <v>4</v>
      </c>
      <c r="H2720" s="28">
        <f>Inputs!$D$68</f>
        <v>5</v>
      </c>
      <c r="I2720" s="28">
        <f>Inputs!$D$70</f>
        <v>6</v>
      </c>
      <c r="J2720" s="28">
        <f>Inputs!$D$72</f>
        <v>7</v>
      </c>
      <c r="K2720" s="28">
        <f>Inputs!$D$74</f>
        <v>8</v>
      </c>
      <c r="L2720" s="28">
        <f>Inputs!$D$76</f>
        <v>9</v>
      </c>
      <c r="M2720" s="28">
        <f>Inputs!$D$78</f>
        <v>10</v>
      </c>
    </row>
    <row r="2721" spans="1:13" ht="15" customHeight="1" x14ac:dyDescent="0.2">
      <c r="A2721" s="91"/>
      <c r="B2721" s="10" t="s">
        <v>887</v>
      </c>
      <c r="C2721" s="10" t="s">
        <v>161</v>
      </c>
      <c r="D2721" s="29">
        <f>Inputs!$D$61</f>
        <v>46568</v>
      </c>
      <c r="E2721" s="29">
        <f>Inputs!$D$63</f>
        <v>46934</v>
      </c>
      <c r="F2721" s="29">
        <f>Inputs!$D$65</f>
        <v>47299</v>
      </c>
      <c r="G2721" s="29">
        <f>Inputs!$D$67</f>
        <v>47664</v>
      </c>
      <c r="H2721" s="29">
        <f>Inputs!$D$69</f>
        <v>48029</v>
      </c>
      <c r="I2721" s="29">
        <f>Inputs!$D$71</f>
        <v>48395</v>
      </c>
      <c r="J2721" s="29">
        <f>Inputs!$D$73</f>
        <v>48760</v>
      </c>
      <c r="K2721" s="29">
        <f>Inputs!$D$75</f>
        <v>49125</v>
      </c>
      <c r="L2721" s="29">
        <f>Inputs!$D$77</f>
        <v>49490</v>
      </c>
      <c r="M2721" s="29">
        <f>Inputs!$D$79</f>
        <v>49856</v>
      </c>
    </row>
    <row r="2722" spans="1:13" ht="15" customHeight="1" x14ac:dyDescent="0.2">
      <c r="A2722" s="91"/>
      <c r="B2722" s="10" t="s">
        <v>888</v>
      </c>
      <c r="C2722" s="10" t="s">
        <v>107</v>
      </c>
      <c r="D2722" s="28">
        <f>(D2721-Inputs!$D$13)/Inputs!$D$10</f>
        <v>0.71457905544147848</v>
      </c>
      <c r="E2722" s="28">
        <f>(E2721-Inputs!$D$13)/Inputs!$D$10</f>
        <v>1.7166324435318274</v>
      </c>
      <c r="F2722" s="28">
        <f>(F2721-Inputs!$D$13)/Inputs!$D$10</f>
        <v>2.7159479808350446</v>
      </c>
      <c r="G2722" s="28">
        <f>(G2721-Inputs!$D$13)/Inputs!$D$10</f>
        <v>3.7152635181382614</v>
      </c>
      <c r="H2722" s="28">
        <f>(H2721-Inputs!$D$13)/Inputs!$D$10</f>
        <v>4.7145790554414786</v>
      </c>
      <c r="I2722" s="28">
        <f>(I2721-Inputs!$D$13)/Inputs!$D$10</f>
        <v>5.7166324435318279</v>
      </c>
      <c r="J2722" s="28">
        <f>(J2721-Inputs!$D$13)/Inputs!$D$10</f>
        <v>6.7159479808350442</v>
      </c>
      <c r="K2722" s="28">
        <f>(K2721-Inputs!$D$13)/Inputs!$D$10</f>
        <v>7.7152635181382614</v>
      </c>
      <c r="L2722" s="28">
        <f>(L2721-Inputs!$D$13)/Inputs!$D$10</f>
        <v>8.7145790554414777</v>
      </c>
      <c r="M2722" s="28">
        <f>(M2721-Inputs!$D$13)/Inputs!$D$10</f>
        <v>9.716632443531827</v>
      </c>
    </row>
    <row r="2723" spans="1:13" ht="15" customHeight="1" x14ac:dyDescent="0.2">
      <c r="A2723" s="91"/>
      <c r="B2723" s="10" t="s">
        <v>889</v>
      </c>
      <c r="C2723" s="10" t="s">
        <v>107</v>
      </c>
      <c r="D2723" s="28">
        <f>D2722</f>
        <v>0.71457905544147848</v>
      </c>
      <c r="E2723" s="28">
        <f>Inputs!$D$7</f>
        <v>1</v>
      </c>
      <c r="F2723" s="28">
        <f>Inputs!$D$7</f>
        <v>1</v>
      </c>
      <c r="G2723" s="28">
        <f>Inputs!$D$7</f>
        <v>1</v>
      </c>
      <c r="H2723" s="28">
        <f>Inputs!$D$7</f>
        <v>1</v>
      </c>
      <c r="I2723" s="28">
        <f>Inputs!$D$7</f>
        <v>1</v>
      </c>
      <c r="J2723" s="28">
        <f>Inputs!$D$7</f>
        <v>1</v>
      </c>
      <c r="K2723" s="28">
        <f>Inputs!$D$7</f>
        <v>1</v>
      </c>
      <c r="L2723" s="28">
        <f>Inputs!$D$7</f>
        <v>1</v>
      </c>
      <c r="M2723" s="28">
        <f>Inputs!$D$7</f>
        <v>1</v>
      </c>
    </row>
    <row r="2724" spans="1:13" ht="15" customHeight="1" x14ac:dyDescent="0.2">
      <c r="A2724" s="91"/>
      <c r="B2724" s="3" t="s">
        <v>890</v>
      </c>
      <c r="C2724" s="10" t="s">
        <v>199</v>
      </c>
      <c r="D2724" s="28">
        <f>Inputs!$D$24+(Inputs!$D$80-Inputs!$D$24)*Inputs!$D$83</f>
        <v>305.5</v>
      </c>
      <c r="E2724" s="28">
        <f>Inputs!$D$24+(Inputs!$D$80-Inputs!$D$24)*Inputs!$D$84</f>
        <v>651.5</v>
      </c>
      <c r="F2724" s="28">
        <f>Inputs!$D$24+(Inputs!$D$80-Inputs!$D$24)*Inputs!$D$85</f>
        <v>911</v>
      </c>
      <c r="G2724" s="28">
        <f>Inputs!$D$24+(Inputs!$D$80-Inputs!$D$24)*Inputs!$D$86</f>
        <v>911</v>
      </c>
      <c r="H2724" s="28">
        <f>Inputs!$D$24+(Inputs!$D$80-Inputs!$D$24)*Inputs!$D$87</f>
        <v>911</v>
      </c>
      <c r="I2724" s="28">
        <f>Inputs!$D$24+(Inputs!$D$80-Inputs!$D$24)*Inputs!$D$88</f>
        <v>911</v>
      </c>
      <c r="J2724" s="28">
        <f>Inputs!$D$24+(Inputs!$D$80-Inputs!$D$24)*Inputs!$D$89</f>
        <v>911</v>
      </c>
      <c r="K2724" s="28">
        <f>Inputs!$D$24+(Inputs!$D$80-Inputs!$D$24)*Inputs!$D$90</f>
        <v>911</v>
      </c>
      <c r="L2724" s="28">
        <f>Inputs!$D$24+(Inputs!$D$80-Inputs!$D$24)*Inputs!$D$91</f>
        <v>911</v>
      </c>
      <c r="M2724" s="28">
        <f>Inputs!$D$24+(Inputs!$D$80-Inputs!$D$24)*Inputs!$D$92</f>
        <v>911</v>
      </c>
    </row>
    <row r="2725" spans="1:13" ht="15" customHeight="1" x14ac:dyDescent="0.2">
      <c r="A2725" s="91"/>
      <c r="B2725" s="10" t="s">
        <v>891</v>
      </c>
      <c r="C2725" s="10" t="s">
        <v>199</v>
      </c>
      <c r="D2725" s="28">
        <f>Inputs!$D$24</f>
        <v>46</v>
      </c>
      <c r="E2725" s="28">
        <f t="shared" ref="E2725:M2725" si="590">D2724</f>
        <v>305.5</v>
      </c>
      <c r="F2725" s="28">
        <f t="shared" si="590"/>
        <v>651.5</v>
      </c>
      <c r="G2725" s="28">
        <f t="shared" si="590"/>
        <v>911</v>
      </c>
      <c r="H2725" s="28">
        <f t="shared" si="590"/>
        <v>911</v>
      </c>
      <c r="I2725" s="28">
        <f t="shared" si="590"/>
        <v>911</v>
      </c>
      <c r="J2725" s="28">
        <f t="shared" si="590"/>
        <v>911</v>
      </c>
      <c r="K2725" s="28">
        <f t="shared" si="590"/>
        <v>911</v>
      </c>
      <c r="L2725" s="28">
        <f t="shared" si="590"/>
        <v>911</v>
      </c>
      <c r="M2725" s="28">
        <f t="shared" si="590"/>
        <v>911</v>
      </c>
    </row>
    <row r="2726" spans="1:13" ht="15" customHeight="1" x14ac:dyDescent="0.2">
      <c r="B2726" s="10" t="s">
        <v>892</v>
      </c>
      <c r="C2726" s="10" t="s">
        <v>199</v>
      </c>
      <c r="D2726" s="28">
        <f>(D2725+D2724)*Inputs!$D$12</f>
        <v>175.75</v>
      </c>
      <c r="E2726" s="28">
        <f>(E2725+E2724)*Inputs!$D$12</f>
        <v>478.5</v>
      </c>
      <c r="F2726" s="28">
        <f>(F2725+F2724)*Inputs!$D$12</f>
        <v>781.25</v>
      </c>
      <c r="G2726" s="28">
        <f>(G2725+G2724)*Inputs!$D$12</f>
        <v>911</v>
      </c>
      <c r="H2726" s="28">
        <f>(H2725+H2724)*Inputs!$D$12</f>
        <v>911</v>
      </c>
      <c r="I2726" s="28">
        <f>(I2725+I2724)*Inputs!$D$12</f>
        <v>911</v>
      </c>
      <c r="J2726" s="28">
        <f>(J2725+J2724)*Inputs!$D$12</f>
        <v>911</v>
      </c>
      <c r="K2726" s="28">
        <f>(K2725+K2724)*Inputs!$D$12</f>
        <v>911</v>
      </c>
      <c r="L2726" s="28">
        <f>(L2725+L2724)*Inputs!$D$12</f>
        <v>911</v>
      </c>
      <c r="M2726" s="28">
        <f>(M2725+M2724)*Inputs!$D$12</f>
        <v>911</v>
      </c>
    </row>
    <row r="2727" spans="1:13" ht="15" customHeight="1" x14ac:dyDescent="0.2">
      <c r="B2727" s="10" t="s">
        <v>893</v>
      </c>
      <c r="C2727" s="10" t="s">
        <v>199</v>
      </c>
      <c r="D2727" s="28">
        <f t="shared" ref="D2727:M2727" si="591">D2724-D2725</f>
        <v>259.5</v>
      </c>
      <c r="E2727" s="28">
        <f t="shared" si="591"/>
        <v>346</v>
      </c>
      <c r="F2727" s="28">
        <f t="shared" si="591"/>
        <v>259.5</v>
      </c>
      <c r="G2727" s="28">
        <f t="shared" si="591"/>
        <v>0</v>
      </c>
      <c r="H2727" s="28">
        <f t="shared" si="591"/>
        <v>0</v>
      </c>
      <c r="I2727" s="28">
        <f t="shared" si="591"/>
        <v>0</v>
      </c>
      <c r="J2727" s="28">
        <f t="shared" si="591"/>
        <v>0</v>
      </c>
      <c r="K2727" s="28">
        <f t="shared" si="591"/>
        <v>0</v>
      </c>
      <c r="L2727" s="28">
        <f t="shared" si="591"/>
        <v>0</v>
      </c>
      <c r="M2727" s="28">
        <f t="shared" si="591"/>
        <v>0</v>
      </c>
    </row>
    <row r="2728" spans="1:13" ht="15" customHeight="1" x14ac:dyDescent="0.2">
      <c r="B2728" s="10" t="s">
        <v>894</v>
      </c>
      <c r="C2728" s="10" t="s">
        <v>199</v>
      </c>
      <c r="D2728" s="28">
        <f>IF(MOD(D2720,Inputs!$D$21)=Inputs!$D$6,Inputs!$D$24,Inputs!$D$6)+SUMPRODUCT(--(D2720&gt;$D$2720:$M$2720),--(MOD(D2720-$D$2720:$M$2720,Inputs!$D$21)=Inputs!$D$6),$D$2727:$M$2727)</f>
        <v>0</v>
      </c>
      <c r="E2728" s="28">
        <f>IF(MOD(E2720,Inputs!$D$21)=Inputs!$D$6,Inputs!$D$24,Inputs!$D$6)+SUMPRODUCT(--(E2720&gt;$D$2720:$M$2720),--(MOD(E2720-$D$2720:$M$2720,Inputs!$D$21)=Inputs!$D$6),$D$2727:$M$2727)</f>
        <v>0</v>
      </c>
      <c r="F2728" s="28">
        <f>IF(MOD(F2720,Inputs!$D$21)=Inputs!$D$6,Inputs!$D$24,Inputs!$D$6)+SUMPRODUCT(--(F2720&gt;$D$2720:$M$2720),--(MOD(F2720-$D$2720:$M$2720,Inputs!$D$21)=Inputs!$D$6),$D$2727:$M$2727)</f>
        <v>0</v>
      </c>
      <c r="G2728" s="28">
        <f>IF(MOD(G2720,Inputs!$D$21)=Inputs!$D$6,Inputs!$D$24,Inputs!$D$6)+SUMPRODUCT(--(G2720&gt;$D$2720:$M$2720),--(MOD(G2720-$D$2720:$M$2720,Inputs!$D$21)=Inputs!$D$6),$D$2727:$M$2727)</f>
        <v>46</v>
      </c>
      <c r="H2728" s="28">
        <f>IF(MOD(H2720,Inputs!$D$21)=Inputs!$D$6,Inputs!$D$24,Inputs!$D$6)+SUMPRODUCT(--(H2720&gt;$D$2720:$M$2720),--(MOD(H2720-$D$2720:$M$2720,Inputs!$D$21)=Inputs!$D$6),$D$2727:$M$2727)</f>
        <v>259.5</v>
      </c>
      <c r="I2728" s="28">
        <f>IF(MOD(I2720,Inputs!$D$21)=Inputs!$D$6,Inputs!$D$24,Inputs!$D$6)+SUMPRODUCT(--(I2720&gt;$D$2720:$M$2720),--(MOD(I2720-$D$2720:$M$2720,Inputs!$D$21)=Inputs!$D$6),$D$2727:$M$2727)</f>
        <v>346</v>
      </c>
      <c r="J2728" s="28">
        <f>IF(MOD(J2720,Inputs!$D$21)=Inputs!$D$6,Inputs!$D$24,Inputs!$D$6)+SUMPRODUCT(--(J2720&gt;$D$2720:$M$2720),--(MOD(J2720-$D$2720:$M$2720,Inputs!$D$21)=Inputs!$D$6),$D$2727:$M$2727)</f>
        <v>259.5</v>
      </c>
      <c r="K2728" s="28">
        <f>IF(MOD(K2720,Inputs!$D$21)=Inputs!$D$6,Inputs!$D$24,Inputs!$D$6)+SUMPRODUCT(--(K2720&gt;$D$2720:$M$2720),--(MOD(K2720-$D$2720:$M$2720,Inputs!$D$21)=Inputs!$D$6),$D$2727:$M$2727)</f>
        <v>46</v>
      </c>
      <c r="L2728" s="28">
        <f>IF(MOD(L2720,Inputs!$D$21)=Inputs!$D$6,Inputs!$D$24,Inputs!$D$6)+SUMPRODUCT(--(L2720&gt;$D$2720:$M$2720),--(MOD(L2720-$D$2720:$M$2720,Inputs!$D$21)=Inputs!$D$6),$D$2727:$M$2727)</f>
        <v>259.5</v>
      </c>
      <c r="M2728" s="28">
        <f>IF(MOD(M2720,Inputs!$D$21)=Inputs!$D$6,Inputs!$D$24,Inputs!$D$6)+SUMPRODUCT(--(M2720&gt;$D$2720:$M$2720),--(MOD(M2720-$D$2720:$M$2720,Inputs!$D$21)=Inputs!$D$6),$D$2727:$M$2727)</f>
        <v>346</v>
      </c>
    </row>
    <row r="2729" spans="1:13" ht="15" customHeight="1" x14ac:dyDescent="0.2">
      <c r="B2729" s="10" t="s">
        <v>895</v>
      </c>
      <c r="C2729" s="10" t="s">
        <v>896</v>
      </c>
      <c r="D2729" s="28">
        <f t="shared" ref="D2729:M2729" si="592">D2726*D2723</f>
        <v>125.58726899383984</v>
      </c>
      <c r="E2729" s="28">
        <f t="shared" si="592"/>
        <v>478.5</v>
      </c>
      <c r="F2729" s="28">
        <f t="shared" si="592"/>
        <v>781.25</v>
      </c>
      <c r="G2729" s="28">
        <f t="shared" si="592"/>
        <v>911</v>
      </c>
      <c r="H2729" s="28">
        <f t="shared" si="592"/>
        <v>911</v>
      </c>
      <c r="I2729" s="28">
        <f t="shared" si="592"/>
        <v>911</v>
      </c>
      <c r="J2729" s="28">
        <f t="shared" si="592"/>
        <v>911</v>
      </c>
      <c r="K2729" s="28">
        <f t="shared" si="592"/>
        <v>911</v>
      </c>
      <c r="L2729" s="28">
        <f t="shared" si="592"/>
        <v>911</v>
      </c>
      <c r="M2729" s="28">
        <f t="shared" si="592"/>
        <v>911</v>
      </c>
    </row>
    <row r="2730" spans="1:13" ht="15" customHeight="1" x14ac:dyDescent="0.2">
      <c r="B2730" s="10" t="s">
        <v>897</v>
      </c>
      <c r="C2730" s="10" t="s">
        <v>110</v>
      </c>
      <c r="D2730" s="16">
        <f>D2729*($D$2749/Inputs!$D$21+$D$2750/Inputs!$D$22)</f>
        <v>1816.9772859324419</v>
      </c>
      <c r="E2730" s="16">
        <f>E2729*($D$2749/Inputs!$D$21+$D$2750/Inputs!$D$22)</f>
        <v>6922.8643817497086</v>
      </c>
      <c r="F2730" s="16">
        <f>F2729*($D$2749/Inputs!$D$21+$D$2750/Inputs!$D$22)</f>
        <v>11303.0048030135</v>
      </c>
      <c r="G2730" s="16">
        <f>G2729*($D$2749/Inputs!$D$21+$D$2750/Inputs!$D$22)</f>
        <v>13180.207840697982</v>
      </c>
      <c r="H2730" s="16">
        <f>H2729*($D$2749/Inputs!$D$21+$D$2750/Inputs!$D$22)</f>
        <v>13180.207840697982</v>
      </c>
      <c r="I2730" s="16">
        <f>I2729*($D$2749/Inputs!$D$21+$D$2750/Inputs!$D$22)</f>
        <v>13180.207840697982</v>
      </c>
      <c r="J2730" s="16">
        <f>J2729*($D$2749/Inputs!$D$21+$D$2750/Inputs!$D$22)</f>
        <v>13180.207840697982</v>
      </c>
      <c r="K2730" s="16">
        <f>K2729*($D$2749/Inputs!$D$21+$D$2750/Inputs!$D$22)</f>
        <v>13180.207840697982</v>
      </c>
      <c r="L2730" s="16">
        <f>L2729*($D$2749/Inputs!$D$21+$D$2750/Inputs!$D$22)</f>
        <v>13180.207840697982</v>
      </c>
      <c r="M2730" s="16">
        <f>M2729*($D$2749/Inputs!$D$21+$D$2750/Inputs!$D$22)</f>
        <v>13180.207840697982</v>
      </c>
    </row>
    <row r="2731" spans="1:13" ht="15" customHeight="1" x14ac:dyDescent="0.2">
      <c r="B2731" s="10" t="s">
        <v>898</v>
      </c>
      <c r="C2731" s="10" t="s">
        <v>110</v>
      </c>
      <c r="D2731" s="16">
        <f t="shared" ref="D2731:M2731" si="593">D2727*($D$2749+$D$2750)</f>
        <v>15560.968620146154</v>
      </c>
      <c r="E2731" s="16">
        <f t="shared" si="593"/>
        <v>20747.95816019487</v>
      </c>
      <c r="F2731" s="16">
        <f t="shared" si="593"/>
        <v>15560.968620146154</v>
      </c>
      <c r="G2731" s="16">
        <f t="shared" si="593"/>
        <v>0</v>
      </c>
      <c r="H2731" s="16">
        <f t="shared" si="593"/>
        <v>0</v>
      </c>
      <c r="I2731" s="16">
        <f t="shared" si="593"/>
        <v>0</v>
      </c>
      <c r="J2731" s="16">
        <f t="shared" si="593"/>
        <v>0</v>
      </c>
      <c r="K2731" s="16">
        <f t="shared" si="593"/>
        <v>0</v>
      </c>
      <c r="L2731" s="16">
        <f t="shared" si="593"/>
        <v>0</v>
      </c>
      <c r="M2731" s="16">
        <f t="shared" si="593"/>
        <v>0</v>
      </c>
    </row>
    <row r="2732" spans="1:13" ht="15" customHeight="1" x14ac:dyDescent="0.2">
      <c r="B2732" s="10" t="s">
        <v>899</v>
      </c>
      <c r="C2732" s="10" t="s">
        <v>110</v>
      </c>
      <c r="D2732" s="16">
        <f t="shared" ref="D2732:M2732" si="594">D2728*$D$2749</f>
        <v>0</v>
      </c>
      <c r="E2732" s="16">
        <f t="shared" si="594"/>
        <v>0</v>
      </c>
      <c r="F2732" s="16">
        <f t="shared" si="594"/>
        <v>0</v>
      </c>
      <c r="G2732" s="16">
        <f t="shared" si="594"/>
        <v>2638.0048485671714</v>
      </c>
      <c r="H2732" s="16">
        <f t="shared" si="594"/>
        <v>14881.788221808281</v>
      </c>
      <c r="I2732" s="16">
        <f t="shared" si="594"/>
        <v>19842.384295744378</v>
      </c>
      <c r="J2732" s="16">
        <f t="shared" si="594"/>
        <v>14881.788221808281</v>
      </c>
      <c r="K2732" s="16">
        <f t="shared" si="594"/>
        <v>2638.0048485671714</v>
      </c>
      <c r="L2732" s="16">
        <f t="shared" si="594"/>
        <v>14881.788221808281</v>
      </c>
      <c r="M2732" s="16">
        <f t="shared" si="594"/>
        <v>19842.384295744378</v>
      </c>
    </row>
    <row r="2733" spans="1:13" ht="15" customHeight="1" x14ac:dyDescent="0.2">
      <c r="B2733" s="10" t="s">
        <v>900</v>
      </c>
      <c r="C2733" s="10" t="s">
        <v>199</v>
      </c>
      <c r="D2733" s="28">
        <f>D2727*Inputs!$D$23</f>
        <v>6.4875000000000007</v>
      </c>
      <c r="E2733" s="28">
        <f>E2727*Inputs!$D$23</f>
        <v>8.65</v>
      </c>
      <c r="F2733" s="28">
        <f>F2727*Inputs!$D$23</f>
        <v>6.4875000000000007</v>
      </c>
      <c r="G2733" s="28">
        <f>G2727*Inputs!$D$23</f>
        <v>0</v>
      </c>
      <c r="H2733" s="28">
        <f>H2727*Inputs!$D$23</f>
        <v>0</v>
      </c>
      <c r="I2733" s="28">
        <f>I2727*Inputs!$D$23</f>
        <v>0</v>
      </c>
      <c r="J2733" s="28">
        <f>J2727*Inputs!$D$23</f>
        <v>0</v>
      </c>
      <c r="K2733" s="28">
        <f>K2727*Inputs!$D$23</f>
        <v>0</v>
      </c>
      <c r="L2733" s="28">
        <f>L2727*Inputs!$D$23</f>
        <v>0</v>
      </c>
      <c r="M2733" s="28">
        <f>M2727*Inputs!$D$23</f>
        <v>0</v>
      </c>
    </row>
    <row r="2734" spans="1:13" ht="15" customHeight="1" x14ac:dyDescent="0.2">
      <c r="B2734" s="3" t="s">
        <v>901</v>
      </c>
      <c r="C2734" s="10" t="s">
        <v>896</v>
      </c>
      <c r="D2734" s="28">
        <f>(D2729*$D$2747*(Inputs!$D$7-Inputs!$D$19)-D2733)/(Inputs!$D$7+$D$2748)^D2722</f>
        <v>42.12449054053662</v>
      </c>
      <c r="E2734" s="28">
        <f>(E2729*$D$2747*(Inputs!$D$7-Inputs!$D$19)-E2733)/(Inputs!$D$7+$D$2748)^E2722</f>
        <v>153.58179400579681</v>
      </c>
      <c r="F2734" s="28">
        <f>(F2729*$D$2747*(Inputs!$D$7-Inputs!$D$19)-F2733)/(Inputs!$D$7+$D$2748)^F2722</f>
        <v>225.32846683817894</v>
      </c>
      <c r="G2734" s="28">
        <f>(G2729*$D$2747*(Inputs!$D$7-Inputs!$D$19)-G2733)/(Inputs!$D$7+$D$2748)^G2722</f>
        <v>235.15333868354651</v>
      </c>
      <c r="H2734" s="28">
        <f>(H2729*$D$2747*(Inputs!$D$7-Inputs!$D$19)-H2733)/(Inputs!$D$7+$D$2748)^H2722</f>
        <v>206.29335886963301</v>
      </c>
      <c r="I2734" s="28">
        <f>(I2729*$D$2747*(Inputs!$D$7-Inputs!$D$19)-I2733)/(Inputs!$D$7+$D$2748)^I2722</f>
        <v>180.9104058955611</v>
      </c>
      <c r="J2734" s="28">
        <f>(J2729*$D$2747*(Inputs!$D$7-Inputs!$D$19)-J2733)/(Inputs!$D$7+$D$2748)^J2722</f>
        <v>158.70757138977953</v>
      </c>
      <c r="K2734" s="28">
        <f>(K2729*$D$2747*(Inputs!$D$7-Inputs!$D$19)-K2733)/(Inputs!$D$7+$D$2748)^K2722</f>
        <v>139.22965399228033</v>
      </c>
      <c r="L2734" s="28">
        <f>(L2729*$D$2747*(Inputs!$D$7-Inputs!$D$19)-L2733)/(Inputs!$D$7+$D$2748)^L2722</f>
        <v>122.14222913916039</v>
      </c>
      <c r="M2734" s="28">
        <f>(M2729*$D$2747*(Inputs!$D$7-Inputs!$D$19)-M2733)/(Inputs!$D$7+$D$2748)^M2722</f>
        <v>107.11348330179737</v>
      </c>
    </row>
    <row r="2735" spans="1:13" ht="15" customHeight="1" x14ac:dyDescent="0.2">
      <c r="B2735" s="10" t="s">
        <v>902</v>
      </c>
      <c r="C2735" s="10" t="s">
        <v>110</v>
      </c>
      <c r="D2735" s="16">
        <f>(D2730*Inputs!$D$19-D2731-D2732)/(Inputs!$D$7+$D$2748)^D2722</f>
        <v>-13673.750208995338</v>
      </c>
      <c r="E2735" s="16">
        <f>(E2730*Inputs!$D$19-E2731-E2732)/(Inputs!$D$7+$D$2748)^E2722</f>
        <v>-14910.258198718562</v>
      </c>
      <c r="F2735" s="16">
        <f>(F2730*Inputs!$D$19-F2731-F2732)/(Inputs!$D$7+$D$2748)^F2722</f>
        <v>-8525.9417164238148</v>
      </c>
      <c r="G2735" s="16">
        <f>(G2730*Inputs!$D$19-G2731-G2732)/(Inputs!$D$7+$D$2748)^G2722</f>
        <v>808.83204192410847</v>
      </c>
      <c r="H2735" s="16">
        <f>(H2730*Inputs!$D$19-H2731-H2732)/(Inputs!$D$7+$D$2748)^H2722</f>
        <v>-5891.7915280072548</v>
      </c>
      <c r="I2735" s="16">
        <f>(I2730*Inputs!$D$19-I2731-I2732)/(Inputs!$D$7+$D$2748)^I2722</f>
        <v>-7512.3171078465948</v>
      </c>
      <c r="J2735" s="16">
        <f>(J2730*Inputs!$D$19-J2731-J2732)/(Inputs!$D$7+$D$2748)^J2722</f>
        <v>-4532.7291662153211</v>
      </c>
      <c r="K2735" s="16">
        <f>(K2730*Inputs!$D$19-K2731-K2732)/(Inputs!$D$7+$D$2748)^K2722</f>
        <v>478.89349972832292</v>
      </c>
      <c r="L2735" s="16">
        <f>(L2730*Inputs!$D$19-L2731-L2732)/(Inputs!$D$7+$D$2748)^L2722</f>
        <v>-3488.413562109869</v>
      </c>
      <c r="M2735" s="16">
        <f>(M2730*Inputs!$D$19-M2731-M2732)/(Inputs!$D$7+$D$2748)^M2722</f>
        <v>-4447.8947969066312</v>
      </c>
    </row>
    <row r="2736" spans="1:13" ht="15" customHeight="1" x14ac:dyDescent="0.2">
      <c r="B2736" s="10" t="s">
        <v>903</v>
      </c>
      <c r="C2736" s="10" t="s">
        <v>110</v>
      </c>
      <c r="D2736" s="16">
        <f t="shared" ref="D2736:M2736" si="595">D2729*$D$2746</f>
        <v>6011.6883527976624</v>
      </c>
      <c r="E2736" s="16">
        <f t="shared" si="595"/>
        <v>22905.131227551265</v>
      </c>
      <c r="F2736" s="16">
        <f t="shared" si="595"/>
        <v>37397.353754492011</v>
      </c>
      <c r="G2736" s="16">
        <f t="shared" si="595"/>
        <v>43608.306266038038</v>
      </c>
      <c r="H2736" s="16">
        <f t="shared" si="595"/>
        <v>43608.306266038038</v>
      </c>
      <c r="I2736" s="16">
        <f t="shared" si="595"/>
        <v>43608.306266038038</v>
      </c>
      <c r="J2736" s="16">
        <f t="shared" si="595"/>
        <v>43608.306266038038</v>
      </c>
      <c r="K2736" s="16">
        <f t="shared" si="595"/>
        <v>43608.306266038038</v>
      </c>
      <c r="L2736" s="16">
        <f t="shared" si="595"/>
        <v>43608.306266038038</v>
      </c>
      <c r="M2736" s="16">
        <f t="shared" si="595"/>
        <v>43608.306266038038</v>
      </c>
    </row>
    <row r="2737" spans="2:13" ht="15" customHeight="1" x14ac:dyDescent="0.2">
      <c r="B2737" s="10" t="s">
        <v>904</v>
      </c>
      <c r="C2737" s="10" t="s">
        <v>110</v>
      </c>
      <c r="D2737" s="16">
        <f t="shared" ref="D2737:M2737" si="596">D2736*$D$2747</f>
        <v>3607.0130116785972</v>
      </c>
      <c r="E2737" s="16">
        <f t="shared" si="596"/>
        <v>13743.078736530759</v>
      </c>
      <c r="F2737" s="16">
        <f t="shared" si="596"/>
        <v>22438.412252695205</v>
      </c>
      <c r="G2737" s="16">
        <f t="shared" si="596"/>
        <v>26164.983759622821</v>
      </c>
      <c r="H2737" s="16">
        <f t="shared" si="596"/>
        <v>26164.983759622821</v>
      </c>
      <c r="I2737" s="16">
        <f t="shared" si="596"/>
        <v>26164.983759622821</v>
      </c>
      <c r="J2737" s="16">
        <f t="shared" si="596"/>
        <v>26164.983759622821</v>
      </c>
      <c r="K2737" s="16">
        <f t="shared" si="596"/>
        <v>26164.983759622821</v>
      </c>
      <c r="L2737" s="16">
        <f t="shared" si="596"/>
        <v>26164.983759622821</v>
      </c>
      <c r="M2737" s="16">
        <f t="shared" si="596"/>
        <v>26164.983759622821</v>
      </c>
    </row>
    <row r="2738" spans="2:13" ht="15" customHeight="1" x14ac:dyDescent="0.2">
      <c r="B2738" s="10" t="s">
        <v>905</v>
      </c>
      <c r="C2738" s="10" t="s">
        <v>110</v>
      </c>
      <c r="D2738" s="16">
        <f t="shared" ref="D2738:M2738" si="597">D2737-D2730</f>
        <v>1790.0357257461553</v>
      </c>
      <c r="E2738" s="16">
        <f t="shared" si="597"/>
        <v>6820.2143547810501</v>
      </c>
      <c r="F2738" s="16">
        <f t="shared" si="597"/>
        <v>11135.407449681705</v>
      </c>
      <c r="G2738" s="16">
        <f t="shared" si="597"/>
        <v>12984.775918924839</v>
      </c>
      <c r="H2738" s="16">
        <f t="shared" si="597"/>
        <v>12984.775918924839</v>
      </c>
      <c r="I2738" s="16">
        <f t="shared" si="597"/>
        <v>12984.775918924839</v>
      </c>
      <c r="J2738" s="16">
        <f t="shared" si="597"/>
        <v>12984.775918924839</v>
      </c>
      <c r="K2738" s="16">
        <f t="shared" si="597"/>
        <v>12984.775918924839</v>
      </c>
      <c r="L2738" s="16">
        <f t="shared" si="597"/>
        <v>12984.775918924839</v>
      </c>
      <c r="M2738" s="16">
        <f t="shared" si="597"/>
        <v>12984.775918924839</v>
      </c>
    </row>
    <row r="2739" spans="2:13" ht="15" customHeight="1" x14ac:dyDescent="0.2">
      <c r="B2739" s="10" t="s">
        <v>906</v>
      </c>
      <c r="C2739" s="10" t="s">
        <v>110</v>
      </c>
      <c r="D2739" s="16">
        <f>MAX(D2738,Inputs!$D$6)*Inputs!$D$19</f>
        <v>537.0107177238466</v>
      </c>
      <c r="E2739" s="16">
        <f>MAX(E2738,Inputs!$D$6)*Inputs!$D$19</f>
        <v>2046.0643064343149</v>
      </c>
      <c r="F2739" s="16">
        <f>MAX(F2738,Inputs!$D$6)*Inputs!$D$19</f>
        <v>3340.6222349045115</v>
      </c>
      <c r="G2739" s="16">
        <f>MAX(G2738,Inputs!$D$6)*Inputs!$D$19</f>
        <v>3895.4327756774514</v>
      </c>
      <c r="H2739" s="16">
        <f>MAX(H2738,Inputs!$D$6)*Inputs!$D$19</f>
        <v>3895.4327756774514</v>
      </c>
      <c r="I2739" s="16">
        <f>MAX(I2738,Inputs!$D$6)*Inputs!$D$19</f>
        <v>3895.4327756774514</v>
      </c>
      <c r="J2739" s="16">
        <f>MAX(J2738,Inputs!$D$6)*Inputs!$D$19</f>
        <v>3895.4327756774514</v>
      </c>
      <c r="K2739" s="16">
        <f>MAX(K2738,Inputs!$D$6)*Inputs!$D$19</f>
        <v>3895.4327756774514</v>
      </c>
      <c r="L2739" s="16">
        <f>MAX(L2738,Inputs!$D$6)*Inputs!$D$19</f>
        <v>3895.4327756774514</v>
      </c>
      <c r="M2739" s="16">
        <f>MAX(M2738,Inputs!$D$6)*Inputs!$D$19</f>
        <v>3895.4327756774514</v>
      </c>
    </row>
    <row r="2740" spans="2:13" ht="15" customHeight="1" x14ac:dyDescent="0.2">
      <c r="B2740" s="10" t="s">
        <v>907</v>
      </c>
      <c r="C2740" s="10" t="s">
        <v>110</v>
      </c>
      <c r="D2740" s="16">
        <f t="shared" ref="D2740:M2740" si="598">D2733*$D$2746</f>
        <v>310.54762557730169</v>
      </c>
      <c r="E2740" s="16">
        <f t="shared" si="598"/>
        <v>414.06350076973553</v>
      </c>
      <c r="F2740" s="16">
        <f t="shared" si="598"/>
        <v>310.54762557730169</v>
      </c>
      <c r="G2740" s="16">
        <f t="shared" si="598"/>
        <v>0</v>
      </c>
      <c r="H2740" s="16">
        <f t="shared" si="598"/>
        <v>0</v>
      </c>
      <c r="I2740" s="16">
        <f t="shared" si="598"/>
        <v>0</v>
      </c>
      <c r="J2740" s="16">
        <f t="shared" si="598"/>
        <v>0</v>
      </c>
      <c r="K2740" s="16">
        <f t="shared" si="598"/>
        <v>0</v>
      </c>
      <c r="L2740" s="16">
        <f t="shared" si="598"/>
        <v>0</v>
      </c>
      <c r="M2740" s="16">
        <f t="shared" si="598"/>
        <v>0</v>
      </c>
    </row>
    <row r="2741" spans="2:13" ht="15" customHeight="1" x14ac:dyDescent="0.2">
      <c r="B2741" s="10" t="s">
        <v>908</v>
      </c>
      <c r="C2741" s="10" t="s">
        <v>110</v>
      </c>
      <c r="D2741" s="16">
        <f t="shared" ref="D2741:M2741" si="599">D2737-D2739-D2731-D2732-D2740</f>
        <v>-12801.513951768704</v>
      </c>
      <c r="E2741" s="16">
        <f t="shared" si="599"/>
        <v>-9465.0072308681611</v>
      </c>
      <c r="F2741" s="16">
        <f t="shared" si="599"/>
        <v>3226.2737720672367</v>
      </c>
      <c r="G2741" s="16">
        <f t="shared" si="599"/>
        <v>19631.546135378198</v>
      </c>
      <c r="H2741" s="16">
        <f t="shared" si="599"/>
        <v>7387.7627621370884</v>
      </c>
      <c r="I2741" s="16">
        <f t="shared" si="599"/>
        <v>2427.1666882009922</v>
      </c>
      <c r="J2741" s="16">
        <f t="shared" si="599"/>
        <v>7387.7627621370884</v>
      </c>
      <c r="K2741" s="16">
        <f t="shared" si="599"/>
        <v>19631.546135378198</v>
      </c>
      <c r="L2741" s="16">
        <f t="shared" si="599"/>
        <v>7387.7627621370884</v>
      </c>
      <c r="M2741" s="16">
        <f t="shared" si="599"/>
        <v>2427.1666882009922</v>
      </c>
    </row>
    <row r="2742" spans="2:13" ht="15" customHeight="1" x14ac:dyDescent="0.2">
      <c r="B2742" s="10" t="s">
        <v>909</v>
      </c>
      <c r="C2742" s="10" t="s">
        <v>110</v>
      </c>
      <c r="D2742" s="16">
        <f>D2741/(Inputs!$D$7+$D$2748)^D2722</f>
        <v>-11657.309281670921</v>
      </c>
      <c r="E2742" s="16">
        <f>E2741/(Inputs!$D$7+$D$2748)^E2722</f>
        <v>-7558.5107674426545</v>
      </c>
      <c r="F2742" s="16">
        <f>F2741/(Inputs!$D$7+$D$2748)^F2722</f>
        <v>2260.2194167662005</v>
      </c>
      <c r="G2742" s="16">
        <f>G2741/(Inputs!$D$7+$D$2748)^G2722</f>
        <v>12065.296161346134</v>
      </c>
      <c r="H2742" s="16">
        <f>H2741/(Inputs!$D$7+$D$2748)^H2722</f>
        <v>3983.1853921207926</v>
      </c>
      <c r="I2742" s="16">
        <f>I2741/(Inputs!$D$7+$D$2748)^I2722</f>
        <v>1147.6130644990494</v>
      </c>
      <c r="J2742" s="16">
        <f>J2741/(Inputs!$D$7+$D$2748)^J2722</f>
        <v>3064.3821179829251</v>
      </c>
      <c r="K2742" s="16">
        <f>K2741/(Inputs!$D$7+$D$2748)^K2722</f>
        <v>7143.623897763302</v>
      </c>
      <c r="L2742" s="16">
        <f>L2741/(Inputs!$D$7+$D$2748)^L2722</f>
        <v>2358.3655117837666</v>
      </c>
      <c r="M2742" s="16">
        <f>M2741/(Inputs!$D$7+$D$2748)^M2722</f>
        <v>679.47906154225029</v>
      </c>
    </row>
    <row r="2743" spans="2:13" ht="15" customHeight="1" x14ac:dyDescent="0.2">
      <c r="B2743" s="3" t="s">
        <v>910</v>
      </c>
      <c r="C2743" s="10" t="s">
        <v>896</v>
      </c>
      <c r="D2743" s="28">
        <f>(D2729*$D$2747-D2733)/(Inputs!$D$7+$D$2748)^D2722</f>
        <v>62.70969128813082</v>
      </c>
      <c r="E2743" s="28">
        <f>(E2729*$D$2747-E2733)/(Inputs!$D$7+$D$2748)^E2722</f>
        <v>222.36299158129225</v>
      </c>
      <c r="F2743" s="28">
        <f>(F2729*$D$2747-F2733)/(Inputs!$D$7+$D$2748)^F2722</f>
        <v>323.84563492062864</v>
      </c>
      <c r="G2743" s="28">
        <f>(G2729*$D$2747-G2733)/(Inputs!$D$7+$D$2748)^G2722</f>
        <v>335.933340976495</v>
      </c>
      <c r="H2743" s="28">
        <f>(H2729*$D$2747-H2733)/(Inputs!$D$7+$D$2748)^H2722</f>
        <v>294.70479838519003</v>
      </c>
      <c r="I2743" s="28">
        <f>(I2729*$D$2747-I2733)/(Inputs!$D$7+$D$2748)^I2722</f>
        <v>258.44343699365874</v>
      </c>
      <c r="J2743" s="28">
        <f>(J2729*$D$2747-J2733)/(Inputs!$D$7+$D$2748)^J2722</f>
        <v>226.72510198539933</v>
      </c>
      <c r="K2743" s="28">
        <f>(K2729*$D$2747-K2733)/(Inputs!$D$7+$D$2748)^K2722</f>
        <v>198.89950570325763</v>
      </c>
      <c r="L2743" s="28">
        <f>(L2729*$D$2747-L2733)/(Inputs!$D$7+$D$2748)^L2722</f>
        <v>174.48889877022913</v>
      </c>
      <c r="M2743" s="28">
        <f>(M2729*$D$2747-M2733)/(Inputs!$D$7+$D$2748)^M2722</f>
        <v>153.01926185971055</v>
      </c>
    </row>
    <row r="2744" spans="2:13" ht="15" customHeight="1" x14ac:dyDescent="0.2">
      <c r="B2744" s="10" t="s">
        <v>911</v>
      </c>
      <c r="C2744" s="10" t="s">
        <v>110</v>
      </c>
      <c r="D2744" s="16">
        <f>(-D2731-D2732)/(Inputs!$D$7+$D$2748)^D2722</f>
        <v>-14170.122737893587</v>
      </c>
      <c r="E2744" s="16">
        <f>(-E2731-E2732)/(Inputs!$D$7+$D$2748)^E2722</f>
        <v>-16568.784506031301</v>
      </c>
      <c r="F2744" s="16">
        <f>(-F2731-F2732)/(Inputs!$D$7+$D$2748)^F2722</f>
        <v>-10901.493767656277</v>
      </c>
      <c r="G2744" s="16">
        <f>(-G2731-G2732)/(Inputs!$D$7+$D$2748)^G2722</f>
        <v>-1621.2839046676961</v>
      </c>
      <c r="H2744" s="16">
        <f>(-H2731-H2732)/(Inputs!$D$7+$D$2748)^H2722</f>
        <v>-8023.6633690433682</v>
      </c>
      <c r="I2744" s="16">
        <f>(-I2731-I2732)/(Inputs!$D$7+$D$2748)^I2722</f>
        <v>-9381.8770500204446</v>
      </c>
      <c r="J2744" s="16">
        <f>(-J2731-J2732)/(Inputs!$D$7+$D$2748)^J2722</f>
        <v>-6172.8411129063252</v>
      </c>
      <c r="K2744" s="16">
        <f>(-K2731-K2732)/(Inputs!$D$7+$D$2748)^K2722</f>
        <v>-959.93022397147342</v>
      </c>
      <c r="L2744" s="16">
        <f>(-L2731-L2732)/(Inputs!$D$7+$D$2748)^L2722</f>
        <v>-4750.6528330682277</v>
      </c>
      <c r="M2744" s="16">
        <f>(-M2731-M2732)/(Inputs!$D$7+$D$2748)^M2722</f>
        <v>-5554.82436602912</v>
      </c>
    </row>
    <row r="2745" spans="2:13" ht="15" customHeight="1" x14ac:dyDescent="0.2">
      <c r="B2745" s="10" t="s">
        <v>912</v>
      </c>
      <c r="C2745" s="10" t="s">
        <v>110</v>
      </c>
      <c r="D2745" s="16">
        <f>Prices!I8</f>
        <v>32775</v>
      </c>
    </row>
    <row r="2746" spans="2:13" ht="15" customHeight="1" x14ac:dyDescent="0.2">
      <c r="B2746" s="3" t="s">
        <v>913</v>
      </c>
      <c r="C2746" s="10" t="s">
        <v>914</v>
      </c>
      <c r="D2746" s="28">
        <f>IF(J2753&gt;=J2749,J2753,(D2745-J2752)/J2751)</f>
        <v>47.86861280574977</v>
      </c>
      <c r="G2746" s="99" t="s">
        <v>915</v>
      </c>
      <c r="H2746" s="91"/>
      <c r="I2746" s="91"/>
      <c r="J2746" s="28">
        <f>D2746*Inputs!$D$15</f>
        <v>33.407504877132766</v>
      </c>
      <c r="K2746" s="99" t="s">
        <v>916</v>
      </c>
      <c r="L2746" s="91"/>
      <c r="M2746" s="91"/>
    </row>
    <row r="2747" spans="2:13" ht="15" customHeight="1" x14ac:dyDescent="0.2">
      <c r="B2747" s="10" t="s">
        <v>917</v>
      </c>
      <c r="C2747" s="10" t="s">
        <v>104</v>
      </c>
      <c r="D2747" s="30">
        <f>Inputs!$D$142</f>
        <v>0.6</v>
      </c>
      <c r="G2747" s="99" t="s">
        <v>918</v>
      </c>
      <c r="H2747" s="91"/>
      <c r="I2747" s="91"/>
      <c r="J2747" s="28">
        <f>IF(-D2758/D2757&gt;=J2749,-D2758/D2757,-J2752/J2751)</f>
        <v>34.882787847449642</v>
      </c>
      <c r="K2747" s="99" t="s">
        <v>919</v>
      </c>
      <c r="L2747" s="91"/>
      <c r="M2747" s="91"/>
    </row>
    <row r="2748" spans="2:13" ht="15" customHeight="1" x14ac:dyDescent="0.2">
      <c r="B2748" s="10" t="s">
        <v>920</v>
      </c>
      <c r="C2748" s="10" t="s">
        <v>104</v>
      </c>
      <c r="D2748" s="30">
        <f>Inputs!$D$149</f>
        <v>0.14000000000000001</v>
      </c>
      <c r="G2748" s="99" t="s">
        <v>918</v>
      </c>
      <c r="H2748" s="91"/>
      <c r="I2748" s="91"/>
      <c r="J2748" s="28">
        <f>J2747*Inputs!$D$15</f>
        <v>24.344697638735102</v>
      </c>
      <c r="K2748" s="99" t="s">
        <v>916</v>
      </c>
      <c r="L2748" s="91"/>
      <c r="M2748" s="91"/>
    </row>
    <row r="2749" spans="2:13" ht="15" customHeight="1" x14ac:dyDescent="0.2">
      <c r="B2749" s="3" t="s">
        <v>921</v>
      </c>
      <c r="C2749" s="10" t="s">
        <v>848</v>
      </c>
      <c r="D2749" s="28">
        <f>Capital!$D$13</f>
        <v>57.347931490590682</v>
      </c>
      <c r="G2749" s="99" t="s">
        <v>922</v>
      </c>
      <c r="H2749" s="91"/>
      <c r="I2749" s="91"/>
      <c r="J2749" s="28">
        <f>($D$2749/Inputs!$D$21+$D$2750/Inputs!$D$22)/$D$2747</f>
        <v>24.113076913095469</v>
      </c>
      <c r="K2749" s="99" t="s">
        <v>919</v>
      </c>
      <c r="L2749" s="91"/>
      <c r="M2749" s="91"/>
    </row>
    <row r="2750" spans="2:13" ht="15" customHeight="1" x14ac:dyDescent="0.2">
      <c r="B2750" s="3" t="s">
        <v>923</v>
      </c>
      <c r="C2750" s="10" t="s">
        <v>848</v>
      </c>
      <c r="D2750" s="28">
        <f>Capital!$D$14</f>
        <v>2.6172655041921802</v>
      </c>
    </row>
    <row r="2751" spans="2:13" ht="15" customHeight="1" x14ac:dyDescent="0.2">
      <c r="B2751" s="10" t="s">
        <v>924</v>
      </c>
      <c r="C2751" s="10" t="s">
        <v>896</v>
      </c>
      <c r="D2751" s="28">
        <f>(M2724*(Inputs!$D$7+Inputs!$D$20)*$D$2747*(Inputs!$D$7-Inputs!$D$19)-M2724*Inputs!$D$20*Inputs!$D$23)/($D$2748-Inputs!$D$20)/(Inputs!$D$7+$D$2748)^M2722</f>
        <v>953.32108973830498</v>
      </c>
      <c r="G2751" s="92" t="s">
        <v>910</v>
      </c>
      <c r="H2751" s="91"/>
      <c r="I2751" s="91"/>
      <c r="J2751" s="28">
        <f>SUM(D2743:M2743)+(M2724*(Inputs!$D$7+Inputs!$D$20)*$D$2747-M2724*Inputs!$D$20*Inputs!$D$23)/($D$2748-Inputs!$D$20)/(Inputs!$D$7+$D$2748)^M2722</f>
        <v>3613.6139523923925</v>
      </c>
      <c r="K2751" s="99" t="s">
        <v>896</v>
      </c>
      <c r="L2751" s="91"/>
      <c r="M2751" s="91"/>
    </row>
    <row r="2752" spans="2:13" ht="15" customHeight="1" x14ac:dyDescent="0.2">
      <c r="B2752" s="10" t="s">
        <v>925</v>
      </c>
      <c r="C2752" s="10" t="s">
        <v>110</v>
      </c>
      <c r="D2752" s="16">
        <f>(D2755*Inputs!$D$19-D2755-D2756)/($D$2748-Inputs!$D$20)/(Inputs!$D$7+$D$2748)^M2722</f>
        <v>-26345.502698929216</v>
      </c>
      <c r="G2752" s="92" t="s">
        <v>926</v>
      </c>
      <c r="H2752" s="91"/>
      <c r="I2752" s="91"/>
      <c r="J2752" s="16">
        <f>SUM(D2744:M2744)-(D2755+D2756)/($D$2748-Inputs!$D$20)/(Inputs!$D$7+$D$2748)^M2722</f>
        <v>-114317.08794717836</v>
      </c>
      <c r="K2752" s="99" t="s">
        <v>110</v>
      </c>
      <c r="L2752" s="91"/>
      <c r="M2752" s="91"/>
    </row>
    <row r="2753" spans="1:13" ht="15" customHeight="1" x14ac:dyDescent="0.2">
      <c r="B2753" s="10" t="s">
        <v>927</v>
      </c>
      <c r="C2753" s="10" t="s">
        <v>928</v>
      </c>
      <c r="D2753" s="16">
        <f>(M2724*(Inputs!$D$7+Inputs!$D$20)*$D$2746*$D$2747-D2755)-MAX((M2724*(Inputs!$D$7+Inputs!$D$20)*$D$2746*$D$2747-D2755),Inputs!$D$6)*Inputs!$D$19-D2756-M2724*Inputs!$D$20*$D$2746*Inputs!$D$23</f>
        <v>7923.6141688561183</v>
      </c>
      <c r="G2753" s="99" t="s">
        <v>929</v>
      </c>
      <c r="H2753" s="91"/>
      <c r="I2753" s="91"/>
      <c r="J2753" s="28">
        <f>(D2745-D2758)/D2757</f>
        <v>47.86861280574977</v>
      </c>
      <c r="K2753" s="99" t="s">
        <v>919</v>
      </c>
      <c r="L2753" s="91"/>
      <c r="M2753" s="91"/>
    </row>
    <row r="2754" spans="1:13" ht="15" customHeight="1" x14ac:dyDescent="0.2">
      <c r="B2754" s="10" t="s">
        <v>930</v>
      </c>
      <c r="C2754" s="10" t="s">
        <v>110</v>
      </c>
      <c r="D2754" s="16">
        <f>D2753/($D$2748-Inputs!$D$20)</f>
        <v>68900.992772661892</v>
      </c>
      <c r="G2754" s="99" t="s">
        <v>931</v>
      </c>
      <c r="H2754" s="91"/>
      <c r="I2754" s="91"/>
      <c r="J2754" s="16">
        <f>MIN(D2738:M2738,(M2724*(Inputs!$D$7+Inputs!$D$20)*$D$2746*$D$2747-D2755))</f>
        <v>1790.0357257461553</v>
      </c>
      <c r="K2754" s="99" t="s">
        <v>110</v>
      </c>
      <c r="L2754" s="91"/>
      <c r="M2754" s="91"/>
    </row>
    <row r="2755" spans="1:13" ht="15" customHeight="1" x14ac:dyDescent="0.2">
      <c r="B2755" s="10" t="s">
        <v>932</v>
      </c>
      <c r="C2755" s="10" t="s">
        <v>928</v>
      </c>
      <c r="D2755" s="16">
        <f>M2724*(Inputs!$D$7+Inputs!$D$20)*($D$2749/Inputs!$D$21+$D$2750/Inputs!$D$22)</f>
        <v>13509.71303671543</v>
      </c>
      <c r="G2755" s="99" t="s">
        <v>933</v>
      </c>
      <c r="H2755" s="91"/>
      <c r="I2755" s="91"/>
      <c r="J2755" s="31" t="str">
        <f>IF(J2754&lt;Inputs!$D$6,"breached","satisfied")</f>
        <v>satisfied</v>
      </c>
      <c r="K2755" s="99" t="s">
        <v>934</v>
      </c>
      <c r="L2755" s="91"/>
      <c r="M2755" s="91"/>
    </row>
    <row r="2756" spans="1:13" ht="15" customHeight="1" x14ac:dyDescent="0.2">
      <c r="B2756" s="10" t="s">
        <v>935</v>
      </c>
      <c r="C2756" s="10" t="s">
        <v>928</v>
      </c>
      <c r="D2756" s="16">
        <f>M2724*Inputs!$D$20*($D$2749+$D$2750)</f>
        <v>1365.7073615561799</v>
      </c>
    </row>
    <row r="2757" spans="1:13" ht="15" customHeight="1" x14ac:dyDescent="0.2">
      <c r="B2757" s="10" t="s">
        <v>936</v>
      </c>
      <c r="C2757" s="10" t="s">
        <v>896</v>
      </c>
      <c r="D2757" s="28">
        <f>SUM(D2734:M2734)+D2751</f>
        <v>2523.9058823945761</v>
      </c>
      <c r="G2757" s="99" t="s">
        <v>937</v>
      </c>
      <c r="H2757" s="91"/>
      <c r="I2757" s="91"/>
      <c r="J2757" s="16">
        <f>D2759-D2745</f>
        <v>0</v>
      </c>
      <c r="K2757" s="99" t="s">
        <v>110</v>
      </c>
      <c r="L2757" s="91"/>
      <c r="M2757" s="91"/>
    </row>
    <row r="2758" spans="1:13" ht="15" customHeight="1" x14ac:dyDescent="0.2">
      <c r="B2758" s="10" t="s">
        <v>938</v>
      </c>
      <c r="C2758" s="10" t="s">
        <v>110</v>
      </c>
      <c r="D2758" s="16">
        <f>SUM(D2735:M2735)+D2752</f>
        <v>-88040.873442500175</v>
      </c>
    </row>
    <row r="2759" spans="1:13" ht="15" customHeight="1" x14ac:dyDescent="0.2">
      <c r="B2759" s="10" t="s">
        <v>939</v>
      </c>
      <c r="C2759" s="10" t="s">
        <v>110</v>
      </c>
      <c r="D2759" s="16">
        <f>SUM(D2742:M2742)+D2754/(Inputs!$D$7+$D$2748)^M2722</f>
        <v>32774.999999999978</v>
      </c>
    </row>
    <row r="2760" spans="1:13" ht="15" customHeight="1" x14ac:dyDescent="0.2">
      <c r="B2760" s="10" t="s">
        <v>940</v>
      </c>
      <c r="C2760" s="10" t="s">
        <v>104</v>
      </c>
      <c r="D2760" s="30">
        <f>IF(ABS(D2745)&gt;Inputs!$D$6,D2759/D2745-Inputs!$D$7,Inputs!$D$6)</f>
        <v>-6.6613381477509392E-16</v>
      </c>
    </row>
    <row r="2761" spans="1:13" ht="15" customHeight="1" x14ac:dyDescent="0.2">
      <c r="B2761" s="10" t="s">
        <v>941</v>
      </c>
      <c r="C2761" s="10" t="s">
        <v>104</v>
      </c>
      <c r="D2761" s="30">
        <f>IF(ABS(D2759)&gt;Inputs!$D$119,D2754/(Inputs!$D$7+$D$2748)^M2722/D2759,Inputs!$D$6)</f>
        <v>0.58851732800333023</v>
      </c>
    </row>
    <row r="2762" spans="1:13" ht="15" customHeight="1" x14ac:dyDescent="0.2">
      <c r="B2762" s="10" t="s">
        <v>942</v>
      </c>
      <c r="C2762" s="10" t="s">
        <v>943</v>
      </c>
      <c r="D2762" s="26">
        <f>$D$2746*Inputs!$D$8/Prices!$P$6/(Inputs!$D$26/Inputs!$D$25)/Inputs!$D$11/Inputs!$D$56</f>
        <v>8.7050526407061248</v>
      </c>
    </row>
    <row r="2766" spans="1:13" ht="15" customHeight="1" x14ac:dyDescent="0.2">
      <c r="A2766" s="104" t="s">
        <v>2225</v>
      </c>
      <c r="B2766" s="10" t="s">
        <v>886</v>
      </c>
      <c r="C2766" s="10" t="s">
        <v>107</v>
      </c>
      <c r="D2766" s="28">
        <f>Inputs!$D$60</f>
        <v>1</v>
      </c>
      <c r="E2766" s="28">
        <f>Inputs!$D$62</f>
        <v>2</v>
      </c>
      <c r="F2766" s="28">
        <f>Inputs!$D$64</f>
        <v>3</v>
      </c>
      <c r="G2766" s="28">
        <f>Inputs!$D$66</f>
        <v>4</v>
      </c>
      <c r="H2766" s="28">
        <f>Inputs!$D$68</f>
        <v>5</v>
      </c>
      <c r="I2766" s="28">
        <f>Inputs!$D$70</f>
        <v>6</v>
      </c>
      <c r="J2766" s="28">
        <f>Inputs!$D$72</f>
        <v>7</v>
      </c>
      <c r="K2766" s="28">
        <f>Inputs!$D$74</f>
        <v>8</v>
      </c>
      <c r="L2766" s="28">
        <f>Inputs!$D$76</f>
        <v>9</v>
      </c>
      <c r="M2766" s="28">
        <f>Inputs!$D$78</f>
        <v>10</v>
      </c>
    </row>
    <row r="2767" spans="1:13" ht="15" customHeight="1" x14ac:dyDescent="0.2">
      <c r="A2767" s="91"/>
      <c r="B2767" s="10" t="s">
        <v>887</v>
      </c>
      <c r="C2767" s="10" t="s">
        <v>161</v>
      </c>
      <c r="D2767" s="29">
        <f>Inputs!$D$61</f>
        <v>46568</v>
      </c>
      <c r="E2767" s="29">
        <f>Inputs!$D$63</f>
        <v>46934</v>
      </c>
      <c r="F2767" s="29">
        <f>Inputs!$D$65</f>
        <v>47299</v>
      </c>
      <c r="G2767" s="29">
        <f>Inputs!$D$67</f>
        <v>47664</v>
      </c>
      <c r="H2767" s="29">
        <f>Inputs!$D$69</f>
        <v>48029</v>
      </c>
      <c r="I2767" s="29">
        <f>Inputs!$D$71</f>
        <v>48395</v>
      </c>
      <c r="J2767" s="29">
        <f>Inputs!$D$73</f>
        <v>48760</v>
      </c>
      <c r="K2767" s="29">
        <f>Inputs!$D$75</f>
        <v>49125</v>
      </c>
      <c r="L2767" s="29">
        <f>Inputs!$D$77</f>
        <v>49490</v>
      </c>
      <c r="M2767" s="29">
        <f>Inputs!$D$79</f>
        <v>49856</v>
      </c>
    </row>
    <row r="2768" spans="1:13" ht="15" customHeight="1" x14ac:dyDescent="0.2">
      <c r="A2768" s="91"/>
      <c r="B2768" s="10" t="s">
        <v>888</v>
      </c>
      <c r="C2768" s="10" t="s">
        <v>107</v>
      </c>
      <c r="D2768" s="28">
        <f>(D2767-Inputs!$D$13)/Inputs!$D$10</f>
        <v>0.71457905544147848</v>
      </c>
      <c r="E2768" s="28">
        <f>(E2767-Inputs!$D$13)/Inputs!$D$10</f>
        <v>1.7166324435318274</v>
      </c>
      <c r="F2768" s="28">
        <f>(F2767-Inputs!$D$13)/Inputs!$D$10</f>
        <v>2.7159479808350446</v>
      </c>
      <c r="G2768" s="28">
        <f>(G2767-Inputs!$D$13)/Inputs!$D$10</f>
        <v>3.7152635181382614</v>
      </c>
      <c r="H2768" s="28">
        <f>(H2767-Inputs!$D$13)/Inputs!$D$10</f>
        <v>4.7145790554414786</v>
      </c>
      <c r="I2768" s="28">
        <f>(I2767-Inputs!$D$13)/Inputs!$D$10</f>
        <v>5.7166324435318279</v>
      </c>
      <c r="J2768" s="28">
        <f>(J2767-Inputs!$D$13)/Inputs!$D$10</f>
        <v>6.7159479808350442</v>
      </c>
      <c r="K2768" s="28">
        <f>(K2767-Inputs!$D$13)/Inputs!$D$10</f>
        <v>7.7152635181382614</v>
      </c>
      <c r="L2768" s="28">
        <f>(L2767-Inputs!$D$13)/Inputs!$D$10</f>
        <v>8.7145790554414777</v>
      </c>
      <c r="M2768" s="28">
        <f>(M2767-Inputs!$D$13)/Inputs!$D$10</f>
        <v>9.716632443531827</v>
      </c>
    </row>
    <row r="2769" spans="1:13" ht="15" customHeight="1" x14ac:dyDescent="0.2">
      <c r="A2769" s="91"/>
      <c r="B2769" s="10" t="s">
        <v>889</v>
      </c>
      <c r="C2769" s="10" t="s">
        <v>107</v>
      </c>
      <c r="D2769" s="28">
        <f>D2768</f>
        <v>0.71457905544147848</v>
      </c>
      <c r="E2769" s="28">
        <f>Inputs!$D$7</f>
        <v>1</v>
      </c>
      <c r="F2769" s="28">
        <f>Inputs!$D$7</f>
        <v>1</v>
      </c>
      <c r="G2769" s="28">
        <f>Inputs!$D$7</f>
        <v>1</v>
      </c>
      <c r="H2769" s="28">
        <f>Inputs!$D$7</f>
        <v>1</v>
      </c>
      <c r="I2769" s="28">
        <f>Inputs!$D$7</f>
        <v>1</v>
      </c>
      <c r="J2769" s="28">
        <f>Inputs!$D$7</f>
        <v>1</v>
      </c>
      <c r="K2769" s="28">
        <f>Inputs!$D$7</f>
        <v>1</v>
      </c>
      <c r="L2769" s="28">
        <f>Inputs!$D$7</f>
        <v>1</v>
      </c>
      <c r="M2769" s="28">
        <f>Inputs!$D$7</f>
        <v>1</v>
      </c>
    </row>
    <row r="2770" spans="1:13" ht="15" customHeight="1" x14ac:dyDescent="0.2">
      <c r="A2770" s="91"/>
      <c r="B2770" s="3" t="s">
        <v>890</v>
      </c>
      <c r="C2770" s="10" t="s">
        <v>199</v>
      </c>
      <c r="D2770" s="28">
        <f>Inputs!$D$24+(Inputs!$D$80-Inputs!$D$24)*Inputs!$D$83</f>
        <v>305.5</v>
      </c>
      <c r="E2770" s="28">
        <f>Inputs!$D$24+(Inputs!$D$80-Inputs!$D$24)*Inputs!$D$84</f>
        <v>651.5</v>
      </c>
      <c r="F2770" s="28">
        <f>Inputs!$D$24+(Inputs!$D$80-Inputs!$D$24)*Inputs!$D$85</f>
        <v>911</v>
      </c>
      <c r="G2770" s="28">
        <f>Inputs!$D$24+(Inputs!$D$80-Inputs!$D$24)*Inputs!$D$86</f>
        <v>911</v>
      </c>
      <c r="H2770" s="28">
        <f>Inputs!$D$24+(Inputs!$D$80-Inputs!$D$24)*Inputs!$D$87</f>
        <v>911</v>
      </c>
      <c r="I2770" s="28">
        <f>Inputs!$D$24+(Inputs!$D$80-Inputs!$D$24)*Inputs!$D$88</f>
        <v>911</v>
      </c>
      <c r="J2770" s="28">
        <f>Inputs!$D$24+(Inputs!$D$80-Inputs!$D$24)*Inputs!$D$89</f>
        <v>911</v>
      </c>
      <c r="K2770" s="28">
        <f>Inputs!$D$24+(Inputs!$D$80-Inputs!$D$24)*Inputs!$D$90</f>
        <v>911</v>
      </c>
      <c r="L2770" s="28">
        <f>Inputs!$D$24+(Inputs!$D$80-Inputs!$D$24)*Inputs!$D$91</f>
        <v>911</v>
      </c>
      <c r="M2770" s="28">
        <f>Inputs!$D$24+(Inputs!$D$80-Inputs!$D$24)*Inputs!$D$92</f>
        <v>911</v>
      </c>
    </row>
    <row r="2771" spans="1:13" ht="15" customHeight="1" x14ac:dyDescent="0.2">
      <c r="A2771" s="91"/>
      <c r="B2771" s="10" t="s">
        <v>891</v>
      </c>
      <c r="C2771" s="10" t="s">
        <v>199</v>
      </c>
      <c r="D2771" s="28">
        <f>Inputs!$D$24</f>
        <v>46</v>
      </c>
      <c r="E2771" s="28">
        <f t="shared" ref="E2771:M2771" si="600">D2770</f>
        <v>305.5</v>
      </c>
      <c r="F2771" s="28">
        <f t="shared" si="600"/>
        <v>651.5</v>
      </c>
      <c r="G2771" s="28">
        <f t="shared" si="600"/>
        <v>911</v>
      </c>
      <c r="H2771" s="28">
        <f t="shared" si="600"/>
        <v>911</v>
      </c>
      <c r="I2771" s="28">
        <f t="shared" si="600"/>
        <v>911</v>
      </c>
      <c r="J2771" s="28">
        <f t="shared" si="600"/>
        <v>911</v>
      </c>
      <c r="K2771" s="28">
        <f t="shared" si="600"/>
        <v>911</v>
      </c>
      <c r="L2771" s="28">
        <f t="shared" si="600"/>
        <v>911</v>
      </c>
      <c r="M2771" s="28">
        <f t="shared" si="600"/>
        <v>911</v>
      </c>
    </row>
    <row r="2772" spans="1:13" ht="15" customHeight="1" x14ac:dyDescent="0.2">
      <c r="B2772" s="10" t="s">
        <v>892</v>
      </c>
      <c r="C2772" s="10" t="s">
        <v>199</v>
      </c>
      <c r="D2772" s="28">
        <f>(D2771+D2770)*Inputs!$D$12</f>
        <v>175.75</v>
      </c>
      <c r="E2772" s="28">
        <f>(E2771+E2770)*Inputs!$D$12</f>
        <v>478.5</v>
      </c>
      <c r="F2772" s="28">
        <f>(F2771+F2770)*Inputs!$D$12</f>
        <v>781.25</v>
      </c>
      <c r="G2772" s="28">
        <f>(G2771+G2770)*Inputs!$D$12</f>
        <v>911</v>
      </c>
      <c r="H2772" s="28">
        <f>(H2771+H2770)*Inputs!$D$12</f>
        <v>911</v>
      </c>
      <c r="I2772" s="28">
        <f>(I2771+I2770)*Inputs!$D$12</f>
        <v>911</v>
      </c>
      <c r="J2772" s="28">
        <f>(J2771+J2770)*Inputs!$D$12</f>
        <v>911</v>
      </c>
      <c r="K2772" s="28">
        <f>(K2771+K2770)*Inputs!$D$12</f>
        <v>911</v>
      </c>
      <c r="L2772" s="28">
        <f>(L2771+L2770)*Inputs!$D$12</f>
        <v>911</v>
      </c>
      <c r="M2772" s="28">
        <f>(M2771+M2770)*Inputs!$D$12</f>
        <v>911</v>
      </c>
    </row>
    <row r="2773" spans="1:13" ht="15" customHeight="1" x14ac:dyDescent="0.2">
      <c r="B2773" s="10" t="s">
        <v>893</v>
      </c>
      <c r="C2773" s="10" t="s">
        <v>199</v>
      </c>
      <c r="D2773" s="28">
        <f t="shared" ref="D2773:M2773" si="601">D2770-D2771</f>
        <v>259.5</v>
      </c>
      <c r="E2773" s="28">
        <f t="shared" si="601"/>
        <v>346</v>
      </c>
      <c r="F2773" s="28">
        <f t="shared" si="601"/>
        <v>259.5</v>
      </c>
      <c r="G2773" s="28">
        <f t="shared" si="601"/>
        <v>0</v>
      </c>
      <c r="H2773" s="28">
        <f t="shared" si="601"/>
        <v>0</v>
      </c>
      <c r="I2773" s="28">
        <f t="shared" si="601"/>
        <v>0</v>
      </c>
      <c r="J2773" s="28">
        <f t="shared" si="601"/>
        <v>0</v>
      </c>
      <c r="K2773" s="28">
        <f t="shared" si="601"/>
        <v>0</v>
      </c>
      <c r="L2773" s="28">
        <f t="shared" si="601"/>
        <v>0</v>
      </c>
      <c r="M2773" s="28">
        <f t="shared" si="601"/>
        <v>0</v>
      </c>
    </row>
    <row r="2774" spans="1:13" ht="15" customHeight="1" x14ac:dyDescent="0.2">
      <c r="B2774" s="10" t="s">
        <v>894</v>
      </c>
      <c r="C2774" s="10" t="s">
        <v>199</v>
      </c>
      <c r="D2774" s="28">
        <f>IF(MOD(D2766,Inputs!$D$21)=Inputs!$D$6,Inputs!$D$24,Inputs!$D$6)+SUMPRODUCT(--(D2766&gt;$D$2766:$M$2766),--(MOD(D2766-$D$2766:$M$2766,Inputs!$D$21)=Inputs!$D$6),$D$2773:$M$2773)</f>
        <v>0</v>
      </c>
      <c r="E2774" s="28">
        <f>IF(MOD(E2766,Inputs!$D$21)=Inputs!$D$6,Inputs!$D$24,Inputs!$D$6)+SUMPRODUCT(--(E2766&gt;$D$2766:$M$2766),--(MOD(E2766-$D$2766:$M$2766,Inputs!$D$21)=Inputs!$D$6),$D$2773:$M$2773)</f>
        <v>0</v>
      </c>
      <c r="F2774" s="28">
        <f>IF(MOD(F2766,Inputs!$D$21)=Inputs!$D$6,Inputs!$D$24,Inputs!$D$6)+SUMPRODUCT(--(F2766&gt;$D$2766:$M$2766),--(MOD(F2766-$D$2766:$M$2766,Inputs!$D$21)=Inputs!$D$6),$D$2773:$M$2773)</f>
        <v>0</v>
      </c>
      <c r="G2774" s="28">
        <f>IF(MOD(G2766,Inputs!$D$21)=Inputs!$D$6,Inputs!$D$24,Inputs!$D$6)+SUMPRODUCT(--(G2766&gt;$D$2766:$M$2766),--(MOD(G2766-$D$2766:$M$2766,Inputs!$D$21)=Inputs!$D$6),$D$2773:$M$2773)</f>
        <v>46</v>
      </c>
      <c r="H2774" s="28">
        <f>IF(MOD(H2766,Inputs!$D$21)=Inputs!$D$6,Inputs!$D$24,Inputs!$D$6)+SUMPRODUCT(--(H2766&gt;$D$2766:$M$2766),--(MOD(H2766-$D$2766:$M$2766,Inputs!$D$21)=Inputs!$D$6),$D$2773:$M$2773)</f>
        <v>259.5</v>
      </c>
      <c r="I2774" s="28">
        <f>IF(MOD(I2766,Inputs!$D$21)=Inputs!$D$6,Inputs!$D$24,Inputs!$D$6)+SUMPRODUCT(--(I2766&gt;$D$2766:$M$2766),--(MOD(I2766-$D$2766:$M$2766,Inputs!$D$21)=Inputs!$D$6),$D$2773:$M$2773)</f>
        <v>346</v>
      </c>
      <c r="J2774" s="28">
        <f>IF(MOD(J2766,Inputs!$D$21)=Inputs!$D$6,Inputs!$D$24,Inputs!$D$6)+SUMPRODUCT(--(J2766&gt;$D$2766:$M$2766),--(MOD(J2766-$D$2766:$M$2766,Inputs!$D$21)=Inputs!$D$6),$D$2773:$M$2773)</f>
        <v>259.5</v>
      </c>
      <c r="K2774" s="28">
        <f>IF(MOD(K2766,Inputs!$D$21)=Inputs!$D$6,Inputs!$D$24,Inputs!$D$6)+SUMPRODUCT(--(K2766&gt;$D$2766:$M$2766),--(MOD(K2766-$D$2766:$M$2766,Inputs!$D$21)=Inputs!$D$6),$D$2773:$M$2773)</f>
        <v>46</v>
      </c>
      <c r="L2774" s="28">
        <f>IF(MOD(L2766,Inputs!$D$21)=Inputs!$D$6,Inputs!$D$24,Inputs!$D$6)+SUMPRODUCT(--(L2766&gt;$D$2766:$M$2766),--(MOD(L2766-$D$2766:$M$2766,Inputs!$D$21)=Inputs!$D$6),$D$2773:$M$2773)</f>
        <v>259.5</v>
      </c>
      <c r="M2774" s="28">
        <f>IF(MOD(M2766,Inputs!$D$21)=Inputs!$D$6,Inputs!$D$24,Inputs!$D$6)+SUMPRODUCT(--(M2766&gt;$D$2766:$M$2766),--(MOD(M2766-$D$2766:$M$2766,Inputs!$D$21)=Inputs!$D$6),$D$2773:$M$2773)</f>
        <v>346</v>
      </c>
    </row>
    <row r="2775" spans="1:13" ht="15" customHeight="1" x14ac:dyDescent="0.2">
      <c r="B2775" s="10" t="s">
        <v>895</v>
      </c>
      <c r="C2775" s="10" t="s">
        <v>896</v>
      </c>
      <c r="D2775" s="28">
        <f t="shared" ref="D2775:M2775" si="602">D2772*D2769</f>
        <v>125.58726899383984</v>
      </c>
      <c r="E2775" s="28">
        <f t="shared" si="602"/>
        <v>478.5</v>
      </c>
      <c r="F2775" s="28">
        <f t="shared" si="602"/>
        <v>781.25</v>
      </c>
      <c r="G2775" s="28">
        <f t="shared" si="602"/>
        <v>911</v>
      </c>
      <c r="H2775" s="28">
        <f t="shared" si="602"/>
        <v>911</v>
      </c>
      <c r="I2775" s="28">
        <f t="shared" si="602"/>
        <v>911</v>
      </c>
      <c r="J2775" s="28">
        <f t="shared" si="602"/>
        <v>911</v>
      </c>
      <c r="K2775" s="28">
        <f t="shared" si="602"/>
        <v>911</v>
      </c>
      <c r="L2775" s="28">
        <f t="shared" si="602"/>
        <v>911</v>
      </c>
      <c r="M2775" s="28">
        <f t="shared" si="602"/>
        <v>911</v>
      </c>
    </row>
    <row r="2776" spans="1:13" ht="15" customHeight="1" x14ac:dyDescent="0.2">
      <c r="B2776" s="10" t="s">
        <v>897</v>
      </c>
      <c r="C2776" s="10" t="s">
        <v>110</v>
      </c>
      <c r="D2776" s="16">
        <f>D2775*($D$2795/Inputs!$D$21+$D$2796/Inputs!$D$22)</f>
        <v>1816.9772859324419</v>
      </c>
      <c r="E2776" s="16">
        <f>E2775*($D$2795/Inputs!$D$21+$D$2796/Inputs!$D$22)</f>
        <v>6922.8643817497086</v>
      </c>
      <c r="F2776" s="16">
        <f>F2775*($D$2795/Inputs!$D$21+$D$2796/Inputs!$D$22)</f>
        <v>11303.0048030135</v>
      </c>
      <c r="G2776" s="16">
        <f>G2775*($D$2795/Inputs!$D$21+$D$2796/Inputs!$D$22)</f>
        <v>13180.207840697982</v>
      </c>
      <c r="H2776" s="16">
        <f>H2775*($D$2795/Inputs!$D$21+$D$2796/Inputs!$D$22)</f>
        <v>13180.207840697982</v>
      </c>
      <c r="I2776" s="16">
        <f>I2775*($D$2795/Inputs!$D$21+$D$2796/Inputs!$D$22)</f>
        <v>13180.207840697982</v>
      </c>
      <c r="J2776" s="16">
        <f>J2775*($D$2795/Inputs!$D$21+$D$2796/Inputs!$D$22)</f>
        <v>13180.207840697982</v>
      </c>
      <c r="K2776" s="16">
        <f>K2775*($D$2795/Inputs!$D$21+$D$2796/Inputs!$D$22)</f>
        <v>13180.207840697982</v>
      </c>
      <c r="L2776" s="16">
        <f>L2775*($D$2795/Inputs!$D$21+$D$2796/Inputs!$D$22)</f>
        <v>13180.207840697982</v>
      </c>
      <c r="M2776" s="16">
        <f>M2775*($D$2795/Inputs!$D$21+$D$2796/Inputs!$D$22)</f>
        <v>13180.207840697982</v>
      </c>
    </row>
    <row r="2777" spans="1:13" ht="15" customHeight="1" x14ac:dyDescent="0.2">
      <c r="B2777" s="10" t="s">
        <v>898</v>
      </c>
      <c r="C2777" s="10" t="s">
        <v>110</v>
      </c>
      <c r="D2777" s="16">
        <f t="shared" ref="D2777:M2777" si="603">D2773*($D$2795+$D$2796)</f>
        <v>15560.968620146154</v>
      </c>
      <c r="E2777" s="16">
        <f t="shared" si="603"/>
        <v>20747.95816019487</v>
      </c>
      <c r="F2777" s="16">
        <f t="shared" si="603"/>
        <v>15560.968620146154</v>
      </c>
      <c r="G2777" s="16">
        <f t="shared" si="603"/>
        <v>0</v>
      </c>
      <c r="H2777" s="16">
        <f t="shared" si="603"/>
        <v>0</v>
      </c>
      <c r="I2777" s="16">
        <f t="shared" si="603"/>
        <v>0</v>
      </c>
      <c r="J2777" s="16">
        <f t="shared" si="603"/>
        <v>0</v>
      </c>
      <c r="K2777" s="16">
        <f t="shared" si="603"/>
        <v>0</v>
      </c>
      <c r="L2777" s="16">
        <f t="shared" si="603"/>
        <v>0</v>
      </c>
      <c r="M2777" s="16">
        <f t="shared" si="603"/>
        <v>0</v>
      </c>
    </row>
    <row r="2778" spans="1:13" ht="15" customHeight="1" x14ac:dyDescent="0.2">
      <c r="B2778" s="10" t="s">
        <v>899</v>
      </c>
      <c r="C2778" s="10" t="s">
        <v>110</v>
      </c>
      <c r="D2778" s="16">
        <f t="shared" ref="D2778:M2778" si="604">D2774*$D$2795</f>
        <v>0</v>
      </c>
      <c r="E2778" s="16">
        <f t="shared" si="604"/>
        <v>0</v>
      </c>
      <c r="F2778" s="16">
        <f t="shared" si="604"/>
        <v>0</v>
      </c>
      <c r="G2778" s="16">
        <f t="shared" si="604"/>
        <v>2638.0048485671714</v>
      </c>
      <c r="H2778" s="16">
        <f t="shared" si="604"/>
        <v>14881.788221808281</v>
      </c>
      <c r="I2778" s="16">
        <f t="shared" si="604"/>
        <v>19842.384295744378</v>
      </c>
      <c r="J2778" s="16">
        <f t="shared" si="604"/>
        <v>14881.788221808281</v>
      </c>
      <c r="K2778" s="16">
        <f t="shared" si="604"/>
        <v>2638.0048485671714</v>
      </c>
      <c r="L2778" s="16">
        <f t="shared" si="604"/>
        <v>14881.788221808281</v>
      </c>
      <c r="M2778" s="16">
        <f t="shared" si="604"/>
        <v>19842.384295744378</v>
      </c>
    </row>
    <row r="2779" spans="1:13" ht="15" customHeight="1" x14ac:dyDescent="0.2">
      <c r="B2779" s="10" t="s">
        <v>900</v>
      </c>
      <c r="C2779" s="10" t="s">
        <v>199</v>
      </c>
      <c r="D2779" s="28">
        <f>D2773*Inputs!$D$23</f>
        <v>6.4875000000000007</v>
      </c>
      <c r="E2779" s="28">
        <f>E2773*Inputs!$D$23</f>
        <v>8.65</v>
      </c>
      <c r="F2779" s="28">
        <f>F2773*Inputs!$D$23</f>
        <v>6.4875000000000007</v>
      </c>
      <c r="G2779" s="28">
        <f>G2773*Inputs!$D$23</f>
        <v>0</v>
      </c>
      <c r="H2779" s="28">
        <f>H2773*Inputs!$D$23</f>
        <v>0</v>
      </c>
      <c r="I2779" s="28">
        <f>I2773*Inputs!$D$23</f>
        <v>0</v>
      </c>
      <c r="J2779" s="28">
        <f>J2773*Inputs!$D$23</f>
        <v>0</v>
      </c>
      <c r="K2779" s="28">
        <f>K2773*Inputs!$D$23</f>
        <v>0</v>
      </c>
      <c r="L2779" s="28">
        <f>L2773*Inputs!$D$23</f>
        <v>0</v>
      </c>
      <c r="M2779" s="28">
        <f>M2773*Inputs!$D$23</f>
        <v>0</v>
      </c>
    </row>
    <row r="2780" spans="1:13" ht="15" customHeight="1" x14ac:dyDescent="0.2">
      <c r="B2780" s="3" t="s">
        <v>901</v>
      </c>
      <c r="C2780" s="10" t="s">
        <v>896</v>
      </c>
      <c r="D2780" s="28">
        <f>(D2775*$D$2793*(Inputs!$D$7-Inputs!$D$19)-D2779)/(Inputs!$D$7+$D$2794)^D2768</f>
        <v>52.104528839313289</v>
      </c>
      <c r="E2780" s="28">
        <f>(E2775*$D$2793*(Inputs!$D$7-Inputs!$D$19)-E2779)/(Inputs!$D$7+$D$2794)^E2768</f>
        <v>197.86841911840659</v>
      </c>
      <c r="F2780" s="28">
        <f>(F2775*$D$2793*(Inputs!$D$7-Inputs!$D$19)-F2779)/(Inputs!$D$7+$D$2794)^F2768</f>
        <v>305.3415381972203</v>
      </c>
      <c r="G2780" s="28">
        <f>(G2775*$D$2793*(Inputs!$D$7-Inputs!$D$19)-G2779)/(Inputs!$D$7+$D$2794)^G2768</f>
        <v>335.37941094328897</v>
      </c>
      <c r="H2780" s="28">
        <f>(H2775*$D$2793*(Inputs!$D$7-Inputs!$D$19)-H2779)/(Inputs!$D$7+$D$2794)^H2768</f>
        <v>310.5528501639069</v>
      </c>
      <c r="I2780" s="28">
        <f>(I2775*$D$2793*(Inputs!$D$7-Inputs!$D$19)-I2779)/(Inputs!$D$7+$D$2794)^I2768</f>
        <v>287.50349731453537</v>
      </c>
      <c r="J2780" s="28">
        <f>(J2775*$D$2793*(Inputs!$D$7-Inputs!$D$19)-J2779)/(Inputs!$D$7+$D$2794)^J2768</f>
        <v>266.22096530015602</v>
      </c>
      <c r="K2780" s="28">
        <f>(K2775*$D$2793*(Inputs!$D$7-Inputs!$D$19)-K2779)/(Inputs!$D$7+$D$2794)^K2768</f>
        <v>246.5138790566069</v>
      </c>
      <c r="L2780" s="28">
        <f>(L2775*$D$2793*(Inputs!$D$7-Inputs!$D$19)-L2779)/(Inputs!$D$7+$D$2794)^L2768</f>
        <v>228.26561574149545</v>
      </c>
      <c r="M2780" s="28">
        <f>(M2775*$D$2793*(Inputs!$D$7-Inputs!$D$19)-M2779)/(Inputs!$D$7+$D$2794)^M2768</f>
        <v>211.32365330956841</v>
      </c>
    </row>
    <row r="2781" spans="1:13" ht="15" customHeight="1" x14ac:dyDescent="0.2">
      <c r="B2781" s="10" t="s">
        <v>902</v>
      </c>
      <c r="C2781" s="10" t="s">
        <v>110</v>
      </c>
      <c r="D2781" s="16">
        <f>(D2776*Inputs!$D$19-D2777-D2778)/(Inputs!$D$7+$D$2794)^D2768</f>
        <v>-14212.377724210151</v>
      </c>
      <c r="E2781" s="16">
        <f>(E2776*Inputs!$D$19-E2777-E2778)/(Inputs!$D$7+$D$2794)^E2768</f>
        <v>-16360.387094728963</v>
      </c>
      <c r="F2781" s="16">
        <f>(F2776*Inputs!$D$19-F2777-F2778)/(Inputs!$D$7+$D$2794)^F2768</f>
        <v>-9874.5154652847668</v>
      </c>
      <c r="G2781" s="16">
        <f>(G2776*Inputs!$D$19-G2777-G2778)/(Inputs!$D$7+$D$2794)^G2768</f>
        <v>988.77347238742834</v>
      </c>
      <c r="H2781" s="16">
        <f>(H2776*Inputs!$D$19-H2777-H2778)/(Inputs!$D$7+$D$2794)^H2768</f>
        <v>-7602.4024163036647</v>
      </c>
      <c r="I2781" s="16">
        <f>(I2776*Inputs!$D$19-I2777-I2778)/(Inputs!$D$7+$D$2794)^I2768</f>
        <v>-10233.087939303265</v>
      </c>
      <c r="J2781" s="16">
        <f>(J2776*Inputs!$D$19-J2777-J2778)/(Inputs!$D$7+$D$2794)^J2768</f>
        <v>-6517.1480757635773</v>
      </c>
      <c r="K2781" s="16">
        <f>(K2776*Inputs!$D$19-K2777-K2778)/(Inputs!$D$7+$D$2794)^K2768</f>
        <v>726.77801985796941</v>
      </c>
      <c r="L2781" s="16">
        <f>(L2776*Inputs!$D$19-L2777-L2778)/(Inputs!$D$7+$D$2794)^L2768</f>
        <v>-5587.9927289550824</v>
      </c>
      <c r="M2781" s="16">
        <f>(M2776*Inputs!$D$19-M2777-M2778)/(Inputs!$D$7+$D$2794)^M2768</f>
        <v>-7521.6251216792398</v>
      </c>
    </row>
    <row r="2782" spans="1:13" ht="15" customHeight="1" x14ac:dyDescent="0.2">
      <c r="B2782" s="10" t="s">
        <v>903</v>
      </c>
      <c r="C2782" s="10" t="s">
        <v>110</v>
      </c>
      <c r="D2782" s="16">
        <f t="shared" ref="D2782:M2782" si="605">D2775*$D$2792</f>
        <v>3982.130195484473</v>
      </c>
      <c r="E2782" s="16">
        <f t="shared" si="605"/>
        <v>15172.312558471067</v>
      </c>
      <c r="F2782" s="16">
        <f t="shared" si="605"/>
        <v>24771.931423835991</v>
      </c>
      <c r="G2782" s="16">
        <f t="shared" si="605"/>
        <v>28886.053794706673</v>
      </c>
      <c r="H2782" s="16">
        <f t="shared" si="605"/>
        <v>28886.053794706673</v>
      </c>
      <c r="I2782" s="16">
        <f t="shared" si="605"/>
        <v>28886.053794706673</v>
      </c>
      <c r="J2782" s="16">
        <f t="shared" si="605"/>
        <v>28886.053794706673</v>
      </c>
      <c r="K2782" s="16">
        <f t="shared" si="605"/>
        <v>28886.053794706673</v>
      </c>
      <c r="L2782" s="16">
        <f t="shared" si="605"/>
        <v>28886.053794706673</v>
      </c>
      <c r="M2782" s="16">
        <f t="shared" si="605"/>
        <v>28886.053794706673</v>
      </c>
    </row>
    <row r="2783" spans="1:13" ht="15" customHeight="1" x14ac:dyDescent="0.2">
      <c r="B2783" s="10" t="s">
        <v>904</v>
      </c>
      <c r="C2783" s="10" t="s">
        <v>110</v>
      </c>
      <c r="D2783" s="16">
        <f t="shared" ref="D2783:M2783" si="606">D2782*$D$2793</f>
        <v>2787.4911368391308</v>
      </c>
      <c r="E2783" s="16">
        <f t="shared" si="606"/>
        <v>10620.618790929746</v>
      </c>
      <c r="F2783" s="16">
        <f t="shared" si="606"/>
        <v>17340.351996685193</v>
      </c>
      <c r="G2783" s="16">
        <f t="shared" si="606"/>
        <v>20220.23765629467</v>
      </c>
      <c r="H2783" s="16">
        <f t="shared" si="606"/>
        <v>20220.23765629467</v>
      </c>
      <c r="I2783" s="16">
        <f t="shared" si="606"/>
        <v>20220.23765629467</v>
      </c>
      <c r="J2783" s="16">
        <f t="shared" si="606"/>
        <v>20220.23765629467</v>
      </c>
      <c r="K2783" s="16">
        <f t="shared" si="606"/>
        <v>20220.23765629467</v>
      </c>
      <c r="L2783" s="16">
        <f t="shared" si="606"/>
        <v>20220.23765629467</v>
      </c>
      <c r="M2783" s="16">
        <f t="shared" si="606"/>
        <v>20220.23765629467</v>
      </c>
    </row>
    <row r="2784" spans="1:13" ht="15" customHeight="1" x14ac:dyDescent="0.2">
      <c r="B2784" s="10" t="s">
        <v>905</v>
      </c>
      <c r="C2784" s="10" t="s">
        <v>110</v>
      </c>
      <c r="D2784" s="16">
        <f t="shared" ref="D2784:M2784" si="607">D2783-D2776</f>
        <v>970.51385090668896</v>
      </c>
      <c r="E2784" s="16">
        <f t="shared" si="607"/>
        <v>3697.7544091800373</v>
      </c>
      <c r="F2784" s="16">
        <f t="shared" si="607"/>
        <v>6037.3471936716924</v>
      </c>
      <c r="G2784" s="16">
        <f t="shared" si="607"/>
        <v>7040.0298155966884</v>
      </c>
      <c r="H2784" s="16">
        <f t="shared" si="607"/>
        <v>7040.0298155966884</v>
      </c>
      <c r="I2784" s="16">
        <f t="shared" si="607"/>
        <v>7040.0298155966884</v>
      </c>
      <c r="J2784" s="16">
        <f t="shared" si="607"/>
        <v>7040.0298155966884</v>
      </c>
      <c r="K2784" s="16">
        <f t="shared" si="607"/>
        <v>7040.0298155966884</v>
      </c>
      <c r="L2784" s="16">
        <f t="shared" si="607"/>
        <v>7040.0298155966884</v>
      </c>
      <c r="M2784" s="16">
        <f t="shared" si="607"/>
        <v>7040.0298155966884</v>
      </c>
    </row>
    <row r="2785" spans="2:13" ht="15" customHeight="1" x14ac:dyDescent="0.2">
      <c r="B2785" s="10" t="s">
        <v>906</v>
      </c>
      <c r="C2785" s="10" t="s">
        <v>110</v>
      </c>
      <c r="D2785" s="16">
        <f>MAX(D2784,Inputs!$D$6)*Inputs!$D$19</f>
        <v>291.15415527200668</v>
      </c>
      <c r="E2785" s="16">
        <f>MAX(E2784,Inputs!$D$6)*Inputs!$D$19</f>
        <v>1109.3263227540112</v>
      </c>
      <c r="F2785" s="16">
        <f>MAX(F2784,Inputs!$D$6)*Inputs!$D$19</f>
        <v>1811.2041581015076</v>
      </c>
      <c r="G2785" s="16">
        <f>MAX(G2784,Inputs!$D$6)*Inputs!$D$19</f>
        <v>2112.0089446790066</v>
      </c>
      <c r="H2785" s="16">
        <f>MAX(H2784,Inputs!$D$6)*Inputs!$D$19</f>
        <v>2112.0089446790066</v>
      </c>
      <c r="I2785" s="16">
        <f>MAX(I2784,Inputs!$D$6)*Inputs!$D$19</f>
        <v>2112.0089446790066</v>
      </c>
      <c r="J2785" s="16">
        <f>MAX(J2784,Inputs!$D$6)*Inputs!$D$19</f>
        <v>2112.0089446790066</v>
      </c>
      <c r="K2785" s="16">
        <f>MAX(K2784,Inputs!$D$6)*Inputs!$D$19</f>
        <v>2112.0089446790066</v>
      </c>
      <c r="L2785" s="16">
        <f>MAX(L2784,Inputs!$D$6)*Inputs!$D$19</f>
        <v>2112.0089446790066</v>
      </c>
      <c r="M2785" s="16">
        <f>MAX(M2784,Inputs!$D$6)*Inputs!$D$19</f>
        <v>2112.0089446790066</v>
      </c>
    </row>
    <row r="2786" spans="2:13" ht="15" customHeight="1" x14ac:dyDescent="0.2">
      <c r="B2786" s="10" t="s">
        <v>907</v>
      </c>
      <c r="C2786" s="10" t="s">
        <v>110</v>
      </c>
      <c r="D2786" s="16">
        <f t="shared" ref="D2786:M2786" si="608">D2779*$D$2792</f>
        <v>205.7061185435341</v>
      </c>
      <c r="E2786" s="16">
        <f t="shared" si="608"/>
        <v>274.27482472471212</v>
      </c>
      <c r="F2786" s="16">
        <f t="shared" si="608"/>
        <v>205.7061185435341</v>
      </c>
      <c r="G2786" s="16">
        <f t="shared" si="608"/>
        <v>0</v>
      </c>
      <c r="H2786" s="16">
        <f t="shared" si="608"/>
        <v>0</v>
      </c>
      <c r="I2786" s="16">
        <f t="shared" si="608"/>
        <v>0</v>
      </c>
      <c r="J2786" s="16">
        <f t="shared" si="608"/>
        <v>0</v>
      </c>
      <c r="K2786" s="16">
        <f t="shared" si="608"/>
        <v>0</v>
      </c>
      <c r="L2786" s="16">
        <f t="shared" si="608"/>
        <v>0</v>
      </c>
      <c r="M2786" s="16">
        <f t="shared" si="608"/>
        <v>0</v>
      </c>
    </row>
    <row r="2787" spans="2:13" ht="15" customHeight="1" x14ac:dyDescent="0.2">
      <c r="B2787" s="10" t="s">
        <v>908</v>
      </c>
      <c r="C2787" s="10" t="s">
        <v>110</v>
      </c>
      <c r="D2787" s="16">
        <f t="shared" ref="D2787:M2787" si="609">D2783-D2785-D2777-D2778-D2786</f>
        <v>-13270.337757122565</v>
      </c>
      <c r="E2787" s="16">
        <f t="shared" si="609"/>
        <v>-11510.940516743849</v>
      </c>
      <c r="F2787" s="16">
        <f t="shared" si="609"/>
        <v>-237.52690010600236</v>
      </c>
      <c r="G2787" s="16">
        <f t="shared" si="609"/>
        <v>15470.22386304849</v>
      </c>
      <c r="H2787" s="16">
        <f t="shared" si="609"/>
        <v>3226.4404898073808</v>
      </c>
      <c r="I2787" s="16">
        <f t="shared" si="609"/>
        <v>-1734.1555841287154</v>
      </c>
      <c r="J2787" s="16">
        <f t="shared" si="609"/>
        <v>3226.4404898073808</v>
      </c>
      <c r="K2787" s="16">
        <f t="shared" si="609"/>
        <v>15470.22386304849</v>
      </c>
      <c r="L2787" s="16">
        <f t="shared" si="609"/>
        <v>3226.4404898073808</v>
      </c>
      <c r="M2787" s="16">
        <f t="shared" si="609"/>
        <v>-1734.1555841287154</v>
      </c>
    </row>
    <row r="2788" spans="2:13" ht="15" customHeight="1" x14ac:dyDescent="0.2">
      <c r="B2788" s="10" t="s">
        <v>909</v>
      </c>
      <c r="C2788" s="10" t="s">
        <v>110</v>
      </c>
      <c r="D2788" s="16">
        <f>D2787/(Inputs!$D$7+$D$2794)^D2768</f>
        <v>-12560.243560653349</v>
      </c>
      <c r="E2788" s="16">
        <f>E2787/(Inputs!$D$7+$D$2794)^E2768</f>
        <v>-10086.360970768637</v>
      </c>
      <c r="F2788" s="16">
        <f>F2787/(Inputs!$D$7+$D$2794)^F2768</f>
        <v>-192.72391959498904</v>
      </c>
      <c r="G2788" s="16">
        <f>G2787/(Inputs!$D$7+$D$2794)^G2768</f>
        <v>11623.008056520119</v>
      </c>
      <c r="H2788" s="16">
        <f>H2787/(Inputs!$D$7+$D$2794)^H2768</f>
        <v>2244.6297855998432</v>
      </c>
      <c r="I2788" s="16">
        <f>I2787/(Inputs!$D$7+$D$2794)^I2768</f>
        <v>-1116.9062822297469</v>
      </c>
      <c r="J2788" s="16">
        <f>J2787/(Inputs!$D$7+$D$2794)^J2768</f>
        <v>1924.2055191201177</v>
      </c>
      <c r="K2788" s="16">
        <f>K2787/(Inputs!$D$7+$D$2794)^K2768</f>
        <v>8543.2579008359717</v>
      </c>
      <c r="L2788" s="16">
        <f>L2787/(Inputs!$D$7+$D$2794)^L2768</f>
        <v>1649.8699008919871</v>
      </c>
      <c r="M2788" s="16">
        <f>M2787/(Inputs!$D$7+$D$2794)^M2768</f>
        <v>-820.9594602147647</v>
      </c>
    </row>
    <row r="2789" spans="2:13" ht="15" customHeight="1" x14ac:dyDescent="0.2">
      <c r="B2789" s="3" t="s">
        <v>910</v>
      </c>
      <c r="C2789" s="10" t="s">
        <v>896</v>
      </c>
      <c r="D2789" s="28">
        <f>(D2775*$D$2793-D2779)/(Inputs!$D$7+$D$2794)^D2768</f>
        <v>77.066621761551716</v>
      </c>
      <c r="E2789" s="28">
        <f>(E2775*$D$2793-E2779)/(Inputs!$D$7+$D$2794)^E2768</f>
        <v>285.91752168073901</v>
      </c>
      <c r="F2789" s="28">
        <f>(F2775*$D$2793-F2779)/(Inputs!$D$7+$D$2794)^F2768</f>
        <v>438.45811591722685</v>
      </c>
      <c r="G2789" s="28">
        <f>(G2775*$D$2793-G2779)/(Inputs!$D$7+$D$2794)^G2768</f>
        <v>479.11344420469857</v>
      </c>
      <c r="H2789" s="28">
        <f>(H2775*$D$2793-H2779)/(Inputs!$D$7+$D$2794)^H2768</f>
        <v>443.6469288055813</v>
      </c>
      <c r="I2789" s="28">
        <f>(I2775*$D$2793-I2779)/(Inputs!$D$7+$D$2794)^I2768</f>
        <v>410.71928187790763</v>
      </c>
      <c r="J2789" s="28">
        <f>(J2775*$D$2793-J2779)/(Inputs!$D$7+$D$2794)^J2768</f>
        <v>380.31566471450867</v>
      </c>
      <c r="K2789" s="28">
        <f>(K2775*$D$2793-K2779)/(Inputs!$D$7+$D$2794)^K2768</f>
        <v>352.16268436658129</v>
      </c>
      <c r="L2789" s="28">
        <f>(L2775*$D$2793-L2779)/(Inputs!$D$7+$D$2794)^L2768</f>
        <v>326.09373677356496</v>
      </c>
      <c r="M2789" s="28">
        <f>(M2775*$D$2793-M2779)/(Inputs!$D$7+$D$2794)^M2768</f>
        <v>301.89093329938345</v>
      </c>
    </row>
    <row r="2790" spans="2:13" ht="15" customHeight="1" x14ac:dyDescent="0.2">
      <c r="B2790" s="10" t="s">
        <v>911</v>
      </c>
      <c r="C2790" s="10" t="s">
        <v>110</v>
      </c>
      <c r="D2790" s="16">
        <f>(-D2777-D2778)/(Inputs!$D$7+$D$2794)^D2768</f>
        <v>-14728.303038392241</v>
      </c>
      <c r="E2790" s="16">
        <f>(-E2777-E2778)/(Inputs!$D$7+$D$2794)^E2768</f>
        <v>-18180.216908055725</v>
      </c>
      <c r="F2790" s="16">
        <f>(-F2777-F2778)/(Inputs!$D$7+$D$2794)^F2768</f>
        <v>-12625.815702688111</v>
      </c>
      <c r="G2790" s="16">
        <f>(-G2777-G2778)/(Inputs!$D$7+$D$2794)^G2768</f>
        <v>-1981.9720696655354</v>
      </c>
      <c r="H2790" s="16">
        <f>(-H2777-H2778)/(Inputs!$D$7+$D$2794)^H2768</f>
        <v>-10353.237634844469</v>
      </c>
      <c r="I2790" s="16">
        <f>(-I2777-I2778)/(Inputs!$D$7+$D$2794)^I2768</f>
        <v>-12779.755102232404</v>
      </c>
      <c r="J2790" s="16">
        <f>(-J2777-J2778)/(Inputs!$D$7+$D$2794)^J2768</f>
        <v>-8875.2974434962562</v>
      </c>
      <c r="K2790" s="16">
        <f>(-K2777-K2778)/(Inputs!$D$7+$D$2794)^K2768</f>
        <v>-1456.8086386129401</v>
      </c>
      <c r="L2790" s="16">
        <f>(-L2777-L2778)/(Inputs!$D$7+$D$2794)^L2768</f>
        <v>-7609.9387347064285</v>
      </c>
      <c r="M2790" s="16">
        <f>(-M2777-M2778)/(Inputs!$D$7+$D$2794)^M2768</f>
        <v>-9393.5015115686074</v>
      </c>
    </row>
    <row r="2791" spans="2:13" ht="15" customHeight="1" x14ac:dyDescent="0.2">
      <c r="B2791" s="10" t="s">
        <v>912</v>
      </c>
      <c r="C2791" s="10" t="s">
        <v>110</v>
      </c>
      <c r="D2791" s="16">
        <f>Prices!I8</f>
        <v>32775</v>
      </c>
    </row>
    <row r="2792" spans="2:13" ht="15" customHeight="1" x14ac:dyDescent="0.2">
      <c r="B2792" s="3" t="s">
        <v>913</v>
      </c>
      <c r="C2792" s="10" t="s">
        <v>914</v>
      </c>
      <c r="D2792" s="28">
        <f>IF(J2799&gt;=J2795,J2799,(D2791-J2798)/J2797)</f>
        <v>31.708072222510069</v>
      </c>
      <c r="G2792" s="99" t="s">
        <v>915</v>
      </c>
      <c r="H2792" s="91"/>
      <c r="I2792" s="91"/>
      <c r="J2792" s="28">
        <f>D2792*Inputs!$D$15</f>
        <v>22.129063604089776</v>
      </c>
      <c r="K2792" s="99" t="s">
        <v>916</v>
      </c>
      <c r="L2792" s="91"/>
      <c r="M2792" s="91"/>
    </row>
    <row r="2793" spans="2:13" ht="15" customHeight="1" x14ac:dyDescent="0.2">
      <c r="B2793" s="10" t="s">
        <v>917</v>
      </c>
      <c r="C2793" s="10" t="s">
        <v>104</v>
      </c>
      <c r="D2793" s="30">
        <f>Inputs!$D$143</f>
        <v>0.7</v>
      </c>
      <c r="G2793" s="99" t="s">
        <v>918</v>
      </c>
      <c r="H2793" s="91"/>
      <c r="I2793" s="91"/>
      <c r="J2793" s="28">
        <f>IF(-D2804/D2803&gt;=J2795,-D2804/D2803,-J2798/J2797)</f>
        <v>26.566474729035129</v>
      </c>
      <c r="K2793" s="99" t="s">
        <v>919</v>
      </c>
      <c r="L2793" s="91"/>
      <c r="M2793" s="91"/>
    </row>
    <row r="2794" spans="2:13" ht="15" customHeight="1" x14ac:dyDescent="0.2">
      <c r="B2794" s="10" t="s">
        <v>920</v>
      </c>
      <c r="C2794" s="10" t="s">
        <v>104</v>
      </c>
      <c r="D2794" s="30">
        <f>Inputs!$D$146</f>
        <v>0.08</v>
      </c>
      <c r="G2794" s="99" t="s">
        <v>918</v>
      </c>
      <c r="H2794" s="91"/>
      <c r="I2794" s="91"/>
      <c r="J2794" s="28">
        <f>J2793*Inputs!$D$15</f>
        <v>18.540742713393616</v>
      </c>
      <c r="K2794" s="99" t="s">
        <v>916</v>
      </c>
      <c r="L2794" s="91"/>
      <c r="M2794" s="91"/>
    </row>
    <row r="2795" spans="2:13" ht="15" customHeight="1" x14ac:dyDescent="0.2">
      <c r="B2795" s="3" t="s">
        <v>921</v>
      </c>
      <c r="C2795" s="10" t="s">
        <v>848</v>
      </c>
      <c r="D2795" s="28">
        <f>Capital!$D$13</f>
        <v>57.347931490590682</v>
      </c>
      <c r="G2795" s="99" t="s">
        <v>922</v>
      </c>
      <c r="H2795" s="91"/>
      <c r="I2795" s="91"/>
      <c r="J2795" s="28">
        <f>($D$2795/Inputs!$D$21+$D$2796/Inputs!$D$22)/$D$2793</f>
        <v>20.668351639796114</v>
      </c>
      <c r="K2795" s="99" t="s">
        <v>919</v>
      </c>
      <c r="L2795" s="91"/>
      <c r="M2795" s="91"/>
    </row>
    <row r="2796" spans="2:13" ht="15" customHeight="1" x14ac:dyDescent="0.2">
      <c r="B2796" s="3" t="s">
        <v>923</v>
      </c>
      <c r="C2796" s="10" t="s">
        <v>848</v>
      </c>
      <c r="D2796" s="28">
        <f>Capital!$D$14</f>
        <v>2.6172655041921802</v>
      </c>
    </row>
    <row r="2797" spans="2:13" ht="15" customHeight="1" x14ac:dyDescent="0.2">
      <c r="B2797" s="10" t="s">
        <v>924</v>
      </c>
      <c r="C2797" s="10" t="s">
        <v>896</v>
      </c>
      <c r="D2797" s="28">
        <f>(M2770*(Inputs!$D$7+Inputs!$D$20)*$D$2793*(Inputs!$D$7-Inputs!$D$19)-M2770*Inputs!$D$20*Inputs!$D$23)/($D$2794-Inputs!$D$20)/(Inputs!$D$7+$D$2794)^M2768</f>
        <v>3933.4036212026808</v>
      </c>
      <c r="G2797" s="92" t="s">
        <v>910</v>
      </c>
      <c r="H2797" s="91"/>
      <c r="I2797" s="91"/>
      <c r="J2797" s="28">
        <f>SUM(D2789:M2789)+(M2770*(Inputs!$D$7+Inputs!$D$20)*$D$2793-M2770*Inputs!$D$20*Inputs!$D$23)/($D$2794-Inputs!$D$20)/(Inputs!$D$7+$D$2794)^M2768</f>
        <v>9116.6333180509773</v>
      </c>
      <c r="K2797" s="99" t="s">
        <v>896</v>
      </c>
      <c r="L2797" s="91"/>
      <c r="M2797" s="91"/>
    </row>
    <row r="2798" spans="2:13" ht="15" customHeight="1" x14ac:dyDescent="0.2">
      <c r="B2798" s="10" t="s">
        <v>925</v>
      </c>
      <c r="C2798" s="10" t="s">
        <v>110</v>
      </c>
      <c r="D2798" s="16">
        <f>(D2801*Inputs!$D$19-D2801-D2802)/($D$2794-Inputs!$D$20)/(Inputs!$D$7+$D$2794)^M2768</f>
        <v>-93153.423070883771</v>
      </c>
      <c r="G2798" s="92" t="s">
        <v>926</v>
      </c>
      <c r="H2798" s="91"/>
      <c r="I2798" s="91"/>
      <c r="J2798" s="16">
        <f>SUM(D2790:M2790)-(D2801+D2802)/($D$2794-Inputs!$D$20)/(Inputs!$D$7+$D$2794)^M2768</f>
        <v>-226023.23893944838</v>
      </c>
      <c r="K2798" s="99" t="s">
        <v>110</v>
      </c>
      <c r="L2798" s="91"/>
      <c r="M2798" s="91"/>
    </row>
    <row r="2799" spans="2:13" ht="15" customHeight="1" x14ac:dyDescent="0.2">
      <c r="B2799" s="10" t="s">
        <v>927</v>
      </c>
      <c r="C2799" s="10" t="s">
        <v>928</v>
      </c>
      <c r="D2799" s="16">
        <f>(M2770*(Inputs!$D$7+Inputs!$D$20)*$D$2792*$D$2793-D2801)-MAX((M2770*(Inputs!$D$7+Inputs!$D$20)*$D$2792*$D$2793-D2801),Inputs!$D$6)*Inputs!$D$19-D2802-M2770*Inputs!$D$20*$D$2792*Inputs!$D$23</f>
        <v>3667.4602475127526</v>
      </c>
      <c r="G2799" s="99" t="s">
        <v>929</v>
      </c>
      <c r="H2799" s="91"/>
      <c r="I2799" s="91"/>
      <c r="J2799" s="28">
        <f>(D2791-D2804)/D2803</f>
        <v>31.708072222510069</v>
      </c>
      <c r="K2799" s="99" t="s">
        <v>919</v>
      </c>
      <c r="L2799" s="91"/>
      <c r="M2799" s="91"/>
    </row>
    <row r="2800" spans="2:13" ht="15" customHeight="1" x14ac:dyDescent="0.2">
      <c r="B2800" s="10" t="s">
        <v>930</v>
      </c>
      <c r="C2800" s="10" t="s">
        <v>110</v>
      </c>
      <c r="D2800" s="16">
        <f>D2799/($D$2794-Inputs!$D$20)</f>
        <v>66681.095409322777</v>
      </c>
      <c r="G2800" s="99" t="s">
        <v>931</v>
      </c>
      <c r="H2800" s="91"/>
      <c r="I2800" s="91"/>
      <c r="J2800" s="16">
        <f>MIN(D2784:M2784,(M2770*(Inputs!$D$7+Inputs!$D$20)*$D$2792*$D$2793-D2801))</f>
        <v>970.51385090668896</v>
      </c>
      <c r="K2800" s="99" t="s">
        <v>110</v>
      </c>
      <c r="L2800" s="91"/>
      <c r="M2800" s="91"/>
    </row>
    <row r="2801" spans="1:13" ht="15" customHeight="1" x14ac:dyDescent="0.2">
      <c r="B2801" s="10" t="s">
        <v>932</v>
      </c>
      <c r="C2801" s="10" t="s">
        <v>928</v>
      </c>
      <c r="D2801" s="16">
        <f>M2770*(Inputs!$D$7+Inputs!$D$20)*($D$2795/Inputs!$D$21+$D$2796/Inputs!$D$22)</f>
        <v>13509.71303671543</v>
      </c>
      <c r="G2801" s="99" t="s">
        <v>933</v>
      </c>
      <c r="H2801" s="91"/>
      <c r="I2801" s="91"/>
      <c r="J2801" s="31" t="str">
        <f>IF(J2800&lt;Inputs!$D$6,"breached","satisfied")</f>
        <v>satisfied</v>
      </c>
      <c r="K2801" s="99" t="s">
        <v>934</v>
      </c>
      <c r="L2801" s="91"/>
      <c r="M2801" s="91"/>
    </row>
    <row r="2802" spans="1:13" ht="15" customHeight="1" x14ac:dyDescent="0.2">
      <c r="B2802" s="10" t="s">
        <v>935</v>
      </c>
      <c r="C2802" s="10" t="s">
        <v>928</v>
      </c>
      <c r="D2802" s="16">
        <f>M2770*Inputs!$D$20*($D$2795+$D$2796)</f>
        <v>1365.7073615561799</v>
      </c>
    </row>
    <row r="2803" spans="1:13" ht="15" customHeight="1" x14ac:dyDescent="0.2">
      <c r="B2803" s="10" t="s">
        <v>936</v>
      </c>
      <c r="C2803" s="10" t="s">
        <v>896</v>
      </c>
      <c r="D2803" s="28">
        <f>SUM(D2780:M2780)+D2797</f>
        <v>6374.4779791871788</v>
      </c>
      <c r="G2803" s="99" t="s">
        <v>937</v>
      </c>
      <c r="H2803" s="91"/>
      <c r="I2803" s="91"/>
      <c r="J2803" s="16">
        <f>D2805-D2791</f>
        <v>0</v>
      </c>
      <c r="K2803" s="99" t="s">
        <v>110</v>
      </c>
      <c r="L2803" s="91"/>
      <c r="M2803" s="91"/>
    </row>
    <row r="2804" spans="1:13" ht="15" customHeight="1" x14ac:dyDescent="0.2">
      <c r="B2804" s="10" t="s">
        <v>938</v>
      </c>
      <c r="C2804" s="10" t="s">
        <v>110</v>
      </c>
      <c r="D2804" s="16">
        <f>SUM(D2781:M2781)+D2798</f>
        <v>-169347.40814486711</v>
      </c>
    </row>
    <row r="2805" spans="1:13" ht="15" customHeight="1" x14ac:dyDescent="0.2">
      <c r="B2805" s="10" t="s">
        <v>939</v>
      </c>
      <c r="C2805" s="10" t="s">
        <v>110</v>
      </c>
      <c r="D2805" s="16">
        <f>SUM(D2788:M2788)+D2800/(Inputs!$D$7+$D$2794)^M2768</f>
        <v>32775.000000000029</v>
      </c>
    </row>
    <row r="2806" spans="1:13" ht="15" customHeight="1" x14ac:dyDescent="0.2">
      <c r="B2806" s="10" t="s">
        <v>940</v>
      </c>
      <c r="C2806" s="10" t="s">
        <v>104</v>
      </c>
      <c r="D2806" s="30">
        <f>IF(ABS(D2791)&gt;Inputs!$D$6,D2805/D2791-Inputs!$D$7,Inputs!$D$6)</f>
        <v>8.8817841970012523E-16</v>
      </c>
    </row>
    <row r="2807" spans="1:13" ht="15" customHeight="1" x14ac:dyDescent="0.2">
      <c r="B2807" s="10" t="s">
        <v>941</v>
      </c>
      <c r="C2807" s="10" t="s">
        <v>104</v>
      </c>
      <c r="D2807" s="30">
        <f>IF(ABS(D2805)&gt;Inputs!$D$119,D2800/(Inputs!$D$7+$D$2794)^M2768/D2805,Inputs!$D$6)</f>
        <v>0.96314944410353764</v>
      </c>
    </row>
    <row r="2808" spans="1:13" ht="15" customHeight="1" x14ac:dyDescent="0.2">
      <c r="B2808" s="10" t="s">
        <v>942</v>
      </c>
      <c r="C2808" s="10" t="s">
        <v>943</v>
      </c>
      <c r="D2808" s="26">
        <f>$D$2792*Inputs!$D$8/Prices!$P$6/(Inputs!$D$26/Inputs!$D$25)/Inputs!$D$11/Inputs!$D$56</f>
        <v>5.766209247641024</v>
      </c>
    </row>
    <row r="2812" spans="1:13" ht="15" customHeight="1" x14ac:dyDescent="0.2">
      <c r="A2812" s="104" t="s">
        <v>2226</v>
      </c>
      <c r="B2812" s="10" t="s">
        <v>886</v>
      </c>
      <c r="C2812" s="10" t="s">
        <v>107</v>
      </c>
      <c r="D2812" s="28">
        <f>Inputs!$D$60</f>
        <v>1</v>
      </c>
      <c r="E2812" s="28">
        <f>Inputs!$D$62</f>
        <v>2</v>
      </c>
      <c r="F2812" s="28">
        <f>Inputs!$D$64</f>
        <v>3</v>
      </c>
      <c r="G2812" s="28">
        <f>Inputs!$D$66</f>
        <v>4</v>
      </c>
      <c r="H2812" s="28">
        <f>Inputs!$D$68</f>
        <v>5</v>
      </c>
      <c r="I2812" s="28">
        <f>Inputs!$D$70</f>
        <v>6</v>
      </c>
      <c r="J2812" s="28">
        <f>Inputs!$D$72</f>
        <v>7</v>
      </c>
      <c r="K2812" s="28">
        <f>Inputs!$D$74</f>
        <v>8</v>
      </c>
      <c r="L2812" s="28">
        <f>Inputs!$D$76</f>
        <v>9</v>
      </c>
      <c r="M2812" s="28">
        <f>Inputs!$D$78</f>
        <v>10</v>
      </c>
    </row>
    <row r="2813" spans="1:13" ht="15" customHeight="1" x14ac:dyDescent="0.2">
      <c r="A2813" s="91"/>
      <c r="B2813" s="10" t="s">
        <v>887</v>
      </c>
      <c r="C2813" s="10" t="s">
        <v>161</v>
      </c>
      <c r="D2813" s="29">
        <f>Inputs!$D$61</f>
        <v>46568</v>
      </c>
      <c r="E2813" s="29">
        <f>Inputs!$D$63</f>
        <v>46934</v>
      </c>
      <c r="F2813" s="29">
        <f>Inputs!$D$65</f>
        <v>47299</v>
      </c>
      <c r="G2813" s="29">
        <f>Inputs!$D$67</f>
        <v>47664</v>
      </c>
      <c r="H2813" s="29">
        <f>Inputs!$D$69</f>
        <v>48029</v>
      </c>
      <c r="I2813" s="29">
        <f>Inputs!$D$71</f>
        <v>48395</v>
      </c>
      <c r="J2813" s="29">
        <f>Inputs!$D$73</f>
        <v>48760</v>
      </c>
      <c r="K2813" s="29">
        <f>Inputs!$D$75</f>
        <v>49125</v>
      </c>
      <c r="L2813" s="29">
        <f>Inputs!$D$77</f>
        <v>49490</v>
      </c>
      <c r="M2813" s="29">
        <f>Inputs!$D$79</f>
        <v>49856</v>
      </c>
    </row>
    <row r="2814" spans="1:13" ht="15" customHeight="1" x14ac:dyDescent="0.2">
      <c r="A2814" s="91"/>
      <c r="B2814" s="10" t="s">
        <v>888</v>
      </c>
      <c r="C2814" s="10" t="s">
        <v>107</v>
      </c>
      <c r="D2814" s="28">
        <f>(D2813-Inputs!$D$13)/Inputs!$D$10</f>
        <v>0.71457905544147848</v>
      </c>
      <c r="E2814" s="28">
        <f>(E2813-Inputs!$D$13)/Inputs!$D$10</f>
        <v>1.7166324435318274</v>
      </c>
      <c r="F2814" s="28">
        <f>(F2813-Inputs!$D$13)/Inputs!$D$10</f>
        <v>2.7159479808350446</v>
      </c>
      <c r="G2814" s="28">
        <f>(G2813-Inputs!$D$13)/Inputs!$D$10</f>
        <v>3.7152635181382614</v>
      </c>
      <c r="H2814" s="28">
        <f>(H2813-Inputs!$D$13)/Inputs!$D$10</f>
        <v>4.7145790554414786</v>
      </c>
      <c r="I2814" s="28">
        <f>(I2813-Inputs!$D$13)/Inputs!$D$10</f>
        <v>5.7166324435318279</v>
      </c>
      <c r="J2814" s="28">
        <f>(J2813-Inputs!$D$13)/Inputs!$D$10</f>
        <v>6.7159479808350442</v>
      </c>
      <c r="K2814" s="28">
        <f>(K2813-Inputs!$D$13)/Inputs!$D$10</f>
        <v>7.7152635181382614</v>
      </c>
      <c r="L2814" s="28">
        <f>(L2813-Inputs!$D$13)/Inputs!$D$10</f>
        <v>8.7145790554414777</v>
      </c>
      <c r="M2814" s="28">
        <f>(M2813-Inputs!$D$13)/Inputs!$D$10</f>
        <v>9.716632443531827</v>
      </c>
    </row>
    <row r="2815" spans="1:13" ht="15" customHeight="1" x14ac:dyDescent="0.2">
      <c r="A2815" s="91"/>
      <c r="B2815" s="10" t="s">
        <v>889</v>
      </c>
      <c r="C2815" s="10" t="s">
        <v>107</v>
      </c>
      <c r="D2815" s="28">
        <f>D2814</f>
        <v>0.71457905544147848</v>
      </c>
      <c r="E2815" s="28">
        <f>Inputs!$D$7</f>
        <v>1</v>
      </c>
      <c r="F2815" s="28">
        <f>Inputs!$D$7</f>
        <v>1</v>
      </c>
      <c r="G2815" s="28">
        <f>Inputs!$D$7</f>
        <v>1</v>
      </c>
      <c r="H2815" s="28">
        <f>Inputs!$D$7</f>
        <v>1</v>
      </c>
      <c r="I2815" s="28">
        <f>Inputs!$D$7</f>
        <v>1</v>
      </c>
      <c r="J2815" s="28">
        <f>Inputs!$D$7</f>
        <v>1</v>
      </c>
      <c r="K2815" s="28">
        <f>Inputs!$D$7</f>
        <v>1</v>
      </c>
      <c r="L2815" s="28">
        <f>Inputs!$D$7</f>
        <v>1</v>
      </c>
      <c r="M2815" s="28">
        <f>Inputs!$D$7</f>
        <v>1</v>
      </c>
    </row>
    <row r="2816" spans="1:13" ht="15" customHeight="1" x14ac:dyDescent="0.2">
      <c r="A2816" s="91"/>
      <c r="B2816" s="3" t="s">
        <v>890</v>
      </c>
      <c r="C2816" s="10" t="s">
        <v>199</v>
      </c>
      <c r="D2816" s="28">
        <f>Inputs!$D$24+(Inputs!$D$80-Inputs!$D$24)*Inputs!$D$83</f>
        <v>305.5</v>
      </c>
      <c r="E2816" s="28">
        <f>Inputs!$D$24+(Inputs!$D$80-Inputs!$D$24)*Inputs!$D$84</f>
        <v>651.5</v>
      </c>
      <c r="F2816" s="28">
        <f>Inputs!$D$24+(Inputs!$D$80-Inputs!$D$24)*Inputs!$D$85</f>
        <v>911</v>
      </c>
      <c r="G2816" s="28">
        <f>Inputs!$D$24+(Inputs!$D$80-Inputs!$D$24)*Inputs!$D$86</f>
        <v>911</v>
      </c>
      <c r="H2816" s="28">
        <f>Inputs!$D$24+(Inputs!$D$80-Inputs!$D$24)*Inputs!$D$87</f>
        <v>911</v>
      </c>
      <c r="I2816" s="28">
        <f>Inputs!$D$24+(Inputs!$D$80-Inputs!$D$24)*Inputs!$D$88</f>
        <v>911</v>
      </c>
      <c r="J2816" s="28">
        <f>Inputs!$D$24+(Inputs!$D$80-Inputs!$D$24)*Inputs!$D$89</f>
        <v>911</v>
      </c>
      <c r="K2816" s="28">
        <f>Inputs!$D$24+(Inputs!$D$80-Inputs!$D$24)*Inputs!$D$90</f>
        <v>911</v>
      </c>
      <c r="L2816" s="28">
        <f>Inputs!$D$24+(Inputs!$D$80-Inputs!$D$24)*Inputs!$D$91</f>
        <v>911</v>
      </c>
      <c r="M2816" s="28">
        <f>Inputs!$D$24+(Inputs!$D$80-Inputs!$D$24)*Inputs!$D$92</f>
        <v>911</v>
      </c>
    </row>
    <row r="2817" spans="1:13" ht="15" customHeight="1" x14ac:dyDescent="0.2">
      <c r="A2817" s="91"/>
      <c r="B2817" s="10" t="s">
        <v>891</v>
      </c>
      <c r="C2817" s="10" t="s">
        <v>199</v>
      </c>
      <c r="D2817" s="28">
        <f>Inputs!$D$24</f>
        <v>46</v>
      </c>
      <c r="E2817" s="28">
        <f t="shared" ref="E2817:M2817" si="610">D2816</f>
        <v>305.5</v>
      </c>
      <c r="F2817" s="28">
        <f t="shared" si="610"/>
        <v>651.5</v>
      </c>
      <c r="G2817" s="28">
        <f t="shared" si="610"/>
        <v>911</v>
      </c>
      <c r="H2817" s="28">
        <f t="shared" si="610"/>
        <v>911</v>
      </c>
      <c r="I2817" s="28">
        <f t="shared" si="610"/>
        <v>911</v>
      </c>
      <c r="J2817" s="28">
        <f t="shared" si="610"/>
        <v>911</v>
      </c>
      <c r="K2817" s="28">
        <f t="shared" si="610"/>
        <v>911</v>
      </c>
      <c r="L2817" s="28">
        <f t="shared" si="610"/>
        <v>911</v>
      </c>
      <c r="M2817" s="28">
        <f t="shared" si="610"/>
        <v>911</v>
      </c>
    </row>
    <row r="2818" spans="1:13" ht="15" customHeight="1" x14ac:dyDescent="0.2">
      <c r="B2818" s="10" t="s">
        <v>892</v>
      </c>
      <c r="C2818" s="10" t="s">
        <v>199</v>
      </c>
      <c r="D2818" s="28">
        <f>(D2817+D2816)*Inputs!$D$12</f>
        <v>175.75</v>
      </c>
      <c r="E2818" s="28">
        <f>(E2817+E2816)*Inputs!$D$12</f>
        <v>478.5</v>
      </c>
      <c r="F2818" s="28">
        <f>(F2817+F2816)*Inputs!$D$12</f>
        <v>781.25</v>
      </c>
      <c r="G2818" s="28">
        <f>(G2817+G2816)*Inputs!$D$12</f>
        <v>911</v>
      </c>
      <c r="H2818" s="28">
        <f>(H2817+H2816)*Inputs!$D$12</f>
        <v>911</v>
      </c>
      <c r="I2818" s="28">
        <f>(I2817+I2816)*Inputs!$D$12</f>
        <v>911</v>
      </c>
      <c r="J2818" s="28">
        <f>(J2817+J2816)*Inputs!$D$12</f>
        <v>911</v>
      </c>
      <c r="K2818" s="28">
        <f>(K2817+K2816)*Inputs!$D$12</f>
        <v>911</v>
      </c>
      <c r="L2818" s="28">
        <f>(L2817+L2816)*Inputs!$D$12</f>
        <v>911</v>
      </c>
      <c r="M2818" s="28">
        <f>(M2817+M2816)*Inputs!$D$12</f>
        <v>911</v>
      </c>
    </row>
    <row r="2819" spans="1:13" ht="15" customHeight="1" x14ac:dyDescent="0.2">
      <c r="B2819" s="10" t="s">
        <v>893</v>
      </c>
      <c r="C2819" s="10" t="s">
        <v>199</v>
      </c>
      <c r="D2819" s="28">
        <f t="shared" ref="D2819:M2819" si="611">D2816-D2817</f>
        <v>259.5</v>
      </c>
      <c r="E2819" s="28">
        <f t="shared" si="611"/>
        <v>346</v>
      </c>
      <c r="F2819" s="28">
        <f t="shared" si="611"/>
        <v>259.5</v>
      </c>
      <c r="G2819" s="28">
        <f t="shared" si="611"/>
        <v>0</v>
      </c>
      <c r="H2819" s="28">
        <f t="shared" si="611"/>
        <v>0</v>
      </c>
      <c r="I2819" s="28">
        <f t="shared" si="611"/>
        <v>0</v>
      </c>
      <c r="J2819" s="28">
        <f t="shared" si="611"/>
        <v>0</v>
      </c>
      <c r="K2819" s="28">
        <f t="shared" si="611"/>
        <v>0</v>
      </c>
      <c r="L2819" s="28">
        <f t="shared" si="611"/>
        <v>0</v>
      </c>
      <c r="M2819" s="28">
        <f t="shared" si="611"/>
        <v>0</v>
      </c>
    </row>
    <row r="2820" spans="1:13" ht="15" customHeight="1" x14ac:dyDescent="0.2">
      <c r="B2820" s="10" t="s">
        <v>894</v>
      </c>
      <c r="C2820" s="10" t="s">
        <v>199</v>
      </c>
      <c r="D2820" s="28">
        <f>IF(MOD(D2812,Inputs!$D$21)=Inputs!$D$6,Inputs!$D$24,Inputs!$D$6)+SUMPRODUCT(--(D2812&gt;$D$2812:$M$2812),--(MOD(D2812-$D$2812:$M$2812,Inputs!$D$21)=Inputs!$D$6),$D$2819:$M$2819)</f>
        <v>0</v>
      </c>
      <c r="E2820" s="28">
        <f>IF(MOD(E2812,Inputs!$D$21)=Inputs!$D$6,Inputs!$D$24,Inputs!$D$6)+SUMPRODUCT(--(E2812&gt;$D$2812:$M$2812),--(MOD(E2812-$D$2812:$M$2812,Inputs!$D$21)=Inputs!$D$6),$D$2819:$M$2819)</f>
        <v>0</v>
      </c>
      <c r="F2820" s="28">
        <f>IF(MOD(F2812,Inputs!$D$21)=Inputs!$D$6,Inputs!$D$24,Inputs!$D$6)+SUMPRODUCT(--(F2812&gt;$D$2812:$M$2812),--(MOD(F2812-$D$2812:$M$2812,Inputs!$D$21)=Inputs!$D$6),$D$2819:$M$2819)</f>
        <v>0</v>
      </c>
      <c r="G2820" s="28">
        <f>IF(MOD(G2812,Inputs!$D$21)=Inputs!$D$6,Inputs!$D$24,Inputs!$D$6)+SUMPRODUCT(--(G2812&gt;$D$2812:$M$2812),--(MOD(G2812-$D$2812:$M$2812,Inputs!$D$21)=Inputs!$D$6),$D$2819:$M$2819)</f>
        <v>46</v>
      </c>
      <c r="H2820" s="28">
        <f>IF(MOD(H2812,Inputs!$D$21)=Inputs!$D$6,Inputs!$D$24,Inputs!$D$6)+SUMPRODUCT(--(H2812&gt;$D$2812:$M$2812),--(MOD(H2812-$D$2812:$M$2812,Inputs!$D$21)=Inputs!$D$6),$D$2819:$M$2819)</f>
        <v>259.5</v>
      </c>
      <c r="I2820" s="28">
        <f>IF(MOD(I2812,Inputs!$D$21)=Inputs!$D$6,Inputs!$D$24,Inputs!$D$6)+SUMPRODUCT(--(I2812&gt;$D$2812:$M$2812),--(MOD(I2812-$D$2812:$M$2812,Inputs!$D$21)=Inputs!$D$6),$D$2819:$M$2819)</f>
        <v>346</v>
      </c>
      <c r="J2820" s="28">
        <f>IF(MOD(J2812,Inputs!$D$21)=Inputs!$D$6,Inputs!$D$24,Inputs!$D$6)+SUMPRODUCT(--(J2812&gt;$D$2812:$M$2812),--(MOD(J2812-$D$2812:$M$2812,Inputs!$D$21)=Inputs!$D$6),$D$2819:$M$2819)</f>
        <v>259.5</v>
      </c>
      <c r="K2820" s="28">
        <f>IF(MOD(K2812,Inputs!$D$21)=Inputs!$D$6,Inputs!$D$24,Inputs!$D$6)+SUMPRODUCT(--(K2812&gt;$D$2812:$M$2812),--(MOD(K2812-$D$2812:$M$2812,Inputs!$D$21)=Inputs!$D$6),$D$2819:$M$2819)</f>
        <v>46</v>
      </c>
      <c r="L2820" s="28">
        <f>IF(MOD(L2812,Inputs!$D$21)=Inputs!$D$6,Inputs!$D$24,Inputs!$D$6)+SUMPRODUCT(--(L2812&gt;$D$2812:$M$2812),--(MOD(L2812-$D$2812:$M$2812,Inputs!$D$21)=Inputs!$D$6),$D$2819:$M$2819)</f>
        <v>259.5</v>
      </c>
      <c r="M2820" s="28">
        <f>IF(MOD(M2812,Inputs!$D$21)=Inputs!$D$6,Inputs!$D$24,Inputs!$D$6)+SUMPRODUCT(--(M2812&gt;$D$2812:$M$2812),--(MOD(M2812-$D$2812:$M$2812,Inputs!$D$21)=Inputs!$D$6),$D$2819:$M$2819)</f>
        <v>346</v>
      </c>
    </row>
    <row r="2821" spans="1:13" ht="15" customHeight="1" x14ac:dyDescent="0.2">
      <c r="B2821" s="10" t="s">
        <v>895</v>
      </c>
      <c r="C2821" s="10" t="s">
        <v>896</v>
      </c>
      <c r="D2821" s="28">
        <f t="shared" ref="D2821:M2821" si="612">D2818*D2815</f>
        <v>125.58726899383984</v>
      </c>
      <c r="E2821" s="28">
        <f t="shared" si="612"/>
        <v>478.5</v>
      </c>
      <c r="F2821" s="28">
        <f t="shared" si="612"/>
        <v>781.25</v>
      </c>
      <c r="G2821" s="28">
        <f t="shared" si="612"/>
        <v>911</v>
      </c>
      <c r="H2821" s="28">
        <f t="shared" si="612"/>
        <v>911</v>
      </c>
      <c r="I2821" s="28">
        <f t="shared" si="612"/>
        <v>911</v>
      </c>
      <c r="J2821" s="28">
        <f t="shared" si="612"/>
        <v>911</v>
      </c>
      <c r="K2821" s="28">
        <f t="shared" si="612"/>
        <v>911</v>
      </c>
      <c r="L2821" s="28">
        <f t="shared" si="612"/>
        <v>911</v>
      </c>
      <c r="M2821" s="28">
        <f t="shared" si="612"/>
        <v>911</v>
      </c>
    </row>
    <row r="2822" spans="1:13" ht="15" customHeight="1" x14ac:dyDescent="0.2">
      <c r="B2822" s="10" t="s">
        <v>897</v>
      </c>
      <c r="C2822" s="10" t="s">
        <v>110</v>
      </c>
      <c r="D2822" s="16">
        <f>D2821*($D$2841/Inputs!$D$21+$D$2842/Inputs!$D$22)</f>
        <v>1816.9772859324419</v>
      </c>
      <c r="E2822" s="16">
        <f>E2821*($D$2841/Inputs!$D$21+$D$2842/Inputs!$D$22)</f>
        <v>6922.8643817497086</v>
      </c>
      <c r="F2822" s="16">
        <f>F2821*($D$2841/Inputs!$D$21+$D$2842/Inputs!$D$22)</f>
        <v>11303.0048030135</v>
      </c>
      <c r="G2822" s="16">
        <f>G2821*($D$2841/Inputs!$D$21+$D$2842/Inputs!$D$22)</f>
        <v>13180.207840697982</v>
      </c>
      <c r="H2822" s="16">
        <f>H2821*($D$2841/Inputs!$D$21+$D$2842/Inputs!$D$22)</f>
        <v>13180.207840697982</v>
      </c>
      <c r="I2822" s="16">
        <f>I2821*($D$2841/Inputs!$D$21+$D$2842/Inputs!$D$22)</f>
        <v>13180.207840697982</v>
      </c>
      <c r="J2822" s="16">
        <f>J2821*($D$2841/Inputs!$D$21+$D$2842/Inputs!$D$22)</f>
        <v>13180.207840697982</v>
      </c>
      <c r="K2822" s="16">
        <f>K2821*($D$2841/Inputs!$D$21+$D$2842/Inputs!$D$22)</f>
        <v>13180.207840697982</v>
      </c>
      <c r="L2822" s="16">
        <f>L2821*($D$2841/Inputs!$D$21+$D$2842/Inputs!$D$22)</f>
        <v>13180.207840697982</v>
      </c>
      <c r="M2822" s="16">
        <f>M2821*($D$2841/Inputs!$D$21+$D$2842/Inputs!$D$22)</f>
        <v>13180.207840697982</v>
      </c>
    </row>
    <row r="2823" spans="1:13" ht="15" customHeight="1" x14ac:dyDescent="0.2">
      <c r="B2823" s="10" t="s">
        <v>898</v>
      </c>
      <c r="C2823" s="10" t="s">
        <v>110</v>
      </c>
      <c r="D2823" s="16">
        <f t="shared" ref="D2823:M2823" si="613">D2819*($D$2841+$D$2842)</f>
        <v>15560.968620146154</v>
      </c>
      <c r="E2823" s="16">
        <f t="shared" si="613"/>
        <v>20747.95816019487</v>
      </c>
      <c r="F2823" s="16">
        <f t="shared" si="613"/>
        <v>15560.968620146154</v>
      </c>
      <c r="G2823" s="16">
        <f t="shared" si="613"/>
        <v>0</v>
      </c>
      <c r="H2823" s="16">
        <f t="shared" si="613"/>
        <v>0</v>
      </c>
      <c r="I2823" s="16">
        <f t="shared" si="613"/>
        <v>0</v>
      </c>
      <c r="J2823" s="16">
        <f t="shared" si="613"/>
        <v>0</v>
      </c>
      <c r="K2823" s="16">
        <f t="shared" si="613"/>
        <v>0</v>
      </c>
      <c r="L2823" s="16">
        <f t="shared" si="613"/>
        <v>0</v>
      </c>
      <c r="M2823" s="16">
        <f t="shared" si="613"/>
        <v>0</v>
      </c>
    </row>
    <row r="2824" spans="1:13" ht="15" customHeight="1" x14ac:dyDescent="0.2">
      <c r="B2824" s="10" t="s">
        <v>899</v>
      </c>
      <c r="C2824" s="10" t="s">
        <v>110</v>
      </c>
      <c r="D2824" s="16">
        <f t="shared" ref="D2824:M2824" si="614">D2820*$D$2841</f>
        <v>0</v>
      </c>
      <c r="E2824" s="16">
        <f t="shared" si="614"/>
        <v>0</v>
      </c>
      <c r="F2824" s="16">
        <f t="shared" si="614"/>
        <v>0</v>
      </c>
      <c r="G2824" s="16">
        <f t="shared" si="614"/>
        <v>2638.0048485671714</v>
      </c>
      <c r="H2824" s="16">
        <f t="shared" si="614"/>
        <v>14881.788221808281</v>
      </c>
      <c r="I2824" s="16">
        <f t="shared" si="614"/>
        <v>19842.384295744378</v>
      </c>
      <c r="J2824" s="16">
        <f t="shared" si="614"/>
        <v>14881.788221808281</v>
      </c>
      <c r="K2824" s="16">
        <f t="shared" si="614"/>
        <v>2638.0048485671714</v>
      </c>
      <c r="L2824" s="16">
        <f t="shared" si="614"/>
        <v>14881.788221808281</v>
      </c>
      <c r="M2824" s="16">
        <f t="shared" si="614"/>
        <v>19842.384295744378</v>
      </c>
    </row>
    <row r="2825" spans="1:13" ht="15" customHeight="1" x14ac:dyDescent="0.2">
      <c r="B2825" s="10" t="s">
        <v>900</v>
      </c>
      <c r="C2825" s="10" t="s">
        <v>199</v>
      </c>
      <c r="D2825" s="28">
        <f>D2819*Inputs!$D$23</f>
        <v>6.4875000000000007</v>
      </c>
      <c r="E2825" s="28">
        <f>E2819*Inputs!$D$23</f>
        <v>8.65</v>
      </c>
      <c r="F2825" s="28">
        <f>F2819*Inputs!$D$23</f>
        <v>6.4875000000000007</v>
      </c>
      <c r="G2825" s="28">
        <f>G2819*Inputs!$D$23</f>
        <v>0</v>
      </c>
      <c r="H2825" s="28">
        <f>H2819*Inputs!$D$23</f>
        <v>0</v>
      </c>
      <c r="I2825" s="28">
        <f>I2819*Inputs!$D$23</f>
        <v>0</v>
      </c>
      <c r="J2825" s="28">
        <f>J2819*Inputs!$D$23</f>
        <v>0</v>
      </c>
      <c r="K2825" s="28">
        <f>K2819*Inputs!$D$23</f>
        <v>0</v>
      </c>
      <c r="L2825" s="28">
        <f>L2819*Inputs!$D$23</f>
        <v>0</v>
      </c>
      <c r="M2825" s="28">
        <f>M2819*Inputs!$D$23</f>
        <v>0</v>
      </c>
    </row>
    <row r="2826" spans="1:13" ht="15" customHeight="1" x14ac:dyDescent="0.2">
      <c r="B2826" s="3" t="s">
        <v>901</v>
      </c>
      <c r="C2826" s="10" t="s">
        <v>896</v>
      </c>
      <c r="D2826" s="28">
        <f>(D2821*$D$2839*(Inputs!$D$7-Inputs!$D$19)-D2825)/(Inputs!$D$7+$D$2840)^D2814</f>
        <v>51.425798387720562</v>
      </c>
      <c r="E2826" s="28">
        <f>(E2821*$D$2839*(Inputs!$D$7-Inputs!$D$19)-E2825)/(Inputs!$D$7+$D$2840)^E2814</f>
        <v>191.73295281761204</v>
      </c>
      <c r="F2826" s="28">
        <f>(F2821*$D$2839*(Inputs!$D$7-Inputs!$D$19)-F2825)/(Inputs!$D$7+$D$2840)^F2814</f>
        <v>290.4976949096623</v>
      </c>
      <c r="G2826" s="28">
        <f>(G2821*$D$2839*(Inputs!$D$7-Inputs!$D$19)-G2825)/(Inputs!$D$7+$D$2840)^G2814</f>
        <v>313.27787474894069</v>
      </c>
      <c r="H2826" s="28">
        <f>(H2821*$D$2839*(Inputs!$D$7-Inputs!$D$19)-H2825)/(Inputs!$D$7+$D$2840)^H2814</f>
        <v>284.81664772119052</v>
      </c>
      <c r="I2826" s="28">
        <f>(I2821*$D$2839*(Inputs!$D$7-Inputs!$D$19)-I2825)/(Inputs!$D$7+$D$2840)^I2814</f>
        <v>258.87355641308392</v>
      </c>
      <c r="J2826" s="28">
        <f>(J2821*$D$2839*(Inputs!$D$7-Inputs!$D$19)-J2825)/(Inputs!$D$7+$D$2840)^J2814</f>
        <v>235.35494991571019</v>
      </c>
      <c r="K2826" s="28">
        <f>(K2821*$D$2839*(Inputs!$D$7-Inputs!$D$19)-K2825)/(Inputs!$D$7+$D$2840)^K2814</f>
        <v>213.97300372169974</v>
      </c>
      <c r="L2826" s="28">
        <f>(L2821*$D$2839*(Inputs!$D$7-Inputs!$D$19)-L2825)/(Inputs!$D$7+$D$2840)^L2814</f>
        <v>194.53360270554637</v>
      </c>
      <c r="M2826" s="28">
        <f>(M2821*$D$2839*(Inputs!$D$7-Inputs!$D$19)-M2825)/(Inputs!$D$7+$D$2840)^M2814</f>
        <v>176.81412226834496</v>
      </c>
    </row>
    <row r="2827" spans="1:13" ht="15" customHeight="1" x14ac:dyDescent="0.2">
      <c r="B2827" s="10" t="s">
        <v>902</v>
      </c>
      <c r="C2827" s="10" t="s">
        <v>110</v>
      </c>
      <c r="D2827" s="16">
        <f>(D2822*Inputs!$D$19-D2823-D2824)/(Inputs!$D$7+$D$2840)^D2814</f>
        <v>-14027.24269342025</v>
      </c>
      <c r="E2827" s="16">
        <f>(E2822*Inputs!$D$19-E2823-E2824)/(Inputs!$D$7+$D$2840)^E2814</f>
        <v>-15853.087323826181</v>
      </c>
      <c r="F2827" s="16">
        <f>(F2822*Inputs!$D$19-F2823-F2824)/(Inputs!$D$7+$D$2840)^F2814</f>
        <v>-9394.4767487293357</v>
      </c>
      <c r="G2827" s="16">
        <f>(G2822*Inputs!$D$19-G2823-G2824)/(Inputs!$D$7+$D$2840)^G2814</f>
        <v>923.61320322684639</v>
      </c>
      <c r="H2827" s="16">
        <f>(H2822*Inputs!$D$19-H2823-H2824)/(Inputs!$D$7+$D$2840)^H2814</f>
        <v>-6972.3744918015345</v>
      </c>
      <c r="I2827" s="16">
        <f>(I2822*Inputs!$D$19-I2823-I2824)/(Inputs!$D$7+$D$2840)^I2814</f>
        <v>-9214.0648467907959</v>
      </c>
      <c r="J2827" s="16">
        <f>(J2822*Inputs!$D$19-J2823-J2824)/(Inputs!$D$7+$D$2840)^J2814</f>
        <v>-5761.5411965591911</v>
      </c>
      <c r="K2827" s="16">
        <f>(K2822*Inputs!$D$19-K2823-K2824)/(Inputs!$D$7+$D$2840)^K2814</f>
        <v>630.8402453567694</v>
      </c>
      <c r="L2827" s="16">
        <f>(L2822*Inputs!$D$19-L2823-L2824)/(Inputs!$D$7+$D$2840)^L2814</f>
        <v>-4762.2255937446444</v>
      </c>
      <c r="M2827" s="16">
        <f>(M2822*Inputs!$D$19-M2823-M2824)/(Inputs!$D$7+$D$2840)^M2814</f>
        <v>-6293.3302689644106</v>
      </c>
    </row>
    <row r="2828" spans="1:13" ht="15" customHeight="1" x14ac:dyDescent="0.2">
      <c r="B2828" s="10" t="s">
        <v>903</v>
      </c>
      <c r="C2828" s="10" t="s">
        <v>110</v>
      </c>
      <c r="D2828" s="16">
        <f t="shared" ref="D2828:M2828" si="615">D2821*$D$2838</f>
        <v>4362.6826164290214</v>
      </c>
      <c r="E2828" s="16">
        <f t="shared" si="615"/>
        <v>16622.255175113987</v>
      </c>
      <c r="F2828" s="16">
        <f t="shared" si="615"/>
        <v>27139.261976087364</v>
      </c>
      <c r="G2828" s="16">
        <f t="shared" si="615"/>
        <v>31646.550605075954</v>
      </c>
      <c r="H2828" s="16">
        <f t="shared" si="615"/>
        <v>31646.550605075954</v>
      </c>
      <c r="I2828" s="16">
        <f t="shared" si="615"/>
        <v>31646.550605075954</v>
      </c>
      <c r="J2828" s="16">
        <f t="shared" si="615"/>
        <v>31646.550605075954</v>
      </c>
      <c r="K2828" s="16">
        <f t="shared" si="615"/>
        <v>31646.550605075954</v>
      </c>
      <c r="L2828" s="16">
        <f t="shared" si="615"/>
        <v>31646.550605075954</v>
      </c>
      <c r="M2828" s="16">
        <f t="shared" si="615"/>
        <v>31646.550605075954</v>
      </c>
    </row>
    <row r="2829" spans="1:13" ht="15" customHeight="1" x14ac:dyDescent="0.2">
      <c r="B2829" s="10" t="s">
        <v>904</v>
      </c>
      <c r="C2829" s="10" t="s">
        <v>110</v>
      </c>
      <c r="D2829" s="16">
        <f t="shared" ref="D2829:M2829" si="616">D2828*$D$2839</f>
        <v>3053.8778315003146</v>
      </c>
      <c r="E2829" s="16">
        <f t="shared" si="616"/>
        <v>11635.578622579791</v>
      </c>
      <c r="F2829" s="16">
        <f t="shared" si="616"/>
        <v>18997.483383261155</v>
      </c>
      <c r="G2829" s="16">
        <f t="shared" si="616"/>
        <v>22152.585423553166</v>
      </c>
      <c r="H2829" s="16">
        <f t="shared" si="616"/>
        <v>22152.585423553166</v>
      </c>
      <c r="I2829" s="16">
        <f t="shared" si="616"/>
        <v>22152.585423553166</v>
      </c>
      <c r="J2829" s="16">
        <f t="shared" si="616"/>
        <v>22152.585423553166</v>
      </c>
      <c r="K2829" s="16">
        <f t="shared" si="616"/>
        <v>22152.585423553166</v>
      </c>
      <c r="L2829" s="16">
        <f t="shared" si="616"/>
        <v>22152.585423553166</v>
      </c>
      <c r="M2829" s="16">
        <f t="shared" si="616"/>
        <v>22152.585423553166</v>
      </c>
    </row>
    <row r="2830" spans="1:13" ht="15" customHeight="1" x14ac:dyDescent="0.2">
      <c r="B2830" s="10" t="s">
        <v>905</v>
      </c>
      <c r="C2830" s="10" t="s">
        <v>110</v>
      </c>
      <c r="D2830" s="16">
        <f t="shared" ref="D2830:M2830" si="617">D2829-D2822</f>
        <v>1236.9005455678728</v>
      </c>
      <c r="E2830" s="16">
        <f t="shared" si="617"/>
        <v>4712.7142408300824</v>
      </c>
      <c r="F2830" s="16">
        <f t="shared" si="617"/>
        <v>7694.4785802476545</v>
      </c>
      <c r="G2830" s="16">
        <f t="shared" si="617"/>
        <v>8972.3775828551843</v>
      </c>
      <c r="H2830" s="16">
        <f t="shared" si="617"/>
        <v>8972.3775828551843</v>
      </c>
      <c r="I2830" s="16">
        <f t="shared" si="617"/>
        <v>8972.3775828551843</v>
      </c>
      <c r="J2830" s="16">
        <f t="shared" si="617"/>
        <v>8972.3775828551843</v>
      </c>
      <c r="K2830" s="16">
        <f t="shared" si="617"/>
        <v>8972.3775828551843</v>
      </c>
      <c r="L2830" s="16">
        <f t="shared" si="617"/>
        <v>8972.3775828551843</v>
      </c>
      <c r="M2830" s="16">
        <f t="shared" si="617"/>
        <v>8972.3775828551843</v>
      </c>
    </row>
    <row r="2831" spans="1:13" ht="15" customHeight="1" x14ac:dyDescent="0.2">
      <c r="B2831" s="10" t="s">
        <v>906</v>
      </c>
      <c r="C2831" s="10" t="s">
        <v>110</v>
      </c>
      <c r="D2831" s="16">
        <f>MAX(D2830,Inputs!$D$6)*Inputs!$D$19</f>
        <v>371.07016367036181</v>
      </c>
      <c r="E2831" s="16">
        <f>MAX(E2830,Inputs!$D$6)*Inputs!$D$19</f>
        <v>1413.8142722490247</v>
      </c>
      <c r="F2831" s="16">
        <f>MAX(F2830,Inputs!$D$6)*Inputs!$D$19</f>
        <v>2308.3435740742962</v>
      </c>
      <c r="G2831" s="16">
        <f>MAX(G2830,Inputs!$D$6)*Inputs!$D$19</f>
        <v>2691.713274856555</v>
      </c>
      <c r="H2831" s="16">
        <f>MAX(H2830,Inputs!$D$6)*Inputs!$D$19</f>
        <v>2691.713274856555</v>
      </c>
      <c r="I2831" s="16">
        <f>MAX(I2830,Inputs!$D$6)*Inputs!$D$19</f>
        <v>2691.713274856555</v>
      </c>
      <c r="J2831" s="16">
        <f>MAX(J2830,Inputs!$D$6)*Inputs!$D$19</f>
        <v>2691.713274856555</v>
      </c>
      <c r="K2831" s="16">
        <f>MAX(K2830,Inputs!$D$6)*Inputs!$D$19</f>
        <v>2691.713274856555</v>
      </c>
      <c r="L2831" s="16">
        <f>MAX(L2830,Inputs!$D$6)*Inputs!$D$19</f>
        <v>2691.713274856555</v>
      </c>
      <c r="M2831" s="16">
        <f>MAX(M2830,Inputs!$D$6)*Inputs!$D$19</f>
        <v>2691.713274856555</v>
      </c>
    </row>
    <row r="2832" spans="1:13" ht="15" customHeight="1" x14ac:dyDescent="0.2">
      <c r="B2832" s="10" t="s">
        <v>907</v>
      </c>
      <c r="C2832" s="10" t="s">
        <v>110</v>
      </c>
      <c r="D2832" s="16">
        <f t="shared" ref="D2832:M2832" si="618">D2825*$D$2838</f>
        <v>225.3644314494295</v>
      </c>
      <c r="E2832" s="16">
        <f t="shared" si="618"/>
        <v>300.48590859923934</v>
      </c>
      <c r="F2832" s="16">
        <f t="shared" si="618"/>
        <v>225.3644314494295</v>
      </c>
      <c r="G2832" s="16">
        <f t="shared" si="618"/>
        <v>0</v>
      </c>
      <c r="H2832" s="16">
        <f t="shared" si="618"/>
        <v>0</v>
      </c>
      <c r="I2832" s="16">
        <f t="shared" si="618"/>
        <v>0</v>
      </c>
      <c r="J2832" s="16">
        <f t="shared" si="618"/>
        <v>0</v>
      </c>
      <c r="K2832" s="16">
        <f t="shared" si="618"/>
        <v>0</v>
      </c>
      <c r="L2832" s="16">
        <f t="shared" si="618"/>
        <v>0</v>
      </c>
      <c r="M2832" s="16">
        <f t="shared" si="618"/>
        <v>0</v>
      </c>
    </row>
    <row r="2833" spans="2:13" ht="15" customHeight="1" x14ac:dyDescent="0.2">
      <c r="B2833" s="10" t="s">
        <v>908</v>
      </c>
      <c r="C2833" s="10" t="s">
        <v>110</v>
      </c>
      <c r="D2833" s="16">
        <f t="shared" ref="D2833:M2833" si="619">D2829-D2831-D2823-D2824-D2832</f>
        <v>-13103.525383765631</v>
      </c>
      <c r="E2833" s="16">
        <f t="shared" si="619"/>
        <v>-10826.679718463343</v>
      </c>
      <c r="F2833" s="16">
        <f t="shared" si="619"/>
        <v>902.80675759127462</v>
      </c>
      <c r="G2833" s="16">
        <f t="shared" si="619"/>
        <v>16822.867300129437</v>
      </c>
      <c r="H2833" s="16">
        <f t="shared" si="619"/>
        <v>4579.0839268883283</v>
      </c>
      <c r="I2833" s="16">
        <f t="shared" si="619"/>
        <v>-381.51214704776794</v>
      </c>
      <c r="J2833" s="16">
        <f t="shared" si="619"/>
        <v>4579.0839268883283</v>
      </c>
      <c r="K2833" s="16">
        <f t="shared" si="619"/>
        <v>16822.867300129437</v>
      </c>
      <c r="L2833" s="16">
        <f t="shared" si="619"/>
        <v>4579.0839268883283</v>
      </c>
      <c r="M2833" s="16">
        <f t="shared" si="619"/>
        <v>-381.51214704776794</v>
      </c>
    </row>
    <row r="2834" spans="2:13" ht="15" customHeight="1" x14ac:dyDescent="0.2">
      <c r="B2834" s="10" t="s">
        <v>909</v>
      </c>
      <c r="C2834" s="10" t="s">
        <v>110</v>
      </c>
      <c r="D2834" s="16">
        <f>D2833/(Inputs!$D$7+$D$2840)^D2814</f>
        <v>-12240.800178509789</v>
      </c>
      <c r="E2834" s="16">
        <f>E2833/(Inputs!$D$7+$D$2840)^E2814</f>
        <v>-9192.6190537897382</v>
      </c>
      <c r="F2834" s="16">
        <f>F2833/(Inputs!$D$7+$D$2840)^F2814</f>
        <v>696.90634964228138</v>
      </c>
      <c r="G2834" s="16">
        <f>G2833/(Inputs!$D$7+$D$2840)^G2814</f>
        <v>11806.340005304781</v>
      </c>
      <c r="H2834" s="16">
        <f>H2833/(Inputs!$D$7+$D$2840)^H2814</f>
        <v>2921.6589387986264</v>
      </c>
      <c r="I2834" s="16">
        <f>I2833/(Inputs!$D$7+$D$2840)^I2814</f>
        <v>-221.24914608536736</v>
      </c>
      <c r="J2834" s="16">
        <f>J2833/(Inputs!$D$7+$D$2840)^J2814</f>
        <v>2414.2791466489757</v>
      </c>
      <c r="K2834" s="16">
        <f>K2833/(Inputs!$D$7+$D$2840)^K2814</f>
        <v>8063.8890822380827</v>
      </c>
      <c r="L2834" s="16">
        <f>L2833/(Inputs!$D$7+$D$2840)^L2814</f>
        <v>1995.5323671870951</v>
      </c>
      <c r="M2834" s="16">
        <f>M2833/(Inputs!$D$7+$D$2840)^M2814</f>
        <v>-151.11614376433803</v>
      </c>
    </row>
    <row r="2835" spans="2:13" ht="15" customHeight="1" x14ac:dyDescent="0.2">
      <c r="B2835" s="3" t="s">
        <v>910</v>
      </c>
      <c r="C2835" s="10" t="s">
        <v>896</v>
      </c>
      <c r="D2835" s="28">
        <f>(D2821*$D$2839-D2825)/(Inputs!$D$7+$D$2840)^D2814</f>
        <v>76.062727010823693</v>
      </c>
      <c r="E2835" s="28">
        <f>(E2821*$D$2839-E2825)/(Inputs!$D$7+$D$2840)^E2814</f>
        <v>277.05184555670269</v>
      </c>
      <c r="F2835" s="28">
        <f>(F2821*$D$2839-F2825)/(Inputs!$D$7+$D$2840)^F2814</f>
        <v>417.14295650832435</v>
      </c>
      <c r="G2835" s="28">
        <f>(G2821*$D$2839-G2825)/(Inputs!$D$7+$D$2840)^G2814</f>
        <v>447.53982106991532</v>
      </c>
      <c r="H2835" s="28">
        <f>(H2821*$D$2839-H2825)/(Inputs!$D$7+$D$2840)^H2814</f>
        <v>406.88092531598647</v>
      </c>
      <c r="I2835" s="28">
        <f>(I2821*$D$2839-I2825)/(Inputs!$D$7+$D$2840)^I2814</f>
        <v>369.81936630440561</v>
      </c>
      <c r="J2835" s="28">
        <f>(J2821*$D$2839-J2825)/(Inputs!$D$7+$D$2840)^J2814</f>
        <v>336.22135702244316</v>
      </c>
      <c r="K2835" s="28">
        <f>(K2821*$D$2839-K2825)/(Inputs!$D$7+$D$2840)^K2814</f>
        <v>305.67571960242822</v>
      </c>
      <c r="L2835" s="28">
        <f>(L2821*$D$2839-L2825)/(Inputs!$D$7+$D$2840)^L2814</f>
        <v>277.90514672220911</v>
      </c>
      <c r="M2835" s="28">
        <f>(M2821*$D$2839-M2825)/(Inputs!$D$7+$D$2840)^M2814</f>
        <v>252.59160324049282</v>
      </c>
    </row>
    <row r="2836" spans="2:13" ht="15" customHeight="1" x14ac:dyDescent="0.2">
      <c r="B2836" s="10" t="s">
        <v>911</v>
      </c>
      <c r="C2836" s="10" t="s">
        <v>110</v>
      </c>
      <c r="D2836" s="16">
        <f>(-D2823-D2824)/(Inputs!$D$7+$D$2840)^D2814</f>
        <v>-14536.447397527105</v>
      </c>
      <c r="E2836" s="16">
        <f>(-E2823-E2824)/(Inputs!$D$7+$D$2840)^E2814</f>
        <v>-17616.488200475756</v>
      </c>
      <c r="F2836" s="16">
        <f>(-F2823-F2824)/(Inputs!$D$7+$D$2840)^F2814</f>
        <v>-12012.025548964448</v>
      </c>
      <c r="G2836" s="16">
        <f>(-G2823-G2824)/(Inputs!$D$7+$D$2840)^G2814</f>
        <v>-1851.359915178487</v>
      </c>
      <c r="H2836" s="16">
        <f>(-H2823-H2824)/(Inputs!$D$7+$D$2840)^H2814</f>
        <v>-9495.2419037884629</v>
      </c>
      <c r="I2836" s="16">
        <f>(-I2823-I2824)/(Inputs!$D$7+$D$2840)^I2814</f>
        <v>-11507.131858586603</v>
      </c>
      <c r="J2836" s="16">
        <f>(-J2823-J2824)/(Inputs!$D$7+$D$2840)^J2814</f>
        <v>-7846.2835672839774</v>
      </c>
      <c r="K2836" s="16">
        <f>(-K2823-K2824)/(Inputs!$D$7+$D$2840)^K2814</f>
        <v>-1264.5037327904422</v>
      </c>
      <c r="L2836" s="16">
        <f>(-L2823-L2824)/(Inputs!$D$7+$D$2840)^L2814</f>
        <v>-6485.3779822337692</v>
      </c>
      <c r="M2836" s="16">
        <f>(-M2823-M2824)/(Inputs!$D$7+$D$2840)^M2814</f>
        <v>-7859.5258920747219</v>
      </c>
    </row>
    <row r="2837" spans="2:13" ht="15" customHeight="1" x14ac:dyDescent="0.2">
      <c r="B2837" s="10" t="s">
        <v>912</v>
      </c>
      <c r="C2837" s="10" t="s">
        <v>110</v>
      </c>
      <c r="D2837" s="16">
        <f>Prices!I8</f>
        <v>32775</v>
      </c>
    </row>
    <row r="2838" spans="2:13" ht="15" customHeight="1" x14ac:dyDescent="0.2">
      <c r="B2838" s="3" t="s">
        <v>913</v>
      </c>
      <c r="C2838" s="10" t="s">
        <v>914</v>
      </c>
      <c r="D2838" s="28">
        <f>IF(J2845&gt;=J2841,J2845,(D2837-J2844)/J2843)</f>
        <v>34.738255329391826</v>
      </c>
      <c r="G2838" s="99" t="s">
        <v>915</v>
      </c>
      <c r="H2838" s="91"/>
      <c r="I2838" s="91"/>
      <c r="J2838" s="28">
        <f>D2838*Inputs!$D$15</f>
        <v>24.243828394382554</v>
      </c>
      <c r="K2838" s="99" t="s">
        <v>916</v>
      </c>
      <c r="L2838" s="91"/>
      <c r="M2838" s="91"/>
    </row>
    <row r="2839" spans="2:13" ht="15" customHeight="1" x14ac:dyDescent="0.2">
      <c r="B2839" s="10" t="s">
        <v>917</v>
      </c>
      <c r="C2839" s="10" t="s">
        <v>104</v>
      </c>
      <c r="D2839" s="30">
        <f>Inputs!$D$143</f>
        <v>0.7</v>
      </c>
      <c r="G2839" s="99" t="s">
        <v>918</v>
      </c>
      <c r="H2839" s="91"/>
      <c r="I2839" s="91"/>
      <c r="J2839" s="28">
        <f>IF(-D2850/D2849&gt;=J2841,-D2850/D2849,-J2844/J2843)</f>
        <v>27.651390108132095</v>
      </c>
      <c r="K2839" s="99" t="s">
        <v>919</v>
      </c>
      <c r="L2839" s="91"/>
      <c r="M2839" s="91"/>
    </row>
    <row r="2840" spans="2:13" ht="15" customHeight="1" x14ac:dyDescent="0.2">
      <c r="B2840" s="10" t="s">
        <v>920</v>
      </c>
      <c r="C2840" s="10" t="s">
        <v>104</v>
      </c>
      <c r="D2840" s="30">
        <f>Inputs!$D$147</f>
        <v>0.1</v>
      </c>
      <c r="G2840" s="99" t="s">
        <v>918</v>
      </c>
      <c r="H2840" s="91"/>
      <c r="I2840" s="91"/>
      <c r="J2840" s="28">
        <f>J2839*Inputs!$D$15</f>
        <v>19.297905156465387</v>
      </c>
      <c r="K2840" s="99" t="s">
        <v>916</v>
      </c>
      <c r="L2840" s="91"/>
      <c r="M2840" s="91"/>
    </row>
    <row r="2841" spans="2:13" ht="15" customHeight="1" x14ac:dyDescent="0.2">
      <c r="B2841" s="3" t="s">
        <v>921</v>
      </c>
      <c r="C2841" s="10" t="s">
        <v>848</v>
      </c>
      <c r="D2841" s="28">
        <f>Capital!$D$13</f>
        <v>57.347931490590682</v>
      </c>
      <c r="G2841" s="99" t="s">
        <v>922</v>
      </c>
      <c r="H2841" s="91"/>
      <c r="I2841" s="91"/>
      <c r="J2841" s="28">
        <f>($D$2841/Inputs!$D$21+$D$2842/Inputs!$D$22)/$D$2839</f>
        <v>20.668351639796114</v>
      </c>
      <c r="K2841" s="99" t="s">
        <v>919</v>
      </c>
      <c r="L2841" s="91"/>
      <c r="M2841" s="91"/>
    </row>
    <row r="2842" spans="2:13" ht="15" customHeight="1" x14ac:dyDescent="0.2">
      <c r="B2842" s="3" t="s">
        <v>923</v>
      </c>
      <c r="C2842" s="10" t="s">
        <v>848</v>
      </c>
      <c r="D2842" s="28">
        <f>Capital!$D$14</f>
        <v>2.6172655041921802</v>
      </c>
    </row>
    <row r="2843" spans="2:13" ht="15" customHeight="1" x14ac:dyDescent="0.2">
      <c r="B2843" s="10" t="s">
        <v>924</v>
      </c>
      <c r="C2843" s="10" t="s">
        <v>896</v>
      </c>
      <c r="D2843" s="28">
        <f>(M2816*(Inputs!$D$7+Inputs!$D$20)*$D$2839*(Inputs!$D$7-Inputs!$D$19)-M2816*Inputs!$D$20*Inputs!$D$23)/($D$2840-Inputs!$D$20)/(Inputs!$D$7+$D$2840)^M2814</f>
        <v>2413.4526281049939</v>
      </c>
      <c r="G2843" s="92" t="s">
        <v>910</v>
      </c>
      <c r="H2843" s="91"/>
      <c r="I2843" s="91"/>
      <c r="J2843" s="28">
        <f>SUM(D2835:M2835)+(M2816*(Inputs!$D$7+Inputs!$D$20)*$D$2839-M2816*Inputs!$D$20*Inputs!$D$23)/($D$2840-Inputs!$D$20)/(Inputs!$D$7+$D$2840)^M2814</f>
        <v>6615.9696697447453</v>
      </c>
      <c r="K2843" s="99" t="s">
        <v>896</v>
      </c>
      <c r="L2843" s="91"/>
      <c r="M2843" s="91"/>
    </row>
    <row r="2844" spans="2:13" ht="15" customHeight="1" x14ac:dyDescent="0.2">
      <c r="B2844" s="10" t="s">
        <v>925</v>
      </c>
      <c r="C2844" s="10" t="s">
        <v>110</v>
      </c>
      <c r="D2844" s="16">
        <f>(D2847*Inputs!$D$19-D2847-D2848)/($D$2840-Inputs!$D$20)/(Inputs!$D$7+$D$2840)^M2814</f>
        <v>-57156.954988173631</v>
      </c>
      <c r="G2844" s="92" t="s">
        <v>926</v>
      </c>
      <c r="H2844" s="91"/>
      <c r="I2844" s="91"/>
      <c r="J2844" s="16">
        <f>SUM(D2836:M2836)-(D2847+D2848)/($D$2840-Inputs!$D$20)/(Inputs!$D$7+$D$2840)^M2814</f>
        <v>-169036.01450291832</v>
      </c>
      <c r="K2844" s="99" t="s">
        <v>110</v>
      </c>
      <c r="L2844" s="91"/>
      <c r="M2844" s="91"/>
    </row>
    <row r="2845" spans="2:13" ht="15" customHeight="1" x14ac:dyDescent="0.2">
      <c r="B2845" s="10" t="s">
        <v>927</v>
      </c>
      <c r="C2845" s="10" t="s">
        <v>928</v>
      </c>
      <c r="D2845" s="16">
        <f>(M2816*(Inputs!$D$7+Inputs!$D$20)*$D$2838*$D$2839-D2847)-MAX((M2816*(Inputs!$D$7+Inputs!$D$20)*$D$2838*$D$2839-D2847),Inputs!$D$6)*Inputs!$D$19-D2848-M2816*Inputs!$D$20*$D$2838*Inputs!$D$23</f>
        <v>5052.1944600142415</v>
      </c>
      <c r="G2845" s="99" t="s">
        <v>929</v>
      </c>
      <c r="H2845" s="91"/>
      <c r="I2845" s="91"/>
      <c r="J2845" s="28">
        <f>(D2837-D2850)/D2849</f>
        <v>34.738255329391826</v>
      </c>
      <c r="K2845" s="99" t="s">
        <v>919</v>
      </c>
      <c r="L2845" s="91"/>
      <c r="M2845" s="91"/>
    </row>
    <row r="2846" spans="2:13" ht="15" customHeight="1" x14ac:dyDescent="0.2">
      <c r="B2846" s="10" t="s">
        <v>930</v>
      </c>
      <c r="C2846" s="10" t="s">
        <v>110</v>
      </c>
      <c r="D2846" s="16">
        <f>D2845/($D$2840-Inputs!$D$20)</f>
        <v>67362.592800189872</v>
      </c>
      <c r="G2846" s="99" t="s">
        <v>931</v>
      </c>
      <c r="H2846" s="91"/>
      <c r="I2846" s="91"/>
      <c r="J2846" s="16">
        <f>MIN(D2830:M2830,(M2816*(Inputs!$D$7+Inputs!$D$20)*$D$2838*$D$2839-D2847))</f>
        <v>1236.9005455678728</v>
      </c>
      <c r="K2846" s="99" t="s">
        <v>110</v>
      </c>
      <c r="L2846" s="91"/>
      <c r="M2846" s="91"/>
    </row>
    <row r="2847" spans="2:13" ht="15" customHeight="1" x14ac:dyDescent="0.2">
      <c r="B2847" s="10" t="s">
        <v>932</v>
      </c>
      <c r="C2847" s="10" t="s">
        <v>928</v>
      </c>
      <c r="D2847" s="16">
        <f>M2816*(Inputs!$D$7+Inputs!$D$20)*($D$2841/Inputs!$D$21+$D$2842/Inputs!$D$22)</f>
        <v>13509.71303671543</v>
      </c>
      <c r="G2847" s="99" t="s">
        <v>933</v>
      </c>
      <c r="H2847" s="91"/>
      <c r="I2847" s="91"/>
      <c r="J2847" s="31" t="str">
        <f>IF(J2846&lt;Inputs!$D$6,"breached","satisfied")</f>
        <v>satisfied</v>
      </c>
      <c r="K2847" s="99" t="s">
        <v>934</v>
      </c>
      <c r="L2847" s="91"/>
      <c r="M2847" s="91"/>
    </row>
    <row r="2848" spans="2:13" ht="15" customHeight="1" x14ac:dyDescent="0.2">
      <c r="B2848" s="10" t="s">
        <v>935</v>
      </c>
      <c r="C2848" s="10" t="s">
        <v>928</v>
      </c>
      <c r="D2848" s="16">
        <f>M2816*Inputs!$D$20*($D$2841+$D$2842)</f>
        <v>1365.7073615561799</v>
      </c>
    </row>
    <row r="2849" spans="1:13" ht="15" customHeight="1" x14ac:dyDescent="0.2">
      <c r="B2849" s="10" t="s">
        <v>936</v>
      </c>
      <c r="C2849" s="10" t="s">
        <v>896</v>
      </c>
      <c r="D2849" s="28">
        <f>SUM(D2826:M2826)+D2843</f>
        <v>4624.7528317145052</v>
      </c>
      <c r="G2849" s="99" t="s">
        <v>937</v>
      </c>
      <c r="H2849" s="91"/>
      <c r="I2849" s="91"/>
      <c r="J2849" s="16">
        <f>D2851-D2837</f>
        <v>0</v>
      </c>
      <c r="K2849" s="99" t="s">
        <v>110</v>
      </c>
      <c r="L2849" s="91"/>
      <c r="M2849" s="91"/>
    </row>
    <row r="2850" spans="1:13" ht="15" customHeight="1" x14ac:dyDescent="0.2">
      <c r="B2850" s="10" t="s">
        <v>938</v>
      </c>
      <c r="C2850" s="10" t="s">
        <v>110</v>
      </c>
      <c r="D2850" s="16">
        <f>SUM(D2827:M2827)+D2844</f>
        <v>-127880.84470342637</v>
      </c>
    </row>
    <row r="2851" spans="1:13" ht="15" customHeight="1" x14ac:dyDescent="0.2">
      <c r="B2851" s="10" t="s">
        <v>939</v>
      </c>
      <c r="C2851" s="10" t="s">
        <v>110</v>
      </c>
      <c r="D2851" s="16">
        <f>SUM(D2834:M2834)+D2846/(Inputs!$D$7+$D$2840)^M2814</f>
        <v>32774.999999999978</v>
      </c>
    </row>
    <row r="2852" spans="1:13" ht="15" customHeight="1" x14ac:dyDescent="0.2">
      <c r="B2852" s="10" t="s">
        <v>940</v>
      </c>
      <c r="C2852" s="10" t="s">
        <v>104</v>
      </c>
      <c r="D2852" s="30">
        <f>IF(ABS(D2837)&gt;Inputs!$D$6,D2851/D2837-Inputs!$D$7,Inputs!$D$6)</f>
        <v>-6.6613381477509392E-16</v>
      </c>
    </row>
    <row r="2853" spans="1:13" ht="15" customHeight="1" x14ac:dyDescent="0.2">
      <c r="B2853" s="10" t="s">
        <v>941</v>
      </c>
      <c r="C2853" s="10" t="s">
        <v>104</v>
      </c>
      <c r="D2853" s="30">
        <f>IF(ABS(D2851)&gt;Inputs!$D$119,D2846/(Inputs!$D$7+$D$2840)^M2814/D2851,Inputs!$D$6)</f>
        <v>0.81410156010158319</v>
      </c>
    </row>
    <row r="2854" spans="1:13" ht="15" customHeight="1" x14ac:dyDescent="0.2">
      <c r="B2854" s="10" t="s">
        <v>942</v>
      </c>
      <c r="C2854" s="10" t="s">
        <v>943</v>
      </c>
      <c r="D2854" s="26">
        <f>$D$2838*Inputs!$D$8/Prices!$P$6/(Inputs!$D$26/Inputs!$D$25)/Inputs!$D$11/Inputs!$D$56</f>
        <v>6.3172572498763371</v>
      </c>
    </row>
    <row r="2858" spans="1:13" ht="15" customHeight="1" x14ac:dyDescent="0.2">
      <c r="A2858" s="104" t="s">
        <v>2227</v>
      </c>
      <c r="B2858" s="10" t="s">
        <v>886</v>
      </c>
      <c r="C2858" s="10" t="s">
        <v>107</v>
      </c>
      <c r="D2858" s="28">
        <f>Inputs!$D$60</f>
        <v>1</v>
      </c>
      <c r="E2858" s="28">
        <f>Inputs!$D$62</f>
        <v>2</v>
      </c>
      <c r="F2858" s="28">
        <f>Inputs!$D$64</f>
        <v>3</v>
      </c>
      <c r="G2858" s="28">
        <f>Inputs!$D$66</f>
        <v>4</v>
      </c>
      <c r="H2858" s="28">
        <f>Inputs!$D$68</f>
        <v>5</v>
      </c>
      <c r="I2858" s="28">
        <f>Inputs!$D$70</f>
        <v>6</v>
      </c>
      <c r="J2858" s="28">
        <f>Inputs!$D$72</f>
        <v>7</v>
      </c>
      <c r="K2858" s="28">
        <f>Inputs!$D$74</f>
        <v>8</v>
      </c>
      <c r="L2858" s="28">
        <f>Inputs!$D$76</f>
        <v>9</v>
      </c>
      <c r="M2858" s="28">
        <f>Inputs!$D$78</f>
        <v>10</v>
      </c>
    </row>
    <row r="2859" spans="1:13" ht="15" customHeight="1" x14ac:dyDescent="0.2">
      <c r="A2859" s="91"/>
      <c r="B2859" s="10" t="s">
        <v>887</v>
      </c>
      <c r="C2859" s="10" t="s">
        <v>161</v>
      </c>
      <c r="D2859" s="29">
        <f>Inputs!$D$61</f>
        <v>46568</v>
      </c>
      <c r="E2859" s="29">
        <f>Inputs!$D$63</f>
        <v>46934</v>
      </c>
      <c r="F2859" s="29">
        <f>Inputs!$D$65</f>
        <v>47299</v>
      </c>
      <c r="G2859" s="29">
        <f>Inputs!$D$67</f>
        <v>47664</v>
      </c>
      <c r="H2859" s="29">
        <f>Inputs!$D$69</f>
        <v>48029</v>
      </c>
      <c r="I2859" s="29">
        <f>Inputs!$D$71</f>
        <v>48395</v>
      </c>
      <c r="J2859" s="29">
        <f>Inputs!$D$73</f>
        <v>48760</v>
      </c>
      <c r="K2859" s="29">
        <f>Inputs!$D$75</f>
        <v>49125</v>
      </c>
      <c r="L2859" s="29">
        <f>Inputs!$D$77</f>
        <v>49490</v>
      </c>
      <c r="M2859" s="29">
        <f>Inputs!$D$79</f>
        <v>49856</v>
      </c>
    </row>
    <row r="2860" spans="1:13" ht="15" customHeight="1" x14ac:dyDescent="0.2">
      <c r="A2860" s="91"/>
      <c r="B2860" s="10" t="s">
        <v>888</v>
      </c>
      <c r="C2860" s="10" t="s">
        <v>107</v>
      </c>
      <c r="D2860" s="28">
        <f>(D2859-Inputs!$D$13)/Inputs!$D$10</f>
        <v>0.71457905544147848</v>
      </c>
      <c r="E2860" s="28">
        <f>(E2859-Inputs!$D$13)/Inputs!$D$10</f>
        <v>1.7166324435318274</v>
      </c>
      <c r="F2860" s="28">
        <f>(F2859-Inputs!$D$13)/Inputs!$D$10</f>
        <v>2.7159479808350446</v>
      </c>
      <c r="G2860" s="28">
        <f>(G2859-Inputs!$D$13)/Inputs!$D$10</f>
        <v>3.7152635181382614</v>
      </c>
      <c r="H2860" s="28">
        <f>(H2859-Inputs!$D$13)/Inputs!$D$10</f>
        <v>4.7145790554414786</v>
      </c>
      <c r="I2860" s="28">
        <f>(I2859-Inputs!$D$13)/Inputs!$D$10</f>
        <v>5.7166324435318279</v>
      </c>
      <c r="J2860" s="28">
        <f>(J2859-Inputs!$D$13)/Inputs!$D$10</f>
        <v>6.7159479808350442</v>
      </c>
      <c r="K2860" s="28">
        <f>(K2859-Inputs!$D$13)/Inputs!$D$10</f>
        <v>7.7152635181382614</v>
      </c>
      <c r="L2860" s="28">
        <f>(L2859-Inputs!$D$13)/Inputs!$D$10</f>
        <v>8.7145790554414777</v>
      </c>
      <c r="M2860" s="28">
        <f>(M2859-Inputs!$D$13)/Inputs!$D$10</f>
        <v>9.716632443531827</v>
      </c>
    </row>
    <row r="2861" spans="1:13" ht="15" customHeight="1" x14ac:dyDescent="0.2">
      <c r="A2861" s="91"/>
      <c r="B2861" s="10" t="s">
        <v>889</v>
      </c>
      <c r="C2861" s="10" t="s">
        <v>107</v>
      </c>
      <c r="D2861" s="28">
        <f>D2860</f>
        <v>0.71457905544147848</v>
      </c>
      <c r="E2861" s="28">
        <f>Inputs!$D$7</f>
        <v>1</v>
      </c>
      <c r="F2861" s="28">
        <f>Inputs!$D$7</f>
        <v>1</v>
      </c>
      <c r="G2861" s="28">
        <f>Inputs!$D$7</f>
        <v>1</v>
      </c>
      <c r="H2861" s="28">
        <f>Inputs!$D$7</f>
        <v>1</v>
      </c>
      <c r="I2861" s="28">
        <f>Inputs!$D$7</f>
        <v>1</v>
      </c>
      <c r="J2861" s="28">
        <f>Inputs!$D$7</f>
        <v>1</v>
      </c>
      <c r="K2861" s="28">
        <f>Inputs!$D$7</f>
        <v>1</v>
      </c>
      <c r="L2861" s="28">
        <f>Inputs!$D$7</f>
        <v>1</v>
      </c>
      <c r="M2861" s="28">
        <f>Inputs!$D$7</f>
        <v>1</v>
      </c>
    </row>
    <row r="2862" spans="1:13" ht="15" customHeight="1" x14ac:dyDescent="0.2">
      <c r="A2862" s="91"/>
      <c r="B2862" s="3" t="s">
        <v>890</v>
      </c>
      <c r="C2862" s="10" t="s">
        <v>199</v>
      </c>
      <c r="D2862" s="28">
        <f>Inputs!$D$24+(Inputs!$D$80-Inputs!$D$24)*Inputs!$D$83</f>
        <v>305.5</v>
      </c>
      <c r="E2862" s="28">
        <f>Inputs!$D$24+(Inputs!$D$80-Inputs!$D$24)*Inputs!$D$84</f>
        <v>651.5</v>
      </c>
      <c r="F2862" s="28">
        <f>Inputs!$D$24+(Inputs!$D$80-Inputs!$D$24)*Inputs!$D$85</f>
        <v>911</v>
      </c>
      <c r="G2862" s="28">
        <f>Inputs!$D$24+(Inputs!$D$80-Inputs!$D$24)*Inputs!$D$86</f>
        <v>911</v>
      </c>
      <c r="H2862" s="28">
        <f>Inputs!$D$24+(Inputs!$D$80-Inputs!$D$24)*Inputs!$D$87</f>
        <v>911</v>
      </c>
      <c r="I2862" s="28">
        <f>Inputs!$D$24+(Inputs!$D$80-Inputs!$D$24)*Inputs!$D$88</f>
        <v>911</v>
      </c>
      <c r="J2862" s="28">
        <f>Inputs!$D$24+(Inputs!$D$80-Inputs!$D$24)*Inputs!$D$89</f>
        <v>911</v>
      </c>
      <c r="K2862" s="28">
        <f>Inputs!$D$24+(Inputs!$D$80-Inputs!$D$24)*Inputs!$D$90</f>
        <v>911</v>
      </c>
      <c r="L2862" s="28">
        <f>Inputs!$D$24+(Inputs!$D$80-Inputs!$D$24)*Inputs!$D$91</f>
        <v>911</v>
      </c>
      <c r="M2862" s="28">
        <f>Inputs!$D$24+(Inputs!$D$80-Inputs!$D$24)*Inputs!$D$92</f>
        <v>911</v>
      </c>
    </row>
    <row r="2863" spans="1:13" ht="15" customHeight="1" x14ac:dyDescent="0.2">
      <c r="A2863" s="91"/>
      <c r="B2863" s="10" t="s">
        <v>891</v>
      </c>
      <c r="C2863" s="10" t="s">
        <v>199</v>
      </c>
      <c r="D2863" s="28">
        <f>Inputs!$D$24</f>
        <v>46</v>
      </c>
      <c r="E2863" s="28">
        <f t="shared" ref="E2863:M2863" si="620">D2862</f>
        <v>305.5</v>
      </c>
      <c r="F2863" s="28">
        <f t="shared" si="620"/>
        <v>651.5</v>
      </c>
      <c r="G2863" s="28">
        <f t="shared" si="620"/>
        <v>911</v>
      </c>
      <c r="H2863" s="28">
        <f t="shared" si="620"/>
        <v>911</v>
      </c>
      <c r="I2863" s="28">
        <f t="shared" si="620"/>
        <v>911</v>
      </c>
      <c r="J2863" s="28">
        <f t="shared" si="620"/>
        <v>911</v>
      </c>
      <c r="K2863" s="28">
        <f t="shared" si="620"/>
        <v>911</v>
      </c>
      <c r="L2863" s="28">
        <f t="shared" si="620"/>
        <v>911</v>
      </c>
      <c r="M2863" s="28">
        <f t="shared" si="620"/>
        <v>911</v>
      </c>
    </row>
    <row r="2864" spans="1:13" ht="15" customHeight="1" x14ac:dyDescent="0.2">
      <c r="B2864" s="10" t="s">
        <v>892</v>
      </c>
      <c r="C2864" s="10" t="s">
        <v>199</v>
      </c>
      <c r="D2864" s="28">
        <f>(D2863+D2862)*Inputs!$D$12</f>
        <v>175.75</v>
      </c>
      <c r="E2864" s="28">
        <f>(E2863+E2862)*Inputs!$D$12</f>
        <v>478.5</v>
      </c>
      <c r="F2864" s="28">
        <f>(F2863+F2862)*Inputs!$D$12</f>
        <v>781.25</v>
      </c>
      <c r="G2864" s="28">
        <f>(G2863+G2862)*Inputs!$D$12</f>
        <v>911</v>
      </c>
      <c r="H2864" s="28">
        <f>(H2863+H2862)*Inputs!$D$12</f>
        <v>911</v>
      </c>
      <c r="I2864" s="28">
        <f>(I2863+I2862)*Inputs!$D$12</f>
        <v>911</v>
      </c>
      <c r="J2864" s="28">
        <f>(J2863+J2862)*Inputs!$D$12</f>
        <v>911</v>
      </c>
      <c r="K2864" s="28">
        <f>(K2863+K2862)*Inputs!$D$12</f>
        <v>911</v>
      </c>
      <c r="L2864" s="28">
        <f>(L2863+L2862)*Inputs!$D$12</f>
        <v>911</v>
      </c>
      <c r="M2864" s="28">
        <f>(M2863+M2862)*Inputs!$D$12</f>
        <v>911</v>
      </c>
    </row>
    <row r="2865" spans="2:13" ht="15" customHeight="1" x14ac:dyDescent="0.2">
      <c r="B2865" s="10" t="s">
        <v>893</v>
      </c>
      <c r="C2865" s="10" t="s">
        <v>199</v>
      </c>
      <c r="D2865" s="28">
        <f t="shared" ref="D2865:M2865" si="621">D2862-D2863</f>
        <v>259.5</v>
      </c>
      <c r="E2865" s="28">
        <f t="shared" si="621"/>
        <v>346</v>
      </c>
      <c r="F2865" s="28">
        <f t="shared" si="621"/>
        <v>259.5</v>
      </c>
      <c r="G2865" s="28">
        <f t="shared" si="621"/>
        <v>0</v>
      </c>
      <c r="H2865" s="28">
        <f t="shared" si="621"/>
        <v>0</v>
      </c>
      <c r="I2865" s="28">
        <f t="shared" si="621"/>
        <v>0</v>
      </c>
      <c r="J2865" s="28">
        <f t="shared" si="621"/>
        <v>0</v>
      </c>
      <c r="K2865" s="28">
        <f t="shared" si="621"/>
        <v>0</v>
      </c>
      <c r="L2865" s="28">
        <f t="shared" si="621"/>
        <v>0</v>
      </c>
      <c r="M2865" s="28">
        <f t="shared" si="621"/>
        <v>0</v>
      </c>
    </row>
    <row r="2866" spans="2:13" ht="15" customHeight="1" x14ac:dyDescent="0.2">
      <c r="B2866" s="10" t="s">
        <v>894</v>
      </c>
      <c r="C2866" s="10" t="s">
        <v>199</v>
      </c>
      <c r="D2866" s="28">
        <f>IF(MOD(D2858,Inputs!$D$21)=Inputs!$D$6,Inputs!$D$24,Inputs!$D$6)+SUMPRODUCT(--(D2858&gt;$D$2858:$M$2858),--(MOD(D2858-$D$2858:$M$2858,Inputs!$D$21)=Inputs!$D$6),$D$2865:$M$2865)</f>
        <v>0</v>
      </c>
      <c r="E2866" s="28">
        <f>IF(MOD(E2858,Inputs!$D$21)=Inputs!$D$6,Inputs!$D$24,Inputs!$D$6)+SUMPRODUCT(--(E2858&gt;$D$2858:$M$2858),--(MOD(E2858-$D$2858:$M$2858,Inputs!$D$21)=Inputs!$D$6),$D$2865:$M$2865)</f>
        <v>0</v>
      </c>
      <c r="F2866" s="28">
        <f>IF(MOD(F2858,Inputs!$D$21)=Inputs!$D$6,Inputs!$D$24,Inputs!$D$6)+SUMPRODUCT(--(F2858&gt;$D$2858:$M$2858),--(MOD(F2858-$D$2858:$M$2858,Inputs!$D$21)=Inputs!$D$6),$D$2865:$M$2865)</f>
        <v>0</v>
      </c>
      <c r="G2866" s="28">
        <f>IF(MOD(G2858,Inputs!$D$21)=Inputs!$D$6,Inputs!$D$24,Inputs!$D$6)+SUMPRODUCT(--(G2858&gt;$D$2858:$M$2858),--(MOD(G2858-$D$2858:$M$2858,Inputs!$D$21)=Inputs!$D$6),$D$2865:$M$2865)</f>
        <v>46</v>
      </c>
      <c r="H2866" s="28">
        <f>IF(MOD(H2858,Inputs!$D$21)=Inputs!$D$6,Inputs!$D$24,Inputs!$D$6)+SUMPRODUCT(--(H2858&gt;$D$2858:$M$2858),--(MOD(H2858-$D$2858:$M$2858,Inputs!$D$21)=Inputs!$D$6),$D$2865:$M$2865)</f>
        <v>259.5</v>
      </c>
      <c r="I2866" s="28">
        <f>IF(MOD(I2858,Inputs!$D$21)=Inputs!$D$6,Inputs!$D$24,Inputs!$D$6)+SUMPRODUCT(--(I2858&gt;$D$2858:$M$2858),--(MOD(I2858-$D$2858:$M$2858,Inputs!$D$21)=Inputs!$D$6),$D$2865:$M$2865)</f>
        <v>346</v>
      </c>
      <c r="J2866" s="28">
        <f>IF(MOD(J2858,Inputs!$D$21)=Inputs!$D$6,Inputs!$D$24,Inputs!$D$6)+SUMPRODUCT(--(J2858&gt;$D$2858:$M$2858),--(MOD(J2858-$D$2858:$M$2858,Inputs!$D$21)=Inputs!$D$6),$D$2865:$M$2865)</f>
        <v>259.5</v>
      </c>
      <c r="K2866" s="28">
        <f>IF(MOD(K2858,Inputs!$D$21)=Inputs!$D$6,Inputs!$D$24,Inputs!$D$6)+SUMPRODUCT(--(K2858&gt;$D$2858:$M$2858),--(MOD(K2858-$D$2858:$M$2858,Inputs!$D$21)=Inputs!$D$6),$D$2865:$M$2865)</f>
        <v>46</v>
      </c>
      <c r="L2866" s="28">
        <f>IF(MOD(L2858,Inputs!$D$21)=Inputs!$D$6,Inputs!$D$24,Inputs!$D$6)+SUMPRODUCT(--(L2858&gt;$D$2858:$M$2858),--(MOD(L2858-$D$2858:$M$2858,Inputs!$D$21)=Inputs!$D$6),$D$2865:$M$2865)</f>
        <v>259.5</v>
      </c>
      <c r="M2866" s="28">
        <f>IF(MOD(M2858,Inputs!$D$21)=Inputs!$D$6,Inputs!$D$24,Inputs!$D$6)+SUMPRODUCT(--(M2858&gt;$D$2858:$M$2858),--(MOD(M2858-$D$2858:$M$2858,Inputs!$D$21)=Inputs!$D$6),$D$2865:$M$2865)</f>
        <v>346</v>
      </c>
    </row>
    <row r="2867" spans="2:13" ht="15" customHeight="1" x14ac:dyDescent="0.2">
      <c r="B2867" s="10" t="s">
        <v>895</v>
      </c>
      <c r="C2867" s="10" t="s">
        <v>896</v>
      </c>
      <c r="D2867" s="28">
        <f t="shared" ref="D2867:M2867" si="622">D2864*D2861</f>
        <v>125.58726899383984</v>
      </c>
      <c r="E2867" s="28">
        <f t="shared" si="622"/>
        <v>478.5</v>
      </c>
      <c r="F2867" s="28">
        <f t="shared" si="622"/>
        <v>781.25</v>
      </c>
      <c r="G2867" s="28">
        <f t="shared" si="622"/>
        <v>911</v>
      </c>
      <c r="H2867" s="28">
        <f t="shared" si="622"/>
        <v>911</v>
      </c>
      <c r="I2867" s="28">
        <f t="shared" si="622"/>
        <v>911</v>
      </c>
      <c r="J2867" s="28">
        <f t="shared" si="622"/>
        <v>911</v>
      </c>
      <c r="K2867" s="28">
        <f t="shared" si="622"/>
        <v>911</v>
      </c>
      <c r="L2867" s="28">
        <f t="shared" si="622"/>
        <v>911</v>
      </c>
      <c r="M2867" s="28">
        <f t="shared" si="622"/>
        <v>911</v>
      </c>
    </row>
    <row r="2868" spans="2:13" ht="15" customHeight="1" x14ac:dyDescent="0.2">
      <c r="B2868" s="10" t="s">
        <v>897</v>
      </c>
      <c r="C2868" s="10" t="s">
        <v>110</v>
      </c>
      <c r="D2868" s="16">
        <f>D2867*($D$2887/Inputs!$D$21+$D$2888/Inputs!$D$22)</f>
        <v>1816.9772859324419</v>
      </c>
      <c r="E2868" s="16">
        <f>E2867*($D$2887/Inputs!$D$21+$D$2888/Inputs!$D$22)</f>
        <v>6922.8643817497086</v>
      </c>
      <c r="F2868" s="16">
        <f>F2867*($D$2887/Inputs!$D$21+$D$2888/Inputs!$D$22)</f>
        <v>11303.0048030135</v>
      </c>
      <c r="G2868" s="16">
        <f>G2867*($D$2887/Inputs!$D$21+$D$2888/Inputs!$D$22)</f>
        <v>13180.207840697982</v>
      </c>
      <c r="H2868" s="16">
        <f>H2867*($D$2887/Inputs!$D$21+$D$2888/Inputs!$D$22)</f>
        <v>13180.207840697982</v>
      </c>
      <c r="I2868" s="16">
        <f>I2867*($D$2887/Inputs!$D$21+$D$2888/Inputs!$D$22)</f>
        <v>13180.207840697982</v>
      </c>
      <c r="J2868" s="16">
        <f>J2867*($D$2887/Inputs!$D$21+$D$2888/Inputs!$D$22)</f>
        <v>13180.207840697982</v>
      </c>
      <c r="K2868" s="16">
        <f>K2867*($D$2887/Inputs!$D$21+$D$2888/Inputs!$D$22)</f>
        <v>13180.207840697982</v>
      </c>
      <c r="L2868" s="16">
        <f>L2867*($D$2887/Inputs!$D$21+$D$2888/Inputs!$D$22)</f>
        <v>13180.207840697982</v>
      </c>
      <c r="M2868" s="16">
        <f>M2867*($D$2887/Inputs!$D$21+$D$2888/Inputs!$D$22)</f>
        <v>13180.207840697982</v>
      </c>
    </row>
    <row r="2869" spans="2:13" ht="15" customHeight="1" x14ac:dyDescent="0.2">
      <c r="B2869" s="10" t="s">
        <v>898</v>
      </c>
      <c r="C2869" s="10" t="s">
        <v>110</v>
      </c>
      <c r="D2869" s="16">
        <f t="shared" ref="D2869:M2869" si="623">D2865*($D$2887+$D$2888)</f>
        <v>15560.968620146154</v>
      </c>
      <c r="E2869" s="16">
        <f t="shared" si="623"/>
        <v>20747.95816019487</v>
      </c>
      <c r="F2869" s="16">
        <f t="shared" si="623"/>
        <v>15560.968620146154</v>
      </c>
      <c r="G2869" s="16">
        <f t="shared" si="623"/>
        <v>0</v>
      </c>
      <c r="H2869" s="16">
        <f t="shared" si="623"/>
        <v>0</v>
      </c>
      <c r="I2869" s="16">
        <f t="shared" si="623"/>
        <v>0</v>
      </c>
      <c r="J2869" s="16">
        <f t="shared" si="623"/>
        <v>0</v>
      </c>
      <c r="K2869" s="16">
        <f t="shared" si="623"/>
        <v>0</v>
      </c>
      <c r="L2869" s="16">
        <f t="shared" si="623"/>
        <v>0</v>
      </c>
      <c r="M2869" s="16">
        <f t="shared" si="623"/>
        <v>0</v>
      </c>
    </row>
    <row r="2870" spans="2:13" ht="15" customHeight="1" x14ac:dyDescent="0.2">
      <c r="B2870" s="10" t="s">
        <v>899</v>
      </c>
      <c r="C2870" s="10" t="s">
        <v>110</v>
      </c>
      <c r="D2870" s="16">
        <f t="shared" ref="D2870:M2870" si="624">D2866*$D$2887</f>
        <v>0</v>
      </c>
      <c r="E2870" s="16">
        <f t="shared" si="624"/>
        <v>0</v>
      </c>
      <c r="F2870" s="16">
        <f t="shared" si="624"/>
        <v>0</v>
      </c>
      <c r="G2870" s="16">
        <f t="shared" si="624"/>
        <v>2638.0048485671714</v>
      </c>
      <c r="H2870" s="16">
        <f t="shared" si="624"/>
        <v>14881.788221808281</v>
      </c>
      <c r="I2870" s="16">
        <f t="shared" si="624"/>
        <v>19842.384295744378</v>
      </c>
      <c r="J2870" s="16">
        <f t="shared" si="624"/>
        <v>14881.788221808281</v>
      </c>
      <c r="K2870" s="16">
        <f t="shared" si="624"/>
        <v>2638.0048485671714</v>
      </c>
      <c r="L2870" s="16">
        <f t="shared" si="624"/>
        <v>14881.788221808281</v>
      </c>
      <c r="M2870" s="16">
        <f t="shared" si="624"/>
        <v>19842.384295744378</v>
      </c>
    </row>
    <row r="2871" spans="2:13" ht="15" customHeight="1" x14ac:dyDescent="0.2">
      <c r="B2871" s="10" t="s">
        <v>900</v>
      </c>
      <c r="C2871" s="10" t="s">
        <v>199</v>
      </c>
      <c r="D2871" s="28">
        <f>D2865*Inputs!$D$23</f>
        <v>6.4875000000000007</v>
      </c>
      <c r="E2871" s="28">
        <f>E2865*Inputs!$D$23</f>
        <v>8.65</v>
      </c>
      <c r="F2871" s="28">
        <f>F2865*Inputs!$D$23</f>
        <v>6.4875000000000007</v>
      </c>
      <c r="G2871" s="28">
        <f>G2865*Inputs!$D$23</f>
        <v>0</v>
      </c>
      <c r="H2871" s="28">
        <f>H2865*Inputs!$D$23</f>
        <v>0</v>
      </c>
      <c r="I2871" s="28">
        <f>I2865*Inputs!$D$23</f>
        <v>0</v>
      </c>
      <c r="J2871" s="28">
        <f>J2865*Inputs!$D$23</f>
        <v>0</v>
      </c>
      <c r="K2871" s="28">
        <f>K2865*Inputs!$D$23</f>
        <v>0</v>
      </c>
      <c r="L2871" s="28">
        <f>L2865*Inputs!$D$23</f>
        <v>0</v>
      </c>
      <c r="M2871" s="28">
        <f>M2865*Inputs!$D$23</f>
        <v>0</v>
      </c>
    </row>
    <row r="2872" spans="2:13" ht="15" customHeight="1" x14ac:dyDescent="0.2">
      <c r="B2872" s="3" t="s">
        <v>901</v>
      </c>
      <c r="C2872" s="10" t="s">
        <v>896</v>
      </c>
      <c r="D2872" s="28">
        <f>(D2867*$D$2885*(Inputs!$D$7-Inputs!$D$19)-D2871)/(Inputs!$D$7+$D$2886)^D2860</f>
        <v>50.767902485879603</v>
      </c>
      <c r="E2872" s="28">
        <f>(E2867*$D$2885*(Inputs!$D$7-Inputs!$D$19)-E2871)/(Inputs!$D$7+$D$2886)^E2860</f>
        <v>185.89321240748276</v>
      </c>
      <c r="F2872" s="28">
        <f>(F2867*$D$2885*(Inputs!$D$7-Inputs!$D$19)-F2871)/(Inputs!$D$7+$D$2886)^F2860</f>
        <v>276.62376054161734</v>
      </c>
      <c r="G2872" s="28">
        <f>(G2867*$D$2885*(Inputs!$D$7-Inputs!$D$19)-G2871)/(Inputs!$D$7+$D$2886)^G2860</f>
        <v>292.99251988920633</v>
      </c>
      <c r="H2872" s="28">
        <f>(H2867*$D$2885*(Inputs!$D$7-Inputs!$D$19)-H2871)/(Inputs!$D$7+$D$2886)^H2860</f>
        <v>261.6207571276218</v>
      </c>
      <c r="I2872" s="28">
        <f>(I2867*$D$2885*(Inputs!$D$7-Inputs!$D$19)-I2871)/(Inputs!$D$7+$D$2886)^I2860</f>
        <v>233.53560984566982</v>
      </c>
      <c r="J2872" s="28">
        <f>(J2867*$D$2885*(Inputs!$D$7-Inputs!$D$19)-J2871)/(Inputs!$D$7+$D$2886)^J2860</f>
        <v>208.53011226084834</v>
      </c>
      <c r="K2872" s="28">
        <f>(K2867*$D$2885*(Inputs!$D$7-Inputs!$D$19)-K2871)/(Inputs!$D$7+$D$2886)^K2860</f>
        <v>186.20204322697762</v>
      </c>
      <c r="L2872" s="28">
        <f>(L2867*$D$2885*(Inputs!$D$7-Inputs!$D$19)-L2871)/(Inputs!$D$7+$D$2886)^L2860</f>
        <v>166.2647208405632</v>
      </c>
      <c r="M2872" s="28">
        <f>(M2867*$D$2885*(Inputs!$D$7-Inputs!$D$19)-M2871)/(Inputs!$D$7+$D$2886)^M2860</f>
        <v>148.41610200822046</v>
      </c>
    </row>
    <row r="2873" spans="2:13" ht="15" customHeight="1" x14ac:dyDescent="0.2">
      <c r="B2873" s="10" t="s">
        <v>902</v>
      </c>
      <c r="C2873" s="10" t="s">
        <v>110</v>
      </c>
      <c r="D2873" s="16">
        <f>(D2868*Inputs!$D$19-D2869-D2870)/(Inputs!$D$7+$D$2886)^D2860</f>
        <v>-13847.790632947557</v>
      </c>
      <c r="E2873" s="16">
        <f>(E2868*Inputs!$D$19-E2869-E2870)/(Inputs!$D$7+$D$2886)^E2860</f>
        <v>-15370.239105459035</v>
      </c>
      <c r="F2873" s="16">
        <f>(F2868*Inputs!$D$19-F2869-F2870)/(Inputs!$D$7+$D$2886)^F2860</f>
        <v>-8945.8041564234754</v>
      </c>
      <c r="G2873" s="16">
        <f>(G2868*Inputs!$D$19-G2869-G2870)/(Inputs!$D$7+$D$2886)^G2860</f>
        <v>863.80744262020482</v>
      </c>
      <c r="H2873" s="16">
        <f>(H2868*Inputs!$D$19-H2869-H2870)/(Inputs!$D$7+$D$2886)^H2860</f>
        <v>-6404.5339628745278</v>
      </c>
      <c r="I2873" s="16">
        <f>(I2868*Inputs!$D$19-I2869-I2870)/(Inputs!$D$7+$D$2886)^I2860</f>
        <v>-8312.2134333380691</v>
      </c>
      <c r="J2873" s="16">
        <f>(J2868*Inputs!$D$19-J2869-J2870)/(Inputs!$D$7+$D$2886)^J2860</f>
        <v>-5104.8632414329013</v>
      </c>
      <c r="K2873" s="16">
        <f>(K2868*Inputs!$D$19-K2869-K2870)/(Inputs!$D$7+$D$2886)^K2860</f>
        <v>548.96524604578394</v>
      </c>
      <c r="L2873" s="16">
        <f>(L2868*Inputs!$D$19-L2869-L2870)/(Inputs!$D$7+$D$2886)^L2860</f>
        <v>-4070.1971171644977</v>
      </c>
      <c r="M2873" s="16">
        <f>(M2868*Inputs!$D$19-M2869-M2870)/(Inputs!$D$7+$D$2886)^M2860</f>
        <v>-5282.5619084458349</v>
      </c>
    </row>
    <row r="2874" spans="2:13" ht="15" customHeight="1" x14ac:dyDescent="0.2">
      <c r="B2874" s="10" t="s">
        <v>903</v>
      </c>
      <c r="C2874" s="10" t="s">
        <v>110</v>
      </c>
      <c r="D2874" s="16">
        <f t="shared" ref="D2874:M2874" si="625">D2867*$D$2884</f>
        <v>4751.0948123777152</v>
      </c>
      <c r="E2874" s="16">
        <f t="shared" si="625"/>
        <v>18102.144317146103</v>
      </c>
      <c r="F2874" s="16">
        <f t="shared" si="625"/>
        <v>29555.486411223392</v>
      </c>
      <c r="G2874" s="16">
        <f t="shared" si="625"/>
        <v>34464.061594399376</v>
      </c>
      <c r="H2874" s="16">
        <f t="shared" si="625"/>
        <v>34464.061594399376</v>
      </c>
      <c r="I2874" s="16">
        <f t="shared" si="625"/>
        <v>34464.061594399376</v>
      </c>
      <c r="J2874" s="16">
        <f t="shared" si="625"/>
        <v>34464.061594399376</v>
      </c>
      <c r="K2874" s="16">
        <f t="shared" si="625"/>
        <v>34464.061594399376</v>
      </c>
      <c r="L2874" s="16">
        <f t="shared" si="625"/>
        <v>34464.061594399376</v>
      </c>
      <c r="M2874" s="16">
        <f t="shared" si="625"/>
        <v>34464.061594399376</v>
      </c>
    </row>
    <row r="2875" spans="2:13" ht="15" customHeight="1" x14ac:dyDescent="0.2">
      <c r="B2875" s="10" t="s">
        <v>904</v>
      </c>
      <c r="C2875" s="10" t="s">
        <v>110</v>
      </c>
      <c r="D2875" s="16">
        <f t="shared" ref="D2875:M2875" si="626">D2874*$D$2885</f>
        <v>3325.7663686644005</v>
      </c>
      <c r="E2875" s="16">
        <f t="shared" si="626"/>
        <v>12671.501022002272</v>
      </c>
      <c r="F2875" s="16">
        <f t="shared" si="626"/>
        <v>20688.840487856374</v>
      </c>
      <c r="G2875" s="16">
        <f t="shared" si="626"/>
        <v>24124.843116079563</v>
      </c>
      <c r="H2875" s="16">
        <f t="shared" si="626"/>
        <v>24124.843116079563</v>
      </c>
      <c r="I2875" s="16">
        <f t="shared" si="626"/>
        <v>24124.843116079563</v>
      </c>
      <c r="J2875" s="16">
        <f t="shared" si="626"/>
        <v>24124.843116079563</v>
      </c>
      <c r="K2875" s="16">
        <f t="shared" si="626"/>
        <v>24124.843116079563</v>
      </c>
      <c r="L2875" s="16">
        <f t="shared" si="626"/>
        <v>24124.843116079563</v>
      </c>
      <c r="M2875" s="16">
        <f t="shared" si="626"/>
        <v>24124.843116079563</v>
      </c>
    </row>
    <row r="2876" spans="2:13" ht="15" customHeight="1" x14ac:dyDescent="0.2">
      <c r="B2876" s="10" t="s">
        <v>905</v>
      </c>
      <c r="C2876" s="10" t="s">
        <v>110</v>
      </c>
      <c r="D2876" s="16">
        <f t="shared" ref="D2876:M2876" si="627">D2875-D2868</f>
        <v>1508.7890827319586</v>
      </c>
      <c r="E2876" s="16">
        <f t="shared" si="627"/>
        <v>5748.6366402525637</v>
      </c>
      <c r="F2876" s="16">
        <f t="shared" si="627"/>
        <v>9385.8356848428739</v>
      </c>
      <c r="G2876" s="16">
        <f t="shared" si="627"/>
        <v>10944.635275381581</v>
      </c>
      <c r="H2876" s="16">
        <f t="shared" si="627"/>
        <v>10944.635275381581</v>
      </c>
      <c r="I2876" s="16">
        <f t="shared" si="627"/>
        <v>10944.635275381581</v>
      </c>
      <c r="J2876" s="16">
        <f t="shared" si="627"/>
        <v>10944.635275381581</v>
      </c>
      <c r="K2876" s="16">
        <f t="shared" si="627"/>
        <v>10944.635275381581</v>
      </c>
      <c r="L2876" s="16">
        <f t="shared" si="627"/>
        <v>10944.635275381581</v>
      </c>
      <c r="M2876" s="16">
        <f t="shared" si="627"/>
        <v>10944.635275381581</v>
      </c>
    </row>
    <row r="2877" spans="2:13" ht="15" customHeight="1" x14ac:dyDescent="0.2">
      <c r="B2877" s="10" t="s">
        <v>906</v>
      </c>
      <c r="C2877" s="10" t="s">
        <v>110</v>
      </c>
      <c r="D2877" s="16">
        <f>MAX(D2876,Inputs!$D$6)*Inputs!$D$19</f>
        <v>452.63672481958758</v>
      </c>
      <c r="E2877" s="16">
        <f>MAX(E2876,Inputs!$D$6)*Inputs!$D$19</f>
        <v>1724.590992075769</v>
      </c>
      <c r="F2877" s="16">
        <f>MAX(F2876,Inputs!$D$6)*Inputs!$D$19</f>
        <v>2815.7507054528619</v>
      </c>
      <c r="G2877" s="16">
        <f>MAX(G2876,Inputs!$D$6)*Inputs!$D$19</f>
        <v>3283.3905826144742</v>
      </c>
      <c r="H2877" s="16">
        <f>MAX(H2876,Inputs!$D$6)*Inputs!$D$19</f>
        <v>3283.3905826144742</v>
      </c>
      <c r="I2877" s="16">
        <f>MAX(I2876,Inputs!$D$6)*Inputs!$D$19</f>
        <v>3283.3905826144742</v>
      </c>
      <c r="J2877" s="16">
        <f>MAX(J2876,Inputs!$D$6)*Inputs!$D$19</f>
        <v>3283.3905826144742</v>
      </c>
      <c r="K2877" s="16">
        <f>MAX(K2876,Inputs!$D$6)*Inputs!$D$19</f>
        <v>3283.3905826144742</v>
      </c>
      <c r="L2877" s="16">
        <f>MAX(L2876,Inputs!$D$6)*Inputs!$D$19</f>
        <v>3283.3905826144742</v>
      </c>
      <c r="M2877" s="16">
        <f>MAX(M2876,Inputs!$D$6)*Inputs!$D$19</f>
        <v>3283.3905826144742</v>
      </c>
    </row>
    <row r="2878" spans="2:13" ht="15" customHeight="1" x14ac:dyDescent="0.2">
      <c r="B2878" s="10" t="s">
        <v>907</v>
      </c>
      <c r="C2878" s="10" t="s">
        <v>110</v>
      </c>
      <c r="D2878" s="16">
        <f t="shared" ref="D2878:M2878" si="628">D2871*$D$2884</f>
        <v>245.42875915879907</v>
      </c>
      <c r="E2878" s="16">
        <f t="shared" si="628"/>
        <v>327.23834554506539</v>
      </c>
      <c r="F2878" s="16">
        <f t="shared" si="628"/>
        <v>245.42875915879907</v>
      </c>
      <c r="G2878" s="16">
        <f t="shared" si="628"/>
        <v>0</v>
      </c>
      <c r="H2878" s="16">
        <f t="shared" si="628"/>
        <v>0</v>
      </c>
      <c r="I2878" s="16">
        <f t="shared" si="628"/>
        <v>0</v>
      </c>
      <c r="J2878" s="16">
        <f t="shared" si="628"/>
        <v>0</v>
      </c>
      <c r="K2878" s="16">
        <f t="shared" si="628"/>
        <v>0</v>
      </c>
      <c r="L2878" s="16">
        <f t="shared" si="628"/>
        <v>0</v>
      </c>
      <c r="M2878" s="16">
        <f t="shared" si="628"/>
        <v>0</v>
      </c>
    </row>
    <row r="2879" spans="2:13" ht="15" customHeight="1" x14ac:dyDescent="0.2">
      <c r="B2879" s="10" t="s">
        <v>908</v>
      </c>
      <c r="C2879" s="10" t="s">
        <v>110</v>
      </c>
      <c r="D2879" s="16">
        <f t="shared" ref="D2879:M2879" si="629">D2875-D2877-D2869-D2870-D2878</f>
        <v>-12933.26773546014</v>
      </c>
      <c r="E2879" s="16">
        <f t="shared" si="629"/>
        <v>-10128.286475813433</v>
      </c>
      <c r="F2879" s="16">
        <f t="shared" si="629"/>
        <v>2066.6924030985601</v>
      </c>
      <c r="G2879" s="16">
        <f t="shared" si="629"/>
        <v>18203.447684897917</v>
      </c>
      <c r="H2879" s="16">
        <f t="shared" si="629"/>
        <v>5959.6643116568084</v>
      </c>
      <c r="I2879" s="16">
        <f t="shared" si="629"/>
        <v>999.0682377207122</v>
      </c>
      <c r="J2879" s="16">
        <f t="shared" si="629"/>
        <v>5959.6643116568084</v>
      </c>
      <c r="K2879" s="16">
        <f t="shared" si="629"/>
        <v>18203.447684897917</v>
      </c>
      <c r="L2879" s="16">
        <f t="shared" si="629"/>
        <v>5959.6643116568084</v>
      </c>
      <c r="M2879" s="16">
        <f t="shared" si="629"/>
        <v>999.0682377207122</v>
      </c>
    </row>
    <row r="2880" spans="2:13" ht="15" customHeight="1" x14ac:dyDescent="0.2">
      <c r="B2880" s="10" t="s">
        <v>909</v>
      </c>
      <c r="C2880" s="10" t="s">
        <v>110</v>
      </c>
      <c r="D2880" s="16">
        <f>D2879/(Inputs!$D$7+$D$2886)^D2860</f>
        <v>-11927.188966326466</v>
      </c>
      <c r="E2880" s="16">
        <f>E2879/(Inputs!$D$7+$D$2886)^E2860</f>
        <v>-8337.7087845015685</v>
      </c>
      <c r="F2880" s="16">
        <f>F2879/(Inputs!$D$7+$D$2886)^F2860</f>
        <v>1519.1555820844105</v>
      </c>
      <c r="G2880" s="16">
        <f>G2879/(Inputs!$D$7+$D$2886)^G2860</f>
        <v>11948.014086044896</v>
      </c>
      <c r="H2880" s="16">
        <f>H2879/(Inputs!$D$7+$D$2886)^H2860</f>
        <v>3492.8468143151085</v>
      </c>
      <c r="I2880" s="16">
        <f>I2879/(Inputs!$D$7+$D$2886)^I2860</f>
        <v>522.67750212492479</v>
      </c>
      <c r="J2880" s="16">
        <f>J2879/(Inputs!$D$7+$D$2886)^J2860</f>
        <v>2784.0441496152825</v>
      </c>
      <c r="K2880" s="16">
        <f>K2879/(Inputs!$D$7+$D$2886)^K2860</f>
        <v>7593.1789527171049</v>
      </c>
      <c r="L2880" s="16">
        <f>L2879/(Inputs!$D$7+$D$2886)^L2860</f>
        <v>2219.7672955959733</v>
      </c>
      <c r="M2880" s="16">
        <f>M2879/(Inputs!$D$7+$D$2886)^M2860</f>
        <v>332.17100177586929</v>
      </c>
    </row>
    <row r="2881" spans="2:13" ht="15" customHeight="1" x14ac:dyDescent="0.2">
      <c r="B2881" s="3" t="s">
        <v>910</v>
      </c>
      <c r="C2881" s="10" t="s">
        <v>896</v>
      </c>
      <c r="D2881" s="28">
        <f>(D2867*$D$2885-D2871)/(Inputs!$D$7+$D$2886)^D2860</f>
        <v>75.089648168061032</v>
      </c>
      <c r="E2881" s="28">
        <f>(E2867*$D$2885-E2871)/(Inputs!$D$7+$D$2886)^E2860</f>
        <v>268.61348984151471</v>
      </c>
      <c r="F2881" s="28">
        <f>(F2867*$D$2885-F2871)/(Inputs!$D$7+$D$2886)^F2860</f>
        <v>397.22054713262008</v>
      </c>
      <c r="G2881" s="28">
        <f>(G2867*$D$2885-G2871)/(Inputs!$D$7+$D$2886)^G2860</f>
        <v>418.56074269886619</v>
      </c>
      <c r="H2881" s="28">
        <f>(H2867*$D$2885-H2871)/(Inputs!$D$7+$D$2886)^H2860</f>
        <v>373.7439387537454</v>
      </c>
      <c r="I2881" s="28">
        <f>(I2867*$D$2885-I2871)/(Inputs!$D$7+$D$2886)^I2860</f>
        <v>333.6222997795283</v>
      </c>
      <c r="J2881" s="28">
        <f>(J2867*$D$2885-J2871)/(Inputs!$D$7+$D$2886)^J2860</f>
        <v>297.90016037264053</v>
      </c>
      <c r="K2881" s="28">
        <f>(K2867*$D$2885-K2871)/(Inputs!$D$7+$D$2886)^K2860</f>
        <v>266.00291889568234</v>
      </c>
      <c r="L2881" s="28">
        <f>(L2867*$D$2885-L2871)/(Inputs!$D$7+$D$2886)^L2860</f>
        <v>237.52102977223316</v>
      </c>
      <c r="M2881" s="28">
        <f>(M2867*$D$2885-M2871)/(Inputs!$D$7+$D$2886)^M2860</f>
        <v>212.02300286888638</v>
      </c>
    </row>
    <row r="2882" spans="2:13" ht="15" customHeight="1" x14ac:dyDescent="0.2">
      <c r="B2882" s="10" t="s">
        <v>911</v>
      </c>
      <c r="C2882" s="10" t="s">
        <v>110</v>
      </c>
      <c r="D2882" s="16">
        <f>(-D2869-D2870)/(Inputs!$D$7+$D$2886)^D2860</f>
        <v>-14350.481025200577</v>
      </c>
      <c r="E2882" s="16">
        <f>(-E2869-E2870)/(Inputs!$D$7+$D$2886)^E2860</f>
        <v>-17079.930887207098</v>
      </c>
      <c r="F2882" s="16">
        <f>(-F2869-F2870)/(Inputs!$D$7+$D$2886)^F2860</f>
        <v>-11438.340948315768</v>
      </c>
      <c r="G2882" s="16">
        <f>(-G2869-G2870)/(Inputs!$D$7+$D$2886)^G2860</f>
        <v>-1731.4807411941122</v>
      </c>
      <c r="H2882" s="16">
        <f>(-H2869-H2870)/(Inputs!$D$7+$D$2886)^H2860</f>
        <v>-8721.9353076959778</v>
      </c>
      <c r="I2882" s="16">
        <f>(-I2869-I2870)/(Inputs!$D$7+$D$2886)^I2860</f>
        <v>-10380.8403353543</v>
      </c>
      <c r="J2882" s="16">
        <f>(-J2869-J2870)/(Inputs!$D$7+$D$2886)^J2860</f>
        <v>-6951.9948218729187</v>
      </c>
      <c r="K2882" s="16">
        <f>(-K2869-K2870)/(Inputs!$D$7+$D$2886)^K2860</f>
        <v>-1100.3873134386547</v>
      </c>
      <c r="L2882" s="16">
        <f>(-L2869-L2870)/(Inputs!$D$7+$D$2886)^L2860</f>
        <v>-5542.947566718196</v>
      </c>
      <c r="M2882" s="16">
        <f>(-M2869-M2870)/(Inputs!$D$7+$D$2886)^M2860</f>
        <v>-6597.2117021517279</v>
      </c>
    </row>
    <row r="2883" spans="2:13" ht="15" customHeight="1" x14ac:dyDescent="0.2">
      <c r="B2883" s="10" t="s">
        <v>912</v>
      </c>
      <c r="C2883" s="10" t="s">
        <v>110</v>
      </c>
      <c r="D2883" s="16">
        <f>Prices!I8</f>
        <v>32775</v>
      </c>
    </row>
    <row r="2884" spans="2:13" ht="15" customHeight="1" x14ac:dyDescent="0.2">
      <c r="B2884" s="3" t="s">
        <v>913</v>
      </c>
      <c r="C2884" s="10" t="s">
        <v>914</v>
      </c>
      <c r="D2884" s="28">
        <f>IF(J2891&gt;=J2887,J2891,(D2883-J2890)/J2889)</f>
        <v>37.831022606365941</v>
      </c>
      <c r="G2884" s="99" t="s">
        <v>915</v>
      </c>
      <c r="H2884" s="91"/>
      <c r="I2884" s="91"/>
      <c r="J2884" s="28">
        <f>D2884*Inputs!$D$15</f>
        <v>26.402270676982788</v>
      </c>
      <c r="K2884" s="99" t="s">
        <v>916</v>
      </c>
      <c r="L2884" s="91"/>
      <c r="M2884" s="91"/>
    </row>
    <row r="2885" spans="2:13" ht="15" customHeight="1" x14ac:dyDescent="0.2">
      <c r="B2885" s="10" t="s">
        <v>917</v>
      </c>
      <c r="C2885" s="10" t="s">
        <v>104</v>
      </c>
      <c r="D2885" s="30">
        <f>Inputs!$D$143</f>
        <v>0.7</v>
      </c>
      <c r="G2885" s="99" t="s">
        <v>918</v>
      </c>
      <c r="H2885" s="91"/>
      <c r="I2885" s="91"/>
      <c r="J2885" s="28">
        <f>IF(-D2896/D2895&gt;=J2887,-D2896/D2895,-J2890/J2889)</f>
        <v>28.75254216398438</v>
      </c>
      <c r="K2885" s="99" t="s">
        <v>919</v>
      </c>
      <c r="L2885" s="91"/>
      <c r="M2885" s="91"/>
    </row>
    <row r="2886" spans="2:13" ht="15" customHeight="1" x14ac:dyDescent="0.2">
      <c r="B2886" s="10" t="s">
        <v>920</v>
      </c>
      <c r="C2886" s="10" t="s">
        <v>104</v>
      </c>
      <c r="D2886" s="30">
        <f>Inputs!$D$148</f>
        <v>0.12</v>
      </c>
      <c r="G2886" s="99" t="s">
        <v>918</v>
      </c>
      <c r="H2886" s="91"/>
      <c r="I2886" s="91"/>
      <c r="J2886" s="28">
        <f>J2885*Inputs!$D$15</f>
        <v>20.066399176244698</v>
      </c>
      <c r="K2886" s="99" t="s">
        <v>916</v>
      </c>
      <c r="L2886" s="91"/>
      <c r="M2886" s="91"/>
    </row>
    <row r="2887" spans="2:13" ht="15" customHeight="1" x14ac:dyDescent="0.2">
      <c r="B2887" s="3" t="s">
        <v>921</v>
      </c>
      <c r="C2887" s="10" t="s">
        <v>848</v>
      </c>
      <c r="D2887" s="28">
        <f>Capital!$D$13</f>
        <v>57.347931490590682</v>
      </c>
      <c r="G2887" s="99" t="s">
        <v>922</v>
      </c>
      <c r="H2887" s="91"/>
      <c r="I2887" s="91"/>
      <c r="J2887" s="28">
        <f>($D$2887/Inputs!$D$21+$D$2888/Inputs!$D$22)/$D$2885</f>
        <v>20.668351639796114</v>
      </c>
      <c r="K2887" s="99" t="s">
        <v>919</v>
      </c>
      <c r="L2887" s="91"/>
      <c r="M2887" s="91"/>
    </row>
    <row r="2888" spans="2:13" ht="15" customHeight="1" x14ac:dyDescent="0.2">
      <c r="B2888" s="3" t="s">
        <v>923</v>
      </c>
      <c r="C2888" s="10" t="s">
        <v>848</v>
      </c>
      <c r="D2888" s="28">
        <f>Capital!$D$14</f>
        <v>2.6172655041921802</v>
      </c>
    </row>
    <row r="2889" spans="2:13" ht="15" customHeight="1" x14ac:dyDescent="0.2">
      <c r="B2889" s="10" t="s">
        <v>924</v>
      </c>
      <c r="C2889" s="10" t="s">
        <v>896</v>
      </c>
      <c r="D2889" s="28">
        <f>(M2862*(Inputs!$D$7+Inputs!$D$20)*$D$2885*(Inputs!$D$7-Inputs!$D$19)-M2862*Inputs!$D$20*Inputs!$D$23)/($D$2886-Inputs!$D$20)/(Inputs!$D$7+$D$2886)^M2860</f>
        <v>1599.3389295354154</v>
      </c>
      <c r="G2889" s="92" t="s">
        <v>910</v>
      </c>
      <c r="H2889" s="91"/>
      <c r="I2889" s="91"/>
      <c r="J2889" s="28">
        <f>SUM(D2881:M2881)+(M2862*(Inputs!$D$7+Inputs!$D$20)*$D$2885-M2862*Inputs!$D$20*Inputs!$D$23)/($D$2886-Inputs!$D$20)/(Inputs!$D$7+$D$2886)^M2860</f>
        <v>5165.9216907895361</v>
      </c>
      <c r="K2889" s="99" t="s">
        <v>896</v>
      </c>
      <c r="L2889" s="91"/>
      <c r="M2889" s="91"/>
    </row>
    <row r="2890" spans="2:13" ht="15" customHeight="1" x14ac:dyDescent="0.2">
      <c r="B2890" s="10" t="s">
        <v>925</v>
      </c>
      <c r="C2890" s="10" t="s">
        <v>110</v>
      </c>
      <c r="D2890" s="16">
        <f>(D2893*Inputs!$D$19-D2893-D2894)/($D$2886-Inputs!$D$20)/(Inputs!$D$7+$D$2886)^M2860</f>
        <v>-37876.58483194092</v>
      </c>
      <c r="G2890" s="92" t="s">
        <v>926</v>
      </c>
      <c r="H2890" s="91"/>
      <c r="I2890" s="91"/>
      <c r="J2890" s="16">
        <f>SUM(D2882:M2882)-(D2893+D2894)/($D$2886-Inputs!$D$20)/(Inputs!$D$7+$D$2886)^M2860</f>
        <v>-135956.51483423277</v>
      </c>
      <c r="K2890" s="99" t="s">
        <v>110</v>
      </c>
      <c r="L2890" s="91"/>
      <c r="M2890" s="91"/>
    </row>
    <row r="2891" spans="2:13" ht="15" customHeight="1" x14ac:dyDescent="0.2">
      <c r="B2891" s="10" t="s">
        <v>927</v>
      </c>
      <c r="C2891" s="10" t="s">
        <v>928</v>
      </c>
      <c r="D2891" s="16">
        <f>(M2862*(Inputs!$D$7+Inputs!$D$20)*$D$2884*$D$2885-D2893)-MAX((M2862*(Inputs!$D$7+Inputs!$D$20)*$D$2884*$D$2885-D2893),Inputs!$D$6)*Inputs!$D$19-D2894-M2862*Inputs!$D$20*$D$2884*Inputs!$D$23</f>
        <v>6465.5284100336012</v>
      </c>
      <c r="G2891" s="99" t="s">
        <v>929</v>
      </c>
      <c r="H2891" s="91"/>
      <c r="I2891" s="91"/>
      <c r="J2891" s="28">
        <f>(D2883-D2896)/D2895</f>
        <v>37.831022606365941</v>
      </c>
      <c r="K2891" s="99" t="s">
        <v>919</v>
      </c>
      <c r="L2891" s="91"/>
      <c r="M2891" s="91"/>
    </row>
    <row r="2892" spans="2:13" ht="15" customHeight="1" x14ac:dyDescent="0.2">
      <c r="B2892" s="10" t="s">
        <v>930</v>
      </c>
      <c r="C2892" s="10" t="s">
        <v>110</v>
      </c>
      <c r="D2892" s="16">
        <f>D2891/($D$2886-Inputs!$D$20)</f>
        <v>68058.193789827375</v>
      </c>
      <c r="G2892" s="99" t="s">
        <v>931</v>
      </c>
      <c r="H2892" s="91"/>
      <c r="I2892" s="91"/>
      <c r="J2892" s="16">
        <f>MIN(D2876:M2876,(M2862*(Inputs!$D$7+Inputs!$D$20)*$D$2884*$D$2885-D2893))</f>
        <v>1508.7890827319586</v>
      </c>
      <c r="K2892" s="99" t="s">
        <v>110</v>
      </c>
      <c r="L2892" s="91"/>
      <c r="M2892" s="91"/>
    </row>
    <row r="2893" spans="2:13" ht="15" customHeight="1" x14ac:dyDescent="0.2">
      <c r="B2893" s="10" t="s">
        <v>932</v>
      </c>
      <c r="C2893" s="10" t="s">
        <v>928</v>
      </c>
      <c r="D2893" s="16">
        <f>M2862*(Inputs!$D$7+Inputs!$D$20)*($D$2887/Inputs!$D$21+$D$2888/Inputs!$D$22)</f>
        <v>13509.71303671543</v>
      </c>
      <c r="G2893" s="99" t="s">
        <v>933</v>
      </c>
      <c r="H2893" s="91"/>
      <c r="I2893" s="91"/>
      <c r="J2893" s="31" t="str">
        <f>IF(J2892&lt;Inputs!$D$6,"breached","satisfied")</f>
        <v>satisfied</v>
      </c>
      <c r="K2893" s="99" t="s">
        <v>934</v>
      </c>
      <c r="L2893" s="91"/>
      <c r="M2893" s="91"/>
    </row>
    <row r="2894" spans="2:13" ht="15" customHeight="1" x14ac:dyDescent="0.2">
      <c r="B2894" s="10" t="s">
        <v>935</v>
      </c>
      <c r="C2894" s="10" t="s">
        <v>928</v>
      </c>
      <c r="D2894" s="16">
        <f>M2862*Inputs!$D$20*($D$2887+$D$2888)</f>
        <v>1365.7073615561799</v>
      </c>
    </row>
    <row r="2895" spans="2:13" ht="15" customHeight="1" x14ac:dyDescent="0.2">
      <c r="B2895" s="10" t="s">
        <v>936</v>
      </c>
      <c r="C2895" s="10" t="s">
        <v>896</v>
      </c>
      <c r="D2895" s="28">
        <f>SUM(D2872:M2872)+D2889</f>
        <v>3610.1856701695024</v>
      </c>
      <c r="G2895" s="99" t="s">
        <v>937</v>
      </c>
      <c r="H2895" s="91"/>
      <c r="I2895" s="91"/>
      <c r="J2895" s="16">
        <f>D2897-D2883</f>
        <v>0</v>
      </c>
      <c r="K2895" s="99" t="s">
        <v>110</v>
      </c>
      <c r="L2895" s="91"/>
      <c r="M2895" s="91"/>
    </row>
    <row r="2896" spans="2:13" ht="15" customHeight="1" x14ac:dyDescent="0.2">
      <c r="B2896" s="10" t="s">
        <v>938</v>
      </c>
      <c r="C2896" s="10" t="s">
        <v>110</v>
      </c>
      <c r="D2896" s="16">
        <f>SUM(D2873:M2873)+D2890</f>
        <v>-103802.01570136083</v>
      </c>
    </row>
    <row r="2897" spans="1:13" ht="15" customHeight="1" x14ac:dyDescent="0.2">
      <c r="B2897" s="10" t="s">
        <v>939</v>
      </c>
      <c r="C2897" s="10" t="s">
        <v>110</v>
      </c>
      <c r="D2897" s="16">
        <f>SUM(D2880:M2880)+D2892/(Inputs!$D$7+$D$2886)^M2860</f>
        <v>32775.000000000022</v>
      </c>
    </row>
    <row r="2898" spans="1:13" ht="15" customHeight="1" x14ac:dyDescent="0.2">
      <c r="B2898" s="10" t="s">
        <v>940</v>
      </c>
      <c r="C2898" s="10" t="s">
        <v>104</v>
      </c>
      <c r="D2898" s="30">
        <f>IF(ABS(D2883)&gt;Inputs!$D$6,D2897/D2883-Inputs!$D$7,Inputs!$D$6)</f>
        <v>6.6613381477509392E-16</v>
      </c>
    </row>
    <row r="2899" spans="1:13" ht="15" customHeight="1" x14ac:dyDescent="0.2">
      <c r="B2899" s="10" t="s">
        <v>941</v>
      </c>
      <c r="C2899" s="10" t="s">
        <v>104</v>
      </c>
      <c r="D2899" s="30">
        <f>IF(ABS(D2897)&gt;Inputs!$D$119,D2892/(Inputs!$D$7+$D$2886)^M2860/D2897,Inputs!$D$6)</f>
        <v>0.69040556419693278</v>
      </c>
    </row>
    <row r="2900" spans="1:13" ht="15" customHeight="1" x14ac:dyDescent="0.2">
      <c r="B2900" s="10" t="s">
        <v>942</v>
      </c>
      <c r="C2900" s="10" t="s">
        <v>943</v>
      </c>
      <c r="D2900" s="26">
        <f>$D$2884*Inputs!$D$8/Prices!$P$6/(Inputs!$D$26/Inputs!$D$25)/Inputs!$D$11/Inputs!$D$56</f>
        <v>6.879686373543759</v>
      </c>
    </row>
    <row r="2904" spans="1:13" ht="15" customHeight="1" x14ac:dyDescent="0.2">
      <c r="A2904" s="104" t="s">
        <v>2228</v>
      </c>
      <c r="B2904" s="10" t="s">
        <v>886</v>
      </c>
      <c r="C2904" s="10" t="s">
        <v>107</v>
      </c>
      <c r="D2904" s="28">
        <f>Inputs!$D$60</f>
        <v>1</v>
      </c>
      <c r="E2904" s="28">
        <f>Inputs!$D$62</f>
        <v>2</v>
      </c>
      <c r="F2904" s="28">
        <f>Inputs!$D$64</f>
        <v>3</v>
      </c>
      <c r="G2904" s="28">
        <f>Inputs!$D$66</f>
        <v>4</v>
      </c>
      <c r="H2904" s="28">
        <f>Inputs!$D$68</f>
        <v>5</v>
      </c>
      <c r="I2904" s="28">
        <f>Inputs!$D$70</f>
        <v>6</v>
      </c>
      <c r="J2904" s="28">
        <f>Inputs!$D$72</f>
        <v>7</v>
      </c>
      <c r="K2904" s="28">
        <f>Inputs!$D$74</f>
        <v>8</v>
      </c>
      <c r="L2904" s="28">
        <f>Inputs!$D$76</f>
        <v>9</v>
      </c>
      <c r="M2904" s="28">
        <f>Inputs!$D$78</f>
        <v>10</v>
      </c>
    </row>
    <row r="2905" spans="1:13" ht="15" customHeight="1" x14ac:dyDescent="0.2">
      <c r="A2905" s="91"/>
      <c r="B2905" s="10" t="s">
        <v>887</v>
      </c>
      <c r="C2905" s="10" t="s">
        <v>161</v>
      </c>
      <c r="D2905" s="29">
        <f>Inputs!$D$61</f>
        <v>46568</v>
      </c>
      <c r="E2905" s="29">
        <f>Inputs!$D$63</f>
        <v>46934</v>
      </c>
      <c r="F2905" s="29">
        <f>Inputs!$D$65</f>
        <v>47299</v>
      </c>
      <c r="G2905" s="29">
        <f>Inputs!$D$67</f>
        <v>47664</v>
      </c>
      <c r="H2905" s="29">
        <f>Inputs!$D$69</f>
        <v>48029</v>
      </c>
      <c r="I2905" s="29">
        <f>Inputs!$D$71</f>
        <v>48395</v>
      </c>
      <c r="J2905" s="29">
        <f>Inputs!$D$73</f>
        <v>48760</v>
      </c>
      <c r="K2905" s="29">
        <f>Inputs!$D$75</f>
        <v>49125</v>
      </c>
      <c r="L2905" s="29">
        <f>Inputs!$D$77</f>
        <v>49490</v>
      </c>
      <c r="M2905" s="29">
        <f>Inputs!$D$79</f>
        <v>49856</v>
      </c>
    </row>
    <row r="2906" spans="1:13" ht="15" customHeight="1" x14ac:dyDescent="0.2">
      <c r="A2906" s="91"/>
      <c r="B2906" s="10" t="s">
        <v>888</v>
      </c>
      <c r="C2906" s="10" t="s">
        <v>107</v>
      </c>
      <c r="D2906" s="28">
        <f>(D2905-Inputs!$D$13)/Inputs!$D$10</f>
        <v>0.71457905544147848</v>
      </c>
      <c r="E2906" s="28">
        <f>(E2905-Inputs!$D$13)/Inputs!$D$10</f>
        <v>1.7166324435318274</v>
      </c>
      <c r="F2906" s="28">
        <f>(F2905-Inputs!$D$13)/Inputs!$D$10</f>
        <v>2.7159479808350446</v>
      </c>
      <c r="G2906" s="28">
        <f>(G2905-Inputs!$D$13)/Inputs!$D$10</f>
        <v>3.7152635181382614</v>
      </c>
      <c r="H2906" s="28">
        <f>(H2905-Inputs!$D$13)/Inputs!$D$10</f>
        <v>4.7145790554414786</v>
      </c>
      <c r="I2906" s="28">
        <f>(I2905-Inputs!$D$13)/Inputs!$D$10</f>
        <v>5.7166324435318279</v>
      </c>
      <c r="J2906" s="28">
        <f>(J2905-Inputs!$D$13)/Inputs!$D$10</f>
        <v>6.7159479808350442</v>
      </c>
      <c r="K2906" s="28">
        <f>(K2905-Inputs!$D$13)/Inputs!$D$10</f>
        <v>7.7152635181382614</v>
      </c>
      <c r="L2906" s="28">
        <f>(L2905-Inputs!$D$13)/Inputs!$D$10</f>
        <v>8.7145790554414777</v>
      </c>
      <c r="M2906" s="28">
        <f>(M2905-Inputs!$D$13)/Inputs!$D$10</f>
        <v>9.716632443531827</v>
      </c>
    </row>
    <row r="2907" spans="1:13" ht="15" customHeight="1" x14ac:dyDescent="0.2">
      <c r="A2907" s="91"/>
      <c r="B2907" s="10" t="s">
        <v>889</v>
      </c>
      <c r="C2907" s="10" t="s">
        <v>107</v>
      </c>
      <c r="D2907" s="28">
        <f>D2906</f>
        <v>0.71457905544147848</v>
      </c>
      <c r="E2907" s="28">
        <f>Inputs!$D$7</f>
        <v>1</v>
      </c>
      <c r="F2907" s="28">
        <f>Inputs!$D$7</f>
        <v>1</v>
      </c>
      <c r="G2907" s="28">
        <f>Inputs!$D$7</f>
        <v>1</v>
      </c>
      <c r="H2907" s="28">
        <f>Inputs!$D$7</f>
        <v>1</v>
      </c>
      <c r="I2907" s="28">
        <f>Inputs!$D$7</f>
        <v>1</v>
      </c>
      <c r="J2907" s="28">
        <f>Inputs!$D$7</f>
        <v>1</v>
      </c>
      <c r="K2907" s="28">
        <f>Inputs!$D$7</f>
        <v>1</v>
      </c>
      <c r="L2907" s="28">
        <f>Inputs!$D$7</f>
        <v>1</v>
      </c>
      <c r="M2907" s="28">
        <f>Inputs!$D$7</f>
        <v>1</v>
      </c>
    </row>
    <row r="2908" spans="1:13" ht="15" customHeight="1" x14ac:dyDescent="0.2">
      <c r="A2908" s="91"/>
      <c r="B2908" s="3" t="s">
        <v>890</v>
      </c>
      <c r="C2908" s="10" t="s">
        <v>199</v>
      </c>
      <c r="D2908" s="28">
        <f>Inputs!$D$24+(Inputs!$D$80-Inputs!$D$24)*Inputs!$D$83</f>
        <v>305.5</v>
      </c>
      <c r="E2908" s="28">
        <f>Inputs!$D$24+(Inputs!$D$80-Inputs!$D$24)*Inputs!$D$84</f>
        <v>651.5</v>
      </c>
      <c r="F2908" s="28">
        <f>Inputs!$D$24+(Inputs!$D$80-Inputs!$D$24)*Inputs!$D$85</f>
        <v>911</v>
      </c>
      <c r="G2908" s="28">
        <f>Inputs!$D$24+(Inputs!$D$80-Inputs!$D$24)*Inputs!$D$86</f>
        <v>911</v>
      </c>
      <c r="H2908" s="28">
        <f>Inputs!$D$24+(Inputs!$D$80-Inputs!$D$24)*Inputs!$D$87</f>
        <v>911</v>
      </c>
      <c r="I2908" s="28">
        <f>Inputs!$D$24+(Inputs!$D$80-Inputs!$D$24)*Inputs!$D$88</f>
        <v>911</v>
      </c>
      <c r="J2908" s="28">
        <f>Inputs!$D$24+(Inputs!$D$80-Inputs!$D$24)*Inputs!$D$89</f>
        <v>911</v>
      </c>
      <c r="K2908" s="28">
        <f>Inputs!$D$24+(Inputs!$D$80-Inputs!$D$24)*Inputs!$D$90</f>
        <v>911</v>
      </c>
      <c r="L2908" s="28">
        <f>Inputs!$D$24+(Inputs!$D$80-Inputs!$D$24)*Inputs!$D$91</f>
        <v>911</v>
      </c>
      <c r="M2908" s="28">
        <f>Inputs!$D$24+(Inputs!$D$80-Inputs!$D$24)*Inputs!$D$92</f>
        <v>911</v>
      </c>
    </row>
    <row r="2909" spans="1:13" ht="15" customHeight="1" x14ac:dyDescent="0.2">
      <c r="A2909" s="91"/>
      <c r="B2909" s="10" t="s">
        <v>891</v>
      </c>
      <c r="C2909" s="10" t="s">
        <v>199</v>
      </c>
      <c r="D2909" s="28">
        <f>Inputs!$D$24</f>
        <v>46</v>
      </c>
      <c r="E2909" s="28">
        <f t="shared" ref="E2909:M2909" si="630">D2908</f>
        <v>305.5</v>
      </c>
      <c r="F2909" s="28">
        <f t="shared" si="630"/>
        <v>651.5</v>
      </c>
      <c r="G2909" s="28">
        <f t="shared" si="630"/>
        <v>911</v>
      </c>
      <c r="H2909" s="28">
        <f t="shared" si="630"/>
        <v>911</v>
      </c>
      <c r="I2909" s="28">
        <f t="shared" si="630"/>
        <v>911</v>
      </c>
      <c r="J2909" s="28">
        <f t="shared" si="630"/>
        <v>911</v>
      </c>
      <c r="K2909" s="28">
        <f t="shared" si="630"/>
        <v>911</v>
      </c>
      <c r="L2909" s="28">
        <f t="shared" si="630"/>
        <v>911</v>
      </c>
      <c r="M2909" s="28">
        <f t="shared" si="630"/>
        <v>911</v>
      </c>
    </row>
    <row r="2910" spans="1:13" ht="15" customHeight="1" x14ac:dyDescent="0.2">
      <c r="B2910" s="10" t="s">
        <v>892</v>
      </c>
      <c r="C2910" s="10" t="s">
        <v>199</v>
      </c>
      <c r="D2910" s="28">
        <f>(D2909+D2908)*Inputs!$D$12</f>
        <v>175.75</v>
      </c>
      <c r="E2910" s="28">
        <f>(E2909+E2908)*Inputs!$D$12</f>
        <v>478.5</v>
      </c>
      <c r="F2910" s="28">
        <f>(F2909+F2908)*Inputs!$D$12</f>
        <v>781.25</v>
      </c>
      <c r="G2910" s="28">
        <f>(G2909+G2908)*Inputs!$D$12</f>
        <v>911</v>
      </c>
      <c r="H2910" s="28">
        <f>(H2909+H2908)*Inputs!$D$12</f>
        <v>911</v>
      </c>
      <c r="I2910" s="28">
        <f>(I2909+I2908)*Inputs!$D$12</f>
        <v>911</v>
      </c>
      <c r="J2910" s="28">
        <f>(J2909+J2908)*Inputs!$D$12</f>
        <v>911</v>
      </c>
      <c r="K2910" s="28">
        <f>(K2909+K2908)*Inputs!$D$12</f>
        <v>911</v>
      </c>
      <c r="L2910" s="28">
        <f>(L2909+L2908)*Inputs!$D$12</f>
        <v>911</v>
      </c>
      <c r="M2910" s="28">
        <f>(M2909+M2908)*Inputs!$D$12</f>
        <v>911</v>
      </c>
    </row>
    <row r="2911" spans="1:13" ht="15" customHeight="1" x14ac:dyDescent="0.2">
      <c r="B2911" s="10" t="s">
        <v>893</v>
      </c>
      <c r="C2911" s="10" t="s">
        <v>199</v>
      </c>
      <c r="D2911" s="28">
        <f t="shared" ref="D2911:M2911" si="631">D2908-D2909</f>
        <v>259.5</v>
      </c>
      <c r="E2911" s="28">
        <f t="shared" si="631"/>
        <v>346</v>
      </c>
      <c r="F2911" s="28">
        <f t="shared" si="631"/>
        <v>259.5</v>
      </c>
      <c r="G2911" s="28">
        <f t="shared" si="631"/>
        <v>0</v>
      </c>
      <c r="H2911" s="28">
        <f t="shared" si="631"/>
        <v>0</v>
      </c>
      <c r="I2911" s="28">
        <f t="shared" si="631"/>
        <v>0</v>
      </c>
      <c r="J2911" s="28">
        <f t="shared" si="631"/>
        <v>0</v>
      </c>
      <c r="K2911" s="28">
        <f t="shared" si="631"/>
        <v>0</v>
      </c>
      <c r="L2911" s="28">
        <f t="shared" si="631"/>
        <v>0</v>
      </c>
      <c r="M2911" s="28">
        <f t="shared" si="631"/>
        <v>0</v>
      </c>
    </row>
    <row r="2912" spans="1:13" ht="15" customHeight="1" x14ac:dyDescent="0.2">
      <c r="B2912" s="10" t="s">
        <v>894</v>
      </c>
      <c r="C2912" s="10" t="s">
        <v>199</v>
      </c>
      <c r="D2912" s="28">
        <f>IF(MOD(D2904,Inputs!$D$21)=Inputs!$D$6,Inputs!$D$24,Inputs!$D$6)+SUMPRODUCT(--(D2904&gt;$D$2904:$M$2904),--(MOD(D2904-$D$2904:$M$2904,Inputs!$D$21)=Inputs!$D$6),$D$2911:$M$2911)</f>
        <v>0</v>
      </c>
      <c r="E2912" s="28">
        <f>IF(MOD(E2904,Inputs!$D$21)=Inputs!$D$6,Inputs!$D$24,Inputs!$D$6)+SUMPRODUCT(--(E2904&gt;$D$2904:$M$2904),--(MOD(E2904-$D$2904:$M$2904,Inputs!$D$21)=Inputs!$D$6),$D$2911:$M$2911)</f>
        <v>0</v>
      </c>
      <c r="F2912" s="28">
        <f>IF(MOD(F2904,Inputs!$D$21)=Inputs!$D$6,Inputs!$D$24,Inputs!$D$6)+SUMPRODUCT(--(F2904&gt;$D$2904:$M$2904),--(MOD(F2904-$D$2904:$M$2904,Inputs!$D$21)=Inputs!$D$6),$D$2911:$M$2911)</f>
        <v>0</v>
      </c>
      <c r="G2912" s="28">
        <f>IF(MOD(G2904,Inputs!$D$21)=Inputs!$D$6,Inputs!$D$24,Inputs!$D$6)+SUMPRODUCT(--(G2904&gt;$D$2904:$M$2904),--(MOD(G2904-$D$2904:$M$2904,Inputs!$D$21)=Inputs!$D$6),$D$2911:$M$2911)</f>
        <v>46</v>
      </c>
      <c r="H2912" s="28">
        <f>IF(MOD(H2904,Inputs!$D$21)=Inputs!$D$6,Inputs!$D$24,Inputs!$D$6)+SUMPRODUCT(--(H2904&gt;$D$2904:$M$2904),--(MOD(H2904-$D$2904:$M$2904,Inputs!$D$21)=Inputs!$D$6),$D$2911:$M$2911)</f>
        <v>259.5</v>
      </c>
      <c r="I2912" s="28">
        <f>IF(MOD(I2904,Inputs!$D$21)=Inputs!$D$6,Inputs!$D$24,Inputs!$D$6)+SUMPRODUCT(--(I2904&gt;$D$2904:$M$2904),--(MOD(I2904-$D$2904:$M$2904,Inputs!$D$21)=Inputs!$D$6),$D$2911:$M$2911)</f>
        <v>346</v>
      </c>
      <c r="J2912" s="28">
        <f>IF(MOD(J2904,Inputs!$D$21)=Inputs!$D$6,Inputs!$D$24,Inputs!$D$6)+SUMPRODUCT(--(J2904&gt;$D$2904:$M$2904),--(MOD(J2904-$D$2904:$M$2904,Inputs!$D$21)=Inputs!$D$6),$D$2911:$M$2911)</f>
        <v>259.5</v>
      </c>
      <c r="K2912" s="28">
        <f>IF(MOD(K2904,Inputs!$D$21)=Inputs!$D$6,Inputs!$D$24,Inputs!$D$6)+SUMPRODUCT(--(K2904&gt;$D$2904:$M$2904),--(MOD(K2904-$D$2904:$M$2904,Inputs!$D$21)=Inputs!$D$6),$D$2911:$M$2911)</f>
        <v>46</v>
      </c>
      <c r="L2912" s="28">
        <f>IF(MOD(L2904,Inputs!$D$21)=Inputs!$D$6,Inputs!$D$24,Inputs!$D$6)+SUMPRODUCT(--(L2904&gt;$D$2904:$M$2904),--(MOD(L2904-$D$2904:$M$2904,Inputs!$D$21)=Inputs!$D$6),$D$2911:$M$2911)</f>
        <v>259.5</v>
      </c>
      <c r="M2912" s="28">
        <f>IF(MOD(M2904,Inputs!$D$21)=Inputs!$D$6,Inputs!$D$24,Inputs!$D$6)+SUMPRODUCT(--(M2904&gt;$D$2904:$M$2904),--(MOD(M2904-$D$2904:$M$2904,Inputs!$D$21)=Inputs!$D$6),$D$2911:$M$2911)</f>
        <v>346</v>
      </c>
    </row>
    <row r="2913" spans="2:13" ht="15" customHeight="1" x14ac:dyDescent="0.2">
      <c r="B2913" s="10" t="s">
        <v>895</v>
      </c>
      <c r="C2913" s="10" t="s">
        <v>896</v>
      </c>
      <c r="D2913" s="28">
        <f t="shared" ref="D2913:M2913" si="632">D2910*D2907</f>
        <v>125.58726899383984</v>
      </c>
      <c r="E2913" s="28">
        <f t="shared" si="632"/>
        <v>478.5</v>
      </c>
      <c r="F2913" s="28">
        <f t="shared" si="632"/>
        <v>781.25</v>
      </c>
      <c r="G2913" s="28">
        <f t="shared" si="632"/>
        <v>911</v>
      </c>
      <c r="H2913" s="28">
        <f t="shared" si="632"/>
        <v>911</v>
      </c>
      <c r="I2913" s="28">
        <f t="shared" si="632"/>
        <v>911</v>
      </c>
      <c r="J2913" s="28">
        <f t="shared" si="632"/>
        <v>911</v>
      </c>
      <c r="K2913" s="28">
        <f t="shared" si="632"/>
        <v>911</v>
      </c>
      <c r="L2913" s="28">
        <f t="shared" si="632"/>
        <v>911</v>
      </c>
      <c r="M2913" s="28">
        <f t="shared" si="632"/>
        <v>911</v>
      </c>
    </row>
    <row r="2914" spans="2:13" ht="15" customHeight="1" x14ac:dyDescent="0.2">
      <c r="B2914" s="10" t="s">
        <v>897</v>
      </c>
      <c r="C2914" s="10" t="s">
        <v>110</v>
      </c>
      <c r="D2914" s="16">
        <f>D2913*($D$2933/Inputs!$D$21+$D$2934/Inputs!$D$22)</f>
        <v>1816.9772859324419</v>
      </c>
      <c r="E2914" s="16">
        <f>E2913*($D$2933/Inputs!$D$21+$D$2934/Inputs!$D$22)</f>
        <v>6922.8643817497086</v>
      </c>
      <c r="F2914" s="16">
        <f>F2913*($D$2933/Inputs!$D$21+$D$2934/Inputs!$D$22)</f>
        <v>11303.0048030135</v>
      </c>
      <c r="G2914" s="16">
        <f>G2913*($D$2933/Inputs!$D$21+$D$2934/Inputs!$D$22)</f>
        <v>13180.207840697982</v>
      </c>
      <c r="H2914" s="16">
        <f>H2913*($D$2933/Inputs!$D$21+$D$2934/Inputs!$D$22)</f>
        <v>13180.207840697982</v>
      </c>
      <c r="I2914" s="16">
        <f>I2913*($D$2933/Inputs!$D$21+$D$2934/Inputs!$D$22)</f>
        <v>13180.207840697982</v>
      </c>
      <c r="J2914" s="16">
        <f>J2913*($D$2933/Inputs!$D$21+$D$2934/Inputs!$D$22)</f>
        <v>13180.207840697982</v>
      </c>
      <c r="K2914" s="16">
        <f>K2913*($D$2933/Inputs!$D$21+$D$2934/Inputs!$D$22)</f>
        <v>13180.207840697982</v>
      </c>
      <c r="L2914" s="16">
        <f>L2913*($D$2933/Inputs!$D$21+$D$2934/Inputs!$D$22)</f>
        <v>13180.207840697982</v>
      </c>
      <c r="M2914" s="16">
        <f>M2913*($D$2933/Inputs!$D$21+$D$2934/Inputs!$D$22)</f>
        <v>13180.207840697982</v>
      </c>
    </row>
    <row r="2915" spans="2:13" ht="15" customHeight="1" x14ac:dyDescent="0.2">
      <c r="B2915" s="10" t="s">
        <v>898</v>
      </c>
      <c r="C2915" s="10" t="s">
        <v>110</v>
      </c>
      <c r="D2915" s="16">
        <f t="shared" ref="D2915:M2915" si="633">D2911*($D$2933+$D$2934)</f>
        <v>15560.968620146154</v>
      </c>
      <c r="E2915" s="16">
        <f t="shared" si="633"/>
        <v>20747.95816019487</v>
      </c>
      <c r="F2915" s="16">
        <f t="shared" si="633"/>
        <v>15560.968620146154</v>
      </c>
      <c r="G2915" s="16">
        <f t="shared" si="633"/>
        <v>0</v>
      </c>
      <c r="H2915" s="16">
        <f t="shared" si="633"/>
        <v>0</v>
      </c>
      <c r="I2915" s="16">
        <f t="shared" si="633"/>
        <v>0</v>
      </c>
      <c r="J2915" s="16">
        <f t="shared" si="633"/>
        <v>0</v>
      </c>
      <c r="K2915" s="16">
        <f t="shared" si="633"/>
        <v>0</v>
      </c>
      <c r="L2915" s="16">
        <f t="shared" si="633"/>
        <v>0</v>
      </c>
      <c r="M2915" s="16">
        <f t="shared" si="633"/>
        <v>0</v>
      </c>
    </row>
    <row r="2916" spans="2:13" ht="15" customHeight="1" x14ac:dyDescent="0.2">
      <c r="B2916" s="10" t="s">
        <v>899</v>
      </c>
      <c r="C2916" s="10" t="s">
        <v>110</v>
      </c>
      <c r="D2916" s="16">
        <f t="shared" ref="D2916:M2916" si="634">D2912*$D$2933</f>
        <v>0</v>
      </c>
      <c r="E2916" s="16">
        <f t="shared" si="634"/>
        <v>0</v>
      </c>
      <c r="F2916" s="16">
        <f t="shared" si="634"/>
        <v>0</v>
      </c>
      <c r="G2916" s="16">
        <f t="shared" si="634"/>
        <v>2638.0048485671714</v>
      </c>
      <c r="H2916" s="16">
        <f t="shared" si="634"/>
        <v>14881.788221808281</v>
      </c>
      <c r="I2916" s="16">
        <f t="shared" si="634"/>
        <v>19842.384295744378</v>
      </c>
      <c r="J2916" s="16">
        <f t="shared" si="634"/>
        <v>14881.788221808281</v>
      </c>
      <c r="K2916" s="16">
        <f t="shared" si="634"/>
        <v>2638.0048485671714</v>
      </c>
      <c r="L2916" s="16">
        <f t="shared" si="634"/>
        <v>14881.788221808281</v>
      </c>
      <c r="M2916" s="16">
        <f t="shared" si="634"/>
        <v>19842.384295744378</v>
      </c>
    </row>
    <row r="2917" spans="2:13" ht="15" customHeight="1" x14ac:dyDescent="0.2">
      <c r="B2917" s="10" t="s">
        <v>900</v>
      </c>
      <c r="C2917" s="10" t="s">
        <v>199</v>
      </c>
      <c r="D2917" s="28">
        <f>D2911*Inputs!$D$23</f>
        <v>6.4875000000000007</v>
      </c>
      <c r="E2917" s="28">
        <f>E2911*Inputs!$D$23</f>
        <v>8.65</v>
      </c>
      <c r="F2917" s="28">
        <f>F2911*Inputs!$D$23</f>
        <v>6.4875000000000007</v>
      </c>
      <c r="G2917" s="28">
        <f>G2911*Inputs!$D$23</f>
        <v>0</v>
      </c>
      <c r="H2917" s="28">
        <f>H2911*Inputs!$D$23</f>
        <v>0</v>
      </c>
      <c r="I2917" s="28">
        <f>I2911*Inputs!$D$23</f>
        <v>0</v>
      </c>
      <c r="J2917" s="28">
        <f>J2911*Inputs!$D$23</f>
        <v>0</v>
      </c>
      <c r="K2917" s="28">
        <f>K2911*Inputs!$D$23</f>
        <v>0</v>
      </c>
      <c r="L2917" s="28">
        <f>L2911*Inputs!$D$23</f>
        <v>0</v>
      </c>
      <c r="M2917" s="28">
        <f>M2911*Inputs!$D$23</f>
        <v>0</v>
      </c>
    </row>
    <row r="2918" spans="2:13" ht="15" customHeight="1" x14ac:dyDescent="0.2">
      <c r="B2918" s="3" t="s">
        <v>901</v>
      </c>
      <c r="C2918" s="10" t="s">
        <v>896</v>
      </c>
      <c r="D2918" s="28">
        <f>(D2913*$D$2931*(Inputs!$D$7-Inputs!$D$19)-D2917)/(Inputs!$D$7+$D$2932)^D2906</f>
        <v>50.12984638682326</v>
      </c>
      <c r="E2918" s="28">
        <f>(E2913*$D$2931*(Inputs!$D$7-Inputs!$D$19)-E2917)/(Inputs!$D$7+$D$2932)^E2906</f>
        <v>180.33003750737836</v>
      </c>
      <c r="F2918" s="28">
        <f>(F2913*$D$2931*(Inputs!$D$7-Inputs!$D$19)-F2917)/(Inputs!$D$7+$D$2932)^F2906</f>
        <v>263.64069887024272</v>
      </c>
      <c r="G2918" s="28">
        <f>(G2913*$D$2931*(Inputs!$D$7-Inputs!$D$19)-G2917)/(Inputs!$D$7+$D$2932)^G2906</f>
        <v>274.34556179747091</v>
      </c>
      <c r="H2918" s="28">
        <f>(H2913*$D$2931*(Inputs!$D$7-Inputs!$D$19)-H2917)/(Inputs!$D$7+$D$2932)^H2906</f>
        <v>240.67558534790513</v>
      </c>
      <c r="I2918" s="28">
        <f>(I2913*$D$2931*(Inputs!$D$7-Inputs!$D$19)-I2917)/(Inputs!$D$7+$D$2932)^I2906</f>
        <v>211.0621402114879</v>
      </c>
      <c r="J2918" s="28">
        <f>(J2913*$D$2931*(Inputs!$D$7-Inputs!$D$19)-J2917)/(Inputs!$D$7+$D$2932)^J2906</f>
        <v>185.1588332880761</v>
      </c>
      <c r="K2918" s="28">
        <f>(K2913*$D$2931*(Inputs!$D$7-Inputs!$D$19)-K2917)/(Inputs!$D$7+$D$2932)^K2906</f>
        <v>162.43459632432703</v>
      </c>
      <c r="L2918" s="28">
        <f>(L2913*$D$2931*(Inputs!$D$7-Inputs!$D$19)-L2917)/(Inputs!$D$7+$D$2932)^L2906</f>
        <v>142.49926732902043</v>
      </c>
      <c r="M2918" s="28">
        <f>(M2913*$D$2931*(Inputs!$D$7-Inputs!$D$19)-M2917)/(Inputs!$D$7+$D$2932)^M2906</f>
        <v>124.96573051876359</v>
      </c>
    </row>
    <row r="2919" spans="2:13" ht="15" customHeight="1" x14ac:dyDescent="0.2">
      <c r="B2919" s="10" t="s">
        <v>902</v>
      </c>
      <c r="C2919" s="10" t="s">
        <v>110</v>
      </c>
      <c r="D2919" s="16">
        <f>(D2914*Inputs!$D$19-D2915-D2916)/(Inputs!$D$7+$D$2932)^D2906</f>
        <v>-13673.750208995338</v>
      </c>
      <c r="E2919" s="16">
        <f>(E2914*Inputs!$D$19-E2915-E2916)/(Inputs!$D$7+$D$2932)^E2906</f>
        <v>-14910.258198718562</v>
      </c>
      <c r="F2919" s="16">
        <f>(F2914*Inputs!$D$19-F2915-F2916)/(Inputs!$D$7+$D$2932)^F2906</f>
        <v>-8525.9417164238148</v>
      </c>
      <c r="G2919" s="16">
        <f>(G2914*Inputs!$D$19-G2915-G2916)/(Inputs!$D$7+$D$2932)^G2906</f>
        <v>808.83204192410847</v>
      </c>
      <c r="H2919" s="16">
        <f>(H2914*Inputs!$D$19-H2915-H2916)/(Inputs!$D$7+$D$2932)^H2906</f>
        <v>-5891.7915280072548</v>
      </c>
      <c r="I2919" s="16">
        <f>(I2914*Inputs!$D$19-I2915-I2916)/(Inputs!$D$7+$D$2932)^I2906</f>
        <v>-7512.3171078465948</v>
      </c>
      <c r="J2919" s="16">
        <f>(J2914*Inputs!$D$19-J2915-J2916)/(Inputs!$D$7+$D$2932)^J2906</f>
        <v>-4532.7291662153211</v>
      </c>
      <c r="K2919" s="16">
        <f>(K2914*Inputs!$D$19-K2915-K2916)/(Inputs!$D$7+$D$2932)^K2906</f>
        <v>478.89349972832292</v>
      </c>
      <c r="L2919" s="16">
        <f>(L2914*Inputs!$D$19-L2915-L2916)/(Inputs!$D$7+$D$2932)^L2906</f>
        <v>-3488.413562109869</v>
      </c>
      <c r="M2919" s="16">
        <f>(M2914*Inputs!$D$19-M2915-M2916)/(Inputs!$D$7+$D$2932)^M2906</f>
        <v>-4447.8947969066312</v>
      </c>
    </row>
    <row r="2920" spans="2:13" ht="15" customHeight="1" x14ac:dyDescent="0.2">
      <c r="B2920" s="10" t="s">
        <v>903</v>
      </c>
      <c r="C2920" s="10" t="s">
        <v>110</v>
      </c>
      <c r="D2920" s="16">
        <f t="shared" ref="D2920:M2920" si="635">D2913*$D$2930</f>
        <v>5147.4139658221002</v>
      </c>
      <c r="E2920" s="16">
        <f t="shared" si="635"/>
        <v>19612.159754558314</v>
      </c>
      <c r="F2920" s="16">
        <f t="shared" si="635"/>
        <v>32020.898240854091</v>
      </c>
      <c r="G2920" s="16">
        <f t="shared" si="635"/>
        <v>37338.929020695134</v>
      </c>
      <c r="H2920" s="16">
        <f t="shared" si="635"/>
        <v>37338.929020695134</v>
      </c>
      <c r="I2920" s="16">
        <f t="shared" si="635"/>
        <v>37338.929020695134</v>
      </c>
      <c r="J2920" s="16">
        <f t="shared" si="635"/>
        <v>37338.929020695134</v>
      </c>
      <c r="K2920" s="16">
        <f t="shared" si="635"/>
        <v>37338.929020695134</v>
      </c>
      <c r="L2920" s="16">
        <f t="shared" si="635"/>
        <v>37338.929020695134</v>
      </c>
      <c r="M2920" s="16">
        <f t="shared" si="635"/>
        <v>37338.929020695134</v>
      </c>
    </row>
    <row r="2921" spans="2:13" ht="15" customHeight="1" x14ac:dyDescent="0.2">
      <c r="B2921" s="10" t="s">
        <v>904</v>
      </c>
      <c r="C2921" s="10" t="s">
        <v>110</v>
      </c>
      <c r="D2921" s="16">
        <f t="shared" ref="D2921:M2921" si="636">D2920*$D$2931</f>
        <v>3603.18977607547</v>
      </c>
      <c r="E2921" s="16">
        <f t="shared" si="636"/>
        <v>13728.511828190818</v>
      </c>
      <c r="F2921" s="16">
        <f t="shared" si="636"/>
        <v>22414.62876859786</v>
      </c>
      <c r="G2921" s="16">
        <f t="shared" si="636"/>
        <v>26137.250314486591</v>
      </c>
      <c r="H2921" s="16">
        <f t="shared" si="636"/>
        <v>26137.250314486591</v>
      </c>
      <c r="I2921" s="16">
        <f t="shared" si="636"/>
        <v>26137.250314486591</v>
      </c>
      <c r="J2921" s="16">
        <f t="shared" si="636"/>
        <v>26137.250314486591</v>
      </c>
      <c r="K2921" s="16">
        <f t="shared" si="636"/>
        <v>26137.250314486591</v>
      </c>
      <c r="L2921" s="16">
        <f t="shared" si="636"/>
        <v>26137.250314486591</v>
      </c>
      <c r="M2921" s="16">
        <f t="shared" si="636"/>
        <v>26137.250314486591</v>
      </c>
    </row>
    <row r="2922" spans="2:13" ht="15" customHeight="1" x14ac:dyDescent="0.2">
      <c r="B2922" s="10" t="s">
        <v>905</v>
      </c>
      <c r="C2922" s="10" t="s">
        <v>110</v>
      </c>
      <c r="D2922" s="16">
        <f t="shared" ref="D2922:M2922" si="637">D2921-D2914</f>
        <v>1786.2124901430282</v>
      </c>
      <c r="E2922" s="16">
        <f t="shared" si="637"/>
        <v>6805.6474464411094</v>
      </c>
      <c r="F2922" s="16">
        <f t="shared" si="637"/>
        <v>11111.62396558436</v>
      </c>
      <c r="G2922" s="16">
        <f t="shared" si="637"/>
        <v>12957.04247378861</v>
      </c>
      <c r="H2922" s="16">
        <f t="shared" si="637"/>
        <v>12957.04247378861</v>
      </c>
      <c r="I2922" s="16">
        <f t="shared" si="637"/>
        <v>12957.04247378861</v>
      </c>
      <c r="J2922" s="16">
        <f t="shared" si="637"/>
        <v>12957.04247378861</v>
      </c>
      <c r="K2922" s="16">
        <f t="shared" si="637"/>
        <v>12957.04247378861</v>
      </c>
      <c r="L2922" s="16">
        <f t="shared" si="637"/>
        <v>12957.04247378861</v>
      </c>
      <c r="M2922" s="16">
        <f t="shared" si="637"/>
        <v>12957.04247378861</v>
      </c>
    </row>
    <row r="2923" spans="2:13" ht="15" customHeight="1" x14ac:dyDescent="0.2">
      <c r="B2923" s="10" t="s">
        <v>906</v>
      </c>
      <c r="C2923" s="10" t="s">
        <v>110</v>
      </c>
      <c r="D2923" s="16">
        <f>MAX(D2922,Inputs!$D$6)*Inputs!$D$19</f>
        <v>535.86374704290847</v>
      </c>
      <c r="E2923" s="16">
        <f>MAX(E2922,Inputs!$D$6)*Inputs!$D$19</f>
        <v>2041.6942339323327</v>
      </c>
      <c r="F2923" s="16">
        <f>MAX(F2922,Inputs!$D$6)*Inputs!$D$19</f>
        <v>3333.4871896753079</v>
      </c>
      <c r="G2923" s="16">
        <f>MAX(G2922,Inputs!$D$6)*Inputs!$D$19</f>
        <v>3887.1127421365827</v>
      </c>
      <c r="H2923" s="16">
        <f>MAX(H2922,Inputs!$D$6)*Inputs!$D$19</f>
        <v>3887.1127421365827</v>
      </c>
      <c r="I2923" s="16">
        <f>MAX(I2922,Inputs!$D$6)*Inputs!$D$19</f>
        <v>3887.1127421365827</v>
      </c>
      <c r="J2923" s="16">
        <f>MAX(J2922,Inputs!$D$6)*Inputs!$D$19</f>
        <v>3887.1127421365827</v>
      </c>
      <c r="K2923" s="16">
        <f>MAX(K2922,Inputs!$D$6)*Inputs!$D$19</f>
        <v>3887.1127421365827</v>
      </c>
      <c r="L2923" s="16">
        <f>MAX(L2922,Inputs!$D$6)*Inputs!$D$19</f>
        <v>3887.1127421365827</v>
      </c>
      <c r="M2923" s="16">
        <f>MAX(M2922,Inputs!$D$6)*Inputs!$D$19</f>
        <v>3887.1127421365827</v>
      </c>
    </row>
    <row r="2924" spans="2:13" ht="15" customHeight="1" x14ac:dyDescent="0.2">
      <c r="B2924" s="10" t="s">
        <v>907</v>
      </c>
      <c r="C2924" s="10" t="s">
        <v>110</v>
      </c>
      <c r="D2924" s="16">
        <f t="shared" ref="D2924:M2924" si="638">D2917*$D$2930</f>
        <v>265.90153899205239</v>
      </c>
      <c r="E2924" s="16">
        <f t="shared" si="638"/>
        <v>354.53538532273649</v>
      </c>
      <c r="F2924" s="16">
        <f t="shared" si="638"/>
        <v>265.90153899205239</v>
      </c>
      <c r="G2924" s="16">
        <f t="shared" si="638"/>
        <v>0</v>
      </c>
      <c r="H2924" s="16">
        <f t="shared" si="638"/>
        <v>0</v>
      </c>
      <c r="I2924" s="16">
        <f t="shared" si="638"/>
        <v>0</v>
      </c>
      <c r="J2924" s="16">
        <f t="shared" si="638"/>
        <v>0</v>
      </c>
      <c r="K2924" s="16">
        <f t="shared" si="638"/>
        <v>0</v>
      </c>
      <c r="L2924" s="16">
        <f t="shared" si="638"/>
        <v>0</v>
      </c>
      <c r="M2924" s="16">
        <f t="shared" si="638"/>
        <v>0</v>
      </c>
    </row>
    <row r="2925" spans="2:13" ht="15" customHeight="1" x14ac:dyDescent="0.2">
      <c r="B2925" s="10" t="s">
        <v>908</v>
      </c>
      <c r="C2925" s="10" t="s">
        <v>110</v>
      </c>
      <c r="D2925" s="16">
        <f t="shared" ref="D2925:M2925" si="639">D2921-D2923-D2915-D2916-D2924</f>
        <v>-12759.544130105645</v>
      </c>
      <c r="E2925" s="16">
        <f t="shared" si="639"/>
        <v>-9415.6759512591216</v>
      </c>
      <c r="F2925" s="16">
        <f t="shared" si="639"/>
        <v>3254.2714197843479</v>
      </c>
      <c r="G2925" s="16">
        <f t="shared" si="639"/>
        <v>19612.132723782837</v>
      </c>
      <c r="H2925" s="16">
        <f t="shared" si="639"/>
        <v>7368.3493505417282</v>
      </c>
      <c r="I2925" s="16">
        <f t="shared" si="639"/>
        <v>2407.753276605632</v>
      </c>
      <c r="J2925" s="16">
        <f t="shared" si="639"/>
        <v>7368.3493505417282</v>
      </c>
      <c r="K2925" s="16">
        <f t="shared" si="639"/>
        <v>19612.132723782837</v>
      </c>
      <c r="L2925" s="16">
        <f t="shared" si="639"/>
        <v>7368.3493505417282</v>
      </c>
      <c r="M2925" s="16">
        <f t="shared" si="639"/>
        <v>2407.753276605632</v>
      </c>
    </row>
    <row r="2926" spans="2:13" ht="15" customHeight="1" x14ac:dyDescent="0.2">
      <c r="B2926" s="10" t="s">
        <v>909</v>
      </c>
      <c r="C2926" s="10" t="s">
        <v>110</v>
      </c>
      <c r="D2926" s="16">
        <f>D2925/(Inputs!$D$7+$D$2932)^D2906</f>
        <v>-11619.090740218231</v>
      </c>
      <c r="E2926" s="16">
        <f>E2925/(Inputs!$D$7+$D$2932)^E2906</f>
        <v>-7519.1160793033141</v>
      </c>
      <c r="F2926" s="16">
        <f>F2925/(Inputs!$D$7+$D$2932)^F2906</f>
        <v>2279.8336316359596</v>
      </c>
      <c r="G2926" s="16">
        <f>G2925/(Inputs!$D$7+$D$2932)^G2906</f>
        <v>12053.364927871964</v>
      </c>
      <c r="H2926" s="16">
        <f>H2925/(Inputs!$D$7+$D$2932)^H2906</f>
        <v>3972.718459171324</v>
      </c>
      <c r="I2926" s="16">
        <f>I2925/(Inputs!$D$7+$D$2932)^I2906</f>
        <v>1138.4340143408397</v>
      </c>
      <c r="J2926" s="16">
        <f>J2925/(Inputs!$D$7+$D$2932)^J2906</f>
        <v>3056.3295974490015</v>
      </c>
      <c r="K2926" s="16">
        <f>K2925/(Inputs!$D$7+$D$2932)^K2906</f>
        <v>7136.5596497385477</v>
      </c>
      <c r="L2926" s="16">
        <f>L2925/(Inputs!$D$7+$D$2932)^L2906</f>
        <v>2352.1682472198299</v>
      </c>
      <c r="M2926" s="16">
        <f>M2925/(Inputs!$D$7+$D$2932)^M2906</f>
        <v>674.0443269785826</v>
      </c>
    </row>
    <row r="2927" spans="2:13" ht="15" customHeight="1" x14ac:dyDescent="0.2">
      <c r="B2927" s="3" t="s">
        <v>910</v>
      </c>
      <c r="C2927" s="10" t="s">
        <v>896</v>
      </c>
      <c r="D2927" s="28">
        <f>(D2913*$D$2931-D2917)/(Inputs!$D$7+$D$2932)^D2906</f>
        <v>74.145913925683146</v>
      </c>
      <c r="E2927" s="28">
        <f>(E2913*$D$2931-E2917)/(Inputs!$D$7+$D$2932)^E2906</f>
        <v>260.57476801212306</v>
      </c>
      <c r="F2927" s="28">
        <f>(F2913*$D$2931-F2917)/(Inputs!$D$7+$D$2932)^F2906</f>
        <v>378.5773949664341</v>
      </c>
      <c r="G2927" s="28">
        <f>(G2913*$D$2931-G2917)/(Inputs!$D$7+$D$2932)^G2906</f>
        <v>391.92223113924416</v>
      </c>
      <c r="H2927" s="28">
        <f>(H2913*$D$2931-H2917)/(Inputs!$D$7+$D$2932)^H2906</f>
        <v>343.82226478272167</v>
      </c>
      <c r="I2927" s="28">
        <f>(I2913*$D$2931-I2917)/(Inputs!$D$7+$D$2932)^I2906</f>
        <v>301.51734315926848</v>
      </c>
      <c r="J2927" s="28">
        <f>(J2913*$D$2931-J2917)/(Inputs!$D$7+$D$2932)^J2906</f>
        <v>264.51261898296588</v>
      </c>
      <c r="K2927" s="28">
        <f>(K2913*$D$2931-K2917)/(Inputs!$D$7+$D$2932)^K2906</f>
        <v>232.04942332046721</v>
      </c>
      <c r="L2927" s="28">
        <f>(L2913*$D$2931-L2917)/(Inputs!$D$7+$D$2932)^L2906</f>
        <v>203.57038189860063</v>
      </c>
      <c r="M2927" s="28">
        <f>(M2913*$D$2931-M2917)/(Inputs!$D$7+$D$2932)^M2906</f>
        <v>178.52247216966228</v>
      </c>
    </row>
    <row r="2928" spans="2:13" ht="15" customHeight="1" x14ac:dyDescent="0.2">
      <c r="B2928" s="10" t="s">
        <v>911</v>
      </c>
      <c r="C2928" s="10" t="s">
        <v>110</v>
      </c>
      <c r="D2928" s="16">
        <f>(-D2915-D2916)/(Inputs!$D$7+$D$2932)^D2906</f>
        <v>-14170.122737893587</v>
      </c>
      <c r="E2928" s="16">
        <f>(-E2915-E2916)/(Inputs!$D$7+$D$2932)^E2906</f>
        <v>-16568.784506031301</v>
      </c>
      <c r="F2928" s="16">
        <f>(-F2915-F2916)/(Inputs!$D$7+$D$2932)^F2906</f>
        <v>-10901.493767656277</v>
      </c>
      <c r="G2928" s="16">
        <f>(-G2915-G2916)/(Inputs!$D$7+$D$2932)^G2906</f>
        <v>-1621.2839046676961</v>
      </c>
      <c r="H2928" s="16">
        <f>(-H2915-H2916)/(Inputs!$D$7+$D$2932)^H2906</f>
        <v>-8023.6633690433682</v>
      </c>
      <c r="I2928" s="16">
        <f>(-I2915-I2916)/(Inputs!$D$7+$D$2932)^I2906</f>
        <v>-9381.8770500204446</v>
      </c>
      <c r="J2928" s="16">
        <f>(-J2915-J2916)/(Inputs!$D$7+$D$2932)^J2906</f>
        <v>-6172.8411129063252</v>
      </c>
      <c r="K2928" s="16">
        <f>(-K2915-K2916)/(Inputs!$D$7+$D$2932)^K2906</f>
        <v>-959.93022397147342</v>
      </c>
      <c r="L2928" s="16">
        <f>(-L2915-L2916)/(Inputs!$D$7+$D$2932)^L2906</f>
        <v>-4750.6528330682277</v>
      </c>
      <c r="M2928" s="16">
        <f>(-M2915-M2916)/(Inputs!$D$7+$D$2932)^M2906</f>
        <v>-5554.82436602912</v>
      </c>
    </row>
    <row r="2929" spans="2:13" ht="15" customHeight="1" x14ac:dyDescent="0.2">
      <c r="B2929" s="10" t="s">
        <v>912</v>
      </c>
      <c r="C2929" s="10" t="s">
        <v>110</v>
      </c>
      <c r="D2929" s="16">
        <f>Prices!I8</f>
        <v>32775</v>
      </c>
    </row>
    <row r="2930" spans="2:13" ht="15" customHeight="1" x14ac:dyDescent="0.2">
      <c r="B2930" s="3" t="s">
        <v>913</v>
      </c>
      <c r="C2930" s="10" t="s">
        <v>914</v>
      </c>
      <c r="D2930" s="28">
        <f>IF(J2937&gt;=J2933,J2937,(D2929-J2936)/J2935)</f>
        <v>40.986749748293235</v>
      </c>
      <c r="G2930" s="99" t="s">
        <v>915</v>
      </c>
      <c r="H2930" s="91"/>
      <c r="I2930" s="91"/>
      <c r="J2930" s="28">
        <f>D2930*Inputs!$D$15</f>
        <v>28.604652649333847</v>
      </c>
      <c r="K2930" s="99" t="s">
        <v>916</v>
      </c>
      <c r="L2930" s="91"/>
      <c r="M2930" s="91"/>
    </row>
    <row r="2931" spans="2:13" ht="15" customHeight="1" x14ac:dyDescent="0.2">
      <c r="B2931" s="10" t="s">
        <v>917</v>
      </c>
      <c r="C2931" s="10" t="s">
        <v>104</v>
      </c>
      <c r="D2931" s="30">
        <f>Inputs!$D$143</f>
        <v>0.7</v>
      </c>
      <c r="G2931" s="99" t="s">
        <v>918</v>
      </c>
      <c r="H2931" s="91"/>
      <c r="I2931" s="91"/>
      <c r="J2931" s="28">
        <f>IF(-D2942/D2941&gt;=J2933,-D2942/D2941,-J2936/J2935)</f>
        <v>29.867840579129748</v>
      </c>
      <c r="K2931" s="99" t="s">
        <v>919</v>
      </c>
      <c r="L2931" s="91"/>
      <c r="M2931" s="91"/>
    </row>
    <row r="2932" spans="2:13" ht="15" customHeight="1" x14ac:dyDescent="0.2">
      <c r="B2932" s="10" t="s">
        <v>920</v>
      </c>
      <c r="C2932" s="10" t="s">
        <v>104</v>
      </c>
      <c r="D2932" s="30">
        <f>Inputs!$D$149</f>
        <v>0.14000000000000001</v>
      </c>
      <c r="G2932" s="99" t="s">
        <v>918</v>
      </c>
      <c r="H2932" s="91"/>
      <c r="I2932" s="91"/>
      <c r="J2932" s="28">
        <f>J2931*Inputs!$D$15</f>
        <v>20.84476594017465</v>
      </c>
      <c r="K2932" s="99" t="s">
        <v>916</v>
      </c>
      <c r="L2932" s="91"/>
      <c r="M2932" s="91"/>
    </row>
    <row r="2933" spans="2:13" ht="15" customHeight="1" x14ac:dyDescent="0.2">
      <c r="B2933" s="3" t="s">
        <v>921</v>
      </c>
      <c r="C2933" s="10" t="s">
        <v>848</v>
      </c>
      <c r="D2933" s="28">
        <f>Capital!$D$13</f>
        <v>57.347931490590682</v>
      </c>
      <c r="G2933" s="99" t="s">
        <v>922</v>
      </c>
      <c r="H2933" s="91"/>
      <c r="I2933" s="91"/>
      <c r="J2933" s="28">
        <f>($D$2933/Inputs!$D$21+$D$2934/Inputs!$D$22)/$D$2931</f>
        <v>20.668351639796114</v>
      </c>
      <c r="K2933" s="99" t="s">
        <v>919</v>
      </c>
      <c r="L2933" s="91"/>
      <c r="M2933" s="91"/>
    </row>
    <row r="2934" spans="2:13" ht="15" customHeight="1" x14ac:dyDescent="0.2">
      <c r="B2934" s="3" t="s">
        <v>923</v>
      </c>
      <c r="C2934" s="10" t="s">
        <v>848</v>
      </c>
      <c r="D2934" s="28">
        <f>Capital!$D$14</f>
        <v>2.6172655041921802</v>
      </c>
    </row>
    <row r="2935" spans="2:13" ht="15" customHeight="1" x14ac:dyDescent="0.2">
      <c r="B2935" s="10" t="s">
        <v>924</v>
      </c>
      <c r="C2935" s="10" t="s">
        <v>896</v>
      </c>
      <c r="D2935" s="28">
        <f>(M2908*(Inputs!$D$7+Inputs!$D$20)*$D$2931*(Inputs!$D$7-Inputs!$D$19)-M2908*Inputs!$D$20*Inputs!$D$23)/($D$2932-Inputs!$D$20)/(Inputs!$D$7+$D$2932)^M2906</f>
        <v>1112.4389453677863</v>
      </c>
      <c r="G2935" s="92" t="s">
        <v>910</v>
      </c>
      <c r="H2935" s="91"/>
      <c r="I2935" s="91"/>
      <c r="J2935" s="28">
        <f>SUM(D2927:M2927)+(M2908*(Inputs!$D$7+Inputs!$D$20)*$D$2931-M2908*Inputs!$D$20*Inputs!$D$23)/($D$2932-Inputs!$D$20)/(Inputs!$D$7+$D$2932)^M2906</f>
        <v>4219.0073246134016</v>
      </c>
      <c r="K2935" s="99" t="s">
        <v>896</v>
      </c>
      <c r="L2935" s="91"/>
      <c r="M2935" s="91"/>
    </row>
    <row r="2936" spans="2:13" ht="15" customHeight="1" x14ac:dyDescent="0.2">
      <c r="B2936" s="10" t="s">
        <v>925</v>
      </c>
      <c r="C2936" s="10" t="s">
        <v>110</v>
      </c>
      <c r="D2936" s="16">
        <f>(D2939*Inputs!$D$19-D2939-D2940)/($D$2932-Inputs!$D$20)/(Inputs!$D$7+$D$2932)^M2906</f>
        <v>-26345.502698929216</v>
      </c>
      <c r="G2936" s="92" t="s">
        <v>926</v>
      </c>
      <c r="H2936" s="91"/>
      <c r="I2936" s="91"/>
      <c r="J2936" s="16">
        <f>SUM(D2928:M2928)-(D2939+D2940)/($D$2932-Inputs!$D$20)/(Inputs!$D$7+$D$2932)^M2906</f>
        <v>-114317.08794717836</v>
      </c>
      <c r="K2936" s="99" t="s">
        <v>110</v>
      </c>
      <c r="L2936" s="91"/>
      <c r="M2936" s="91"/>
    </row>
    <row r="2937" spans="2:13" ht="15" customHeight="1" x14ac:dyDescent="0.2">
      <c r="B2937" s="10" t="s">
        <v>927</v>
      </c>
      <c r="C2937" s="10" t="s">
        <v>928</v>
      </c>
      <c r="D2937" s="16">
        <f>(M2908*(Inputs!$D$7+Inputs!$D$20)*$D$2930*$D$2931-D2939)-MAX((M2908*(Inputs!$D$7+Inputs!$D$20)*$D$2930*$D$2931-D2939),Inputs!$D$6)*Inputs!$D$19-D2940-M2908*Inputs!$D$20*$D$2930*Inputs!$D$23</f>
        <v>7907.6337827492116</v>
      </c>
      <c r="G2937" s="99" t="s">
        <v>929</v>
      </c>
      <c r="H2937" s="91"/>
      <c r="I2937" s="91"/>
      <c r="J2937" s="28">
        <f>(D2929-D2942)/D2941</f>
        <v>40.986749748293235</v>
      </c>
      <c r="K2937" s="99" t="s">
        <v>919</v>
      </c>
      <c r="L2937" s="91"/>
      <c r="M2937" s="91"/>
    </row>
    <row r="2938" spans="2:13" ht="15" customHeight="1" x14ac:dyDescent="0.2">
      <c r="B2938" s="10" t="s">
        <v>930</v>
      </c>
      <c r="C2938" s="10" t="s">
        <v>110</v>
      </c>
      <c r="D2938" s="16">
        <f>D2937/($D$2932-Inputs!$D$20)</f>
        <v>68762.032893471391</v>
      </c>
      <c r="G2938" s="99" t="s">
        <v>931</v>
      </c>
      <c r="H2938" s="91"/>
      <c r="I2938" s="91"/>
      <c r="J2938" s="16">
        <f>MIN(D2922:M2922,(M2908*(Inputs!$D$7+Inputs!$D$20)*$D$2930*$D$2931-D2939))</f>
        <v>1786.2124901430282</v>
      </c>
      <c r="K2938" s="99" t="s">
        <v>110</v>
      </c>
      <c r="L2938" s="91"/>
      <c r="M2938" s="91"/>
    </row>
    <row r="2939" spans="2:13" ht="15" customHeight="1" x14ac:dyDescent="0.2">
      <c r="B2939" s="10" t="s">
        <v>932</v>
      </c>
      <c r="C2939" s="10" t="s">
        <v>928</v>
      </c>
      <c r="D2939" s="16">
        <f>M2908*(Inputs!$D$7+Inputs!$D$20)*($D$2933/Inputs!$D$21+$D$2934/Inputs!$D$22)</f>
        <v>13509.71303671543</v>
      </c>
      <c r="G2939" s="99" t="s">
        <v>933</v>
      </c>
      <c r="H2939" s="91"/>
      <c r="I2939" s="91"/>
      <c r="J2939" s="31" t="str">
        <f>IF(J2938&lt;Inputs!$D$6,"breached","satisfied")</f>
        <v>satisfied</v>
      </c>
      <c r="K2939" s="99" t="s">
        <v>934</v>
      </c>
      <c r="L2939" s="91"/>
      <c r="M2939" s="91"/>
    </row>
    <row r="2940" spans="2:13" ht="15" customHeight="1" x14ac:dyDescent="0.2">
      <c r="B2940" s="10" t="s">
        <v>935</v>
      </c>
      <c r="C2940" s="10" t="s">
        <v>928</v>
      </c>
      <c r="D2940" s="16">
        <f>M2908*Inputs!$D$20*($D$2933+$D$2934)</f>
        <v>1365.7073615561799</v>
      </c>
    </row>
    <row r="2941" spans="2:13" ht="15" customHeight="1" x14ac:dyDescent="0.2">
      <c r="B2941" s="10" t="s">
        <v>936</v>
      </c>
      <c r="C2941" s="10" t="s">
        <v>896</v>
      </c>
      <c r="D2941" s="28">
        <f>SUM(D2918:M2918)+D2935</f>
        <v>2947.681242949282</v>
      </c>
      <c r="G2941" s="99" t="s">
        <v>937</v>
      </c>
      <c r="H2941" s="91"/>
      <c r="I2941" s="91"/>
      <c r="J2941" s="16">
        <f>D2943-D2929</f>
        <v>0</v>
      </c>
      <c r="K2941" s="99" t="s">
        <v>110</v>
      </c>
      <c r="L2941" s="91"/>
      <c r="M2941" s="91"/>
    </row>
    <row r="2942" spans="2:13" ht="15" customHeight="1" x14ac:dyDescent="0.2">
      <c r="B2942" s="10" t="s">
        <v>938</v>
      </c>
      <c r="C2942" s="10" t="s">
        <v>110</v>
      </c>
      <c r="D2942" s="16">
        <f>SUM(D2919:M2919)+D2936</f>
        <v>-88040.873442500175</v>
      </c>
    </row>
    <row r="2943" spans="2:13" ht="15" customHeight="1" x14ac:dyDescent="0.2">
      <c r="B2943" s="10" t="s">
        <v>939</v>
      </c>
      <c r="C2943" s="10" t="s">
        <v>110</v>
      </c>
      <c r="D2943" s="16">
        <f>SUM(D2926:M2926)+D2938/(Inputs!$D$7+$D$2932)^M2906</f>
        <v>32774.999999999993</v>
      </c>
    </row>
    <row r="2944" spans="2:13" ht="15" customHeight="1" x14ac:dyDescent="0.2">
      <c r="B2944" s="10" t="s">
        <v>940</v>
      </c>
      <c r="C2944" s="10" t="s">
        <v>104</v>
      </c>
      <c r="D2944" s="30">
        <f>IF(ABS(D2929)&gt;Inputs!$D$6,D2943/D2929-Inputs!$D$7,Inputs!$D$6)</f>
        <v>-2.2204460492503131E-16</v>
      </c>
    </row>
    <row r="2945" spans="1:13" ht="15" customHeight="1" x14ac:dyDescent="0.2">
      <c r="B2945" s="10" t="s">
        <v>941</v>
      </c>
      <c r="C2945" s="10" t="s">
        <v>104</v>
      </c>
      <c r="D2945" s="30">
        <f>IF(ABS(D2943)&gt;Inputs!$D$119,D2938/(Inputs!$D$7+$D$2932)^M2906/D2943,Inputs!$D$6)</f>
        <v>0.58733040320718521</v>
      </c>
    </row>
    <row r="2946" spans="1:13" ht="15" customHeight="1" x14ac:dyDescent="0.2">
      <c r="B2946" s="10" t="s">
        <v>942</v>
      </c>
      <c r="C2946" s="10" t="s">
        <v>943</v>
      </c>
      <c r="D2946" s="26">
        <f>$D$2930*Inputs!$D$8/Prices!$P$6/(Inputs!$D$26/Inputs!$D$25)/Inputs!$D$11/Inputs!$D$56</f>
        <v>7.4535649398949131</v>
      </c>
    </row>
    <row r="2950" spans="1:13" ht="15" customHeight="1" x14ac:dyDescent="0.2">
      <c r="A2950" s="104" t="s">
        <v>2229</v>
      </c>
      <c r="B2950" s="10" t="s">
        <v>886</v>
      </c>
      <c r="C2950" s="10" t="s">
        <v>107</v>
      </c>
      <c r="D2950" s="28">
        <f>Inputs!$D$60</f>
        <v>1</v>
      </c>
      <c r="E2950" s="28">
        <f>Inputs!$D$62</f>
        <v>2</v>
      </c>
      <c r="F2950" s="28">
        <f>Inputs!$D$64</f>
        <v>3</v>
      </c>
      <c r="G2950" s="28">
        <f>Inputs!$D$66</f>
        <v>4</v>
      </c>
      <c r="H2950" s="28">
        <f>Inputs!$D$68</f>
        <v>5</v>
      </c>
      <c r="I2950" s="28">
        <f>Inputs!$D$70</f>
        <v>6</v>
      </c>
      <c r="J2950" s="28">
        <f>Inputs!$D$72</f>
        <v>7</v>
      </c>
      <c r="K2950" s="28">
        <f>Inputs!$D$74</f>
        <v>8</v>
      </c>
      <c r="L2950" s="28">
        <f>Inputs!$D$76</f>
        <v>9</v>
      </c>
      <c r="M2950" s="28">
        <f>Inputs!$D$78</f>
        <v>10</v>
      </c>
    </row>
    <row r="2951" spans="1:13" ht="15" customHeight="1" x14ac:dyDescent="0.2">
      <c r="A2951" s="91"/>
      <c r="B2951" s="10" t="s">
        <v>887</v>
      </c>
      <c r="C2951" s="10" t="s">
        <v>161</v>
      </c>
      <c r="D2951" s="29">
        <f>Inputs!$D$61</f>
        <v>46568</v>
      </c>
      <c r="E2951" s="29">
        <f>Inputs!$D$63</f>
        <v>46934</v>
      </c>
      <c r="F2951" s="29">
        <f>Inputs!$D$65</f>
        <v>47299</v>
      </c>
      <c r="G2951" s="29">
        <f>Inputs!$D$67</f>
        <v>47664</v>
      </c>
      <c r="H2951" s="29">
        <f>Inputs!$D$69</f>
        <v>48029</v>
      </c>
      <c r="I2951" s="29">
        <f>Inputs!$D$71</f>
        <v>48395</v>
      </c>
      <c r="J2951" s="29">
        <f>Inputs!$D$73</f>
        <v>48760</v>
      </c>
      <c r="K2951" s="29">
        <f>Inputs!$D$75</f>
        <v>49125</v>
      </c>
      <c r="L2951" s="29">
        <f>Inputs!$D$77</f>
        <v>49490</v>
      </c>
      <c r="M2951" s="29">
        <f>Inputs!$D$79</f>
        <v>49856</v>
      </c>
    </row>
    <row r="2952" spans="1:13" ht="15" customHeight="1" x14ac:dyDescent="0.2">
      <c r="A2952" s="91"/>
      <c r="B2952" s="10" t="s">
        <v>888</v>
      </c>
      <c r="C2952" s="10" t="s">
        <v>107</v>
      </c>
      <c r="D2952" s="28">
        <f>(D2951-Inputs!$D$13)/Inputs!$D$10</f>
        <v>0.71457905544147848</v>
      </c>
      <c r="E2952" s="28">
        <f>(E2951-Inputs!$D$13)/Inputs!$D$10</f>
        <v>1.7166324435318274</v>
      </c>
      <c r="F2952" s="28">
        <f>(F2951-Inputs!$D$13)/Inputs!$D$10</f>
        <v>2.7159479808350446</v>
      </c>
      <c r="G2952" s="28">
        <f>(G2951-Inputs!$D$13)/Inputs!$D$10</f>
        <v>3.7152635181382614</v>
      </c>
      <c r="H2952" s="28">
        <f>(H2951-Inputs!$D$13)/Inputs!$D$10</f>
        <v>4.7145790554414786</v>
      </c>
      <c r="I2952" s="28">
        <f>(I2951-Inputs!$D$13)/Inputs!$D$10</f>
        <v>5.7166324435318279</v>
      </c>
      <c r="J2952" s="28">
        <f>(J2951-Inputs!$D$13)/Inputs!$D$10</f>
        <v>6.7159479808350442</v>
      </c>
      <c r="K2952" s="28">
        <f>(K2951-Inputs!$D$13)/Inputs!$D$10</f>
        <v>7.7152635181382614</v>
      </c>
      <c r="L2952" s="28">
        <f>(L2951-Inputs!$D$13)/Inputs!$D$10</f>
        <v>8.7145790554414777</v>
      </c>
      <c r="M2952" s="28">
        <f>(M2951-Inputs!$D$13)/Inputs!$D$10</f>
        <v>9.716632443531827</v>
      </c>
    </row>
    <row r="2953" spans="1:13" ht="15" customHeight="1" x14ac:dyDescent="0.2">
      <c r="A2953" s="91"/>
      <c r="B2953" s="10" t="s">
        <v>889</v>
      </c>
      <c r="C2953" s="10" t="s">
        <v>107</v>
      </c>
      <c r="D2953" s="28">
        <f>D2952</f>
        <v>0.71457905544147848</v>
      </c>
      <c r="E2953" s="28">
        <f>Inputs!$D$7</f>
        <v>1</v>
      </c>
      <c r="F2953" s="28">
        <f>Inputs!$D$7</f>
        <v>1</v>
      </c>
      <c r="G2953" s="28">
        <f>Inputs!$D$7</f>
        <v>1</v>
      </c>
      <c r="H2953" s="28">
        <f>Inputs!$D$7</f>
        <v>1</v>
      </c>
      <c r="I2953" s="28">
        <f>Inputs!$D$7</f>
        <v>1</v>
      </c>
      <c r="J2953" s="28">
        <f>Inputs!$D$7</f>
        <v>1</v>
      </c>
      <c r="K2953" s="28">
        <f>Inputs!$D$7</f>
        <v>1</v>
      </c>
      <c r="L2953" s="28">
        <f>Inputs!$D$7</f>
        <v>1</v>
      </c>
      <c r="M2953" s="28">
        <f>Inputs!$D$7</f>
        <v>1</v>
      </c>
    </row>
    <row r="2954" spans="1:13" ht="15" customHeight="1" x14ac:dyDescent="0.2">
      <c r="A2954" s="91"/>
      <c r="B2954" s="3" t="s">
        <v>890</v>
      </c>
      <c r="C2954" s="10" t="s">
        <v>199</v>
      </c>
      <c r="D2954" s="28">
        <f>Inputs!$D$24+(Inputs!$D$80-Inputs!$D$24)*Inputs!$D$83</f>
        <v>305.5</v>
      </c>
      <c r="E2954" s="28">
        <f>Inputs!$D$24+(Inputs!$D$80-Inputs!$D$24)*Inputs!$D$84</f>
        <v>651.5</v>
      </c>
      <c r="F2954" s="28">
        <f>Inputs!$D$24+(Inputs!$D$80-Inputs!$D$24)*Inputs!$D$85</f>
        <v>911</v>
      </c>
      <c r="G2954" s="28">
        <f>Inputs!$D$24+(Inputs!$D$80-Inputs!$D$24)*Inputs!$D$86</f>
        <v>911</v>
      </c>
      <c r="H2954" s="28">
        <f>Inputs!$D$24+(Inputs!$D$80-Inputs!$D$24)*Inputs!$D$87</f>
        <v>911</v>
      </c>
      <c r="I2954" s="28">
        <f>Inputs!$D$24+(Inputs!$D$80-Inputs!$D$24)*Inputs!$D$88</f>
        <v>911</v>
      </c>
      <c r="J2954" s="28">
        <f>Inputs!$D$24+(Inputs!$D$80-Inputs!$D$24)*Inputs!$D$89</f>
        <v>911</v>
      </c>
      <c r="K2954" s="28">
        <f>Inputs!$D$24+(Inputs!$D$80-Inputs!$D$24)*Inputs!$D$90</f>
        <v>911</v>
      </c>
      <c r="L2954" s="28">
        <f>Inputs!$D$24+(Inputs!$D$80-Inputs!$D$24)*Inputs!$D$91</f>
        <v>911</v>
      </c>
      <c r="M2954" s="28">
        <f>Inputs!$D$24+(Inputs!$D$80-Inputs!$D$24)*Inputs!$D$92</f>
        <v>911</v>
      </c>
    </row>
    <row r="2955" spans="1:13" ht="15" customHeight="1" x14ac:dyDescent="0.2">
      <c r="A2955" s="91"/>
      <c r="B2955" s="10" t="s">
        <v>891</v>
      </c>
      <c r="C2955" s="10" t="s">
        <v>199</v>
      </c>
      <c r="D2955" s="28">
        <f>Inputs!$D$24</f>
        <v>46</v>
      </c>
      <c r="E2955" s="28">
        <f t="shared" ref="E2955:M2955" si="640">D2954</f>
        <v>305.5</v>
      </c>
      <c r="F2955" s="28">
        <f t="shared" si="640"/>
        <v>651.5</v>
      </c>
      <c r="G2955" s="28">
        <f t="shared" si="640"/>
        <v>911</v>
      </c>
      <c r="H2955" s="28">
        <f t="shared" si="640"/>
        <v>911</v>
      </c>
      <c r="I2955" s="28">
        <f t="shared" si="640"/>
        <v>911</v>
      </c>
      <c r="J2955" s="28">
        <f t="shared" si="640"/>
        <v>911</v>
      </c>
      <c r="K2955" s="28">
        <f t="shared" si="640"/>
        <v>911</v>
      </c>
      <c r="L2955" s="28">
        <f t="shared" si="640"/>
        <v>911</v>
      </c>
      <c r="M2955" s="28">
        <f t="shared" si="640"/>
        <v>911</v>
      </c>
    </row>
    <row r="2956" spans="1:13" ht="15" customHeight="1" x14ac:dyDescent="0.2">
      <c r="B2956" s="10" t="s">
        <v>892</v>
      </c>
      <c r="C2956" s="10" t="s">
        <v>199</v>
      </c>
      <c r="D2956" s="28">
        <f>(D2955+D2954)*Inputs!$D$12</f>
        <v>175.75</v>
      </c>
      <c r="E2956" s="28">
        <f>(E2955+E2954)*Inputs!$D$12</f>
        <v>478.5</v>
      </c>
      <c r="F2956" s="28">
        <f>(F2955+F2954)*Inputs!$D$12</f>
        <v>781.25</v>
      </c>
      <c r="G2956" s="28">
        <f>(G2955+G2954)*Inputs!$D$12</f>
        <v>911</v>
      </c>
      <c r="H2956" s="28">
        <f>(H2955+H2954)*Inputs!$D$12</f>
        <v>911</v>
      </c>
      <c r="I2956" s="28">
        <f>(I2955+I2954)*Inputs!$D$12</f>
        <v>911</v>
      </c>
      <c r="J2956" s="28">
        <f>(J2955+J2954)*Inputs!$D$12</f>
        <v>911</v>
      </c>
      <c r="K2956" s="28">
        <f>(K2955+K2954)*Inputs!$D$12</f>
        <v>911</v>
      </c>
      <c r="L2956" s="28">
        <f>(L2955+L2954)*Inputs!$D$12</f>
        <v>911</v>
      </c>
      <c r="M2956" s="28">
        <f>(M2955+M2954)*Inputs!$D$12</f>
        <v>911</v>
      </c>
    </row>
    <row r="2957" spans="1:13" ht="15" customHeight="1" x14ac:dyDescent="0.2">
      <c r="B2957" s="10" t="s">
        <v>893</v>
      </c>
      <c r="C2957" s="10" t="s">
        <v>199</v>
      </c>
      <c r="D2957" s="28">
        <f t="shared" ref="D2957:M2957" si="641">D2954-D2955</f>
        <v>259.5</v>
      </c>
      <c r="E2957" s="28">
        <f t="shared" si="641"/>
        <v>346</v>
      </c>
      <c r="F2957" s="28">
        <f t="shared" si="641"/>
        <v>259.5</v>
      </c>
      <c r="G2957" s="28">
        <f t="shared" si="641"/>
        <v>0</v>
      </c>
      <c r="H2957" s="28">
        <f t="shared" si="641"/>
        <v>0</v>
      </c>
      <c r="I2957" s="28">
        <f t="shared" si="641"/>
        <v>0</v>
      </c>
      <c r="J2957" s="28">
        <f t="shared" si="641"/>
        <v>0</v>
      </c>
      <c r="K2957" s="28">
        <f t="shared" si="641"/>
        <v>0</v>
      </c>
      <c r="L2957" s="28">
        <f t="shared" si="641"/>
        <v>0</v>
      </c>
      <c r="M2957" s="28">
        <f t="shared" si="641"/>
        <v>0</v>
      </c>
    </row>
    <row r="2958" spans="1:13" ht="15" customHeight="1" x14ac:dyDescent="0.2">
      <c r="B2958" s="10" t="s">
        <v>894</v>
      </c>
      <c r="C2958" s="10" t="s">
        <v>199</v>
      </c>
      <c r="D2958" s="28">
        <f>IF(MOD(D2950,Inputs!$D$21)=Inputs!$D$6,Inputs!$D$24,Inputs!$D$6)+SUMPRODUCT(--(D2950&gt;$D$2950:$M$2950),--(MOD(D2950-$D$2950:$M$2950,Inputs!$D$21)=Inputs!$D$6),$D$2957:$M$2957)</f>
        <v>0</v>
      </c>
      <c r="E2958" s="28">
        <f>IF(MOD(E2950,Inputs!$D$21)=Inputs!$D$6,Inputs!$D$24,Inputs!$D$6)+SUMPRODUCT(--(E2950&gt;$D$2950:$M$2950),--(MOD(E2950-$D$2950:$M$2950,Inputs!$D$21)=Inputs!$D$6),$D$2957:$M$2957)</f>
        <v>0</v>
      </c>
      <c r="F2958" s="28">
        <f>IF(MOD(F2950,Inputs!$D$21)=Inputs!$D$6,Inputs!$D$24,Inputs!$D$6)+SUMPRODUCT(--(F2950&gt;$D$2950:$M$2950),--(MOD(F2950-$D$2950:$M$2950,Inputs!$D$21)=Inputs!$D$6),$D$2957:$M$2957)</f>
        <v>0</v>
      </c>
      <c r="G2958" s="28">
        <f>IF(MOD(G2950,Inputs!$D$21)=Inputs!$D$6,Inputs!$D$24,Inputs!$D$6)+SUMPRODUCT(--(G2950&gt;$D$2950:$M$2950),--(MOD(G2950-$D$2950:$M$2950,Inputs!$D$21)=Inputs!$D$6),$D$2957:$M$2957)</f>
        <v>46</v>
      </c>
      <c r="H2958" s="28">
        <f>IF(MOD(H2950,Inputs!$D$21)=Inputs!$D$6,Inputs!$D$24,Inputs!$D$6)+SUMPRODUCT(--(H2950&gt;$D$2950:$M$2950),--(MOD(H2950-$D$2950:$M$2950,Inputs!$D$21)=Inputs!$D$6),$D$2957:$M$2957)</f>
        <v>259.5</v>
      </c>
      <c r="I2958" s="28">
        <f>IF(MOD(I2950,Inputs!$D$21)=Inputs!$D$6,Inputs!$D$24,Inputs!$D$6)+SUMPRODUCT(--(I2950&gt;$D$2950:$M$2950),--(MOD(I2950-$D$2950:$M$2950,Inputs!$D$21)=Inputs!$D$6),$D$2957:$M$2957)</f>
        <v>346</v>
      </c>
      <c r="J2958" s="28">
        <f>IF(MOD(J2950,Inputs!$D$21)=Inputs!$D$6,Inputs!$D$24,Inputs!$D$6)+SUMPRODUCT(--(J2950&gt;$D$2950:$M$2950),--(MOD(J2950-$D$2950:$M$2950,Inputs!$D$21)=Inputs!$D$6),$D$2957:$M$2957)</f>
        <v>259.5</v>
      </c>
      <c r="K2958" s="28">
        <f>IF(MOD(K2950,Inputs!$D$21)=Inputs!$D$6,Inputs!$D$24,Inputs!$D$6)+SUMPRODUCT(--(K2950&gt;$D$2950:$M$2950),--(MOD(K2950-$D$2950:$M$2950,Inputs!$D$21)=Inputs!$D$6),$D$2957:$M$2957)</f>
        <v>46</v>
      </c>
      <c r="L2958" s="28">
        <f>IF(MOD(L2950,Inputs!$D$21)=Inputs!$D$6,Inputs!$D$24,Inputs!$D$6)+SUMPRODUCT(--(L2950&gt;$D$2950:$M$2950),--(MOD(L2950-$D$2950:$M$2950,Inputs!$D$21)=Inputs!$D$6),$D$2957:$M$2957)</f>
        <v>259.5</v>
      </c>
      <c r="M2958" s="28">
        <f>IF(MOD(M2950,Inputs!$D$21)=Inputs!$D$6,Inputs!$D$24,Inputs!$D$6)+SUMPRODUCT(--(M2950&gt;$D$2950:$M$2950),--(MOD(M2950-$D$2950:$M$2950,Inputs!$D$21)=Inputs!$D$6),$D$2957:$M$2957)</f>
        <v>346</v>
      </c>
    </row>
    <row r="2959" spans="1:13" ht="15" customHeight="1" x14ac:dyDescent="0.2">
      <c r="B2959" s="10" t="s">
        <v>895</v>
      </c>
      <c r="C2959" s="10" t="s">
        <v>896</v>
      </c>
      <c r="D2959" s="28">
        <f t="shared" ref="D2959:M2959" si="642">D2956*D2953</f>
        <v>125.58726899383984</v>
      </c>
      <c r="E2959" s="28">
        <f t="shared" si="642"/>
        <v>478.5</v>
      </c>
      <c r="F2959" s="28">
        <f t="shared" si="642"/>
        <v>781.25</v>
      </c>
      <c r="G2959" s="28">
        <f t="shared" si="642"/>
        <v>911</v>
      </c>
      <c r="H2959" s="28">
        <f t="shared" si="642"/>
        <v>911</v>
      </c>
      <c r="I2959" s="28">
        <f t="shared" si="642"/>
        <v>911</v>
      </c>
      <c r="J2959" s="28">
        <f t="shared" si="642"/>
        <v>911</v>
      </c>
      <c r="K2959" s="28">
        <f t="shared" si="642"/>
        <v>911</v>
      </c>
      <c r="L2959" s="28">
        <f t="shared" si="642"/>
        <v>911</v>
      </c>
      <c r="M2959" s="28">
        <f t="shared" si="642"/>
        <v>911</v>
      </c>
    </row>
    <row r="2960" spans="1:13" ht="15" customHeight="1" x14ac:dyDescent="0.2">
      <c r="B2960" s="10" t="s">
        <v>897</v>
      </c>
      <c r="C2960" s="10" t="s">
        <v>110</v>
      </c>
      <c r="D2960" s="16">
        <f>D2959*($D$2979/Inputs!$D$21+$D$2980/Inputs!$D$22)</f>
        <v>1816.9772859324419</v>
      </c>
      <c r="E2960" s="16">
        <f>E2959*($D$2979/Inputs!$D$21+$D$2980/Inputs!$D$22)</f>
        <v>6922.8643817497086</v>
      </c>
      <c r="F2960" s="16">
        <f>F2959*($D$2979/Inputs!$D$21+$D$2980/Inputs!$D$22)</f>
        <v>11303.0048030135</v>
      </c>
      <c r="G2960" s="16">
        <f>G2959*($D$2979/Inputs!$D$21+$D$2980/Inputs!$D$22)</f>
        <v>13180.207840697982</v>
      </c>
      <c r="H2960" s="16">
        <f>H2959*($D$2979/Inputs!$D$21+$D$2980/Inputs!$D$22)</f>
        <v>13180.207840697982</v>
      </c>
      <c r="I2960" s="16">
        <f>I2959*($D$2979/Inputs!$D$21+$D$2980/Inputs!$D$22)</f>
        <v>13180.207840697982</v>
      </c>
      <c r="J2960" s="16">
        <f>J2959*($D$2979/Inputs!$D$21+$D$2980/Inputs!$D$22)</f>
        <v>13180.207840697982</v>
      </c>
      <c r="K2960" s="16">
        <f>K2959*($D$2979/Inputs!$D$21+$D$2980/Inputs!$D$22)</f>
        <v>13180.207840697982</v>
      </c>
      <c r="L2960" s="16">
        <f>L2959*($D$2979/Inputs!$D$21+$D$2980/Inputs!$D$22)</f>
        <v>13180.207840697982</v>
      </c>
      <c r="M2960" s="16">
        <f>M2959*($D$2979/Inputs!$D$21+$D$2980/Inputs!$D$22)</f>
        <v>13180.207840697982</v>
      </c>
    </row>
    <row r="2961" spans="2:13" ht="15" customHeight="1" x14ac:dyDescent="0.2">
      <c r="B2961" s="10" t="s">
        <v>898</v>
      </c>
      <c r="C2961" s="10" t="s">
        <v>110</v>
      </c>
      <c r="D2961" s="16">
        <f t="shared" ref="D2961:M2961" si="643">D2957*($D$2979+$D$2980)</f>
        <v>15560.968620146154</v>
      </c>
      <c r="E2961" s="16">
        <f t="shared" si="643"/>
        <v>20747.95816019487</v>
      </c>
      <c r="F2961" s="16">
        <f t="shared" si="643"/>
        <v>15560.968620146154</v>
      </c>
      <c r="G2961" s="16">
        <f t="shared" si="643"/>
        <v>0</v>
      </c>
      <c r="H2961" s="16">
        <f t="shared" si="643"/>
        <v>0</v>
      </c>
      <c r="I2961" s="16">
        <f t="shared" si="643"/>
        <v>0</v>
      </c>
      <c r="J2961" s="16">
        <f t="shared" si="643"/>
        <v>0</v>
      </c>
      <c r="K2961" s="16">
        <f t="shared" si="643"/>
        <v>0</v>
      </c>
      <c r="L2961" s="16">
        <f t="shared" si="643"/>
        <v>0</v>
      </c>
      <c r="M2961" s="16">
        <f t="shared" si="643"/>
        <v>0</v>
      </c>
    </row>
    <row r="2962" spans="2:13" ht="15" customHeight="1" x14ac:dyDescent="0.2">
      <c r="B2962" s="10" t="s">
        <v>899</v>
      </c>
      <c r="C2962" s="10" t="s">
        <v>110</v>
      </c>
      <c r="D2962" s="16">
        <f t="shared" ref="D2962:M2962" si="644">D2958*$D$2979</f>
        <v>0</v>
      </c>
      <c r="E2962" s="16">
        <f t="shared" si="644"/>
        <v>0</v>
      </c>
      <c r="F2962" s="16">
        <f t="shared" si="644"/>
        <v>0</v>
      </c>
      <c r="G2962" s="16">
        <f t="shared" si="644"/>
        <v>2638.0048485671714</v>
      </c>
      <c r="H2962" s="16">
        <f t="shared" si="644"/>
        <v>14881.788221808281</v>
      </c>
      <c r="I2962" s="16">
        <f t="shared" si="644"/>
        <v>19842.384295744378</v>
      </c>
      <c r="J2962" s="16">
        <f t="shared" si="644"/>
        <v>14881.788221808281</v>
      </c>
      <c r="K2962" s="16">
        <f t="shared" si="644"/>
        <v>2638.0048485671714</v>
      </c>
      <c r="L2962" s="16">
        <f t="shared" si="644"/>
        <v>14881.788221808281</v>
      </c>
      <c r="M2962" s="16">
        <f t="shared" si="644"/>
        <v>19842.384295744378</v>
      </c>
    </row>
    <row r="2963" spans="2:13" ht="15" customHeight="1" x14ac:dyDescent="0.2">
      <c r="B2963" s="10" t="s">
        <v>900</v>
      </c>
      <c r="C2963" s="10" t="s">
        <v>199</v>
      </c>
      <c r="D2963" s="28">
        <f>D2957*Inputs!$D$23</f>
        <v>6.4875000000000007</v>
      </c>
      <c r="E2963" s="28">
        <f>E2957*Inputs!$D$23</f>
        <v>8.65</v>
      </c>
      <c r="F2963" s="28">
        <f>F2957*Inputs!$D$23</f>
        <v>6.4875000000000007</v>
      </c>
      <c r="G2963" s="28">
        <f>G2957*Inputs!$D$23</f>
        <v>0</v>
      </c>
      <c r="H2963" s="28">
        <f>H2957*Inputs!$D$23</f>
        <v>0</v>
      </c>
      <c r="I2963" s="28">
        <f>I2957*Inputs!$D$23</f>
        <v>0</v>
      </c>
      <c r="J2963" s="28">
        <f>J2957*Inputs!$D$23</f>
        <v>0</v>
      </c>
      <c r="K2963" s="28">
        <f>K2957*Inputs!$D$23</f>
        <v>0</v>
      </c>
      <c r="L2963" s="28">
        <f>L2957*Inputs!$D$23</f>
        <v>0</v>
      </c>
      <c r="M2963" s="28">
        <f>M2957*Inputs!$D$23</f>
        <v>0</v>
      </c>
    </row>
    <row r="2964" spans="2:13" ht="15" customHeight="1" x14ac:dyDescent="0.2">
      <c r="B2964" s="3" t="s">
        <v>901</v>
      </c>
      <c r="C2964" s="10" t="s">
        <v>896</v>
      </c>
      <c r="D2964" s="28">
        <f>(D2959*$D$2977*(Inputs!$D$7-Inputs!$D$19)-D2963)/(Inputs!$D$7+$D$2978)^D2952</f>
        <v>60.425226480059429</v>
      </c>
      <c r="E2964" s="28">
        <f>(E2959*$D$2977*(Inputs!$D$7-Inputs!$D$19)-E2963)/(Inputs!$D$7+$D$2978)^E2952</f>
        <v>227.21811997251743</v>
      </c>
      <c r="F2964" s="28">
        <f>(F2959*$D$2977*(Inputs!$D$7-Inputs!$D$19)-F2963)/(Inputs!$D$7+$D$2978)^F2952</f>
        <v>349.7137307705558</v>
      </c>
      <c r="G2964" s="28">
        <f>(G2959*$D$2977*(Inputs!$D$7-Inputs!$D$19)-G2963)/(Inputs!$D$7+$D$2978)^G2952</f>
        <v>383.29075536375893</v>
      </c>
      <c r="H2964" s="28">
        <f>(H2959*$D$2977*(Inputs!$D$7-Inputs!$D$19)-H2963)/(Inputs!$D$7+$D$2978)^H2952</f>
        <v>354.91754304446511</v>
      </c>
      <c r="I2964" s="28">
        <f>(I2959*$D$2977*(Inputs!$D$7-Inputs!$D$19)-I2963)/(Inputs!$D$7+$D$2978)^I2952</f>
        <v>328.5754255023262</v>
      </c>
      <c r="J2964" s="28">
        <f>(J2959*$D$2977*(Inputs!$D$7-Inputs!$D$19)-J2963)/(Inputs!$D$7+$D$2978)^J2952</f>
        <v>304.25253177160698</v>
      </c>
      <c r="K2964" s="28">
        <f>(K2959*$D$2977*(Inputs!$D$7-Inputs!$D$19)-K2963)/(Inputs!$D$7+$D$2978)^K2952</f>
        <v>281.73014749326506</v>
      </c>
      <c r="L2964" s="28">
        <f>(L2959*$D$2977*(Inputs!$D$7-Inputs!$D$19)-L2963)/(Inputs!$D$7+$D$2978)^L2952</f>
        <v>260.87498941885201</v>
      </c>
      <c r="M2964" s="28">
        <f>(M2959*$D$2977*(Inputs!$D$7-Inputs!$D$19)-M2963)/(Inputs!$D$7+$D$2978)^M2952</f>
        <v>241.51274663950682</v>
      </c>
    </row>
    <row r="2965" spans="2:13" ht="15" customHeight="1" x14ac:dyDescent="0.2">
      <c r="B2965" s="10" t="s">
        <v>902</v>
      </c>
      <c r="C2965" s="10" t="s">
        <v>110</v>
      </c>
      <c r="D2965" s="16">
        <f>(D2960*Inputs!$D$19-D2961-D2962)/(Inputs!$D$7+$D$2978)^D2952</f>
        <v>-14212.377724210151</v>
      </c>
      <c r="E2965" s="16">
        <f>(E2960*Inputs!$D$19-E2961-E2962)/(Inputs!$D$7+$D$2978)^E2952</f>
        <v>-16360.387094728963</v>
      </c>
      <c r="F2965" s="16">
        <f>(F2960*Inputs!$D$19-F2961-F2962)/(Inputs!$D$7+$D$2978)^F2952</f>
        <v>-9874.5154652847668</v>
      </c>
      <c r="G2965" s="16">
        <f>(G2960*Inputs!$D$19-G2961-G2962)/(Inputs!$D$7+$D$2978)^G2952</f>
        <v>988.77347238742834</v>
      </c>
      <c r="H2965" s="16">
        <f>(H2960*Inputs!$D$19-H2961-H2962)/(Inputs!$D$7+$D$2978)^H2952</f>
        <v>-7602.4024163036647</v>
      </c>
      <c r="I2965" s="16">
        <f>(I2960*Inputs!$D$19-I2961-I2962)/(Inputs!$D$7+$D$2978)^I2952</f>
        <v>-10233.087939303265</v>
      </c>
      <c r="J2965" s="16">
        <f>(J2960*Inputs!$D$19-J2961-J2962)/(Inputs!$D$7+$D$2978)^J2952</f>
        <v>-6517.1480757635773</v>
      </c>
      <c r="K2965" s="16">
        <f>(K2960*Inputs!$D$19-K2961-K2962)/(Inputs!$D$7+$D$2978)^K2952</f>
        <v>726.77801985796941</v>
      </c>
      <c r="L2965" s="16">
        <f>(L2960*Inputs!$D$19-L2961-L2962)/(Inputs!$D$7+$D$2978)^L2952</f>
        <v>-5587.9927289550824</v>
      </c>
      <c r="M2965" s="16">
        <f>(M2960*Inputs!$D$19-M2961-M2962)/(Inputs!$D$7+$D$2978)^M2952</f>
        <v>-7521.6251216792398</v>
      </c>
    </row>
    <row r="2966" spans="2:13" ht="15" customHeight="1" x14ac:dyDescent="0.2">
      <c r="B2966" s="10" t="s">
        <v>903</v>
      </c>
      <c r="C2966" s="10" t="s">
        <v>110</v>
      </c>
      <c r="D2966" s="16">
        <f t="shared" ref="D2966:M2966" si="645">D2959*$D$2976</f>
        <v>3482.7327432798975</v>
      </c>
      <c r="E2966" s="16">
        <f t="shared" si="645"/>
        <v>13269.558538940548</v>
      </c>
      <c r="F2966" s="16">
        <f t="shared" si="645"/>
        <v>21665.292807831356</v>
      </c>
      <c r="G2966" s="16">
        <f t="shared" si="645"/>
        <v>25263.464637355984</v>
      </c>
      <c r="H2966" s="16">
        <f t="shared" si="645"/>
        <v>25263.464637355984</v>
      </c>
      <c r="I2966" s="16">
        <f t="shared" si="645"/>
        <v>25263.464637355984</v>
      </c>
      <c r="J2966" s="16">
        <f t="shared" si="645"/>
        <v>25263.464637355984</v>
      </c>
      <c r="K2966" s="16">
        <f t="shared" si="645"/>
        <v>25263.464637355984</v>
      </c>
      <c r="L2966" s="16">
        <f t="shared" si="645"/>
        <v>25263.464637355984</v>
      </c>
      <c r="M2966" s="16">
        <f t="shared" si="645"/>
        <v>25263.464637355984</v>
      </c>
    </row>
    <row r="2967" spans="2:13" ht="15" customHeight="1" x14ac:dyDescent="0.2">
      <c r="B2967" s="10" t="s">
        <v>904</v>
      </c>
      <c r="C2967" s="10" t="s">
        <v>110</v>
      </c>
      <c r="D2967" s="16">
        <f t="shared" ref="D2967:M2967" si="646">D2966*$D$2977</f>
        <v>2786.1861946239183</v>
      </c>
      <c r="E2967" s="16">
        <f t="shared" si="646"/>
        <v>10615.646831152439</v>
      </c>
      <c r="F2967" s="16">
        <f t="shared" si="646"/>
        <v>17332.234246265085</v>
      </c>
      <c r="G2967" s="16">
        <f t="shared" si="646"/>
        <v>20210.77170988479</v>
      </c>
      <c r="H2967" s="16">
        <f t="shared" si="646"/>
        <v>20210.77170988479</v>
      </c>
      <c r="I2967" s="16">
        <f t="shared" si="646"/>
        <v>20210.77170988479</v>
      </c>
      <c r="J2967" s="16">
        <f t="shared" si="646"/>
        <v>20210.77170988479</v>
      </c>
      <c r="K2967" s="16">
        <f t="shared" si="646"/>
        <v>20210.77170988479</v>
      </c>
      <c r="L2967" s="16">
        <f t="shared" si="646"/>
        <v>20210.77170988479</v>
      </c>
      <c r="M2967" s="16">
        <f t="shared" si="646"/>
        <v>20210.77170988479</v>
      </c>
    </row>
    <row r="2968" spans="2:13" ht="15" customHeight="1" x14ac:dyDescent="0.2">
      <c r="B2968" s="10" t="s">
        <v>905</v>
      </c>
      <c r="C2968" s="10" t="s">
        <v>110</v>
      </c>
      <c r="D2968" s="16">
        <f t="shared" ref="D2968:M2968" si="647">D2967-D2960</f>
        <v>969.20890869147638</v>
      </c>
      <c r="E2968" s="16">
        <f t="shared" si="647"/>
        <v>3692.78244940273</v>
      </c>
      <c r="F2968" s="16">
        <f t="shared" si="647"/>
        <v>6029.2294432515846</v>
      </c>
      <c r="G2968" s="16">
        <f t="shared" si="647"/>
        <v>7030.563869186808</v>
      </c>
      <c r="H2968" s="16">
        <f t="shared" si="647"/>
        <v>7030.563869186808</v>
      </c>
      <c r="I2968" s="16">
        <f t="shared" si="647"/>
        <v>7030.563869186808</v>
      </c>
      <c r="J2968" s="16">
        <f t="shared" si="647"/>
        <v>7030.563869186808</v>
      </c>
      <c r="K2968" s="16">
        <f t="shared" si="647"/>
        <v>7030.563869186808</v>
      </c>
      <c r="L2968" s="16">
        <f t="shared" si="647"/>
        <v>7030.563869186808</v>
      </c>
      <c r="M2968" s="16">
        <f t="shared" si="647"/>
        <v>7030.563869186808</v>
      </c>
    </row>
    <row r="2969" spans="2:13" ht="15" customHeight="1" x14ac:dyDescent="0.2">
      <c r="B2969" s="10" t="s">
        <v>906</v>
      </c>
      <c r="C2969" s="10" t="s">
        <v>110</v>
      </c>
      <c r="D2969" s="16">
        <f>MAX(D2968,Inputs!$D$6)*Inputs!$D$19</f>
        <v>290.76267260744288</v>
      </c>
      <c r="E2969" s="16">
        <f>MAX(E2968,Inputs!$D$6)*Inputs!$D$19</f>
        <v>1107.834734820819</v>
      </c>
      <c r="F2969" s="16">
        <f>MAX(F2968,Inputs!$D$6)*Inputs!$D$19</f>
        <v>1808.7688329754753</v>
      </c>
      <c r="G2969" s="16">
        <f>MAX(G2968,Inputs!$D$6)*Inputs!$D$19</f>
        <v>2109.1691607560424</v>
      </c>
      <c r="H2969" s="16">
        <f>MAX(H2968,Inputs!$D$6)*Inputs!$D$19</f>
        <v>2109.1691607560424</v>
      </c>
      <c r="I2969" s="16">
        <f>MAX(I2968,Inputs!$D$6)*Inputs!$D$19</f>
        <v>2109.1691607560424</v>
      </c>
      <c r="J2969" s="16">
        <f>MAX(J2968,Inputs!$D$6)*Inputs!$D$19</f>
        <v>2109.1691607560424</v>
      </c>
      <c r="K2969" s="16">
        <f>MAX(K2968,Inputs!$D$6)*Inputs!$D$19</f>
        <v>2109.1691607560424</v>
      </c>
      <c r="L2969" s="16">
        <f>MAX(L2968,Inputs!$D$6)*Inputs!$D$19</f>
        <v>2109.1691607560424</v>
      </c>
      <c r="M2969" s="16">
        <f>MAX(M2968,Inputs!$D$6)*Inputs!$D$19</f>
        <v>2109.1691607560424</v>
      </c>
    </row>
    <row r="2970" spans="2:13" ht="15" customHeight="1" x14ac:dyDescent="0.2">
      <c r="B2970" s="10" t="s">
        <v>907</v>
      </c>
      <c r="C2970" s="10" t="s">
        <v>110</v>
      </c>
      <c r="D2970" s="16">
        <f t="shared" ref="D2970:M2970" si="648">D2963*$D$2976</f>
        <v>179.90859147623158</v>
      </c>
      <c r="E2970" s="16">
        <f t="shared" si="648"/>
        <v>239.87812196830876</v>
      </c>
      <c r="F2970" s="16">
        <f t="shared" si="648"/>
        <v>179.90859147623158</v>
      </c>
      <c r="G2970" s="16">
        <f t="shared" si="648"/>
        <v>0</v>
      </c>
      <c r="H2970" s="16">
        <f t="shared" si="648"/>
        <v>0</v>
      </c>
      <c r="I2970" s="16">
        <f t="shared" si="648"/>
        <v>0</v>
      </c>
      <c r="J2970" s="16">
        <f t="shared" si="648"/>
        <v>0</v>
      </c>
      <c r="K2970" s="16">
        <f t="shared" si="648"/>
        <v>0</v>
      </c>
      <c r="L2970" s="16">
        <f t="shared" si="648"/>
        <v>0</v>
      </c>
      <c r="M2970" s="16">
        <f t="shared" si="648"/>
        <v>0</v>
      </c>
    </row>
    <row r="2971" spans="2:13" ht="15" customHeight="1" x14ac:dyDescent="0.2">
      <c r="B2971" s="10" t="s">
        <v>908</v>
      </c>
      <c r="C2971" s="10" t="s">
        <v>110</v>
      </c>
      <c r="D2971" s="16">
        <f t="shared" ref="D2971:M2971" si="649">D2967-D2969-D2961-D2962-D2970</f>
        <v>-13245.453689605909</v>
      </c>
      <c r="E2971" s="16">
        <f t="shared" si="649"/>
        <v>-11480.02418583156</v>
      </c>
      <c r="F2971" s="16">
        <f t="shared" si="649"/>
        <v>-217.41179833277491</v>
      </c>
      <c r="G2971" s="16">
        <f t="shared" si="649"/>
        <v>15463.597700561575</v>
      </c>
      <c r="H2971" s="16">
        <f t="shared" si="649"/>
        <v>3219.814327320466</v>
      </c>
      <c r="I2971" s="16">
        <f t="shared" si="649"/>
        <v>-1740.7817466156303</v>
      </c>
      <c r="J2971" s="16">
        <f t="shared" si="649"/>
        <v>3219.814327320466</v>
      </c>
      <c r="K2971" s="16">
        <f t="shared" si="649"/>
        <v>15463.597700561575</v>
      </c>
      <c r="L2971" s="16">
        <f t="shared" si="649"/>
        <v>3219.814327320466</v>
      </c>
      <c r="M2971" s="16">
        <f t="shared" si="649"/>
        <v>-1740.7817466156303</v>
      </c>
    </row>
    <row r="2972" spans="2:13" ht="15" customHeight="1" x14ac:dyDescent="0.2">
      <c r="B2972" s="10" t="s">
        <v>909</v>
      </c>
      <c r="C2972" s="10" t="s">
        <v>110</v>
      </c>
      <c r="D2972" s="16">
        <f>D2971/(Inputs!$D$7+$D$2978)^D2952</f>
        <v>-12536.691036632536</v>
      </c>
      <c r="E2972" s="16">
        <f>E2971/(Inputs!$D$7+$D$2978)^E2952</f>
        <v>-10059.27080615355</v>
      </c>
      <c r="F2972" s="16">
        <f>F2971/(Inputs!$D$7+$D$2978)^F2952</f>
        <v>-176.40298392387788</v>
      </c>
      <c r="G2972" s="16">
        <f>G2971/(Inputs!$D$7+$D$2978)^G2952</f>
        <v>11618.029722615514</v>
      </c>
      <c r="H2972" s="16">
        <f>H2971/(Inputs!$D$7+$D$2978)^H2952</f>
        <v>2240.019974345199</v>
      </c>
      <c r="I2972" s="16">
        <f>I2971/(Inputs!$D$7+$D$2978)^I2952</f>
        <v>-1121.1739515072002</v>
      </c>
      <c r="J2972" s="16">
        <f>J2971/(Inputs!$D$7+$D$2978)^J2952</f>
        <v>1920.2537653319455</v>
      </c>
      <c r="K2972" s="16">
        <f>K2971/(Inputs!$D$7+$D$2978)^K2952</f>
        <v>8539.5986767988998</v>
      </c>
      <c r="L2972" s="16">
        <f>L2971/(Inputs!$D$7+$D$2978)^L2952</f>
        <v>1646.4815520040665</v>
      </c>
      <c r="M2972" s="16">
        <f>M2971/(Inputs!$D$7+$D$2978)^M2952</f>
        <v>-824.09632453555514</v>
      </c>
    </row>
    <row r="2973" spans="2:13" ht="15" customHeight="1" x14ac:dyDescent="0.2">
      <c r="B2973" s="3" t="s">
        <v>910</v>
      </c>
      <c r="C2973" s="10" t="s">
        <v>896</v>
      </c>
      <c r="D2973" s="28">
        <f>(D2959*$D$2977-D2963)/(Inputs!$D$7+$D$2978)^D2952</f>
        <v>88.953332676903344</v>
      </c>
      <c r="E2973" s="28">
        <f>(E2959*$D$2977-E2963)/(Inputs!$D$7+$D$2978)^E2952</f>
        <v>327.84566575804018</v>
      </c>
      <c r="F2973" s="28">
        <f>(F2959*$D$2977-F2963)/(Inputs!$D$7+$D$2978)^F2952</f>
        <v>501.8469624505633</v>
      </c>
      <c r="G2973" s="28">
        <f>(G2959*$D$2977-G2963)/(Inputs!$D$7+$D$2978)^G2952</f>
        <v>547.55822194822701</v>
      </c>
      <c r="H2973" s="28">
        <f>(H2959*$D$2977-H2963)/(Inputs!$D$7+$D$2978)^H2952</f>
        <v>507.02506149209302</v>
      </c>
      <c r="I2973" s="28">
        <f>(I2959*$D$2977-I2963)/(Inputs!$D$7+$D$2978)^I2952</f>
        <v>469.39346500332312</v>
      </c>
      <c r="J2973" s="28">
        <f>(J2959*$D$2977-J2963)/(Inputs!$D$7+$D$2978)^J2952</f>
        <v>434.64647395943854</v>
      </c>
      <c r="K2973" s="28">
        <f>(K2959*$D$2977-K2963)/(Inputs!$D$7+$D$2978)^K2952</f>
        <v>402.47163927609296</v>
      </c>
      <c r="L2973" s="28">
        <f>(L2959*$D$2977-L2963)/(Inputs!$D$7+$D$2978)^L2952</f>
        <v>372.67855631264575</v>
      </c>
      <c r="M2973" s="28">
        <f>(M2959*$D$2977-M2963)/(Inputs!$D$7+$D$2978)^M2952</f>
        <v>345.01820948500972</v>
      </c>
    </row>
    <row r="2974" spans="2:13" ht="15" customHeight="1" x14ac:dyDescent="0.2">
      <c r="B2974" s="10" t="s">
        <v>911</v>
      </c>
      <c r="C2974" s="10" t="s">
        <v>110</v>
      </c>
      <c r="D2974" s="16">
        <f>(-D2961-D2962)/(Inputs!$D$7+$D$2978)^D2952</f>
        <v>-14728.303038392241</v>
      </c>
      <c r="E2974" s="16">
        <f>(-E2961-E2962)/(Inputs!$D$7+$D$2978)^E2952</f>
        <v>-18180.216908055725</v>
      </c>
      <c r="F2974" s="16">
        <f>(-F2961-F2962)/(Inputs!$D$7+$D$2978)^F2952</f>
        <v>-12625.815702688111</v>
      </c>
      <c r="G2974" s="16">
        <f>(-G2961-G2962)/(Inputs!$D$7+$D$2978)^G2952</f>
        <v>-1981.9720696655354</v>
      </c>
      <c r="H2974" s="16">
        <f>(-H2961-H2962)/(Inputs!$D$7+$D$2978)^H2952</f>
        <v>-10353.237634844469</v>
      </c>
      <c r="I2974" s="16">
        <f>(-I2961-I2962)/(Inputs!$D$7+$D$2978)^I2952</f>
        <v>-12779.755102232404</v>
      </c>
      <c r="J2974" s="16">
        <f>(-J2961-J2962)/(Inputs!$D$7+$D$2978)^J2952</f>
        <v>-8875.2974434962562</v>
      </c>
      <c r="K2974" s="16">
        <f>(-K2961-K2962)/(Inputs!$D$7+$D$2978)^K2952</f>
        <v>-1456.8086386129401</v>
      </c>
      <c r="L2974" s="16">
        <f>(-L2961-L2962)/(Inputs!$D$7+$D$2978)^L2952</f>
        <v>-7609.9387347064285</v>
      </c>
      <c r="M2974" s="16">
        <f>(-M2961-M2962)/(Inputs!$D$7+$D$2978)^M2952</f>
        <v>-9393.5015115686074</v>
      </c>
    </row>
    <row r="2975" spans="2:13" ht="15" customHeight="1" x14ac:dyDescent="0.2">
      <c r="B2975" s="10" t="s">
        <v>912</v>
      </c>
      <c r="C2975" s="10" t="s">
        <v>110</v>
      </c>
      <c r="D2975" s="16">
        <f>Prices!I8</f>
        <v>32775</v>
      </c>
    </row>
    <row r="2976" spans="2:13" ht="15" customHeight="1" x14ac:dyDescent="0.2">
      <c r="B2976" s="3" t="s">
        <v>913</v>
      </c>
      <c r="C2976" s="10" t="s">
        <v>914</v>
      </c>
      <c r="D2976" s="28">
        <f>IF(J2983&gt;=J2979,J2983,(D2975-J2982)/J2981)</f>
        <v>27.731574794024134</v>
      </c>
      <c r="G2976" s="99" t="s">
        <v>915</v>
      </c>
      <c r="H2976" s="91"/>
      <c r="I2976" s="91"/>
      <c r="J2976" s="28">
        <f>D2976*Inputs!$D$15</f>
        <v>19.353866048749442</v>
      </c>
      <c r="K2976" s="99" t="s">
        <v>916</v>
      </c>
      <c r="L2976" s="91"/>
      <c r="M2976" s="91"/>
    </row>
    <row r="2977" spans="2:13" ht="15" customHeight="1" x14ac:dyDescent="0.2">
      <c r="B2977" s="10" t="s">
        <v>917</v>
      </c>
      <c r="C2977" s="10" t="s">
        <v>104</v>
      </c>
      <c r="D2977" s="30">
        <f>Inputs!$D$144</f>
        <v>0.8</v>
      </c>
      <c r="G2977" s="99" t="s">
        <v>918</v>
      </c>
      <c r="H2977" s="91"/>
      <c r="I2977" s="91"/>
      <c r="J2977" s="28">
        <f>IF(-D2988/D2987&gt;=J2979,-D2988/D2987,-J2982/J2981)</f>
        <v>23.234783111121249</v>
      </c>
      <c r="K2977" s="99" t="s">
        <v>919</v>
      </c>
      <c r="L2977" s="91"/>
      <c r="M2977" s="91"/>
    </row>
    <row r="2978" spans="2:13" ht="15" customHeight="1" x14ac:dyDescent="0.2">
      <c r="B2978" s="10" t="s">
        <v>920</v>
      </c>
      <c r="C2978" s="10" t="s">
        <v>104</v>
      </c>
      <c r="D2978" s="30">
        <f>Inputs!$D$146</f>
        <v>0.08</v>
      </c>
      <c r="G2978" s="99" t="s">
        <v>918</v>
      </c>
      <c r="H2978" s="91"/>
      <c r="I2978" s="91"/>
      <c r="J2978" s="28">
        <f>J2977*Inputs!$D$15</f>
        <v>16.21555513325152</v>
      </c>
      <c r="K2978" s="99" t="s">
        <v>916</v>
      </c>
      <c r="L2978" s="91"/>
      <c r="M2978" s="91"/>
    </row>
    <row r="2979" spans="2:13" ht="15" customHeight="1" x14ac:dyDescent="0.2">
      <c r="B2979" s="3" t="s">
        <v>921</v>
      </c>
      <c r="C2979" s="10" t="s">
        <v>848</v>
      </c>
      <c r="D2979" s="28">
        <f>Capital!$D$13</f>
        <v>57.347931490590682</v>
      </c>
      <c r="G2979" s="99" t="s">
        <v>922</v>
      </c>
      <c r="H2979" s="91"/>
      <c r="I2979" s="91"/>
      <c r="J2979" s="28">
        <f>($D$2979/Inputs!$D$21+$D$2980/Inputs!$D$22)/$D$2977</f>
        <v>18.084807684821598</v>
      </c>
      <c r="K2979" s="99" t="s">
        <v>919</v>
      </c>
      <c r="L2979" s="91"/>
      <c r="M2979" s="91"/>
    </row>
    <row r="2980" spans="2:13" ht="15" customHeight="1" x14ac:dyDescent="0.2">
      <c r="B2980" s="3" t="s">
        <v>923</v>
      </c>
      <c r="C2980" s="10" t="s">
        <v>848</v>
      </c>
      <c r="D2980" s="28">
        <f>Capital!$D$14</f>
        <v>2.6172655041921802</v>
      </c>
    </row>
    <row r="2981" spans="2:13" ht="15" customHeight="1" x14ac:dyDescent="0.2">
      <c r="B2981" s="10" t="s">
        <v>924</v>
      </c>
      <c r="C2981" s="10" t="s">
        <v>896</v>
      </c>
      <c r="D2981" s="28">
        <f>(M2954*(Inputs!$D$7+Inputs!$D$20)*$D$2977*(Inputs!$D$7-Inputs!$D$19)-M2954*Inputs!$D$20*Inputs!$D$23)/($D$2978-Inputs!$D$20)/(Inputs!$D$7+$D$2978)^M2952</f>
        <v>4496.0185423515322</v>
      </c>
      <c r="G2981" s="92" t="s">
        <v>910</v>
      </c>
      <c r="H2981" s="91"/>
      <c r="I2981" s="91"/>
      <c r="J2981" s="28">
        <f>SUM(D2973:M2973)+(M2954*(Inputs!$D$7+Inputs!$D$20)*$D$2977-M2954*Inputs!$D$20*Inputs!$D$23)/($D$2978-Inputs!$D$20)/(Inputs!$D$7+$D$2978)^M2952</f>
        <v>10422.421574652788</v>
      </c>
      <c r="K2981" s="99" t="s">
        <v>896</v>
      </c>
      <c r="L2981" s="91"/>
      <c r="M2981" s="91"/>
    </row>
    <row r="2982" spans="2:13" ht="15" customHeight="1" x14ac:dyDescent="0.2">
      <c r="B2982" s="10" t="s">
        <v>925</v>
      </c>
      <c r="C2982" s="10" t="s">
        <v>110</v>
      </c>
      <c r="D2982" s="16">
        <f>(D2985*Inputs!$D$19-D2985-D2986)/($D$2978-Inputs!$D$20)/(Inputs!$D$7+$D$2978)^M2952</f>
        <v>-93153.423070883771</v>
      </c>
      <c r="G2982" s="92" t="s">
        <v>926</v>
      </c>
      <c r="H2982" s="91"/>
      <c r="I2982" s="91"/>
      <c r="J2982" s="16">
        <f>SUM(D2974:M2974)-(D2985+D2986)/($D$2978-Inputs!$D$20)/(Inputs!$D$7+$D$2978)^M2952</f>
        <v>-226023.23893944838</v>
      </c>
      <c r="K2982" s="99" t="s">
        <v>110</v>
      </c>
      <c r="L2982" s="91"/>
      <c r="M2982" s="91"/>
    </row>
    <row r="2983" spans="2:13" ht="15" customHeight="1" x14ac:dyDescent="0.2">
      <c r="B2983" s="10" t="s">
        <v>927</v>
      </c>
      <c r="C2983" s="10" t="s">
        <v>928</v>
      </c>
      <c r="D2983" s="16">
        <f>(M2954*(Inputs!$D$7+Inputs!$D$20)*$D$2976*$D$2977-D2985)-MAX((M2954*(Inputs!$D$7+Inputs!$D$20)*$D$2976*$D$2977-D2985),Inputs!$D$6)*Inputs!$D$19-D2986-M2954*Inputs!$D$20*$D$2976*Inputs!$D$23</f>
        <v>3662.9325491870068</v>
      </c>
      <c r="G2983" s="99" t="s">
        <v>929</v>
      </c>
      <c r="H2983" s="91"/>
      <c r="I2983" s="91"/>
      <c r="J2983" s="28">
        <f>(D2975-D2988)/D2987</f>
        <v>27.731574794024134</v>
      </c>
      <c r="K2983" s="99" t="s">
        <v>919</v>
      </c>
      <c r="L2983" s="91"/>
      <c r="M2983" s="91"/>
    </row>
    <row r="2984" spans="2:13" ht="15" customHeight="1" x14ac:dyDescent="0.2">
      <c r="B2984" s="10" t="s">
        <v>930</v>
      </c>
      <c r="C2984" s="10" t="s">
        <v>110</v>
      </c>
      <c r="D2984" s="16">
        <f>D2983/($D$2978-Inputs!$D$20)</f>
        <v>66598.773621581946</v>
      </c>
      <c r="G2984" s="99" t="s">
        <v>931</v>
      </c>
      <c r="H2984" s="91"/>
      <c r="I2984" s="91"/>
      <c r="J2984" s="16">
        <f>MIN(D2968:M2968,(M2954*(Inputs!$D$7+Inputs!$D$20)*$D$2976*$D$2977-D2985))</f>
        <v>969.20890869147638</v>
      </c>
      <c r="K2984" s="99" t="s">
        <v>110</v>
      </c>
      <c r="L2984" s="91"/>
      <c r="M2984" s="91"/>
    </row>
    <row r="2985" spans="2:13" ht="15" customHeight="1" x14ac:dyDescent="0.2">
      <c r="B2985" s="10" t="s">
        <v>932</v>
      </c>
      <c r="C2985" s="10" t="s">
        <v>928</v>
      </c>
      <c r="D2985" s="16">
        <f>M2954*(Inputs!$D$7+Inputs!$D$20)*($D$2979/Inputs!$D$21+$D$2980/Inputs!$D$22)</f>
        <v>13509.71303671543</v>
      </c>
      <c r="G2985" s="99" t="s">
        <v>933</v>
      </c>
      <c r="H2985" s="91"/>
      <c r="I2985" s="91"/>
      <c r="J2985" s="31" t="str">
        <f>IF(J2984&lt;Inputs!$D$6,"breached","satisfied")</f>
        <v>satisfied</v>
      </c>
      <c r="K2985" s="99" t="s">
        <v>934</v>
      </c>
      <c r="L2985" s="91"/>
      <c r="M2985" s="91"/>
    </row>
    <row r="2986" spans="2:13" ht="15" customHeight="1" x14ac:dyDescent="0.2">
      <c r="B2986" s="10" t="s">
        <v>935</v>
      </c>
      <c r="C2986" s="10" t="s">
        <v>928</v>
      </c>
      <c r="D2986" s="16">
        <f>M2954*Inputs!$D$20*($D$2979+$D$2980)</f>
        <v>1365.7073615561799</v>
      </c>
    </row>
    <row r="2987" spans="2:13" ht="15" customHeight="1" x14ac:dyDescent="0.2">
      <c r="B2987" s="10" t="s">
        <v>936</v>
      </c>
      <c r="C2987" s="10" t="s">
        <v>896</v>
      </c>
      <c r="D2987" s="28">
        <f>SUM(D2964:M2964)+D2981</f>
        <v>7288.5297588084459</v>
      </c>
      <c r="G2987" s="99" t="s">
        <v>937</v>
      </c>
      <c r="H2987" s="91"/>
      <c r="I2987" s="91"/>
      <c r="J2987" s="16">
        <f>D2989-D2975</f>
        <v>0</v>
      </c>
      <c r="K2987" s="99" t="s">
        <v>110</v>
      </c>
      <c r="L2987" s="91"/>
      <c r="M2987" s="91"/>
    </row>
    <row r="2988" spans="2:13" ht="15" customHeight="1" x14ac:dyDescent="0.2">
      <c r="B2988" s="10" t="s">
        <v>938</v>
      </c>
      <c r="C2988" s="10" t="s">
        <v>110</v>
      </c>
      <c r="D2988" s="16">
        <f>SUM(D2965:M2965)+D2982</f>
        <v>-169347.40814486711</v>
      </c>
    </row>
    <row r="2989" spans="2:13" ht="15" customHeight="1" x14ac:dyDescent="0.2">
      <c r="B2989" s="10" t="s">
        <v>939</v>
      </c>
      <c r="C2989" s="10" t="s">
        <v>110</v>
      </c>
      <c r="D2989" s="16">
        <f>SUM(D2972:M2972)+D2984/(Inputs!$D$7+$D$2978)^M2952</f>
        <v>32775.000000000007</v>
      </c>
    </row>
    <row r="2990" spans="2:13" ht="15" customHeight="1" x14ac:dyDescent="0.2">
      <c r="B2990" s="10" t="s">
        <v>940</v>
      </c>
      <c r="C2990" s="10" t="s">
        <v>104</v>
      </c>
      <c r="D2990" s="30">
        <f>IF(ABS(D2975)&gt;Inputs!$D$6,D2989/D2975-Inputs!$D$7,Inputs!$D$6)</f>
        <v>2.2204460492503131E-16</v>
      </c>
    </row>
    <row r="2991" spans="2:13" ht="15" customHeight="1" x14ac:dyDescent="0.2">
      <c r="B2991" s="10" t="s">
        <v>941</v>
      </c>
      <c r="C2991" s="10" t="s">
        <v>104</v>
      </c>
      <c r="D2991" s="30">
        <f>IF(ABS(D2989)&gt;Inputs!$D$119,D2984/(Inputs!$D$7+$D$2978)^M2952/D2989,Inputs!$D$6)</f>
        <v>0.96196037869281759</v>
      </c>
    </row>
    <row r="2992" spans="2:13" ht="15" customHeight="1" x14ac:dyDescent="0.2">
      <c r="B2992" s="10" t="s">
        <v>942</v>
      </c>
      <c r="C2992" s="10" t="s">
        <v>943</v>
      </c>
      <c r="D2992" s="26">
        <f>$D$2976*Inputs!$D$8/Prices!$P$6/(Inputs!$D$26/Inputs!$D$25)/Inputs!$D$11/Inputs!$D$56</f>
        <v>5.0430711115711029</v>
      </c>
    </row>
    <row r="2996" spans="1:13" ht="15" customHeight="1" x14ac:dyDescent="0.2">
      <c r="A2996" s="104" t="s">
        <v>2230</v>
      </c>
      <c r="B2996" s="10" t="s">
        <v>886</v>
      </c>
      <c r="C2996" s="10" t="s">
        <v>107</v>
      </c>
      <c r="D2996" s="28">
        <f>Inputs!$D$60</f>
        <v>1</v>
      </c>
      <c r="E2996" s="28">
        <f>Inputs!$D$62</f>
        <v>2</v>
      </c>
      <c r="F2996" s="28">
        <f>Inputs!$D$64</f>
        <v>3</v>
      </c>
      <c r="G2996" s="28">
        <f>Inputs!$D$66</f>
        <v>4</v>
      </c>
      <c r="H2996" s="28">
        <f>Inputs!$D$68</f>
        <v>5</v>
      </c>
      <c r="I2996" s="28">
        <f>Inputs!$D$70</f>
        <v>6</v>
      </c>
      <c r="J2996" s="28">
        <f>Inputs!$D$72</f>
        <v>7</v>
      </c>
      <c r="K2996" s="28">
        <f>Inputs!$D$74</f>
        <v>8</v>
      </c>
      <c r="L2996" s="28">
        <f>Inputs!$D$76</f>
        <v>9</v>
      </c>
      <c r="M2996" s="28">
        <f>Inputs!$D$78</f>
        <v>10</v>
      </c>
    </row>
    <row r="2997" spans="1:13" ht="15" customHeight="1" x14ac:dyDescent="0.2">
      <c r="A2997" s="91"/>
      <c r="B2997" s="10" t="s">
        <v>887</v>
      </c>
      <c r="C2997" s="10" t="s">
        <v>161</v>
      </c>
      <c r="D2997" s="29">
        <f>Inputs!$D$61</f>
        <v>46568</v>
      </c>
      <c r="E2997" s="29">
        <f>Inputs!$D$63</f>
        <v>46934</v>
      </c>
      <c r="F2997" s="29">
        <f>Inputs!$D$65</f>
        <v>47299</v>
      </c>
      <c r="G2997" s="29">
        <f>Inputs!$D$67</f>
        <v>47664</v>
      </c>
      <c r="H2997" s="29">
        <f>Inputs!$D$69</f>
        <v>48029</v>
      </c>
      <c r="I2997" s="29">
        <f>Inputs!$D$71</f>
        <v>48395</v>
      </c>
      <c r="J2997" s="29">
        <f>Inputs!$D$73</f>
        <v>48760</v>
      </c>
      <c r="K2997" s="29">
        <f>Inputs!$D$75</f>
        <v>49125</v>
      </c>
      <c r="L2997" s="29">
        <f>Inputs!$D$77</f>
        <v>49490</v>
      </c>
      <c r="M2997" s="29">
        <f>Inputs!$D$79</f>
        <v>49856</v>
      </c>
    </row>
    <row r="2998" spans="1:13" ht="15" customHeight="1" x14ac:dyDescent="0.2">
      <c r="A2998" s="91"/>
      <c r="B2998" s="10" t="s">
        <v>888</v>
      </c>
      <c r="C2998" s="10" t="s">
        <v>107</v>
      </c>
      <c r="D2998" s="28">
        <f>(D2997-Inputs!$D$13)/Inputs!$D$10</f>
        <v>0.71457905544147848</v>
      </c>
      <c r="E2998" s="28">
        <f>(E2997-Inputs!$D$13)/Inputs!$D$10</f>
        <v>1.7166324435318274</v>
      </c>
      <c r="F2998" s="28">
        <f>(F2997-Inputs!$D$13)/Inputs!$D$10</f>
        <v>2.7159479808350446</v>
      </c>
      <c r="G2998" s="28">
        <f>(G2997-Inputs!$D$13)/Inputs!$D$10</f>
        <v>3.7152635181382614</v>
      </c>
      <c r="H2998" s="28">
        <f>(H2997-Inputs!$D$13)/Inputs!$D$10</f>
        <v>4.7145790554414786</v>
      </c>
      <c r="I2998" s="28">
        <f>(I2997-Inputs!$D$13)/Inputs!$D$10</f>
        <v>5.7166324435318279</v>
      </c>
      <c r="J2998" s="28">
        <f>(J2997-Inputs!$D$13)/Inputs!$D$10</f>
        <v>6.7159479808350442</v>
      </c>
      <c r="K2998" s="28">
        <f>(K2997-Inputs!$D$13)/Inputs!$D$10</f>
        <v>7.7152635181382614</v>
      </c>
      <c r="L2998" s="28">
        <f>(L2997-Inputs!$D$13)/Inputs!$D$10</f>
        <v>8.7145790554414777</v>
      </c>
      <c r="M2998" s="28">
        <f>(M2997-Inputs!$D$13)/Inputs!$D$10</f>
        <v>9.716632443531827</v>
      </c>
    </row>
    <row r="2999" spans="1:13" ht="15" customHeight="1" x14ac:dyDescent="0.2">
      <c r="A2999" s="91"/>
      <c r="B2999" s="10" t="s">
        <v>889</v>
      </c>
      <c r="C2999" s="10" t="s">
        <v>107</v>
      </c>
      <c r="D2999" s="28">
        <f>D2998</f>
        <v>0.71457905544147848</v>
      </c>
      <c r="E2999" s="28">
        <f>Inputs!$D$7</f>
        <v>1</v>
      </c>
      <c r="F2999" s="28">
        <f>Inputs!$D$7</f>
        <v>1</v>
      </c>
      <c r="G2999" s="28">
        <f>Inputs!$D$7</f>
        <v>1</v>
      </c>
      <c r="H2999" s="28">
        <f>Inputs!$D$7</f>
        <v>1</v>
      </c>
      <c r="I2999" s="28">
        <f>Inputs!$D$7</f>
        <v>1</v>
      </c>
      <c r="J2999" s="28">
        <f>Inputs!$D$7</f>
        <v>1</v>
      </c>
      <c r="K2999" s="28">
        <f>Inputs!$D$7</f>
        <v>1</v>
      </c>
      <c r="L2999" s="28">
        <f>Inputs!$D$7</f>
        <v>1</v>
      </c>
      <c r="M2999" s="28">
        <f>Inputs!$D$7</f>
        <v>1</v>
      </c>
    </row>
    <row r="3000" spans="1:13" ht="15" customHeight="1" x14ac:dyDescent="0.2">
      <c r="A3000" s="91"/>
      <c r="B3000" s="3" t="s">
        <v>890</v>
      </c>
      <c r="C3000" s="10" t="s">
        <v>199</v>
      </c>
      <c r="D3000" s="28">
        <f>Inputs!$D$24+(Inputs!$D$80-Inputs!$D$24)*Inputs!$D$83</f>
        <v>305.5</v>
      </c>
      <c r="E3000" s="28">
        <f>Inputs!$D$24+(Inputs!$D$80-Inputs!$D$24)*Inputs!$D$84</f>
        <v>651.5</v>
      </c>
      <c r="F3000" s="28">
        <f>Inputs!$D$24+(Inputs!$D$80-Inputs!$D$24)*Inputs!$D$85</f>
        <v>911</v>
      </c>
      <c r="G3000" s="28">
        <f>Inputs!$D$24+(Inputs!$D$80-Inputs!$D$24)*Inputs!$D$86</f>
        <v>911</v>
      </c>
      <c r="H3000" s="28">
        <f>Inputs!$D$24+(Inputs!$D$80-Inputs!$D$24)*Inputs!$D$87</f>
        <v>911</v>
      </c>
      <c r="I3000" s="28">
        <f>Inputs!$D$24+(Inputs!$D$80-Inputs!$D$24)*Inputs!$D$88</f>
        <v>911</v>
      </c>
      <c r="J3000" s="28">
        <f>Inputs!$D$24+(Inputs!$D$80-Inputs!$D$24)*Inputs!$D$89</f>
        <v>911</v>
      </c>
      <c r="K3000" s="28">
        <f>Inputs!$D$24+(Inputs!$D$80-Inputs!$D$24)*Inputs!$D$90</f>
        <v>911</v>
      </c>
      <c r="L3000" s="28">
        <f>Inputs!$D$24+(Inputs!$D$80-Inputs!$D$24)*Inputs!$D$91</f>
        <v>911</v>
      </c>
      <c r="M3000" s="28">
        <f>Inputs!$D$24+(Inputs!$D$80-Inputs!$D$24)*Inputs!$D$92</f>
        <v>911</v>
      </c>
    </row>
    <row r="3001" spans="1:13" ht="15" customHeight="1" x14ac:dyDescent="0.2">
      <c r="A3001" s="91"/>
      <c r="B3001" s="10" t="s">
        <v>891</v>
      </c>
      <c r="C3001" s="10" t="s">
        <v>199</v>
      </c>
      <c r="D3001" s="28">
        <f>Inputs!$D$24</f>
        <v>46</v>
      </c>
      <c r="E3001" s="28">
        <f t="shared" ref="E3001:M3001" si="650">D3000</f>
        <v>305.5</v>
      </c>
      <c r="F3001" s="28">
        <f t="shared" si="650"/>
        <v>651.5</v>
      </c>
      <c r="G3001" s="28">
        <f t="shared" si="650"/>
        <v>911</v>
      </c>
      <c r="H3001" s="28">
        <f t="shared" si="650"/>
        <v>911</v>
      </c>
      <c r="I3001" s="28">
        <f t="shared" si="650"/>
        <v>911</v>
      </c>
      <c r="J3001" s="28">
        <f t="shared" si="650"/>
        <v>911</v>
      </c>
      <c r="K3001" s="28">
        <f t="shared" si="650"/>
        <v>911</v>
      </c>
      <c r="L3001" s="28">
        <f t="shared" si="650"/>
        <v>911</v>
      </c>
      <c r="M3001" s="28">
        <f t="shared" si="650"/>
        <v>911</v>
      </c>
    </row>
    <row r="3002" spans="1:13" ht="15" customHeight="1" x14ac:dyDescent="0.2">
      <c r="B3002" s="10" t="s">
        <v>892</v>
      </c>
      <c r="C3002" s="10" t="s">
        <v>199</v>
      </c>
      <c r="D3002" s="28">
        <f>(D3001+D3000)*Inputs!$D$12</f>
        <v>175.75</v>
      </c>
      <c r="E3002" s="28">
        <f>(E3001+E3000)*Inputs!$D$12</f>
        <v>478.5</v>
      </c>
      <c r="F3002" s="28">
        <f>(F3001+F3000)*Inputs!$D$12</f>
        <v>781.25</v>
      </c>
      <c r="G3002" s="28">
        <f>(G3001+G3000)*Inputs!$D$12</f>
        <v>911</v>
      </c>
      <c r="H3002" s="28">
        <f>(H3001+H3000)*Inputs!$D$12</f>
        <v>911</v>
      </c>
      <c r="I3002" s="28">
        <f>(I3001+I3000)*Inputs!$D$12</f>
        <v>911</v>
      </c>
      <c r="J3002" s="28">
        <f>(J3001+J3000)*Inputs!$D$12</f>
        <v>911</v>
      </c>
      <c r="K3002" s="28">
        <f>(K3001+K3000)*Inputs!$D$12</f>
        <v>911</v>
      </c>
      <c r="L3002" s="28">
        <f>(L3001+L3000)*Inputs!$D$12</f>
        <v>911</v>
      </c>
      <c r="M3002" s="28">
        <f>(M3001+M3000)*Inputs!$D$12</f>
        <v>911</v>
      </c>
    </row>
    <row r="3003" spans="1:13" ht="15" customHeight="1" x14ac:dyDescent="0.2">
      <c r="B3003" s="10" t="s">
        <v>893</v>
      </c>
      <c r="C3003" s="10" t="s">
        <v>199</v>
      </c>
      <c r="D3003" s="28">
        <f t="shared" ref="D3003:M3003" si="651">D3000-D3001</f>
        <v>259.5</v>
      </c>
      <c r="E3003" s="28">
        <f t="shared" si="651"/>
        <v>346</v>
      </c>
      <c r="F3003" s="28">
        <f t="shared" si="651"/>
        <v>259.5</v>
      </c>
      <c r="G3003" s="28">
        <f t="shared" si="651"/>
        <v>0</v>
      </c>
      <c r="H3003" s="28">
        <f t="shared" si="651"/>
        <v>0</v>
      </c>
      <c r="I3003" s="28">
        <f t="shared" si="651"/>
        <v>0</v>
      </c>
      <c r="J3003" s="28">
        <f t="shared" si="651"/>
        <v>0</v>
      </c>
      <c r="K3003" s="28">
        <f t="shared" si="651"/>
        <v>0</v>
      </c>
      <c r="L3003" s="28">
        <f t="shared" si="651"/>
        <v>0</v>
      </c>
      <c r="M3003" s="28">
        <f t="shared" si="651"/>
        <v>0</v>
      </c>
    </row>
    <row r="3004" spans="1:13" ht="15" customHeight="1" x14ac:dyDescent="0.2">
      <c r="B3004" s="10" t="s">
        <v>894</v>
      </c>
      <c r="C3004" s="10" t="s">
        <v>199</v>
      </c>
      <c r="D3004" s="28">
        <f>IF(MOD(D2996,Inputs!$D$21)=Inputs!$D$6,Inputs!$D$24,Inputs!$D$6)+SUMPRODUCT(--(D2996&gt;$D$2996:$M$2996),--(MOD(D2996-$D$2996:$M$2996,Inputs!$D$21)=Inputs!$D$6),$D$3003:$M$3003)</f>
        <v>0</v>
      </c>
      <c r="E3004" s="28">
        <f>IF(MOD(E2996,Inputs!$D$21)=Inputs!$D$6,Inputs!$D$24,Inputs!$D$6)+SUMPRODUCT(--(E2996&gt;$D$2996:$M$2996),--(MOD(E2996-$D$2996:$M$2996,Inputs!$D$21)=Inputs!$D$6),$D$3003:$M$3003)</f>
        <v>0</v>
      </c>
      <c r="F3004" s="28">
        <f>IF(MOD(F2996,Inputs!$D$21)=Inputs!$D$6,Inputs!$D$24,Inputs!$D$6)+SUMPRODUCT(--(F2996&gt;$D$2996:$M$2996),--(MOD(F2996-$D$2996:$M$2996,Inputs!$D$21)=Inputs!$D$6),$D$3003:$M$3003)</f>
        <v>0</v>
      </c>
      <c r="G3004" s="28">
        <f>IF(MOD(G2996,Inputs!$D$21)=Inputs!$D$6,Inputs!$D$24,Inputs!$D$6)+SUMPRODUCT(--(G2996&gt;$D$2996:$M$2996),--(MOD(G2996-$D$2996:$M$2996,Inputs!$D$21)=Inputs!$D$6),$D$3003:$M$3003)</f>
        <v>46</v>
      </c>
      <c r="H3004" s="28">
        <f>IF(MOD(H2996,Inputs!$D$21)=Inputs!$D$6,Inputs!$D$24,Inputs!$D$6)+SUMPRODUCT(--(H2996&gt;$D$2996:$M$2996),--(MOD(H2996-$D$2996:$M$2996,Inputs!$D$21)=Inputs!$D$6),$D$3003:$M$3003)</f>
        <v>259.5</v>
      </c>
      <c r="I3004" s="28">
        <f>IF(MOD(I2996,Inputs!$D$21)=Inputs!$D$6,Inputs!$D$24,Inputs!$D$6)+SUMPRODUCT(--(I2996&gt;$D$2996:$M$2996),--(MOD(I2996-$D$2996:$M$2996,Inputs!$D$21)=Inputs!$D$6),$D$3003:$M$3003)</f>
        <v>346</v>
      </c>
      <c r="J3004" s="28">
        <f>IF(MOD(J2996,Inputs!$D$21)=Inputs!$D$6,Inputs!$D$24,Inputs!$D$6)+SUMPRODUCT(--(J2996&gt;$D$2996:$M$2996),--(MOD(J2996-$D$2996:$M$2996,Inputs!$D$21)=Inputs!$D$6),$D$3003:$M$3003)</f>
        <v>259.5</v>
      </c>
      <c r="K3004" s="28">
        <f>IF(MOD(K2996,Inputs!$D$21)=Inputs!$D$6,Inputs!$D$24,Inputs!$D$6)+SUMPRODUCT(--(K2996&gt;$D$2996:$M$2996),--(MOD(K2996-$D$2996:$M$2996,Inputs!$D$21)=Inputs!$D$6),$D$3003:$M$3003)</f>
        <v>46</v>
      </c>
      <c r="L3004" s="28">
        <f>IF(MOD(L2996,Inputs!$D$21)=Inputs!$D$6,Inputs!$D$24,Inputs!$D$6)+SUMPRODUCT(--(L2996&gt;$D$2996:$M$2996),--(MOD(L2996-$D$2996:$M$2996,Inputs!$D$21)=Inputs!$D$6),$D$3003:$M$3003)</f>
        <v>259.5</v>
      </c>
      <c r="M3004" s="28">
        <f>IF(MOD(M2996,Inputs!$D$21)=Inputs!$D$6,Inputs!$D$24,Inputs!$D$6)+SUMPRODUCT(--(M2996&gt;$D$2996:$M$2996),--(MOD(M2996-$D$2996:$M$2996,Inputs!$D$21)=Inputs!$D$6),$D$3003:$M$3003)</f>
        <v>346</v>
      </c>
    </row>
    <row r="3005" spans="1:13" ht="15" customHeight="1" x14ac:dyDescent="0.2">
      <c r="B3005" s="10" t="s">
        <v>895</v>
      </c>
      <c r="C3005" s="10" t="s">
        <v>896</v>
      </c>
      <c r="D3005" s="28">
        <f t="shared" ref="D3005:M3005" si="652">D3002*D2999</f>
        <v>125.58726899383984</v>
      </c>
      <c r="E3005" s="28">
        <f t="shared" si="652"/>
        <v>478.5</v>
      </c>
      <c r="F3005" s="28">
        <f t="shared" si="652"/>
        <v>781.25</v>
      </c>
      <c r="G3005" s="28">
        <f t="shared" si="652"/>
        <v>911</v>
      </c>
      <c r="H3005" s="28">
        <f t="shared" si="652"/>
        <v>911</v>
      </c>
      <c r="I3005" s="28">
        <f t="shared" si="652"/>
        <v>911</v>
      </c>
      <c r="J3005" s="28">
        <f t="shared" si="652"/>
        <v>911</v>
      </c>
      <c r="K3005" s="28">
        <f t="shared" si="652"/>
        <v>911</v>
      </c>
      <c r="L3005" s="28">
        <f t="shared" si="652"/>
        <v>911</v>
      </c>
      <c r="M3005" s="28">
        <f t="shared" si="652"/>
        <v>911</v>
      </c>
    </row>
    <row r="3006" spans="1:13" ht="15" customHeight="1" x14ac:dyDescent="0.2">
      <c r="B3006" s="10" t="s">
        <v>897</v>
      </c>
      <c r="C3006" s="10" t="s">
        <v>110</v>
      </c>
      <c r="D3006" s="16">
        <f>D3005*($D$3025/Inputs!$D$21+$D$3026/Inputs!$D$22)</f>
        <v>1816.9772859324419</v>
      </c>
      <c r="E3006" s="16">
        <f>E3005*($D$3025/Inputs!$D$21+$D$3026/Inputs!$D$22)</f>
        <v>6922.8643817497086</v>
      </c>
      <c r="F3006" s="16">
        <f>F3005*($D$3025/Inputs!$D$21+$D$3026/Inputs!$D$22)</f>
        <v>11303.0048030135</v>
      </c>
      <c r="G3006" s="16">
        <f>G3005*($D$3025/Inputs!$D$21+$D$3026/Inputs!$D$22)</f>
        <v>13180.207840697982</v>
      </c>
      <c r="H3006" s="16">
        <f>H3005*($D$3025/Inputs!$D$21+$D$3026/Inputs!$D$22)</f>
        <v>13180.207840697982</v>
      </c>
      <c r="I3006" s="16">
        <f>I3005*($D$3025/Inputs!$D$21+$D$3026/Inputs!$D$22)</f>
        <v>13180.207840697982</v>
      </c>
      <c r="J3006" s="16">
        <f>J3005*($D$3025/Inputs!$D$21+$D$3026/Inputs!$D$22)</f>
        <v>13180.207840697982</v>
      </c>
      <c r="K3006" s="16">
        <f>K3005*($D$3025/Inputs!$D$21+$D$3026/Inputs!$D$22)</f>
        <v>13180.207840697982</v>
      </c>
      <c r="L3006" s="16">
        <f>L3005*($D$3025/Inputs!$D$21+$D$3026/Inputs!$D$22)</f>
        <v>13180.207840697982</v>
      </c>
      <c r="M3006" s="16">
        <f>M3005*($D$3025/Inputs!$D$21+$D$3026/Inputs!$D$22)</f>
        <v>13180.207840697982</v>
      </c>
    </row>
    <row r="3007" spans="1:13" ht="15" customHeight="1" x14ac:dyDescent="0.2">
      <c r="B3007" s="10" t="s">
        <v>898</v>
      </c>
      <c r="C3007" s="10" t="s">
        <v>110</v>
      </c>
      <c r="D3007" s="16">
        <f t="shared" ref="D3007:M3007" si="653">D3003*($D$3025+$D$3026)</f>
        <v>15560.968620146154</v>
      </c>
      <c r="E3007" s="16">
        <f t="shared" si="653"/>
        <v>20747.95816019487</v>
      </c>
      <c r="F3007" s="16">
        <f t="shared" si="653"/>
        <v>15560.968620146154</v>
      </c>
      <c r="G3007" s="16">
        <f t="shared" si="653"/>
        <v>0</v>
      </c>
      <c r="H3007" s="16">
        <f t="shared" si="653"/>
        <v>0</v>
      </c>
      <c r="I3007" s="16">
        <f t="shared" si="653"/>
        <v>0</v>
      </c>
      <c r="J3007" s="16">
        <f t="shared" si="653"/>
        <v>0</v>
      </c>
      <c r="K3007" s="16">
        <f t="shared" si="653"/>
        <v>0</v>
      </c>
      <c r="L3007" s="16">
        <f t="shared" si="653"/>
        <v>0</v>
      </c>
      <c r="M3007" s="16">
        <f t="shared" si="653"/>
        <v>0</v>
      </c>
    </row>
    <row r="3008" spans="1:13" ht="15" customHeight="1" x14ac:dyDescent="0.2">
      <c r="B3008" s="10" t="s">
        <v>899</v>
      </c>
      <c r="C3008" s="10" t="s">
        <v>110</v>
      </c>
      <c r="D3008" s="16">
        <f t="shared" ref="D3008:M3008" si="654">D3004*$D$3025</f>
        <v>0</v>
      </c>
      <c r="E3008" s="16">
        <f t="shared" si="654"/>
        <v>0</v>
      </c>
      <c r="F3008" s="16">
        <f t="shared" si="654"/>
        <v>0</v>
      </c>
      <c r="G3008" s="16">
        <f t="shared" si="654"/>
        <v>2638.0048485671714</v>
      </c>
      <c r="H3008" s="16">
        <f t="shared" si="654"/>
        <v>14881.788221808281</v>
      </c>
      <c r="I3008" s="16">
        <f t="shared" si="654"/>
        <v>19842.384295744378</v>
      </c>
      <c r="J3008" s="16">
        <f t="shared" si="654"/>
        <v>14881.788221808281</v>
      </c>
      <c r="K3008" s="16">
        <f t="shared" si="654"/>
        <v>2638.0048485671714</v>
      </c>
      <c r="L3008" s="16">
        <f t="shared" si="654"/>
        <v>14881.788221808281</v>
      </c>
      <c r="M3008" s="16">
        <f t="shared" si="654"/>
        <v>19842.384295744378</v>
      </c>
    </row>
    <row r="3009" spans="2:13" ht="15" customHeight="1" x14ac:dyDescent="0.2">
      <c r="B3009" s="10" t="s">
        <v>900</v>
      </c>
      <c r="C3009" s="10" t="s">
        <v>199</v>
      </c>
      <c r="D3009" s="28">
        <f>D3003*Inputs!$D$23</f>
        <v>6.4875000000000007</v>
      </c>
      <c r="E3009" s="28">
        <f>E3003*Inputs!$D$23</f>
        <v>8.65</v>
      </c>
      <c r="F3009" s="28">
        <f>F3003*Inputs!$D$23</f>
        <v>6.4875000000000007</v>
      </c>
      <c r="G3009" s="28">
        <f>G3003*Inputs!$D$23</f>
        <v>0</v>
      </c>
      <c r="H3009" s="28">
        <f>H3003*Inputs!$D$23</f>
        <v>0</v>
      </c>
      <c r="I3009" s="28">
        <f>I3003*Inputs!$D$23</f>
        <v>0</v>
      </c>
      <c r="J3009" s="28">
        <f>J3003*Inputs!$D$23</f>
        <v>0</v>
      </c>
      <c r="K3009" s="28">
        <f>K3003*Inputs!$D$23</f>
        <v>0</v>
      </c>
      <c r="L3009" s="28">
        <f>L3003*Inputs!$D$23</f>
        <v>0</v>
      </c>
      <c r="M3009" s="28">
        <f>M3003*Inputs!$D$23</f>
        <v>0</v>
      </c>
    </row>
    <row r="3010" spans="2:13" ht="15" customHeight="1" x14ac:dyDescent="0.2">
      <c r="B3010" s="3" t="s">
        <v>901</v>
      </c>
      <c r="C3010" s="10" t="s">
        <v>896</v>
      </c>
      <c r="D3010" s="28">
        <f>(D3005*$D$3023*(Inputs!$D$7-Inputs!$D$19)-D3009)/(Inputs!$D$7+$D$3024)^D2998</f>
        <v>59.638107928754934</v>
      </c>
      <c r="E3010" s="28">
        <f>(E3005*$D$3023*(Inputs!$D$7-Inputs!$D$19)-E3009)/(Inputs!$D$7+$D$3024)^E2998</f>
        <v>220.17258373064229</v>
      </c>
      <c r="F3010" s="28">
        <f>(F3005*$D$3023*(Inputs!$D$7-Inputs!$D$19)-F3009)/(Inputs!$D$7+$D$3024)^F2998</f>
        <v>332.71278210921628</v>
      </c>
      <c r="G3010" s="28">
        <f>(G3005*$D$3023*(Inputs!$D$7-Inputs!$D$19)-G3009)/(Inputs!$D$7+$D$3024)^G2998</f>
        <v>358.03185685593229</v>
      </c>
      <c r="H3010" s="28">
        <f>(H3005*$D$3023*(Inputs!$D$7-Inputs!$D$19)-H3009)/(Inputs!$D$7+$D$3024)^H2998</f>
        <v>325.50474025278925</v>
      </c>
      <c r="I3010" s="28">
        <f>(I3005*$D$3023*(Inputs!$D$7-Inputs!$D$19)-I3009)/(Inputs!$D$7+$D$3024)^I2998</f>
        <v>295.85549304352458</v>
      </c>
      <c r="J3010" s="28">
        <f>(J3005*$D$3023*(Inputs!$D$7-Inputs!$D$19)-J3009)/(Inputs!$D$7+$D$3024)^J2998</f>
        <v>268.97708561795457</v>
      </c>
      <c r="K3010" s="28">
        <f>(K3005*$D$3023*(Inputs!$D$7-Inputs!$D$19)-K3009)/(Inputs!$D$7+$D$3024)^K2998</f>
        <v>244.54057568194261</v>
      </c>
      <c r="L3010" s="28">
        <f>(L3005*$D$3023*(Inputs!$D$7-Inputs!$D$19)-L3009)/(Inputs!$D$7+$D$3024)^L2998</f>
        <v>222.32411737776735</v>
      </c>
      <c r="M3010" s="28">
        <f>(M3005*$D$3023*(Inputs!$D$7-Inputs!$D$19)-M3009)/(Inputs!$D$7+$D$3024)^M2998</f>
        <v>202.07328259239429</v>
      </c>
    </row>
    <row r="3011" spans="2:13" ht="15" customHeight="1" x14ac:dyDescent="0.2">
      <c r="B3011" s="10" t="s">
        <v>902</v>
      </c>
      <c r="C3011" s="10" t="s">
        <v>110</v>
      </c>
      <c r="D3011" s="16">
        <f>(D3006*Inputs!$D$19-D3007-D3008)/(Inputs!$D$7+$D$3024)^D2998</f>
        <v>-14027.24269342025</v>
      </c>
      <c r="E3011" s="16">
        <f>(E3006*Inputs!$D$19-E3007-E3008)/(Inputs!$D$7+$D$3024)^E2998</f>
        <v>-15853.087323826181</v>
      </c>
      <c r="F3011" s="16">
        <f>(F3006*Inputs!$D$19-F3007-F3008)/(Inputs!$D$7+$D$3024)^F2998</f>
        <v>-9394.4767487293357</v>
      </c>
      <c r="G3011" s="16">
        <f>(G3006*Inputs!$D$19-G3007-G3008)/(Inputs!$D$7+$D$3024)^G2998</f>
        <v>923.61320322684639</v>
      </c>
      <c r="H3011" s="16">
        <f>(H3006*Inputs!$D$19-H3007-H3008)/(Inputs!$D$7+$D$3024)^H2998</f>
        <v>-6972.3744918015345</v>
      </c>
      <c r="I3011" s="16">
        <f>(I3006*Inputs!$D$19-I3007-I3008)/(Inputs!$D$7+$D$3024)^I2998</f>
        <v>-9214.0648467907959</v>
      </c>
      <c r="J3011" s="16">
        <f>(J3006*Inputs!$D$19-J3007-J3008)/(Inputs!$D$7+$D$3024)^J2998</f>
        <v>-5761.5411965591911</v>
      </c>
      <c r="K3011" s="16">
        <f>(K3006*Inputs!$D$19-K3007-K3008)/(Inputs!$D$7+$D$3024)^K2998</f>
        <v>630.8402453567694</v>
      </c>
      <c r="L3011" s="16">
        <f>(L3006*Inputs!$D$19-L3007-L3008)/(Inputs!$D$7+$D$3024)^L2998</f>
        <v>-4762.2255937446444</v>
      </c>
      <c r="M3011" s="16">
        <f>(M3006*Inputs!$D$19-M3007-M3008)/(Inputs!$D$7+$D$3024)^M2998</f>
        <v>-6293.3302689644106</v>
      </c>
    </row>
    <row r="3012" spans="2:13" ht="15" customHeight="1" x14ac:dyDescent="0.2">
      <c r="B3012" s="10" t="s">
        <v>903</v>
      </c>
      <c r="C3012" s="10" t="s">
        <v>110</v>
      </c>
      <c r="D3012" s="16">
        <f t="shared" ref="D3012:M3012" si="655">D3005*$D$3022</f>
        <v>3815.1385370750795</v>
      </c>
      <c r="E3012" s="16">
        <f t="shared" si="655"/>
        <v>14536.057712027881</v>
      </c>
      <c r="F3012" s="16">
        <f t="shared" si="655"/>
        <v>23733.114080505289</v>
      </c>
      <c r="G3012" s="16">
        <f t="shared" si="655"/>
        <v>27674.709666995608</v>
      </c>
      <c r="H3012" s="16">
        <f t="shared" si="655"/>
        <v>27674.709666995608</v>
      </c>
      <c r="I3012" s="16">
        <f t="shared" si="655"/>
        <v>27674.709666995608</v>
      </c>
      <c r="J3012" s="16">
        <f t="shared" si="655"/>
        <v>27674.709666995608</v>
      </c>
      <c r="K3012" s="16">
        <f t="shared" si="655"/>
        <v>27674.709666995608</v>
      </c>
      <c r="L3012" s="16">
        <f t="shared" si="655"/>
        <v>27674.709666995608</v>
      </c>
      <c r="M3012" s="16">
        <f t="shared" si="655"/>
        <v>27674.709666995608</v>
      </c>
    </row>
    <row r="3013" spans="2:13" ht="15" customHeight="1" x14ac:dyDescent="0.2">
      <c r="B3013" s="10" t="s">
        <v>904</v>
      </c>
      <c r="C3013" s="10" t="s">
        <v>110</v>
      </c>
      <c r="D3013" s="16">
        <f t="shared" ref="D3013:M3013" si="656">D3012*$D$3023</f>
        <v>3052.1108296600637</v>
      </c>
      <c r="E3013" s="16">
        <f t="shared" si="656"/>
        <v>11628.846169622306</v>
      </c>
      <c r="F3013" s="16">
        <f t="shared" si="656"/>
        <v>18986.491264404231</v>
      </c>
      <c r="G3013" s="16">
        <f t="shared" si="656"/>
        <v>22139.767733596487</v>
      </c>
      <c r="H3013" s="16">
        <f t="shared" si="656"/>
        <v>22139.767733596487</v>
      </c>
      <c r="I3013" s="16">
        <f t="shared" si="656"/>
        <v>22139.767733596487</v>
      </c>
      <c r="J3013" s="16">
        <f t="shared" si="656"/>
        <v>22139.767733596487</v>
      </c>
      <c r="K3013" s="16">
        <f t="shared" si="656"/>
        <v>22139.767733596487</v>
      </c>
      <c r="L3013" s="16">
        <f t="shared" si="656"/>
        <v>22139.767733596487</v>
      </c>
      <c r="M3013" s="16">
        <f t="shared" si="656"/>
        <v>22139.767733596487</v>
      </c>
    </row>
    <row r="3014" spans="2:13" ht="15" customHeight="1" x14ac:dyDescent="0.2">
      <c r="B3014" s="10" t="s">
        <v>905</v>
      </c>
      <c r="C3014" s="10" t="s">
        <v>110</v>
      </c>
      <c r="D3014" s="16">
        <f t="shared" ref="D3014:M3014" si="657">D3013-D3006</f>
        <v>1235.1335437276218</v>
      </c>
      <c r="E3014" s="16">
        <f t="shared" si="657"/>
        <v>4705.9817878725971</v>
      </c>
      <c r="F3014" s="16">
        <f t="shared" si="657"/>
        <v>7683.4864613907303</v>
      </c>
      <c r="G3014" s="16">
        <f t="shared" si="657"/>
        <v>8959.5598928985055</v>
      </c>
      <c r="H3014" s="16">
        <f t="shared" si="657"/>
        <v>8959.5598928985055</v>
      </c>
      <c r="I3014" s="16">
        <f t="shared" si="657"/>
        <v>8959.5598928985055</v>
      </c>
      <c r="J3014" s="16">
        <f t="shared" si="657"/>
        <v>8959.5598928985055</v>
      </c>
      <c r="K3014" s="16">
        <f t="shared" si="657"/>
        <v>8959.5598928985055</v>
      </c>
      <c r="L3014" s="16">
        <f t="shared" si="657"/>
        <v>8959.5598928985055</v>
      </c>
      <c r="M3014" s="16">
        <f t="shared" si="657"/>
        <v>8959.5598928985055</v>
      </c>
    </row>
    <row r="3015" spans="2:13" ht="15" customHeight="1" x14ac:dyDescent="0.2">
      <c r="B3015" s="10" t="s">
        <v>906</v>
      </c>
      <c r="C3015" s="10" t="s">
        <v>110</v>
      </c>
      <c r="D3015" s="16">
        <f>MAX(D3014,Inputs!$D$6)*Inputs!$D$19</f>
        <v>370.54006311828653</v>
      </c>
      <c r="E3015" s="16">
        <f>MAX(E3014,Inputs!$D$6)*Inputs!$D$19</f>
        <v>1411.7945363617791</v>
      </c>
      <c r="F3015" s="16">
        <f>MAX(F3014,Inputs!$D$6)*Inputs!$D$19</f>
        <v>2305.0459384172191</v>
      </c>
      <c r="G3015" s="16">
        <f>MAX(G3014,Inputs!$D$6)*Inputs!$D$19</f>
        <v>2687.8679678695516</v>
      </c>
      <c r="H3015" s="16">
        <f>MAX(H3014,Inputs!$D$6)*Inputs!$D$19</f>
        <v>2687.8679678695516</v>
      </c>
      <c r="I3015" s="16">
        <f>MAX(I3014,Inputs!$D$6)*Inputs!$D$19</f>
        <v>2687.8679678695516</v>
      </c>
      <c r="J3015" s="16">
        <f>MAX(J3014,Inputs!$D$6)*Inputs!$D$19</f>
        <v>2687.8679678695516</v>
      </c>
      <c r="K3015" s="16">
        <f>MAX(K3014,Inputs!$D$6)*Inputs!$D$19</f>
        <v>2687.8679678695516</v>
      </c>
      <c r="L3015" s="16">
        <f>MAX(L3014,Inputs!$D$6)*Inputs!$D$19</f>
        <v>2687.8679678695516</v>
      </c>
      <c r="M3015" s="16">
        <f>MAX(M3014,Inputs!$D$6)*Inputs!$D$19</f>
        <v>2687.8679678695516</v>
      </c>
    </row>
    <row r="3016" spans="2:13" ht="15" customHeight="1" x14ac:dyDescent="0.2">
      <c r="B3016" s="10" t="s">
        <v>907</v>
      </c>
      <c r="C3016" s="10" t="s">
        <v>110</v>
      </c>
      <c r="D3016" s="16">
        <f t="shared" ref="D3016:M3016" si="658">D3009*$D$3022</f>
        <v>197.07977932451595</v>
      </c>
      <c r="E3016" s="16">
        <f t="shared" si="658"/>
        <v>262.77303909935461</v>
      </c>
      <c r="F3016" s="16">
        <f t="shared" si="658"/>
        <v>197.07977932451595</v>
      </c>
      <c r="G3016" s="16">
        <f t="shared" si="658"/>
        <v>0</v>
      </c>
      <c r="H3016" s="16">
        <f t="shared" si="658"/>
        <v>0</v>
      </c>
      <c r="I3016" s="16">
        <f t="shared" si="658"/>
        <v>0</v>
      </c>
      <c r="J3016" s="16">
        <f t="shared" si="658"/>
        <v>0</v>
      </c>
      <c r="K3016" s="16">
        <f t="shared" si="658"/>
        <v>0</v>
      </c>
      <c r="L3016" s="16">
        <f t="shared" si="658"/>
        <v>0</v>
      </c>
      <c r="M3016" s="16">
        <f t="shared" si="658"/>
        <v>0</v>
      </c>
    </row>
    <row r="3017" spans="2:13" ht="15" customHeight="1" x14ac:dyDescent="0.2">
      <c r="B3017" s="10" t="s">
        <v>908</v>
      </c>
      <c r="C3017" s="10" t="s">
        <v>110</v>
      </c>
      <c r="D3017" s="16">
        <f t="shared" ref="D3017:M3017" si="659">D3013-D3015-D3007-D3008-D3016</f>
        <v>-13076.477632928892</v>
      </c>
      <c r="E3017" s="16">
        <f t="shared" si="659"/>
        <v>-10793.679566033699</v>
      </c>
      <c r="F3017" s="16">
        <f t="shared" si="659"/>
        <v>923.3969265163438</v>
      </c>
      <c r="G3017" s="16">
        <f t="shared" si="659"/>
        <v>16813.894917159763</v>
      </c>
      <c r="H3017" s="16">
        <f t="shared" si="659"/>
        <v>4570.1115439186542</v>
      </c>
      <c r="I3017" s="16">
        <f t="shared" si="659"/>
        <v>-390.48453001744201</v>
      </c>
      <c r="J3017" s="16">
        <f t="shared" si="659"/>
        <v>4570.1115439186542</v>
      </c>
      <c r="K3017" s="16">
        <f t="shared" si="659"/>
        <v>16813.894917159763</v>
      </c>
      <c r="L3017" s="16">
        <f t="shared" si="659"/>
        <v>4570.1115439186542</v>
      </c>
      <c r="M3017" s="16">
        <f t="shared" si="659"/>
        <v>-390.48453001744201</v>
      </c>
    </row>
    <row r="3018" spans="2:13" ht="15" customHeight="1" x14ac:dyDescent="0.2">
      <c r="B3018" s="10" t="s">
        <v>909</v>
      </c>
      <c r="C3018" s="10" t="s">
        <v>110</v>
      </c>
      <c r="D3018" s="16">
        <f>D3017/(Inputs!$D$7+$D$3024)^D2998</f>
        <v>-12215.533229076407</v>
      </c>
      <c r="E3018" s="16">
        <f>E3017/(Inputs!$D$7+$D$3024)^E2998</f>
        <v>-9164.5995835651429</v>
      </c>
      <c r="F3018" s="16">
        <f>F3017/(Inputs!$D$7+$D$3024)^F2998</f>
        <v>712.80058098628763</v>
      </c>
      <c r="G3018" s="16">
        <f>G3017/(Inputs!$D$7+$D$3024)^G2998</f>
        <v>11800.043159344583</v>
      </c>
      <c r="H3018" s="16">
        <f>H3017/(Inputs!$D$7+$D$3024)^H2998</f>
        <v>2915.9341599292675</v>
      </c>
      <c r="I3018" s="16">
        <f>I3017/(Inputs!$D$7+$D$3024)^I2998</f>
        <v>-226.4524720757787</v>
      </c>
      <c r="J3018" s="16">
        <f>J3017/(Inputs!$D$7+$D$3024)^J2998</f>
        <v>2409.5485416971351</v>
      </c>
      <c r="K3018" s="16">
        <f>K3017/(Inputs!$D$7+$D$3024)^K2998</f>
        <v>8059.5882517209056</v>
      </c>
      <c r="L3018" s="16">
        <f>L3017/(Inputs!$D$7+$D$3024)^L2998</f>
        <v>1991.622266190333</v>
      </c>
      <c r="M3018" s="16">
        <f>M3017/(Inputs!$D$7+$D$3024)^M2998</f>
        <v>-154.67008542843976</v>
      </c>
    </row>
    <row r="3019" spans="2:13" ht="15" customHeight="1" x14ac:dyDescent="0.2">
      <c r="B3019" s="3" t="s">
        <v>910</v>
      </c>
      <c r="C3019" s="10" t="s">
        <v>896</v>
      </c>
      <c r="D3019" s="28">
        <f>(D3005*$D$3023-D3009)/(Inputs!$D$7+$D$3024)^D2998</f>
        <v>87.794597783729941</v>
      </c>
      <c r="E3019" s="28">
        <f>(E3005*$D$3023-E3009)/(Inputs!$D$7+$D$3024)^E2998</f>
        <v>317.67988971817448</v>
      </c>
      <c r="F3019" s="28">
        <f>(F3005*$D$3023-F3009)/(Inputs!$D$7+$D$3024)^F2998</f>
        <v>477.45022393625862</v>
      </c>
      <c r="G3019" s="28">
        <f>(G3005*$D$3023-G3009)/(Inputs!$D$7+$D$3024)^G2998</f>
        <v>511.4740812227605</v>
      </c>
      <c r="H3019" s="28">
        <f>(H3005*$D$3023-H3009)/(Inputs!$D$7+$D$3024)^H2998</f>
        <v>465.00677178969892</v>
      </c>
      <c r="I3019" s="28">
        <f>(I3005*$D$3023-I3009)/(Inputs!$D$7+$D$3024)^I2998</f>
        <v>422.6507043478922</v>
      </c>
      <c r="J3019" s="28">
        <f>(J3005*$D$3023-J3009)/(Inputs!$D$7+$D$3024)^J2998</f>
        <v>384.25297945422085</v>
      </c>
      <c r="K3019" s="28">
        <f>(K3005*$D$3023-K3009)/(Inputs!$D$7+$D$3024)^K2998</f>
        <v>349.34367954563231</v>
      </c>
      <c r="L3019" s="28">
        <f>(L3005*$D$3023-L3009)/(Inputs!$D$7+$D$3024)^L2998</f>
        <v>317.60588196823909</v>
      </c>
      <c r="M3019" s="28">
        <f>(M3005*$D$3023-M3009)/(Inputs!$D$7+$D$3024)^M2998</f>
        <v>288.6761179891347</v>
      </c>
    </row>
    <row r="3020" spans="2:13" ht="15" customHeight="1" x14ac:dyDescent="0.2">
      <c r="B3020" s="10" t="s">
        <v>911</v>
      </c>
      <c r="C3020" s="10" t="s">
        <v>110</v>
      </c>
      <c r="D3020" s="16">
        <f>(-D3007-D3008)/(Inputs!$D$7+$D$3024)^D2998</f>
        <v>-14536.447397527105</v>
      </c>
      <c r="E3020" s="16">
        <f>(-E3007-E3008)/(Inputs!$D$7+$D$3024)^E2998</f>
        <v>-17616.488200475756</v>
      </c>
      <c r="F3020" s="16">
        <f>(-F3007-F3008)/(Inputs!$D$7+$D$3024)^F2998</f>
        <v>-12012.025548964448</v>
      </c>
      <c r="G3020" s="16">
        <f>(-G3007-G3008)/(Inputs!$D$7+$D$3024)^G2998</f>
        <v>-1851.359915178487</v>
      </c>
      <c r="H3020" s="16">
        <f>(-H3007-H3008)/(Inputs!$D$7+$D$3024)^H2998</f>
        <v>-9495.2419037884629</v>
      </c>
      <c r="I3020" s="16">
        <f>(-I3007-I3008)/(Inputs!$D$7+$D$3024)^I2998</f>
        <v>-11507.131858586603</v>
      </c>
      <c r="J3020" s="16">
        <f>(-J3007-J3008)/(Inputs!$D$7+$D$3024)^J2998</f>
        <v>-7846.2835672839774</v>
      </c>
      <c r="K3020" s="16">
        <f>(-K3007-K3008)/(Inputs!$D$7+$D$3024)^K2998</f>
        <v>-1264.5037327904422</v>
      </c>
      <c r="L3020" s="16">
        <f>(-L3007-L3008)/(Inputs!$D$7+$D$3024)^L2998</f>
        <v>-6485.3779822337692</v>
      </c>
      <c r="M3020" s="16">
        <f>(-M3007-M3008)/(Inputs!$D$7+$D$3024)^M2998</f>
        <v>-7859.5258920747219</v>
      </c>
    </row>
    <row r="3021" spans="2:13" ht="15" customHeight="1" x14ac:dyDescent="0.2">
      <c r="B3021" s="10" t="s">
        <v>912</v>
      </c>
      <c r="C3021" s="10" t="s">
        <v>110</v>
      </c>
      <c r="D3021" s="16">
        <f>Prices!I8</f>
        <v>32775</v>
      </c>
    </row>
    <row r="3022" spans="2:13" ht="15" customHeight="1" x14ac:dyDescent="0.2">
      <c r="B3022" s="3" t="s">
        <v>913</v>
      </c>
      <c r="C3022" s="10" t="s">
        <v>914</v>
      </c>
      <c r="D3022" s="28">
        <f>IF(J3029&gt;=J3025,J3029,(D3021-J3028)/J3027)</f>
        <v>30.378386023046772</v>
      </c>
      <c r="G3022" s="99" t="s">
        <v>915</v>
      </c>
      <c r="H3022" s="91"/>
      <c r="I3022" s="91"/>
      <c r="J3022" s="28">
        <f>D3022*Inputs!$D$15</f>
        <v>21.201075605484341</v>
      </c>
      <c r="K3022" s="99" t="s">
        <v>916</v>
      </c>
      <c r="L3022" s="91"/>
      <c r="M3022" s="91"/>
    </row>
    <row r="3023" spans="2:13" ht="15" customHeight="1" x14ac:dyDescent="0.2">
      <c r="B3023" s="10" t="s">
        <v>917</v>
      </c>
      <c r="C3023" s="10" t="s">
        <v>104</v>
      </c>
      <c r="D3023" s="30">
        <f>Inputs!$D$144</f>
        <v>0.8</v>
      </c>
      <c r="G3023" s="99" t="s">
        <v>918</v>
      </c>
      <c r="H3023" s="91"/>
      <c r="I3023" s="91"/>
      <c r="J3023" s="28">
        <f>IF(-D3034/D3033&gt;=J3025,-D3034/D3033,-J3028/J3027)</f>
        <v>24.180966914247158</v>
      </c>
      <c r="K3023" s="99" t="s">
        <v>919</v>
      </c>
      <c r="L3023" s="91"/>
      <c r="M3023" s="91"/>
    </row>
    <row r="3024" spans="2:13" ht="15" customHeight="1" x14ac:dyDescent="0.2">
      <c r="B3024" s="10" t="s">
        <v>920</v>
      </c>
      <c r="C3024" s="10" t="s">
        <v>104</v>
      </c>
      <c r="D3024" s="30">
        <f>Inputs!$D$147</f>
        <v>0.1</v>
      </c>
      <c r="G3024" s="99" t="s">
        <v>918</v>
      </c>
      <c r="H3024" s="91"/>
      <c r="I3024" s="91"/>
      <c r="J3024" s="28">
        <f>J3023*Inputs!$D$15</f>
        <v>16.875896809453092</v>
      </c>
      <c r="K3024" s="99" t="s">
        <v>916</v>
      </c>
      <c r="L3024" s="91"/>
      <c r="M3024" s="91"/>
    </row>
    <row r="3025" spans="2:13" ht="15" customHeight="1" x14ac:dyDescent="0.2">
      <c r="B3025" s="3" t="s">
        <v>921</v>
      </c>
      <c r="C3025" s="10" t="s">
        <v>848</v>
      </c>
      <c r="D3025" s="28">
        <f>Capital!$D$13</f>
        <v>57.347931490590682</v>
      </c>
      <c r="G3025" s="99" t="s">
        <v>922</v>
      </c>
      <c r="H3025" s="91"/>
      <c r="I3025" s="91"/>
      <c r="J3025" s="28">
        <f>($D$3025/Inputs!$D$21+$D$3026/Inputs!$D$22)/$D$3023</f>
        <v>18.084807684821598</v>
      </c>
      <c r="K3025" s="99" t="s">
        <v>919</v>
      </c>
      <c r="L3025" s="91"/>
      <c r="M3025" s="91"/>
    </row>
    <row r="3026" spans="2:13" ht="15" customHeight="1" x14ac:dyDescent="0.2">
      <c r="B3026" s="3" t="s">
        <v>923</v>
      </c>
      <c r="C3026" s="10" t="s">
        <v>848</v>
      </c>
      <c r="D3026" s="28">
        <f>Capital!$D$14</f>
        <v>2.6172655041921802</v>
      </c>
    </row>
    <row r="3027" spans="2:13" ht="15" customHeight="1" x14ac:dyDescent="0.2">
      <c r="B3027" s="10" t="s">
        <v>924</v>
      </c>
      <c r="C3027" s="10" t="s">
        <v>896</v>
      </c>
      <c r="D3027" s="28">
        <f>(M3000*(Inputs!$D$7+Inputs!$D$20)*$D$3023*(Inputs!$D$7-Inputs!$D$19)-M3000*Inputs!$D$20*Inputs!$D$23)/($D$3024-Inputs!$D$20)/(Inputs!$D$7+$D$3024)^M2998</f>
        <v>2758.661152533668</v>
      </c>
      <c r="G3027" s="92" t="s">
        <v>910</v>
      </c>
      <c r="H3027" s="91"/>
      <c r="I3027" s="91"/>
      <c r="J3027" s="28">
        <f>SUM(D3019:M3019)+(M3000*(Inputs!$D$7+Inputs!$D$20)*$D$3023-M3000*Inputs!$D$20*Inputs!$D$23)/($D$3024-Inputs!$D$20)/(Inputs!$D$7+$D$3024)^M2998</f>
        <v>7564.1681640448605</v>
      </c>
      <c r="K3027" s="99" t="s">
        <v>896</v>
      </c>
      <c r="L3027" s="91"/>
      <c r="M3027" s="91"/>
    </row>
    <row r="3028" spans="2:13" ht="15" customHeight="1" x14ac:dyDescent="0.2">
      <c r="B3028" s="10" t="s">
        <v>925</v>
      </c>
      <c r="C3028" s="10" t="s">
        <v>110</v>
      </c>
      <c r="D3028" s="16">
        <f>(D3031*Inputs!$D$19-D3031-D3032)/($D$3024-Inputs!$D$20)/(Inputs!$D$7+$D$3024)^M2998</f>
        <v>-57156.954988173631</v>
      </c>
      <c r="G3028" s="92" t="s">
        <v>926</v>
      </c>
      <c r="H3028" s="91"/>
      <c r="I3028" s="91"/>
      <c r="J3028" s="16">
        <f>SUM(D3020:M3020)-(D3031+D3032)/($D$3024-Inputs!$D$20)/(Inputs!$D$7+$D$3024)^M2998</f>
        <v>-169036.01450291832</v>
      </c>
      <c r="K3028" s="99" t="s">
        <v>110</v>
      </c>
      <c r="L3028" s="91"/>
      <c r="M3028" s="91"/>
    </row>
    <row r="3029" spans="2:13" ht="15" customHeight="1" x14ac:dyDescent="0.2">
      <c r="B3029" s="10" t="s">
        <v>927</v>
      </c>
      <c r="C3029" s="10" t="s">
        <v>928</v>
      </c>
      <c r="D3029" s="16">
        <f>(M3000*(Inputs!$D$7+Inputs!$D$20)*$D$3022*$D$3023-D3031)-MAX((M3000*(Inputs!$D$7+Inputs!$D$20)*$D$3022*$D$3023-D3031),Inputs!$D$6)*Inputs!$D$19-D3032-M3000*Inputs!$D$20*$D$3022*Inputs!$D$23</f>
        <v>5045.4801680566243</v>
      </c>
      <c r="G3029" s="99" t="s">
        <v>929</v>
      </c>
      <c r="H3029" s="91"/>
      <c r="I3029" s="91"/>
      <c r="J3029" s="28">
        <f>(D3021-D3034)/D3033</f>
        <v>30.378386023046772</v>
      </c>
      <c r="K3029" s="99" t="s">
        <v>919</v>
      </c>
      <c r="L3029" s="91"/>
      <c r="M3029" s="91"/>
    </row>
    <row r="3030" spans="2:13" ht="15" customHeight="1" x14ac:dyDescent="0.2">
      <c r="B3030" s="10" t="s">
        <v>930</v>
      </c>
      <c r="C3030" s="10" t="s">
        <v>110</v>
      </c>
      <c r="D3030" s="16">
        <f>D3029/($D$3024-Inputs!$D$20)</f>
        <v>67273.06890742165</v>
      </c>
      <c r="G3030" s="99" t="s">
        <v>931</v>
      </c>
      <c r="H3030" s="91"/>
      <c r="I3030" s="91"/>
      <c r="J3030" s="16">
        <f>MIN(D3014:M3014,(M3000*(Inputs!$D$7+Inputs!$D$20)*$D$3022*$D$3023-D3031))</f>
        <v>1235.1335437276218</v>
      </c>
      <c r="K3030" s="99" t="s">
        <v>110</v>
      </c>
      <c r="L3030" s="91"/>
      <c r="M3030" s="91"/>
    </row>
    <row r="3031" spans="2:13" ht="15" customHeight="1" x14ac:dyDescent="0.2">
      <c r="B3031" s="10" t="s">
        <v>932</v>
      </c>
      <c r="C3031" s="10" t="s">
        <v>928</v>
      </c>
      <c r="D3031" s="16">
        <f>M3000*(Inputs!$D$7+Inputs!$D$20)*($D$3025/Inputs!$D$21+$D$3026/Inputs!$D$22)</f>
        <v>13509.71303671543</v>
      </c>
      <c r="G3031" s="99" t="s">
        <v>933</v>
      </c>
      <c r="H3031" s="91"/>
      <c r="I3031" s="91"/>
      <c r="J3031" s="31" t="str">
        <f>IF(J3030&lt;Inputs!$D$6,"breached","satisfied")</f>
        <v>satisfied</v>
      </c>
      <c r="K3031" s="99" t="s">
        <v>934</v>
      </c>
      <c r="L3031" s="91"/>
      <c r="M3031" s="91"/>
    </row>
    <row r="3032" spans="2:13" ht="15" customHeight="1" x14ac:dyDescent="0.2">
      <c r="B3032" s="10" t="s">
        <v>935</v>
      </c>
      <c r="C3032" s="10" t="s">
        <v>928</v>
      </c>
      <c r="D3032" s="16">
        <f>M3000*Inputs!$D$20*($D$3025+$D$3026)</f>
        <v>1365.7073615561799</v>
      </c>
    </row>
    <row r="3033" spans="2:13" ht="15" customHeight="1" x14ac:dyDescent="0.2">
      <c r="B3033" s="10" t="s">
        <v>936</v>
      </c>
      <c r="C3033" s="10" t="s">
        <v>896</v>
      </c>
      <c r="D3033" s="28">
        <f>SUM(D3010:M3010)+D3027</f>
        <v>5288.4917777245864</v>
      </c>
      <c r="G3033" s="99" t="s">
        <v>937</v>
      </c>
      <c r="H3033" s="91"/>
      <c r="I3033" s="91"/>
      <c r="J3033" s="16">
        <f>D3035-D3021</f>
        <v>0</v>
      </c>
      <c r="K3033" s="99" t="s">
        <v>110</v>
      </c>
      <c r="L3033" s="91"/>
      <c r="M3033" s="91"/>
    </row>
    <row r="3034" spans="2:13" ht="15" customHeight="1" x14ac:dyDescent="0.2">
      <c r="B3034" s="10" t="s">
        <v>938</v>
      </c>
      <c r="C3034" s="10" t="s">
        <v>110</v>
      </c>
      <c r="D3034" s="16">
        <f>SUM(D3011:M3011)+D3028</f>
        <v>-127880.84470342637</v>
      </c>
    </row>
    <row r="3035" spans="2:13" ht="15" customHeight="1" x14ac:dyDescent="0.2">
      <c r="B3035" s="10" t="s">
        <v>939</v>
      </c>
      <c r="C3035" s="10" t="s">
        <v>110</v>
      </c>
      <c r="D3035" s="16">
        <f>SUM(D3018:M3018)+D3030/(Inputs!$D$7+$D$3024)^M2998</f>
        <v>32774.999999999964</v>
      </c>
    </row>
    <row r="3036" spans="2:13" ht="15" customHeight="1" x14ac:dyDescent="0.2">
      <c r="B3036" s="10" t="s">
        <v>940</v>
      </c>
      <c r="C3036" s="10" t="s">
        <v>104</v>
      </c>
      <c r="D3036" s="30">
        <f>IF(ABS(D3021)&gt;Inputs!$D$6,D3035/D3021-Inputs!$D$7,Inputs!$D$6)</f>
        <v>-1.1102230246251565E-15</v>
      </c>
    </row>
    <row r="3037" spans="2:13" ht="15" customHeight="1" x14ac:dyDescent="0.2">
      <c r="B3037" s="10" t="s">
        <v>941</v>
      </c>
      <c r="C3037" s="10" t="s">
        <v>104</v>
      </c>
      <c r="D3037" s="30">
        <f>IF(ABS(D3035)&gt;Inputs!$D$119,D3030/(Inputs!$D$7+$D$3024)^M2998/D3035,Inputs!$D$6)</f>
        <v>0.81301963112974074</v>
      </c>
    </row>
    <row r="3038" spans="2:13" ht="15" customHeight="1" x14ac:dyDescent="0.2">
      <c r="B3038" s="10" t="s">
        <v>942</v>
      </c>
      <c r="C3038" s="10" t="s">
        <v>943</v>
      </c>
      <c r="D3038" s="26">
        <f>$D$3022*Inputs!$D$8/Prices!$P$6/(Inputs!$D$26/Inputs!$D$25)/Inputs!$D$11/Inputs!$D$56</f>
        <v>5.5244017733170949</v>
      </c>
    </row>
    <row r="3042" spans="1:13" ht="15" customHeight="1" x14ac:dyDescent="0.2">
      <c r="A3042" s="104" t="s">
        <v>2231</v>
      </c>
      <c r="B3042" s="10" t="s">
        <v>886</v>
      </c>
      <c r="C3042" s="10" t="s">
        <v>107</v>
      </c>
      <c r="D3042" s="28">
        <f>Inputs!$D$60</f>
        <v>1</v>
      </c>
      <c r="E3042" s="28">
        <f>Inputs!$D$62</f>
        <v>2</v>
      </c>
      <c r="F3042" s="28">
        <f>Inputs!$D$64</f>
        <v>3</v>
      </c>
      <c r="G3042" s="28">
        <f>Inputs!$D$66</f>
        <v>4</v>
      </c>
      <c r="H3042" s="28">
        <f>Inputs!$D$68</f>
        <v>5</v>
      </c>
      <c r="I3042" s="28">
        <f>Inputs!$D$70</f>
        <v>6</v>
      </c>
      <c r="J3042" s="28">
        <f>Inputs!$D$72</f>
        <v>7</v>
      </c>
      <c r="K3042" s="28">
        <f>Inputs!$D$74</f>
        <v>8</v>
      </c>
      <c r="L3042" s="28">
        <f>Inputs!$D$76</f>
        <v>9</v>
      </c>
      <c r="M3042" s="28">
        <f>Inputs!$D$78</f>
        <v>10</v>
      </c>
    </row>
    <row r="3043" spans="1:13" ht="15" customHeight="1" x14ac:dyDescent="0.2">
      <c r="A3043" s="91"/>
      <c r="B3043" s="10" t="s">
        <v>887</v>
      </c>
      <c r="C3043" s="10" t="s">
        <v>161</v>
      </c>
      <c r="D3043" s="29">
        <f>Inputs!$D$61</f>
        <v>46568</v>
      </c>
      <c r="E3043" s="29">
        <f>Inputs!$D$63</f>
        <v>46934</v>
      </c>
      <c r="F3043" s="29">
        <f>Inputs!$D$65</f>
        <v>47299</v>
      </c>
      <c r="G3043" s="29">
        <f>Inputs!$D$67</f>
        <v>47664</v>
      </c>
      <c r="H3043" s="29">
        <f>Inputs!$D$69</f>
        <v>48029</v>
      </c>
      <c r="I3043" s="29">
        <f>Inputs!$D$71</f>
        <v>48395</v>
      </c>
      <c r="J3043" s="29">
        <f>Inputs!$D$73</f>
        <v>48760</v>
      </c>
      <c r="K3043" s="29">
        <f>Inputs!$D$75</f>
        <v>49125</v>
      </c>
      <c r="L3043" s="29">
        <f>Inputs!$D$77</f>
        <v>49490</v>
      </c>
      <c r="M3043" s="29">
        <f>Inputs!$D$79</f>
        <v>49856</v>
      </c>
    </row>
    <row r="3044" spans="1:13" ht="15" customHeight="1" x14ac:dyDescent="0.2">
      <c r="A3044" s="91"/>
      <c r="B3044" s="10" t="s">
        <v>888</v>
      </c>
      <c r="C3044" s="10" t="s">
        <v>107</v>
      </c>
      <c r="D3044" s="28">
        <f>(D3043-Inputs!$D$13)/Inputs!$D$10</f>
        <v>0.71457905544147848</v>
      </c>
      <c r="E3044" s="28">
        <f>(E3043-Inputs!$D$13)/Inputs!$D$10</f>
        <v>1.7166324435318274</v>
      </c>
      <c r="F3044" s="28">
        <f>(F3043-Inputs!$D$13)/Inputs!$D$10</f>
        <v>2.7159479808350446</v>
      </c>
      <c r="G3044" s="28">
        <f>(G3043-Inputs!$D$13)/Inputs!$D$10</f>
        <v>3.7152635181382614</v>
      </c>
      <c r="H3044" s="28">
        <f>(H3043-Inputs!$D$13)/Inputs!$D$10</f>
        <v>4.7145790554414786</v>
      </c>
      <c r="I3044" s="28">
        <f>(I3043-Inputs!$D$13)/Inputs!$D$10</f>
        <v>5.7166324435318279</v>
      </c>
      <c r="J3044" s="28">
        <f>(J3043-Inputs!$D$13)/Inputs!$D$10</f>
        <v>6.7159479808350442</v>
      </c>
      <c r="K3044" s="28">
        <f>(K3043-Inputs!$D$13)/Inputs!$D$10</f>
        <v>7.7152635181382614</v>
      </c>
      <c r="L3044" s="28">
        <f>(L3043-Inputs!$D$13)/Inputs!$D$10</f>
        <v>8.7145790554414777</v>
      </c>
      <c r="M3044" s="28">
        <f>(M3043-Inputs!$D$13)/Inputs!$D$10</f>
        <v>9.716632443531827</v>
      </c>
    </row>
    <row r="3045" spans="1:13" ht="15" customHeight="1" x14ac:dyDescent="0.2">
      <c r="A3045" s="91"/>
      <c r="B3045" s="10" t="s">
        <v>889</v>
      </c>
      <c r="C3045" s="10" t="s">
        <v>107</v>
      </c>
      <c r="D3045" s="28">
        <f>D3044</f>
        <v>0.71457905544147848</v>
      </c>
      <c r="E3045" s="28">
        <f>Inputs!$D$7</f>
        <v>1</v>
      </c>
      <c r="F3045" s="28">
        <f>Inputs!$D$7</f>
        <v>1</v>
      </c>
      <c r="G3045" s="28">
        <f>Inputs!$D$7</f>
        <v>1</v>
      </c>
      <c r="H3045" s="28">
        <f>Inputs!$D$7</f>
        <v>1</v>
      </c>
      <c r="I3045" s="28">
        <f>Inputs!$D$7</f>
        <v>1</v>
      </c>
      <c r="J3045" s="28">
        <f>Inputs!$D$7</f>
        <v>1</v>
      </c>
      <c r="K3045" s="28">
        <f>Inputs!$D$7</f>
        <v>1</v>
      </c>
      <c r="L3045" s="28">
        <f>Inputs!$D$7</f>
        <v>1</v>
      </c>
      <c r="M3045" s="28">
        <f>Inputs!$D$7</f>
        <v>1</v>
      </c>
    </row>
    <row r="3046" spans="1:13" ht="15" customHeight="1" x14ac:dyDescent="0.2">
      <c r="A3046" s="91"/>
      <c r="B3046" s="3" t="s">
        <v>890</v>
      </c>
      <c r="C3046" s="10" t="s">
        <v>199</v>
      </c>
      <c r="D3046" s="28">
        <f>Inputs!$D$24+(Inputs!$D$80-Inputs!$D$24)*Inputs!$D$83</f>
        <v>305.5</v>
      </c>
      <c r="E3046" s="28">
        <f>Inputs!$D$24+(Inputs!$D$80-Inputs!$D$24)*Inputs!$D$84</f>
        <v>651.5</v>
      </c>
      <c r="F3046" s="28">
        <f>Inputs!$D$24+(Inputs!$D$80-Inputs!$D$24)*Inputs!$D$85</f>
        <v>911</v>
      </c>
      <c r="G3046" s="28">
        <f>Inputs!$D$24+(Inputs!$D$80-Inputs!$D$24)*Inputs!$D$86</f>
        <v>911</v>
      </c>
      <c r="H3046" s="28">
        <f>Inputs!$D$24+(Inputs!$D$80-Inputs!$D$24)*Inputs!$D$87</f>
        <v>911</v>
      </c>
      <c r="I3046" s="28">
        <f>Inputs!$D$24+(Inputs!$D$80-Inputs!$D$24)*Inputs!$D$88</f>
        <v>911</v>
      </c>
      <c r="J3046" s="28">
        <f>Inputs!$D$24+(Inputs!$D$80-Inputs!$D$24)*Inputs!$D$89</f>
        <v>911</v>
      </c>
      <c r="K3046" s="28">
        <f>Inputs!$D$24+(Inputs!$D$80-Inputs!$D$24)*Inputs!$D$90</f>
        <v>911</v>
      </c>
      <c r="L3046" s="28">
        <f>Inputs!$D$24+(Inputs!$D$80-Inputs!$D$24)*Inputs!$D$91</f>
        <v>911</v>
      </c>
      <c r="M3046" s="28">
        <f>Inputs!$D$24+(Inputs!$D$80-Inputs!$D$24)*Inputs!$D$92</f>
        <v>911</v>
      </c>
    </row>
    <row r="3047" spans="1:13" ht="15" customHeight="1" x14ac:dyDescent="0.2">
      <c r="A3047" s="91"/>
      <c r="B3047" s="10" t="s">
        <v>891</v>
      </c>
      <c r="C3047" s="10" t="s">
        <v>199</v>
      </c>
      <c r="D3047" s="28">
        <f>Inputs!$D$24</f>
        <v>46</v>
      </c>
      <c r="E3047" s="28">
        <f t="shared" ref="E3047:M3047" si="660">D3046</f>
        <v>305.5</v>
      </c>
      <c r="F3047" s="28">
        <f t="shared" si="660"/>
        <v>651.5</v>
      </c>
      <c r="G3047" s="28">
        <f t="shared" si="660"/>
        <v>911</v>
      </c>
      <c r="H3047" s="28">
        <f t="shared" si="660"/>
        <v>911</v>
      </c>
      <c r="I3047" s="28">
        <f t="shared" si="660"/>
        <v>911</v>
      </c>
      <c r="J3047" s="28">
        <f t="shared" si="660"/>
        <v>911</v>
      </c>
      <c r="K3047" s="28">
        <f t="shared" si="660"/>
        <v>911</v>
      </c>
      <c r="L3047" s="28">
        <f t="shared" si="660"/>
        <v>911</v>
      </c>
      <c r="M3047" s="28">
        <f t="shared" si="660"/>
        <v>911</v>
      </c>
    </row>
    <row r="3048" spans="1:13" ht="15" customHeight="1" x14ac:dyDescent="0.2">
      <c r="B3048" s="10" t="s">
        <v>892</v>
      </c>
      <c r="C3048" s="10" t="s">
        <v>199</v>
      </c>
      <c r="D3048" s="28">
        <f>(D3047+D3046)*Inputs!$D$12</f>
        <v>175.75</v>
      </c>
      <c r="E3048" s="28">
        <f>(E3047+E3046)*Inputs!$D$12</f>
        <v>478.5</v>
      </c>
      <c r="F3048" s="28">
        <f>(F3047+F3046)*Inputs!$D$12</f>
        <v>781.25</v>
      </c>
      <c r="G3048" s="28">
        <f>(G3047+G3046)*Inputs!$D$12</f>
        <v>911</v>
      </c>
      <c r="H3048" s="28">
        <f>(H3047+H3046)*Inputs!$D$12</f>
        <v>911</v>
      </c>
      <c r="I3048" s="28">
        <f>(I3047+I3046)*Inputs!$D$12</f>
        <v>911</v>
      </c>
      <c r="J3048" s="28">
        <f>(J3047+J3046)*Inputs!$D$12</f>
        <v>911</v>
      </c>
      <c r="K3048" s="28">
        <f>(K3047+K3046)*Inputs!$D$12</f>
        <v>911</v>
      </c>
      <c r="L3048" s="28">
        <f>(L3047+L3046)*Inputs!$D$12</f>
        <v>911</v>
      </c>
      <c r="M3048" s="28">
        <f>(M3047+M3046)*Inputs!$D$12</f>
        <v>911</v>
      </c>
    </row>
    <row r="3049" spans="1:13" ht="15" customHeight="1" x14ac:dyDescent="0.2">
      <c r="B3049" s="10" t="s">
        <v>893</v>
      </c>
      <c r="C3049" s="10" t="s">
        <v>199</v>
      </c>
      <c r="D3049" s="28">
        <f t="shared" ref="D3049:M3049" si="661">D3046-D3047</f>
        <v>259.5</v>
      </c>
      <c r="E3049" s="28">
        <f t="shared" si="661"/>
        <v>346</v>
      </c>
      <c r="F3049" s="28">
        <f t="shared" si="661"/>
        <v>259.5</v>
      </c>
      <c r="G3049" s="28">
        <f t="shared" si="661"/>
        <v>0</v>
      </c>
      <c r="H3049" s="28">
        <f t="shared" si="661"/>
        <v>0</v>
      </c>
      <c r="I3049" s="28">
        <f t="shared" si="661"/>
        <v>0</v>
      </c>
      <c r="J3049" s="28">
        <f t="shared" si="661"/>
        <v>0</v>
      </c>
      <c r="K3049" s="28">
        <f t="shared" si="661"/>
        <v>0</v>
      </c>
      <c r="L3049" s="28">
        <f t="shared" si="661"/>
        <v>0</v>
      </c>
      <c r="M3049" s="28">
        <f t="shared" si="661"/>
        <v>0</v>
      </c>
    </row>
    <row r="3050" spans="1:13" ht="15" customHeight="1" x14ac:dyDescent="0.2">
      <c r="B3050" s="10" t="s">
        <v>894</v>
      </c>
      <c r="C3050" s="10" t="s">
        <v>199</v>
      </c>
      <c r="D3050" s="28">
        <f>IF(MOD(D3042,Inputs!$D$21)=Inputs!$D$6,Inputs!$D$24,Inputs!$D$6)+SUMPRODUCT(--(D3042&gt;$D$3042:$M$3042),--(MOD(D3042-$D$3042:$M$3042,Inputs!$D$21)=Inputs!$D$6),$D$3049:$M$3049)</f>
        <v>0</v>
      </c>
      <c r="E3050" s="28">
        <f>IF(MOD(E3042,Inputs!$D$21)=Inputs!$D$6,Inputs!$D$24,Inputs!$D$6)+SUMPRODUCT(--(E3042&gt;$D$3042:$M$3042),--(MOD(E3042-$D$3042:$M$3042,Inputs!$D$21)=Inputs!$D$6),$D$3049:$M$3049)</f>
        <v>0</v>
      </c>
      <c r="F3050" s="28">
        <f>IF(MOD(F3042,Inputs!$D$21)=Inputs!$D$6,Inputs!$D$24,Inputs!$D$6)+SUMPRODUCT(--(F3042&gt;$D$3042:$M$3042),--(MOD(F3042-$D$3042:$M$3042,Inputs!$D$21)=Inputs!$D$6),$D$3049:$M$3049)</f>
        <v>0</v>
      </c>
      <c r="G3050" s="28">
        <f>IF(MOD(G3042,Inputs!$D$21)=Inputs!$D$6,Inputs!$D$24,Inputs!$D$6)+SUMPRODUCT(--(G3042&gt;$D$3042:$M$3042),--(MOD(G3042-$D$3042:$M$3042,Inputs!$D$21)=Inputs!$D$6),$D$3049:$M$3049)</f>
        <v>46</v>
      </c>
      <c r="H3050" s="28">
        <f>IF(MOD(H3042,Inputs!$D$21)=Inputs!$D$6,Inputs!$D$24,Inputs!$D$6)+SUMPRODUCT(--(H3042&gt;$D$3042:$M$3042),--(MOD(H3042-$D$3042:$M$3042,Inputs!$D$21)=Inputs!$D$6),$D$3049:$M$3049)</f>
        <v>259.5</v>
      </c>
      <c r="I3050" s="28">
        <f>IF(MOD(I3042,Inputs!$D$21)=Inputs!$D$6,Inputs!$D$24,Inputs!$D$6)+SUMPRODUCT(--(I3042&gt;$D$3042:$M$3042),--(MOD(I3042-$D$3042:$M$3042,Inputs!$D$21)=Inputs!$D$6),$D$3049:$M$3049)</f>
        <v>346</v>
      </c>
      <c r="J3050" s="28">
        <f>IF(MOD(J3042,Inputs!$D$21)=Inputs!$D$6,Inputs!$D$24,Inputs!$D$6)+SUMPRODUCT(--(J3042&gt;$D$3042:$M$3042),--(MOD(J3042-$D$3042:$M$3042,Inputs!$D$21)=Inputs!$D$6),$D$3049:$M$3049)</f>
        <v>259.5</v>
      </c>
      <c r="K3050" s="28">
        <f>IF(MOD(K3042,Inputs!$D$21)=Inputs!$D$6,Inputs!$D$24,Inputs!$D$6)+SUMPRODUCT(--(K3042&gt;$D$3042:$M$3042),--(MOD(K3042-$D$3042:$M$3042,Inputs!$D$21)=Inputs!$D$6),$D$3049:$M$3049)</f>
        <v>46</v>
      </c>
      <c r="L3050" s="28">
        <f>IF(MOD(L3042,Inputs!$D$21)=Inputs!$D$6,Inputs!$D$24,Inputs!$D$6)+SUMPRODUCT(--(L3042&gt;$D$3042:$M$3042),--(MOD(L3042-$D$3042:$M$3042,Inputs!$D$21)=Inputs!$D$6),$D$3049:$M$3049)</f>
        <v>259.5</v>
      </c>
      <c r="M3050" s="28">
        <f>IF(MOD(M3042,Inputs!$D$21)=Inputs!$D$6,Inputs!$D$24,Inputs!$D$6)+SUMPRODUCT(--(M3042&gt;$D$3042:$M$3042),--(MOD(M3042-$D$3042:$M$3042,Inputs!$D$21)=Inputs!$D$6),$D$3049:$M$3049)</f>
        <v>346</v>
      </c>
    </row>
    <row r="3051" spans="1:13" ht="15" customHeight="1" x14ac:dyDescent="0.2">
      <c r="B3051" s="10" t="s">
        <v>895</v>
      </c>
      <c r="C3051" s="10" t="s">
        <v>896</v>
      </c>
      <c r="D3051" s="28">
        <f t="shared" ref="D3051:M3051" si="662">D3048*D3045</f>
        <v>125.58726899383984</v>
      </c>
      <c r="E3051" s="28">
        <f t="shared" si="662"/>
        <v>478.5</v>
      </c>
      <c r="F3051" s="28">
        <f t="shared" si="662"/>
        <v>781.25</v>
      </c>
      <c r="G3051" s="28">
        <f t="shared" si="662"/>
        <v>911</v>
      </c>
      <c r="H3051" s="28">
        <f t="shared" si="662"/>
        <v>911</v>
      </c>
      <c r="I3051" s="28">
        <f t="shared" si="662"/>
        <v>911</v>
      </c>
      <c r="J3051" s="28">
        <f t="shared" si="662"/>
        <v>911</v>
      </c>
      <c r="K3051" s="28">
        <f t="shared" si="662"/>
        <v>911</v>
      </c>
      <c r="L3051" s="28">
        <f t="shared" si="662"/>
        <v>911</v>
      </c>
      <c r="M3051" s="28">
        <f t="shared" si="662"/>
        <v>911</v>
      </c>
    </row>
    <row r="3052" spans="1:13" ht="15" customHeight="1" x14ac:dyDescent="0.2">
      <c r="B3052" s="10" t="s">
        <v>897</v>
      </c>
      <c r="C3052" s="10" t="s">
        <v>110</v>
      </c>
      <c r="D3052" s="16">
        <f>D3051*($D$3071/Inputs!$D$21+$D$3072/Inputs!$D$22)</f>
        <v>1816.9772859324419</v>
      </c>
      <c r="E3052" s="16">
        <f>E3051*($D$3071/Inputs!$D$21+$D$3072/Inputs!$D$22)</f>
        <v>6922.8643817497086</v>
      </c>
      <c r="F3052" s="16">
        <f>F3051*($D$3071/Inputs!$D$21+$D$3072/Inputs!$D$22)</f>
        <v>11303.0048030135</v>
      </c>
      <c r="G3052" s="16">
        <f>G3051*($D$3071/Inputs!$D$21+$D$3072/Inputs!$D$22)</f>
        <v>13180.207840697982</v>
      </c>
      <c r="H3052" s="16">
        <f>H3051*($D$3071/Inputs!$D$21+$D$3072/Inputs!$D$22)</f>
        <v>13180.207840697982</v>
      </c>
      <c r="I3052" s="16">
        <f>I3051*($D$3071/Inputs!$D$21+$D$3072/Inputs!$D$22)</f>
        <v>13180.207840697982</v>
      </c>
      <c r="J3052" s="16">
        <f>J3051*($D$3071/Inputs!$D$21+$D$3072/Inputs!$D$22)</f>
        <v>13180.207840697982</v>
      </c>
      <c r="K3052" s="16">
        <f>K3051*($D$3071/Inputs!$D$21+$D$3072/Inputs!$D$22)</f>
        <v>13180.207840697982</v>
      </c>
      <c r="L3052" s="16">
        <f>L3051*($D$3071/Inputs!$D$21+$D$3072/Inputs!$D$22)</f>
        <v>13180.207840697982</v>
      </c>
      <c r="M3052" s="16">
        <f>M3051*($D$3071/Inputs!$D$21+$D$3072/Inputs!$D$22)</f>
        <v>13180.207840697982</v>
      </c>
    </row>
    <row r="3053" spans="1:13" ht="15" customHeight="1" x14ac:dyDescent="0.2">
      <c r="B3053" s="10" t="s">
        <v>898</v>
      </c>
      <c r="C3053" s="10" t="s">
        <v>110</v>
      </c>
      <c r="D3053" s="16">
        <f t="shared" ref="D3053:M3053" si="663">D3049*($D$3071+$D$3072)</f>
        <v>15560.968620146154</v>
      </c>
      <c r="E3053" s="16">
        <f t="shared" si="663"/>
        <v>20747.95816019487</v>
      </c>
      <c r="F3053" s="16">
        <f t="shared" si="663"/>
        <v>15560.968620146154</v>
      </c>
      <c r="G3053" s="16">
        <f t="shared" si="663"/>
        <v>0</v>
      </c>
      <c r="H3053" s="16">
        <f t="shared" si="663"/>
        <v>0</v>
      </c>
      <c r="I3053" s="16">
        <f t="shared" si="663"/>
        <v>0</v>
      </c>
      <c r="J3053" s="16">
        <f t="shared" si="663"/>
        <v>0</v>
      </c>
      <c r="K3053" s="16">
        <f t="shared" si="663"/>
        <v>0</v>
      </c>
      <c r="L3053" s="16">
        <f t="shared" si="663"/>
        <v>0</v>
      </c>
      <c r="M3053" s="16">
        <f t="shared" si="663"/>
        <v>0</v>
      </c>
    </row>
    <row r="3054" spans="1:13" ht="15" customHeight="1" x14ac:dyDescent="0.2">
      <c r="B3054" s="10" t="s">
        <v>899</v>
      </c>
      <c r="C3054" s="10" t="s">
        <v>110</v>
      </c>
      <c r="D3054" s="16">
        <f t="shared" ref="D3054:M3054" si="664">D3050*$D$3071</f>
        <v>0</v>
      </c>
      <c r="E3054" s="16">
        <f t="shared" si="664"/>
        <v>0</v>
      </c>
      <c r="F3054" s="16">
        <f t="shared" si="664"/>
        <v>0</v>
      </c>
      <c r="G3054" s="16">
        <f t="shared" si="664"/>
        <v>2638.0048485671714</v>
      </c>
      <c r="H3054" s="16">
        <f t="shared" si="664"/>
        <v>14881.788221808281</v>
      </c>
      <c r="I3054" s="16">
        <f t="shared" si="664"/>
        <v>19842.384295744378</v>
      </c>
      <c r="J3054" s="16">
        <f t="shared" si="664"/>
        <v>14881.788221808281</v>
      </c>
      <c r="K3054" s="16">
        <f t="shared" si="664"/>
        <v>2638.0048485671714</v>
      </c>
      <c r="L3054" s="16">
        <f t="shared" si="664"/>
        <v>14881.788221808281</v>
      </c>
      <c r="M3054" s="16">
        <f t="shared" si="664"/>
        <v>19842.384295744378</v>
      </c>
    </row>
    <row r="3055" spans="1:13" ht="15" customHeight="1" x14ac:dyDescent="0.2">
      <c r="B3055" s="10" t="s">
        <v>900</v>
      </c>
      <c r="C3055" s="10" t="s">
        <v>199</v>
      </c>
      <c r="D3055" s="28">
        <f>D3049*Inputs!$D$23</f>
        <v>6.4875000000000007</v>
      </c>
      <c r="E3055" s="28">
        <f>E3049*Inputs!$D$23</f>
        <v>8.65</v>
      </c>
      <c r="F3055" s="28">
        <f>F3049*Inputs!$D$23</f>
        <v>6.4875000000000007</v>
      </c>
      <c r="G3055" s="28">
        <f>G3049*Inputs!$D$23</f>
        <v>0</v>
      </c>
      <c r="H3055" s="28">
        <f>H3049*Inputs!$D$23</f>
        <v>0</v>
      </c>
      <c r="I3055" s="28">
        <f>I3049*Inputs!$D$23</f>
        <v>0</v>
      </c>
      <c r="J3055" s="28">
        <f>J3049*Inputs!$D$23</f>
        <v>0</v>
      </c>
      <c r="K3055" s="28">
        <f>K3049*Inputs!$D$23</f>
        <v>0</v>
      </c>
      <c r="L3055" s="28">
        <f>L3049*Inputs!$D$23</f>
        <v>0</v>
      </c>
      <c r="M3055" s="28">
        <f>M3049*Inputs!$D$23</f>
        <v>0</v>
      </c>
    </row>
    <row r="3056" spans="1:13" ht="15" customHeight="1" x14ac:dyDescent="0.2">
      <c r="B3056" s="3" t="s">
        <v>901</v>
      </c>
      <c r="C3056" s="10" t="s">
        <v>896</v>
      </c>
      <c r="D3056" s="28">
        <f>(D3051*$D$3069*(Inputs!$D$7-Inputs!$D$19)-D3055)/(Inputs!$D$7+$D$3070)^D3044</f>
        <v>58.875151046606746</v>
      </c>
      <c r="E3056" s="28">
        <f>(E3051*$D$3069*(Inputs!$D$7-Inputs!$D$19)-E3055)/(Inputs!$D$7+$D$3070)^E3044</f>
        <v>213.46663821882674</v>
      </c>
      <c r="F3056" s="28">
        <f>(F3051*$D$3069*(Inputs!$D$7-Inputs!$D$19)-F3055)/(Inputs!$D$7+$D$3070)^F3044</f>
        <v>316.8226894052849</v>
      </c>
      <c r="G3056" s="28">
        <f>(G3051*$D$3069*(Inputs!$D$7-Inputs!$D$19)-G3055)/(Inputs!$D$7+$D$3070)^G3044</f>
        <v>334.84859415909301</v>
      </c>
      <c r="H3056" s="28">
        <f>(H3051*$D$3069*(Inputs!$D$7-Inputs!$D$19)-H3055)/(Inputs!$D$7+$D$3070)^H3044</f>
        <v>298.99515100299641</v>
      </c>
      <c r="I3056" s="28">
        <f>(I3051*$D$3069*(Inputs!$D$7-Inputs!$D$19)-I3055)/(Inputs!$D$7+$D$3070)^I3044</f>
        <v>266.89783982362269</v>
      </c>
      <c r="J3056" s="28">
        <f>(J3051*$D$3069*(Inputs!$D$7-Inputs!$D$19)-J3055)/(Inputs!$D$7+$D$3070)^J3044</f>
        <v>238.32012829811245</v>
      </c>
      <c r="K3056" s="28">
        <f>(K3051*$D$3069*(Inputs!$D$7-Inputs!$D$19)-K3055)/(Inputs!$D$7+$D$3070)^K3044</f>
        <v>212.80233511654592</v>
      </c>
      <c r="L3056" s="28">
        <f>(L3051*$D$3069*(Inputs!$D$7-Inputs!$D$19)-L3055)/(Inputs!$D$7+$D$3070)^L3044</f>
        <v>190.01682381778656</v>
      </c>
      <c r="M3056" s="28">
        <f>(M3051*$D$3069*(Inputs!$D$7-Inputs!$D$19)-M3055)/(Inputs!$D$7+$D$3070)^M3044</f>
        <v>169.61840229510915</v>
      </c>
    </row>
    <row r="3057" spans="2:13" ht="15" customHeight="1" x14ac:dyDescent="0.2">
      <c r="B3057" s="10" t="s">
        <v>902</v>
      </c>
      <c r="C3057" s="10" t="s">
        <v>110</v>
      </c>
      <c r="D3057" s="16">
        <f>(D3052*Inputs!$D$19-D3053-D3054)/(Inputs!$D$7+$D$3070)^D3044</f>
        <v>-13847.790632947557</v>
      </c>
      <c r="E3057" s="16">
        <f>(E3052*Inputs!$D$19-E3053-E3054)/(Inputs!$D$7+$D$3070)^E3044</f>
        <v>-15370.239105459035</v>
      </c>
      <c r="F3057" s="16">
        <f>(F3052*Inputs!$D$19-F3053-F3054)/(Inputs!$D$7+$D$3070)^F3044</f>
        <v>-8945.8041564234754</v>
      </c>
      <c r="G3057" s="16">
        <f>(G3052*Inputs!$D$19-G3053-G3054)/(Inputs!$D$7+$D$3070)^G3044</f>
        <v>863.80744262020482</v>
      </c>
      <c r="H3057" s="16">
        <f>(H3052*Inputs!$D$19-H3053-H3054)/(Inputs!$D$7+$D$3070)^H3044</f>
        <v>-6404.5339628745278</v>
      </c>
      <c r="I3057" s="16">
        <f>(I3052*Inputs!$D$19-I3053-I3054)/(Inputs!$D$7+$D$3070)^I3044</f>
        <v>-8312.2134333380691</v>
      </c>
      <c r="J3057" s="16">
        <f>(J3052*Inputs!$D$19-J3053-J3054)/(Inputs!$D$7+$D$3070)^J3044</f>
        <v>-5104.8632414329013</v>
      </c>
      <c r="K3057" s="16">
        <f>(K3052*Inputs!$D$19-K3053-K3054)/(Inputs!$D$7+$D$3070)^K3044</f>
        <v>548.96524604578394</v>
      </c>
      <c r="L3057" s="16">
        <f>(L3052*Inputs!$D$19-L3053-L3054)/(Inputs!$D$7+$D$3070)^L3044</f>
        <v>-4070.1971171644977</v>
      </c>
      <c r="M3057" s="16">
        <f>(M3052*Inputs!$D$19-M3053-M3054)/(Inputs!$D$7+$D$3070)^M3044</f>
        <v>-5282.5619084458349</v>
      </c>
    </row>
    <row r="3058" spans="2:13" ht="15" customHeight="1" x14ac:dyDescent="0.2">
      <c r="B3058" s="10" t="s">
        <v>903</v>
      </c>
      <c r="C3058" s="10" t="s">
        <v>110</v>
      </c>
      <c r="D3058" s="16">
        <f t="shared" ref="D3058:M3058" si="665">D3051*$D$3068</f>
        <v>4154.3505468883377</v>
      </c>
      <c r="E3058" s="16">
        <f t="shared" si="665"/>
        <v>15828.489245861185</v>
      </c>
      <c r="F3058" s="16">
        <f t="shared" si="665"/>
        <v>25843.275283864263</v>
      </c>
      <c r="G3058" s="16">
        <f t="shared" si="665"/>
        <v>30135.326443008442</v>
      </c>
      <c r="H3058" s="16">
        <f t="shared" si="665"/>
        <v>30135.326443008442</v>
      </c>
      <c r="I3058" s="16">
        <f t="shared" si="665"/>
        <v>30135.326443008442</v>
      </c>
      <c r="J3058" s="16">
        <f t="shared" si="665"/>
        <v>30135.326443008442</v>
      </c>
      <c r="K3058" s="16">
        <f t="shared" si="665"/>
        <v>30135.326443008442</v>
      </c>
      <c r="L3058" s="16">
        <f t="shared" si="665"/>
        <v>30135.326443008442</v>
      </c>
      <c r="M3058" s="16">
        <f t="shared" si="665"/>
        <v>30135.326443008442</v>
      </c>
    </row>
    <row r="3059" spans="2:13" ht="15" customHeight="1" x14ac:dyDescent="0.2">
      <c r="B3059" s="10" t="s">
        <v>904</v>
      </c>
      <c r="C3059" s="10" t="s">
        <v>110</v>
      </c>
      <c r="D3059" s="16">
        <f t="shared" ref="D3059:M3059" si="666">D3058*$D$3069</f>
        <v>3323.4804375106705</v>
      </c>
      <c r="E3059" s="16">
        <f t="shared" si="666"/>
        <v>12662.791396688948</v>
      </c>
      <c r="F3059" s="16">
        <f t="shared" si="666"/>
        <v>20674.620227091411</v>
      </c>
      <c r="G3059" s="16">
        <f t="shared" si="666"/>
        <v>24108.261154406755</v>
      </c>
      <c r="H3059" s="16">
        <f t="shared" si="666"/>
        <v>24108.261154406755</v>
      </c>
      <c r="I3059" s="16">
        <f t="shared" si="666"/>
        <v>24108.261154406755</v>
      </c>
      <c r="J3059" s="16">
        <f t="shared" si="666"/>
        <v>24108.261154406755</v>
      </c>
      <c r="K3059" s="16">
        <f t="shared" si="666"/>
        <v>24108.261154406755</v>
      </c>
      <c r="L3059" s="16">
        <f t="shared" si="666"/>
        <v>24108.261154406755</v>
      </c>
      <c r="M3059" s="16">
        <f t="shared" si="666"/>
        <v>24108.261154406755</v>
      </c>
    </row>
    <row r="3060" spans="2:13" ht="15" customHeight="1" x14ac:dyDescent="0.2">
      <c r="B3060" s="10" t="s">
        <v>905</v>
      </c>
      <c r="C3060" s="10" t="s">
        <v>110</v>
      </c>
      <c r="D3060" s="16">
        <f t="shared" ref="D3060:M3060" si="667">D3059-D3052</f>
        <v>1506.5031515782287</v>
      </c>
      <c r="E3060" s="16">
        <f t="shared" si="667"/>
        <v>5739.9270149392396</v>
      </c>
      <c r="F3060" s="16">
        <f t="shared" si="667"/>
        <v>9371.6154240779106</v>
      </c>
      <c r="G3060" s="16">
        <f t="shared" si="667"/>
        <v>10928.053313708773</v>
      </c>
      <c r="H3060" s="16">
        <f t="shared" si="667"/>
        <v>10928.053313708773</v>
      </c>
      <c r="I3060" s="16">
        <f t="shared" si="667"/>
        <v>10928.053313708773</v>
      </c>
      <c r="J3060" s="16">
        <f t="shared" si="667"/>
        <v>10928.053313708773</v>
      </c>
      <c r="K3060" s="16">
        <f t="shared" si="667"/>
        <v>10928.053313708773</v>
      </c>
      <c r="L3060" s="16">
        <f t="shared" si="667"/>
        <v>10928.053313708773</v>
      </c>
      <c r="M3060" s="16">
        <f t="shared" si="667"/>
        <v>10928.053313708773</v>
      </c>
    </row>
    <row r="3061" spans="2:13" ht="15" customHeight="1" x14ac:dyDescent="0.2">
      <c r="B3061" s="10" t="s">
        <v>906</v>
      </c>
      <c r="C3061" s="10" t="s">
        <v>110</v>
      </c>
      <c r="D3061" s="16">
        <f>MAX(D3060,Inputs!$D$6)*Inputs!$D$19</f>
        <v>451.95094547346861</v>
      </c>
      <c r="E3061" s="16">
        <f>MAX(E3060,Inputs!$D$6)*Inputs!$D$19</f>
        <v>1721.9781044817719</v>
      </c>
      <c r="F3061" s="16">
        <f>MAX(F3060,Inputs!$D$6)*Inputs!$D$19</f>
        <v>2811.4846272233731</v>
      </c>
      <c r="G3061" s="16">
        <f>MAX(G3060,Inputs!$D$6)*Inputs!$D$19</f>
        <v>3278.4159941126318</v>
      </c>
      <c r="H3061" s="16">
        <f>MAX(H3060,Inputs!$D$6)*Inputs!$D$19</f>
        <v>3278.4159941126318</v>
      </c>
      <c r="I3061" s="16">
        <f>MAX(I3060,Inputs!$D$6)*Inputs!$D$19</f>
        <v>3278.4159941126318</v>
      </c>
      <c r="J3061" s="16">
        <f>MAX(J3060,Inputs!$D$6)*Inputs!$D$19</f>
        <v>3278.4159941126318</v>
      </c>
      <c r="K3061" s="16">
        <f>MAX(K3060,Inputs!$D$6)*Inputs!$D$19</f>
        <v>3278.4159941126318</v>
      </c>
      <c r="L3061" s="16">
        <f>MAX(L3060,Inputs!$D$6)*Inputs!$D$19</f>
        <v>3278.4159941126318</v>
      </c>
      <c r="M3061" s="16">
        <f>MAX(M3060,Inputs!$D$6)*Inputs!$D$19</f>
        <v>3278.4159941126318</v>
      </c>
    </row>
    <row r="3062" spans="2:13" ht="15" customHeight="1" x14ac:dyDescent="0.2">
      <c r="B3062" s="10" t="s">
        <v>907</v>
      </c>
      <c r="C3062" s="10" t="s">
        <v>110</v>
      </c>
      <c r="D3062" s="16">
        <f t="shared" ref="D3062:M3062" si="668">D3055*$D$3068</f>
        <v>214.60255795720889</v>
      </c>
      <c r="E3062" s="16">
        <f t="shared" si="668"/>
        <v>286.13674394294515</v>
      </c>
      <c r="F3062" s="16">
        <f t="shared" si="668"/>
        <v>214.60255795720889</v>
      </c>
      <c r="G3062" s="16">
        <f t="shared" si="668"/>
        <v>0</v>
      </c>
      <c r="H3062" s="16">
        <f t="shared" si="668"/>
        <v>0</v>
      </c>
      <c r="I3062" s="16">
        <f t="shared" si="668"/>
        <v>0</v>
      </c>
      <c r="J3062" s="16">
        <f t="shared" si="668"/>
        <v>0</v>
      </c>
      <c r="K3062" s="16">
        <f t="shared" si="668"/>
        <v>0</v>
      </c>
      <c r="L3062" s="16">
        <f t="shared" si="668"/>
        <v>0</v>
      </c>
      <c r="M3062" s="16">
        <f t="shared" si="668"/>
        <v>0</v>
      </c>
    </row>
    <row r="3063" spans="2:13" ht="15" customHeight="1" x14ac:dyDescent="0.2">
      <c r="B3063" s="10" t="s">
        <v>908</v>
      </c>
      <c r="C3063" s="10" t="s">
        <v>110</v>
      </c>
      <c r="D3063" s="16">
        <f t="shared" ref="D3063:M3063" si="669">D3059-D3061-D3053-D3054-D3062</f>
        <v>-12904.041686066161</v>
      </c>
      <c r="E3063" s="16">
        <f t="shared" si="669"/>
        <v>-10093.281611930639</v>
      </c>
      <c r="F3063" s="16">
        <f t="shared" si="669"/>
        <v>2087.564421764675</v>
      </c>
      <c r="G3063" s="16">
        <f t="shared" si="669"/>
        <v>18191.840311726952</v>
      </c>
      <c r="H3063" s="16">
        <f t="shared" si="669"/>
        <v>5948.0569384858427</v>
      </c>
      <c r="I3063" s="16">
        <f t="shared" si="669"/>
        <v>987.46086454974647</v>
      </c>
      <c r="J3063" s="16">
        <f t="shared" si="669"/>
        <v>5948.0569384858427</v>
      </c>
      <c r="K3063" s="16">
        <f t="shared" si="669"/>
        <v>18191.840311726952</v>
      </c>
      <c r="L3063" s="16">
        <f t="shared" si="669"/>
        <v>5948.0569384858427</v>
      </c>
      <c r="M3063" s="16">
        <f t="shared" si="669"/>
        <v>987.46086454974647</v>
      </c>
    </row>
    <row r="3064" spans="2:13" ht="15" customHeight="1" x14ac:dyDescent="0.2">
      <c r="B3064" s="10" t="s">
        <v>909</v>
      </c>
      <c r="C3064" s="10" t="s">
        <v>110</v>
      </c>
      <c r="D3064" s="16">
        <f>D3063/(Inputs!$D$7+$D$3070)^D3044</f>
        <v>-11900.236411025578</v>
      </c>
      <c r="E3064" s="16">
        <f>E3063/(Inputs!$D$7+$D$3070)^E3044</f>
        <v>-8308.8924233339803</v>
      </c>
      <c r="F3064" s="16">
        <f>F3063/(Inputs!$D$7+$D$3070)^F3044</f>
        <v>1534.4978960245303</v>
      </c>
      <c r="G3064" s="16">
        <f>G3063/(Inputs!$D$7+$D$3070)^G3044</f>
        <v>11940.395471123737</v>
      </c>
      <c r="H3064" s="16">
        <f>H3063/(Inputs!$D$7+$D$3070)^H3044</f>
        <v>3486.0439518915532</v>
      </c>
      <c r="I3064" s="16">
        <f>I3063/(Inputs!$D$7+$D$3070)^I3044</f>
        <v>516.60493111708922</v>
      </c>
      <c r="J3064" s="16">
        <f>J3063/(Inputs!$D$7+$D$3070)^J3044</f>
        <v>2778.6217906233805</v>
      </c>
      <c r="K3064" s="16">
        <f>K3063/(Inputs!$D$7+$D$3070)^K3044</f>
        <v>7588.3371852023047</v>
      </c>
      <c r="L3064" s="16">
        <f>L3063/(Inputs!$D$7+$D$3070)^L3044</f>
        <v>2215.4439535409033</v>
      </c>
      <c r="M3064" s="16">
        <f>M3063/(Inputs!$D$7+$D$3070)^M3044</f>
        <v>328.31177311799274</v>
      </c>
    </row>
    <row r="3065" spans="2:13" ht="15" customHeight="1" x14ac:dyDescent="0.2">
      <c r="B3065" s="3" t="s">
        <v>910</v>
      </c>
      <c r="C3065" s="10" t="s">
        <v>896</v>
      </c>
      <c r="D3065" s="28">
        <f>(D3051*$D$3069-D3055)/(Inputs!$D$7+$D$3070)^D3044</f>
        <v>86.671431826242667</v>
      </c>
      <c r="E3065" s="28">
        <f>(E3051*$D$3069-E3055)/(Inputs!$D$7+$D$3070)^E3044</f>
        <v>308.00409814343465</v>
      </c>
      <c r="F3065" s="28">
        <f>(F3051*$D$3069-F3055)/(Inputs!$D$7+$D$3070)^F3044</f>
        <v>454.64758836643091</v>
      </c>
      <c r="G3065" s="28">
        <f>(G3051*$D$3069-G3055)/(Inputs!$D$7+$D$3070)^G3044</f>
        <v>478.35513451299005</v>
      </c>
      <c r="H3065" s="28">
        <f>(H3051*$D$3069-H3055)/(Inputs!$D$7+$D$3070)^H3044</f>
        <v>427.13593000428057</v>
      </c>
      <c r="I3065" s="28">
        <f>(I3051*$D$3069-I3055)/(Inputs!$D$7+$D$3070)^I3044</f>
        <v>381.28262831946103</v>
      </c>
      <c r="J3065" s="28">
        <f>(J3051*$D$3069-J3055)/(Inputs!$D$7+$D$3070)^J3044</f>
        <v>340.45732614016066</v>
      </c>
      <c r="K3065" s="28">
        <f>(K3051*$D$3069-K3055)/(Inputs!$D$7+$D$3070)^K3044</f>
        <v>304.0033358807799</v>
      </c>
      <c r="L3065" s="28">
        <f>(L3051*$D$3069-L3055)/(Inputs!$D$7+$D$3070)^L3044</f>
        <v>271.45260545398082</v>
      </c>
      <c r="M3065" s="28">
        <f>(M3051*$D$3069-M3055)/(Inputs!$D$7+$D$3070)^M3044</f>
        <v>242.31200327872736</v>
      </c>
    </row>
    <row r="3066" spans="2:13" ht="15" customHeight="1" x14ac:dyDescent="0.2">
      <c r="B3066" s="10" t="s">
        <v>911</v>
      </c>
      <c r="C3066" s="10" t="s">
        <v>110</v>
      </c>
      <c r="D3066" s="16">
        <f>(-D3053-D3054)/(Inputs!$D$7+$D$3070)^D3044</f>
        <v>-14350.481025200577</v>
      </c>
      <c r="E3066" s="16">
        <f>(-E3053-E3054)/(Inputs!$D$7+$D$3070)^E3044</f>
        <v>-17079.930887207098</v>
      </c>
      <c r="F3066" s="16">
        <f>(-F3053-F3054)/(Inputs!$D$7+$D$3070)^F3044</f>
        <v>-11438.340948315768</v>
      </c>
      <c r="G3066" s="16">
        <f>(-G3053-G3054)/(Inputs!$D$7+$D$3070)^G3044</f>
        <v>-1731.4807411941122</v>
      </c>
      <c r="H3066" s="16">
        <f>(-H3053-H3054)/(Inputs!$D$7+$D$3070)^H3044</f>
        <v>-8721.9353076959778</v>
      </c>
      <c r="I3066" s="16">
        <f>(-I3053-I3054)/(Inputs!$D$7+$D$3070)^I3044</f>
        <v>-10380.8403353543</v>
      </c>
      <c r="J3066" s="16">
        <f>(-J3053-J3054)/(Inputs!$D$7+$D$3070)^J3044</f>
        <v>-6951.9948218729187</v>
      </c>
      <c r="K3066" s="16">
        <f>(-K3053-K3054)/(Inputs!$D$7+$D$3070)^K3044</f>
        <v>-1100.3873134386547</v>
      </c>
      <c r="L3066" s="16">
        <f>(-L3053-L3054)/(Inputs!$D$7+$D$3070)^L3044</f>
        <v>-5542.947566718196</v>
      </c>
      <c r="M3066" s="16">
        <f>(-M3053-M3054)/(Inputs!$D$7+$D$3070)^M3044</f>
        <v>-6597.2117021517279</v>
      </c>
    </row>
    <row r="3067" spans="2:13" ht="15" customHeight="1" x14ac:dyDescent="0.2">
      <c r="B3067" s="10" t="s">
        <v>912</v>
      </c>
      <c r="C3067" s="10" t="s">
        <v>110</v>
      </c>
      <c r="D3067" s="16">
        <f>Prices!I8</f>
        <v>32775</v>
      </c>
    </row>
    <row r="3068" spans="2:13" ht="15" customHeight="1" x14ac:dyDescent="0.2">
      <c r="B3068" s="3" t="s">
        <v>913</v>
      </c>
      <c r="C3068" s="10" t="s">
        <v>914</v>
      </c>
      <c r="D3068" s="28">
        <f>IF(J3075&gt;=J3071,J3075,(D3067-J3074)/J3073)</f>
        <v>33.079392363346258</v>
      </c>
      <c r="G3068" s="99" t="s">
        <v>915</v>
      </c>
      <c r="H3068" s="91"/>
      <c r="I3068" s="91"/>
      <c r="J3068" s="28">
        <f>D3068*Inputs!$D$15</f>
        <v>23.086107930379352</v>
      </c>
      <c r="K3068" s="99" t="s">
        <v>916</v>
      </c>
      <c r="L3068" s="91"/>
      <c r="M3068" s="91"/>
    </row>
    <row r="3069" spans="2:13" ht="15" customHeight="1" x14ac:dyDescent="0.2">
      <c r="B3069" s="10" t="s">
        <v>917</v>
      </c>
      <c r="C3069" s="10" t="s">
        <v>104</v>
      </c>
      <c r="D3069" s="30">
        <f>Inputs!$D$144</f>
        <v>0.8</v>
      </c>
      <c r="G3069" s="99" t="s">
        <v>918</v>
      </c>
      <c r="H3069" s="91"/>
      <c r="I3069" s="91"/>
      <c r="J3069" s="28">
        <f>IF(-D3080/D3079&gt;=J3071,-D3080/D3079,-J3074/J3073)</f>
        <v>25.141181976033842</v>
      </c>
      <c r="K3069" s="99" t="s">
        <v>919</v>
      </c>
      <c r="L3069" s="91"/>
      <c r="M3069" s="91"/>
    </row>
    <row r="3070" spans="2:13" ht="15" customHeight="1" x14ac:dyDescent="0.2">
      <c r="B3070" s="10" t="s">
        <v>920</v>
      </c>
      <c r="C3070" s="10" t="s">
        <v>104</v>
      </c>
      <c r="D3070" s="30">
        <f>Inputs!$D$148</f>
        <v>0.12</v>
      </c>
      <c r="G3070" s="99" t="s">
        <v>918</v>
      </c>
      <c r="H3070" s="91"/>
      <c r="I3070" s="91"/>
      <c r="J3070" s="28">
        <f>J3069*Inputs!$D$15</f>
        <v>17.546030901074019</v>
      </c>
      <c r="K3070" s="99" t="s">
        <v>916</v>
      </c>
      <c r="L3070" s="91"/>
      <c r="M3070" s="91"/>
    </row>
    <row r="3071" spans="2:13" ht="15" customHeight="1" x14ac:dyDescent="0.2">
      <c r="B3071" s="3" t="s">
        <v>921</v>
      </c>
      <c r="C3071" s="10" t="s">
        <v>848</v>
      </c>
      <c r="D3071" s="28">
        <f>Capital!$D$13</f>
        <v>57.347931490590682</v>
      </c>
      <c r="G3071" s="99" t="s">
        <v>922</v>
      </c>
      <c r="H3071" s="91"/>
      <c r="I3071" s="91"/>
      <c r="J3071" s="28">
        <f>($D$3071/Inputs!$D$21+$D$3072/Inputs!$D$22)/$D$3069</f>
        <v>18.084807684821598</v>
      </c>
      <c r="K3071" s="99" t="s">
        <v>919</v>
      </c>
      <c r="L3071" s="91"/>
      <c r="M3071" s="91"/>
    </row>
    <row r="3072" spans="2:13" ht="15" customHeight="1" x14ac:dyDescent="0.2">
      <c r="B3072" s="3" t="s">
        <v>923</v>
      </c>
      <c r="C3072" s="10" t="s">
        <v>848</v>
      </c>
      <c r="D3072" s="28">
        <f>Capital!$D$14</f>
        <v>2.6172655041921802</v>
      </c>
    </row>
    <row r="3073" spans="1:13" ht="15" customHeight="1" x14ac:dyDescent="0.2">
      <c r="B3073" s="10" t="s">
        <v>924</v>
      </c>
      <c r="C3073" s="10" t="s">
        <v>896</v>
      </c>
      <c r="D3073" s="28">
        <f>(M3046*(Inputs!$D$7+Inputs!$D$20)*$D$3069*(Inputs!$D$7-Inputs!$D$19)-M3046*Inputs!$D$20*Inputs!$D$23)/($D$3070-Inputs!$D$20)/(Inputs!$D$7+$D$3070)^M3044</f>
        <v>1828.1005905255297</v>
      </c>
      <c r="G3073" s="92" t="s">
        <v>910</v>
      </c>
      <c r="H3073" s="91"/>
      <c r="I3073" s="91"/>
      <c r="J3073" s="28">
        <f>SUM(D3065:M3065)+(M3046*(Inputs!$D$7+Inputs!$D$20)*$D$3069-M3046*Inputs!$D$20*Inputs!$D$23)/($D$3070-Inputs!$D$20)/(Inputs!$D$7+$D$3070)^M3044</f>
        <v>5906.7483672752678</v>
      </c>
      <c r="K3073" s="99" t="s">
        <v>896</v>
      </c>
      <c r="L3073" s="91"/>
      <c r="M3073" s="91"/>
    </row>
    <row r="3074" spans="1:13" ht="15" customHeight="1" x14ac:dyDescent="0.2">
      <c r="B3074" s="10" t="s">
        <v>925</v>
      </c>
      <c r="C3074" s="10" t="s">
        <v>110</v>
      </c>
      <c r="D3074" s="16">
        <f>(D3077*Inputs!$D$19-D3077-D3078)/($D$3070-Inputs!$D$20)/(Inputs!$D$7+$D$3070)^M3044</f>
        <v>-37876.58483194092</v>
      </c>
      <c r="G3074" s="92" t="s">
        <v>926</v>
      </c>
      <c r="H3074" s="91"/>
      <c r="I3074" s="91"/>
      <c r="J3074" s="16">
        <f>SUM(D3066:M3066)-(D3077+D3078)/($D$3070-Inputs!$D$20)/(Inputs!$D$7+$D$3070)^M3044</f>
        <v>-135956.51483423277</v>
      </c>
      <c r="K3074" s="99" t="s">
        <v>110</v>
      </c>
      <c r="L3074" s="91"/>
      <c r="M3074" s="91"/>
    </row>
    <row r="3075" spans="1:13" ht="15" customHeight="1" x14ac:dyDescent="0.2">
      <c r="B3075" s="10" t="s">
        <v>927</v>
      </c>
      <c r="C3075" s="10" t="s">
        <v>928</v>
      </c>
      <c r="D3075" s="16">
        <f>(M3046*(Inputs!$D$7+Inputs!$D$20)*$D$3068*$D$3069-D3077)-MAX((M3046*(Inputs!$D$7+Inputs!$D$20)*$D$3068*$D$3069-D3077),Inputs!$D$6)*Inputs!$D$19-D3078-M3046*Inputs!$D$20*$D$3068*Inputs!$D$23</f>
        <v>6456.3363120029835</v>
      </c>
      <c r="G3075" s="99" t="s">
        <v>929</v>
      </c>
      <c r="H3075" s="91"/>
      <c r="I3075" s="91"/>
      <c r="J3075" s="28">
        <f>(D3067-D3080)/D3079</f>
        <v>33.079392363346258</v>
      </c>
      <c r="K3075" s="99" t="s">
        <v>919</v>
      </c>
      <c r="L3075" s="91"/>
      <c r="M3075" s="91"/>
    </row>
    <row r="3076" spans="1:13" ht="15" customHeight="1" x14ac:dyDescent="0.2">
      <c r="B3076" s="10" t="s">
        <v>930</v>
      </c>
      <c r="C3076" s="10" t="s">
        <v>110</v>
      </c>
      <c r="D3076" s="16">
        <f>D3075/($D$3070-Inputs!$D$20)</f>
        <v>67961.434863189294</v>
      </c>
      <c r="G3076" s="99" t="s">
        <v>931</v>
      </c>
      <c r="H3076" s="91"/>
      <c r="I3076" s="91"/>
      <c r="J3076" s="16">
        <f>MIN(D3060:M3060,(M3046*(Inputs!$D$7+Inputs!$D$20)*$D$3068*$D$3069-D3077))</f>
        <v>1506.5031515782287</v>
      </c>
      <c r="K3076" s="99" t="s">
        <v>110</v>
      </c>
      <c r="L3076" s="91"/>
      <c r="M3076" s="91"/>
    </row>
    <row r="3077" spans="1:13" ht="15" customHeight="1" x14ac:dyDescent="0.2">
      <c r="B3077" s="10" t="s">
        <v>932</v>
      </c>
      <c r="C3077" s="10" t="s">
        <v>928</v>
      </c>
      <c r="D3077" s="16">
        <f>M3046*(Inputs!$D$7+Inputs!$D$20)*($D$3071/Inputs!$D$21+$D$3072/Inputs!$D$22)</f>
        <v>13509.71303671543</v>
      </c>
      <c r="G3077" s="99" t="s">
        <v>933</v>
      </c>
      <c r="H3077" s="91"/>
      <c r="I3077" s="91"/>
      <c r="J3077" s="31" t="str">
        <f>IF(J3076&lt;Inputs!$D$6,"breached","satisfied")</f>
        <v>satisfied</v>
      </c>
      <c r="K3077" s="99" t="s">
        <v>934</v>
      </c>
      <c r="L3077" s="91"/>
      <c r="M3077" s="91"/>
    </row>
    <row r="3078" spans="1:13" ht="15" customHeight="1" x14ac:dyDescent="0.2">
      <c r="B3078" s="10" t="s">
        <v>935</v>
      </c>
      <c r="C3078" s="10" t="s">
        <v>928</v>
      </c>
      <c r="D3078" s="16">
        <f>M3046*Inputs!$D$20*($D$3071+$D$3072)</f>
        <v>1365.7073615561799</v>
      </c>
    </row>
    <row r="3079" spans="1:13" ht="15" customHeight="1" x14ac:dyDescent="0.2">
      <c r="B3079" s="10" t="s">
        <v>936</v>
      </c>
      <c r="C3079" s="10" t="s">
        <v>896</v>
      </c>
      <c r="D3079" s="28">
        <f>SUM(D3056:M3056)+D3073</f>
        <v>4128.7643437095139</v>
      </c>
      <c r="G3079" s="99" t="s">
        <v>937</v>
      </c>
      <c r="H3079" s="91"/>
      <c r="I3079" s="91"/>
      <c r="J3079" s="16">
        <f>D3081-D3067</f>
        <v>0</v>
      </c>
      <c r="K3079" s="99" t="s">
        <v>110</v>
      </c>
      <c r="L3079" s="91"/>
      <c r="M3079" s="91"/>
    </row>
    <row r="3080" spans="1:13" ht="15" customHeight="1" x14ac:dyDescent="0.2">
      <c r="B3080" s="10" t="s">
        <v>938</v>
      </c>
      <c r="C3080" s="10" t="s">
        <v>110</v>
      </c>
      <c r="D3080" s="16">
        <f>SUM(D3057:M3057)+D3074</f>
        <v>-103802.01570136083</v>
      </c>
    </row>
    <row r="3081" spans="1:13" ht="15" customHeight="1" x14ac:dyDescent="0.2">
      <c r="B3081" s="10" t="s">
        <v>939</v>
      </c>
      <c r="C3081" s="10" t="s">
        <v>110</v>
      </c>
      <c r="D3081" s="16">
        <f>SUM(D3064:M3064)+D3076/(Inputs!$D$7+$D$3070)^M3044</f>
        <v>32775.000000000015</v>
      </c>
    </row>
    <row r="3082" spans="1:13" ht="15" customHeight="1" x14ac:dyDescent="0.2">
      <c r="B3082" s="10" t="s">
        <v>940</v>
      </c>
      <c r="C3082" s="10" t="s">
        <v>104</v>
      </c>
      <c r="D3082" s="30">
        <f>IF(ABS(D3067)&gt;Inputs!$D$6,D3081/D3067-Inputs!$D$7,Inputs!$D$6)</f>
        <v>4.4408920985006262E-16</v>
      </c>
    </row>
    <row r="3083" spans="1:13" ht="15" customHeight="1" x14ac:dyDescent="0.2">
      <c r="B3083" s="10" t="s">
        <v>941</v>
      </c>
      <c r="C3083" s="10" t="s">
        <v>104</v>
      </c>
      <c r="D3083" s="30">
        <f>IF(ABS(D3081)&gt;Inputs!$D$119,D3076/(Inputs!$D$7+$D$3070)^M3044/D3081,Inputs!$D$6)</f>
        <v>0.689424008595517</v>
      </c>
    </row>
    <row r="3084" spans="1:13" ht="15" customHeight="1" x14ac:dyDescent="0.2">
      <c r="B3084" s="10" t="s">
        <v>942</v>
      </c>
      <c r="C3084" s="10" t="s">
        <v>943</v>
      </c>
      <c r="D3084" s="26">
        <f>$D$3068*Inputs!$D$8/Prices!$P$6/(Inputs!$D$26/Inputs!$D$25)/Inputs!$D$11/Inputs!$D$56</f>
        <v>6.0155879806676396</v>
      </c>
    </row>
    <row r="3088" spans="1:13" ht="15" customHeight="1" x14ac:dyDescent="0.2">
      <c r="A3088" s="104" t="s">
        <v>2232</v>
      </c>
      <c r="B3088" s="10" t="s">
        <v>886</v>
      </c>
      <c r="C3088" s="10" t="s">
        <v>107</v>
      </c>
      <c r="D3088" s="28">
        <f>Inputs!$D$60</f>
        <v>1</v>
      </c>
      <c r="E3088" s="28">
        <f>Inputs!$D$62</f>
        <v>2</v>
      </c>
      <c r="F3088" s="28">
        <f>Inputs!$D$64</f>
        <v>3</v>
      </c>
      <c r="G3088" s="28">
        <f>Inputs!$D$66</f>
        <v>4</v>
      </c>
      <c r="H3088" s="28">
        <f>Inputs!$D$68</f>
        <v>5</v>
      </c>
      <c r="I3088" s="28">
        <f>Inputs!$D$70</f>
        <v>6</v>
      </c>
      <c r="J3088" s="28">
        <f>Inputs!$D$72</f>
        <v>7</v>
      </c>
      <c r="K3088" s="28">
        <f>Inputs!$D$74</f>
        <v>8</v>
      </c>
      <c r="L3088" s="28">
        <f>Inputs!$D$76</f>
        <v>9</v>
      </c>
      <c r="M3088" s="28">
        <f>Inputs!$D$78</f>
        <v>10</v>
      </c>
    </row>
    <row r="3089" spans="1:13" ht="15" customHeight="1" x14ac:dyDescent="0.2">
      <c r="A3089" s="91"/>
      <c r="B3089" s="10" t="s">
        <v>887</v>
      </c>
      <c r="C3089" s="10" t="s">
        <v>161</v>
      </c>
      <c r="D3089" s="29">
        <f>Inputs!$D$61</f>
        <v>46568</v>
      </c>
      <c r="E3089" s="29">
        <f>Inputs!$D$63</f>
        <v>46934</v>
      </c>
      <c r="F3089" s="29">
        <f>Inputs!$D$65</f>
        <v>47299</v>
      </c>
      <c r="G3089" s="29">
        <f>Inputs!$D$67</f>
        <v>47664</v>
      </c>
      <c r="H3089" s="29">
        <f>Inputs!$D$69</f>
        <v>48029</v>
      </c>
      <c r="I3089" s="29">
        <f>Inputs!$D$71</f>
        <v>48395</v>
      </c>
      <c r="J3089" s="29">
        <f>Inputs!$D$73</f>
        <v>48760</v>
      </c>
      <c r="K3089" s="29">
        <f>Inputs!$D$75</f>
        <v>49125</v>
      </c>
      <c r="L3089" s="29">
        <f>Inputs!$D$77</f>
        <v>49490</v>
      </c>
      <c r="M3089" s="29">
        <f>Inputs!$D$79</f>
        <v>49856</v>
      </c>
    </row>
    <row r="3090" spans="1:13" ht="15" customHeight="1" x14ac:dyDescent="0.2">
      <c r="A3090" s="91"/>
      <c r="B3090" s="10" t="s">
        <v>888</v>
      </c>
      <c r="C3090" s="10" t="s">
        <v>107</v>
      </c>
      <c r="D3090" s="28">
        <f>(D3089-Inputs!$D$13)/Inputs!$D$10</f>
        <v>0.71457905544147848</v>
      </c>
      <c r="E3090" s="28">
        <f>(E3089-Inputs!$D$13)/Inputs!$D$10</f>
        <v>1.7166324435318274</v>
      </c>
      <c r="F3090" s="28">
        <f>(F3089-Inputs!$D$13)/Inputs!$D$10</f>
        <v>2.7159479808350446</v>
      </c>
      <c r="G3090" s="28">
        <f>(G3089-Inputs!$D$13)/Inputs!$D$10</f>
        <v>3.7152635181382614</v>
      </c>
      <c r="H3090" s="28">
        <f>(H3089-Inputs!$D$13)/Inputs!$D$10</f>
        <v>4.7145790554414786</v>
      </c>
      <c r="I3090" s="28">
        <f>(I3089-Inputs!$D$13)/Inputs!$D$10</f>
        <v>5.7166324435318279</v>
      </c>
      <c r="J3090" s="28">
        <f>(J3089-Inputs!$D$13)/Inputs!$D$10</f>
        <v>6.7159479808350442</v>
      </c>
      <c r="K3090" s="28">
        <f>(K3089-Inputs!$D$13)/Inputs!$D$10</f>
        <v>7.7152635181382614</v>
      </c>
      <c r="L3090" s="28">
        <f>(L3089-Inputs!$D$13)/Inputs!$D$10</f>
        <v>8.7145790554414777</v>
      </c>
      <c r="M3090" s="28">
        <f>(M3089-Inputs!$D$13)/Inputs!$D$10</f>
        <v>9.716632443531827</v>
      </c>
    </row>
    <row r="3091" spans="1:13" ht="15" customHeight="1" x14ac:dyDescent="0.2">
      <c r="A3091" s="91"/>
      <c r="B3091" s="10" t="s">
        <v>889</v>
      </c>
      <c r="C3091" s="10" t="s">
        <v>107</v>
      </c>
      <c r="D3091" s="28">
        <f>D3090</f>
        <v>0.71457905544147848</v>
      </c>
      <c r="E3091" s="28">
        <f>Inputs!$D$7</f>
        <v>1</v>
      </c>
      <c r="F3091" s="28">
        <f>Inputs!$D$7</f>
        <v>1</v>
      </c>
      <c r="G3091" s="28">
        <f>Inputs!$D$7</f>
        <v>1</v>
      </c>
      <c r="H3091" s="28">
        <f>Inputs!$D$7</f>
        <v>1</v>
      </c>
      <c r="I3091" s="28">
        <f>Inputs!$D$7</f>
        <v>1</v>
      </c>
      <c r="J3091" s="28">
        <f>Inputs!$D$7</f>
        <v>1</v>
      </c>
      <c r="K3091" s="28">
        <f>Inputs!$D$7</f>
        <v>1</v>
      </c>
      <c r="L3091" s="28">
        <f>Inputs!$D$7</f>
        <v>1</v>
      </c>
      <c r="M3091" s="28">
        <f>Inputs!$D$7</f>
        <v>1</v>
      </c>
    </row>
    <row r="3092" spans="1:13" ht="15" customHeight="1" x14ac:dyDescent="0.2">
      <c r="A3092" s="91"/>
      <c r="B3092" s="3" t="s">
        <v>890</v>
      </c>
      <c r="C3092" s="10" t="s">
        <v>199</v>
      </c>
      <c r="D3092" s="28">
        <f>Inputs!$D$24+(Inputs!$D$80-Inputs!$D$24)*Inputs!$D$83</f>
        <v>305.5</v>
      </c>
      <c r="E3092" s="28">
        <f>Inputs!$D$24+(Inputs!$D$80-Inputs!$D$24)*Inputs!$D$84</f>
        <v>651.5</v>
      </c>
      <c r="F3092" s="28">
        <f>Inputs!$D$24+(Inputs!$D$80-Inputs!$D$24)*Inputs!$D$85</f>
        <v>911</v>
      </c>
      <c r="G3092" s="28">
        <f>Inputs!$D$24+(Inputs!$D$80-Inputs!$D$24)*Inputs!$D$86</f>
        <v>911</v>
      </c>
      <c r="H3092" s="28">
        <f>Inputs!$D$24+(Inputs!$D$80-Inputs!$D$24)*Inputs!$D$87</f>
        <v>911</v>
      </c>
      <c r="I3092" s="28">
        <f>Inputs!$D$24+(Inputs!$D$80-Inputs!$D$24)*Inputs!$D$88</f>
        <v>911</v>
      </c>
      <c r="J3092" s="28">
        <f>Inputs!$D$24+(Inputs!$D$80-Inputs!$D$24)*Inputs!$D$89</f>
        <v>911</v>
      </c>
      <c r="K3092" s="28">
        <f>Inputs!$D$24+(Inputs!$D$80-Inputs!$D$24)*Inputs!$D$90</f>
        <v>911</v>
      </c>
      <c r="L3092" s="28">
        <f>Inputs!$D$24+(Inputs!$D$80-Inputs!$D$24)*Inputs!$D$91</f>
        <v>911</v>
      </c>
      <c r="M3092" s="28">
        <f>Inputs!$D$24+(Inputs!$D$80-Inputs!$D$24)*Inputs!$D$92</f>
        <v>911</v>
      </c>
    </row>
    <row r="3093" spans="1:13" ht="15" customHeight="1" x14ac:dyDescent="0.2">
      <c r="A3093" s="91"/>
      <c r="B3093" s="10" t="s">
        <v>891</v>
      </c>
      <c r="C3093" s="10" t="s">
        <v>199</v>
      </c>
      <c r="D3093" s="28">
        <f>Inputs!$D$24</f>
        <v>46</v>
      </c>
      <c r="E3093" s="28">
        <f t="shared" ref="E3093:M3093" si="670">D3092</f>
        <v>305.5</v>
      </c>
      <c r="F3093" s="28">
        <f t="shared" si="670"/>
        <v>651.5</v>
      </c>
      <c r="G3093" s="28">
        <f t="shared" si="670"/>
        <v>911</v>
      </c>
      <c r="H3093" s="28">
        <f t="shared" si="670"/>
        <v>911</v>
      </c>
      <c r="I3093" s="28">
        <f t="shared" si="670"/>
        <v>911</v>
      </c>
      <c r="J3093" s="28">
        <f t="shared" si="670"/>
        <v>911</v>
      </c>
      <c r="K3093" s="28">
        <f t="shared" si="670"/>
        <v>911</v>
      </c>
      <c r="L3093" s="28">
        <f t="shared" si="670"/>
        <v>911</v>
      </c>
      <c r="M3093" s="28">
        <f t="shared" si="670"/>
        <v>911</v>
      </c>
    </row>
    <row r="3094" spans="1:13" ht="15" customHeight="1" x14ac:dyDescent="0.2">
      <c r="B3094" s="10" t="s">
        <v>892</v>
      </c>
      <c r="C3094" s="10" t="s">
        <v>199</v>
      </c>
      <c r="D3094" s="28">
        <f>(D3093+D3092)*Inputs!$D$12</f>
        <v>175.75</v>
      </c>
      <c r="E3094" s="28">
        <f>(E3093+E3092)*Inputs!$D$12</f>
        <v>478.5</v>
      </c>
      <c r="F3094" s="28">
        <f>(F3093+F3092)*Inputs!$D$12</f>
        <v>781.25</v>
      </c>
      <c r="G3094" s="28">
        <f>(G3093+G3092)*Inputs!$D$12</f>
        <v>911</v>
      </c>
      <c r="H3094" s="28">
        <f>(H3093+H3092)*Inputs!$D$12</f>
        <v>911</v>
      </c>
      <c r="I3094" s="28">
        <f>(I3093+I3092)*Inputs!$D$12</f>
        <v>911</v>
      </c>
      <c r="J3094" s="28">
        <f>(J3093+J3092)*Inputs!$D$12</f>
        <v>911</v>
      </c>
      <c r="K3094" s="28">
        <f>(K3093+K3092)*Inputs!$D$12</f>
        <v>911</v>
      </c>
      <c r="L3094" s="28">
        <f>(L3093+L3092)*Inputs!$D$12</f>
        <v>911</v>
      </c>
      <c r="M3094" s="28">
        <f>(M3093+M3092)*Inputs!$D$12</f>
        <v>911</v>
      </c>
    </row>
    <row r="3095" spans="1:13" ht="15" customHeight="1" x14ac:dyDescent="0.2">
      <c r="B3095" s="10" t="s">
        <v>893</v>
      </c>
      <c r="C3095" s="10" t="s">
        <v>199</v>
      </c>
      <c r="D3095" s="28">
        <f t="shared" ref="D3095:M3095" si="671">D3092-D3093</f>
        <v>259.5</v>
      </c>
      <c r="E3095" s="28">
        <f t="shared" si="671"/>
        <v>346</v>
      </c>
      <c r="F3095" s="28">
        <f t="shared" si="671"/>
        <v>259.5</v>
      </c>
      <c r="G3095" s="28">
        <f t="shared" si="671"/>
        <v>0</v>
      </c>
      <c r="H3095" s="28">
        <f t="shared" si="671"/>
        <v>0</v>
      </c>
      <c r="I3095" s="28">
        <f t="shared" si="671"/>
        <v>0</v>
      </c>
      <c r="J3095" s="28">
        <f t="shared" si="671"/>
        <v>0</v>
      </c>
      <c r="K3095" s="28">
        <f t="shared" si="671"/>
        <v>0</v>
      </c>
      <c r="L3095" s="28">
        <f t="shared" si="671"/>
        <v>0</v>
      </c>
      <c r="M3095" s="28">
        <f t="shared" si="671"/>
        <v>0</v>
      </c>
    </row>
    <row r="3096" spans="1:13" ht="15" customHeight="1" x14ac:dyDescent="0.2">
      <c r="B3096" s="10" t="s">
        <v>894</v>
      </c>
      <c r="C3096" s="10" t="s">
        <v>199</v>
      </c>
      <c r="D3096" s="28">
        <f>IF(MOD(D3088,Inputs!$D$21)=Inputs!$D$6,Inputs!$D$24,Inputs!$D$6)+SUMPRODUCT(--(D3088&gt;$D$3088:$M$3088),--(MOD(D3088-$D$3088:$M$3088,Inputs!$D$21)=Inputs!$D$6),$D$3095:$M$3095)</f>
        <v>0</v>
      </c>
      <c r="E3096" s="28">
        <f>IF(MOD(E3088,Inputs!$D$21)=Inputs!$D$6,Inputs!$D$24,Inputs!$D$6)+SUMPRODUCT(--(E3088&gt;$D$3088:$M$3088),--(MOD(E3088-$D$3088:$M$3088,Inputs!$D$21)=Inputs!$D$6),$D$3095:$M$3095)</f>
        <v>0</v>
      </c>
      <c r="F3096" s="28">
        <f>IF(MOD(F3088,Inputs!$D$21)=Inputs!$D$6,Inputs!$D$24,Inputs!$D$6)+SUMPRODUCT(--(F3088&gt;$D$3088:$M$3088),--(MOD(F3088-$D$3088:$M$3088,Inputs!$D$21)=Inputs!$D$6),$D$3095:$M$3095)</f>
        <v>0</v>
      </c>
      <c r="G3096" s="28">
        <f>IF(MOD(G3088,Inputs!$D$21)=Inputs!$D$6,Inputs!$D$24,Inputs!$D$6)+SUMPRODUCT(--(G3088&gt;$D$3088:$M$3088),--(MOD(G3088-$D$3088:$M$3088,Inputs!$D$21)=Inputs!$D$6),$D$3095:$M$3095)</f>
        <v>46</v>
      </c>
      <c r="H3096" s="28">
        <f>IF(MOD(H3088,Inputs!$D$21)=Inputs!$D$6,Inputs!$D$24,Inputs!$D$6)+SUMPRODUCT(--(H3088&gt;$D$3088:$M$3088),--(MOD(H3088-$D$3088:$M$3088,Inputs!$D$21)=Inputs!$D$6),$D$3095:$M$3095)</f>
        <v>259.5</v>
      </c>
      <c r="I3096" s="28">
        <f>IF(MOD(I3088,Inputs!$D$21)=Inputs!$D$6,Inputs!$D$24,Inputs!$D$6)+SUMPRODUCT(--(I3088&gt;$D$3088:$M$3088),--(MOD(I3088-$D$3088:$M$3088,Inputs!$D$21)=Inputs!$D$6),$D$3095:$M$3095)</f>
        <v>346</v>
      </c>
      <c r="J3096" s="28">
        <f>IF(MOD(J3088,Inputs!$D$21)=Inputs!$D$6,Inputs!$D$24,Inputs!$D$6)+SUMPRODUCT(--(J3088&gt;$D$3088:$M$3088),--(MOD(J3088-$D$3088:$M$3088,Inputs!$D$21)=Inputs!$D$6),$D$3095:$M$3095)</f>
        <v>259.5</v>
      </c>
      <c r="K3096" s="28">
        <f>IF(MOD(K3088,Inputs!$D$21)=Inputs!$D$6,Inputs!$D$24,Inputs!$D$6)+SUMPRODUCT(--(K3088&gt;$D$3088:$M$3088),--(MOD(K3088-$D$3088:$M$3088,Inputs!$D$21)=Inputs!$D$6),$D$3095:$M$3095)</f>
        <v>46</v>
      </c>
      <c r="L3096" s="28">
        <f>IF(MOD(L3088,Inputs!$D$21)=Inputs!$D$6,Inputs!$D$24,Inputs!$D$6)+SUMPRODUCT(--(L3088&gt;$D$3088:$M$3088),--(MOD(L3088-$D$3088:$M$3088,Inputs!$D$21)=Inputs!$D$6),$D$3095:$M$3095)</f>
        <v>259.5</v>
      </c>
      <c r="M3096" s="28">
        <f>IF(MOD(M3088,Inputs!$D$21)=Inputs!$D$6,Inputs!$D$24,Inputs!$D$6)+SUMPRODUCT(--(M3088&gt;$D$3088:$M$3088),--(MOD(M3088-$D$3088:$M$3088,Inputs!$D$21)=Inputs!$D$6),$D$3095:$M$3095)</f>
        <v>346</v>
      </c>
    </row>
    <row r="3097" spans="1:13" ht="15" customHeight="1" x14ac:dyDescent="0.2">
      <c r="B3097" s="10" t="s">
        <v>895</v>
      </c>
      <c r="C3097" s="10" t="s">
        <v>896</v>
      </c>
      <c r="D3097" s="28">
        <f t="shared" ref="D3097:M3097" si="672">D3094*D3091</f>
        <v>125.58726899383984</v>
      </c>
      <c r="E3097" s="28">
        <f t="shared" si="672"/>
        <v>478.5</v>
      </c>
      <c r="F3097" s="28">
        <f t="shared" si="672"/>
        <v>781.25</v>
      </c>
      <c r="G3097" s="28">
        <f t="shared" si="672"/>
        <v>911</v>
      </c>
      <c r="H3097" s="28">
        <f t="shared" si="672"/>
        <v>911</v>
      </c>
      <c r="I3097" s="28">
        <f t="shared" si="672"/>
        <v>911</v>
      </c>
      <c r="J3097" s="28">
        <f t="shared" si="672"/>
        <v>911</v>
      </c>
      <c r="K3097" s="28">
        <f t="shared" si="672"/>
        <v>911</v>
      </c>
      <c r="L3097" s="28">
        <f t="shared" si="672"/>
        <v>911</v>
      </c>
      <c r="M3097" s="28">
        <f t="shared" si="672"/>
        <v>911</v>
      </c>
    </row>
    <row r="3098" spans="1:13" ht="15" customHeight="1" x14ac:dyDescent="0.2">
      <c r="B3098" s="10" t="s">
        <v>897</v>
      </c>
      <c r="C3098" s="10" t="s">
        <v>110</v>
      </c>
      <c r="D3098" s="16">
        <f>D3097*($D$3117/Inputs!$D$21+$D$3118/Inputs!$D$22)</f>
        <v>1816.9772859324419</v>
      </c>
      <c r="E3098" s="16">
        <f>E3097*($D$3117/Inputs!$D$21+$D$3118/Inputs!$D$22)</f>
        <v>6922.8643817497086</v>
      </c>
      <c r="F3098" s="16">
        <f>F3097*($D$3117/Inputs!$D$21+$D$3118/Inputs!$D$22)</f>
        <v>11303.0048030135</v>
      </c>
      <c r="G3098" s="16">
        <f>G3097*($D$3117/Inputs!$D$21+$D$3118/Inputs!$D$22)</f>
        <v>13180.207840697982</v>
      </c>
      <c r="H3098" s="16">
        <f>H3097*($D$3117/Inputs!$D$21+$D$3118/Inputs!$D$22)</f>
        <v>13180.207840697982</v>
      </c>
      <c r="I3098" s="16">
        <f>I3097*($D$3117/Inputs!$D$21+$D$3118/Inputs!$D$22)</f>
        <v>13180.207840697982</v>
      </c>
      <c r="J3098" s="16">
        <f>J3097*($D$3117/Inputs!$D$21+$D$3118/Inputs!$D$22)</f>
        <v>13180.207840697982</v>
      </c>
      <c r="K3098" s="16">
        <f>K3097*($D$3117/Inputs!$D$21+$D$3118/Inputs!$D$22)</f>
        <v>13180.207840697982</v>
      </c>
      <c r="L3098" s="16">
        <f>L3097*($D$3117/Inputs!$D$21+$D$3118/Inputs!$D$22)</f>
        <v>13180.207840697982</v>
      </c>
      <c r="M3098" s="16">
        <f>M3097*($D$3117/Inputs!$D$21+$D$3118/Inputs!$D$22)</f>
        <v>13180.207840697982</v>
      </c>
    </row>
    <row r="3099" spans="1:13" ht="15" customHeight="1" x14ac:dyDescent="0.2">
      <c r="B3099" s="10" t="s">
        <v>898</v>
      </c>
      <c r="C3099" s="10" t="s">
        <v>110</v>
      </c>
      <c r="D3099" s="16">
        <f t="shared" ref="D3099:M3099" si="673">D3095*($D$3117+$D$3118)</f>
        <v>15560.968620146154</v>
      </c>
      <c r="E3099" s="16">
        <f t="shared" si="673"/>
        <v>20747.95816019487</v>
      </c>
      <c r="F3099" s="16">
        <f t="shared" si="673"/>
        <v>15560.968620146154</v>
      </c>
      <c r="G3099" s="16">
        <f t="shared" si="673"/>
        <v>0</v>
      </c>
      <c r="H3099" s="16">
        <f t="shared" si="673"/>
        <v>0</v>
      </c>
      <c r="I3099" s="16">
        <f t="shared" si="673"/>
        <v>0</v>
      </c>
      <c r="J3099" s="16">
        <f t="shared" si="673"/>
        <v>0</v>
      </c>
      <c r="K3099" s="16">
        <f t="shared" si="673"/>
        <v>0</v>
      </c>
      <c r="L3099" s="16">
        <f t="shared" si="673"/>
        <v>0</v>
      </c>
      <c r="M3099" s="16">
        <f t="shared" si="673"/>
        <v>0</v>
      </c>
    </row>
    <row r="3100" spans="1:13" ht="15" customHeight="1" x14ac:dyDescent="0.2">
      <c r="B3100" s="10" t="s">
        <v>899</v>
      </c>
      <c r="C3100" s="10" t="s">
        <v>110</v>
      </c>
      <c r="D3100" s="16">
        <f t="shared" ref="D3100:M3100" si="674">D3096*$D$3117</f>
        <v>0</v>
      </c>
      <c r="E3100" s="16">
        <f t="shared" si="674"/>
        <v>0</v>
      </c>
      <c r="F3100" s="16">
        <f t="shared" si="674"/>
        <v>0</v>
      </c>
      <c r="G3100" s="16">
        <f t="shared" si="674"/>
        <v>2638.0048485671714</v>
      </c>
      <c r="H3100" s="16">
        <f t="shared" si="674"/>
        <v>14881.788221808281</v>
      </c>
      <c r="I3100" s="16">
        <f t="shared" si="674"/>
        <v>19842.384295744378</v>
      </c>
      <c r="J3100" s="16">
        <f t="shared" si="674"/>
        <v>14881.788221808281</v>
      </c>
      <c r="K3100" s="16">
        <f t="shared" si="674"/>
        <v>2638.0048485671714</v>
      </c>
      <c r="L3100" s="16">
        <f t="shared" si="674"/>
        <v>14881.788221808281</v>
      </c>
      <c r="M3100" s="16">
        <f t="shared" si="674"/>
        <v>19842.384295744378</v>
      </c>
    </row>
    <row r="3101" spans="1:13" ht="15" customHeight="1" x14ac:dyDescent="0.2">
      <c r="B3101" s="10" t="s">
        <v>900</v>
      </c>
      <c r="C3101" s="10" t="s">
        <v>199</v>
      </c>
      <c r="D3101" s="28">
        <f>D3095*Inputs!$D$23</f>
        <v>6.4875000000000007</v>
      </c>
      <c r="E3101" s="28">
        <f>E3095*Inputs!$D$23</f>
        <v>8.65</v>
      </c>
      <c r="F3101" s="28">
        <f>F3095*Inputs!$D$23</f>
        <v>6.4875000000000007</v>
      </c>
      <c r="G3101" s="28">
        <f>G3095*Inputs!$D$23</f>
        <v>0</v>
      </c>
      <c r="H3101" s="28">
        <f>H3095*Inputs!$D$23</f>
        <v>0</v>
      </c>
      <c r="I3101" s="28">
        <f>I3095*Inputs!$D$23</f>
        <v>0</v>
      </c>
      <c r="J3101" s="28">
        <f>J3095*Inputs!$D$23</f>
        <v>0</v>
      </c>
      <c r="K3101" s="28">
        <f>K3095*Inputs!$D$23</f>
        <v>0</v>
      </c>
      <c r="L3101" s="28">
        <f>L3095*Inputs!$D$23</f>
        <v>0</v>
      </c>
      <c r="M3101" s="28">
        <f>M3095*Inputs!$D$23</f>
        <v>0</v>
      </c>
    </row>
    <row r="3102" spans="1:13" ht="15" customHeight="1" x14ac:dyDescent="0.2">
      <c r="B3102" s="3" t="s">
        <v>901</v>
      </c>
      <c r="C3102" s="10" t="s">
        <v>896</v>
      </c>
      <c r="D3102" s="28">
        <f>(D3097*$D$3115*(Inputs!$D$7-Inputs!$D$19)-D3101)/(Inputs!$D$7+$D$3116)^D3090</f>
        <v>58.135202233109887</v>
      </c>
      <c r="E3102" s="28">
        <f>(E3097*$D$3115*(Inputs!$D$7-Inputs!$D$19)-E3101)/(Inputs!$D$7+$D$3116)^E3090</f>
        <v>207.07828100895995</v>
      </c>
      <c r="F3102" s="28">
        <f>(F3097*$D$3115*(Inputs!$D$7-Inputs!$D$19)-F3101)/(Inputs!$D$7+$D$3116)^F3090</f>
        <v>301.95293090230649</v>
      </c>
      <c r="G3102" s="28">
        <f>(G3097*$D$3115*(Inputs!$D$7-Inputs!$D$19)-G3101)/(Inputs!$D$7+$D$3116)^G3090</f>
        <v>313.53778491139536</v>
      </c>
      <c r="H3102" s="28">
        <f>(H3097*$D$3115*(Inputs!$D$7-Inputs!$D$19)-H3101)/(Inputs!$D$7+$D$3116)^H3090</f>
        <v>275.05781182617739</v>
      </c>
      <c r="I3102" s="28">
        <f>(I3097*$D$3115*(Inputs!$D$7-Inputs!$D$19)-I3101)/(Inputs!$D$7+$D$3116)^I3090</f>
        <v>241.21387452741479</v>
      </c>
      <c r="J3102" s="28">
        <f>(J3097*$D$3115*(Inputs!$D$7-Inputs!$D$19)-J3101)/(Inputs!$D$7+$D$3116)^J3090</f>
        <v>211.61009518637272</v>
      </c>
      <c r="K3102" s="28">
        <f>(K3097*$D$3115*(Inputs!$D$7-Inputs!$D$19)-K3101)/(Inputs!$D$7+$D$3116)^K3090</f>
        <v>185.63953865637379</v>
      </c>
      <c r="L3102" s="28">
        <f>(L3097*$D$3115*(Inputs!$D$7-Inputs!$D$19)-L3101)/(Inputs!$D$7+$D$3116)^L3090</f>
        <v>162.85630551888053</v>
      </c>
      <c r="M3102" s="28">
        <f>(M3097*$D$3115*(Inputs!$D$7-Inputs!$D$19)-M3101)/(Inputs!$D$7+$D$3116)^M3090</f>
        <v>142.81797773572984</v>
      </c>
    </row>
    <row r="3103" spans="1:13" ht="15" customHeight="1" x14ac:dyDescent="0.2">
      <c r="B3103" s="10" t="s">
        <v>902</v>
      </c>
      <c r="C3103" s="10" t="s">
        <v>110</v>
      </c>
      <c r="D3103" s="16">
        <f>(D3098*Inputs!$D$19-D3099-D3100)/(Inputs!$D$7+$D$3116)^D3090</f>
        <v>-13673.750208995338</v>
      </c>
      <c r="E3103" s="16">
        <f>(E3098*Inputs!$D$19-E3099-E3100)/(Inputs!$D$7+$D$3116)^E3090</f>
        <v>-14910.258198718562</v>
      </c>
      <c r="F3103" s="16">
        <f>(F3098*Inputs!$D$19-F3099-F3100)/(Inputs!$D$7+$D$3116)^F3090</f>
        <v>-8525.9417164238148</v>
      </c>
      <c r="G3103" s="16">
        <f>(G3098*Inputs!$D$19-G3099-G3100)/(Inputs!$D$7+$D$3116)^G3090</f>
        <v>808.83204192410847</v>
      </c>
      <c r="H3103" s="16">
        <f>(H3098*Inputs!$D$19-H3099-H3100)/(Inputs!$D$7+$D$3116)^H3090</f>
        <v>-5891.7915280072548</v>
      </c>
      <c r="I3103" s="16">
        <f>(I3098*Inputs!$D$19-I3099-I3100)/(Inputs!$D$7+$D$3116)^I3090</f>
        <v>-7512.3171078465948</v>
      </c>
      <c r="J3103" s="16">
        <f>(J3098*Inputs!$D$19-J3099-J3100)/(Inputs!$D$7+$D$3116)^J3090</f>
        <v>-4532.7291662153211</v>
      </c>
      <c r="K3103" s="16">
        <f>(K3098*Inputs!$D$19-K3099-K3100)/(Inputs!$D$7+$D$3116)^K3090</f>
        <v>478.89349972832292</v>
      </c>
      <c r="L3103" s="16">
        <f>(L3098*Inputs!$D$19-L3099-L3100)/(Inputs!$D$7+$D$3116)^L3090</f>
        <v>-3488.413562109869</v>
      </c>
      <c r="M3103" s="16">
        <f>(M3098*Inputs!$D$19-M3099-M3100)/(Inputs!$D$7+$D$3116)^M3090</f>
        <v>-4447.8947969066312</v>
      </c>
    </row>
    <row r="3104" spans="1:13" ht="15" customHeight="1" x14ac:dyDescent="0.2">
      <c r="B3104" s="10" t="s">
        <v>903</v>
      </c>
      <c r="C3104" s="10" t="s">
        <v>110</v>
      </c>
      <c r="D3104" s="16">
        <f t="shared" ref="D3104:M3104" si="675">D3097*$D$3114</f>
        <v>4500.4095799363376</v>
      </c>
      <c r="E3104" s="16">
        <f t="shared" si="675"/>
        <v>17147.008619999258</v>
      </c>
      <c r="F3104" s="16">
        <f t="shared" si="675"/>
        <v>27996.030270374966</v>
      </c>
      <c r="G3104" s="16">
        <f t="shared" si="675"/>
        <v>32645.61097767884</v>
      </c>
      <c r="H3104" s="16">
        <f t="shared" si="675"/>
        <v>32645.61097767884</v>
      </c>
      <c r="I3104" s="16">
        <f t="shared" si="675"/>
        <v>32645.61097767884</v>
      </c>
      <c r="J3104" s="16">
        <f t="shared" si="675"/>
        <v>32645.61097767884</v>
      </c>
      <c r="K3104" s="16">
        <f t="shared" si="675"/>
        <v>32645.61097767884</v>
      </c>
      <c r="L3104" s="16">
        <f t="shared" si="675"/>
        <v>32645.61097767884</v>
      </c>
      <c r="M3104" s="16">
        <f t="shared" si="675"/>
        <v>32645.61097767884</v>
      </c>
    </row>
    <row r="3105" spans="2:13" ht="15" customHeight="1" x14ac:dyDescent="0.2">
      <c r="B3105" s="10" t="s">
        <v>904</v>
      </c>
      <c r="C3105" s="10" t="s">
        <v>110</v>
      </c>
      <c r="D3105" s="16">
        <f t="shared" ref="D3105:M3105" si="676">D3104*$D$3115</f>
        <v>3600.3276639490705</v>
      </c>
      <c r="E3105" s="16">
        <f t="shared" si="676"/>
        <v>13717.606895999408</v>
      </c>
      <c r="F3105" s="16">
        <f t="shared" si="676"/>
        <v>22396.824216299974</v>
      </c>
      <c r="G3105" s="16">
        <f t="shared" si="676"/>
        <v>26116.488782143075</v>
      </c>
      <c r="H3105" s="16">
        <f t="shared" si="676"/>
        <v>26116.488782143075</v>
      </c>
      <c r="I3105" s="16">
        <f t="shared" si="676"/>
        <v>26116.488782143075</v>
      </c>
      <c r="J3105" s="16">
        <f t="shared" si="676"/>
        <v>26116.488782143075</v>
      </c>
      <c r="K3105" s="16">
        <f t="shared" si="676"/>
        <v>26116.488782143075</v>
      </c>
      <c r="L3105" s="16">
        <f t="shared" si="676"/>
        <v>26116.488782143075</v>
      </c>
      <c r="M3105" s="16">
        <f t="shared" si="676"/>
        <v>26116.488782143075</v>
      </c>
    </row>
    <row r="3106" spans="2:13" ht="15" customHeight="1" x14ac:dyDescent="0.2">
      <c r="B3106" s="10" t="s">
        <v>905</v>
      </c>
      <c r="C3106" s="10" t="s">
        <v>110</v>
      </c>
      <c r="D3106" s="16">
        <f t="shared" ref="D3106:M3106" si="677">D3105-D3098</f>
        <v>1783.3503780166286</v>
      </c>
      <c r="E3106" s="16">
        <f t="shared" si="677"/>
        <v>6794.7425142496995</v>
      </c>
      <c r="F3106" s="16">
        <f t="shared" si="677"/>
        <v>11093.819413286474</v>
      </c>
      <c r="G3106" s="16">
        <f t="shared" si="677"/>
        <v>12936.280941445093</v>
      </c>
      <c r="H3106" s="16">
        <f t="shared" si="677"/>
        <v>12936.280941445093</v>
      </c>
      <c r="I3106" s="16">
        <f t="shared" si="677"/>
        <v>12936.280941445093</v>
      </c>
      <c r="J3106" s="16">
        <f t="shared" si="677"/>
        <v>12936.280941445093</v>
      </c>
      <c r="K3106" s="16">
        <f t="shared" si="677"/>
        <v>12936.280941445093</v>
      </c>
      <c r="L3106" s="16">
        <f t="shared" si="677"/>
        <v>12936.280941445093</v>
      </c>
      <c r="M3106" s="16">
        <f t="shared" si="677"/>
        <v>12936.280941445093</v>
      </c>
    </row>
    <row r="3107" spans="2:13" ht="15" customHeight="1" x14ac:dyDescent="0.2">
      <c r="B3107" s="10" t="s">
        <v>906</v>
      </c>
      <c r="C3107" s="10" t="s">
        <v>110</v>
      </c>
      <c r="D3107" s="16">
        <f>MAX(D3106,Inputs!$D$6)*Inputs!$D$19</f>
        <v>535.00511340498861</v>
      </c>
      <c r="E3107" s="16">
        <f>MAX(E3106,Inputs!$D$6)*Inputs!$D$19</f>
        <v>2038.4227542749097</v>
      </c>
      <c r="F3107" s="16">
        <f>MAX(F3106,Inputs!$D$6)*Inputs!$D$19</f>
        <v>3328.1458239859421</v>
      </c>
      <c r="G3107" s="16">
        <f>MAX(G3106,Inputs!$D$6)*Inputs!$D$19</f>
        <v>3880.8842824335279</v>
      </c>
      <c r="H3107" s="16">
        <f>MAX(H3106,Inputs!$D$6)*Inputs!$D$19</f>
        <v>3880.8842824335279</v>
      </c>
      <c r="I3107" s="16">
        <f>MAX(I3106,Inputs!$D$6)*Inputs!$D$19</f>
        <v>3880.8842824335279</v>
      </c>
      <c r="J3107" s="16">
        <f>MAX(J3106,Inputs!$D$6)*Inputs!$D$19</f>
        <v>3880.8842824335279</v>
      </c>
      <c r="K3107" s="16">
        <f>MAX(K3106,Inputs!$D$6)*Inputs!$D$19</f>
        <v>3880.8842824335279</v>
      </c>
      <c r="L3107" s="16">
        <f>MAX(L3106,Inputs!$D$6)*Inputs!$D$19</f>
        <v>3880.8842824335279</v>
      </c>
      <c r="M3107" s="16">
        <f>MAX(M3106,Inputs!$D$6)*Inputs!$D$19</f>
        <v>3880.8842824335279</v>
      </c>
    </row>
    <row r="3108" spans="2:13" ht="15" customHeight="1" x14ac:dyDescent="0.2">
      <c r="B3108" s="10" t="s">
        <v>907</v>
      </c>
      <c r="C3108" s="10" t="s">
        <v>110</v>
      </c>
      <c r="D3108" s="16">
        <f t="shared" ref="D3108:M3108" si="678">D3101*$D$3114</f>
        <v>232.47903536519374</v>
      </c>
      <c r="E3108" s="16">
        <f t="shared" si="678"/>
        <v>309.97204715359163</v>
      </c>
      <c r="F3108" s="16">
        <f t="shared" si="678"/>
        <v>232.47903536519374</v>
      </c>
      <c r="G3108" s="16">
        <f t="shared" si="678"/>
        <v>0</v>
      </c>
      <c r="H3108" s="16">
        <f t="shared" si="678"/>
        <v>0</v>
      </c>
      <c r="I3108" s="16">
        <f t="shared" si="678"/>
        <v>0</v>
      </c>
      <c r="J3108" s="16">
        <f t="shared" si="678"/>
        <v>0</v>
      </c>
      <c r="K3108" s="16">
        <f t="shared" si="678"/>
        <v>0</v>
      </c>
      <c r="L3108" s="16">
        <f t="shared" si="678"/>
        <v>0</v>
      </c>
      <c r="M3108" s="16">
        <f t="shared" si="678"/>
        <v>0</v>
      </c>
    </row>
    <row r="3109" spans="2:13" ht="15" customHeight="1" x14ac:dyDescent="0.2">
      <c r="B3109" s="10" t="s">
        <v>908</v>
      </c>
      <c r="C3109" s="10" t="s">
        <v>110</v>
      </c>
      <c r="D3109" s="16">
        <f t="shared" ref="D3109:M3109" si="679">D3105-D3107-D3099-D3100-D3108</f>
        <v>-12728.125104967265</v>
      </c>
      <c r="E3109" s="16">
        <f t="shared" si="679"/>
        <v>-9378.7460656239637</v>
      </c>
      <c r="F3109" s="16">
        <f t="shared" si="679"/>
        <v>3275.2307368026845</v>
      </c>
      <c r="G3109" s="16">
        <f t="shared" si="679"/>
        <v>19597.599651142373</v>
      </c>
      <c r="H3109" s="16">
        <f t="shared" si="679"/>
        <v>7353.8162779012637</v>
      </c>
      <c r="I3109" s="16">
        <f t="shared" si="679"/>
        <v>2393.2202039651675</v>
      </c>
      <c r="J3109" s="16">
        <f t="shared" si="679"/>
        <v>7353.8162779012637</v>
      </c>
      <c r="K3109" s="16">
        <f t="shared" si="679"/>
        <v>19597.599651142373</v>
      </c>
      <c r="L3109" s="16">
        <f t="shared" si="679"/>
        <v>7353.8162779012637</v>
      </c>
      <c r="M3109" s="16">
        <f t="shared" si="679"/>
        <v>2393.2202039651675</v>
      </c>
    </row>
    <row r="3110" spans="2:13" ht="15" customHeight="1" x14ac:dyDescent="0.2">
      <c r="B3110" s="10" t="s">
        <v>909</v>
      </c>
      <c r="C3110" s="10" t="s">
        <v>110</v>
      </c>
      <c r="D3110" s="16">
        <f>D3109/(Inputs!$D$7+$D$3116)^D3090</f>
        <v>-11590.479960684917</v>
      </c>
      <c r="E3110" s="16">
        <f>E3109/(Inputs!$D$7+$D$3116)^E3090</f>
        <v>-7489.6248246845726</v>
      </c>
      <c r="F3110" s="16">
        <f>F3109/(Inputs!$D$7+$D$3116)^F3090</f>
        <v>2294.5170276010358</v>
      </c>
      <c r="G3110" s="16">
        <f>G3109/(Inputs!$D$7+$D$3116)^G3090</f>
        <v>12044.433088049855</v>
      </c>
      <c r="H3110" s="16">
        <f>H3109/(Inputs!$D$7+$D$3116)^H3090</f>
        <v>3964.8828092583612</v>
      </c>
      <c r="I3110" s="16">
        <f>I3109/(Inputs!$D$7+$D$3116)^I3090</f>
        <v>1131.5624862704406</v>
      </c>
      <c r="J3110" s="16">
        <f>J3109/(Inputs!$D$7+$D$3116)^J3090</f>
        <v>3050.3014006385906</v>
      </c>
      <c r="K3110" s="16">
        <f>K3109/(Inputs!$D$7+$D$3116)^K3090</f>
        <v>7131.2712835392467</v>
      </c>
      <c r="L3110" s="16">
        <f>L3109/(Inputs!$D$7+$D$3116)^L3090</f>
        <v>2347.5289134459877</v>
      </c>
      <c r="M3110" s="16">
        <f>M3109/(Inputs!$D$7+$D$3116)^M3090</f>
        <v>669.97583073270368</v>
      </c>
    </row>
    <row r="3111" spans="2:13" ht="15" customHeight="1" x14ac:dyDescent="0.2">
      <c r="B3111" s="3" t="s">
        <v>910</v>
      </c>
      <c r="C3111" s="10" t="s">
        <v>896</v>
      </c>
      <c r="D3111" s="28">
        <f>(D3097*$D$3115-D3101)/(Inputs!$D$7+$D$3116)^D3090</f>
        <v>85.582136563235466</v>
      </c>
      <c r="E3111" s="28">
        <f>(E3097*$D$3115-E3101)/(Inputs!$D$7+$D$3116)^E3090</f>
        <v>298.78654444295387</v>
      </c>
      <c r="F3111" s="28">
        <f>(F3097*$D$3115-F3101)/(Inputs!$D$7+$D$3116)^F3090</f>
        <v>433.3091550122395</v>
      </c>
      <c r="G3111" s="28">
        <f>(G3097*$D$3115-G3101)/(Inputs!$D$7+$D$3116)^G3090</f>
        <v>447.91112130199338</v>
      </c>
      <c r="H3111" s="28">
        <f>(H3097*$D$3115-H3101)/(Inputs!$D$7+$D$3116)^H3090</f>
        <v>392.93973118025337</v>
      </c>
      <c r="I3111" s="28">
        <f>(I3097*$D$3115-I3101)/(Inputs!$D$7+$D$3116)^I3090</f>
        <v>344.59124932487828</v>
      </c>
      <c r="J3111" s="28">
        <f>(J3097*$D$3115-J3101)/(Inputs!$D$7+$D$3116)^J3090</f>
        <v>302.3001359805325</v>
      </c>
      <c r="K3111" s="28">
        <f>(K3097*$D$3115-K3101)/(Inputs!$D$7+$D$3116)^K3090</f>
        <v>265.19934093767688</v>
      </c>
      <c r="L3111" s="28">
        <f>(L3097*$D$3115-L3101)/(Inputs!$D$7+$D$3116)^L3090</f>
        <v>232.65186502697219</v>
      </c>
      <c r="M3111" s="28">
        <f>(M3097*$D$3115-M3101)/(Inputs!$D$7+$D$3116)^M3090</f>
        <v>204.02568247961406</v>
      </c>
    </row>
    <row r="3112" spans="2:13" ht="15" customHeight="1" x14ac:dyDescent="0.2">
      <c r="B3112" s="10" t="s">
        <v>911</v>
      </c>
      <c r="C3112" s="10" t="s">
        <v>110</v>
      </c>
      <c r="D3112" s="16">
        <f>(-D3099-D3100)/(Inputs!$D$7+$D$3116)^D3090</f>
        <v>-14170.122737893587</v>
      </c>
      <c r="E3112" s="16">
        <f>(-E3099-E3100)/(Inputs!$D$7+$D$3116)^E3090</f>
        <v>-16568.784506031301</v>
      </c>
      <c r="F3112" s="16">
        <f>(-F3099-F3100)/(Inputs!$D$7+$D$3116)^F3090</f>
        <v>-10901.493767656277</v>
      </c>
      <c r="G3112" s="16">
        <f>(-G3099-G3100)/(Inputs!$D$7+$D$3116)^G3090</f>
        <v>-1621.2839046676961</v>
      </c>
      <c r="H3112" s="16">
        <f>(-H3099-H3100)/(Inputs!$D$7+$D$3116)^H3090</f>
        <v>-8023.6633690433682</v>
      </c>
      <c r="I3112" s="16">
        <f>(-I3099-I3100)/(Inputs!$D$7+$D$3116)^I3090</f>
        <v>-9381.8770500204446</v>
      </c>
      <c r="J3112" s="16">
        <f>(-J3099-J3100)/(Inputs!$D$7+$D$3116)^J3090</f>
        <v>-6172.8411129063252</v>
      </c>
      <c r="K3112" s="16">
        <f>(-K3099-K3100)/(Inputs!$D$7+$D$3116)^K3090</f>
        <v>-959.93022397147342</v>
      </c>
      <c r="L3112" s="16">
        <f>(-L3099-L3100)/(Inputs!$D$7+$D$3116)^L3090</f>
        <v>-4750.6528330682277</v>
      </c>
      <c r="M3112" s="16">
        <f>(-M3099-M3100)/(Inputs!$D$7+$D$3116)^M3090</f>
        <v>-5554.82436602912</v>
      </c>
    </row>
    <row r="3113" spans="2:13" ht="15" customHeight="1" x14ac:dyDescent="0.2">
      <c r="B3113" s="10" t="s">
        <v>912</v>
      </c>
      <c r="C3113" s="10" t="s">
        <v>110</v>
      </c>
      <c r="D3113" s="16">
        <f>Prices!I8</f>
        <v>32775</v>
      </c>
    </row>
    <row r="3114" spans="2:13" ht="15" customHeight="1" x14ac:dyDescent="0.2">
      <c r="B3114" s="3" t="s">
        <v>913</v>
      </c>
      <c r="C3114" s="10" t="s">
        <v>914</v>
      </c>
      <c r="D3114" s="28">
        <f>IF(J3121&gt;=J3117,J3121,(D3113-J3120)/J3119)</f>
        <v>35.834918746079957</v>
      </c>
      <c r="G3114" s="99" t="s">
        <v>915</v>
      </c>
      <c r="H3114" s="91"/>
      <c r="I3114" s="91"/>
      <c r="J3114" s="28">
        <f>D3114*Inputs!$D$15</f>
        <v>25.009189792889202</v>
      </c>
      <c r="K3114" s="99" t="s">
        <v>916</v>
      </c>
      <c r="L3114" s="91"/>
      <c r="M3114" s="91"/>
    </row>
    <row r="3115" spans="2:13" ht="15" customHeight="1" x14ac:dyDescent="0.2">
      <c r="B3115" s="10" t="s">
        <v>917</v>
      </c>
      <c r="C3115" s="10" t="s">
        <v>104</v>
      </c>
      <c r="D3115" s="30">
        <f>Inputs!$D$144</f>
        <v>0.8</v>
      </c>
      <c r="G3115" s="99" t="s">
        <v>918</v>
      </c>
      <c r="H3115" s="91"/>
      <c r="I3115" s="91"/>
      <c r="J3115" s="28">
        <f>IF(-D3126/D3125&gt;=J3117,-D3126/D3125,-J3120/J3119)</f>
        <v>26.113601269848285</v>
      </c>
      <c r="K3115" s="99" t="s">
        <v>919</v>
      </c>
      <c r="L3115" s="91"/>
      <c r="M3115" s="91"/>
    </row>
    <row r="3116" spans="2:13" ht="15" customHeight="1" x14ac:dyDescent="0.2">
      <c r="B3116" s="10" t="s">
        <v>920</v>
      </c>
      <c r="C3116" s="10" t="s">
        <v>104</v>
      </c>
      <c r="D3116" s="30">
        <f>Inputs!$D$149</f>
        <v>0.14000000000000001</v>
      </c>
      <c r="G3116" s="99" t="s">
        <v>918</v>
      </c>
      <c r="H3116" s="91"/>
      <c r="I3116" s="91"/>
      <c r="J3116" s="28">
        <f>J3115*Inputs!$D$15</f>
        <v>18.224682326227118</v>
      </c>
      <c r="K3116" s="99" t="s">
        <v>916</v>
      </c>
      <c r="L3116" s="91"/>
      <c r="M3116" s="91"/>
    </row>
    <row r="3117" spans="2:13" ht="15" customHeight="1" x14ac:dyDescent="0.2">
      <c r="B3117" s="3" t="s">
        <v>921</v>
      </c>
      <c r="C3117" s="10" t="s">
        <v>848</v>
      </c>
      <c r="D3117" s="28">
        <f>Capital!$D$13</f>
        <v>57.347931490590682</v>
      </c>
      <c r="G3117" s="99" t="s">
        <v>922</v>
      </c>
      <c r="H3117" s="91"/>
      <c r="I3117" s="91"/>
      <c r="J3117" s="28">
        <f>($D$3117/Inputs!$D$21+$D$3118/Inputs!$D$22)/$D$3115</f>
        <v>18.084807684821598</v>
      </c>
      <c r="K3117" s="99" t="s">
        <v>919</v>
      </c>
      <c r="L3117" s="91"/>
      <c r="M3117" s="91"/>
    </row>
    <row r="3118" spans="2:13" ht="15" customHeight="1" x14ac:dyDescent="0.2">
      <c r="B3118" s="3" t="s">
        <v>923</v>
      </c>
      <c r="C3118" s="10" t="s">
        <v>848</v>
      </c>
      <c r="D3118" s="28">
        <f>Capital!$D$14</f>
        <v>2.6172655041921802</v>
      </c>
    </row>
    <row r="3119" spans="2:13" ht="15" customHeight="1" x14ac:dyDescent="0.2">
      <c r="B3119" s="10" t="s">
        <v>924</v>
      </c>
      <c r="C3119" s="10" t="s">
        <v>896</v>
      </c>
      <c r="D3119" s="28">
        <f>(M3092*(Inputs!$D$7+Inputs!$D$20)*$D$3115*(Inputs!$D$7-Inputs!$D$19)-M3092*Inputs!$D$20*Inputs!$D$23)/($D$3116-Inputs!$D$20)/(Inputs!$D$7+$D$3116)^M3090</f>
        <v>1271.5568009972683</v>
      </c>
      <c r="G3119" s="92" t="s">
        <v>910</v>
      </c>
      <c r="H3119" s="91"/>
      <c r="I3119" s="91"/>
      <c r="J3119" s="28">
        <f>SUM(D3111:M3111)+(M3092*(Inputs!$D$7+Inputs!$D$20)*$D$3115-M3092*Inputs!$D$20*Inputs!$D$23)/($D$3116-Inputs!$D$20)/(Inputs!$D$7+$D$3116)^M3090</f>
        <v>4824.400696834412</v>
      </c>
      <c r="K3119" s="99" t="s">
        <v>896</v>
      </c>
      <c r="L3119" s="91"/>
      <c r="M3119" s="91"/>
    </row>
    <row r="3120" spans="2:13" ht="15" customHeight="1" x14ac:dyDescent="0.2">
      <c r="B3120" s="10" t="s">
        <v>925</v>
      </c>
      <c r="C3120" s="10" t="s">
        <v>110</v>
      </c>
      <c r="D3120" s="16">
        <f>(D3123*Inputs!$D$19-D3123-D3124)/($D$3116-Inputs!$D$20)/(Inputs!$D$7+$D$3116)^M3090</f>
        <v>-26345.502698929216</v>
      </c>
      <c r="G3120" s="92" t="s">
        <v>926</v>
      </c>
      <c r="H3120" s="91"/>
      <c r="I3120" s="91"/>
      <c r="J3120" s="16">
        <f>SUM(D3112:M3112)-(D3123+D3124)/($D$3116-Inputs!$D$20)/(Inputs!$D$7+$D$3116)^M3090</f>
        <v>-114317.08794717836</v>
      </c>
      <c r="K3120" s="99" t="s">
        <v>110</v>
      </c>
      <c r="L3120" s="91"/>
      <c r="M3120" s="91"/>
    </row>
    <row r="3121" spans="1:13" ht="15" customHeight="1" x14ac:dyDescent="0.2">
      <c r="B3121" s="10" t="s">
        <v>927</v>
      </c>
      <c r="C3121" s="10" t="s">
        <v>928</v>
      </c>
      <c r="D3121" s="16">
        <f>(M3092*(Inputs!$D$7+Inputs!$D$20)*$D$3114*$D$3115-D3123)-MAX((M3092*(Inputs!$D$7+Inputs!$D$20)*$D$3114*$D$3115-D3123),Inputs!$D$6)*Inputs!$D$19-D3124-M3092*Inputs!$D$20*$D$3114*Inputs!$D$23</f>
        <v>7895.670707069622</v>
      </c>
      <c r="G3121" s="99" t="s">
        <v>929</v>
      </c>
      <c r="H3121" s="91"/>
      <c r="I3121" s="91"/>
      <c r="J3121" s="28">
        <f>(D3113-D3126)/D3125</f>
        <v>35.834918746079957</v>
      </c>
      <c r="K3121" s="99" t="s">
        <v>919</v>
      </c>
      <c r="L3121" s="91"/>
      <c r="M3121" s="91"/>
    </row>
    <row r="3122" spans="1:13" ht="15" customHeight="1" x14ac:dyDescent="0.2">
      <c r="B3122" s="10" t="s">
        <v>930</v>
      </c>
      <c r="C3122" s="10" t="s">
        <v>110</v>
      </c>
      <c r="D3122" s="16">
        <f>D3121/($D$3116-Inputs!$D$20)</f>
        <v>68658.006148431479</v>
      </c>
      <c r="G3122" s="99" t="s">
        <v>931</v>
      </c>
      <c r="H3122" s="91"/>
      <c r="I3122" s="91"/>
      <c r="J3122" s="16">
        <f>MIN(D3106:M3106,(M3092*(Inputs!$D$7+Inputs!$D$20)*$D$3114*$D$3115-D3123))</f>
        <v>1783.3503780166286</v>
      </c>
      <c r="K3122" s="99" t="s">
        <v>110</v>
      </c>
      <c r="L3122" s="91"/>
      <c r="M3122" s="91"/>
    </row>
    <row r="3123" spans="1:13" ht="15" customHeight="1" x14ac:dyDescent="0.2">
      <c r="B3123" s="10" t="s">
        <v>932</v>
      </c>
      <c r="C3123" s="10" t="s">
        <v>928</v>
      </c>
      <c r="D3123" s="16">
        <f>M3092*(Inputs!$D$7+Inputs!$D$20)*($D$3117/Inputs!$D$21+$D$3118/Inputs!$D$22)</f>
        <v>13509.71303671543</v>
      </c>
      <c r="G3123" s="99" t="s">
        <v>933</v>
      </c>
      <c r="H3123" s="91"/>
      <c r="I3123" s="91"/>
      <c r="J3123" s="31" t="str">
        <f>IF(J3122&lt;Inputs!$D$6,"breached","satisfied")</f>
        <v>satisfied</v>
      </c>
      <c r="K3123" s="99" t="s">
        <v>934</v>
      </c>
      <c r="L3123" s="91"/>
      <c r="M3123" s="91"/>
    </row>
    <row r="3124" spans="1:13" ht="15" customHeight="1" x14ac:dyDescent="0.2">
      <c r="B3124" s="10" t="s">
        <v>935</v>
      </c>
      <c r="C3124" s="10" t="s">
        <v>928</v>
      </c>
      <c r="D3124" s="16">
        <f>M3092*Inputs!$D$20*($D$3117+$D$3118)</f>
        <v>1365.7073615561799</v>
      </c>
    </row>
    <row r="3125" spans="1:13" ht="15" customHeight="1" x14ac:dyDescent="0.2">
      <c r="B3125" s="10" t="s">
        <v>936</v>
      </c>
      <c r="C3125" s="10" t="s">
        <v>896</v>
      </c>
      <c r="D3125" s="28">
        <f>SUM(D3102:M3102)+D3119</f>
        <v>3371.4566035039898</v>
      </c>
      <c r="G3125" s="99" t="s">
        <v>937</v>
      </c>
      <c r="H3125" s="91"/>
      <c r="I3125" s="91"/>
      <c r="J3125" s="16">
        <f>D3127-D3113</f>
        <v>0</v>
      </c>
      <c r="K3125" s="99" t="s">
        <v>110</v>
      </c>
      <c r="L3125" s="91"/>
      <c r="M3125" s="91"/>
    </row>
    <row r="3126" spans="1:13" ht="15" customHeight="1" x14ac:dyDescent="0.2">
      <c r="B3126" s="10" t="s">
        <v>938</v>
      </c>
      <c r="C3126" s="10" t="s">
        <v>110</v>
      </c>
      <c r="D3126" s="16">
        <f>SUM(D3103:M3103)+D3120</f>
        <v>-88040.873442500175</v>
      </c>
    </row>
    <row r="3127" spans="1:13" ht="15" customHeight="1" x14ac:dyDescent="0.2">
      <c r="B3127" s="10" t="s">
        <v>939</v>
      </c>
      <c r="C3127" s="10" t="s">
        <v>110</v>
      </c>
      <c r="D3127" s="16">
        <f>SUM(D3110:M3110)+D3122/(Inputs!$D$7+$D$3116)^M3090</f>
        <v>32774.999999999978</v>
      </c>
    </row>
    <row r="3128" spans="1:13" ht="15" customHeight="1" x14ac:dyDescent="0.2">
      <c r="B3128" s="10" t="s">
        <v>940</v>
      </c>
      <c r="C3128" s="10" t="s">
        <v>104</v>
      </c>
      <c r="D3128" s="30">
        <f>IF(ABS(D3113)&gt;Inputs!$D$6,D3127/D3113-Inputs!$D$7,Inputs!$D$6)</f>
        <v>-6.6613381477509392E-16</v>
      </c>
    </row>
    <row r="3129" spans="1:13" ht="15" customHeight="1" x14ac:dyDescent="0.2">
      <c r="B3129" s="10" t="s">
        <v>941</v>
      </c>
      <c r="C3129" s="10" t="s">
        <v>104</v>
      </c>
      <c r="D3129" s="30">
        <f>IF(ABS(D3127)&gt;Inputs!$D$119,D3122/(Inputs!$D$7+$D$3116)^M3090/D3127,Inputs!$D$6)</f>
        <v>0.58644185952199113</v>
      </c>
    </row>
    <row r="3130" spans="1:13" ht="15" customHeight="1" x14ac:dyDescent="0.2">
      <c r="B3130" s="10" t="s">
        <v>942</v>
      </c>
      <c r="C3130" s="10" t="s">
        <v>943</v>
      </c>
      <c r="D3130" s="26">
        <f>$D$3114*Inputs!$D$8/Prices!$P$6/(Inputs!$D$26/Inputs!$D$25)/Inputs!$D$11/Inputs!$D$56</f>
        <v>6.5166888233406945</v>
      </c>
    </row>
    <row r="3134" spans="1:13" ht="15" customHeight="1" x14ac:dyDescent="0.2">
      <c r="A3134" s="104" t="s">
        <v>2233</v>
      </c>
      <c r="B3134" s="10" t="s">
        <v>886</v>
      </c>
      <c r="C3134" s="10" t="s">
        <v>107</v>
      </c>
      <c r="D3134" s="28">
        <f>Inputs!$D$60</f>
        <v>1</v>
      </c>
      <c r="E3134" s="28">
        <f>Inputs!$D$62</f>
        <v>2</v>
      </c>
      <c r="F3134" s="28">
        <f>Inputs!$D$64</f>
        <v>3</v>
      </c>
      <c r="G3134" s="28">
        <f>Inputs!$D$66</f>
        <v>4</v>
      </c>
      <c r="H3134" s="28">
        <f>Inputs!$D$68</f>
        <v>5</v>
      </c>
      <c r="I3134" s="28">
        <f>Inputs!$D$70</f>
        <v>6</v>
      </c>
      <c r="J3134" s="28">
        <f>Inputs!$D$72</f>
        <v>7</v>
      </c>
      <c r="K3134" s="28">
        <f>Inputs!$D$74</f>
        <v>8</v>
      </c>
      <c r="L3134" s="28">
        <f>Inputs!$D$76</f>
        <v>9</v>
      </c>
      <c r="M3134" s="28">
        <f>Inputs!$D$78</f>
        <v>10</v>
      </c>
    </row>
    <row r="3135" spans="1:13" ht="15" customHeight="1" x14ac:dyDescent="0.2">
      <c r="A3135" s="91"/>
      <c r="B3135" s="10" t="s">
        <v>887</v>
      </c>
      <c r="C3135" s="10" t="s">
        <v>161</v>
      </c>
      <c r="D3135" s="29">
        <f>Inputs!$D$61</f>
        <v>46568</v>
      </c>
      <c r="E3135" s="29">
        <f>Inputs!$D$63</f>
        <v>46934</v>
      </c>
      <c r="F3135" s="29">
        <f>Inputs!$D$65</f>
        <v>47299</v>
      </c>
      <c r="G3135" s="29">
        <f>Inputs!$D$67</f>
        <v>47664</v>
      </c>
      <c r="H3135" s="29">
        <f>Inputs!$D$69</f>
        <v>48029</v>
      </c>
      <c r="I3135" s="29">
        <f>Inputs!$D$71</f>
        <v>48395</v>
      </c>
      <c r="J3135" s="29">
        <f>Inputs!$D$73</f>
        <v>48760</v>
      </c>
      <c r="K3135" s="29">
        <f>Inputs!$D$75</f>
        <v>49125</v>
      </c>
      <c r="L3135" s="29">
        <f>Inputs!$D$77</f>
        <v>49490</v>
      </c>
      <c r="M3135" s="29">
        <f>Inputs!$D$79</f>
        <v>49856</v>
      </c>
    </row>
    <row r="3136" spans="1:13" ht="15" customHeight="1" x14ac:dyDescent="0.2">
      <c r="A3136" s="91"/>
      <c r="B3136" s="10" t="s">
        <v>888</v>
      </c>
      <c r="C3136" s="10" t="s">
        <v>107</v>
      </c>
      <c r="D3136" s="28">
        <f>(D3135-Inputs!$D$13)/Inputs!$D$10</f>
        <v>0.71457905544147848</v>
      </c>
      <c r="E3136" s="28">
        <f>(E3135-Inputs!$D$13)/Inputs!$D$10</f>
        <v>1.7166324435318274</v>
      </c>
      <c r="F3136" s="28">
        <f>(F3135-Inputs!$D$13)/Inputs!$D$10</f>
        <v>2.7159479808350446</v>
      </c>
      <c r="G3136" s="28">
        <f>(G3135-Inputs!$D$13)/Inputs!$D$10</f>
        <v>3.7152635181382614</v>
      </c>
      <c r="H3136" s="28">
        <f>(H3135-Inputs!$D$13)/Inputs!$D$10</f>
        <v>4.7145790554414786</v>
      </c>
      <c r="I3136" s="28">
        <f>(I3135-Inputs!$D$13)/Inputs!$D$10</f>
        <v>5.7166324435318279</v>
      </c>
      <c r="J3136" s="28">
        <f>(J3135-Inputs!$D$13)/Inputs!$D$10</f>
        <v>6.7159479808350442</v>
      </c>
      <c r="K3136" s="28">
        <f>(K3135-Inputs!$D$13)/Inputs!$D$10</f>
        <v>7.7152635181382614</v>
      </c>
      <c r="L3136" s="28">
        <f>(L3135-Inputs!$D$13)/Inputs!$D$10</f>
        <v>8.7145790554414777</v>
      </c>
      <c r="M3136" s="28">
        <f>(M3135-Inputs!$D$13)/Inputs!$D$10</f>
        <v>9.716632443531827</v>
      </c>
    </row>
    <row r="3137" spans="1:13" ht="15" customHeight="1" x14ac:dyDescent="0.2">
      <c r="A3137" s="91"/>
      <c r="B3137" s="10" t="s">
        <v>889</v>
      </c>
      <c r="C3137" s="10" t="s">
        <v>107</v>
      </c>
      <c r="D3137" s="28">
        <f>D3136</f>
        <v>0.71457905544147848</v>
      </c>
      <c r="E3137" s="28">
        <f>Inputs!$D$7</f>
        <v>1</v>
      </c>
      <c r="F3137" s="28">
        <f>Inputs!$D$7</f>
        <v>1</v>
      </c>
      <c r="G3137" s="28">
        <f>Inputs!$D$7</f>
        <v>1</v>
      </c>
      <c r="H3137" s="28">
        <f>Inputs!$D$7</f>
        <v>1</v>
      </c>
      <c r="I3137" s="28">
        <f>Inputs!$D$7</f>
        <v>1</v>
      </c>
      <c r="J3137" s="28">
        <f>Inputs!$D$7</f>
        <v>1</v>
      </c>
      <c r="K3137" s="28">
        <f>Inputs!$D$7</f>
        <v>1</v>
      </c>
      <c r="L3137" s="28">
        <f>Inputs!$D$7</f>
        <v>1</v>
      </c>
      <c r="M3137" s="28">
        <f>Inputs!$D$7</f>
        <v>1</v>
      </c>
    </row>
    <row r="3138" spans="1:13" ht="15" customHeight="1" x14ac:dyDescent="0.2">
      <c r="A3138" s="91"/>
      <c r="B3138" s="3" t="s">
        <v>890</v>
      </c>
      <c r="C3138" s="10" t="s">
        <v>199</v>
      </c>
      <c r="D3138" s="28">
        <f>Inputs!$D$24+(Inputs!$D$80-Inputs!$D$24)*Inputs!$D$83</f>
        <v>305.5</v>
      </c>
      <c r="E3138" s="28">
        <f>Inputs!$D$24+(Inputs!$D$80-Inputs!$D$24)*Inputs!$D$84</f>
        <v>651.5</v>
      </c>
      <c r="F3138" s="28">
        <f>Inputs!$D$24+(Inputs!$D$80-Inputs!$D$24)*Inputs!$D$85</f>
        <v>911</v>
      </c>
      <c r="G3138" s="28">
        <f>Inputs!$D$24+(Inputs!$D$80-Inputs!$D$24)*Inputs!$D$86</f>
        <v>911</v>
      </c>
      <c r="H3138" s="28">
        <f>Inputs!$D$24+(Inputs!$D$80-Inputs!$D$24)*Inputs!$D$87</f>
        <v>911</v>
      </c>
      <c r="I3138" s="28">
        <f>Inputs!$D$24+(Inputs!$D$80-Inputs!$D$24)*Inputs!$D$88</f>
        <v>911</v>
      </c>
      <c r="J3138" s="28">
        <f>Inputs!$D$24+(Inputs!$D$80-Inputs!$D$24)*Inputs!$D$89</f>
        <v>911</v>
      </c>
      <c r="K3138" s="28">
        <f>Inputs!$D$24+(Inputs!$D$80-Inputs!$D$24)*Inputs!$D$90</f>
        <v>911</v>
      </c>
      <c r="L3138" s="28">
        <f>Inputs!$D$24+(Inputs!$D$80-Inputs!$D$24)*Inputs!$D$91</f>
        <v>911</v>
      </c>
      <c r="M3138" s="28">
        <f>Inputs!$D$24+(Inputs!$D$80-Inputs!$D$24)*Inputs!$D$92</f>
        <v>911</v>
      </c>
    </row>
    <row r="3139" spans="1:13" ht="15" customHeight="1" x14ac:dyDescent="0.2">
      <c r="A3139" s="91"/>
      <c r="B3139" s="10" t="s">
        <v>891</v>
      </c>
      <c r="C3139" s="10" t="s">
        <v>199</v>
      </c>
      <c r="D3139" s="28">
        <f>Inputs!$D$24</f>
        <v>46</v>
      </c>
      <c r="E3139" s="28">
        <f t="shared" ref="E3139:M3139" si="680">D3138</f>
        <v>305.5</v>
      </c>
      <c r="F3139" s="28">
        <f t="shared" si="680"/>
        <v>651.5</v>
      </c>
      <c r="G3139" s="28">
        <f t="shared" si="680"/>
        <v>911</v>
      </c>
      <c r="H3139" s="28">
        <f t="shared" si="680"/>
        <v>911</v>
      </c>
      <c r="I3139" s="28">
        <f t="shared" si="680"/>
        <v>911</v>
      </c>
      <c r="J3139" s="28">
        <f t="shared" si="680"/>
        <v>911</v>
      </c>
      <c r="K3139" s="28">
        <f t="shared" si="680"/>
        <v>911</v>
      </c>
      <c r="L3139" s="28">
        <f t="shared" si="680"/>
        <v>911</v>
      </c>
      <c r="M3139" s="28">
        <f t="shared" si="680"/>
        <v>911</v>
      </c>
    </row>
    <row r="3140" spans="1:13" ht="15" customHeight="1" x14ac:dyDescent="0.2">
      <c r="B3140" s="10" t="s">
        <v>892</v>
      </c>
      <c r="C3140" s="10" t="s">
        <v>199</v>
      </c>
      <c r="D3140" s="28">
        <f>(D3139+D3138)*Inputs!$D$12</f>
        <v>175.75</v>
      </c>
      <c r="E3140" s="28">
        <f>(E3139+E3138)*Inputs!$D$12</f>
        <v>478.5</v>
      </c>
      <c r="F3140" s="28">
        <f>(F3139+F3138)*Inputs!$D$12</f>
        <v>781.25</v>
      </c>
      <c r="G3140" s="28">
        <f>(G3139+G3138)*Inputs!$D$12</f>
        <v>911</v>
      </c>
      <c r="H3140" s="28">
        <f>(H3139+H3138)*Inputs!$D$12</f>
        <v>911</v>
      </c>
      <c r="I3140" s="28">
        <f>(I3139+I3138)*Inputs!$D$12</f>
        <v>911</v>
      </c>
      <c r="J3140" s="28">
        <f>(J3139+J3138)*Inputs!$D$12</f>
        <v>911</v>
      </c>
      <c r="K3140" s="28">
        <f>(K3139+K3138)*Inputs!$D$12</f>
        <v>911</v>
      </c>
      <c r="L3140" s="28">
        <f>(L3139+L3138)*Inputs!$D$12</f>
        <v>911</v>
      </c>
      <c r="M3140" s="28">
        <f>(M3139+M3138)*Inputs!$D$12</f>
        <v>911</v>
      </c>
    </row>
    <row r="3141" spans="1:13" ht="15" customHeight="1" x14ac:dyDescent="0.2">
      <c r="B3141" s="10" t="s">
        <v>893</v>
      </c>
      <c r="C3141" s="10" t="s">
        <v>199</v>
      </c>
      <c r="D3141" s="28">
        <f t="shared" ref="D3141:M3141" si="681">D3138-D3139</f>
        <v>259.5</v>
      </c>
      <c r="E3141" s="28">
        <f t="shared" si="681"/>
        <v>346</v>
      </c>
      <c r="F3141" s="28">
        <f t="shared" si="681"/>
        <v>259.5</v>
      </c>
      <c r="G3141" s="28">
        <f t="shared" si="681"/>
        <v>0</v>
      </c>
      <c r="H3141" s="28">
        <f t="shared" si="681"/>
        <v>0</v>
      </c>
      <c r="I3141" s="28">
        <f t="shared" si="681"/>
        <v>0</v>
      </c>
      <c r="J3141" s="28">
        <f t="shared" si="681"/>
        <v>0</v>
      </c>
      <c r="K3141" s="28">
        <f t="shared" si="681"/>
        <v>0</v>
      </c>
      <c r="L3141" s="28">
        <f t="shared" si="681"/>
        <v>0</v>
      </c>
      <c r="M3141" s="28">
        <f t="shared" si="681"/>
        <v>0</v>
      </c>
    </row>
    <row r="3142" spans="1:13" ht="15" customHeight="1" x14ac:dyDescent="0.2">
      <c r="B3142" s="10" t="s">
        <v>894</v>
      </c>
      <c r="C3142" s="10" t="s">
        <v>199</v>
      </c>
      <c r="D3142" s="28">
        <f>IF(MOD(D3134,Inputs!$D$21)=Inputs!$D$6,Inputs!$D$24,Inputs!$D$6)+SUMPRODUCT(--(D3134&gt;$D$3134:$M$3134),--(MOD(D3134-$D$3134:$M$3134,Inputs!$D$21)=Inputs!$D$6),$D$3141:$M$3141)</f>
        <v>0</v>
      </c>
      <c r="E3142" s="28">
        <f>IF(MOD(E3134,Inputs!$D$21)=Inputs!$D$6,Inputs!$D$24,Inputs!$D$6)+SUMPRODUCT(--(E3134&gt;$D$3134:$M$3134),--(MOD(E3134-$D$3134:$M$3134,Inputs!$D$21)=Inputs!$D$6),$D$3141:$M$3141)</f>
        <v>0</v>
      </c>
      <c r="F3142" s="28">
        <f>IF(MOD(F3134,Inputs!$D$21)=Inputs!$D$6,Inputs!$D$24,Inputs!$D$6)+SUMPRODUCT(--(F3134&gt;$D$3134:$M$3134),--(MOD(F3134-$D$3134:$M$3134,Inputs!$D$21)=Inputs!$D$6),$D$3141:$M$3141)</f>
        <v>0</v>
      </c>
      <c r="G3142" s="28">
        <f>IF(MOD(G3134,Inputs!$D$21)=Inputs!$D$6,Inputs!$D$24,Inputs!$D$6)+SUMPRODUCT(--(G3134&gt;$D$3134:$M$3134),--(MOD(G3134-$D$3134:$M$3134,Inputs!$D$21)=Inputs!$D$6),$D$3141:$M$3141)</f>
        <v>46</v>
      </c>
      <c r="H3142" s="28">
        <f>IF(MOD(H3134,Inputs!$D$21)=Inputs!$D$6,Inputs!$D$24,Inputs!$D$6)+SUMPRODUCT(--(H3134&gt;$D$3134:$M$3134),--(MOD(H3134-$D$3134:$M$3134,Inputs!$D$21)=Inputs!$D$6),$D$3141:$M$3141)</f>
        <v>259.5</v>
      </c>
      <c r="I3142" s="28">
        <f>IF(MOD(I3134,Inputs!$D$21)=Inputs!$D$6,Inputs!$D$24,Inputs!$D$6)+SUMPRODUCT(--(I3134&gt;$D$3134:$M$3134),--(MOD(I3134-$D$3134:$M$3134,Inputs!$D$21)=Inputs!$D$6),$D$3141:$M$3141)</f>
        <v>346</v>
      </c>
      <c r="J3142" s="28">
        <f>IF(MOD(J3134,Inputs!$D$21)=Inputs!$D$6,Inputs!$D$24,Inputs!$D$6)+SUMPRODUCT(--(J3134&gt;$D$3134:$M$3134),--(MOD(J3134-$D$3134:$M$3134,Inputs!$D$21)=Inputs!$D$6),$D$3141:$M$3141)</f>
        <v>259.5</v>
      </c>
      <c r="K3142" s="28">
        <f>IF(MOD(K3134,Inputs!$D$21)=Inputs!$D$6,Inputs!$D$24,Inputs!$D$6)+SUMPRODUCT(--(K3134&gt;$D$3134:$M$3134),--(MOD(K3134-$D$3134:$M$3134,Inputs!$D$21)=Inputs!$D$6),$D$3141:$M$3141)</f>
        <v>46</v>
      </c>
      <c r="L3142" s="28">
        <f>IF(MOD(L3134,Inputs!$D$21)=Inputs!$D$6,Inputs!$D$24,Inputs!$D$6)+SUMPRODUCT(--(L3134&gt;$D$3134:$M$3134),--(MOD(L3134-$D$3134:$M$3134,Inputs!$D$21)=Inputs!$D$6),$D$3141:$M$3141)</f>
        <v>259.5</v>
      </c>
      <c r="M3142" s="28">
        <f>IF(MOD(M3134,Inputs!$D$21)=Inputs!$D$6,Inputs!$D$24,Inputs!$D$6)+SUMPRODUCT(--(M3134&gt;$D$3134:$M$3134),--(MOD(M3134-$D$3134:$M$3134,Inputs!$D$21)=Inputs!$D$6),$D$3141:$M$3141)</f>
        <v>346</v>
      </c>
    </row>
    <row r="3143" spans="1:13" ht="15" customHeight="1" x14ac:dyDescent="0.2">
      <c r="B3143" s="10" t="s">
        <v>895</v>
      </c>
      <c r="C3143" s="10" t="s">
        <v>896</v>
      </c>
      <c r="D3143" s="28">
        <f t="shared" ref="D3143:M3143" si="682">D3140*D3137</f>
        <v>125.58726899383984</v>
      </c>
      <c r="E3143" s="28">
        <f t="shared" si="682"/>
        <v>478.5</v>
      </c>
      <c r="F3143" s="28">
        <f t="shared" si="682"/>
        <v>781.25</v>
      </c>
      <c r="G3143" s="28">
        <f t="shared" si="682"/>
        <v>911</v>
      </c>
      <c r="H3143" s="28">
        <f t="shared" si="682"/>
        <v>911</v>
      </c>
      <c r="I3143" s="28">
        <f t="shared" si="682"/>
        <v>911</v>
      </c>
      <c r="J3143" s="28">
        <f t="shared" si="682"/>
        <v>911</v>
      </c>
      <c r="K3143" s="28">
        <f t="shared" si="682"/>
        <v>911</v>
      </c>
      <c r="L3143" s="28">
        <f t="shared" si="682"/>
        <v>911</v>
      </c>
      <c r="M3143" s="28">
        <f t="shared" si="682"/>
        <v>911</v>
      </c>
    </row>
    <row r="3144" spans="1:13" ht="15" customHeight="1" x14ac:dyDescent="0.2">
      <c r="B3144" s="10" t="s">
        <v>897</v>
      </c>
      <c r="C3144" s="10" t="s">
        <v>110</v>
      </c>
      <c r="D3144" s="16">
        <f>D3143*($D$3163/Inputs!$D$21+$D$3164/Inputs!$D$22)</f>
        <v>1816.9772859324419</v>
      </c>
      <c r="E3144" s="16">
        <f>E3143*($D$3163/Inputs!$D$21+$D$3164/Inputs!$D$22)</f>
        <v>6922.8643817497086</v>
      </c>
      <c r="F3144" s="16">
        <f>F3143*($D$3163/Inputs!$D$21+$D$3164/Inputs!$D$22)</f>
        <v>11303.0048030135</v>
      </c>
      <c r="G3144" s="16">
        <f>G3143*($D$3163/Inputs!$D$21+$D$3164/Inputs!$D$22)</f>
        <v>13180.207840697982</v>
      </c>
      <c r="H3144" s="16">
        <f>H3143*($D$3163/Inputs!$D$21+$D$3164/Inputs!$D$22)</f>
        <v>13180.207840697982</v>
      </c>
      <c r="I3144" s="16">
        <f>I3143*($D$3163/Inputs!$D$21+$D$3164/Inputs!$D$22)</f>
        <v>13180.207840697982</v>
      </c>
      <c r="J3144" s="16">
        <f>J3143*($D$3163/Inputs!$D$21+$D$3164/Inputs!$D$22)</f>
        <v>13180.207840697982</v>
      </c>
      <c r="K3144" s="16">
        <f>K3143*($D$3163/Inputs!$D$21+$D$3164/Inputs!$D$22)</f>
        <v>13180.207840697982</v>
      </c>
      <c r="L3144" s="16">
        <f>L3143*($D$3163/Inputs!$D$21+$D$3164/Inputs!$D$22)</f>
        <v>13180.207840697982</v>
      </c>
      <c r="M3144" s="16">
        <f>M3143*($D$3163/Inputs!$D$21+$D$3164/Inputs!$D$22)</f>
        <v>13180.207840697982</v>
      </c>
    </row>
    <row r="3145" spans="1:13" ht="15" customHeight="1" x14ac:dyDescent="0.2">
      <c r="B3145" s="10" t="s">
        <v>898</v>
      </c>
      <c r="C3145" s="10" t="s">
        <v>110</v>
      </c>
      <c r="D3145" s="16">
        <f t="shared" ref="D3145:M3145" si="683">D3141*($D$3163+$D$3164)</f>
        <v>15560.968620146154</v>
      </c>
      <c r="E3145" s="16">
        <f t="shared" si="683"/>
        <v>20747.95816019487</v>
      </c>
      <c r="F3145" s="16">
        <f t="shared" si="683"/>
        <v>15560.968620146154</v>
      </c>
      <c r="G3145" s="16">
        <f t="shared" si="683"/>
        <v>0</v>
      </c>
      <c r="H3145" s="16">
        <f t="shared" si="683"/>
        <v>0</v>
      </c>
      <c r="I3145" s="16">
        <f t="shared" si="683"/>
        <v>0</v>
      </c>
      <c r="J3145" s="16">
        <f t="shared" si="683"/>
        <v>0</v>
      </c>
      <c r="K3145" s="16">
        <f t="shared" si="683"/>
        <v>0</v>
      </c>
      <c r="L3145" s="16">
        <f t="shared" si="683"/>
        <v>0</v>
      </c>
      <c r="M3145" s="16">
        <f t="shared" si="683"/>
        <v>0</v>
      </c>
    </row>
    <row r="3146" spans="1:13" ht="15" customHeight="1" x14ac:dyDescent="0.2">
      <c r="B3146" s="10" t="s">
        <v>899</v>
      </c>
      <c r="C3146" s="10" t="s">
        <v>110</v>
      </c>
      <c r="D3146" s="16">
        <f t="shared" ref="D3146:M3146" si="684">D3142*$D$3163</f>
        <v>0</v>
      </c>
      <c r="E3146" s="16">
        <f t="shared" si="684"/>
        <v>0</v>
      </c>
      <c r="F3146" s="16">
        <f t="shared" si="684"/>
        <v>0</v>
      </c>
      <c r="G3146" s="16">
        <f t="shared" si="684"/>
        <v>2638.0048485671714</v>
      </c>
      <c r="H3146" s="16">
        <f t="shared" si="684"/>
        <v>14881.788221808281</v>
      </c>
      <c r="I3146" s="16">
        <f t="shared" si="684"/>
        <v>19842.384295744378</v>
      </c>
      <c r="J3146" s="16">
        <f t="shared" si="684"/>
        <v>14881.788221808281</v>
      </c>
      <c r="K3146" s="16">
        <f t="shared" si="684"/>
        <v>2638.0048485671714</v>
      </c>
      <c r="L3146" s="16">
        <f t="shared" si="684"/>
        <v>14881.788221808281</v>
      </c>
      <c r="M3146" s="16">
        <f t="shared" si="684"/>
        <v>19842.384295744378</v>
      </c>
    </row>
    <row r="3147" spans="1:13" ht="15" customHeight="1" x14ac:dyDescent="0.2">
      <c r="B3147" s="10" t="s">
        <v>900</v>
      </c>
      <c r="C3147" s="10" t="s">
        <v>199</v>
      </c>
      <c r="D3147" s="28">
        <f>D3141*Inputs!$D$23</f>
        <v>6.4875000000000007</v>
      </c>
      <c r="E3147" s="28">
        <f>E3141*Inputs!$D$23</f>
        <v>8.65</v>
      </c>
      <c r="F3147" s="28">
        <f>F3141*Inputs!$D$23</f>
        <v>6.4875000000000007</v>
      </c>
      <c r="G3147" s="28">
        <f>G3141*Inputs!$D$23</f>
        <v>0</v>
      </c>
      <c r="H3147" s="28">
        <f>H3141*Inputs!$D$23</f>
        <v>0</v>
      </c>
      <c r="I3147" s="28">
        <f>I3141*Inputs!$D$23</f>
        <v>0</v>
      </c>
      <c r="J3147" s="28">
        <f>J3141*Inputs!$D$23</f>
        <v>0</v>
      </c>
      <c r="K3147" s="28">
        <f>K3141*Inputs!$D$23</f>
        <v>0</v>
      </c>
      <c r="L3147" s="28">
        <f>L3141*Inputs!$D$23</f>
        <v>0</v>
      </c>
      <c r="M3147" s="28">
        <f>M3141*Inputs!$D$23</f>
        <v>0</v>
      </c>
    </row>
    <row r="3148" spans="1:13" ht="15" customHeight="1" x14ac:dyDescent="0.2">
      <c r="B3148" s="3" t="s">
        <v>901</v>
      </c>
      <c r="C3148" s="10" t="s">
        <v>896</v>
      </c>
      <c r="D3148" s="28">
        <f>(D3143*$D$3161*(Inputs!$D$7-Inputs!$D$19)-D3147)/(Inputs!$D$7+$D$3162)^D3136</f>
        <v>69.577993884880186</v>
      </c>
      <c r="E3148" s="28">
        <f>(E3143*$D$3161*(Inputs!$D$7-Inputs!$D$19)-E3147)/(Inputs!$D$7+$D$3162)^E3136</f>
        <v>259.5027909120393</v>
      </c>
      <c r="F3148" s="28">
        <f>(F3143*$D$3161*(Inputs!$D$7-Inputs!$D$19)-F3147)/(Inputs!$D$7+$D$3162)^F3136</f>
        <v>398.52314260122478</v>
      </c>
      <c r="G3148" s="28">
        <f>(G3143*$D$3161*(Inputs!$D$7-Inputs!$D$19)-G3147)/(Inputs!$D$7+$D$3162)^G3136</f>
        <v>435.99323422627566</v>
      </c>
      <c r="H3148" s="28">
        <f>(H3143*$D$3161*(Inputs!$D$7-Inputs!$D$19)-H3147)/(Inputs!$D$7+$D$3162)^H3136</f>
        <v>403.71870521307892</v>
      </c>
      <c r="I3148" s="28">
        <f>(I3143*$D$3161*(Inputs!$D$7-Inputs!$D$19)-I3147)/(Inputs!$D$7+$D$3162)^I3136</f>
        <v>373.75454650889594</v>
      </c>
      <c r="J3148" s="28">
        <f>(J3143*$D$3161*(Inputs!$D$7-Inputs!$D$19)-J3147)/(Inputs!$D$7+$D$3162)^J3136</f>
        <v>346.08725489020287</v>
      </c>
      <c r="K3148" s="28">
        <f>(K3143*$D$3161*(Inputs!$D$7-Inputs!$D$19)-K3147)/(Inputs!$D$7+$D$3162)^K3136</f>
        <v>320.46804277358893</v>
      </c>
      <c r="L3148" s="28">
        <f>(L3143*$D$3161*(Inputs!$D$7-Inputs!$D$19)-L3147)/(Inputs!$D$7+$D$3162)^L3136</f>
        <v>296.74530046394409</v>
      </c>
      <c r="M3148" s="28">
        <f>(M3143*$D$3161*(Inputs!$D$7-Inputs!$D$19)-M3147)/(Inputs!$D$7+$D$3162)^M3136</f>
        <v>274.72074930243895</v>
      </c>
    </row>
    <row r="3149" spans="1:13" ht="15" customHeight="1" x14ac:dyDescent="0.2">
      <c r="B3149" s="10" t="s">
        <v>902</v>
      </c>
      <c r="C3149" s="10" t="s">
        <v>110</v>
      </c>
      <c r="D3149" s="16">
        <f>(D3144*Inputs!$D$19-D3145-D3146)/(Inputs!$D$7+$D$3162)^D3136</f>
        <v>-14212.377724210151</v>
      </c>
      <c r="E3149" s="16">
        <f>(E3144*Inputs!$D$19-E3145-E3146)/(Inputs!$D$7+$D$3162)^E3136</f>
        <v>-16360.387094728963</v>
      </c>
      <c r="F3149" s="16">
        <f>(F3144*Inputs!$D$19-F3145-F3146)/(Inputs!$D$7+$D$3162)^F3136</f>
        <v>-9874.5154652847668</v>
      </c>
      <c r="G3149" s="16">
        <f>(G3144*Inputs!$D$19-G3145-G3146)/(Inputs!$D$7+$D$3162)^G3136</f>
        <v>988.77347238742834</v>
      </c>
      <c r="H3149" s="16">
        <f>(H3144*Inputs!$D$19-H3145-H3146)/(Inputs!$D$7+$D$3162)^H3136</f>
        <v>-7602.4024163036647</v>
      </c>
      <c r="I3149" s="16">
        <f>(I3144*Inputs!$D$19-I3145-I3146)/(Inputs!$D$7+$D$3162)^I3136</f>
        <v>-10233.087939303265</v>
      </c>
      <c r="J3149" s="16">
        <f>(J3144*Inputs!$D$19-J3145-J3146)/(Inputs!$D$7+$D$3162)^J3136</f>
        <v>-6517.1480757635773</v>
      </c>
      <c r="K3149" s="16">
        <f>(K3144*Inputs!$D$19-K3145-K3146)/(Inputs!$D$7+$D$3162)^K3136</f>
        <v>726.77801985796941</v>
      </c>
      <c r="L3149" s="16">
        <f>(L3144*Inputs!$D$19-L3145-L3146)/(Inputs!$D$7+$D$3162)^L3136</f>
        <v>-5587.9927289550824</v>
      </c>
      <c r="M3149" s="16">
        <f>(M3144*Inputs!$D$19-M3145-M3146)/(Inputs!$D$7+$D$3162)^M3136</f>
        <v>-7521.6251216792398</v>
      </c>
    </row>
    <row r="3150" spans="1:13" ht="15" customHeight="1" x14ac:dyDescent="0.2">
      <c r="B3150" s="10" t="s">
        <v>903</v>
      </c>
      <c r="C3150" s="10" t="s">
        <v>110</v>
      </c>
      <c r="D3150" s="16">
        <f t="shared" ref="D3150:M3150" si="685">D3143*$D$3160</f>
        <v>3060.5307326094921</v>
      </c>
      <c r="E3150" s="16">
        <f t="shared" si="685"/>
        <v>11660.926838256792</v>
      </c>
      <c r="F3150" s="16">
        <f t="shared" si="685"/>
        <v>19038.86957656869</v>
      </c>
      <c r="G3150" s="16">
        <f t="shared" si="685"/>
        <v>22200.845035845217</v>
      </c>
      <c r="H3150" s="16">
        <f t="shared" si="685"/>
        <v>22200.845035845217</v>
      </c>
      <c r="I3150" s="16">
        <f t="shared" si="685"/>
        <v>22200.845035845217</v>
      </c>
      <c r="J3150" s="16">
        <f t="shared" si="685"/>
        <v>22200.845035845217</v>
      </c>
      <c r="K3150" s="16">
        <f t="shared" si="685"/>
        <v>22200.845035845217</v>
      </c>
      <c r="L3150" s="16">
        <f t="shared" si="685"/>
        <v>22200.845035845217</v>
      </c>
      <c r="M3150" s="16">
        <f t="shared" si="685"/>
        <v>22200.845035845217</v>
      </c>
    </row>
    <row r="3151" spans="1:13" ht="15" customHeight="1" x14ac:dyDescent="0.2">
      <c r="B3151" s="10" t="s">
        <v>904</v>
      </c>
      <c r="C3151" s="10" t="s">
        <v>110</v>
      </c>
      <c r="D3151" s="16">
        <f t="shared" ref="D3151:M3151" si="686">D3150*$D$3161</f>
        <v>2785.0829666746381</v>
      </c>
      <c r="E3151" s="16">
        <f t="shared" si="686"/>
        <v>10611.443422813682</v>
      </c>
      <c r="F3151" s="16">
        <f t="shared" si="686"/>
        <v>17325.371314677508</v>
      </c>
      <c r="G3151" s="16">
        <f t="shared" si="686"/>
        <v>20202.768982619149</v>
      </c>
      <c r="H3151" s="16">
        <f t="shared" si="686"/>
        <v>20202.768982619149</v>
      </c>
      <c r="I3151" s="16">
        <f t="shared" si="686"/>
        <v>20202.768982619149</v>
      </c>
      <c r="J3151" s="16">
        <f t="shared" si="686"/>
        <v>20202.768982619149</v>
      </c>
      <c r="K3151" s="16">
        <f t="shared" si="686"/>
        <v>20202.768982619149</v>
      </c>
      <c r="L3151" s="16">
        <f t="shared" si="686"/>
        <v>20202.768982619149</v>
      </c>
      <c r="M3151" s="16">
        <f t="shared" si="686"/>
        <v>20202.768982619149</v>
      </c>
    </row>
    <row r="3152" spans="1:13" ht="15" customHeight="1" x14ac:dyDescent="0.2">
      <c r="B3152" s="10" t="s">
        <v>905</v>
      </c>
      <c r="C3152" s="10" t="s">
        <v>110</v>
      </c>
      <c r="D3152" s="16">
        <f t="shared" ref="D3152:M3152" si="687">D3151-D3144</f>
        <v>968.10568074219623</v>
      </c>
      <c r="E3152" s="16">
        <f t="shared" si="687"/>
        <v>3688.5790410639729</v>
      </c>
      <c r="F3152" s="16">
        <f t="shared" si="687"/>
        <v>6022.3665116640077</v>
      </c>
      <c r="G3152" s="16">
        <f t="shared" si="687"/>
        <v>7022.5611419211673</v>
      </c>
      <c r="H3152" s="16">
        <f t="shared" si="687"/>
        <v>7022.5611419211673</v>
      </c>
      <c r="I3152" s="16">
        <f t="shared" si="687"/>
        <v>7022.5611419211673</v>
      </c>
      <c r="J3152" s="16">
        <f t="shared" si="687"/>
        <v>7022.5611419211673</v>
      </c>
      <c r="K3152" s="16">
        <f t="shared" si="687"/>
        <v>7022.5611419211673</v>
      </c>
      <c r="L3152" s="16">
        <f t="shared" si="687"/>
        <v>7022.5611419211673</v>
      </c>
      <c r="M3152" s="16">
        <f t="shared" si="687"/>
        <v>7022.5611419211673</v>
      </c>
    </row>
    <row r="3153" spans="2:13" ht="15" customHeight="1" x14ac:dyDescent="0.2">
      <c r="B3153" s="10" t="s">
        <v>906</v>
      </c>
      <c r="C3153" s="10" t="s">
        <v>110</v>
      </c>
      <c r="D3153" s="16">
        <f>MAX(D3152,Inputs!$D$6)*Inputs!$D$19</f>
        <v>290.43170422265888</v>
      </c>
      <c r="E3153" s="16">
        <f>MAX(E3152,Inputs!$D$6)*Inputs!$D$19</f>
        <v>1106.5737123191918</v>
      </c>
      <c r="F3153" s="16">
        <f>MAX(F3152,Inputs!$D$6)*Inputs!$D$19</f>
        <v>1806.7099534992024</v>
      </c>
      <c r="G3153" s="16">
        <f>MAX(G3152,Inputs!$D$6)*Inputs!$D$19</f>
        <v>2106.7683425763503</v>
      </c>
      <c r="H3153" s="16">
        <f>MAX(H3152,Inputs!$D$6)*Inputs!$D$19</f>
        <v>2106.7683425763503</v>
      </c>
      <c r="I3153" s="16">
        <f>MAX(I3152,Inputs!$D$6)*Inputs!$D$19</f>
        <v>2106.7683425763503</v>
      </c>
      <c r="J3153" s="16">
        <f>MAX(J3152,Inputs!$D$6)*Inputs!$D$19</f>
        <v>2106.7683425763503</v>
      </c>
      <c r="K3153" s="16">
        <f>MAX(K3152,Inputs!$D$6)*Inputs!$D$19</f>
        <v>2106.7683425763503</v>
      </c>
      <c r="L3153" s="16">
        <f>MAX(L3152,Inputs!$D$6)*Inputs!$D$19</f>
        <v>2106.7683425763503</v>
      </c>
      <c r="M3153" s="16">
        <f>MAX(M3152,Inputs!$D$6)*Inputs!$D$19</f>
        <v>2106.7683425763503</v>
      </c>
    </row>
    <row r="3154" spans="2:13" ht="15" customHeight="1" x14ac:dyDescent="0.2">
      <c r="B3154" s="10" t="s">
        <v>907</v>
      </c>
      <c r="C3154" s="10" t="s">
        <v>110</v>
      </c>
      <c r="D3154" s="16">
        <f t="shared" ref="D3154:M3154" si="688">D3147*$D$3160</f>
        <v>158.09877296382641</v>
      </c>
      <c r="E3154" s="16">
        <f t="shared" si="688"/>
        <v>210.79836395176855</v>
      </c>
      <c r="F3154" s="16">
        <f t="shared" si="688"/>
        <v>158.09877296382641</v>
      </c>
      <c r="G3154" s="16">
        <f t="shared" si="688"/>
        <v>0</v>
      </c>
      <c r="H3154" s="16">
        <f t="shared" si="688"/>
        <v>0</v>
      </c>
      <c r="I3154" s="16">
        <f t="shared" si="688"/>
        <v>0</v>
      </c>
      <c r="J3154" s="16">
        <f t="shared" si="688"/>
        <v>0</v>
      </c>
      <c r="K3154" s="16">
        <f t="shared" si="688"/>
        <v>0</v>
      </c>
      <c r="L3154" s="16">
        <f t="shared" si="688"/>
        <v>0</v>
      </c>
      <c r="M3154" s="16">
        <f t="shared" si="688"/>
        <v>0</v>
      </c>
    </row>
    <row r="3155" spans="2:13" ht="15" customHeight="1" x14ac:dyDescent="0.2">
      <c r="B3155" s="10" t="s">
        <v>908</v>
      </c>
      <c r="C3155" s="10" t="s">
        <v>110</v>
      </c>
      <c r="D3155" s="16">
        <f t="shared" ref="D3155:M3155" si="689">D3151-D3153-D3145-D3146-D3154</f>
        <v>-13224.416130658001</v>
      </c>
      <c r="E3155" s="16">
        <f t="shared" si="689"/>
        <v>-11453.886813652149</v>
      </c>
      <c r="F3155" s="16">
        <f t="shared" si="689"/>
        <v>-200.40603193167502</v>
      </c>
      <c r="G3155" s="16">
        <f t="shared" si="689"/>
        <v>15457.995791475627</v>
      </c>
      <c r="H3155" s="16">
        <f t="shared" si="689"/>
        <v>3214.2124182345178</v>
      </c>
      <c r="I3155" s="16">
        <f t="shared" si="689"/>
        <v>-1746.3836557015784</v>
      </c>
      <c r="J3155" s="16">
        <f t="shared" si="689"/>
        <v>3214.2124182345178</v>
      </c>
      <c r="K3155" s="16">
        <f t="shared" si="689"/>
        <v>15457.995791475627</v>
      </c>
      <c r="L3155" s="16">
        <f t="shared" si="689"/>
        <v>3214.2124182345178</v>
      </c>
      <c r="M3155" s="16">
        <f t="shared" si="689"/>
        <v>-1746.3836557015784</v>
      </c>
    </row>
    <row r="3156" spans="2:13" ht="15" customHeight="1" x14ac:dyDescent="0.2">
      <c r="B3156" s="10" t="s">
        <v>909</v>
      </c>
      <c r="C3156" s="10" t="s">
        <v>110</v>
      </c>
      <c r="D3156" s="16">
        <f>D3155/(Inputs!$D$7+$D$3162)^D3136</f>
        <v>-12516.779194964036</v>
      </c>
      <c r="E3156" s="16">
        <f>E3155/(Inputs!$D$7+$D$3162)^E3136</f>
        <v>-10036.368162338704</v>
      </c>
      <c r="F3156" s="16">
        <f>F3155/(Inputs!$D$7+$D$3162)^F3136</f>
        <v>-162.60489219163992</v>
      </c>
      <c r="G3156" s="16">
        <f>G3155/(Inputs!$D$7+$D$3162)^G3136</f>
        <v>11613.820925443977</v>
      </c>
      <c r="H3156" s="16">
        <f>H3155/(Inputs!$D$7+$D$3162)^H3136</f>
        <v>2236.1227346377677</v>
      </c>
      <c r="I3156" s="16">
        <f>I3155/(Inputs!$D$7+$D$3162)^I3136</f>
        <v>-1124.7819365737298</v>
      </c>
      <c r="J3156" s="16">
        <f>J3155/(Inputs!$D$7+$D$3162)^J3136</f>
        <v>1916.9128624345133</v>
      </c>
      <c r="K3156" s="16">
        <f>K3155/(Inputs!$D$7+$D$3162)^K3136</f>
        <v>8536.5050852334534</v>
      </c>
      <c r="L3156" s="16">
        <f>L3155/(Inputs!$D$7+$D$3162)^L3136</f>
        <v>1643.6169644756008</v>
      </c>
      <c r="M3156" s="16">
        <f>M3155/(Inputs!$D$7+$D$3162)^M3136</f>
        <v>-826.74830126789823</v>
      </c>
    </row>
    <row r="3157" spans="2:13" ht="15" customHeight="1" x14ac:dyDescent="0.2">
      <c r="B3157" s="3" t="s">
        <v>910</v>
      </c>
      <c r="C3157" s="10" t="s">
        <v>896</v>
      </c>
      <c r="D3157" s="28">
        <f>(D3143*$D$3161-D3147)/(Inputs!$D$7+$D$3162)^D3136</f>
        <v>102.02871468379014</v>
      </c>
      <c r="E3157" s="28">
        <f>(E3143*$D$3161-E3147)/(Inputs!$D$7+$D$3162)^E3136</f>
        <v>373.96662424307141</v>
      </c>
      <c r="F3157" s="28">
        <f>(F3143*$D$3161-F3147)/(Inputs!$D$7+$D$3162)^F3136</f>
        <v>571.57469363723339</v>
      </c>
      <c r="G3157" s="28">
        <f>(G3143*$D$3161-G3147)/(Inputs!$D$7+$D$3162)^G3136</f>
        <v>622.84747746610822</v>
      </c>
      <c r="H3157" s="28">
        <f>(H3143*$D$3161-H3147)/(Inputs!$D$7+$D$3162)^H3136</f>
        <v>576.7410074472557</v>
      </c>
      <c r="I3157" s="28">
        <f>(I3143*$D$3161-I3147)/(Inputs!$D$7+$D$3162)^I3136</f>
        <v>533.93506644128001</v>
      </c>
      <c r="J3157" s="28">
        <f>(J3143*$D$3161-J3147)/(Inputs!$D$7+$D$3162)^J3136</f>
        <v>494.41036412886126</v>
      </c>
      <c r="K3157" s="28">
        <f>(K3143*$D$3161-K3147)/(Inputs!$D$7+$D$3162)^K3136</f>
        <v>457.81148967655571</v>
      </c>
      <c r="L3157" s="28">
        <f>(L3143*$D$3161-L3147)/(Inputs!$D$7+$D$3162)^L3136</f>
        <v>423.92185780563449</v>
      </c>
      <c r="M3157" s="28">
        <f>(M3143*$D$3161-M3147)/(Inputs!$D$7+$D$3162)^M3136</f>
        <v>392.45821328919851</v>
      </c>
    </row>
    <row r="3158" spans="2:13" ht="15" customHeight="1" x14ac:dyDescent="0.2">
      <c r="B3158" s="10" t="s">
        <v>911</v>
      </c>
      <c r="C3158" s="10" t="s">
        <v>110</v>
      </c>
      <c r="D3158" s="16">
        <f>(-D3145-D3146)/(Inputs!$D$7+$D$3162)^D3136</f>
        <v>-14728.303038392241</v>
      </c>
      <c r="E3158" s="16">
        <f>(-E3145-E3146)/(Inputs!$D$7+$D$3162)^E3136</f>
        <v>-18180.216908055725</v>
      </c>
      <c r="F3158" s="16">
        <f>(-F3145-F3146)/(Inputs!$D$7+$D$3162)^F3136</f>
        <v>-12625.815702688111</v>
      </c>
      <c r="G3158" s="16">
        <f>(-G3145-G3146)/(Inputs!$D$7+$D$3162)^G3136</f>
        <v>-1981.9720696655354</v>
      </c>
      <c r="H3158" s="16">
        <f>(-H3145-H3146)/(Inputs!$D$7+$D$3162)^H3136</f>
        <v>-10353.237634844469</v>
      </c>
      <c r="I3158" s="16">
        <f>(-I3145-I3146)/(Inputs!$D$7+$D$3162)^I3136</f>
        <v>-12779.755102232404</v>
      </c>
      <c r="J3158" s="16">
        <f>(-J3145-J3146)/(Inputs!$D$7+$D$3162)^J3136</f>
        <v>-8875.2974434962562</v>
      </c>
      <c r="K3158" s="16">
        <f>(-K3145-K3146)/(Inputs!$D$7+$D$3162)^K3136</f>
        <v>-1456.8086386129401</v>
      </c>
      <c r="L3158" s="16">
        <f>(-L3145-L3146)/(Inputs!$D$7+$D$3162)^L3136</f>
        <v>-7609.9387347064285</v>
      </c>
      <c r="M3158" s="16">
        <f>(-M3145-M3146)/(Inputs!$D$7+$D$3162)^M3136</f>
        <v>-9393.5015115686074</v>
      </c>
    </row>
    <row r="3159" spans="2:13" ht="15" customHeight="1" x14ac:dyDescent="0.2">
      <c r="B3159" s="10" t="s">
        <v>912</v>
      </c>
      <c r="C3159" s="10" t="s">
        <v>110</v>
      </c>
      <c r="D3159" s="16">
        <f>Prices!I8</f>
        <v>32775</v>
      </c>
    </row>
    <row r="3160" spans="2:13" ht="15" customHeight="1" x14ac:dyDescent="0.2">
      <c r="B3160" s="3" t="s">
        <v>913</v>
      </c>
      <c r="C3160" s="10" t="s">
        <v>914</v>
      </c>
      <c r="D3160" s="28">
        <f>IF(J3167&gt;=J3163,J3167,(D3159-J3166)/J3165)</f>
        <v>24.369753058007923</v>
      </c>
      <c r="G3160" s="99" t="s">
        <v>915</v>
      </c>
      <c r="H3160" s="91"/>
      <c r="I3160" s="91"/>
      <c r="J3160" s="28">
        <f>D3160*Inputs!$D$15</f>
        <v>17.007650659183728</v>
      </c>
      <c r="K3160" s="99" t="s">
        <v>916</v>
      </c>
      <c r="L3160" s="91"/>
      <c r="M3160" s="91"/>
    </row>
    <row r="3161" spans="2:13" ht="15" customHeight="1" x14ac:dyDescent="0.2">
      <c r="B3161" s="10" t="s">
        <v>917</v>
      </c>
      <c r="C3161" s="10" t="s">
        <v>104</v>
      </c>
      <c r="D3161" s="30">
        <f>Inputs!$D$145</f>
        <v>0.91</v>
      </c>
      <c r="G3161" s="99" t="s">
        <v>918</v>
      </c>
      <c r="H3161" s="91"/>
      <c r="I3161" s="91"/>
      <c r="J3161" s="28">
        <f>IF(-D3172/D3171&gt;=J3163,-D3172/D3171,-J3166/J3165)</f>
        <v>20.418094932582541</v>
      </c>
      <c r="K3161" s="99" t="s">
        <v>919</v>
      </c>
      <c r="L3161" s="91"/>
      <c r="M3161" s="91"/>
    </row>
    <row r="3162" spans="2:13" ht="15" customHeight="1" x14ac:dyDescent="0.2">
      <c r="B3162" s="10" t="s">
        <v>920</v>
      </c>
      <c r="C3162" s="10" t="s">
        <v>104</v>
      </c>
      <c r="D3162" s="30">
        <f>Inputs!$D$146</f>
        <v>0.08</v>
      </c>
      <c r="G3162" s="99" t="s">
        <v>918</v>
      </c>
      <c r="H3162" s="91"/>
      <c r="I3162" s="91"/>
      <c r="J3162" s="28">
        <f>J3161*Inputs!$D$15</f>
        <v>14.249788453449355</v>
      </c>
      <c r="K3162" s="99" t="s">
        <v>916</v>
      </c>
      <c r="L3162" s="91"/>
      <c r="M3162" s="91"/>
    </row>
    <row r="3163" spans="2:13" ht="15" customHeight="1" x14ac:dyDescent="0.2">
      <c r="B3163" s="3" t="s">
        <v>921</v>
      </c>
      <c r="C3163" s="10" t="s">
        <v>848</v>
      </c>
      <c r="D3163" s="28">
        <f>Capital!$D$13</f>
        <v>57.347931490590682</v>
      </c>
      <c r="G3163" s="99" t="s">
        <v>922</v>
      </c>
      <c r="H3163" s="91"/>
      <c r="I3163" s="91"/>
      <c r="J3163" s="28">
        <f>($D$3163/Inputs!$D$21+$D$3164/Inputs!$D$22)/$D$3161</f>
        <v>15.898732030612395</v>
      </c>
      <c r="K3163" s="99" t="s">
        <v>919</v>
      </c>
      <c r="L3163" s="91"/>
      <c r="M3163" s="91"/>
    </row>
    <row r="3164" spans="2:13" ht="15" customHeight="1" x14ac:dyDescent="0.2">
      <c r="B3164" s="3" t="s">
        <v>923</v>
      </c>
      <c r="C3164" s="10" t="s">
        <v>848</v>
      </c>
      <c r="D3164" s="28">
        <f>Capital!$D$14</f>
        <v>2.6172655041921802</v>
      </c>
    </row>
    <row r="3165" spans="2:13" ht="15" customHeight="1" x14ac:dyDescent="0.2">
      <c r="B3165" s="10" t="s">
        <v>924</v>
      </c>
      <c r="C3165" s="10" t="s">
        <v>896</v>
      </c>
      <c r="D3165" s="28">
        <f>(M3138*(Inputs!$D$7+Inputs!$D$20)*$D$3161*(Inputs!$D$7-Inputs!$D$19)-M3138*Inputs!$D$20*Inputs!$D$23)/($D$3162-Inputs!$D$20)/(Inputs!$D$7+$D$3162)^M3136</f>
        <v>5114.8949556152684</v>
      </c>
      <c r="G3165" s="92" t="s">
        <v>910</v>
      </c>
      <c r="H3165" s="91"/>
      <c r="I3165" s="91"/>
      <c r="J3165" s="28">
        <f>SUM(D3157:M3157)+(M3138*(Inputs!$D$7+Inputs!$D$20)*$D$3161-M3138*Inputs!$D$20*Inputs!$D$23)/($D$3162-Inputs!$D$20)/(Inputs!$D$7+$D$3162)^M3136</f>
        <v>11858.788656914776</v>
      </c>
      <c r="K3165" s="99" t="s">
        <v>896</v>
      </c>
      <c r="L3165" s="91"/>
      <c r="M3165" s="91"/>
    </row>
    <row r="3166" spans="2:13" ht="15" customHeight="1" x14ac:dyDescent="0.2">
      <c r="B3166" s="10" t="s">
        <v>925</v>
      </c>
      <c r="C3166" s="10" t="s">
        <v>110</v>
      </c>
      <c r="D3166" s="16">
        <f>(D3169*Inputs!$D$19-D3169-D3170)/($D$3162-Inputs!$D$20)/(Inputs!$D$7+$D$3162)^M3136</f>
        <v>-93153.423070883771</v>
      </c>
      <c r="G3166" s="92" t="s">
        <v>926</v>
      </c>
      <c r="H3166" s="91"/>
      <c r="I3166" s="91"/>
      <c r="J3166" s="16">
        <f>SUM(D3158:M3158)-(D3169+D3170)/($D$3162-Inputs!$D$20)/(Inputs!$D$7+$D$3162)^M3136</f>
        <v>-226023.23893944838</v>
      </c>
      <c r="K3166" s="99" t="s">
        <v>110</v>
      </c>
      <c r="L3166" s="91"/>
      <c r="M3166" s="91"/>
    </row>
    <row r="3167" spans="2:13" ht="15" customHeight="1" x14ac:dyDescent="0.2">
      <c r="B3167" s="10" t="s">
        <v>927</v>
      </c>
      <c r="C3167" s="10" t="s">
        <v>928</v>
      </c>
      <c r="D3167" s="16">
        <f>(M3138*(Inputs!$D$7+Inputs!$D$20)*$D$3160*$D$3161-D3169)-MAX((M3138*(Inputs!$D$7+Inputs!$D$20)*$D$3160*$D$3161-D3169),Inputs!$D$6)*Inputs!$D$19-D3170-M3138*Inputs!$D$20*$D$3160*Inputs!$D$23</f>
        <v>3659.1047296248539</v>
      </c>
      <c r="G3167" s="99" t="s">
        <v>929</v>
      </c>
      <c r="H3167" s="91"/>
      <c r="I3167" s="91"/>
      <c r="J3167" s="28">
        <f>(D3159-D3172)/D3171</f>
        <v>24.369753058007923</v>
      </c>
      <c r="K3167" s="99" t="s">
        <v>919</v>
      </c>
      <c r="L3167" s="91"/>
      <c r="M3167" s="91"/>
    </row>
    <row r="3168" spans="2:13" ht="15" customHeight="1" x14ac:dyDescent="0.2">
      <c r="B3168" s="10" t="s">
        <v>930</v>
      </c>
      <c r="C3168" s="10" t="s">
        <v>110</v>
      </c>
      <c r="D3168" s="16">
        <f>D3167/($D$3162-Inputs!$D$20)</f>
        <v>66529.176902270076</v>
      </c>
      <c r="G3168" s="99" t="s">
        <v>931</v>
      </c>
      <c r="H3168" s="91"/>
      <c r="I3168" s="91"/>
      <c r="J3168" s="16">
        <f>MIN(D3152:M3152,(M3138*(Inputs!$D$7+Inputs!$D$20)*$D$3160*$D$3161-D3169))</f>
        <v>968.10568074219623</v>
      </c>
      <c r="K3168" s="99" t="s">
        <v>110</v>
      </c>
      <c r="L3168" s="91"/>
      <c r="M3168" s="91"/>
    </row>
    <row r="3169" spans="1:13" ht="15" customHeight="1" x14ac:dyDescent="0.2">
      <c r="B3169" s="10" t="s">
        <v>932</v>
      </c>
      <c r="C3169" s="10" t="s">
        <v>928</v>
      </c>
      <c r="D3169" s="16">
        <f>M3138*(Inputs!$D$7+Inputs!$D$20)*($D$3163/Inputs!$D$21+$D$3164/Inputs!$D$22)</f>
        <v>13509.71303671543</v>
      </c>
      <c r="G3169" s="99" t="s">
        <v>933</v>
      </c>
      <c r="H3169" s="91"/>
      <c r="I3169" s="91"/>
      <c r="J3169" s="31" t="str">
        <f>IF(J3168&lt;Inputs!$D$6,"breached","satisfied")</f>
        <v>satisfied</v>
      </c>
      <c r="K3169" s="99" t="s">
        <v>934</v>
      </c>
      <c r="L3169" s="91"/>
      <c r="M3169" s="91"/>
    </row>
    <row r="3170" spans="1:13" ht="15" customHeight="1" x14ac:dyDescent="0.2">
      <c r="B3170" s="10" t="s">
        <v>935</v>
      </c>
      <c r="C3170" s="10" t="s">
        <v>928</v>
      </c>
      <c r="D3170" s="16">
        <f>M3138*Inputs!$D$20*($D$3163+$D$3164)</f>
        <v>1365.7073615561799</v>
      </c>
    </row>
    <row r="3171" spans="1:13" ht="15" customHeight="1" x14ac:dyDescent="0.2">
      <c r="B3171" s="10" t="s">
        <v>936</v>
      </c>
      <c r="C3171" s="10" t="s">
        <v>896</v>
      </c>
      <c r="D3171" s="28">
        <f>SUM(D3148:M3148)+D3165</f>
        <v>8293.9867163918389</v>
      </c>
      <c r="G3171" s="99" t="s">
        <v>937</v>
      </c>
      <c r="H3171" s="91"/>
      <c r="I3171" s="91"/>
      <c r="J3171" s="16">
        <f>D3173-D3159</f>
        <v>0</v>
      </c>
      <c r="K3171" s="99" t="s">
        <v>110</v>
      </c>
      <c r="L3171" s="91"/>
      <c r="M3171" s="91"/>
    </row>
    <row r="3172" spans="1:13" ht="15" customHeight="1" x14ac:dyDescent="0.2">
      <c r="B3172" s="10" t="s">
        <v>938</v>
      </c>
      <c r="C3172" s="10" t="s">
        <v>110</v>
      </c>
      <c r="D3172" s="16">
        <f>SUM(D3149:M3149)+D3166</f>
        <v>-169347.40814486711</v>
      </c>
    </row>
    <row r="3173" spans="1:13" ht="15" customHeight="1" x14ac:dyDescent="0.2">
      <c r="B3173" s="10" t="s">
        <v>939</v>
      </c>
      <c r="C3173" s="10" t="s">
        <v>110</v>
      </c>
      <c r="D3173" s="16">
        <f>SUM(D3156:M3156)+D3168/(Inputs!$D$7+$D$3162)^M3136</f>
        <v>32775.000000000015</v>
      </c>
    </row>
    <row r="3174" spans="1:13" ht="15" customHeight="1" x14ac:dyDescent="0.2">
      <c r="B3174" s="10" t="s">
        <v>940</v>
      </c>
      <c r="C3174" s="10" t="s">
        <v>104</v>
      </c>
      <c r="D3174" s="30">
        <f>IF(ABS(D3159)&gt;Inputs!$D$6,D3173/D3159-Inputs!$D$7,Inputs!$D$6)</f>
        <v>4.4408920985006262E-16</v>
      </c>
    </row>
    <row r="3175" spans="1:13" ht="15" customHeight="1" x14ac:dyDescent="0.2">
      <c r="B3175" s="10" t="s">
        <v>941</v>
      </c>
      <c r="C3175" s="10" t="s">
        <v>104</v>
      </c>
      <c r="D3175" s="30">
        <f>IF(ABS(D3173)&gt;Inputs!$D$119,D3168/(Inputs!$D$7+$D$3162)^M3136/D3173,Inputs!$D$6)</f>
        <v>0.9609551156402959</v>
      </c>
    </row>
    <row r="3176" spans="1:13" ht="15" customHeight="1" x14ac:dyDescent="0.2">
      <c r="B3176" s="10" t="s">
        <v>942</v>
      </c>
      <c r="C3176" s="10" t="s">
        <v>943</v>
      </c>
      <c r="D3176" s="26">
        <f>$D$3160*Inputs!$D$8/Prices!$P$6/(Inputs!$D$26/Inputs!$D$25)/Inputs!$D$11/Inputs!$D$56</f>
        <v>4.4317136172679463</v>
      </c>
    </row>
    <row r="3180" spans="1:13" ht="15" customHeight="1" x14ac:dyDescent="0.2">
      <c r="A3180" s="104" t="s">
        <v>2234</v>
      </c>
      <c r="B3180" s="10" t="s">
        <v>886</v>
      </c>
      <c r="C3180" s="10" t="s">
        <v>107</v>
      </c>
      <c r="D3180" s="28">
        <f>Inputs!$D$60</f>
        <v>1</v>
      </c>
      <c r="E3180" s="28">
        <f>Inputs!$D$62</f>
        <v>2</v>
      </c>
      <c r="F3180" s="28">
        <f>Inputs!$D$64</f>
        <v>3</v>
      </c>
      <c r="G3180" s="28">
        <f>Inputs!$D$66</f>
        <v>4</v>
      </c>
      <c r="H3180" s="28">
        <f>Inputs!$D$68</f>
        <v>5</v>
      </c>
      <c r="I3180" s="28">
        <f>Inputs!$D$70</f>
        <v>6</v>
      </c>
      <c r="J3180" s="28">
        <f>Inputs!$D$72</f>
        <v>7</v>
      </c>
      <c r="K3180" s="28">
        <f>Inputs!$D$74</f>
        <v>8</v>
      </c>
      <c r="L3180" s="28">
        <f>Inputs!$D$76</f>
        <v>9</v>
      </c>
      <c r="M3180" s="28">
        <f>Inputs!$D$78</f>
        <v>10</v>
      </c>
    </row>
    <row r="3181" spans="1:13" ht="15" customHeight="1" x14ac:dyDescent="0.2">
      <c r="A3181" s="91"/>
      <c r="B3181" s="10" t="s">
        <v>887</v>
      </c>
      <c r="C3181" s="10" t="s">
        <v>161</v>
      </c>
      <c r="D3181" s="29">
        <f>Inputs!$D$61</f>
        <v>46568</v>
      </c>
      <c r="E3181" s="29">
        <f>Inputs!$D$63</f>
        <v>46934</v>
      </c>
      <c r="F3181" s="29">
        <f>Inputs!$D$65</f>
        <v>47299</v>
      </c>
      <c r="G3181" s="29">
        <f>Inputs!$D$67</f>
        <v>47664</v>
      </c>
      <c r="H3181" s="29">
        <f>Inputs!$D$69</f>
        <v>48029</v>
      </c>
      <c r="I3181" s="29">
        <f>Inputs!$D$71</f>
        <v>48395</v>
      </c>
      <c r="J3181" s="29">
        <f>Inputs!$D$73</f>
        <v>48760</v>
      </c>
      <c r="K3181" s="29">
        <f>Inputs!$D$75</f>
        <v>49125</v>
      </c>
      <c r="L3181" s="29">
        <f>Inputs!$D$77</f>
        <v>49490</v>
      </c>
      <c r="M3181" s="29">
        <f>Inputs!$D$79</f>
        <v>49856</v>
      </c>
    </row>
    <row r="3182" spans="1:13" ht="15" customHeight="1" x14ac:dyDescent="0.2">
      <c r="A3182" s="91"/>
      <c r="B3182" s="10" t="s">
        <v>888</v>
      </c>
      <c r="C3182" s="10" t="s">
        <v>107</v>
      </c>
      <c r="D3182" s="28">
        <f>(D3181-Inputs!$D$13)/Inputs!$D$10</f>
        <v>0.71457905544147848</v>
      </c>
      <c r="E3182" s="28">
        <f>(E3181-Inputs!$D$13)/Inputs!$D$10</f>
        <v>1.7166324435318274</v>
      </c>
      <c r="F3182" s="28">
        <f>(F3181-Inputs!$D$13)/Inputs!$D$10</f>
        <v>2.7159479808350446</v>
      </c>
      <c r="G3182" s="28">
        <f>(G3181-Inputs!$D$13)/Inputs!$D$10</f>
        <v>3.7152635181382614</v>
      </c>
      <c r="H3182" s="28">
        <f>(H3181-Inputs!$D$13)/Inputs!$D$10</f>
        <v>4.7145790554414786</v>
      </c>
      <c r="I3182" s="28">
        <f>(I3181-Inputs!$D$13)/Inputs!$D$10</f>
        <v>5.7166324435318279</v>
      </c>
      <c r="J3182" s="28">
        <f>(J3181-Inputs!$D$13)/Inputs!$D$10</f>
        <v>6.7159479808350442</v>
      </c>
      <c r="K3182" s="28">
        <f>(K3181-Inputs!$D$13)/Inputs!$D$10</f>
        <v>7.7152635181382614</v>
      </c>
      <c r="L3182" s="28">
        <f>(L3181-Inputs!$D$13)/Inputs!$D$10</f>
        <v>8.7145790554414777</v>
      </c>
      <c r="M3182" s="28">
        <f>(M3181-Inputs!$D$13)/Inputs!$D$10</f>
        <v>9.716632443531827</v>
      </c>
    </row>
    <row r="3183" spans="1:13" ht="15" customHeight="1" x14ac:dyDescent="0.2">
      <c r="A3183" s="91"/>
      <c r="B3183" s="10" t="s">
        <v>889</v>
      </c>
      <c r="C3183" s="10" t="s">
        <v>107</v>
      </c>
      <c r="D3183" s="28">
        <f>D3182</f>
        <v>0.71457905544147848</v>
      </c>
      <c r="E3183" s="28">
        <f>Inputs!$D$7</f>
        <v>1</v>
      </c>
      <c r="F3183" s="28">
        <f>Inputs!$D$7</f>
        <v>1</v>
      </c>
      <c r="G3183" s="28">
        <f>Inputs!$D$7</f>
        <v>1</v>
      </c>
      <c r="H3183" s="28">
        <f>Inputs!$D$7</f>
        <v>1</v>
      </c>
      <c r="I3183" s="28">
        <f>Inputs!$D$7</f>
        <v>1</v>
      </c>
      <c r="J3183" s="28">
        <f>Inputs!$D$7</f>
        <v>1</v>
      </c>
      <c r="K3183" s="28">
        <f>Inputs!$D$7</f>
        <v>1</v>
      </c>
      <c r="L3183" s="28">
        <f>Inputs!$D$7</f>
        <v>1</v>
      </c>
      <c r="M3183" s="28">
        <f>Inputs!$D$7</f>
        <v>1</v>
      </c>
    </row>
    <row r="3184" spans="1:13" ht="15" customHeight="1" x14ac:dyDescent="0.2">
      <c r="A3184" s="91"/>
      <c r="B3184" s="3" t="s">
        <v>890</v>
      </c>
      <c r="C3184" s="10" t="s">
        <v>199</v>
      </c>
      <c r="D3184" s="28">
        <f>Inputs!$D$24+(Inputs!$D$80-Inputs!$D$24)*Inputs!$D$83</f>
        <v>305.5</v>
      </c>
      <c r="E3184" s="28">
        <f>Inputs!$D$24+(Inputs!$D$80-Inputs!$D$24)*Inputs!$D$84</f>
        <v>651.5</v>
      </c>
      <c r="F3184" s="28">
        <f>Inputs!$D$24+(Inputs!$D$80-Inputs!$D$24)*Inputs!$D$85</f>
        <v>911</v>
      </c>
      <c r="G3184" s="28">
        <f>Inputs!$D$24+(Inputs!$D$80-Inputs!$D$24)*Inputs!$D$86</f>
        <v>911</v>
      </c>
      <c r="H3184" s="28">
        <f>Inputs!$D$24+(Inputs!$D$80-Inputs!$D$24)*Inputs!$D$87</f>
        <v>911</v>
      </c>
      <c r="I3184" s="28">
        <f>Inputs!$D$24+(Inputs!$D$80-Inputs!$D$24)*Inputs!$D$88</f>
        <v>911</v>
      </c>
      <c r="J3184" s="28">
        <f>Inputs!$D$24+(Inputs!$D$80-Inputs!$D$24)*Inputs!$D$89</f>
        <v>911</v>
      </c>
      <c r="K3184" s="28">
        <f>Inputs!$D$24+(Inputs!$D$80-Inputs!$D$24)*Inputs!$D$90</f>
        <v>911</v>
      </c>
      <c r="L3184" s="28">
        <f>Inputs!$D$24+(Inputs!$D$80-Inputs!$D$24)*Inputs!$D$91</f>
        <v>911</v>
      </c>
      <c r="M3184" s="28">
        <f>Inputs!$D$24+(Inputs!$D$80-Inputs!$D$24)*Inputs!$D$92</f>
        <v>911</v>
      </c>
    </row>
    <row r="3185" spans="1:13" ht="15" customHeight="1" x14ac:dyDescent="0.2">
      <c r="A3185" s="91"/>
      <c r="B3185" s="10" t="s">
        <v>891</v>
      </c>
      <c r="C3185" s="10" t="s">
        <v>199</v>
      </c>
      <c r="D3185" s="28">
        <f>Inputs!$D$24</f>
        <v>46</v>
      </c>
      <c r="E3185" s="28">
        <f t="shared" ref="E3185:M3185" si="690">D3184</f>
        <v>305.5</v>
      </c>
      <c r="F3185" s="28">
        <f t="shared" si="690"/>
        <v>651.5</v>
      </c>
      <c r="G3185" s="28">
        <f t="shared" si="690"/>
        <v>911</v>
      </c>
      <c r="H3185" s="28">
        <f t="shared" si="690"/>
        <v>911</v>
      </c>
      <c r="I3185" s="28">
        <f t="shared" si="690"/>
        <v>911</v>
      </c>
      <c r="J3185" s="28">
        <f t="shared" si="690"/>
        <v>911</v>
      </c>
      <c r="K3185" s="28">
        <f t="shared" si="690"/>
        <v>911</v>
      </c>
      <c r="L3185" s="28">
        <f t="shared" si="690"/>
        <v>911</v>
      </c>
      <c r="M3185" s="28">
        <f t="shared" si="690"/>
        <v>911</v>
      </c>
    </row>
    <row r="3186" spans="1:13" ht="15" customHeight="1" x14ac:dyDescent="0.2">
      <c r="B3186" s="10" t="s">
        <v>892</v>
      </c>
      <c r="C3186" s="10" t="s">
        <v>199</v>
      </c>
      <c r="D3186" s="28">
        <f>(D3185+D3184)*Inputs!$D$12</f>
        <v>175.75</v>
      </c>
      <c r="E3186" s="28">
        <f>(E3185+E3184)*Inputs!$D$12</f>
        <v>478.5</v>
      </c>
      <c r="F3186" s="28">
        <f>(F3185+F3184)*Inputs!$D$12</f>
        <v>781.25</v>
      </c>
      <c r="G3186" s="28">
        <f>(G3185+G3184)*Inputs!$D$12</f>
        <v>911</v>
      </c>
      <c r="H3186" s="28">
        <f>(H3185+H3184)*Inputs!$D$12</f>
        <v>911</v>
      </c>
      <c r="I3186" s="28">
        <f>(I3185+I3184)*Inputs!$D$12</f>
        <v>911</v>
      </c>
      <c r="J3186" s="28">
        <f>(J3185+J3184)*Inputs!$D$12</f>
        <v>911</v>
      </c>
      <c r="K3186" s="28">
        <f>(K3185+K3184)*Inputs!$D$12</f>
        <v>911</v>
      </c>
      <c r="L3186" s="28">
        <f>(L3185+L3184)*Inputs!$D$12</f>
        <v>911</v>
      </c>
      <c r="M3186" s="28">
        <f>(M3185+M3184)*Inputs!$D$12</f>
        <v>911</v>
      </c>
    </row>
    <row r="3187" spans="1:13" ht="15" customHeight="1" x14ac:dyDescent="0.2">
      <c r="B3187" s="10" t="s">
        <v>893</v>
      </c>
      <c r="C3187" s="10" t="s">
        <v>199</v>
      </c>
      <c r="D3187" s="28">
        <f t="shared" ref="D3187:M3187" si="691">D3184-D3185</f>
        <v>259.5</v>
      </c>
      <c r="E3187" s="28">
        <f t="shared" si="691"/>
        <v>346</v>
      </c>
      <c r="F3187" s="28">
        <f t="shared" si="691"/>
        <v>259.5</v>
      </c>
      <c r="G3187" s="28">
        <f t="shared" si="691"/>
        <v>0</v>
      </c>
      <c r="H3187" s="28">
        <f t="shared" si="691"/>
        <v>0</v>
      </c>
      <c r="I3187" s="28">
        <f t="shared" si="691"/>
        <v>0</v>
      </c>
      <c r="J3187" s="28">
        <f t="shared" si="691"/>
        <v>0</v>
      </c>
      <c r="K3187" s="28">
        <f t="shared" si="691"/>
        <v>0</v>
      </c>
      <c r="L3187" s="28">
        <f t="shared" si="691"/>
        <v>0</v>
      </c>
      <c r="M3187" s="28">
        <f t="shared" si="691"/>
        <v>0</v>
      </c>
    </row>
    <row r="3188" spans="1:13" ht="15" customHeight="1" x14ac:dyDescent="0.2">
      <c r="B3188" s="10" t="s">
        <v>894</v>
      </c>
      <c r="C3188" s="10" t="s">
        <v>199</v>
      </c>
      <c r="D3188" s="28">
        <f>IF(MOD(D3180,Inputs!$D$21)=Inputs!$D$6,Inputs!$D$24,Inputs!$D$6)+SUMPRODUCT(--(D3180&gt;$D$3180:$M$3180),--(MOD(D3180-$D$3180:$M$3180,Inputs!$D$21)=Inputs!$D$6),$D$3187:$M$3187)</f>
        <v>0</v>
      </c>
      <c r="E3188" s="28">
        <f>IF(MOD(E3180,Inputs!$D$21)=Inputs!$D$6,Inputs!$D$24,Inputs!$D$6)+SUMPRODUCT(--(E3180&gt;$D$3180:$M$3180),--(MOD(E3180-$D$3180:$M$3180,Inputs!$D$21)=Inputs!$D$6),$D$3187:$M$3187)</f>
        <v>0</v>
      </c>
      <c r="F3188" s="28">
        <f>IF(MOD(F3180,Inputs!$D$21)=Inputs!$D$6,Inputs!$D$24,Inputs!$D$6)+SUMPRODUCT(--(F3180&gt;$D$3180:$M$3180),--(MOD(F3180-$D$3180:$M$3180,Inputs!$D$21)=Inputs!$D$6),$D$3187:$M$3187)</f>
        <v>0</v>
      </c>
      <c r="G3188" s="28">
        <f>IF(MOD(G3180,Inputs!$D$21)=Inputs!$D$6,Inputs!$D$24,Inputs!$D$6)+SUMPRODUCT(--(G3180&gt;$D$3180:$M$3180),--(MOD(G3180-$D$3180:$M$3180,Inputs!$D$21)=Inputs!$D$6),$D$3187:$M$3187)</f>
        <v>46</v>
      </c>
      <c r="H3188" s="28">
        <f>IF(MOD(H3180,Inputs!$D$21)=Inputs!$D$6,Inputs!$D$24,Inputs!$D$6)+SUMPRODUCT(--(H3180&gt;$D$3180:$M$3180),--(MOD(H3180-$D$3180:$M$3180,Inputs!$D$21)=Inputs!$D$6),$D$3187:$M$3187)</f>
        <v>259.5</v>
      </c>
      <c r="I3188" s="28">
        <f>IF(MOD(I3180,Inputs!$D$21)=Inputs!$D$6,Inputs!$D$24,Inputs!$D$6)+SUMPRODUCT(--(I3180&gt;$D$3180:$M$3180),--(MOD(I3180-$D$3180:$M$3180,Inputs!$D$21)=Inputs!$D$6),$D$3187:$M$3187)</f>
        <v>346</v>
      </c>
      <c r="J3188" s="28">
        <f>IF(MOD(J3180,Inputs!$D$21)=Inputs!$D$6,Inputs!$D$24,Inputs!$D$6)+SUMPRODUCT(--(J3180&gt;$D$3180:$M$3180),--(MOD(J3180-$D$3180:$M$3180,Inputs!$D$21)=Inputs!$D$6),$D$3187:$M$3187)</f>
        <v>259.5</v>
      </c>
      <c r="K3188" s="28">
        <f>IF(MOD(K3180,Inputs!$D$21)=Inputs!$D$6,Inputs!$D$24,Inputs!$D$6)+SUMPRODUCT(--(K3180&gt;$D$3180:$M$3180),--(MOD(K3180-$D$3180:$M$3180,Inputs!$D$21)=Inputs!$D$6),$D$3187:$M$3187)</f>
        <v>46</v>
      </c>
      <c r="L3188" s="28">
        <f>IF(MOD(L3180,Inputs!$D$21)=Inputs!$D$6,Inputs!$D$24,Inputs!$D$6)+SUMPRODUCT(--(L3180&gt;$D$3180:$M$3180),--(MOD(L3180-$D$3180:$M$3180,Inputs!$D$21)=Inputs!$D$6),$D$3187:$M$3187)</f>
        <v>259.5</v>
      </c>
      <c r="M3188" s="28">
        <f>IF(MOD(M3180,Inputs!$D$21)=Inputs!$D$6,Inputs!$D$24,Inputs!$D$6)+SUMPRODUCT(--(M3180&gt;$D$3180:$M$3180),--(MOD(M3180-$D$3180:$M$3180,Inputs!$D$21)=Inputs!$D$6),$D$3187:$M$3187)</f>
        <v>346</v>
      </c>
    </row>
    <row r="3189" spans="1:13" ht="15" customHeight="1" x14ac:dyDescent="0.2">
      <c r="B3189" s="10" t="s">
        <v>895</v>
      </c>
      <c r="C3189" s="10" t="s">
        <v>896</v>
      </c>
      <c r="D3189" s="28">
        <f t="shared" ref="D3189:M3189" si="692">D3186*D3183</f>
        <v>125.58726899383984</v>
      </c>
      <c r="E3189" s="28">
        <f t="shared" si="692"/>
        <v>478.5</v>
      </c>
      <c r="F3189" s="28">
        <f t="shared" si="692"/>
        <v>781.25</v>
      </c>
      <c r="G3189" s="28">
        <f t="shared" si="692"/>
        <v>911</v>
      </c>
      <c r="H3189" s="28">
        <f t="shared" si="692"/>
        <v>911</v>
      </c>
      <c r="I3189" s="28">
        <f t="shared" si="692"/>
        <v>911</v>
      </c>
      <c r="J3189" s="28">
        <f t="shared" si="692"/>
        <v>911</v>
      </c>
      <c r="K3189" s="28">
        <f t="shared" si="692"/>
        <v>911</v>
      </c>
      <c r="L3189" s="28">
        <f t="shared" si="692"/>
        <v>911</v>
      </c>
      <c r="M3189" s="28">
        <f t="shared" si="692"/>
        <v>911</v>
      </c>
    </row>
    <row r="3190" spans="1:13" ht="15" customHeight="1" x14ac:dyDescent="0.2">
      <c r="B3190" s="10" t="s">
        <v>897</v>
      </c>
      <c r="C3190" s="10" t="s">
        <v>110</v>
      </c>
      <c r="D3190" s="16">
        <f>D3189*($D$3209/Inputs!$D$21+$D$3210/Inputs!$D$22)</f>
        <v>1816.9772859324419</v>
      </c>
      <c r="E3190" s="16">
        <f>E3189*($D$3209/Inputs!$D$21+$D$3210/Inputs!$D$22)</f>
        <v>6922.8643817497086</v>
      </c>
      <c r="F3190" s="16">
        <f>F3189*($D$3209/Inputs!$D$21+$D$3210/Inputs!$D$22)</f>
        <v>11303.0048030135</v>
      </c>
      <c r="G3190" s="16">
        <f>G3189*($D$3209/Inputs!$D$21+$D$3210/Inputs!$D$22)</f>
        <v>13180.207840697982</v>
      </c>
      <c r="H3190" s="16">
        <f>H3189*($D$3209/Inputs!$D$21+$D$3210/Inputs!$D$22)</f>
        <v>13180.207840697982</v>
      </c>
      <c r="I3190" s="16">
        <f>I3189*($D$3209/Inputs!$D$21+$D$3210/Inputs!$D$22)</f>
        <v>13180.207840697982</v>
      </c>
      <c r="J3190" s="16">
        <f>J3189*($D$3209/Inputs!$D$21+$D$3210/Inputs!$D$22)</f>
        <v>13180.207840697982</v>
      </c>
      <c r="K3190" s="16">
        <f>K3189*($D$3209/Inputs!$D$21+$D$3210/Inputs!$D$22)</f>
        <v>13180.207840697982</v>
      </c>
      <c r="L3190" s="16">
        <f>L3189*($D$3209/Inputs!$D$21+$D$3210/Inputs!$D$22)</f>
        <v>13180.207840697982</v>
      </c>
      <c r="M3190" s="16">
        <f>M3189*($D$3209/Inputs!$D$21+$D$3210/Inputs!$D$22)</f>
        <v>13180.207840697982</v>
      </c>
    </row>
    <row r="3191" spans="1:13" ht="15" customHeight="1" x14ac:dyDescent="0.2">
      <c r="B3191" s="10" t="s">
        <v>898</v>
      </c>
      <c r="C3191" s="10" t="s">
        <v>110</v>
      </c>
      <c r="D3191" s="16">
        <f t="shared" ref="D3191:M3191" si="693">D3187*($D$3209+$D$3210)</f>
        <v>15560.968620146154</v>
      </c>
      <c r="E3191" s="16">
        <f t="shared" si="693"/>
        <v>20747.95816019487</v>
      </c>
      <c r="F3191" s="16">
        <f t="shared" si="693"/>
        <v>15560.968620146154</v>
      </c>
      <c r="G3191" s="16">
        <f t="shared" si="693"/>
        <v>0</v>
      </c>
      <c r="H3191" s="16">
        <f t="shared" si="693"/>
        <v>0</v>
      </c>
      <c r="I3191" s="16">
        <f t="shared" si="693"/>
        <v>0</v>
      </c>
      <c r="J3191" s="16">
        <f t="shared" si="693"/>
        <v>0</v>
      </c>
      <c r="K3191" s="16">
        <f t="shared" si="693"/>
        <v>0</v>
      </c>
      <c r="L3191" s="16">
        <f t="shared" si="693"/>
        <v>0</v>
      </c>
      <c r="M3191" s="16">
        <f t="shared" si="693"/>
        <v>0</v>
      </c>
    </row>
    <row r="3192" spans="1:13" ht="15" customHeight="1" x14ac:dyDescent="0.2">
      <c r="B3192" s="10" t="s">
        <v>899</v>
      </c>
      <c r="C3192" s="10" t="s">
        <v>110</v>
      </c>
      <c r="D3192" s="16">
        <f t="shared" ref="D3192:M3192" si="694">D3188*$D$3209</f>
        <v>0</v>
      </c>
      <c r="E3192" s="16">
        <f t="shared" si="694"/>
        <v>0</v>
      </c>
      <c r="F3192" s="16">
        <f t="shared" si="694"/>
        <v>0</v>
      </c>
      <c r="G3192" s="16">
        <f t="shared" si="694"/>
        <v>2638.0048485671714</v>
      </c>
      <c r="H3192" s="16">
        <f t="shared" si="694"/>
        <v>14881.788221808281</v>
      </c>
      <c r="I3192" s="16">
        <f t="shared" si="694"/>
        <v>19842.384295744378</v>
      </c>
      <c r="J3192" s="16">
        <f t="shared" si="694"/>
        <v>14881.788221808281</v>
      </c>
      <c r="K3192" s="16">
        <f t="shared" si="694"/>
        <v>2638.0048485671714</v>
      </c>
      <c r="L3192" s="16">
        <f t="shared" si="694"/>
        <v>14881.788221808281</v>
      </c>
      <c r="M3192" s="16">
        <f t="shared" si="694"/>
        <v>19842.384295744378</v>
      </c>
    </row>
    <row r="3193" spans="1:13" ht="15" customHeight="1" x14ac:dyDescent="0.2">
      <c r="B3193" s="10" t="s">
        <v>900</v>
      </c>
      <c r="C3193" s="10" t="s">
        <v>199</v>
      </c>
      <c r="D3193" s="28">
        <f>D3187*Inputs!$D$23</f>
        <v>6.4875000000000007</v>
      </c>
      <c r="E3193" s="28">
        <f>E3187*Inputs!$D$23</f>
        <v>8.65</v>
      </c>
      <c r="F3193" s="28">
        <f>F3187*Inputs!$D$23</f>
        <v>6.4875000000000007</v>
      </c>
      <c r="G3193" s="28">
        <f>G3187*Inputs!$D$23</f>
        <v>0</v>
      </c>
      <c r="H3193" s="28">
        <f>H3187*Inputs!$D$23</f>
        <v>0</v>
      </c>
      <c r="I3193" s="28">
        <f>I3187*Inputs!$D$23</f>
        <v>0</v>
      </c>
      <c r="J3193" s="28">
        <f>J3187*Inputs!$D$23</f>
        <v>0</v>
      </c>
      <c r="K3193" s="28">
        <f>K3187*Inputs!$D$23</f>
        <v>0</v>
      </c>
      <c r="L3193" s="28">
        <f>L3187*Inputs!$D$23</f>
        <v>0</v>
      </c>
      <c r="M3193" s="28">
        <f>M3187*Inputs!$D$23</f>
        <v>0</v>
      </c>
    </row>
    <row r="3194" spans="1:13" ht="15" customHeight="1" x14ac:dyDescent="0.2">
      <c r="B3194" s="3" t="s">
        <v>901</v>
      </c>
      <c r="C3194" s="10" t="s">
        <v>896</v>
      </c>
      <c r="D3194" s="28">
        <f>(D3189*$D$3207*(Inputs!$D$7-Inputs!$D$19)-D3193)/(Inputs!$D$7+$D$3208)^D3182</f>
        <v>68.671648423892748</v>
      </c>
      <c r="E3194" s="28">
        <f>(E3189*$D$3207*(Inputs!$D$7-Inputs!$D$19)-E3193)/(Inputs!$D$7+$D$3208)^E3182</f>
        <v>251.45617773497551</v>
      </c>
      <c r="F3194" s="28">
        <f>(F3189*$D$3207*(Inputs!$D$7-Inputs!$D$19)-F3193)/(Inputs!$D$7+$D$3208)^F3182</f>
        <v>379.14937802872566</v>
      </c>
      <c r="G3194" s="28">
        <f>(G3189*$D$3207*(Inputs!$D$7-Inputs!$D$19)-G3193)/(Inputs!$D$7+$D$3208)^G3182</f>
        <v>407.26123717362293</v>
      </c>
      <c r="H3194" s="28">
        <f>(H3189*$D$3207*(Inputs!$D$7-Inputs!$D$19)-H3193)/(Inputs!$D$7+$D$3208)^H3182</f>
        <v>370.26164203754769</v>
      </c>
      <c r="I3194" s="28">
        <f>(I3189*$D$3207*(Inputs!$D$7-Inputs!$D$19)-I3193)/(Inputs!$D$7+$D$3208)^I3182</f>
        <v>336.5356233370091</v>
      </c>
      <c r="J3194" s="28">
        <f>(J3189*$D$3207*(Inputs!$D$7-Inputs!$D$19)-J3193)/(Inputs!$D$7+$D$3208)^J3182</f>
        <v>305.96143489042328</v>
      </c>
      <c r="K3194" s="28">
        <f>(K3189*$D$3207*(Inputs!$D$7-Inputs!$D$19)-K3193)/(Inputs!$D$7+$D$3208)^K3182</f>
        <v>278.16490483820968</v>
      </c>
      <c r="L3194" s="28">
        <f>(L3189*$D$3207*(Inputs!$D$7-Inputs!$D$19)-L3193)/(Inputs!$D$7+$D$3208)^L3182</f>
        <v>252.89368351721029</v>
      </c>
      <c r="M3194" s="28">
        <f>(M3189*$D$3207*(Inputs!$D$7-Inputs!$D$19)-M3193)/(Inputs!$D$7+$D$3208)^M3182</f>
        <v>229.85835894884846</v>
      </c>
    </row>
    <row r="3195" spans="1:13" ht="15" customHeight="1" x14ac:dyDescent="0.2">
      <c r="B3195" s="10" t="s">
        <v>902</v>
      </c>
      <c r="C3195" s="10" t="s">
        <v>110</v>
      </c>
      <c r="D3195" s="16">
        <f>(D3190*Inputs!$D$19-D3191-D3192)/(Inputs!$D$7+$D$3208)^D3182</f>
        <v>-14027.24269342025</v>
      </c>
      <c r="E3195" s="16">
        <f>(E3190*Inputs!$D$19-E3191-E3192)/(Inputs!$D$7+$D$3208)^E3182</f>
        <v>-15853.087323826181</v>
      </c>
      <c r="F3195" s="16">
        <f>(F3190*Inputs!$D$19-F3191-F3192)/(Inputs!$D$7+$D$3208)^F3182</f>
        <v>-9394.4767487293357</v>
      </c>
      <c r="G3195" s="16">
        <f>(G3190*Inputs!$D$19-G3191-G3192)/(Inputs!$D$7+$D$3208)^G3182</f>
        <v>923.61320322684639</v>
      </c>
      <c r="H3195" s="16">
        <f>(H3190*Inputs!$D$19-H3191-H3192)/(Inputs!$D$7+$D$3208)^H3182</f>
        <v>-6972.3744918015345</v>
      </c>
      <c r="I3195" s="16">
        <f>(I3190*Inputs!$D$19-I3191-I3192)/(Inputs!$D$7+$D$3208)^I3182</f>
        <v>-9214.0648467907959</v>
      </c>
      <c r="J3195" s="16">
        <f>(J3190*Inputs!$D$19-J3191-J3192)/(Inputs!$D$7+$D$3208)^J3182</f>
        <v>-5761.5411965591911</v>
      </c>
      <c r="K3195" s="16">
        <f>(K3190*Inputs!$D$19-K3191-K3192)/(Inputs!$D$7+$D$3208)^K3182</f>
        <v>630.8402453567694</v>
      </c>
      <c r="L3195" s="16">
        <f>(L3190*Inputs!$D$19-L3191-L3192)/(Inputs!$D$7+$D$3208)^L3182</f>
        <v>-4762.2255937446444</v>
      </c>
      <c r="M3195" s="16">
        <f>(M3190*Inputs!$D$19-M3191-M3192)/(Inputs!$D$7+$D$3208)^M3182</f>
        <v>-6293.3302689644106</v>
      </c>
    </row>
    <row r="3196" spans="1:13" ht="15" customHeight="1" x14ac:dyDescent="0.2">
      <c r="B3196" s="10" t="s">
        <v>903</v>
      </c>
      <c r="C3196" s="10" t="s">
        <v>110</v>
      </c>
      <c r="D3196" s="16">
        <f t="shared" ref="D3196:M3196" si="695">D3189*$D$3206</f>
        <v>3352.3266709919099</v>
      </c>
      <c r="E3196" s="16">
        <f t="shared" si="695"/>
        <v>12772.698418565904</v>
      </c>
      <c r="F3196" s="16">
        <f t="shared" si="695"/>
        <v>20854.066122266693</v>
      </c>
      <c r="G3196" s="16">
        <f t="shared" si="695"/>
        <v>24317.509423852745</v>
      </c>
      <c r="H3196" s="16">
        <f t="shared" si="695"/>
        <v>24317.509423852745</v>
      </c>
      <c r="I3196" s="16">
        <f t="shared" si="695"/>
        <v>24317.509423852745</v>
      </c>
      <c r="J3196" s="16">
        <f t="shared" si="695"/>
        <v>24317.509423852745</v>
      </c>
      <c r="K3196" s="16">
        <f t="shared" si="695"/>
        <v>24317.509423852745</v>
      </c>
      <c r="L3196" s="16">
        <f t="shared" si="695"/>
        <v>24317.509423852745</v>
      </c>
      <c r="M3196" s="16">
        <f t="shared" si="695"/>
        <v>24317.509423852745</v>
      </c>
    </row>
    <row r="3197" spans="1:13" ht="15" customHeight="1" x14ac:dyDescent="0.2">
      <c r="B3197" s="10" t="s">
        <v>904</v>
      </c>
      <c r="C3197" s="10" t="s">
        <v>110</v>
      </c>
      <c r="D3197" s="16">
        <f t="shared" ref="D3197:M3197" si="696">D3196*$D$3207</f>
        <v>3050.6172706026382</v>
      </c>
      <c r="E3197" s="16">
        <f t="shared" si="696"/>
        <v>11623.155560894973</v>
      </c>
      <c r="F3197" s="16">
        <f t="shared" si="696"/>
        <v>18977.200171262692</v>
      </c>
      <c r="G3197" s="16">
        <f t="shared" si="696"/>
        <v>22128.933575706</v>
      </c>
      <c r="H3197" s="16">
        <f t="shared" si="696"/>
        <v>22128.933575706</v>
      </c>
      <c r="I3197" s="16">
        <f t="shared" si="696"/>
        <v>22128.933575706</v>
      </c>
      <c r="J3197" s="16">
        <f t="shared" si="696"/>
        <v>22128.933575706</v>
      </c>
      <c r="K3197" s="16">
        <f t="shared" si="696"/>
        <v>22128.933575706</v>
      </c>
      <c r="L3197" s="16">
        <f t="shared" si="696"/>
        <v>22128.933575706</v>
      </c>
      <c r="M3197" s="16">
        <f t="shared" si="696"/>
        <v>22128.933575706</v>
      </c>
    </row>
    <row r="3198" spans="1:13" ht="15" customHeight="1" x14ac:dyDescent="0.2">
      <c r="B3198" s="10" t="s">
        <v>905</v>
      </c>
      <c r="C3198" s="10" t="s">
        <v>110</v>
      </c>
      <c r="D3198" s="16">
        <f t="shared" ref="D3198:M3198" si="697">D3197-D3190</f>
        <v>1233.6399846701963</v>
      </c>
      <c r="E3198" s="16">
        <f t="shared" si="697"/>
        <v>4700.2911791452643</v>
      </c>
      <c r="F3198" s="16">
        <f t="shared" si="697"/>
        <v>7674.1953682491912</v>
      </c>
      <c r="G3198" s="16">
        <f t="shared" si="697"/>
        <v>8948.7257350080181</v>
      </c>
      <c r="H3198" s="16">
        <f t="shared" si="697"/>
        <v>8948.7257350080181</v>
      </c>
      <c r="I3198" s="16">
        <f t="shared" si="697"/>
        <v>8948.7257350080181</v>
      </c>
      <c r="J3198" s="16">
        <f t="shared" si="697"/>
        <v>8948.7257350080181</v>
      </c>
      <c r="K3198" s="16">
        <f t="shared" si="697"/>
        <v>8948.7257350080181</v>
      </c>
      <c r="L3198" s="16">
        <f t="shared" si="697"/>
        <v>8948.7257350080181</v>
      </c>
      <c r="M3198" s="16">
        <f t="shared" si="697"/>
        <v>8948.7257350080181</v>
      </c>
    </row>
    <row r="3199" spans="1:13" ht="15" customHeight="1" x14ac:dyDescent="0.2">
      <c r="B3199" s="10" t="s">
        <v>906</v>
      </c>
      <c r="C3199" s="10" t="s">
        <v>110</v>
      </c>
      <c r="D3199" s="16">
        <f>MAX(D3198,Inputs!$D$6)*Inputs!$D$19</f>
        <v>370.09199540105891</v>
      </c>
      <c r="E3199" s="16">
        <f>MAX(E3198,Inputs!$D$6)*Inputs!$D$19</f>
        <v>1410.0873537435793</v>
      </c>
      <c r="F3199" s="16">
        <f>MAX(F3198,Inputs!$D$6)*Inputs!$D$19</f>
        <v>2302.2586104747575</v>
      </c>
      <c r="G3199" s="16">
        <f>MAX(G3198,Inputs!$D$6)*Inputs!$D$19</f>
        <v>2684.6177205024055</v>
      </c>
      <c r="H3199" s="16">
        <f>MAX(H3198,Inputs!$D$6)*Inputs!$D$19</f>
        <v>2684.6177205024055</v>
      </c>
      <c r="I3199" s="16">
        <f>MAX(I3198,Inputs!$D$6)*Inputs!$D$19</f>
        <v>2684.6177205024055</v>
      </c>
      <c r="J3199" s="16">
        <f>MAX(J3198,Inputs!$D$6)*Inputs!$D$19</f>
        <v>2684.6177205024055</v>
      </c>
      <c r="K3199" s="16">
        <f>MAX(K3198,Inputs!$D$6)*Inputs!$D$19</f>
        <v>2684.6177205024055</v>
      </c>
      <c r="L3199" s="16">
        <f>MAX(L3198,Inputs!$D$6)*Inputs!$D$19</f>
        <v>2684.6177205024055</v>
      </c>
      <c r="M3199" s="16">
        <f>MAX(M3198,Inputs!$D$6)*Inputs!$D$19</f>
        <v>2684.6177205024055</v>
      </c>
    </row>
    <row r="3200" spans="1:13" ht="15" customHeight="1" x14ac:dyDescent="0.2">
      <c r="B3200" s="10" t="s">
        <v>907</v>
      </c>
      <c r="C3200" s="10" t="s">
        <v>110</v>
      </c>
      <c r="D3200" s="16">
        <f t="shared" ref="D3200:M3200" si="698">D3193*$D$3206</f>
        <v>173.17216507930263</v>
      </c>
      <c r="E3200" s="16">
        <f t="shared" si="698"/>
        <v>230.89622010573683</v>
      </c>
      <c r="F3200" s="16">
        <f t="shared" si="698"/>
        <v>173.17216507930263</v>
      </c>
      <c r="G3200" s="16">
        <f t="shared" si="698"/>
        <v>0</v>
      </c>
      <c r="H3200" s="16">
        <f t="shared" si="698"/>
        <v>0</v>
      </c>
      <c r="I3200" s="16">
        <f t="shared" si="698"/>
        <v>0</v>
      </c>
      <c r="J3200" s="16">
        <f t="shared" si="698"/>
        <v>0</v>
      </c>
      <c r="K3200" s="16">
        <f t="shared" si="698"/>
        <v>0</v>
      </c>
      <c r="L3200" s="16">
        <f t="shared" si="698"/>
        <v>0</v>
      </c>
      <c r="M3200" s="16">
        <f t="shared" si="698"/>
        <v>0</v>
      </c>
    </row>
    <row r="3201" spans="2:13" ht="15" customHeight="1" x14ac:dyDescent="0.2">
      <c r="B3201" s="10" t="s">
        <v>908</v>
      </c>
      <c r="C3201" s="10" t="s">
        <v>110</v>
      </c>
      <c r="D3201" s="16">
        <f t="shared" ref="D3201:M3201" si="699">D3197-D3199-D3191-D3192-D3200</f>
        <v>-13053.615510023878</v>
      </c>
      <c r="E3201" s="16">
        <f t="shared" si="699"/>
        <v>-10765.786173149214</v>
      </c>
      <c r="F3201" s="16">
        <f t="shared" si="699"/>
        <v>940.80077556247829</v>
      </c>
      <c r="G3201" s="16">
        <f t="shared" si="699"/>
        <v>16806.311006636421</v>
      </c>
      <c r="H3201" s="16">
        <f t="shared" si="699"/>
        <v>4562.5276333953116</v>
      </c>
      <c r="I3201" s="16">
        <f t="shared" si="699"/>
        <v>-398.06844054078465</v>
      </c>
      <c r="J3201" s="16">
        <f t="shared" si="699"/>
        <v>4562.5276333953116</v>
      </c>
      <c r="K3201" s="16">
        <f t="shared" si="699"/>
        <v>16806.311006636421</v>
      </c>
      <c r="L3201" s="16">
        <f t="shared" si="699"/>
        <v>4562.5276333953116</v>
      </c>
      <c r="M3201" s="16">
        <f t="shared" si="699"/>
        <v>-398.06844054078465</v>
      </c>
    </row>
    <row r="3202" spans="2:13" ht="15" customHeight="1" x14ac:dyDescent="0.2">
      <c r="B3202" s="10" t="s">
        <v>909</v>
      </c>
      <c r="C3202" s="10" t="s">
        <v>110</v>
      </c>
      <c r="D3202" s="16">
        <f>D3201/(Inputs!$D$7+$D$3208)^D3182</f>
        <v>-12194.176329315405</v>
      </c>
      <c r="E3202" s="16">
        <f>E3201/(Inputs!$D$7+$D$3208)^E3182</f>
        <v>-9140.9161144340214</v>
      </c>
      <c r="F3202" s="16">
        <f>F3201/(Inputs!$D$7+$D$3208)^F3182</f>
        <v>726.23518679365577</v>
      </c>
      <c r="G3202" s="16">
        <f>G3201/(Inputs!$D$7+$D$3208)^G3182</f>
        <v>11794.720747617082</v>
      </c>
      <c r="H3202" s="16">
        <f>H3201/(Inputs!$D$7+$D$3208)^H3182</f>
        <v>2911.0952881537437</v>
      </c>
      <c r="I3202" s="16">
        <f>I3201/(Inputs!$D$7+$D$3208)^I3182</f>
        <v>-230.85058558346552</v>
      </c>
      <c r="J3202" s="16">
        <f>J3201/(Inputs!$D$7+$D$3208)^J3182</f>
        <v>2405.5499958484679</v>
      </c>
      <c r="K3202" s="16">
        <f>K3201/(Inputs!$D$7+$D$3208)^K3182</f>
        <v>8055.9529728960306</v>
      </c>
      <c r="L3202" s="16">
        <f>L3201/(Inputs!$D$7+$D$3208)^L3182</f>
        <v>1988.3172516588643</v>
      </c>
      <c r="M3202" s="16">
        <f>M3201/(Inputs!$D$7+$D$3208)^M3182</f>
        <v>-157.67405613241272</v>
      </c>
    </row>
    <row r="3203" spans="2:13" ht="15" customHeight="1" x14ac:dyDescent="0.2">
      <c r="B3203" s="3" t="s">
        <v>910</v>
      </c>
      <c r="C3203" s="10" t="s">
        <v>896</v>
      </c>
      <c r="D3203" s="28">
        <f>(D3189*$D$3207-D3193)/(Inputs!$D$7+$D$3208)^D3182</f>
        <v>100.69965563392681</v>
      </c>
      <c r="E3203" s="28">
        <f>(E3189*$D$3207-E3193)/(Inputs!$D$7+$D$3208)^E3182</f>
        <v>362.37073829579333</v>
      </c>
      <c r="F3203" s="28">
        <f>(F3189*$D$3207-F3193)/(Inputs!$D$7+$D$3208)^F3182</f>
        <v>543.78821810698628</v>
      </c>
      <c r="G3203" s="28">
        <f>(G3189*$D$3207-G3193)/(Inputs!$D$7+$D$3208)^G3182</f>
        <v>581.80176739088995</v>
      </c>
      <c r="H3203" s="28">
        <f>(H3189*$D$3207-H3193)/(Inputs!$D$7+$D$3208)^H3182</f>
        <v>528.94520291078243</v>
      </c>
      <c r="I3203" s="28">
        <f>(I3189*$D$3207-I3193)/(Inputs!$D$7+$D$3208)^I3182</f>
        <v>480.76517619572735</v>
      </c>
      <c r="J3203" s="28">
        <f>(J3189*$D$3207-J3193)/(Inputs!$D$7+$D$3208)^J3182</f>
        <v>437.08776412917615</v>
      </c>
      <c r="K3203" s="28">
        <f>(K3189*$D$3207-K3193)/(Inputs!$D$7+$D$3208)^K3182</f>
        <v>397.37843548315675</v>
      </c>
      <c r="L3203" s="28">
        <f>(L3189*$D$3207-L3193)/(Inputs!$D$7+$D$3208)^L3182</f>
        <v>361.27669073887188</v>
      </c>
      <c r="M3203" s="28">
        <f>(M3189*$D$3207-M3193)/(Inputs!$D$7+$D$3208)^M3182</f>
        <v>328.3690842126407</v>
      </c>
    </row>
    <row r="3204" spans="2:13" ht="15" customHeight="1" x14ac:dyDescent="0.2">
      <c r="B3204" s="10" t="s">
        <v>911</v>
      </c>
      <c r="C3204" s="10" t="s">
        <v>110</v>
      </c>
      <c r="D3204" s="16">
        <f>(-D3191-D3192)/(Inputs!$D$7+$D$3208)^D3182</f>
        <v>-14536.447397527105</v>
      </c>
      <c r="E3204" s="16">
        <f>(-E3191-E3192)/(Inputs!$D$7+$D$3208)^E3182</f>
        <v>-17616.488200475756</v>
      </c>
      <c r="F3204" s="16">
        <f>(-F3191-F3192)/(Inputs!$D$7+$D$3208)^F3182</f>
        <v>-12012.025548964448</v>
      </c>
      <c r="G3204" s="16">
        <f>(-G3191-G3192)/(Inputs!$D$7+$D$3208)^G3182</f>
        <v>-1851.359915178487</v>
      </c>
      <c r="H3204" s="16">
        <f>(-H3191-H3192)/(Inputs!$D$7+$D$3208)^H3182</f>
        <v>-9495.2419037884629</v>
      </c>
      <c r="I3204" s="16">
        <f>(-I3191-I3192)/(Inputs!$D$7+$D$3208)^I3182</f>
        <v>-11507.131858586603</v>
      </c>
      <c r="J3204" s="16">
        <f>(-J3191-J3192)/(Inputs!$D$7+$D$3208)^J3182</f>
        <v>-7846.2835672839774</v>
      </c>
      <c r="K3204" s="16">
        <f>(-K3191-K3192)/(Inputs!$D$7+$D$3208)^K3182</f>
        <v>-1264.5037327904422</v>
      </c>
      <c r="L3204" s="16">
        <f>(-L3191-L3192)/(Inputs!$D$7+$D$3208)^L3182</f>
        <v>-6485.3779822337692</v>
      </c>
      <c r="M3204" s="16">
        <f>(-M3191-M3192)/(Inputs!$D$7+$D$3208)^M3182</f>
        <v>-7859.5258920747219</v>
      </c>
    </row>
    <row r="3205" spans="2:13" ht="15" customHeight="1" x14ac:dyDescent="0.2">
      <c r="B3205" s="10" t="s">
        <v>912</v>
      </c>
      <c r="C3205" s="10" t="s">
        <v>110</v>
      </c>
      <c r="D3205" s="16">
        <f>Prices!I8</f>
        <v>32775</v>
      </c>
    </row>
    <row r="3206" spans="2:13" ht="15" customHeight="1" x14ac:dyDescent="0.2">
      <c r="B3206" s="3" t="s">
        <v>913</v>
      </c>
      <c r="C3206" s="10" t="s">
        <v>914</v>
      </c>
      <c r="D3206" s="28">
        <f>IF(J3213&gt;=J3209,J3213,(D3205-J3212)/J3211)</f>
        <v>26.693204636501367</v>
      </c>
      <c r="G3206" s="99" t="s">
        <v>915</v>
      </c>
      <c r="H3206" s="91"/>
      <c r="I3206" s="91"/>
      <c r="J3206" s="28">
        <f>D3206*Inputs!$D$15</f>
        <v>18.629187515814301</v>
      </c>
      <c r="K3206" s="99" t="s">
        <v>916</v>
      </c>
      <c r="L3206" s="91"/>
      <c r="M3206" s="91"/>
    </row>
    <row r="3207" spans="2:13" ht="15" customHeight="1" x14ac:dyDescent="0.2">
      <c r="B3207" s="10" t="s">
        <v>917</v>
      </c>
      <c r="C3207" s="10" t="s">
        <v>104</v>
      </c>
      <c r="D3207" s="30">
        <f>Inputs!$D$145</f>
        <v>0.91</v>
      </c>
      <c r="G3207" s="99" t="s">
        <v>918</v>
      </c>
      <c r="H3207" s="91"/>
      <c r="I3207" s="91"/>
      <c r="J3207" s="28">
        <f>IF(-D3218/D3217&gt;=J3209,-D3218/D3217,-J3212/J3211)</f>
        <v>21.247590232765496</v>
      </c>
      <c r="K3207" s="99" t="s">
        <v>919</v>
      </c>
      <c r="L3207" s="91"/>
      <c r="M3207" s="91"/>
    </row>
    <row r="3208" spans="2:13" ht="15" customHeight="1" x14ac:dyDescent="0.2">
      <c r="B3208" s="10" t="s">
        <v>920</v>
      </c>
      <c r="C3208" s="10" t="s">
        <v>104</v>
      </c>
      <c r="D3208" s="30">
        <f>Inputs!$D$147</f>
        <v>0.1</v>
      </c>
      <c r="G3208" s="99" t="s">
        <v>918</v>
      </c>
      <c r="H3208" s="91"/>
      <c r="I3208" s="91"/>
      <c r="J3208" s="28">
        <f>J3207*Inputs!$D$15</f>
        <v>14.82869322344704</v>
      </c>
      <c r="K3208" s="99" t="s">
        <v>916</v>
      </c>
      <c r="L3208" s="91"/>
      <c r="M3208" s="91"/>
    </row>
    <row r="3209" spans="2:13" ht="15" customHeight="1" x14ac:dyDescent="0.2">
      <c r="B3209" s="3" t="s">
        <v>921</v>
      </c>
      <c r="C3209" s="10" t="s">
        <v>848</v>
      </c>
      <c r="D3209" s="28">
        <f>Capital!$D$13</f>
        <v>57.347931490590682</v>
      </c>
      <c r="G3209" s="99" t="s">
        <v>922</v>
      </c>
      <c r="H3209" s="91"/>
      <c r="I3209" s="91"/>
      <c r="J3209" s="28">
        <f>($D$3209/Inputs!$D$21+$D$3210/Inputs!$D$22)/$D$3207</f>
        <v>15.898732030612395</v>
      </c>
      <c r="K3209" s="99" t="s">
        <v>919</v>
      </c>
      <c r="L3209" s="91"/>
      <c r="M3209" s="91"/>
    </row>
    <row r="3210" spans="2:13" ht="15" customHeight="1" x14ac:dyDescent="0.2">
      <c r="B3210" s="3" t="s">
        <v>923</v>
      </c>
      <c r="C3210" s="10" t="s">
        <v>848</v>
      </c>
      <c r="D3210" s="28">
        <f>Capital!$D$14</f>
        <v>2.6172655041921802</v>
      </c>
    </row>
    <row r="3211" spans="2:13" ht="15" customHeight="1" x14ac:dyDescent="0.2">
      <c r="B3211" s="10" t="s">
        <v>924</v>
      </c>
      <c r="C3211" s="10" t="s">
        <v>896</v>
      </c>
      <c r="D3211" s="28">
        <f>(M3184*(Inputs!$D$7+Inputs!$D$20)*$D$3207*(Inputs!$D$7-Inputs!$D$19)-M3184*Inputs!$D$20*Inputs!$D$23)/($D$3208-Inputs!$D$20)/(Inputs!$D$7+$D$3208)^M3182</f>
        <v>3138.3905294052083</v>
      </c>
      <c r="G3211" s="92" t="s">
        <v>910</v>
      </c>
      <c r="H3211" s="91"/>
      <c r="I3211" s="91"/>
      <c r="J3211" s="28">
        <f>SUM(D3203:M3203)+(M3184*(Inputs!$D$7+Inputs!$D$20)*$D$3207-M3184*Inputs!$D$20*Inputs!$D$23)/($D$3208-Inputs!$D$20)/(Inputs!$D$7+$D$3208)^M3182</f>
        <v>8607.1865077749862</v>
      </c>
      <c r="K3211" s="99" t="s">
        <v>896</v>
      </c>
      <c r="L3211" s="91"/>
      <c r="M3211" s="91"/>
    </row>
    <row r="3212" spans="2:13" ht="15" customHeight="1" x14ac:dyDescent="0.2">
      <c r="B3212" s="10" t="s">
        <v>925</v>
      </c>
      <c r="C3212" s="10" t="s">
        <v>110</v>
      </c>
      <c r="D3212" s="16">
        <f>(D3215*Inputs!$D$19-D3215-D3216)/($D$3208-Inputs!$D$20)/(Inputs!$D$7+$D$3208)^M3182</f>
        <v>-57156.954988173631</v>
      </c>
      <c r="G3212" s="92" t="s">
        <v>926</v>
      </c>
      <c r="H3212" s="91"/>
      <c r="I3212" s="91"/>
      <c r="J3212" s="16">
        <f>SUM(D3204:M3204)-(D3215+D3216)/($D$3208-Inputs!$D$20)/(Inputs!$D$7+$D$3208)^M3182</f>
        <v>-169036.01450291832</v>
      </c>
      <c r="K3212" s="99" t="s">
        <v>110</v>
      </c>
      <c r="L3212" s="91"/>
      <c r="M3212" s="91"/>
    </row>
    <row r="3213" spans="2:13" ht="15" customHeight="1" x14ac:dyDescent="0.2">
      <c r="B3213" s="10" t="s">
        <v>927</v>
      </c>
      <c r="C3213" s="10" t="s">
        <v>928</v>
      </c>
      <c r="D3213" s="16">
        <f>(M3184*(Inputs!$D$7+Inputs!$D$20)*$D$3206*$D$3207-D3215)-MAX((M3184*(Inputs!$D$7+Inputs!$D$20)*$D$3206*$D$3207-D3215),Inputs!$D$6)*Inputs!$D$19-D3216-M3184*Inputs!$D$20*$D$3206*Inputs!$D$23</f>
        <v>5039.8049099221635</v>
      </c>
      <c r="G3213" s="99" t="s">
        <v>929</v>
      </c>
      <c r="H3213" s="91"/>
      <c r="I3213" s="91"/>
      <c r="J3213" s="28">
        <f>(D3205-D3218)/D3217</f>
        <v>26.693204636501367</v>
      </c>
      <c r="K3213" s="99" t="s">
        <v>919</v>
      </c>
      <c r="L3213" s="91"/>
      <c r="M3213" s="91"/>
    </row>
    <row r="3214" spans="2:13" ht="15" customHeight="1" x14ac:dyDescent="0.2">
      <c r="B3214" s="10" t="s">
        <v>930</v>
      </c>
      <c r="C3214" s="10" t="s">
        <v>110</v>
      </c>
      <c r="D3214" s="16">
        <f>D3213/($D$3208-Inputs!$D$20)</f>
        <v>67197.398798962167</v>
      </c>
      <c r="G3214" s="99" t="s">
        <v>931</v>
      </c>
      <c r="H3214" s="91"/>
      <c r="I3214" s="91"/>
      <c r="J3214" s="16">
        <f>MIN(D3198:M3198,(M3184*(Inputs!$D$7+Inputs!$D$20)*$D$3206*$D$3207-D3215))</f>
        <v>1233.6399846701963</v>
      </c>
      <c r="K3214" s="99" t="s">
        <v>110</v>
      </c>
      <c r="L3214" s="91"/>
      <c r="M3214" s="91"/>
    </row>
    <row r="3215" spans="2:13" ht="15" customHeight="1" x14ac:dyDescent="0.2">
      <c r="B3215" s="10" t="s">
        <v>932</v>
      </c>
      <c r="C3215" s="10" t="s">
        <v>928</v>
      </c>
      <c r="D3215" s="16">
        <f>M3184*(Inputs!$D$7+Inputs!$D$20)*($D$3209/Inputs!$D$21+$D$3210/Inputs!$D$22)</f>
        <v>13509.71303671543</v>
      </c>
      <c r="G3215" s="99" t="s">
        <v>933</v>
      </c>
      <c r="H3215" s="91"/>
      <c r="I3215" s="91"/>
      <c r="J3215" s="31" t="str">
        <f>IF(J3214&lt;Inputs!$D$6,"breached","satisfied")</f>
        <v>satisfied</v>
      </c>
      <c r="K3215" s="99" t="s">
        <v>934</v>
      </c>
      <c r="L3215" s="91"/>
      <c r="M3215" s="91"/>
    </row>
    <row r="3216" spans="2:13" ht="15" customHeight="1" x14ac:dyDescent="0.2">
      <c r="B3216" s="10" t="s">
        <v>935</v>
      </c>
      <c r="C3216" s="10" t="s">
        <v>928</v>
      </c>
      <c r="D3216" s="16">
        <f>M3184*Inputs!$D$20*($D$3209+$D$3210)</f>
        <v>1365.7073615561799</v>
      </c>
    </row>
    <row r="3217" spans="1:13" ht="15" customHeight="1" x14ac:dyDescent="0.2">
      <c r="B3217" s="10" t="s">
        <v>936</v>
      </c>
      <c r="C3217" s="10" t="s">
        <v>896</v>
      </c>
      <c r="D3217" s="28">
        <f>SUM(D3194:M3194)+D3211</f>
        <v>6018.6046183356739</v>
      </c>
      <c r="G3217" s="99" t="s">
        <v>937</v>
      </c>
      <c r="H3217" s="91"/>
      <c r="I3217" s="91"/>
      <c r="J3217" s="16">
        <f>D3219-D3205</f>
        <v>0</v>
      </c>
      <c r="K3217" s="99" t="s">
        <v>110</v>
      </c>
      <c r="L3217" s="91"/>
      <c r="M3217" s="91"/>
    </row>
    <row r="3218" spans="1:13" ht="15" customHeight="1" x14ac:dyDescent="0.2">
      <c r="B3218" s="10" t="s">
        <v>938</v>
      </c>
      <c r="C3218" s="10" t="s">
        <v>110</v>
      </c>
      <c r="D3218" s="16">
        <f>SUM(D3195:M3195)+D3212</f>
        <v>-127880.84470342637</v>
      </c>
    </row>
    <row r="3219" spans="1:13" ht="15" customHeight="1" x14ac:dyDescent="0.2">
      <c r="B3219" s="10" t="s">
        <v>939</v>
      </c>
      <c r="C3219" s="10" t="s">
        <v>110</v>
      </c>
      <c r="D3219" s="16">
        <f>SUM(D3202:M3202)+D3214/(Inputs!$D$7+$D$3208)^M3182</f>
        <v>32774.999999999985</v>
      </c>
    </row>
    <row r="3220" spans="1:13" ht="15" customHeight="1" x14ac:dyDescent="0.2">
      <c r="B3220" s="10" t="s">
        <v>940</v>
      </c>
      <c r="C3220" s="10" t="s">
        <v>104</v>
      </c>
      <c r="D3220" s="30">
        <f>IF(ABS(D3205)&gt;Inputs!$D$6,D3219/D3205-Inputs!$D$7,Inputs!$D$6)</f>
        <v>-4.4408920985006262E-16</v>
      </c>
    </row>
    <row r="3221" spans="1:13" ht="15" customHeight="1" x14ac:dyDescent="0.2">
      <c r="B3221" s="10" t="s">
        <v>941</v>
      </c>
      <c r="C3221" s="10" t="s">
        <v>104</v>
      </c>
      <c r="D3221" s="30">
        <f>IF(ABS(D3219)&gt;Inputs!$D$119,D3214/(Inputs!$D$7+$D$3208)^M3182/D3219,Inputs!$D$6)</f>
        <v>0.81210513020587216</v>
      </c>
    </row>
    <row r="3222" spans="1:13" ht="15" customHeight="1" x14ac:dyDescent="0.2">
      <c r="B3222" s="10" t="s">
        <v>942</v>
      </c>
      <c r="C3222" s="10" t="s">
        <v>943</v>
      </c>
      <c r="D3222" s="26">
        <f>$D$3206*Inputs!$D$8/Prices!$P$6/(Inputs!$D$26/Inputs!$D$25)/Inputs!$D$11/Inputs!$D$56</f>
        <v>4.854240344353042</v>
      </c>
    </row>
    <row r="3226" spans="1:13" ht="15" customHeight="1" x14ac:dyDescent="0.2">
      <c r="A3226" s="104" t="s">
        <v>2235</v>
      </c>
      <c r="B3226" s="10" t="s">
        <v>886</v>
      </c>
      <c r="C3226" s="10" t="s">
        <v>107</v>
      </c>
      <c r="D3226" s="28">
        <f>Inputs!$D$60</f>
        <v>1</v>
      </c>
      <c r="E3226" s="28">
        <f>Inputs!$D$62</f>
        <v>2</v>
      </c>
      <c r="F3226" s="28">
        <f>Inputs!$D$64</f>
        <v>3</v>
      </c>
      <c r="G3226" s="28">
        <f>Inputs!$D$66</f>
        <v>4</v>
      </c>
      <c r="H3226" s="28">
        <f>Inputs!$D$68</f>
        <v>5</v>
      </c>
      <c r="I3226" s="28">
        <f>Inputs!$D$70</f>
        <v>6</v>
      </c>
      <c r="J3226" s="28">
        <f>Inputs!$D$72</f>
        <v>7</v>
      </c>
      <c r="K3226" s="28">
        <f>Inputs!$D$74</f>
        <v>8</v>
      </c>
      <c r="L3226" s="28">
        <f>Inputs!$D$76</f>
        <v>9</v>
      </c>
      <c r="M3226" s="28">
        <f>Inputs!$D$78</f>
        <v>10</v>
      </c>
    </row>
    <row r="3227" spans="1:13" ht="15" customHeight="1" x14ac:dyDescent="0.2">
      <c r="A3227" s="91"/>
      <c r="B3227" s="10" t="s">
        <v>887</v>
      </c>
      <c r="C3227" s="10" t="s">
        <v>161</v>
      </c>
      <c r="D3227" s="29">
        <f>Inputs!$D$61</f>
        <v>46568</v>
      </c>
      <c r="E3227" s="29">
        <f>Inputs!$D$63</f>
        <v>46934</v>
      </c>
      <c r="F3227" s="29">
        <f>Inputs!$D$65</f>
        <v>47299</v>
      </c>
      <c r="G3227" s="29">
        <f>Inputs!$D$67</f>
        <v>47664</v>
      </c>
      <c r="H3227" s="29">
        <f>Inputs!$D$69</f>
        <v>48029</v>
      </c>
      <c r="I3227" s="29">
        <f>Inputs!$D$71</f>
        <v>48395</v>
      </c>
      <c r="J3227" s="29">
        <f>Inputs!$D$73</f>
        <v>48760</v>
      </c>
      <c r="K3227" s="29">
        <f>Inputs!$D$75</f>
        <v>49125</v>
      </c>
      <c r="L3227" s="29">
        <f>Inputs!$D$77</f>
        <v>49490</v>
      </c>
      <c r="M3227" s="29">
        <f>Inputs!$D$79</f>
        <v>49856</v>
      </c>
    </row>
    <row r="3228" spans="1:13" ht="15" customHeight="1" x14ac:dyDescent="0.2">
      <c r="A3228" s="91"/>
      <c r="B3228" s="10" t="s">
        <v>888</v>
      </c>
      <c r="C3228" s="10" t="s">
        <v>107</v>
      </c>
      <c r="D3228" s="28">
        <f>(D3227-Inputs!$D$13)/Inputs!$D$10</f>
        <v>0.71457905544147848</v>
      </c>
      <c r="E3228" s="28">
        <f>(E3227-Inputs!$D$13)/Inputs!$D$10</f>
        <v>1.7166324435318274</v>
      </c>
      <c r="F3228" s="28">
        <f>(F3227-Inputs!$D$13)/Inputs!$D$10</f>
        <v>2.7159479808350446</v>
      </c>
      <c r="G3228" s="28">
        <f>(G3227-Inputs!$D$13)/Inputs!$D$10</f>
        <v>3.7152635181382614</v>
      </c>
      <c r="H3228" s="28">
        <f>(H3227-Inputs!$D$13)/Inputs!$D$10</f>
        <v>4.7145790554414786</v>
      </c>
      <c r="I3228" s="28">
        <f>(I3227-Inputs!$D$13)/Inputs!$D$10</f>
        <v>5.7166324435318279</v>
      </c>
      <c r="J3228" s="28">
        <f>(J3227-Inputs!$D$13)/Inputs!$D$10</f>
        <v>6.7159479808350442</v>
      </c>
      <c r="K3228" s="28">
        <f>(K3227-Inputs!$D$13)/Inputs!$D$10</f>
        <v>7.7152635181382614</v>
      </c>
      <c r="L3228" s="28">
        <f>(L3227-Inputs!$D$13)/Inputs!$D$10</f>
        <v>8.7145790554414777</v>
      </c>
      <c r="M3228" s="28">
        <f>(M3227-Inputs!$D$13)/Inputs!$D$10</f>
        <v>9.716632443531827</v>
      </c>
    </row>
    <row r="3229" spans="1:13" ht="15" customHeight="1" x14ac:dyDescent="0.2">
      <c r="A3229" s="91"/>
      <c r="B3229" s="10" t="s">
        <v>889</v>
      </c>
      <c r="C3229" s="10" t="s">
        <v>107</v>
      </c>
      <c r="D3229" s="28">
        <f>D3228</f>
        <v>0.71457905544147848</v>
      </c>
      <c r="E3229" s="28">
        <f>Inputs!$D$7</f>
        <v>1</v>
      </c>
      <c r="F3229" s="28">
        <f>Inputs!$D$7</f>
        <v>1</v>
      </c>
      <c r="G3229" s="28">
        <f>Inputs!$D$7</f>
        <v>1</v>
      </c>
      <c r="H3229" s="28">
        <f>Inputs!$D$7</f>
        <v>1</v>
      </c>
      <c r="I3229" s="28">
        <f>Inputs!$D$7</f>
        <v>1</v>
      </c>
      <c r="J3229" s="28">
        <f>Inputs!$D$7</f>
        <v>1</v>
      </c>
      <c r="K3229" s="28">
        <f>Inputs!$D$7</f>
        <v>1</v>
      </c>
      <c r="L3229" s="28">
        <f>Inputs!$D$7</f>
        <v>1</v>
      </c>
      <c r="M3229" s="28">
        <f>Inputs!$D$7</f>
        <v>1</v>
      </c>
    </row>
    <row r="3230" spans="1:13" ht="15" customHeight="1" x14ac:dyDescent="0.2">
      <c r="A3230" s="91"/>
      <c r="B3230" s="3" t="s">
        <v>890</v>
      </c>
      <c r="C3230" s="10" t="s">
        <v>199</v>
      </c>
      <c r="D3230" s="28">
        <f>Inputs!$D$24+(Inputs!$D$80-Inputs!$D$24)*Inputs!$D$83</f>
        <v>305.5</v>
      </c>
      <c r="E3230" s="28">
        <f>Inputs!$D$24+(Inputs!$D$80-Inputs!$D$24)*Inputs!$D$84</f>
        <v>651.5</v>
      </c>
      <c r="F3230" s="28">
        <f>Inputs!$D$24+(Inputs!$D$80-Inputs!$D$24)*Inputs!$D$85</f>
        <v>911</v>
      </c>
      <c r="G3230" s="28">
        <f>Inputs!$D$24+(Inputs!$D$80-Inputs!$D$24)*Inputs!$D$86</f>
        <v>911</v>
      </c>
      <c r="H3230" s="28">
        <f>Inputs!$D$24+(Inputs!$D$80-Inputs!$D$24)*Inputs!$D$87</f>
        <v>911</v>
      </c>
      <c r="I3230" s="28">
        <f>Inputs!$D$24+(Inputs!$D$80-Inputs!$D$24)*Inputs!$D$88</f>
        <v>911</v>
      </c>
      <c r="J3230" s="28">
        <f>Inputs!$D$24+(Inputs!$D$80-Inputs!$D$24)*Inputs!$D$89</f>
        <v>911</v>
      </c>
      <c r="K3230" s="28">
        <f>Inputs!$D$24+(Inputs!$D$80-Inputs!$D$24)*Inputs!$D$90</f>
        <v>911</v>
      </c>
      <c r="L3230" s="28">
        <f>Inputs!$D$24+(Inputs!$D$80-Inputs!$D$24)*Inputs!$D$91</f>
        <v>911</v>
      </c>
      <c r="M3230" s="28">
        <f>Inputs!$D$24+(Inputs!$D$80-Inputs!$D$24)*Inputs!$D$92</f>
        <v>911</v>
      </c>
    </row>
    <row r="3231" spans="1:13" ht="15" customHeight="1" x14ac:dyDescent="0.2">
      <c r="A3231" s="91"/>
      <c r="B3231" s="10" t="s">
        <v>891</v>
      </c>
      <c r="C3231" s="10" t="s">
        <v>199</v>
      </c>
      <c r="D3231" s="28">
        <f>Inputs!$D$24</f>
        <v>46</v>
      </c>
      <c r="E3231" s="28">
        <f t="shared" ref="E3231:M3231" si="700">D3230</f>
        <v>305.5</v>
      </c>
      <c r="F3231" s="28">
        <f t="shared" si="700"/>
        <v>651.5</v>
      </c>
      <c r="G3231" s="28">
        <f t="shared" si="700"/>
        <v>911</v>
      </c>
      <c r="H3231" s="28">
        <f t="shared" si="700"/>
        <v>911</v>
      </c>
      <c r="I3231" s="28">
        <f t="shared" si="700"/>
        <v>911</v>
      </c>
      <c r="J3231" s="28">
        <f t="shared" si="700"/>
        <v>911</v>
      </c>
      <c r="K3231" s="28">
        <f t="shared" si="700"/>
        <v>911</v>
      </c>
      <c r="L3231" s="28">
        <f t="shared" si="700"/>
        <v>911</v>
      </c>
      <c r="M3231" s="28">
        <f t="shared" si="700"/>
        <v>911</v>
      </c>
    </row>
    <row r="3232" spans="1:13" ht="15" customHeight="1" x14ac:dyDescent="0.2">
      <c r="B3232" s="10" t="s">
        <v>892</v>
      </c>
      <c r="C3232" s="10" t="s">
        <v>199</v>
      </c>
      <c r="D3232" s="28">
        <f>(D3231+D3230)*Inputs!$D$12</f>
        <v>175.75</v>
      </c>
      <c r="E3232" s="28">
        <f>(E3231+E3230)*Inputs!$D$12</f>
        <v>478.5</v>
      </c>
      <c r="F3232" s="28">
        <f>(F3231+F3230)*Inputs!$D$12</f>
        <v>781.25</v>
      </c>
      <c r="G3232" s="28">
        <f>(G3231+G3230)*Inputs!$D$12</f>
        <v>911</v>
      </c>
      <c r="H3232" s="28">
        <f>(H3231+H3230)*Inputs!$D$12</f>
        <v>911</v>
      </c>
      <c r="I3232" s="28">
        <f>(I3231+I3230)*Inputs!$D$12</f>
        <v>911</v>
      </c>
      <c r="J3232" s="28">
        <f>(J3231+J3230)*Inputs!$D$12</f>
        <v>911</v>
      </c>
      <c r="K3232" s="28">
        <f>(K3231+K3230)*Inputs!$D$12</f>
        <v>911</v>
      </c>
      <c r="L3232" s="28">
        <f>(L3231+L3230)*Inputs!$D$12</f>
        <v>911</v>
      </c>
      <c r="M3232" s="28">
        <f>(M3231+M3230)*Inputs!$D$12</f>
        <v>911</v>
      </c>
    </row>
    <row r="3233" spans="2:13" ht="15" customHeight="1" x14ac:dyDescent="0.2">
      <c r="B3233" s="10" t="s">
        <v>893</v>
      </c>
      <c r="C3233" s="10" t="s">
        <v>199</v>
      </c>
      <c r="D3233" s="28">
        <f t="shared" ref="D3233:M3233" si="701">D3230-D3231</f>
        <v>259.5</v>
      </c>
      <c r="E3233" s="28">
        <f t="shared" si="701"/>
        <v>346</v>
      </c>
      <c r="F3233" s="28">
        <f t="shared" si="701"/>
        <v>259.5</v>
      </c>
      <c r="G3233" s="28">
        <f t="shared" si="701"/>
        <v>0</v>
      </c>
      <c r="H3233" s="28">
        <f t="shared" si="701"/>
        <v>0</v>
      </c>
      <c r="I3233" s="28">
        <f t="shared" si="701"/>
        <v>0</v>
      </c>
      <c r="J3233" s="28">
        <f t="shared" si="701"/>
        <v>0</v>
      </c>
      <c r="K3233" s="28">
        <f t="shared" si="701"/>
        <v>0</v>
      </c>
      <c r="L3233" s="28">
        <f t="shared" si="701"/>
        <v>0</v>
      </c>
      <c r="M3233" s="28">
        <f t="shared" si="701"/>
        <v>0</v>
      </c>
    </row>
    <row r="3234" spans="2:13" ht="15" customHeight="1" x14ac:dyDescent="0.2">
      <c r="B3234" s="10" t="s">
        <v>894</v>
      </c>
      <c r="C3234" s="10" t="s">
        <v>199</v>
      </c>
      <c r="D3234" s="28">
        <f>IF(MOD(D3226,Inputs!$D$21)=Inputs!$D$6,Inputs!$D$24,Inputs!$D$6)+SUMPRODUCT(--(D3226&gt;$D$3226:$M$3226),--(MOD(D3226-$D$3226:$M$3226,Inputs!$D$21)=Inputs!$D$6),$D$3233:$M$3233)</f>
        <v>0</v>
      </c>
      <c r="E3234" s="28">
        <f>IF(MOD(E3226,Inputs!$D$21)=Inputs!$D$6,Inputs!$D$24,Inputs!$D$6)+SUMPRODUCT(--(E3226&gt;$D$3226:$M$3226),--(MOD(E3226-$D$3226:$M$3226,Inputs!$D$21)=Inputs!$D$6),$D$3233:$M$3233)</f>
        <v>0</v>
      </c>
      <c r="F3234" s="28">
        <f>IF(MOD(F3226,Inputs!$D$21)=Inputs!$D$6,Inputs!$D$24,Inputs!$D$6)+SUMPRODUCT(--(F3226&gt;$D$3226:$M$3226),--(MOD(F3226-$D$3226:$M$3226,Inputs!$D$21)=Inputs!$D$6),$D$3233:$M$3233)</f>
        <v>0</v>
      </c>
      <c r="G3234" s="28">
        <f>IF(MOD(G3226,Inputs!$D$21)=Inputs!$D$6,Inputs!$D$24,Inputs!$D$6)+SUMPRODUCT(--(G3226&gt;$D$3226:$M$3226),--(MOD(G3226-$D$3226:$M$3226,Inputs!$D$21)=Inputs!$D$6),$D$3233:$M$3233)</f>
        <v>46</v>
      </c>
      <c r="H3234" s="28">
        <f>IF(MOD(H3226,Inputs!$D$21)=Inputs!$D$6,Inputs!$D$24,Inputs!$D$6)+SUMPRODUCT(--(H3226&gt;$D$3226:$M$3226),--(MOD(H3226-$D$3226:$M$3226,Inputs!$D$21)=Inputs!$D$6),$D$3233:$M$3233)</f>
        <v>259.5</v>
      </c>
      <c r="I3234" s="28">
        <f>IF(MOD(I3226,Inputs!$D$21)=Inputs!$D$6,Inputs!$D$24,Inputs!$D$6)+SUMPRODUCT(--(I3226&gt;$D$3226:$M$3226),--(MOD(I3226-$D$3226:$M$3226,Inputs!$D$21)=Inputs!$D$6),$D$3233:$M$3233)</f>
        <v>346</v>
      </c>
      <c r="J3234" s="28">
        <f>IF(MOD(J3226,Inputs!$D$21)=Inputs!$D$6,Inputs!$D$24,Inputs!$D$6)+SUMPRODUCT(--(J3226&gt;$D$3226:$M$3226),--(MOD(J3226-$D$3226:$M$3226,Inputs!$D$21)=Inputs!$D$6),$D$3233:$M$3233)</f>
        <v>259.5</v>
      </c>
      <c r="K3234" s="28">
        <f>IF(MOD(K3226,Inputs!$D$21)=Inputs!$D$6,Inputs!$D$24,Inputs!$D$6)+SUMPRODUCT(--(K3226&gt;$D$3226:$M$3226),--(MOD(K3226-$D$3226:$M$3226,Inputs!$D$21)=Inputs!$D$6),$D$3233:$M$3233)</f>
        <v>46</v>
      </c>
      <c r="L3234" s="28">
        <f>IF(MOD(L3226,Inputs!$D$21)=Inputs!$D$6,Inputs!$D$24,Inputs!$D$6)+SUMPRODUCT(--(L3226&gt;$D$3226:$M$3226),--(MOD(L3226-$D$3226:$M$3226,Inputs!$D$21)=Inputs!$D$6),$D$3233:$M$3233)</f>
        <v>259.5</v>
      </c>
      <c r="M3234" s="28">
        <f>IF(MOD(M3226,Inputs!$D$21)=Inputs!$D$6,Inputs!$D$24,Inputs!$D$6)+SUMPRODUCT(--(M3226&gt;$D$3226:$M$3226),--(MOD(M3226-$D$3226:$M$3226,Inputs!$D$21)=Inputs!$D$6),$D$3233:$M$3233)</f>
        <v>346</v>
      </c>
    </row>
    <row r="3235" spans="2:13" ht="15" customHeight="1" x14ac:dyDescent="0.2">
      <c r="B3235" s="10" t="s">
        <v>895</v>
      </c>
      <c r="C3235" s="10" t="s">
        <v>896</v>
      </c>
      <c r="D3235" s="28">
        <f t="shared" ref="D3235:M3235" si="702">D3232*D3229</f>
        <v>125.58726899383984</v>
      </c>
      <c r="E3235" s="28">
        <f t="shared" si="702"/>
        <v>478.5</v>
      </c>
      <c r="F3235" s="28">
        <f t="shared" si="702"/>
        <v>781.25</v>
      </c>
      <c r="G3235" s="28">
        <f t="shared" si="702"/>
        <v>911</v>
      </c>
      <c r="H3235" s="28">
        <f t="shared" si="702"/>
        <v>911</v>
      </c>
      <c r="I3235" s="28">
        <f t="shared" si="702"/>
        <v>911</v>
      </c>
      <c r="J3235" s="28">
        <f t="shared" si="702"/>
        <v>911</v>
      </c>
      <c r="K3235" s="28">
        <f t="shared" si="702"/>
        <v>911</v>
      </c>
      <c r="L3235" s="28">
        <f t="shared" si="702"/>
        <v>911</v>
      </c>
      <c r="M3235" s="28">
        <f t="shared" si="702"/>
        <v>911</v>
      </c>
    </row>
    <row r="3236" spans="2:13" ht="15" customHeight="1" x14ac:dyDescent="0.2">
      <c r="B3236" s="10" t="s">
        <v>897</v>
      </c>
      <c r="C3236" s="10" t="s">
        <v>110</v>
      </c>
      <c r="D3236" s="16">
        <f>D3235*($D$3255/Inputs!$D$21+$D$3256/Inputs!$D$22)</f>
        <v>1816.9772859324419</v>
      </c>
      <c r="E3236" s="16">
        <f>E3235*($D$3255/Inputs!$D$21+$D$3256/Inputs!$D$22)</f>
        <v>6922.8643817497086</v>
      </c>
      <c r="F3236" s="16">
        <f>F3235*($D$3255/Inputs!$D$21+$D$3256/Inputs!$D$22)</f>
        <v>11303.0048030135</v>
      </c>
      <c r="G3236" s="16">
        <f>G3235*($D$3255/Inputs!$D$21+$D$3256/Inputs!$D$22)</f>
        <v>13180.207840697982</v>
      </c>
      <c r="H3236" s="16">
        <f>H3235*($D$3255/Inputs!$D$21+$D$3256/Inputs!$D$22)</f>
        <v>13180.207840697982</v>
      </c>
      <c r="I3236" s="16">
        <f>I3235*($D$3255/Inputs!$D$21+$D$3256/Inputs!$D$22)</f>
        <v>13180.207840697982</v>
      </c>
      <c r="J3236" s="16">
        <f>J3235*($D$3255/Inputs!$D$21+$D$3256/Inputs!$D$22)</f>
        <v>13180.207840697982</v>
      </c>
      <c r="K3236" s="16">
        <f>K3235*($D$3255/Inputs!$D$21+$D$3256/Inputs!$D$22)</f>
        <v>13180.207840697982</v>
      </c>
      <c r="L3236" s="16">
        <f>L3235*($D$3255/Inputs!$D$21+$D$3256/Inputs!$D$22)</f>
        <v>13180.207840697982</v>
      </c>
      <c r="M3236" s="16">
        <f>M3235*($D$3255/Inputs!$D$21+$D$3256/Inputs!$D$22)</f>
        <v>13180.207840697982</v>
      </c>
    </row>
    <row r="3237" spans="2:13" ht="15" customHeight="1" x14ac:dyDescent="0.2">
      <c r="B3237" s="10" t="s">
        <v>898</v>
      </c>
      <c r="C3237" s="10" t="s">
        <v>110</v>
      </c>
      <c r="D3237" s="16">
        <f t="shared" ref="D3237:M3237" si="703">D3233*($D$3255+$D$3256)</f>
        <v>15560.968620146154</v>
      </c>
      <c r="E3237" s="16">
        <f t="shared" si="703"/>
        <v>20747.95816019487</v>
      </c>
      <c r="F3237" s="16">
        <f t="shared" si="703"/>
        <v>15560.968620146154</v>
      </c>
      <c r="G3237" s="16">
        <f t="shared" si="703"/>
        <v>0</v>
      </c>
      <c r="H3237" s="16">
        <f t="shared" si="703"/>
        <v>0</v>
      </c>
      <c r="I3237" s="16">
        <f t="shared" si="703"/>
        <v>0</v>
      </c>
      <c r="J3237" s="16">
        <f t="shared" si="703"/>
        <v>0</v>
      </c>
      <c r="K3237" s="16">
        <f t="shared" si="703"/>
        <v>0</v>
      </c>
      <c r="L3237" s="16">
        <f t="shared" si="703"/>
        <v>0</v>
      </c>
      <c r="M3237" s="16">
        <f t="shared" si="703"/>
        <v>0</v>
      </c>
    </row>
    <row r="3238" spans="2:13" ht="15" customHeight="1" x14ac:dyDescent="0.2">
      <c r="B3238" s="10" t="s">
        <v>899</v>
      </c>
      <c r="C3238" s="10" t="s">
        <v>110</v>
      </c>
      <c r="D3238" s="16">
        <f t="shared" ref="D3238:M3238" si="704">D3234*$D$3255</f>
        <v>0</v>
      </c>
      <c r="E3238" s="16">
        <f t="shared" si="704"/>
        <v>0</v>
      </c>
      <c r="F3238" s="16">
        <f t="shared" si="704"/>
        <v>0</v>
      </c>
      <c r="G3238" s="16">
        <f t="shared" si="704"/>
        <v>2638.0048485671714</v>
      </c>
      <c r="H3238" s="16">
        <f t="shared" si="704"/>
        <v>14881.788221808281</v>
      </c>
      <c r="I3238" s="16">
        <f t="shared" si="704"/>
        <v>19842.384295744378</v>
      </c>
      <c r="J3238" s="16">
        <f t="shared" si="704"/>
        <v>14881.788221808281</v>
      </c>
      <c r="K3238" s="16">
        <f t="shared" si="704"/>
        <v>2638.0048485671714</v>
      </c>
      <c r="L3238" s="16">
        <f t="shared" si="704"/>
        <v>14881.788221808281</v>
      </c>
      <c r="M3238" s="16">
        <f t="shared" si="704"/>
        <v>19842.384295744378</v>
      </c>
    </row>
    <row r="3239" spans="2:13" ht="15" customHeight="1" x14ac:dyDescent="0.2">
      <c r="B3239" s="10" t="s">
        <v>900</v>
      </c>
      <c r="C3239" s="10" t="s">
        <v>199</v>
      </c>
      <c r="D3239" s="28">
        <f>D3233*Inputs!$D$23</f>
        <v>6.4875000000000007</v>
      </c>
      <c r="E3239" s="28">
        <f>E3233*Inputs!$D$23</f>
        <v>8.65</v>
      </c>
      <c r="F3239" s="28">
        <f>F3233*Inputs!$D$23</f>
        <v>6.4875000000000007</v>
      </c>
      <c r="G3239" s="28">
        <f>G3233*Inputs!$D$23</f>
        <v>0</v>
      </c>
      <c r="H3239" s="28">
        <f>H3233*Inputs!$D$23</f>
        <v>0</v>
      </c>
      <c r="I3239" s="28">
        <f>I3233*Inputs!$D$23</f>
        <v>0</v>
      </c>
      <c r="J3239" s="28">
        <f>J3233*Inputs!$D$23</f>
        <v>0</v>
      </c>
      <c r="K3239" s="28">
        <f>K3233*Inputs!$D$23</f>
        <v>0</v>
      </c>
      <c r="L3239" s="28">
        <f>L3233*Inputs!$D$23</f>
        <v>0</v>
      </c>
      <c r="M3239" s="28">
        <f>M3233*Inputs!$D$23</f>
        <v>0</v>
      </c>
    </row>
    <row r="3240" spans="2:13" ht="15" customHeight="1" x14ac:dyDescent="0.2">
      <c r="B3240" s="3" t="s">
        <v>901</v>
      </c>
      <c r="C3240" s="10" t="s">
        <v>896</v>
      </c>
      <c r="D3240" s="28">
        <f>(D3235*$D$3253*(Inputs!$D$7-Inputs!$D$19)-D3239)/(Inputs!$D$7+$D$3254)^D3228</f>
        <v>67.793124463406599</v>
      </c>
      <c r="E3240" s="28">
        <f>(E3235*$D$3253*(Inputs!$D$7-Inputs!$D$19)-E3239)/(Inputs!$D$7+$D$3254)^E3228</f>
        <v>243.79740661130509</v>
      </c>
      <c r="F3240" s="28">
        <f>(F3235*$D$3253*(Inputs!$D$7-Inputs!$D$19)-F3239)/(Inputs!$D$7+$D$3254)^F3228</f>
        <v>361.0415111553192</v>
      </c>
      <c r="G3240" s="28">
        <f>(G3235*$D$3253*(Inputs!$D$7-Inputs!$D$19)-G3239)/(Inputs!$D$7+$D$3254)^G3228</f>
        <v>380.89027585596818</v>
      </c>
      <c r="H3240" s="28">
        <f>(H3235*$D$3253*(Inputs!$D$7-Inputs!$D$19)-H3239)/(Inputs!$D$7+$D$3254)^H3228</f>
        <v>340.1069842659083</v>
      </c>
      <c r="I3240" s="28">
        <f>(I3235*$D$3253*(Inputs!$D$7-Inputs!$D$19)-I3239)/(Inputs!$D$7+$D$3254)^I3228</f>
        <v>303.59629279937076</v>
      </c>
      <c r="J3240" s="28">
        <f>(J3235*$D$3253*(Inputs!$D$7-Inputs!$D$19)-J3239)/(Inputs!$D$7+$D$3254)^J3228</f>
        <v>271.08914593910282</v>
      </c>
      <c r="K3240" s="28">
        <f>(K3235*$D$3253*(Inputs!$D$7-Inputs!$D$19)-K3239)/(Inputs!$D$7+$D$3254)^K3228</f>
        <v>242.06265619507093</v>
      </c>
      <c r="L3240" s="28">
        <f>(L3235*$D$3253*(Inputs!$D$7-Inputs!$D$19)-L3239)/(Inputs!$D$7+$D$3254)^L3228</f>
        <v>216.14413709273217</v>
      </c>
      <c r="M3240" s="28">
        <f>(M3235*$D$3253*(Inputs!$D$7-Inputs!$D$19)-M3239)/(Inputs!$D$7+$D$3254)^M3228</f>
        <v>192.94093261068662</v>
      </c>
    </row>
    <row r="3241" spans="2:13" ht="15" customHeight="1" x14ac:dyDescent="0.2">
      <c r="B3241" s="10" t="s">
        <v>902</v>
      </c>
      <c r="C3241" s="10" t="s">
        <v>110</v>
      </c>
      <c r="D3241" s="16">
        <f>(D3236*Inputs!$D$19-D3237-D3238)/(Inputs!$D$7+$D$3254)^D3228</f>
        <v>-13847.790632947557</v>
      </c>
      <c r="E3241" s="16">
        <f>(E3236*Inputs!$D$19-E3237-E3238)/(Inputs!$D$7+$D$3254)^E3228</f>
        <v>-15370.239105459035</v>
      </c>
      <c r="F3241" s="16">
        <f>(F3236*Inputs!$D$19-F3237-F3238)/(Inputs!$D$7+$D$3254)^F3228</f>
        <v>-8945.8041564234754</v>
      </c>
      <c r="G3241" s="16">
        <f>(G3236*Inputs!$D$19-G3237-G3238)/(Inputs!$D$7+$D$3254)^G3228</f>
        <v>863.80744262020482</v>
      </c>
      <c r="H3241" s="16">
        <f>(H3236*Inputs!$D$19-H3237-H3238)/(Inputs!$D$7+$D$3254)^H3228</f>
        <v>-6404.5339628745278</v>
      </c>
      <c r="I3241" s="16">
        <f>(I3236*Inputs!$D$19-I3237-I3238)/(Inputs!$D$7+$D$3254)^I3228</f>
        <v>-8312.2134333380691</v>
      </c>
      <c r="J3241" s="16">
        <f>(J3236*Inputs!$D$19-J3237-J3238)/(Inputs!$D$7+$D$3254)^J3228</f>
        <v>-5104.8632414329013</v>
      </c>
      <c r="K3241" s="16">
        <f>(K3236*Inputs!$D$19-K3237-K3238)/(Inputs!$D$7+$D$3254)^K3228</f>
        <v>548.96524604578394</v>
      </c>
      <c r="L3241" s="16">
        <f>(L3236*Inputs!$D$19-L3237-L3238)/(Inputs!$D$7+$D$3254)^L3228</f>
        <v>-4070.1971171644977</v>
      </c>
      <c r="M3241" s="16">
        <f>(M3236*Inputs!$D$19-M3237-M3238)/(Inputs!$D$7+$D$3254)^M3228</f>
        <v>-5282.5619084458349</v>
      </c>
    </row>
    <row r="3242" spans="2:13" ht="15" customHeight="1" x14ac:dyDescent="0.2">
      <c r="B3242" s="10" t="s">
        <v>903</v>
      </c>
      <c r="C3242" s="10" t="s">
        <v>110</v>
      </c>
      <c r="D3242" s="16">
        <f t="shared" ref="D3242:M3242" si="705">D3235*$D$3252</f>
        <v>3650.0534517391334</v>
      </c>
      <c r="E3242" s="16">
        <f t="shared" si="705"/>
        <v>13907.067098838221</v>
      </c>
      <c r="F3242" s="16">
        <f t="shared" si="705"/>
        <v>22706.15709711047</v>
      </c>
      <c r="G3242" s="16">
        <f t="shared" si="705"/>
        <v>26477.195667798576</v>
      </c>
      <c r="H3242" s="16">
        <f t="shared" si="705"/>
        <v>26477.195667798576</v>
      </c>
      <c r="I3242" s="16">
        <f t="shared" si="705"/>
        <v>26477.195667798576</v>
      </c>
      <c r="J3242" s="16">
        <f t="shared" si="705"/>
        <v>26477.195667798576</v>
      </c>
      <c r="K3242" s="16">
        <f t="shared" si="705"/>
        <v>26477.195667798576</v>
      </c>
      <c r="L3242" s="16">
        <f t="shared" si="705"/>
        <v>26477.195667798576</v>
      </c>
      <c r="M3242" s="16">
        <f t="shared" si="705"/>
        <v>26477.195667798576</v>
      </c>
    </row>
    <row r="3243" spans="2:13" ht="15" customHeight="1" x14ac:dyDescent="0.2">
      <c r="B3243" s="10" t="s">
        <v>904</v>
      </c>
      <c r="C3243" s="10" t="s">
        <v>110</v>
      </c>
      <c r="D3243" s="16">
        <f t="shared" ref="D3243:M3243" si="706">D3242*$D$3253</f>
        <v>3321.5486410826115</v>
      </c>
      <c r="E3243" s="16">
        <f t="shared" si="706"/>
        <v>12655.431059942781</v>
      </c>
      <c r="F3243" s="16">
        <f t="shared" si="706"/>
        <v>20662.602958370528</v>
      </c>
      <c r="G3243" s="16">
        <f t="shared" si="706"/>
        <v>24094.248057696706</v>
      </c>
      <c r="H3243" s="16">
        <f t="shared" si="706"/>
        <v>24094.248057696706</v>
      </c>
      <c r="I3243" s="16">
        <f t="shared" si="706"/>
        <v>24094.248057696706</v>
      </c>
      <c r="J3243" s="16">
        <f t="shared" si="706"/>
        <v>24094.248057696706</v>
      </c>
      <c r="K3243" s="16">
        <f t="shared" si="706"/>
        <v>24094.248057696706</v>
      </c>
      <c r="L3243" s="16">
        <f t="shared" si="706"/>
        <v>24094.248057696706</v>
      </c>
      <c r="M3243" s="16">
        <f t="shared" si="706"/>
        <v>24094.248057696706</v>
      </c>
    </row>
    <row r="3244" spans="2:13" ht="15" customHeight="1" x14ac:dyDescent="0.2">
      <c r="B3244" s="10" t="s">
        <v>905</v>
      </c>
      <c r="C3244" s="10" t="s">
        <v>110</v>
      </c>
      <c r="D3244" s="16">
        <f t="shared" ref="D3244:M3244" si="707">D3243-D3236</f>
        <v>1504.5713551501697</v>
      </c>
      <c r="E3244" s="16">
        <f t="shared" si="707"/>
        <v>5732.5666781930722</v>
      </c>
      <c r="F3244" s="16">
        <f t="shared" si="707"/>
        <v>9359.5981553570273</v>
      </c>
      <c r="G3244" s="16">
        <f t="shared" si="707"/>
        <v>10914.040216998725</v>
      </c>
      <c r="H3244" s="16">
        <f t="shared" si="707"/>
        <v>10914.040216998725</v>
      </c>
      <c r="I3244" s="16">
        <f t="shared" si="707"/>
        <v>10914.040216998725</v>
      </c>
      <c r="J3244" s="16">
        <f t="shared" si="707"/>
        <v>10914.040216998725</v>
      </c>
      <c r="K3244" s="16">
        <f t="shared" si="707"/>
        <v>10914.040216998725</v>
      </c>
      <c r="L3244" s="16">
        <f t="shared" si="707"/>
        <v>10914.040216998725</v>
      </c>
      <c r="M3244" s="16">
        <f t="shared" si="707"/>
        <v>10914.040216998725</v>
      </c>
    </row>
    <row r="3245" spans="2:13" ht="15" customHeight="1" x14ac:dyDescent="0.2">
      <c r="B3245" s="10" t="s">
        <v>906</v>
      </c>
      <c r="C3245" s="10" t="s">
        <v>110</v>
      </c>
      <c r="D3245" s="16">
        <f>MAX(D3244,Inputs!$D$6)*Inputs!$D$19</f>
        <v>451.37140654505089</v>
      </c>
      <c r="E3245" s="16">
        <f>MAX(E3244,Inputs!$D$6)*Inputs!$D$19</f>
        <v>1719.7700034579216</v>
      </c>
      <c r="F3245" s="16">
        <f>MAX(F3244,Inputs!$D$6)*Inputs!$D$19</f>
        <v>2807.8794466071081</v>
      </c>
      <c r="G3245" s="16">
        <f>MAX(G3244,Inputs!$D$6)*Inputs!$D$19</f>
        <v>3274.2120650996171</v>
      </c>
      <c r="H3245" s="16">
        <f>MAX(H3244,Inputs!$D$6)*Inputs!$D$19</f>
        <v>3274.2120650996171</v>
      </c>
      <c r="I3245" s="16">
        <f>MAX(I3244,Inputs!$D$6)*Inputs!$D$19</f>
        <v>3274.2120650996171</v>
      </c>
      <c r="J3245" s="16">
        <f>MAX(J3244,Inputs!$D$6)*Inputs!$D$19</f>
        <v>3274.2120650996171</v>
      </c>
      <c r="K3245" s="16">
        <f>MAX(K3244,Inputs!$D$6)*Inputs!$D$19</f>
        <v>3274.2120650996171</v>
      </c>
      <c r="L3245" s="16">
        <f>MAX(L3244,Inputs!$D$6)*Inputs!$D$19</f>
        <v>3274.2120650996171</v>
      </c>
      <c r="M3245" s="16">
        <f>MAX(M3244,Inputs!$D$6)*Inputs!$D$19</f>
        <v>3274.2120650996171</v>
      </c>
    </row>
    <row r="3246" spans="2:13" ht="15" customHeight="1" x14ac:dyDescent="0.2">
      <c r="B3246" s="10" t="s">
        <v>907</v>
      </c>
      <c r="C3246" s="10" t="s">
        <v>110</v>
      </c>
      <c r="D3246" s="16">
        <f t="shared" ref="D3246:M3246" si="708">D3239*$D$3252</f>
        <v>188.55192853440536</v>
      </c>
      <c r="E3246" s="16">
        <f t="shared" si="708"/>
        <v>251.40257137920713</v>
      </c>
      <c r="F3246" s="16">
        <f t="shared" si="708"/>
        <v>188.55192853440536</v>
      </c>
      <c r="G3246" s="16">
        <f t="shared" si="708"/>
        <v>0</v>
      </c>
      <c r="H3246" s="16">
        <f t="shared" si="708"/>
        <v>0</v>
      </c>
      <c r="I3246" s="16">
        <f t="shared" si="708"/>
        <v>0</v>
      </c>
      <c r="J3246" s="16">
        <f t="shared" si="708"/>
        <v>0</v>
      </c>
      <c r="K3246" s="16">
        <f t="shared" si="708"/>
        <v>0</v>
      </c>
      <c r="L3246" s="16">
        <f t="shared" si="708"/>
        <v>0</v>
      </c>
      <c r="M3246" s="16">
        <f t="shared" si="708"/>
        <v>0</v>
      </c>
    </row>
    <row r="3247" spans="2:13" ht="15" customHeight="1" x14ac:dyDescent="0.2">
      <c r="B3247" s="10" t="s">
        <v>908</v>
      </c>
      <c r="C3247" s="10" t="s">
        <v>110</v>
      </c>
      <c r="D3247" s="16">
        <f t="shared" ref="D3247:M3247" si="709">D3243-D3245-D3237-D3238-D3246</f>
        <v>-12879.343314142998</v>
      </c>
      <c r="E3247" s="16">
        <f t="shared" si="709"/>
        <v>-10063.699675089218</v>
      </c>
      <c r="F3247" s="16">
        <f t="shared" si="709"/>
        <v>2105.2029630828602</v>
      </c>
      <c r="G3247" s="16">
        <f t="shared" si="709"/>
        <v>18182.031144029916</v>
      </c>
      <c r="H3247" s="16">
        <f t="shared" si="709"/>
        <v>5938.2477707888065</v>
      </c>
      <c r="I3247" s="16">
        <f t="shared" si="709"/>
        <v>977.6516968527103</v>
      </c>
      <c r="J3247" s="16">
        <f t="shared" si="709"/>
        <v>5938.2477707888065</v>
      </c>
      <c r="K3247" s="16">
        <f t="shared" si="709"/>
        <v>18182.031144029916</v>
      </c>
      <c r="L3247" s="16">
        <f t="shared" si="709"/>
        <v>5938.2477707888065</v>
      </c>
      <c r="M3247" s="16">
        <f t="shared" si="709"/>
        <v>977.6516968527103</v>
      </c>
    </row>
    <row r="3248" spans="2:13" ht="15" customHeight="1" x14ac:dyDescent="0.2">
      <c r="B3248" s="10" t="s">
        <v>909</v>
      </c>
      <c r="C3248" s="10" t="s">
        <v>110</v>
      </c>
      <c r="D3248" s="16">
        <f>D3247/(Inputs!$D$7+$D$3254)^D3228</f>
        <v>-11877.459325209864</v>
      </c>
      <c r="E3248" s="16">
        <f>E3247/(Inputs!$D$7+$D$3254)^E3228</f>
        <v>-8284.540271046988</v>
      </c>
      <c r="F3248" s="16">
        <f>F3247/(Inputs!$D$7+$D$3254)^F3228</f>
        <v>1547.4633902912017</v>
      </c>
      <c r="G3248" s="16">
        <f>G3247/(Inputs!$D$7+$D$3254)^G3228</f>
        <v>11933.957126264824</v>
      </c>
      <c r="H3248" s="16">
        <f>H3247/(Inputs!$D$7+$D$3254)^H3228</f>
        <v>3480.2949837702013</v>
      </c>
      <c r="I3248" s="16">
        <f>I3247/(Inputs!$D$7+$D$3254)^I3228</f>
        <v>511.47311821759371</v>
      </c>
      <c r="J3248" s="16">
        <f>J3247/(Inputs!$D$7+$D$3254)^J3228</f>
        <v>2774.0394593860133</v>
      </c>
      <c r="K3248" s="16">
        <f>K3247/(Inputs!$D$7+$D$3254)^K3228</f>
        <v>7584.2455006494602</v>
      </c>
      <c r="L3248" s="16">
        <f>L3247/(Inputs!$D$7+$D$3254)^L3228</f>
        <v>2211.7903803676109</v>
      </c>
      <c r="M3248" s="16">
        <f>M3247/(Inputs!$D$7+$D$3254)^M3228</f>
        <v>325.05041324537223</v>
      </c>
    </row>
    <row r="3249" spans="2:13" ht="15" customHeight="1" x14ac:dyDescent="0.2">
      <c r="B3249" s="3" t="s">
        <v>910</v>
      </c>
      <c r="C3249" s="10" t="s">
        <v>896</v>
      </c>
      <c r="D3249" s="28">
        <f>(D3235*$D$3253-D3239)/(Inputs!$D$7+$D$3254)^D3228</f>
        <v>99.411393850242476</v>
      </c>
      <c r="E3249" s="28">
        <f>(E3235*$D$3253-E3239)/(Inputs!$D$7+$D$3254)^E3228</f>
        <v>351.33376727554656</v>
      </c>
      <c r="F3249" s="28">
        <f>(F3235*$D$3253-F3239)/(Inputs!$D$7+$D$3254)^F3228</f>
        <v>517.81733372362282</v>
      </c>
      <c r="G3249" s="28">
        <f>(G3235*$D$3253-G3239)/(Inputs!$D$7+$D$3254)^G3228</f>
        <v>544.12896550852611</v>
      </c>
      <c r="H3249" s="28">
        <f>(H3235*$D$3253-H3239)/(Inputs!$D$7+$D$3254)^H3228</f>
        <v>485.86712037986911</v>
      </c>
      <c r="I3249" s="28">
        <f>(I3235*$D$3253-I3239)/(Inputs!$D$7+$D$3254)^I3228</f>
        <v>433.70898971338687</v>
      </c>
      <c r="J3249" s="28">
        <f>(J3235*$D$3253-J3239)/(Inputs!$D$7+$D$3254)^J3228</f>
        <v>387.27020848443271</v>
      </c>
      <c r="K3249" s="28">
        <f>(K3235*$D$3253-K3239)/(Inputs!$D$7+$D$3254)^K3228</f>
        <v>345.80379456438709</v>
      </c>
      <c r="L3249" s="28">
        <f>(L3235*$D$3253-L3239)/(Inputs!$D$7+$D$3254)^L3228</f>
        <v>308.77733870390313</v>
      </c>
      <c r="M3249" s="28">
        <f>(M3235*$D$3253-M3239)/(Inputs!$D$7+$D$3254)^M3228</f>
        <v>275.62990372955232</v>
      </c>
    </row>
    <row r="3250" spans="2:13" ht="15" customHeight="1" x14ac:dyDescent="0.2">
      <c r="B3250" s="10" t="s">
        <v>911</v>
      </c>
      <c r="C3250" s="10" t="s">
        <v>110</v>
      </c>
      <c r="D3250" s="16">
        <f>(-D3237-D3238)/(Inputs!$D$7+$D$3254)^D3228</f>
        <v>-14350.481025200577</v>
      </c>
      <c r="E3250" s="16">
        <f>(-E3237-E3238)/(Inputs!$D$7+$D$3254)^E3228</f>
        <v>-17079.930887207098</v>
      </c>
      <c r="F3250" s="16">
        <f>(-F3237-F3238)/(Inputs!$D$7+$D$3254)^F3228</f>
        <v>-11438.340948315768</v>
      </c>
      <c r="G3250" s="16">
        <f>(-G3237-G3238)/(Inputs!$D$7+$D$3254)^G3228</f>
        <v>-1731.4807411941122</v>
      </c>
      <c r="H3250" s="16">
        <f>(-H3237-H3238)/(Inputs!$D$7+$D$3254)^H3228</f>
        <v>-8721.9353076959778</v>
      </c>
      <c r="I3250" s="16">
        <f>(-I3237-I3238)/(Inputs!$D$7+$D$3254)^I3228</f>
        <v>-10380.8403353543</v>
      </c>
      <c r="J3250" s="16">
        <f>(-J3237-J3238)/(Inputs!$D$7+$D$3254)^J3228</f>
        <v>-6951.9948218729187</v>
      </c>
      <c r="K3250" s="16">
        <f>(-K3237-K3238)/(Inputs!$D$7+$D$3254)^K3228</f>
        <v>-1100.3873134386547</v>
      </c>
      <c r="L3250" s="16">
        <f>(-L3237-L3238)/(Inputs!$D$7+$D$3254)^L3228</f>
        <v>-5542.947566718196</v>
      </c>
      <c r="M3250" s="16">
        <f>(-M3237-M3238)/(Inputs!$D$7+$D$3254)^M3228</f>
        <v>-6597.2117021517279</v>
      </c>
    </row>
    <row r="3251" spans="2:13" ht="15" customHeight="1" x14ac:dyDescent="0.2">
      <c r="B3251" s="10" t="s">
        <v>912</v>
      </c>
      <c r="C3251" s="10" t="s">
        <v>110</v>
      </c>
      <c r="D3251" s="16">
        <f>Prices!I8</f>
        <v>32775</v>
      </c>
    </row>
    <row r="3252" spans="2:13" ht="15" customHeight="1" x14ac:dyDescent="0.2">
      <c r="B3252" s="3" t="s">
        <v>913</v>
      </c>
      <c r="C3252" s="10" t="s">
        <v>914</v>
      </c>
      <c r="D3252" s="28">
        <f>IF(J3259&gt;=J3255,J3259,(D3251-J3258)/J3257)</f>
        <v>29.0638810843014</v>
      </c>
      <c r="G3252" s="99" t="s">
        <v>915</v>
      </c>
      <c r="H3252" s="91"/>
      <c r="I3252" s="91"/>
      <c r="J3252" s="28">
        <f>D3252*Inputs!$D$15</f>
        <v>20.283682608733947</v>
      </c>
      <c r="K3252" s="99" t="s">
        <v>916</v>
      </c>
      <c r="L3252" s="91"/>
      <c r="M3252" s="91"/>
    </row>
    <row r="3253" spans="2:13" ht="15" customHeight="1" x14ac:dyDescent="0.2">
      <c r="B3253" s="10" t="s">
        <v>917</v>
      </c>
      <c r="C3253" s="10" t="s">
        <v>104</v>
      </c>
      <c r="D3253" s="30">
        <f>Inputs!$D$145</f>
        <v>0.91</v>
      </c>
      <c r="G3253" s="99" t="s">
        <v>918</v>
      </c>
      <c r="H3253" s="91"/>
      <c r="I3253" s="91"/>
      <c r="J3253" s="28">
        <f>IF(-D3264/D3263&gt;=J3255,-D3264/D3263,-J3258/J3257)</f>
        <v>22.089290977420866</v>
      </c>
      <c r="K3253" s="99" t="s">
        <v>919</v>
      </c>
      <c r="L3253" s="91"/>
      <c r="M3253" s="91"/>
    </row>
    <row r="3254" spans="2:13" ht="15" customHeight="1" x14ac:dyDescent="0.2">
      <c r="B3254" s="10" t="s">
        <v>920</v>
      </c>
      <c r="C3254" s="10" t="s">
        <v>104</v>
      </c>
      <c r="D3254" s="30">
        <f>Inputs!$D$148</f>
        <v>0.12</v>
      </c>
      <c r="G3254" s="99" t="s">
        <v>918</v>
      </c>
      <c r="H3254" s="91"/>
      <c r="I3254" s="91"/>
      <c r="J3254" s="28">
        <f>J3253*Inputs!$D$15</f>
        <v>15.416116173142022</v>
      </c>
      <c r="K3254" s="99" t="s">
        <v>916</v>
      </c>
      <c r="L3254" s="91"/>
      <c r="M3254" s="91"/>
    </row>
    <row r="3255" spans="2:13" ht="15" customHeight="1" x14ac:dyDescent="0.2">
      <c r="B3255" s="3" t="s">
        <v>921</v>
      </c>
      <c r="C3255" s="10" t="s">
        <v>848</v>
      </c>
      <c r="D3255" s="28">
        <f>Capital!$D$13</f>
        <v>57.347931490590682</v>
      </c>
      <c r="G3255" s="99" t="s">
        <v>922</v>
      </c>
      <c r="H3255" s="91"/>
      <c r="I3255" s="91"/>
      <c r="J3255" s="28">
        <f>($D$3255/Inputs!$D$21+$D$3256/Inputs!$D$22)/$D$3253</f>
        <v>15.898732030612395</v>
      </c>
      <c r="K3255" s="99" t="s">
        <v>919</v>
      </c>
      <c r="L3255" s="91"/>
      <c r="M3255" s="91"/>
    </row>
    <row r="3256" spans="2:13" ht="15" customHeight="1" x14ac:dyDescent="0.2">
      <c r="B3256" s="3" t="s">
        <v>923</v>
      </c>
      <c r="C3256" s="10" t="s">
        <v>848</v>
      </c>
      <c r="D3256" s="28">
        <f>Capital!$D$14</f>
        <v>2.6172655041921802</v>
      </c>
    </row>
    <row r="3257" spans="2:13" ht="15" customHeight="1" x14ac:dyDescent="0.2">
      <c r="B3257" s="10" t="s">
        <v>924</v>
      </c>
      <c r="C3257" s="10" t="s">
        <v>896</v>
      </c>
      <c r="D3257" s="28">
        <f>(M3230*(Inputs!$D$7+Inputs!$D$20)*$D$3253*(Inputs!$D$7-Inputs!$D$19)-M3230*Inputs!$D$20*Inputs!$D$23)/($D$3254-Inputs!$D$20)/(Inputs!$D$7+$D$3254)^M3228</f>
        <v>2079.7384176146556</v>
      </c>
      <c r="G3257" s="92" t="s">
        <v>910</v>
      </c>
      <c r="H3257" s="91"/>
      <c r="I3257" s="91"/>
      <c r="J3257" s="28">
        <f>SUM(D3249:M3249)+(M3230*(Inputs!$D$7+Inputs!$D$20)*$D$3253-M3230*Inputs!$D$20*Inputs!$D$23)/($D$3254-Inputs!$D$20)/(Inputs!$D$7+$D$3254)^M3228</f>
        <v>6721.6577114095699</v>
      </c>
      <c r="K3257" s="99" t="s">
        <v>896</v>
      </c>
      <c r="L3257" s="91"/>
      <c r="M3257" s="91"/>
    </row>
    <row r="3258" spans="2:13" ht="15" customHeight="1" x14ac:dyDescent="0.2">
      <c r="B3258" s="10" t="s">
        <v>925</v>
      </c>
      <c r="C3258" s="10" t="s">
        <v>110</v>
      </c>
      <c r="D3258" s="16">
        <f>(D3261*Inputs!$D$19-D3261-D3262)/($D$3254-Inputs!$D$20)/(Inputs!$D$7+$D$3254)^M3228</f>
        <v>-37876.58483194092</v>
      </c>
      <c r="G3258" s="92" t="s">
        <v>926</v>
      </c>
      <c r="H3258" s="91"/>
      <c r="I3258" s="91"/>
      <c r="J3258" s="16">
        <f>SUM(D3250:M3250)-(D3261+D3262)/($D$3254-Inputs!$D$20)/(Inputs!$D$7+$D$3254)^M3228</f>
        <v>-135956.51483423277</v>
      </c>
      <c r="K3258" s="99" t="s">
        <v>110</v>
      </c>
      <c r="L3258" s="91"/>
      <c r="M3258" s="91"/>
    </row>
    <row r="3259" spans="2:13" ht="15" customHeight="1" x14ac:dyDescent="0.2">
      <c r="B3259" s="10" t="s">
        <v>927</v>
      </c>
      <c r="C3259" s="10" t="s">
        <v>928</v>
      </c>
      <c r="D3259" s="16">
        <f>(M3230*(Inputs!$D$7+Inputs!$D$20)*$D$3252*$D$3253-D3261)-MAX((M3230*(Inputs!$D$7+Inputs!$D$20)*$D$3252*$D$3253-D3261),Inputs!$D$6)*Inputs!$D$19-D3262-M3230*Inputs!$D$20*$D$3252*Inputs!$D$23</f>
        <v>6448.5682468480281</v>
      </c>
      <c r="G3259" s="99" t="s">
        <v>929</v>
      </c>
      <c r="H3259" s="91"/>
      <c r="I3259" s="91"/>
      <c r="J3259" s="28">
        <f>(D3251-D3264)/D3263</f>
        <v>29.0638810843014</v>
      </c>
      <c r="K3259" s="99" t="s">
        <v>919</v>
      </c>
      <c r="L3259" s="91"/>
      <c r="M3259" s="91"/>
    </row>
    <row r="3260" spans="2:13" ht="15" customHeight="1" x14ac:dyDescent="0.2">
      <c r="B3260" s="10" t="s">
        <v>930</v>
      </c>
      <c r="C3260" s="10" t="s">
        <v>110</v>
      </c>
      <c r="D3260" s="16">
        <f>D3259/($D$3254-Inputs!$D$20)</f>
        <v>67879.665756295028</v>
      </c>
      <c r="G3260" s="99" t="s">
        <v>931</v>
      </c>
      <c r="H3260" s="91"/>
      <c r="I3260" s="91"/>
      <c r="J3260" s="16">
        <f>MIN(D3244:M3244,(M3230*(Inputs!$D$7+Inputs!$D$20)*$D$3252*$D$3253-D3261))</f>
        <v>1504.5713551501697</v>
      </c>
      <c r="K3260" s="99" t="s">
        <v>110</v>
      </c>
      <c r="L3260" s="91"/>
      <c r="M3260" s="91"/>
    </row>
    <row r="3261" spans="2:13" ht="15" customHeight="1" x14ac:dyDescent="0.2">
      <c r="B3261" s="10" t="s">
        <v>932</v>
      </c>
      <c r="C3261" s="10" t="s">
        <v>928</v>
      </c>
      <c r="D3261" s="16">
        <f>M3230*(Inputs!$D$7+Inputs!$D$20)*($D$3255/Inputs!$D$21+$D$3256/Inputs!$D$22)</f>
        <v>13509.71303671543</v>
      </c>
      <c r="G3261" s="99" t="s">
        <v>933</v>
      </c>
      <c r="H3261" s="91"/>
      <c r="I3261" s="91"/>
      <c r="J3261" s="31" t="str">
        <f>IF(J3260&lt;Inputs!$D$6,"breached","satisfied")</f>
        <v>satisfied</v>
      </c>
      <c r="K3261" s="99" t="s">
        <v>934</v>
      </c>
      <c r="L3261" s="91"/>
      <c r="M3261" s="91"/>
    </row>
    <row r="3262" spans="2:13" ht="15" customHeight="1" x14ac:dyDescent="0.2">
      <c r="B3262" s="10" t="s">
        <v>935</v>
      </c>
      <c r="C3262" s="10" t="s">
        <v>928</v>
      </c>
      <c r="D3262" s="16">
        <f>M3230*Inputs!$D$20*($D$3255+$D$3256)</f>
        <v>1365.7073615561799</v>
      </c>
    </row>
    <row r="3263" spans="2:13" ht="15" customHeight="1" x14ac:dyDescent="0.2">
      <c r="B3263" s="10" t="s">
        <v>936</v>
      </c>
      <c r="C3263" s="10" t="s">
        <v>896</v>
      </c>
      <c r="D3263" s="28">
        <f>SUM(D3240:M3240)+D3257</f>
        <v>4699.200884603526</v>
      </c>
      <c r="G3263" s="99" t="s">
        <v>937</v>
      </c>
      <c r="H3263" s="91"/>
      <c r="I3263" s="91"/>
      <c r="J3263" s="16">
        <f>D3265-D3251</f>
        <v>0</v>
      </c>
      <c r="K3263" s="99" t="s">
        <v>110</v>
      </c>
      <c r="L3263" s="91"/>
      <c r="M3263" s="91"/>
    </row>
    <row r="3264" spans="2:13" ht="15" customHeight="1" x14ac:dyDescent="0.2">
      <c r="B3264" s="10" t="s">
        <v>938</v>
      </c>
      <c r="C3264" s="10" t="s">
        <v>110</v>
      </c>
      <c r="D3264" s="16">
        <f>SUM(D3241:M3241)+D3258</f>
        <v>-103802.01570136083</v>
      </c>
    </row>
    <row r="3265" spans="1:13" ht="15" customHeight="1" x14ac:dyDescent="0.2">
      <c r="B3265" s="10" t="s">
        <v>939</v>
      </c>
      <c r="C3265" s="10" t="s">
        <v>110</v>
      </c>
      <c r="D3265" s="16">
        <f>SUM(D3248:M3248)+D3260/(Inputs!$D$7+$D$3254)^M3228</f>
        <v>32775.000000000022</v>
      </c>
    </row>
    <row r="3266" spans="1:13" ht="15" customHeight="1" x14ac:dyDescent="0.2">
      <c r="B3266" s="10" t="s">
        <v>940</v>
      </c>
      <c r="C3266" s="10" t="s">
        <v>104</v>
      </c>
      <c r="D3266" s="30">
        <f>IF(ABS(D3251)&gt;Inputs!$D$6,D3265/D3251-Inputs!$D$7,Inputs!$D$6)</f>
        <v>6.6613381477509392E-16</v>
      </c>
    </row>
    <row r="3267" spans="1:13" ht="15" customHeight="1" x14ac:dyDescent="0.2">
      <c r="B3267" s="10" t="s">
        <v>941</v>
      </c>
      <c r="C3267" s="10" t="s">
        <v>104</v>
      </c>
      <c r="D3267" s="30">
        <f>IF(ABS(D3265)&gt;Inputs!$D$119,D3260/(Inputs!$D$7+$D$3254)^M3228/D3265,Inputs!$D$6)</f>
        <v>0.68859451484560119</v>
      </c>
    </row>
    <row r="3268" spans="1:13" ht="15" customHeight="1" x14ac:dyDescent="0.2">
      <c r="B3268" s="10" t="s">
        <v>942</v>
      </c>
      <c r="C3268" s="10" t="s">
        <v>943</v>
      </c>
      <c r="D3268" s="26">
        <f>$D$3252*Inputs!$D$8/Prices!$P$6/(Inputs!$D$26/Inputs!$D$25)/Inputs!$D$11/Inputs!$D$56</f>
        <v>5.2853550573681369</v>
      </c>
    </row>
    <row r="3272" spans="1:13" ht="15" customHeight="1" x14ac:dyDescent="0.2">
      <c r="A3272" s="104" t="s">
        <v>2236</v>
      </c>
      <c r="B3272" s="10" t="s">
        <v>886</v>
      </c>
      <c r="C3272" s="10" t="s">
        <v>107</v>
      </c>
      <c r="D3272" s="28">
        <f>Inputs!$D$60</f>
        <v>1</v>
      </c>
      <c r="E3272" s="28">
        <f>Inputs!$D$62</f>
        <v>2</v>
      </c>
      <c r="F3272" s="28">
        <f>Inputs!$D$64</f>
        <v>3</v>
      </c>
      <c r="G3272" s="28">
        <f>Inputs!$D$66</f>
        <v>4</v>
      </c>
      <c r="H3272" s="28">
        <f>Inputs!$D$68</f>
        <v>5</v>
      </c>
      <c r="I3272" s="28">
        <f>Inputs!$D$70</f>
        <v>6</v>
      </c>
      <c r="J3272" s="28">
        <f>Inputs!$D$72</f>
        <v>7</v>
      </c>
      <c r="K3272" s="28">
        <f>Inputs!$D$74</f>
        <v>8</v>
      </c>
      <c r="L3272" s="28">
        <f>Inputs!$D$76</f>
        <v>9</v>
      </c>
      <c r="M3272" s="28">
        <f>Inputs!$D$78</f>
        <v>10</v>
      </c>
    </row>
    <row r="3273" spans="1:13" ht="15" customHeight="1" x14ac:dyDescent="0.2">
      <c r="A3273" s="91"/>
      <c r="B3273" s="10" t="s">
        <v>887</v>
      </c>
      <c r="C3273" s="10" t="s">
        <v>161</v>
      </c>
      <c r="D3273" s="29">
        <f>Inputs!$D$61</f>
        <v>46568</v>
      </c>
      <c r="E3273" s="29">
        <f>Inputs!$D$63</f>
        <v>46934</v>
      </c>
      <c r="F3273" s="29">
        <f>Inputs!$D$65</f>
        <v>47299</v>
      </c>
      <c r="G3273" s="29">
        <f>Inputs!$D$67</f>
        <v>47664</v>
      </c>
      <c r="H3273" s="29">
        <f>Inputs!$D$69</f>
        <v>48029</v>
      </c>
      <c r="I3273" s="29">
        <f>Inputs!$D$71</f>
        <v>48395</v>
      </c>
      <c r="J3273" s="29">
        <f>Inputs!$D$73</f>
        <v>48760</v>
      </c>
      <c r="K3273" s="29">
        <f>Inputs!$D$75</f>
        <v>49125</v>
      </c>
      <c r="L3273" s="29">
        <f>Inputs!$D$77</f>
        <v>49490</v>
      </c>
      <c r="M3273" s="29">
        <f>Inputs!$D$79</f>
        <v>49856</v>
      </c>
    </row>
    <row r="3274" spans="1:13" ht="15" customHeight="1" x14ac:dyDescent="0.2">
      <c r="A3274" s="91"/>
      <c r="B3274" s="10" t="s">
        <v>888</v>
      </c>
      <c r="C3274" s="10" t="s">
        <v>107</v>
      </c>
      <c r="D3274" s="28">
        <f>(D3273-Inputs!$D$13)/Inputs!$D$10</f>
        <v>0.71457905544147848</v>
      </c>
      <c r="E3274" s="28">
        <f>(E3273-Inputs!$D$13)/Inputs!$D$10</f>
        <v>1.7166324435318274</v>
      </c>
      <c r="F3274" s="28">
        <f>(F3273-Inputs!$D$13)/Inputs!$D$10</f>
        <v>2.7159479808350446</v>
      </c>
      <c r="G3274" s="28">
        <f>(G3273-Inputs!$D$13)/Inputs!$D$10</f>
        <v>3.7152635181382614</v>
      </c>
      <c r="H3274" s="28">
        <f>(H3273-Inputs!$D$13)/Inputs!$D$10</f>
        <v>4.7145790554414786</v>
      </c>
      <c r="I3274" s="28">
        <f>(I3273-Inputs!$D$13)/Inputs!$D$10</f>
        <v>5.7166324435318279</v>
      </c>
      <c r="J3274" s="28">
        <f>(J3273-Inputs!$D$13)/Inputs!$D$10</f>
        <v>6.7159479808350442</v>
      </c>
      <c r="K3274" s="28">
        <f>(K3273-Inputs!$D$13)/Inputs!$D$10</f>
        <v>7.7152635181382614</v>
      </c>
      <c r="L3274" s="28">
        <f>(L3273-Inputs!$D$13)/Inputs!$D$10</f>
        <v>8.7145790554414777</v>
      </c>
      <c r="M3274" s="28">
        <f>(M3273-Inputs!$D$13)/Inputs!$D$10</f>
        <v>9.716632443531827</v>
      </c>
    </row>
    <row r="3275" spans="1:13" ht="15" customHeight="1" x14ac:dyDescent="0.2">
      <c r="A3275" s="91"/>
      <c r="B3275" s="10" t="s">
        <v>889</v>
      </c>
      <c r="C3275" s="10" t="s">
        <v>107</v>
      </c>
      <c r="D3275" s="28">
        <f>D3274</f>
        <v>0.71457905544147848</v>
      </c>
      <c r="E3275" s="28">
        <f>Inputs!$D$7</f>
        <v>1</v>
      </c>
      <c r="F3275" s="28">
        <f>Inputs!$D$7</f>
        <v>1</v>
      </c>
      <c r="G3275" s="28">
        <f>Inputs!$D$7</f>
        <v>1</v>
      </c>
      <c r="H3275" s="28">
        <f>Inputs!$D$7</f>
        <v>1</v>
      </c>
      <c r="I3275" s="28">
        <f>Inputs!$D$7</f>
        <v>1</v>
      </c>
      <c r="J3275" s="28">
        <f>Inputs!$D$7</f>
        <v>1</v>
      </c>
      <c r="K3275" s="28">
        <f>Inputs!$D$7</f>
        <v>1</v>
      </c>
      <c r="L3275" s="28">
        <f>Inputs!$D$7</f>
        <v>1</v>
      </c>
      <c r="M3275" s="28">
        <f>Inputs!$D$7</f>
        <v>1</v>
      </c>
    </row>
    <row r="3276" spans="1:13" ht="15" customHeight="1" x14ac:dyDescent="0.2">
      <c r="A3276" s="91"/>
      <c r="B3276" s="3" t="s">
        <v>890</v>
      </c>
      <c r="C3276" s="10" t="s">
        <v>199</v>
      </c>
      <c r="D3276" s="28">
        <f>Inputs!$D$24+(Inputs!$D$80-Inputs!$D$24)*Inputs!$D$83</f>
        <v>305.5</v>
      </c>
      <c r="E3276" s="28">
        <f>Inputs!$D$24+(Inputs!$D$80-Inputs!$D$24)*Inputs!$D$84</f>
        <v>651.5</v>
      </c>
      <c r="F3276" s="28">
        <f>Inputs!$D$24+(Inputs!$D$80-Inputs!$D$24)*Inputs!$D$85</f>
        <v>911</v>
      </c>
      <c r="G3276" s="28">
        <f>Inputs!$D$24+(Inputs!$D$80-Inputs!$D$24)*Inputs!$D$86</f>
        <v>911</v>
      </c>
      <c r="H3276" s="28">
        <f>Inputs!$D$24+(Inputs!$D$80-Inputs!$D$24)*Inputs!$D$87</f>
        <v>911</v>
      </c>
      <c r="I3276" s="28">
        <f>Inputs!$D$24+(Inputs!$D$80-Inputs!$D$24)*Inputs!$D$88</f>
        <v>911</v>
      </c>
      <c r="J3276" s="28">
        <f>Inputs!$D$24+(Inputs!$D$80-Inputs!$D$24)*Inputs!$D$89</f>
        <v>911</v>
      </c>
      <c r="K3276" s="28">
        <f>Inputs!$D$24+(Inputs!$D$80-Inputs!$D$24)*Inputs!$D$90</f>
        <v>911</v>
      </c>
      <c r="L3276" s="28">
        <f>Inputs!$D$24+(Inputs!$D$80-Inputs!$D$24)*Inputs!$D$91</f>
        <v>911</v>
      </c>
      <c r="M3276" s="28">
        <f>Inputs!$D$24+(Inputs!$D$80-Inputs!$D$24)*Inputs!$D$92</f>
        <v>911</v>
      </c>
    </row>
    <row r="3277" spans="1:13" ht="15" customHeight="1" x14ac:dyDescent="0.2">
      <c r="A3277" s="91"/>
      <c r="B3277" s="10" t="s">
        <v>891</v>
      </c>
      <c r="C3277" s="10" t="s">
        <v>199</v>
      </c>
      <c r="D3277" s="28">
        <f>Inputs!$D$24</f>
        <v>46</v>
      </c>
      <c r="E3277" s="28">
        <f t="shared" ref="E3277:M3277" si="710">D3276</f>
        <v>305.5</v>
      </c>
      <c r="F3277" s="28">
        <f t="shared" si="710"/>
        <v>651.5</v>
      </c>
      <c r="G3277" s="28">
        <f t="shared" si="710"/>
        <v>911</v>
      </c>
      <c r="H3277" s="28">
        <f t="shared" si="710"/>
        <v>911</v>
      </c>
      <c r="I3277" s="28">
        <f t="shared" si="710"/>
        <v>911</v>
      </c>
      <c r="J3277" s="28">
        <f t="shared" si="710"/>
        <v>911</v>
      </c>
      <c r="K3277" s="28">
        <f t="shared" si="710"/>
        <v>911</v>
      </c>
      <c r="L3277" s="28">
        <f t="shared" si="710"/>
        <v>911</v>
      </c>
      <c r="M3277" s="28">
        <f t="shared" si="710"/>
        <v>911</v>
      </c>
    </row>
    <row r="3278" spans="1:13" ht="15" customHeight="1" x14ac:dyDescent="0.2">
      <c r="B3278" s="10" t="s">
        <v>892</v>
      </c>
      <c r="C3278" s="10" t="s">
        <v>199</v>
      </c>
      <c r="D3278" s="28">
        <f>(D3277+D3276)*Inputs!$D$12</f>
        <v>175.75</v>
      </c>
      <c r="E3278" s="28">
        <f>(E3277+E3276)*Inputs!$D$12</f>
        <v>478.5</v>
      </c>
      <c r="F3278" s="28">
        <f>(F3277+F3276)*Inputs!$D$12</f>
        <v>781.25</v>
      </c>
      <c r="G3278" s="28">
        <f>(G3277+G3276)*Inputs!$D$12</f>
        <v>911</v>
      </c>
      <c r="H3278" s="28">
        <f>(H3277+H3276)*Inputs!$D$12</f>
        <v>911</v>
      </c>
      <c r="I3278" s="28">
        <f>(I3277+I3276)*Inputs!$D$12</f>
        <v>911</v>
      </c>
      <c r="J3278" s="28">
        <f>(J3277+J3276)*Inputs!$D$12</f>
        <v>911</v>
      </c>
      <c r="K3278" s="28">
        <f>(K3277+K3276)*Inputs!$D$12</f>
        <v>911</v>
      </c>
      <c r="L3278" s="28">
        <f>(L3277+L3276)*Inputs!$D$12</f>
        <v>911</v>
      </c>
      <c r="M3278" s="28">
        <f>(M3277+M3276)*Inputs!$D$12</f>
        <v>911</v>
      </c>
    </row>
    <row r="3279" spans="1:13" ht="15" customHeight="1" x14ac:dyDescent="0.2">
      <c r="B3279" s="10" t="s">
        <v>893</v>
      </c>
      <c r="C3279" s="10" t="s">
        <v>199</v>
      </c>
      <c r="D3279" s="28">
        <f t="shared" ref="D3279:M3279" si="711">D3276-D3277</f>
        <v>259.5</v>
      </c>
      <c r="E3279" s="28">
        <f t="shared" si="711"/>
        <v>346</v>
      </c>
      <c r="F3279" s="28">
        <f t="shared" si="711"/>
        <v>259.5</v>
      </c>
      <c r="G3279" s="28">
        <f t="shared" si="711"/>
        <v>0</v>
      </c>
      <c r="H3279" s="28">
        <f t="shared" si="711"/>
        <v>0</v>
      </c>
      <c r="I3279" s="28">
        <f t="shared" si="711"/>
        <v>0</v>
      </c>
      <c r="J3279" s="28">
        <f t="shared" si="711"/>
        <v>0</v>
      </c>
      <c r="K3279" s="28">
        <f t="shared" si="711"/>
        <v>0</v>
      </c>
      <c r="L3279" s="28">
        <f t="shared" si="711"/>
        <v>0</v>
      </c>
      <c r="M3279" s="28">
        <f t="shared" si="711"/>
        <v>0</v>
      </c>
    </row>
    <row r="3280" spans="1:13" ht="15" customHeight="1" x14ac:dyDescent="0.2">
      <c r="B3280" s="10" t="s">
        <v>894</v>
      </c>
      <c r="C3280" s="10" t="s">
        <v>199</v>
      </c>
      <c r="D3280" s="28">
        <f>IF(MOD(D3272,Inputs!$D$21)=Inputs!$D$6,Inputs!$D$24,Inputs!$D$6)+SUMPRODUCT(--(D3272&gt;$D$3272:$M$3272),--(MOD(D3272-$D$3272:$M$3272,Inputs!$D$21)=Inputs!$D$6),$D$3279:$M$3279)</f>
        <v>0</v>
      </c>
      <c r="E3280" s="28">
        <f>IF(MOD(E3272,Inputs!$D$21)=Inputs!$D$6,Inputs!$D$24,Inputs!$D$6)+SUMPRODUCT(--(E3272&gt;$D$3272:$M$3272),--(MOD(E3272-$D$3272:$M$3272,Inputs!$D$21)=Inputs!$D$6),$D$3279:$M$3279)</f>
        <v>0</v>
      </c>
      <c r="F3280" s="28">
        <f>IF(MOD(F3272,Inputs!$D$21)=Inputs!$D$6,Inputs!$D$24,Inputs!$D$6)+SUMPRODUCT(--(F3272&gt;$D$3272:$M$3272),--(MOD(F3272-$D$3272:$M$3272,Inputs!$D$21)=Inputs!$D$6),$D$3279:$M$3279)</f>
        <v>0</v>
      </c>
      <c r="G3280" s="28">
        <f>IF(MOD(G3272,Inputs!$D$21)=Inputs!$D$6,Inputs!$D$24,Inputs!$D$6)+SUMPRODUCT(--(G3272&gt;$D$3272:$M$3272),--(MOD(G3272-$D$3272:$M$3272,Inputs!$D$21)=Inputs!$D$6),$D$3279:$M$3279)</f>
        <v>46</v>
      </c>
      <c r="H3280" s="28">
        <f>IF(MOD(H3272,Inputs!$D$21)=Inputs!$D$6,Inputs!$D$24,Inputs!$D$6)+SUMPRODUCT(--(H3272&gt;$D$3272:$M$3272),--(MOD(H3272-$D$3272:$M$3272,Inputs!$D$21)=Inputs!$D$6),$D$3279:$M$3279)</f>
        <v>259.5</v>
      </c>
      <c r="I3280" s="28">
        <f>IF(MOD(I3272,Inputs!$D$21)=Inputs!$D$6,Inputs!$D$24,Inputs!$D$6)+SUMPRODUCT(--(I3272&gt;$D$3272:$M$3272),--(MOD(I3272-$D$3272:$M$3272,Inputs!$D$21)=Inputs!$D$6),$D$3279:$M$3279)</f>
        <v>346</v>
      </c>
      <c r="J3280" s="28">
        <f>IF(MOD(J3272,Inputs!$D$21)=Inputs!$D$6,Inputs!$D$24,Inputs!$D$6)+SUMPRODUCT(--(J3272&gt;$D$3272:$M$3272),--(MOD(J3272-$D$3272:$M$3272,Inputs!$D$21)=Inputs!$D$6),$D$3279:$M$3279)</f>
        <v>259.5</v>
      </c>
      <c r="K3280" s="28">
        <f>IF(MOD(K3272,Inputs!$D$21)=Inputs!$D$6,Inputs!$D$24,Inputs!$D$6)+SUMPRODUCT(--(K3272&gt;$D$3272:$M$3272),--(MOD(K3272-$D$3272:$M$3272,Inputs!$D$21)=Inputs!$D$6),$D$3279:$M$3279)</f>
        <v>46</v>
      </c>
      <c r="L3280" s="28">
        <f>IF(MOD(L3272,Inputs!$D$21)=Inputs!$D$6,Inputs!$D$24,Inputs!$D$6)+SUMPRODUCT(--(L3272&gt;$D$3272:$M$3272),--(MOD(L3272-$D$3272:$M$3272,Inputs!$D$21)=Inputs!$D$6),$D$3279:$M$3279)</f>
        <v>259.5</v>
      </c>
      <c r="M3280" s="28">
        <f>IF(MOD(M3272,Inputs!$D$21)=Inputs!$D$6,Inputs!$D$24,Inputs!$D$6)+SUMPRODUCT(--(M3272&gt;$D$3272:$M$3272),--(MOD(M3272-$D$3272:$M$3272,Inputs!$D$21)=Inputs!$D$6),$D$3279:$M$3279)</f>
        <v>346</v>
      </c>
    </row>
    <row r="3281" spans="2:13" ht="15" customHeight="1" x14ac:dyDescent="0.2">
      <c r="B3281" s="10" t="s">
        <v>895</v>
      </c>
      <c r="C3281" s="10" t="s">
        <v>896</v>
      </c>
      <c r="D3281" s="28">
        <f t="shared" ref="D3281:M3281" si="712">D3278*D3275</f>
        <v>125.58726899383984</v>
      </c>
      <c r="E3281" s="28">
        <f t="shared" si="712"/>
        <v>478.5</v>
      </c>
      <c r="F3281" s="28">
        <f t="shared" si="712"/>
        <v>781.25</v>
      </c>
      <c r="G3281" s="28">
        <f t="shared" si="712"/>
        <v>911</v>
      </c>
      <c r="H3281" s="28">
        <f t="shared" si="712"/>
        <v>911</v>
      </c>
      <c r="I3281" s="28">
        <f t="shared" si="712"/>
        <v>911</v>
      </c>
      <c r="J3281" s="28">
        <f t="shared" si="712"/>
        <v>911</v>
      </c>
      <c r="K3281" s="28">
        <f t="shared" si="712"/>
        <v>911</v>
      </c>
      <c r="L3281" s="28">
        <f t="shared" si="712"/>
        <v>911</v>
      </c>
      <c r="M3281" s="28">
        <f t="shared" si="712"/>
        <v>911</v>
      </c>
    </row>
    <row r="3282" spans="2:13" ht="15" customHeight="1" x14ac:dyDescent="0.2">
      <c r="B3282" s="10" t="s">
        <v>897</v>
      </c>
      <c r="C3282" s="10" t="s">
        <v>110</v>
      </c>
      <c r="D3282" s="16">
        <f>D3281*($D$3301/Inputs!$D$21+$D$3302/Inputs!$D$22)</f>
        <v>1816.9772859324419</v>
      </c>
      <c r="E3282" s="16">
        <f>E3281*($D$3301/Inputs!$D$21+$D$3302/Inputs!$D$22)</f>
        <v>6922.8643817497086</v>
      </c>
      <c r="F3282" s="16">
        <f>F3281*($D$3301/Inputs!$D$21+$D$3302/Inputs!$D$22)</f>
        <v>11303.0048030135</v>
      </c>
      <c r="G3282" s="16">
        <f>G3281*($D$3301/Inputs!$D$21+$D$3302/Inputs!$D$22)</f>
        <v>13180.207840697982</v>
      </c>
      <c r="H3282" s="16">
        <f>H3281*($D$3301/Inputs!$D$21+$D$3302/Inputs!$D$22)</f>
        <v>13180.207840697982</v>
      </c>
      <c r="I3282" s="16">
        <f>I3281*($D$3301/Inputs!$D$21+$D$3302/Inputs!$D$22)</f>
        <v>13180.207840697982</v>
      </c>
      <c r="J3282" s="16">
        <f>J3281*($D$3301/Inputs!$D$21+$D$3302/Inputs!$D$22)</f>
        <v>13180.207840697982</v>
      </c>
      <c r="K3282" s="16">
        <f>K3281*($D$3301/Inputs!$D$21+$D$3302/Inputs!$D$22)</f>
        <v>13180.207840697982</v>
      </c>
      <c r="L3282" s="16">
        <f>L3281*($D$3301/Inputs!$D$21+$D$3302/Inputs!$D$22)</f>
        <v>13180.207840697982</v>
      </c>
      <c r="M3282" s="16">
        <f>M3281*($D$3301/Inputs!$D$21+$D$3302/Inputs!$D$22)</f>
        <v>13180.207840697982</v>
      </c>
    </row>
    <row r="3283" spans="2:13" ht="15" customHeight="1" x14ac:dyDescent="0.2">
      <c r="B3283" s="10" t="s">
        <v>898</v>
      </c>
      <c r="C3283" s="10" t="s">
        <v>110</v>
      </c>
      <c r="D3283" s="16">
        <f t="shared" ref="D3283:M3283" si="713">D3279*($D$3301+$D$3302)</f>
        <v>15560.968620146154</v>
      </c>
      <c r="E3283" s="16">
        <f t="shared" si="713"/>
        <v>20747.95816019487</v>
      </c>
      <c r="F3283" s="16">
        <f t="shared" si="713"/>
        <v>15560.968620146154</v>
      </c>
      <c r="G3283" s="16">
        <f t="shared" si="713"/>
        <v>0</v>
      </c>
      <c r="H3283" s="16">
        <f t="shared" si="713"/>
        <v>0</v>
      </c>
      <c r="I3283" s="16">
        <f t="shared" si="713"/>
        <v>0</v>
      </c>
      <c r="J3283" s="16">
        <f t="shared" si="713"/>
        <v>0</v>
      </c>
      <c r="K3283" s="16">
        <f t="shared" si="713"/>
        <v>0</v>
      </c>
      <c r="L3283" s="16">
        <f t="shared" si="713"/>
        <v>0</v>
      </c>
      <c r="M3283" s="16">
        <f t="shared" si="713"/>
        <v>0</v>
      </c>
    </row>
    <row r="3284" spans="2:13" ht="15" customHeight="1" x14ac:dyDescent="0.2">
      <c r="B3284" s="10" t="s">
        <v>899</v>
      </c>
      <c r="C3284" s="10" t="s">
        <v>110</v>
      </c>
      <c r="D3284" s="16">
        <f t="shared" ref="D3284:M3284" si="714">D3280*$D$3301</f>
        <v>0</v>
      </c>
      <c r="E3284" s="16">
        <f t="shared" si="714"/>
        <v>0</v>
      </c>
      <c r="F3284" s="16">
        <f t="shared" si="714"/>
        <v>0</v>
      </c>
      <c r="G3284" s="16">
        <f t="shared" si="714"/>
        <v>2638.0048485671714</v>
      </c>
      <c r="H3284" s="16">
        <f t="shared" si="714"/>
        <v>14881.788221808281</v>
      </c>
      <c r="I3284" s="16">
        <f t="shared" si="714"/>
        <v>19842.384295744378</v>
      </c>
      <c r="J3284" s="16">
        <f t="shared" si="714"/>
        <v>14881.788221808281</v>
      </c>
      <c r="K3284" s="16">
        <f t="shared" si="714"/>
        <v>2638.0048485671714</v>
      </c>
      <c r="L3284" s="16">
        <f t="shared" si="714"/>
        <v>14881.788221808281</v>
      </c>
      <c r="M3284" s="16">
        <f t="shared" si="714"/>
        <v>19842.384295744378</v>
      </c>
    </row>
    <row r="3285" spans="2:13" ht="15" customHeight="1" x14ac:dyDescent="0.2">
      <c r="B3285" s="10" t="s">
        <v>900</v>
      </c>
      <c r="C3285" s="10" t="s">
        <v>199</v>
      </c>
      <c r="D3285" s="28">
        <f>D3279*Inputs!$D$23</f>
        <v>6.4875000000000007</v>
      </c>
      <c r="E3285" s="28">
        <f>E3279*Inputs!$D$23</f>
        <v>8.65</v>
      </c>
      <c r="F3285" s="28">
        <f>F3279*Inputs!$D$23</f>
        <v>6.4875000000000007</v>
      </c>
      <c r="G3285" s="28">
        <f>G3279*Inputs!$D$23</f>
        <v>0</v>
      </c>
      <c r="H3285" s="28">
        <f>H3279*Inputs!$D$23</f>
        <v>0</v>
      </c>
      <c r="I3285" s="28">
        <f>I3279*Inputs!$D$23</f>
        <v>0</v>
      </c>
      <c r="J3285" s="28">
        <f>J3279*Inputs!$D$23</f>
        <v>0</v>
      </c>
      <c r="K3285" s="28">
        <f>K3279*Inputs!$D$23</f>
        <v>0</v>
      </c>
      <c r="L3285" s="28">
        <f>L3279*Inputs!$D$23</f>
        <v>0</v>
      </c>
      <c r="M3285" s="28">
        <f>M3279*Inputs!$D$23</f>
        <v>0</v>
      </c>
    </row>
    <row r="3286" spans="2:13" ht="15" customHeight="1" x14ac:dyDescent="0.2">
      <c r="B3286" s="3" t="s">
        <v>901</v>
      </c>
      <c r="C3286" s="10" t="s">
        <v>896</v>
      </c>
      <c r="D3286" s="28">
        <f>(D3281*$D$3299*(Inputs!$D$7-Inputs!$D$19)-D3285)/(Inputs!$D$7+$D$3300)^D3274</f>
        <v>66.941093664025175</v>
      </c>
      <c r="E3286" s="28">
        <f>(E3281*$D$3299*(Inputs!$D$7-Inputs!$D$19)-E3285)/(Inputs!$D$7+$D$3300)^E3274</f>
        <v>236.50134886069964</v>
      </c>
      <c r="F3286" s="28">
        <f>(F3281*$D$3299*(Inputs!$D$7-Inputs!$D$19)-F3285)/(Inputs!$D$7+$D$3300)^F3274</f>
        <v>344.09638613757659</v>
      </c>
      <c r="G3286" s="28">
        <f>(G3281*$D$3299*(Inputs!$D$7-Inputs!$D$19)-G3285)/(Inputs!$D$7+$D$3300)^G3274</f>
        <v>356.64923033671215</v>
      </c>
      <c r="H3286" s="28">
        <f>(H3281*$D$3299*(Inputs!$D$7-Inputs!$D$19)-H3285)/(Inputs!$D$7+$D$3300)^H3274</f>
        <v>312.87826095227666</v>
      </c>
      <c r="I3286" s="28">
        <f>(I3281*$D$3299*(Inputs!$D$7-Inputs!$D$19)-I3285)/(Inputs!$D$7+$D$3300)^I3274</f>
        <v>274.38078227493429</v>
      </c>
      <c r="J3286" s="28">
        <f>(J3281*$D$3299*(Inputs!$D$7-Inputs!$D$19)-J3285)/(Inputs!$D$7+$D$3300)^J3274</f>
        <v>240.70648327449891</v>
      </c>
      <c r="K3286" s="28">
        <f>(K3281*$D$3299*(Inputs!$D$7-Inputs!$D$19)-K3285)/(Inputs!$D$7+$D$3300)^K3274</f>
        <v>211.16497522162516</v>
      </c>
      <c r="L3286" s="28">
        <f>(L3281*$D$3299*(Inputs!$D$7-Inputs!$D$19)-L3285)/(Inputs!$D$7+$D$3300)^L3274</f>
        <v>185.24904752772656</v>
      </c>
      <c r="M3286" s="28">
        <f>(M3281*$D$3299*(Inputs!$D$7-Inputs!$D$19)-M3285)/(Inputs!$D$7+$D$3300)^M3274</f>
        <v>162.45544967439267</v>
      </c>
    </row>
    <row r="3287" spans="2:13" ht="15" customHeight="1" x14ac:dyDescent="0.2">
      <c r="B3287" s="10" t="s">
        <v>902</v>
      </c>
      <c r="C3287" s="10" t="s">
        <v>110</v>
      </c>
      <c r="D3287" s="16">
        <f>(D3282*Inputs!$D$19-D3283-D3284)/(Inputs!$D$7+$D$3300)^D3274</f>
        <v>-13673.750208995338</v>
      </c>
      <c r="E3287" s="16">
        <f>(E3282*Inputs!$D$19-E3283-E3284)/(Inputs!$D$7+$D$3300)^E3274</f>
        <v>-14910.258198718562</v>
      </c>
      <c r="F3287" s="16">
        <f>(F3282*Inputs!$D$19-F3283-F3284)/(Inputs!$D$7+$D$3300)^F3274</f>
        <v>-8525.9417164238148</v>
      </c>
      <c r="G3287" s="16">
        <f>(G3282*Inputs!$D$19-G3283-G3284)/(Inputs!$D$7+$D$3300)^G3274</f>
        <v>808.83204192410847</v>
      </c>
      <c r="H3287" s="16">
        <f>(H3282*Inputs!$D$19-H3283-H3284)/(Inputs!$D$7+$D$3300)^H3274</f>
        <v>-5891.7915280072548</v>
      </c>
      <c r="I3287" s="16">
        <f>(I3282*Inputs!$D$19-I3283-I3284)/(Inputs!$D$7+$D$3300)^I3274</f>
        <v>-7512.3171078465948</v>
      </c>
      <c r="J3287" s="16">
        <f>(J3282*Inputs!$D$19-J3283-J3284)/(Inputs!$D$7+$D$3300)^J3274</f>
        <v>-4532.7291662153211</v>
      </c>
      <c r="K3287" s="16">
        <f>(K3282*Inputs!$D$19-K3283-K3284)/(Inputs!$D$7+$D$3300)^K3274</f>
        <v>478.89349972832292</v>
      </c>
      <c r="L3287" s="16">
        <f>(L3282*Inputs!$D$19-L3283-L3284)/(Inputs!$D$7+$D$3300)^L3274</f>
        <v>-3488.413562109869</v>
      </c>
      <c r="M3287" s="16">
        <f>(M3282*Inputs!$D$19-M3283-M3284)/(Inputs!$D$7+$D$3300)^M3274</f>
        <v>-4447.8947969066312</v>
      </c>
    </row>
    <row r="3288" spans="2:13" ht="15" customHeight="1" x14ac:dyDescent="0.2">
      <c r="B3288" s="10" t="s">
        <v>903</v>
      </c>
      <c r="C3288" s="10" t="s">
        <v>110</v>
      </c>
      <c r="D3288" s="16">
        <f t="shared" ref="D3288:M3288" si="715">D3281*$D$3298</f>
        <v>3953.7466217700362</v>
      </c>
      <c r="E3288" s="16">
        <f t="shared" si="715"/>
        <v>15064.168316374169</v>
      </c>
      <c r="F3288" s="16">
        <f t="shared" si="715"/>
        <v>24595.36363044372</v>
      </c>
      <c r="G3288" s="16">
        <f t="shared" si="715"/>
        <v>28680.161622187814</v>
      </c>
      <c r="H3288" s="16">
        <f t="shared" si="715"/>
        <v>28680.161622187814</v>
      </c>
      <c r="I3288" s="16">
        <f t="shared" si="715"/>
        <v>28680.161622187814</v>
      </c>
      <c r="J3288" s="16">
        <f t="shared" si="715"/>
        <v>28680.161622187814</v>
      </c>
      <c r="K3288" s="16">
        <f t="shared" si="715"/>
        <v>28680.161622187814</v>
      </c>
      <c r="L3288" s="16">
        <f t="shared" si="715"/>
        <v>28680.161622187814</v>
      </c>
      <c r="M3288" s="16">
        <f t="shared" si="715"/>
        <v>28680.161622187814</v>
      </c>
    </row>
    <row r="3289" spans="2:13" ht="15" customHeight="1" x14ac:dyDescent="0.2">
      <c r="B3289" s="10" t="s">
        <v>904</v>
      </c>
      <c r="C3289" s="10" t="s">
        <v>110</v>
      </c>
      <c r="D3289" s="16">
        <f t="shared" ref="D3289:M3289" si="716">D3288*$D$3299</f>
        <v>3597.909425810733</v>
      </c>
      <c r="E3289" s="16">
        <f t="shared" si="716"/>
        <v>13708.393167900495</v>
      </c>
      <c r="F3289" s="16">
        <f t="shared" si="716"/>
        <v>22381.780903703788</v>
      </c>
      <c r="G3289" s="16">
        <f t="shared" si="716"/>
        <v>26098.947076190911</v>
      </c>
      <c r="H3289" s="16">
        <f t="shared" si="716"/>
        <v>26098.947076190911</v>
      </c>
      <c r="I3289" s="16">
        <f t="shared" si="716"/>
        <v>26098.947076190911</v>
      </c>
      <c r="J3289" s="16">
        <f t="shared" si="716"/>
        <v>26098.947076190911</v>
      </c>
      <c r="K3289" s="16">
        <f t="shared" si="716"/>
        <v>26098.947076190911</v>
      </c>
      <c r="L3289" s="16">
        <f t="shared" si="716"/>
        <v>26098.947076190911</v>
      </c>
      <c r="M3289" s="16">
        <f t="shared" si="716"/>
        <v>26098.947076190911</v>
      </c>
    </row>
    <row r="3290" spans="2:13" ht="15" customHeight="1" x14ac:dyDescent="0.2">
      <c r="B3290" s="10" t="s">
        <v>905</v>
      </c>
      <c r="C3290" s="10" t="s">
        <v>110</v>
      </c>
      <c r="D3290" s="16">
        <f t="shared" ref="D3290:M3290" si="717">D3289-D3282</f>
        <v>1780.9321398782911</v>
      </c>
      <c r="E3290" s="16">
        <f t="shared" si="717"/>
        <v>6785.5287861507859</v>
      </c>
      <c r="F3290" s="16">
        <f t="shared" si="717"/>
        <v>11078.776100690287</v>
      </c>
      <c r="G3290" s="16">
        <f t="shared" si="717"/>
        <v>12918.739235492929</v>
      </c>
      <c r="H3290" s="16">
        <f t="shared" si="717"/>
        <v>12918.739235492929</v>
      </c>
      <c r="I3290" s="16">
        <f t="shared" si="717"/>
        <v>12918.739235492929</v>
      </c>
      <c r="J3290" s="16">
        <f t="shared" si="717"/>
        <v>12918.739235492929</v>
      </c>
      <c r="K3290" s="16">
        <f t="shared" si="717"/>
        <v>12918.739235492929</v>
      </c>
      <c r="L3290" s="16">
        <f t="shared" si="717"/>
        <v>12918.739235492929</v>
      </c>
      <c r="M3290" s="16">
        <f t="shared" si="717"/>
        <v>12918.739235492929</v>
      </c>
    </row>
    <row r="3291" spans="2:13" ht="15" customHeight="1" x14ac:dyDescent="0.2">
      <c r="B3291" s="10" t="s">
        <v>906</v>
      </c>
      <c r="C3291" s="10" t="s">
        <v>110</v>
      </c>
      <c r="D3291" s="16">
        <f>MAX(D3290,Inputs!$D$6)*Inputs!$D$19</f>
        <v>534.27964196348728</v>
      </c>
      <c r="E3291" s="16">
        <f>MAX(E3290,Inputs!$D$6)*Inputs!$D$19</f>
        <v>2035.6586358452357</v>
      </c>
      <c r="F3291" s="16">
        <f>MAX(F3290,Inputs!$D$6)*Inputs!$D$19</f>
        <v>3323.632830207086</v>
      </c>
      <c r="G3291" s="16">
        <f>MAX(G3290,Inputs!$D$6)*Inputs!$D$19</f>
        <v>3875.6217706478783</v>
      </c>
      <c r="H3291" s="16">
        <f>MAX(H3290,Inputs!$D$6)*Inputs!$D$19</f>
        <v>3875.6217706478783</v>
      </c>
      <c r="I3291" s="16">
        <f>MAX(I3290,Inputs!$D$6)*Inputs!$D$19</f>
        <v>3875.6217706478783</v>
      </c>
      <c r="J3291" s="16">
        <f>MAX(J3290,Inputs!$D$6)*Inputs!$D$19</f>
        <v>3875.6217706478783</v>
      </c>
      <c r="K3291" s="16">
        <f>MAX(K3290,Inputs!$D$6)*Inputs!$D$19</f>
        <v>3875.6217706478783</v>
      </c>
      <c r="L3291" s="16">
        <f>MAX(L3290,Inputs!$D$6)*Inputs!$D$19</f>
        <v>3875.6217706478783</v>
      </c>
      <c r="M3291" s="16">
        <f>MAX(M3290,Inputs!$D$6)*Inputs!$D$19</f>
        <v>3875.6217706478783</v>
      </c>
    </row>
    <row r="3292" spans="2:13" ht="15" customHeight="1" x14ac:dyDescent="0.2">
      <c r="B3292" s="10" t="s">
        <v>907</v>
      </c>
      <c r="C3292" s="10" t="s">
        <v>110</v>
      </c>
      <c r="D3292" s="16">
        <f t="shared" ref="D3292:M3292" si="718">D3285*$D$3298</f>
        <v>204.23989958720466</v>
      </c>
      <c r="E3292" s="16">
        <f t="shared" si="718"/>
        <v>272.31986611627286</v>
      </c>
      <c r="F3292" s="16">
        <f t="shared" si="718"/>
        <v>204.23989958720466</v>
      </c>
      <c r="G3292" s="16">
        <f t="shared" si="718"/>
        <v>0</v>
      </c>
      <c r="H3292" s="16">
        <f t="shared" si="718"/>
        <v>0</v>
      </c>
      <c r="I3292" s="16">
        <f t="shared" si="718"/>
        <v>0</v>
      </c>
      <c r="J3292" s="16">
        <f t="shared" si="718"/>
        <v>0</v>
      </c>
      <c r="K3292" s="16">
        <f t="shared" si="718"/>
        <v>0</v>
      </c>
      <c r="L3292" s="16">
        <f t="shared" si="718"/>
        <v>0</v>
      </c>
      <c r="M3292" s="16">
        <f t="shared" si="718"/>
        <v>0</v>
      </c>
    </row>
    <row r="3293" spans="2:13" ht="15" customHeight="1" x14ac:dyDescent="0.2">
      <c r="B3293" s="10" t="s">
        <v>908</v>
      </c>
      <c r="C3293" s="10" t="s">
        <v>110</v>
      </c>
      <c r="D3293" s="16">
        <f t="shared" ref="D3293:M3293" si="719">D3289-D3291-D3283-D3284-D3292</f>
        <v>-12701.578735886113</v>
      </c>
      <c r="E3293" s="16">
        <f t="shared" si="719"/>
        <v>-9347.5434942558841</v>
      </c>
      <c r="F3293" s="16">
        <f t="shared" si="719"/>
        <v>3292.9395537633427</v>
      </c>
      <c r="G3293" s="16">
        <f t="shared" si="719"/>
        <v>19585.32045697586</v>
      </c>
      <c r="H3293" s="16">
        <f t="shared" si="719"/>
        <v>7341.5370837347509</v>
      </c>
      <c r="I3293" s="16">
        <f t="shared" si="719"/>
        <v>2380.9410097986547</v>
      </c>
      <c r="J3293" s="16">
        <f t="shared" si="719"/>
        <v>7341.5370837347509</v>
      </c>
      <c r="K3293" s="16">
        <f t="shared" si="719"/>
        <v>19585.32045697586</v>
      </c>
      <c r="L3293" s="16">
        <f t="shared" si="719"/>
        <v>7341.5370837347509</v>
      </c>
      <c r="M3293" s="16">
        <f t="shared" si="719"/>
        <v>2380.9410097986547</v>
      </c>
    </row>
    <row r="3294" spans="2:13" ht="15" customHeight="1" x14ac:dyDescent="0.2">
      <c r="B3294" s="10" t="s">
        <v>909</v>
      </c>
      <c r="C3294" s="10" t="s">
        <v>110</v>
      </c>
      <c r="D3294" s="16">
        <f>D3293/(Inputs!$D$7+$D$3300)^D3274</f>
        <v>-11566.306317172885</v>
      </c>
      <c r="E3294" s="16">
        <f>E3293/(Inputs!$D$7+$D$3300)^E3274</f>
        <v>-7464.7072555898158</v>
      </c>
      <c r="F3294" s="16">
        <f>F3293/(Inputs!$D$7+$D$3300)^F3274</f>
        <v>2306.9232320245346</v>
      </c>
      <c r="G3294" s="16">
        <f>G3293/(Inputs!$D$7+$D$3300)^G3274</f>
        <v>12036.886452995233</v>
      </c>
      <c r="H3294" s="16">
        <f>H3293/(Inputs!$D$7+$D$3300)^H3274</f>
        <v>3958.2623602258427</v>
      </c>
      <c r="I3294" s="16">
        <f>I3293/(Inputs!$D$7+$D$3300)^I3274</f>
        <v>1125.7566371231553</v>
      </c>
      <c r="J3294" s="16">
        <f>J3293/(Inputs!$D$7+$D$3300)^J3274</f>
        <v>3045.2080937419551</v>
      </c>
      <c r="K3294" s="16">
        <f>K3293/(Inputs!$D$7+$D$3300)^K3274</f>
        <v>7126.8030697628947</v>
      </c>
      <c r="L3294" s="16">
        <f>L3293/(Inputs!$D$7+$D$3300)^L3274</f>
        <v>2343.6090761464984</v>
      </c>
      <c r="M3294" s="16">
        <f>M3293/(Inputs!$D$7+$D$3300)^M3274</f>
        <v>666.53830195920966</v>
      </c>
    </row>
    <row r="3295" spans="2:13" ht="15" customHeight="1" x14ac:dyDescent="0.2">
      <c r="B3295" s="3" t="s">
        <v>910</v>
      </c>
      <c r="C3295" s="10" t="s">
        <v>896</v>
      </c>
      <c r="D3295" s="28">
        <f>(D3281*$D$3299-D3285)/(Inputs!$D$7+$D$3300)^D3274</f>
        <v>98.161981464543032</v>
      </c>
      <c r="E3295" s="28">
        <f>(E3281*$D$3299-E3285)/(Inputs!$D$7+$D$3300)^E3274</f>
        <v>340.81949851686772</v>
      </c>
      <c r="F3295" s="28">
        <f>(F3281*$D$3299-F3285)/(Inputs!$D$7+$D$3300)^F3274</f>
        <v>493.51409106262543</v>
      </c>
      <c r="G3295" s="28">
        <f>(G3281*$D$3299-G3285)/(Inputs!$D$7+$D$3300)^G3274</f>
        <v>509.49890048101742</v>
      </c>
      <c r="H3295" s="28">
        <f>(H3281*$D$3299-H3285)/(Inputs!$D$7+$D$3300)^H3274</f>
        <v>446.96894421753819</v>
      </c>
      <c r="I3295" s="28">
        <f>(I3281*$D$3299-I3285)/(Inputs!$D$7+$D$3300)^I3274</f>
        <v>391.97254610704903</v>
      </c>
      <c r="J3295" s="28">
        <f>(J3281*$D$3299-J3285)/(Inputs!$D$7+$D$3300)^J3274</f>
        <v>343.86640467785566</v>
      </c>
      <c r="K3295" s="28">
        <f>(K3281*$D$3299-K3285)/(Inputs!$D$7+$D$3300)^K3274</f>
        <v>301.66425031660742</v>
      </c>
      <c r="L3295" s="28">
        <f>(L3281*$D$3299-L3285)/(Inputs!$D$7+$D$3300)^L3274</f>
        <v>264.64149646818083</v>
      </c>
      <c r="M3295" s="28">
        <f>(M3281*$D$3299-M3285)/(Inputs!$D$7+$D$3300)^M3274</f>
        <v>232.07921382056099</v>
      </c>
    </row>
    <row r="3296" spans="2:13" ht="15" customHeight="1" x14ac:dyDescent="0.2">
      <c r="B3296" s="10" t="s">
        <v>911</v>
      </c>
      <c r="C3296" s="10" t="s">
        <v>110</v>
      </c>
      <c r="D3296" s="16">
        <f>(-D3283-D3284)/(Inputs!$D$7+$D$3300)^D3274</f>
        <v>-14170.122737893587</v>
      </c>
      <c r="E3296" s="16">
        <f>(-E3283-E3284)/(Inputs!$D$7+$D$3300)^E3274</f>
        <v>-16568.784506031301</v>
      </c>
      <c r="F3296" s="16">
        <f>(-F3283-F3284)/(Inputs!$D$7+$D$3300)^F3274</f>
        <v>-10901.493767656277</v>
      </c>
      <c r="G3296" s="16">
        <f>(-G3283-G3284)/(Inputs!$D$7+$D$3300)^G3274</f>
        <v>-1621.2839046676961</v>
      </c>
      <c r="H3296" s="16">
        <f>(-H3283-H3284)/(Inputs!$D$7+$D$3300)^H3274</f>
        <v>-8023.6633690433682</v>
      </c>
      <c r="I3296" s="16">
        <f>(-I3283-I3284)/(Inputs!$D$7+$D$3300)^I3274</f>
        <v>-9381.8770500204446</v>
      </c>
      <c r="J3296" s="16">
        <f>(-J3283-J3284)/(Inputs!$D$7+$D$3300)^J3274</f>
        <v>-6172.8411129063252</v>
      </c>
      <c r="K3296" s="16">
        <f>(-K3283-K3284)/(Inputs!$D$7+$D$3300)^K3274</f>
        <v>-959.93022397147342</v>
      </c>
      <c r="L3296" s="16">
        <f>(-L3283-L3284)/(Inputs!$D$7+$D$3300)^L3274</f>
        <v>-4750.6528330682277</v>
      </c>
      <c r="M3296" s="16">
        <f>(-M3283-M3284)/(Inputs!$D$7+$D$3300)^M3274</f>
        <v>-5554.82436602912</v>
      </c>
    </row>
    <row r="3297" spans="2:13" ht="15" customHeight="1" x14ac:dyDescent="0.2">
      <c r="B3297" s="10" t="s">
        <v>912</v>
      </c>
      <c r="C3297" s="10" t="s">
        <v>110</v>
      </c>
      <c r="D3297" s="16">
        <f>Prices!I8</f>
        <v>32775</v>
      </c>
    </row>
    <row r="3298" spans="2:13" ht="15" customHeight="1" x14ac:dyDescent="0.2">
      <c r="B3298" s="3" t="s">
        <v>913</v>
      </c>
      <c r="C3298" s="10" t="s">
        <v>914</v>
      </c>
      <c r="D3298" s="28">
        <f>IF(J3305&gt;=J3301,J3305,(D3297-J3304)/J3303)</f>
        <v>31.482065446967962</v>
      </c>
      <c r="G3298" s="99" t="s">
        <v>915</v>
      </c>
      <c r="H3298" s="91"/>
      <c r="I3298" s="91"/>
      <c r="J3298" s="28">
        <f>D3298*Inputs!$D$15</f>
        <v>21.971333475438939</v>
      </c>
      <c r="K3298" s="99" t="s">
        <v>916</v>
      </c>
      <c r="L3298" s="91"/>
      <c r="M3298" s="91"/>
    </row>
    <row r="3299" spans="2:13" ht="15" customHeight="1" x14ac:dyDescent="0.2">
      <c r="B3299" s="10" t="s">
        <v>917</v>
      </c>
      <c r="C3299" s="10" t="s">
        <v>104</v>
      </c>
      <c r="D3299" s="30">
        <f>Inputs!$D$145</f>
        <v>0.91</v>
      </c>
      <c r="G3299" s="99" t="s">
        <v>918</v>
      </c>
      <c r="H3299" s="91"/>
      <c r="I3299" s="91"/>
      <c r="J3299" s="28">
        <f>IF(-D3310/D3309&gt;=J3301,-D3310/D3309,-J3304/J3303)</f>
        <v>22.941592530423179</v>
      </c>
      <c r="K3299" s="99" t="s">
        <v>919</v>
      </c>
      <c r="L3299" s="91"/>
      <c r="M3299" s="91"/>
    </row>
    <row r="3300" spans="2:13" ht="15" customHeight="1" x14ac:dyDescent="0.2">
      <c r="B3300" s="10" t="s">
        <v>920</v>
      </c>
      <c r="C3300" s="10" t="s">
        <v>104</v>
      </c>
      <c r="D3300" s="30">
        <f>Inputs!$D$149</f>
        <v>0.14000000000000001</v>
      </c>
      <c r="G3300" s="99" t="s">
        <v>918</v>
      </c>
      <c r="H3300" s="91"/>
      <c r="I3300" s="91"/>
      <c r="J3300" s="28">
        <f>J3299*Inputs!$D$15</f>
        <v>16.010937426982338</v>
      </c>
      <c r="K3300" s="99" t="s">
        <v>916</v>
      </c>
      <c r="L3300" s="91"/>
      <c r="M3300" s="91"/>
    </row>
    <row r="3301" spans="2:13" ht="15" customHeight="1" x14ac:dyDescent="0.2">
      <c r="B3301" s="3" t="s">
        <v>921</v>
      </c>
      <c r="C3301" s="10" t="s">
        <v>848</v>
      </c>
      <c r="D3301" s="28">
        <f>Capital!$D$13</f>
        <v>57.347931490590682</v>
      </c>
      <c r="G3301" s="99" t="s">
        <v>922</v>
      </c>
      <c r="H3301" s="91"/>
      <c r="I3301" s="91"/>
      <c r="J3301" s="28">
        <f>($D$3301/Inputs!$D$21+$D$3302/Inputs!$D$22)/$D$3299</f>
        <v>15.898732030612395</v>
      </c>
      <c r="K3301" s="99" t="s">
        <v>919</v>
      </c>
      <c r="L3301" s="91"/>
      <c r="M3301" s="91"/>
    </row>
    <row r="3302" spans="2:13" ht="15" customHeight="1" x14ac:dyDescent="0.2">
      <c r="B3302" s="3" t="s">
        <v>923</v>
      </c>
      <c r="C3302" s="10" t="s">
        <v>848</v>
      </c>
      <c r="D3302" s="28">
        <f>Capital!$D$14</f>
        <v>2.6172655041921802</v>
      </c>
    </row>
    <row r="3303" spans="2:13" ht="15" customHeight="1" x14ac:dyDescent="0.2">
      <c r="B3303" s="10" t="s">
        <v>924</v>
      </c>
      <c r="C3303" s="10" t="s">
        <v>896</v>
      </c>
      <c r="D3303" s="28">
        <f>(M3276*(Inputs!$D$7+Inputs!$D$20)*$D$3299*(Inputs!$D$7-Inputs!$D$19)-M3276*Inputs!$D$20*Inputs!$D$23)/($D$3300-Inputs!$D$20)/(Inputs!$D$7+$D$3300)^M3274</f>
        <v>1446.5864421896979</v>
      </c>
      <c r="G3303" s="92" t="s">
        <v>910</v>
      </c>
      <c r="H3303" s="91"/>
      <c r="I3303" s="91"/>
      <c r="J3303" s="28">
        <f>SUM(D3295:M3295)+(M3276*(Inputs!$D$7+Inputs!$D$20)*$D$3299-M3276*Inputs!$D$20*Inputs!$D$23)/($D$3300-Inputs!$D$20)/(Inputs!$D$7+$D$3300)^M3274</f>
        <v>5490.3334062775211</v>
      </c>
      <c r="K3303" s="99" t="s">
        <v>896</v>
      </c>
      <c r="L3303" s="91"/>
      <c r="M3303" s="91"/>
    </row>
    <row r="3304" spans="2:13" ht="15" customHeight="1" x14ac:dyDescent="0.2">
      <c r="B3304" s="10" t="s">
        <v>925</v>
      </c>
      <c r="C3304" s="10" t="s">
        <v>110</v>
      </c>
      <c r="D3304" s="16">
        <f>(D3307*Inputs!$D$19-D3307-D3308)/($D$3300-Inputs!$D$20)/(Inputs!$D$7+$D$3300)^M3274</f>
        <v>-26345.502698929216</v>
      </c>
      <c r="G3304" s="92" t="s">
        <v>926</v>
      </c>
      <c r="H3304" s="91"/>
      <c r="I3304" s="91"/>
      <c r="J3304" s="16">
        <f>SUM(D3296:M3296)-(D3307+D3308)/($D$3300-Inputs!$D$20)/(Inputs!$D$7+$D$3300)^M3274</f>
        <v>-114317.08794717836</v>
      </c>
      <c r="K3304" s="99" t="s">
        <v>110</v>
      </c>
      <c r="L3304" s="91"/>
      <c r="M3304" s="91"/>
    </row>
    <row r="3305" spans="2:13" ht="15" customHeight="1" x14ac:dyDescent="0.2">
      <c r="B3305" s="10" t="s">
        <v>927</v>
      </c>
      <c r="C3305" s="10" t="s">
        <v>928</v>
      </c>
      <c r="D3305" s="16">
        <f>(M3276*(Inputs!$D$7+Inputs!$D$20)*$D$3298*$D$3299-D3307)-MAX((M3276*(Inputs!$D$7+Inputs!$D$20)*$D$3298*$D$3299-D3307),Inputs!$D$6)*Inputs!$D$19-D3308-M3276*Inputs!$D$20*$D$3298*Inputs!$D$23</f>
        <v>7885.562938896127</v>
      </c>
      <c r="G3305" s="99" t="s">
        <v>929</v>
      </c>
      <c r="H3305" s="91"/>
      <c r="I3305" s="91"/>
      <c r="J3305" s="28">
        <f>(D3297-D3310)/D3309</f>
        <v>31.482065446967962</v>
      </c>
      <c r="K3305" s="99" t="s">
        <v>919</v>
      </c>
      <c r="L3305" s="91"/>
      <c r="M3305" s="91"/>
    </row>
    <row r="3306" spans="2:13" ht="15" customHeight="1" x14ac:dyDescent="0.2">
      <c r="B3306" s="10" t="s">
        <v>930</v>
      </c>
      <c r="C3306" s="10" t="s">
        <v>110</v>
      </c>
      <c r="D3306" s="16">
        <f>D3305/($D$3300-Inputs!$D$20)</f>
        <v>68570.112512140229</v>
      </c>
      <c r="G3306" s="99" t="s">
        <v>931</v>
      </c>
      <c r="H3306" s="91"/>
      <c r="I3306" s="91"/>
      <c r="J3306" s="16">
        <f>MIN(D3290:M3290,(M3276*(Inputs!$D$7+Inputs!$D$20)*$D$3298*$D$3299-D3307))</f>
        <v>1780.9321398782911</v>
      </c>
      <c r="K3306" s="99" t="s">
        <v>110</v>
      </c>
      <c r="L3306" s="91"/>
      <c r="M3306" s="91"/>
    </row>
    <row r="3307" spans="2:13" ht="15" customHeight="1" x14ac:dyDescent="0.2">
      <c r="B3307" s="10" t="s">
        <v>932</v>
      </c>
      <c r="C3307" s="10" t="s">
        <v>928</v>
      </c>
      <c r="D3307" s="16">
        <f>M3276*(Inputs!$D$7+Inputs!$D$20)*($D$3301/Inputs!$D$21+$D$3302/Inputs!$D$22)</f>
        <v>13509.71303671543</v>
      </c>
      <c r="G3307" s="99" t="s">
        <v>933</v>
      </c>
      <c r="H3307" s="91"/>
      <c r="I3307" s="91"/>
      <c r="J3307" s="31" t="str">
        <f>IF(J3306&lt;Inputs!$D$6,"breached","satisfied")</f>
        <v>satisfied</v>
      </c>
      <c r="K3307" s="99" t="s">
        <v>934</v>
      </c>
      <c r="L3307" s="91"/>
      <c r="M3307" s="91"/>
    </row>
    <row r="3308" spans="2:13" ht="15" customHeight="1" x14ac:dyDescent="0.2">
      <c r="B3308" s="10" t="s">
        <v>935</v>
      </c>
      <c r="C3308" s="10" t="s">
        <v>928</v>
      </c>
      <c r="D3308" s="16">
        <f>M3276*Inputs!$D$20*($D$3301+$D$3302)</f>
        <v>1365.7073615561799</v>
      </c>
    </row>
    <row r="3309" spans="2:13" ht="15" customHeight="1" x14ac:dyDescent="0.2">
      <c r="B3309" s="10" t="s">
        <v>936</v>
      </c>
      <c r="C3309" s="10" t="s">
        <v>896</v>
      </c>
      <c r="D3309" s="28">
        <f>SUM(D3286:M3286)+D3303</f>
        <v>3837.6095001141657</v>
      </c>
      <c r="G3309" s="99" t="s">
        <v>937</v>
      </c>
      <c r="H3309" s="91"/>
      <c r="I3309" s="91"/>
      <c r="J3309" s="16">
        <f>D3311-D3297</f>
        <v>0</v>
      </c>
      <c r="K3309" s="99" t="s">
        <v>110</v>
      </c>
      <c r="L3309" s="91"/>
      <c r="M3309" s="91"/>
    </row>
    <row r="3310" spans="2:13" ht="15" customHeight="1" x14ac:dyDescent="0.2">
      <c r="B3310" s="10" t="s">
        <v>938</v>
      </c>
      <c r="C3310" s="10" t="s">
        <v>110</v>
      </c>
      <c r="D3310" s="16">
        <f>SUM(D3287:M3287)+D3304</f>
        <v>-88040.873442500175</v>
      </c>
    </row>
    <row r="3311" spans="2:13" ht="15" customHeight="1" x14ac:dyDescent="0.2">
      <c r="B3311" s="10" t="s">
        <v>939</v>
      </c>
      <c r="C3311" s="10" t="s">
        <v>110</v>
      </c>
      <c r="D3311" s="16">
        <f>SUM(D3294:M3294)+D3306/(Inputs!$D$7+$D$3300)^M3274</f>
        <v>32775.000000000015</v>
      </c>
    </row>
    <row r="3312" spans="2:13" ht="15" customHeight="1" x14ac:dyDescent="0.2">
      <c r="B3312" s="10" t="s">
        <v>940</v>
      </c>
      <c r="C3312" s="10" t="s">
        <v>104</v>
      </c>
      <c r="D3312" s="30">
        <f>IF(ABS(D3297)&gt;Inputs!$D$6,D3311/D3297-Inputs!$D$7,Inputs!$D$6)</f>
        <v>4.4408920985006262E-16</v>
      </c>
    </row>
    <row r="3313" spans="1:13" ht="15" customHeight="1" x14ac:dyDescent="0.2">
      <c r="B3313" s="10" t="s">
        <v>941</v>
      </c>
      <c r="C3313" s="10" t="s">
        <v>104</v>
      </c>
      <c r="D3313" s="30">
        <f>IF(ABS(D3311)&gt;Inputs!$D$119,D3306/(Inputs!$D$7+$D$3300)^M3274/D3311,Inputs!$D$6)</f>
        <v>0.58569111666768514</v>
      </c>
    </row>
    <row r="3314" spans="1:13" ht="15" customHeight="1" x14ac:dyDescent="0.2">
      <c r="B3314" s="10" t="s">
        <v>942</v>
      </c>
      <c r="C3314" s="10" t="s">
        <v>943</v>
      </c>
      <c r="D3314" s="26">
        <f>$D$3298*Inputs!$D$8/Prices!$P$6/(Inputs!$D$26/Inputs!$D$25)/Inputs!$D$11/Inputs!$D$56</f>
        <v>5.725109229008063</v>
      </c>
    </row>
    <row r="3318" spans="1:13" ht="15" customHeight="1" x14ac:dyDescent="0.2">
      <c r="A3318" s="104" t="s">
        <v>2237</v>
      </c>
      <c r="B3318" s="10" t="s">
        <v>886</v>
      </c>
      <c r="C3318" s="10" t="s">
        <v>107</v>
      </c>
      <c r="D3318" s="28">
        <f>Inputs!$D$60</f>
        <v>1</v>
      </c>
      <c r="E3318" s="28">
        <f>Inputs!$D$62</f>
        <v>2</v>
      </c>
      <c r="F3318" s="28">
        <f>Inputs!$D$64</f>
        <v>3</v>
      </c>
      <c r="G3318" s="28">
        <f>Inputs!$D$66</f>
        <v>4</v>
      </c>
      <c r="H3318" s="28">
        <f>Inputs!$D$68</f>
        <v>5</v>
      </c>
      <c r="I3318" s="28">
        <f>Inputs!$D$70</f>
        <v>6</v>
      </c>
      <c r="J3318" s="28">
        <f>Inputs!$D$72</f>
        <v>7</v>
      </c>
      <c r="K3318" s="28">
        <f>Inputs!$D$74</f>
        <v>8</v>
      </c>
      <c r="L3318" s="28">
        <f>Inputs!$D$76</f>
        <v>9</v>
      </c>
      <c r="M3318" s="28">
        <f>Inputs!$D$78</f>
        <v>10</v>
      </c>
    </row>
    <row r="3319" spans="1:13" ht="15" customHeight="1" x14ac:dyDescent="0.2">
      <c r="A3319" s="91"/>
      <c r="B3319" s="10" t="s">
        <v>887</v>
      </c>
      <c r="C3319" s="10" t="s">
        <v>161</v>
      </c>
      <c r="D3319" s="29">
        <f>Inputs!$D$61</f>
        <v>46568</v>
      </c>
      <c r="E3319" s="29">
        <f>Inputs!$D$63</f>
        <v>46934</v>
      </c>
      <c r="F3319" s="29">
        <f>Inputs!$D$65</f>
        <v>47299</v>
      </c>
      <c r="G3319" s="29">
        <f>Inputs!$D$67</f>
        <v>47664</v>
      </c>
      <c r="H3319" s="29">
        <f>Inputs!$D$69</f>
        <v>48029</v>
      </c>
      <c r="I3319" s="29">
        <f>Inputs!$D$71</f>
        <v>48395</v>
      </c>
      <c r="J3319" s="29">
        <f>Inputs!$D$73</f>
        <v>48760</v>
      </c>
      <c r="K3319" s="29">
        <f>Inputs!$D$75</f>
        <v>49125</v>
      </c>
      <c r="L3319" s="29">
        <f>Inputs!$D$77</f>
        <v>49490</v>
      </c>
      <c r="M3319" s="29">
        <f>Inputs!$D$79</f>
        <v>49856</v>
      </c>
    </row>
    <row r="3320" spans="1:13" ht="15" customHeight="1" x14ac:dyDescent="0.2">
      <c r="A3320" s="91"/>
      <c r="B3320" s="10" t="s">
        <v>888</v>
      </c>
      <c r="C3320" s="10" t="s">
        <v>107</v>
      </c>
      <c r="D3320" s="28">
        <f>(D3319-Inputs!$D$13)/Inputs!$D$10</f>
        <v>0.71457905544147848</v>
      </c>
      <c r="E3320" s="28">
        <f>(E3319-Inputs!$D$13)/Inputs!$D$10</f>
        <v>1.7166324435318274</v>
      </c>
      <c r="F3320" s="28">
        <f>(F3319-Inputs!$D$13)/Inputs!$D$10</f>
        <v>2.7159479808350446</v>
      </c>
      <c r="G3320" s="28">
        <f>(G3319-Inputs!$D$13)/Inputs!$D$10</f>
        <v>3.7152635181382614</v>
      </c>
      <c r="H3320" s="28">
        <f>(H3319-Inputs!$D$13)/Inputs!$D$10</f>
        <v>4.7145790554414786</v>
      </c>
      <c r="I3320" s="28">
        <f>(I3319-Inputs!$D$13)/Inputs!$D$10</f>
        <v>5.7166324435318279</v>
      </c>
      <c r="J3320" s="28">
        <f>(J3319-Inputs!$D$13)/Inputs!$D$10</f>
        <v>6.7159479808350442</v>
      </c>
      <c r="K3320" s="28">
        <f>(K3319-Inputs!$D$13)/Inputs!$D$10</f>
        <v>7.7152635181382614</v>
      </c>
      <c r="L3320" s="28">
        <f>(L3319-Inputs!$D$13)/Inputs!$D$10</f>
        <v>8.7145790554414777</v>
      </c>
      <c r="M3320" s="28">
        <f>(M3319-Inputs!$D$13)/Inputs!$D$10</f>
        <v>9.716632443531827</v>
      </c>
    </row>
    <row r="3321" spans="1:13" ht="15" customHeight="1" x14ac:dyDescent="0.2">
      <c r="A3321" s="91"/>
      <c r="B3321" s="10" t="s">
        <v>889</v>
      </c>
      <c r="C3321" s="10" t="s">
        <v>107</v>
      </c>
      <c r="D3321" s="28">
        <f>D3320</f>
        <v>0.71457905544147848</v>
      </c>
      <c r="E3321" s="28">
        <f>Inputs!$D$7</f>
        <v>1</v>
      </c>
      <c r="F3321" s="28">
        <f>Inputs!$D$7</f>
        <v>1</v>
      </c>
      <c r="G3321" s="28">
        <f>Inputs!$D$7</f>
        <v>1</v>
      </c>
      <c r="H3321" s="28">
        <f>Inputs!$D$7</f>
        <v>1</v>
      </c>
      <c r="I3321" s="28">
        <f>Inputs!$D$7</f>
        <v>1</v>
      </c>
      <c r="J3321" s="28">
        <f>Inputs!$D$7</f>
        <v>1</v>
      </c>
      <c r="K3321" s="28">
        <f>Inputs!$D$7</f>
        <v>1</v>
      </c>
      <c r="L3321" s="28">
        <f>Inputs!$D$7</f>
        <v>1</v>
      </c>
      <c r="M3321" s="28">
        <f>Inputs!$D$7</f>
        <v>1</v>
      </c>
    </row>
    <row r="3322" spans="1:13" ht="15" customHeight="1" x14ac:dyDescent="0.2">
      <c r="A3322" s="91"/>
      <c r="B3322" s="3" t="s">
        <v>890</v>
      </c>
      <c r="C3322" s="10" t="s">
        <v>199</v>
      </c>
      <c r="D3322" s="28">
        <f>Inputs!$D$24+(Inputs!$D$80-Inputs!$D$24)*Inputs!$D$83</f>
        <v>305.5</v>
      </c>
      <c r="E3322" s="28">
        <f>Inputs!$D$24+(Inputs!$D$80-Inputs!$D$24)*Inputs!$D$84</f>
        <v>651.5</v>
      </c>
      <c r="F3322" s="28">
        <f>Inputs!$D$24+(Inputs!$D$80-Inputs!$D$24)*Inputs!$D$85</f>
        <v>911</v>
      </c>
      <c r="G3322" s="28">
        <f>Inputs!$D$24+(Inputs!$D$80-Inputs!$D$24)*Inputs!$D$86</f>
        <v>911</v>
      </c>
      <c r="H3322" s="28">
        <f>Inputs!$D$24+(Inputs!$D$80-Inputs!$D$24)*Inputs!$D$87</f>
        <v>911</v>
      </c>
      <c r="I3322" s="28">
        <f>Inputs!$D$24+(Inputs!$D$80-Inputs!$D$24)*Inputs!$D$88</f>
        <v>911</v>
      </c>
      <c r="J3322" s="28">
        <f>Inputs!$D$24+(Inputs!$D$80-Inputs!$D$24)*Inputs!$D$89</f>
        <v>911</v>
      </c>
      <c r="K3322" s="28">
        <f>Inputs!$D$24+(Inputs!$D$80-Inputs!$D$24)*Inputs!$D$90</f>
        <v>911</v>
      </c>
      <c r="L3322" s="28">
        <f>Inputs!$D$24+(Inputs!$D$80-Inputs!$D$24)*Inputs!$D$91</f>
        <v>911</v>
      </c>
      <c r="M3322" s="28">
        <f>Inputs!$D$24+(Inputs!$D$80-Inputs!$D$24)*Inputs!$D$92</f>
        <v>911</v>
      </c>
    </row>
    <row r="3323" spans="1:13" ht="15" customHeight="1" x14ac:dyDescent="0.2">
      <c r="A3323" s="91"/>
      <c r="B3323" s="10" t="s">
        <v>891</v>
      </c>
      <c r="C3323" s="10" t="s">
        <v>199</v>
      </c>
      <c r="D3323" s="28">
        <f>Inputs!$D$24</f>
        <v>46</v>
      </c>
      <c r="E3323" s="28">
        <f t="shared" ref="E3323:M3323" si="720">D3322</f>
        <v>305.5</v>
      </c>
      <c r="F3323" s="28">
        <f t="shared" si="720"/>
        <v>651.5</v>
      </c>
      <c r="G3323" s="28">
        <f t="shared" si="720"/>
        <v>911</v>
      </c>
      <c r="H3323" s="28">
        <f t="shared" si="720"/>
        <v>911</v>
      </c>
      <c r="I3323" s="28">
        <f t="shared" si="720"/>
        <v>911</v>
      </c>
      <c r="J3323" s="28">
        <f t="shared" si="720"/>
        <v>911</v>
      </c>
      <c r="K3323" s="28">
        <f t="shared" si="720"/>
        <v>911</v>
      </c>
      <c r="L3323" s="28">
        <f t="shared" si="720"/>
        <v>911</v>
      </c>
      <c r="M3323" s="28">
        <f t="shared" si="720"/>
        <v>911</v>
      </c>
    </row>
    <row r="3324" spans="1:13" ht="15" customHeight="1" x14ac:dyDescent="0.2">
      <c r="B3324" s="10" t="s">
        <v>892</v>
      </c>
      <c r="C3324" s="10" t="s">
        <v>199</v>
      </c>
      <c r="D3324" s="28">
        <f>(D3323+D3322)*Inputs!$D$12</f>
        <v>175.75</v>
      </c>
      <c r="E3324" s="28">
        <f>(E3323+E3322)*Inputs!$D$12</f>
        <v>478.5</v>
      </c>
      <c r="F3324" s="28">
        <f>(F3323+F3322)*Inputs!$D$12</f>
        <v>781.25</v>
      </c>
      <c r="G3324" s="28">
        <f>(G3323+G3322)*Inputs!$D$12</f>
        <v>911</v>
      </c>
      <c r="H3324" s="28">
        <f>(H3323+H3322)*Inputs!$D$12</f>
        <v>911</v>
      </c>
      <c r="I3324" s="28">
        <f>(I3323+I3322)*Inputs!$D$12</f>
        <v>911</v>
      </c>
      <c r="J3324" s="28">
        <f>(J3323+J3322)*Inputs!$D$12</f>
        <v>911</v>
      </c>
      <c r="K3324" s="28">
        <f>(K3323+K3322)*Inputs!$D$12</f>
        <v>911</v>
      </c>
      <c r="L3324" s="28">
        <f>(L3323+L3322)*Inputs!$D$12</f>
        <v>911</v>
      </c>
      <c r="M3324" s="28">
        <f>(M3323+M3322)*Inputs!$D$12</f>
        <v>911</v>
      </c>
    </row>
    <row r="3325" spans="1:13" ht="15" customHeight="1" x14ac:dyDescent="0.2">
      <c r="B3325" s="10" t="s">
        <v>893</v>
      </c>
      <c r="C3325" s="10" t="s">
        <v>199</v>
      </c>
      <c r="D3325" s="28">
        <f t="shared" ref="D3325:M3325" si="721">D3322-D3323</f>
        <v>259.5</v>
      </c>
      <c r="E3325" s="28">
        <f t="shared" si="721"/>
        <v>346</v>
      </c>
      <c r="F3325" s="28">
        <f t="shared" si="721"/>
        <v>259.5</v>
      </c>
      <c r="G3325" s="28">
        <f t="shared" si="721"/>
        <v>0</v>
      </c>
      <c r="H3325" s="28">
        <f t="shared" si="721"/>
        <v>0</v>
      </c>
      <c r="I3325" s="28">
        <f t="shared" si="721"/>
        <v>0</v>
      </c>
      <c r="J3325" s="28">
        <f t="shared" si="721"/>
        <v>0</v>
      </c>
      <c r="K3325" s="28">
        <f t="shared" si="721"/>
        <v>0</v>
      </c>
      <c r="L3325" s="28">
        <f t="shared" si="721"/>
        <v>0</v>
      </c>
      <c r="M3325" s="28">
        <f t="shared" si="721"/>
        <v>0</v>
      </c>
    </row>
    <row r="3326" spans="1:13" ht="15" customHeight="1" x14ac:dyDescent="0.2">
      <c r="B3326" s="10" t="s">
        <v>894</v>
      </c>
      <c r="C3326" s="10" t="s">
        <v>199</v>
      </c>
      <c r="D3326" s="28">
        <f>IF(MOD(D3318,Inputs!$D$21)=Inputs!$D$6,Inputs!$D$24,Inputs!$D$6)+SUMPRODUCT(--(D3318&gt;$D$3318:$M$3318),--(MOD(D3318-$D$3318:$M$3318,Inputs!$D$21)=Inputs!$D$6),$D$3325:$M$3325)</f>
        <v>0</v>
      </c>
      <c r="E3326" s="28">
        <f>IF(MOD(E3318,Inputs!$D$21)=Inputs!$D$6,Inputs!$D$24,Inputs!$D$6)+SUMPRODUCT(--(E3318&gt;$D$3318:$M$3318),--(MOD(E3318-$D$3318:$M$3318,Inputs!$D$21)=Inputs!$D$6),$D$3325:$M$3325)</f>
        <v>0</v>
      </c>
      <c r="F3326" s="28">
        <f>IF(MOD(F3318,Inputs!$D$21)=Inputs!$D$6,Inputs!$D$24,Inputs!$D$6)+SUMPRODUCT(--(F3318&gt;$D$3318:$M$3318),--(MOD(F3318-$D$3318:$M$3318,Inputs!$D$21)=Inputs!$D$6),$D$3325:$M$3325)</f>
        <v>0</v>
      </c>
      <c r="G3326" s="28">
        <f>IF(MOD(G3318,Inputs!$D$21)=Inputs!$D$6,Inputs!$D$24,Inputs!$D$6)+SUMPRODUCT(--(G3318&gt;$D$3318:$M$3318),--(MOD(G3318-$D$3318:$M$3318,Inputs!$D$21)=Inputs!$D$6),$D$3325:$M$3325)</f>
        <v>46</v>
      </c>
      <c r="H3326" s="28">
        <f>IF(MOD(H3318,Inputs!$D$21)=Inputs!$D$6,Inputs!$D$24,Inputs!$D$6)+SUMPRODUCT(--(H3318&gt;$D$3318:$M$3318),--(MOD(H3318-$D$3318:$M$3318,Inputs!$D$21)=Inputs!$D$6),$D$3325:$M$3325)</f>
        <v>259.5</v>
      </c>
      <c r="I3326" s="28">
        <f>IF(MOD(I3318,Inputs!$D$21)=Inputs!$D$6,Inputs!$D$24,Inputs!$D$6)+SUMPRODUCT(--(I3318&gt;$D$3318:$M$3318),--(MOD(I3318-$D$3318:$M$3318,Inputs!$D$21)=Inputs!$D$6),$D$3325:$M$3325)</f>
        <v>346</v>
      </c>
      <c r="J3326" s="28">
        <f>IF(MOD(J3318,Inputs!$D$21)=Inputs!$D$6,Inputs!$D$24,Inputs!$D$6)+SUMPRODUCT(--(J3318&gt;$D$3318:$M$3318),--(MOD(J3318-$D$3318:$M$3318,Inputs!$D$21)=Inputs!$D$6),$D$3325:$M$3325)</f>
        <v>259.5</v>
      </c>
      <c r="K3326" s="28">
        <f>IF(MOD(K3318,Inputs!$D$21)=Inputs!$D$6,Inputs!$D$24,Inputs!$D$6)+SUMPRODUCT(--(K3318&gt;$D$3318:$M$3318),--(MOD(K3318-$D$3318:$M$3318,Inputs!$D$21)=Inputs!$D$6),$D$3325:$M$3325)</f>
        <v>46</v>
      </c>
      <c r="L3326" s="28">
        <f>IF(MOD(L3318,Inputs!$D$21)=Inputs!$D$6,Inputs!$D$24,Inputs!$D$6)+SUMPRODUCT(--(L3318&gt;$D$3318:$M$3318),--(MOD(L3318-$D$3318:$M$3318,Inputs!$D$21)=Inputs!$D$6),$D$3325:$M$3325)</f>
        <v>259.5</v>
      </c>
      <c r="M3326" s="28">
        <f>IF(MOD(M3318,Inputs!$D$21)=Inputs!$D$6,Inputs!$D$24,Inputs!$D$6)+SUMPRODUCT(--(M3318&gt;$D$3318:$M$3318),--(MOD(M3318-$D$3318:$M$3318,Inputs!$D$21)=Inputs!$D$6),$D$3325:$M$3325)</f>
        <v>346</v>
      </c>
    </row>
    <row r="3327" spans="1:13" ht="15" customHeight="1" x14ac:dyDescent="0.2">
      <c r="B3327" s="10" t="s">
        <v>895</v>
      </c>
      <c r="C3327" s="10" t="s">
        <v>896</v>
      </c>
      <c r="D3327" s="28">
        <f t="shared" ref="D3327:M3327" si="722">D3324*D3321</f>
        <v>125.58726899383984</v>
      </c>
      <c r="E3327" s="28">
        <f t="shared" si="722"/>
        <v>478.5</v>
      </c>
      <c r="F3327" s="28">
        <f t="shared" si="722"/>
        <v>781.25</v>
      </c>
      <c r="G3327" s="28">
        <f t="shared" si="722"/>
        <v>911</v>
      </c>
      <c r="H3327" s="28">
        <f t="shared" si="722"/>
        <v>911</v>
      </c>
      <c r="I3327" s="28">
        <f t="shared" si="722"/>
        <v>911</v>
      </c>
      <c r="J3327" s="28">
        <f t="shared" si="722"/>
        <v>911</v>
      </c>
      <c r="K3327" s="28">
        <f t="shared" si="722"/>
        <v>911</v>
      </c>
      <c r="L3327" s="28">
        <f t="shared" si="722"/>
        <v>911</v>
      </c>
      <c r="M3327" s="28">
        <f t="shared" si="722"/>
        <v>911</v>
      </c>
    </row>
    <row r="3328" spans="1:13" ht="15" customHeight="1" x14ac:dyDescent="0.2">
      <c r="B3328" s="10" t="s">
        <v>897</v>
      </c>
      <c r="C3328" s="10" t="s">
        <v>110</v>
      </c>
      <c r="D3328" s="16">
        <f>D3327*($D$3347/Inputs!$D$21+$D$3348/Inputs!$D$22)</f>
        <v>1816.9772859324419</v>
      </c>
      <c r="E3328" s="16">
        <f>E3327*($D$3347/Inputs!$D$21+$D$3348/Inputs!$D$22)</f>
        <v>6922.8643817497086</v>
      </c>
      <c r="F3328" s="16">
        <f>F3327*($D$3347/Inputs!$D$21+$D$3348/Inputs!$D$22)</f>
        <v>11303.0048030135</v>
      </c>
      <c r="G3328" s="16">
        <f>G3327*($D$3347/Inputs!$D$21+$D$3348/Inputs!$D$22)</f>
        <v>13180.207840697982</v>
      </c>
      <c r="H3328" s="16">
        <f>H3327*($D$3347/Inputs!$D$21+$D$3348/Inputs!$D$22)</f>
        <v>13180.207840697982</v>
      </c>
      <c r="I3328" s="16">
        <f>I3327*($D$3347/Inputs!$D$21+$D$3348/Inputs!$D$22)</f>
        <v>13180.207840697982</v>
      </c>
      <c r="J3328" s="16">
        <f>J3327*($D$3347/Inputs!$D$21+$D$3348/Inputs!$D$22)</f>
        <v>13180.207840697982</v>
      </c>
      <c r="K3328" s="16">
        <f>K3327*($D$3347/Inputs!$D$21+$D$3348/Inputs!$D$22)</f>
        <v>13180.207840697982</v>
      </c>
      <c r="L3328" s="16">
        <f>L3327*($D$3347/Inputs!$D$21+$D$3348/Inputs!$D$22)</f>
        <v>13180.207840697982</v>
      </c>
      <c r="M3328" s="16">
        <f>M3327*($D$3347/Inputs!$D$21+$D$3348/Inputs!$D$22)</f>
        <v>13180.207840697982</v>
      </c>
    </row>
    <row r="3329" spans="2:13" ht="15" customHeight="1" x14ac:dyDescent="0.2">
      <c r="B3329" s="10" t="s">
        <v>898</v>
      </c>
      <c r="C3329" s="10" t="s">
        <v>110</v>
      </c>
      <c r="D3329" s="16">
        <f t="shared" ref="D3329:M3329" si="723">D3325*($D$3347+$D$3348)</f>
        <v>15560.968620146154</v>
      </c>
      <c r="E3329" s="16">
        <f t="shared" si="723"/>
        <v>20747.95816019487</v>
      </c>
      <c r="F3329" s="16">
        <f t="shared" si="723"/>
        <v>15560.968620146154</v>
      </c>
      <c r="G3329" s="16">
        <f t="shared" si="723"/>
        <v>0</v>
      </c>
      <c r="H3329" s="16">
        <f t="shared" si="723"/>
        <v>0</v>
      </c>
      <c r="I3329" s="16">
        <f t="shared" si="723"/>
        <v>0</v>
      </c>
      <c r="J3329" s="16">
        <f t="shared" si="723"/>
        <v>0</v>
      </c>
      <c r="K3329" s="16">
        <f t="shared" si="723"/>
        <v>0</v>
      </c>
      <c r="L3329" s="16">
        <f t="shared" si="723"/>
        <v>0</v>
      </c>
      <c r="M3329" s="16">
        <f t="shared" si="723"/>
        <v>0</v>
      </c>
    </row>
    <row r="3330" spans="2:13" ht="15" customHeight="1" x14ac:dyDescent="0.2">
      <c r="B3330" s="10" t="s">
        <v>899</v>
      </c>
      <c r="C3330" s="10" t="s">
        <v>110</v>
      </c>
      <c r="D3330" s="16">
        <f t="shared" ref="D3330:M3330" si="724">D3326*$D$3347</f>
        <v>0</v>
      </c>
      <c r="E3330" s="16">
        <f t="shared" si="724"/>
        <v>0</v>
      </c>
      <c r="F3330" s="16">
        <f t="shared" si="724"/>
        <v>0</v>
      </c>
      <c r="G3330" s="16">
        <f t="shared" si="724"/>
        <v>2638.0048485671714</v>
      </c>
      <c r="H3330" s="16">
        <f t="shared" si="724"/>
        <v>14881.788221808281</v>
      </c>
      <c r="I3330" s="16">
        <f t="shared" si="724"/>
        <v>19842.384295744378</v>
      </c>
      <c r="J3330" s="16">
        <f t="shared" si="724"/>
        <v>14881.788221808281</v>
      </c>
      <c r="K3330" s="16">
        <f t="shared" si="724"/>
        <v>2638.0048485671714</v>
      </c>
      <c r="L3330" s="16">
        <f t="shared" si="724"/>
        <v>14881.788221808281</v>
      </c>
      <c r="M3330" s="16">
        <f t="shared" si="724"/>
        <v>19842.384295744378</v>
      </c>
    </row>
    <row r="3331" spans="2:13" ht="15" customHeight="1" x14ac:dyDescent="0.2">
      <c r="B3331" s="10" t="s">
        <v>900</v>
      </c>
      <c r="C3331" s="10" t="s">
        <v>199</v>
      </c>
      <c r="D3331" s="28">
        <f>D3325*Inputs!$D$23</f>
        <v>6.4875000000000007</v>
      </c>
      <c r="E3331" s="28">
        <f>E3325*Inputs!$D$23</f>
        <v>8.65</v>
      </c>
      <c r="F3331" s="28">
        <f>F3325*Inputs!$D$23</f>
        <v>6.4875000000000007</v>
      </c>
      <c r="G3331" s="28">
        <f>G3325*Inputs!$D$23</f>
        <v>0</v>
      </c>
      <c r="H3331" s="28">
        <f>H3325*Inputs!$D$23</f>
        <v>0</v>
      </c>
      <c r="I3331" s="28">
        <f>I3325*Inputs!$D$23</f>
        <v>0</v>
      </c>
      <c r="J3331" s="28">
        <f>J3325*Inputs!$D$23</f>
        <v>0</v>
      </c>
      <c r="K3331" s="28">
        <f>K3325*Inputs!$D$23</f>
        <v>0</v>
      </c>
      <c r="L3331" s="28">
        <f>L3325*Inputs!$D$23</f>
        <v>0</v>
      </c>
      <c r="M3331" s="28">
        <f>M3325*Inputs!$D$23</f>
        <v>0</v>
      </c>
    </row>
    <row r="3332" spans="2:13" ht="15" customHeight="1" x14ac:dyDescent="0.2">
      <c r="B3332" s="3" t="s">
        <v>901</v>
      </c>
      <c r="C3332" s="10" t="s">
        <v>896</v>
      </c>
      <c r="D3332" s="28">
        <f>(D3327*$D$3345*(Inputs!$D$7-Inputs!$D$19)-D3331)/(Inputs!$D$7+$D$3346)^D3320</f>
        <v>35.463133557820996</v>
      </c>
      <c r="E3332" s="28">
        <f>(E3327*$D$3345*(Inputs!$D$7-Inputs!$D$19)-E3331)/(Inputs!$D$7+$D$3346)^E3320</f>
        <v>139.16901741018501</v>
      </c>
      <c r="F3332" s="28">
        <f>(F3327*$D$3345*(Inputs!$D$7-Inputs!$D$19)-F3331)/(Inputs!$D$7+$D$3346)^F3320</f>
        <v>216.59715305054928</v>
      </c>
      <c r="G3332" s="28">
        <f>(G3327*$D$3345*(Inputs!$D$7-Inputs!$D$19)-G3331)/(Inputs!$D$7+$D$3346)^G3320</f>
        <v>239.55672210234928</v>
      </c>
      <c r="H3332" s="28">
        <f>(H3327*$D$3345*(Inputs!$D$7-Inputs!$D$19)-H3331)/(Inputs!$D$7+$D$3346)^H3320</f>
        <v>221.82346440279065</v>
      </c>
      <c r="I3332" s="28">
        <f>(I3327*$D$3345*(Inputs!$D$7-Inputs!$D$19)-I3331)/(Inputs!$D$7+$D$3346)^I3320</f>
        <v>205.35964093895382</v>
      </c>
      <c r="J3332" s="28">
        <f>(J3327*$D$3345*(Inputs!$D$7-Inputs!$D$19)-J3331)/(Inputs!$D$7+$D$3346)^J3320</f>
        <v>190.15783235725434</v>
      </c>
      <c r="K3332" s="28">
        <f>(K3327*$D$3345*(Inputs!$D$7-Inputs!$D$19)-K3331)/(Inputs!$D$7+$D$3346)^K3320</f>
        <v>176.08134218329064</v>
      </c>
      <c r="L3332" s="28">
        <f>(L3327*$D$3345*(Inputs!$D$7-Inputs!$D$19)-L3331)/(Inputs!$D$7+$D$3346)^L3320</f>
        <v>163.04686838678248</v>
      </c>
      <c r="M3332" s="28">
        <f>(M3327*$D$3345*(Inputs!$D$7-Inputs!$D$19)-M3331)/(Inputs!$D$7+$D$3346)^M3320</f>
        <v>150.94546664969172</v>
      </c>
    </row>
    <row r="3333" spans="2:13" ht="15" customHeight="1" x14ac:dyDescent="0.2">
      <c r="B3333" s="10" t="s">
        <v>902</v>
      </c>
      <c r="C3333" s="10" t="s">
        <v>110</v>
      </c>
      <c r="D3333" s="16">
        <f>(D3328*Inputs!$D$19-D3329-D3330)/(Inputs!$D$7+$D$3346)^D3320</f>
        <v>-14212.377724210151</v>
      </c>
      <c r="E3333" s="16">
        <f>(E3328*Inputs!$D$19-E3329-E3330)/(Inputs!$D$7+$D$3346)^E3320</f>
        <v>-16360.387094728963</v>
      </c>
      <c r="F3333" s="16">
        <f>(F3328*Inputs!$D$19-F3329-F3330)/(Inputs!$D$7+$D$3346)^F3320</f>
        <v>-9874.5154652847668</v>
      </c>
      <c r="G3333" s="16">
        <f>(G3328*Inputs!$D$19-G3329-G3330)/(Inputs!$D$7+$D$3346)^G3320</f>
        <v>988.77347238742834</v>
      </c>
      <c r="H3333" s="16">
        <f>(H3328*Inputs!$D$19-H3329-H3330)/(Inputs!$D$7+$D$3346)^H3320</f>
        <v>-7602.4024163036647</v>
      </c>
      <c r="I3333" s="16">
        <f>(I3328*Inputs!$D$19-I3329-I3330)/(Inputs!$D$7+$D$3346)^I3320</f>
        <v>-10233.087939303265</v>
      </c>
      <c r="J3333" s="16">
        <f>(J3328*Inputs!$D$19-J3329-J3330)/(Inputs!$D$7+$D$3346)^J3320</f>
        <v>-6517.1480757635773</v>
      </c>
      <c r="K3333" s="16">
        <f>(K3328*Inputs!$D$19-K3329-K3330)/(Inputs!$D$7+$D$3346)^K3320</f>
        <v>726.77801985796941</v>
      </c>
      <c r="L3333" s="16">
        <f>(L3328*Inputs!$D$19-L3329-L3330)/(Inputs!$D$7+$D$3346)^L3320</f>
        <v>-5587.9927289550824</v>
      </c>
      <c r="M3333" s="16">
        <f>(M3328*Inputs!$D$19-M3329-M3330)/(Inputs!$D$7+$D$3346)^M3320</f>
        <v>-7521.6251216792398</v>
      </c>
    </row>
    <row r="3334" spans="2:13" ht="15" customHeight="1" x14ac:dyDescent="0.2">
      <c r="B3334" s="10" t="s">
        <v>903</v>
      </c>
      <c r="C3334" s="10" t="s">
        <v>110</v>
      </c>
      <c r="D3334" s="16">
        <f t="shared" ref="D3334:M3334" si="725">D3327*$D$3344</f>
        <v>5281.5624296748438</v>
      </c>
      <c r="E3334" s="16">
        <f t="shared" si="725"/>
        <v>20123.278759436798</v>
      </c>
      <c r="F3334" s="16">
        <f t="shared" si="725"/>
        <v>32855.405498035521</v>
      </c>
      <c r="G3334" s="16">
        <f t="shared" si="725"/>
        <v>38312.031243149264</v>
      </c>
      <c r="H3334" s="16">
        <f t="shared" si="725"/>
        <v>38312.031243149264</v>
      </c>
      <c r="I3334" s="16">
        <f t="shared" si="725"/>
        <v>38312.031243149264</v>
      </c>
      <c r="J3334" s="16">
        <f t="shared" si="725"/>
        <v>38312.031243149264</v>
      </c>
      <c r="K3334" s="16">
        <f t="shared" si="725"/>
        <v>38312.031243149264</v>
      </c>
      <c r="L3334" s="16">
        <f t="shared" si="725"/>
        <v>38312.031243149264</v>
      </c>
      <c r="M3334" s="16">
        <f t="shared" si="725"/>
        <v>38312.031243149264</v>
      </c>
    </row>
    <row r="3335" spans="2:13" ht="15" customHeight="1" x14ac:dyDescent="0.2">
      <c r="B3335" s="10" t="s">
        <v>904</v>
      </c>
      <c r="C3335" s="10" t="s">
        <v>110</v>
      </c>
      <c r="D3335" s="16">
        <f t="shared" ref="D3335:M3335" si="726">D3334*$D$3345</f>
        <v>2640.7812148374219</v>
      </c>
      <c r="E3335" s="16">
        <f t="shared" si="726"/>
        <v>10061.639379718399</v>
      </c>
      <c r="F3335" s="16">
        <f t="shared" si="726"/>
        <v>16427.702749017761</v>
      </c>
      <c r="G3335" s="16">
        <f t="shared" si="726"/>
        <v>19156.015621574632</v>
      </c>
      <c r="H3335" s="16">
        <f t="shared" si="726"/>
        <v>19156.015621574632</v>
      </c>
      <c r="I3335" s="16">
        <f t="shared" si="726"/>
        <v>19156.015621574632</v>
      </c>
      <c r="J3335" s="16">
        <f t="shared" si="726"/>
        <v>19156.015621574632</v>
      </c>
      <c r="K3335" s="16">
        <f t="shared" si="726"/>
        <v>19156.015621574632</v>
      </c>
      <c r="L3335" s="16">
        <f t="shared" si="726"/>
        <v>19156.015621574632</v>
      </c>
      <c r="M3335" s="16">
        <f t="shared" si="726"/>
        <v>19156.015621574632</v>
      </c>
    </row>
    <row r="3336" spans="2:13" ht="15" customHeight="1" x14ac:dyDescent="0.2">
      <c r="B3336" s="10" t="s">
        <v>905</v>
      </c>
      <c r="C3336" s="10" t="s">
        <v>110</v>
      </c>
      <c r="D3336" s="16">
        <f t="shared" ref="D3336:M3336" si="727">D3335-D3328</f>
        <v>823.80392890498001</v>
      </c>
      <c r="E3336" s="16">
        <f t="shared" si="727"/>
        <v>3138.7749979686905</v>
      </c>
      <c r="F3336" s="16">
        <f t="shared" si="727"/>
        <v>5124.6979460042603</v>
      </c>
      <c r="G3336" s="16">
        <f t="shared" si="727"/>
        <v>5975.8077808766502</v>
      </c>
      <c r="H3336" s="16">
        <f t="shared" si="727"/>
        <v>5975.8077808766502</v>
      </c>
      <c r="I3336" s="16">
        <f t="shared" si="727"/>
        <v>5975.8077808766502</v>
      </c>
      <c r="J3336" s="16">
        <f t="shared" si="727"/>
        <v>5975.8077808766502</v>
      </c>
      <c r="K3336" s="16">
        <f t="shared" si="727"/>
        <v>5975.8077808766502</v>
      </c>
      <c r="L3336" s="16">
        <f t="shared" si="727"/>
        <v>5975.8077808766502</v>
      </c>
      <c r="M3336" s="16">
        <f t="shared" si="727"/>
        <v>5975.8077808766502</v>
      </c>
    </row>
    <row r="3337" spans="2:13" ht="15" customHeight="1" x14ac:dyDescent="0.2">
      <c r="B3337" s="10" t="s">
        <v>906</v>
      </c>
      <c r="C3337" s="10" t="s">
        <v>110</v>
      </c>
      <c r="D3337" s="16">
        <f>MAX(D3336,Inputs!$D$6)*Inputs!$D$19</f>
        <v>247.141178671494</v>
      </c>
      <c r="E3337" s="16">
        <f>MAX(E3336,Inputs!$D$6)*Inputs!$D$19</f>
        <v>941.63249939060711</v>
      </c>
      <c r="F3337" s="16">
        <f>MAX(F3336,Inputs!$D$6)*Inputs!$D$19</f>
        <v>1537.409383801278</v>
      </c>
      <c r="G3337" s="16">
        <f>MAX(G3336,Inputs!$D$6)*Inputs!$D$19</f>
        <v>1792.742334262995</v>
      </c>
      <c r="H3337" s="16">
        <f>MAX(H3336,Inputs!$D$6)*Inputs!$D$19</f>
        <v>1792.742334262995</v>
      </c>
      <c r="I3337" s="16">
        <f>MAX(I3336,Inputs!$D$6)*Inputs!$D$19</f>
        <v>1792.742334262995</v>
      </c>
      <c r="J3337" s="16">
        <f>MAX(J3336,Inputs!$D$6)*Inputs!$D$19</f>
        <v>1792.742334262995</v>
      </c>
      <c r="K3337" s="16">
        <f>MAX(K3336,Inputs!$D$6)*Inputs!$D$19</f>
        <v>1792.742334262995</v>
      </c>
      <c r="L3337" s="16">
        <f>MAX(L3336,Inputs!$D$6)*Inputs!$D$19</f>
        <v>1792.742334262995</v>
      </c>
      <c r="M3337" s="16">
        <f>MAX(M3336,Inputs!$D$6)*Inputs!$D$19</f>
        <v>1792.742334262995</v>
      </c>
    </row>
    <row r="3338" spans="2:13" ht="15" customHeight="1" x14ac:dyDescent="0.2">
      <c r="B3338" s="10" t="s">
        <v>907</v>
      </c>
      <c r="C3338" s="10" t="s">
        <v>110</v>
      </c>
      <c r="D3338" s="16">
        <f t="shared" ref="D3338:M3338" si="728">D3331*$D$3344</f>
        <v>272.83128725568702</v>
      </c>
      <c r="E3338" s="16">
        <f t="shared" si="728"/>
        <v>363.77504967424932</v>
      </c>
      <c r="F3338" s="16">
        <f t="shared" si="728"/>
        <v>272.83128725568702</v>
      </c>
      <c r="G3338" s="16">
        <f t="shared" si="728"/>
        <v>0</v>
      </c>
      <c r="H3338" s="16">
        <f t="shared" si="728"/>
        <v>0</v>
      </c>
      <c r="I3338" s="16">
        <f t="shared" si="728"/>
        <v>0</v>
      </c>
      <c r="J3338" s="16">
        <f t="shared" si="728"/>
        <v>0</v>
      </c>
      <c r="K3338" s="16">
        <f t="shared" si="728"/>
        <v>0</v>
      </c>
      <c r="L3338" s="16">
        <f t="shared" si="728"/>
        <v>0</v>
      </c>
      <c r="M3338" s="16">
        <f t="shared" si="728"/>
        <v>0</v>
      </c>
    </row>
    <row r="3339" spans="2:13" ht="15" customHeight="1" x14ac:dyDescent="0.2">
      <c r="B3339" s="10" t="s">
        <v>908</v>
      </c>
      <c r="C3339" s="10" t="s">
        <v>110</v>
      </c>
      <c r="D3339" s="16">
        <f t="shared" ref="D3339:M3339" si="729">D3335-D3337-D3329-D3330-D3338</f>
        <v>-13440.159871235914</v>
      </c>
      <c r="E3339" s="16">
        <f t="shared" si="729"/>
        <v>-11991.726329541329</v>
      </c>
      <c r="F3339" s="16">
        <f t="shared" si="729"/>
        <v>-943.50654218535772</v>
      </c>
      <c r="G3339" s="16">
        <f t="shared" si="729"/>
        <v>14725.268438744464</v>
      </c>
      <c r="H3339" s="16">
        <f t="shared" si="729"/>
        <v>2481.4850655033551</v>
      </c>
      <c r="I3339" s="16">
        <f t="shared" si="729"/>
        <v>-2479.1110084327411</v>
      </c>
      <c r="J3339" s="16">
        <f t="shared" si="729"/>
        <v>2481.4850655033551</v>
      </c>
      <c r="K3339" s="16">
        <f t="shared" si="729"/>
        <v>14725.268438744464</v>
      </c>
      <c r="L3339" s="16">
        <f t="shared" si="729"/>
        <v>2481.4850655033551</v>
      </c>
      <c r="M3339" s="16">
        <f t="shared" si="729"/>
        <v>-2479.1110084327411</v>
      </c>
    </row>
    <row r="3340" spans="2:13" ht="15" customHeight="1" x14ac:dyDescent="0.2">
      <c r="B3340" s="10" t="s">
        <v>909</v>
      </c>
      <c r="C3340" s="10" t="s">
        <v>110</v>
      </c>
      <c r="D3340" s="16">
        <f>D3339/(Inputs!$D$7+$D$3346)^D3320</f>
        <v>-12720.978513620457</v>
      </c>
      <c r="E3340" s="16">
        <f>E3339/(Inputs!$D$7+$D$3346)^E3320</f>
        <v>-10507.645335017229</v>
      </c>
      <c r="F3340" s="16">
        <f>F3339/(Inputs!$D$7+$D$3346)^F3320</f>
        <v>-765.53972999406801</v>
      </c>
      <c r="G3340" s="16">
        <f>G3339/(Inputs!$D$7+$D$3346)^G3320</f>
        <v>11063.312025287134</v>
      </c>
      <c r="H3340" s="16">
        <f>H3339/(Inputs!$D$7+$D$3346)^H3320</f>
        <v>1726.3654197702374</v>
      </c>
      <c r="I3340" s="16">
        <f>I3339/(Inputs!$D$7+$D$3346)^I3320</f>
        <v>-1596.7048660484727</v>
      </c>
      <c r="J3340" s="16">
        <f>J3339/(Inputs!$D$7+$D$3346)^J3320</f>
        <v>1479.9241683644891</v>
      </c>
      <c r="K3340" s="16">
        <f>K3339/(Inputs!$D$7+$D$3346)^K3320</f>
        <v>8131.8646093880325</v>
      </c>
      <c r="L3340" s="16">
        <f>L3339/(Inputs!$D$7+$D$3346)^L3320</f>
        <v>1268.9301203666046</v>
      </c>
      <c r="M3340" s="16">
        <f>M3339/(Inputs!$D$7+$D$3346)^M3320</f>
        <v>-1173.6257426509894</v>
      </c>
    </row>
    <row r="3341" spans="2:13" ht="15" customHeight="1" x14ac:dyDescent="0.2">
      <c r="B3341" s="3" t="s">
        <v>910</v>
      </c>
      <c r="C3341" s="10" t="s">
        <v>896</v>
      </c>
      <c r="D3341" s="28">
        <f>(D3327*$D$3345-D3331)/(Inputs!$D$7+$D$3346)^D3320</f>
        <v>53.293199930848452</v>
      </c>
      <c r="E3341" s="28">
        <f>(E3327*$D$3345-E3331)/(Inputs!$D$7+$D$3346)^E3320</f>
        <v>202.06123352613673</v>
      </c>
      <c r="F3341" s="28">
        <f>(F3327*$D$3345-F3331)/(Inputs!$D$7+$D$3346)^F3320</f>
        <v>311.68042285055395</v>
      </c>
      <c r="G3341" s="28">
        <f>(G3327*$D$3345-G3331)/(Inputs!$D$7+$D$3346)^G3320</f>
        <v>342.22388871764184</v>
      </c>
      <c r="H3341" s="28">
        <f>(H3327*$D$3345-H3331)/(Inputs!$D$7+$D$3346)^H3320</f>
        <v>316.89066343255809</v>
      </c>
      <c r="I3341" s="28">
        <f>(I3327*$D$3345-I3331)/(Inputs!$D$7+$D$3346)^I3320</f>
        <v>293.37091562707695</v>
      </c>
      <c r="J3341" s="28">
        <f>(J3327*$D$3345-J3331)/(Inputs!$D$7+$D$3346)^J3320</f>
        <v>271.65404622464905</v>
      </c>
      <c r="K3341" s="28">
        <f>(K3327*$D$3345-K3331)/(Inputs!$D$7+$D$3346)^K3320</f>
        <v>251.54477454755809</v>
      </c>
      <c r="L3341" s="28">
        <f>(L3327*$D$3345-L3331)/(Inputs!$D$7+$D$3346)^L3320</f>
        <v>232.92409769540356</v>
      </c>
      <c r="M3341" s="28">
        <f>(M3327*$D$3345-M3331)/(Inputs!$D$7+$D$3346)^M3320</f>
        <v>215.63638092813108</v>
      </c>
    </row>
    <row r="3342" spans="2:13" ht="15" customHeight="1" x14ac:dyDescent="0.2">
      <c r="B3342" s="10" t="s">
        <v>911</v>
      </c>
      <c r="C3342" s="10" t="s">
        <v>110</v>
      </c>
      <c r="D3342" s="16">
        <f>(-D3329-D3330)/(Inputs!$D$7+$D$3346)^D3320</f>
        <v>-14728.303038392241</v>
      </c>
      <c r="E3342" s="16">
        <f>(-E3329-E3330)/(Inputs!$D$7+$D$3346)^E3320</f>
        <v>-18180.216908055725</v>
      </c>
      <c r="F3342" s="16">
        <f>(-F3329-F3330)/(Inputs!$D$7+$D$3346)^F3320</f>
        <v>-12625.815702688111</v>
      </c>
      <c r="G3342" s="16">
        <f>(-G3329-G3330)/(Inputs!$D$7+$D$3346)^G3320</f>
        <v>-1981.9720696655354</v>
      </c>
      <c r="H3342" s="16">
        <f>(-H3329-H3330)/(Inputs!$D$7+$D$3346)^H3320</f>
        <v>-10353.237634844469</v>
      </c>
      <c r="I3342" s="16">
        <f>(-I3329-I3330)/(Inputs!$D$7+$D$3346)^I3320</f>
        <v>-12779.755102232404</v>
      </c>
      <c r="J3342" s="16">
        <f>(-J3329-J3330)/(Inputs!$D$7+$D$3346)^J3320</f>
        <v>-8875.2974434962562</v>
      </c>
      <c r="K3342" s="16">
        <f>(-K3329-K3330)/(Inputs!$D$7+$D$3346)^K3320</f>
        <v>-1456.8086386129401</v>
      </c>
      <c r="L3342" s="16">
        <f>(-L3329-L3330)/(Inputs!$D$7+$D$3346)^L3320</f>
        <v>-7609.9387347064285</v>
      </c>
      <c r="M3342" s="16">
        <f>(-M3329-M3330)/(Inputs!$D$7+$D$3346)^M3320</f>
        <v>-9393.5015115686074</v>
      </c>
    </row>
    <row r="3343" spans="2:13" ht="15" customHeight="1" x14ac:dyDescent="0.2">
      <c r="B3343" s="10" t="s">
        <v>912</v>
      </c>
      <c r="C3343" s="10" t="s">
        <v>110</v>
      </c>
      <c r="D3343" s="16">
        <f>Prices!I9</f>
        <v>21850</v>
      </c>
    </row>
    <row r="3344" spans="2:13" ht="15" customHeight="1" x14ac:dyDescent="0.2">
      <c r="B3344" s="3" t="s">
        <v>913</v>
      </c>
      <c r="C3344" s="10" t="s">
        <v>914</v>
      </c>
      <c r="D3344" s="28">
        <f>IF(J3351&gt;=J3347,J3351,(D3343-J3350)/J3349)</f>
        <v>42.054919037485469</v>
      </c>
      <c r="G3344" s="99" t="s">
        <v>915</v>
      </c>
      <c r="H3344" s="91"/>
      <c r="I3344" s="91"/>
      <c r="J3344" s="28">
        <f>D3344*Inputs!$D$15</f>
        <v>29.350127996261108</v>
      </c>
      <c r="K3344" s="99" t="s">
        <v>916</v>
      </c>
      <c r="L3344" s="91"/>
      <c r="M3344" s="91"/>
    </row>
    <row r="3345" spans="2:13" ht="15" customHeight="1" x14ac:dyDescent="0.2">
      <c r="B3345" s="10" t="s">
        <v>917</v>
      </c>
      <c r="C3345" s="10" t="s">
        <v>104</v>
      </c>
      <c r="D3345" s="30">
        <f>Inputs!$D$140</f>
        <v>0.5</v>
      </c>
      <c r="G3345" s="99" t="s">
        <v>918</v>
      </c>
      <c r="H3345" s="91"/>
      <c r="I3345" s="91"/>
      <c r="J3345" s="28">
        <f>IF(-D3356/D3355&gt;=J3347,-D3356/D3355,-J3350/J3349)</f>
        <v>37.248891644724878</v>
      </c>
      <c r="K3345" s="99" t="s">
        <v>919</v>
      </c>
      <c r="L3345" s="91"/>
      <c r="M3345" s="91"/>
    </row>
    <row r="3346" spans="2:13" ht="15" customHeight="1" x14ac:dyDescent="0.2">
      <c r="B3346" s="10" t="s">
        <v>920</v>
      </c>
      <c r="C3346" s="10" t="s">
        <v>104</v>
      </c>
      <c r="D3346" s="30">
        <f>Inputs!$D$146</f>
        <v>0.08</v>
      </c>
      <c r="G3346" s="99" t="s">
        <v>918</v>
      </c>
      <c r="H3346" s="91"/>
      <c r="I3346" s="91"/>
      <c r="J3346" s="28">
        <f>J3345*Inputs!$D$15</f>
        <v>25.99600147885349</v>
      </c>
      <c r="K3346" s="99" t="s">
        <v>916</v>
      </c>
      <c r="L3346" s="91"/>
      <c r="M3346" s="91"/>
    </row>
    <row r="3347" spans="2:13" ht="15" customHeight="1" x14ac:dyDescent="0.2">
      <c r="B3347" s="3" t="s">
        <v>921</v>
      </c>
      <c r="C3347" s="10" t="s">
        <v>848</v>
      </c>
      <c r="D3347" s="28">
        <f>Capital!$D$13</f>
        <v>57.347931490590682</v>
      </c>
      <c r="G3347" s="99" t="s">
        <v>922</v>
      </c>
      <c r="H3347" s="91"/>
      <c r="I3347" s="91"/>
      <c r="J3347" s="28">
        <f>($D$3347/Inputs!$D$21+$D$3348/Inputs!$D$22)/$D$3345</f>
        <v>28.93569229571456</v>
      </c>
      <c r="K3347" s="99" t="s">
        <v>919</v>
      </c>
      <c r="L3347" s="91"/>
      <c r="M3347" s="91"/>
    </row>
    <row r="3348" spans="2:13" ht="15" customHeight="1" x14ac:dyDescent="0.2">
      <c r="B3348" s="3" t="s">
        <v>923</v>
      </c>
      <c r="C3348" s="10" t="s">
        <v>848</v>
      </c>
      <c r="D3348" s="28">
        <f>Capital!$D$14</f>
        <v>2.6172655041921802</v>
      </c>
    </row>
    <row r="3349" spans="2:13" ht="15" customHeight="1" x14ac:dyDescent="0.2">
      <c r="B3349" s="10" t="s">
        <v>924</v>
      </c>
      <c r="C3349" s="10" t="s">
        <v>896</v>
      </c>
      <c r="D3349" s="28">
        <f>(M3322*(Inputs!$D$7+Inputs!$D$20)*$D$3345*(Inputs!$D$7-Inputs!$D$19)-M3322*Inputs!$D$20*Inputs!$D$23)/($D$3346-Inputs!$D$20)/(Inputs!$D$7+$D$3346)^M3320</f>
        <v>2808.1737789049789</v>
      </c>
      <c r="G3349" s="92" t="s">
        <v>910</v>
      </c>
      <c r="H3349" s="91"/>
      <c r="I3349" s="91"/>
      <c r="J3349" s="28">
        <f>SUM(D3341:M3341)+(M3322*(Inputs!$D$7+Inputs!$D$20)*$D$3345-M3322*Inputs!$D$20*Inputs!$D$23)/($D$3346-Inputs!$D$20)/(Inputs!$D$7+$D$3346)^M3320</f>
        <v>6505.0568048473606</v>
      </c>
      <c r="K3349" s="99" t="s">
        <v>896</v>
      </c>
      <c r="L3349" s="91"/>
      <c r="M3349" s="91"/>
    </row>
    <row r="3350" spans="2:13" ht="15" customHeight="1" x14ac:dyDescent="0.2">
      <c r="B3350" s="10" t="s">
        <v>925</v>
      </c>
      <c r="C3350" s="10" t="s">
        <v>110</v>
      </c>
      <c r="D3350" s="16">
        <f>(D3353*Inputs!$D$19-D3353-D3354)/($D$3346-Inputs!$D$20)/(Inputs!$D$7+$D$3346)^M3320</f>
        <v>-93153.423070883771</v>
      </c>
      <c r="G3350" s="92" t="s">
        <v>926</v>
      </c>
      <c r="H3350" s="91"/>
      <c r="I3350" s="91"/>
      <c r="J3350" s="16">
        <f>SUM(D3342:M3342)-(D3353+D3354)/($D$3346-Inputs!$D$20)/(Inputs!$D$7+$D$3346)^M3320</f>
        <v>-226023.23893944838</v>
      </c>
      <c r="K3350" s="99" t="s">
        <v>110</v>
      </c>
      <c r="L3350" s="91"/>
      <c r="M3350" s="91"/>
    </row>
    <row r="3351" spans="2:13" ht="15" customHeight="1" x14ac:dyDescent="0.2">
      <c r="B3351" s="10" t="s">
        <v>927</v>
      </c>
      <c r="C3351" s="10" t="s">
        <v>928</v>
      </c>
      <c r="D3351" s="16">
        <f>(M3322*(Inputs!$D$7+Inputs!$D$20)*$D$3344*$D$3345-D3353)-MAX((M3322*(Inputs!$D$7+Inputs!$D$20)*$D$3344*$D$3345-D3353),Inputs!$D$6)*Inputs!$D$19-D3354-M3322*Inputs!$D$20*$D$3344*Inputs!$D$23</f>
        <v>2897.9897016958471</v>
      </c>
      <c r="G3351" s="99" t="s">
        <v>929</v>
      </c>
      <c r="H3351" s="91"/>
      <c r="I3351" s="91"/>
      <c r="J3351" s="28">
        <f>(D3343-D3356)/D3355</f>
        <v>42.054919037485469</v>
      </c>
      <c r="K3351" s="99" t="s">
        <v>919</v>
      </c>
      <c r="L3351" s="91"/>
      <c r="M3351" s="91"/>
    </row>
    <row r="3352" spans="2:13" ht="15" customHeight="1" x14ac:dyDescent="0.2">
      <c r="B3352" s="10" t="s">
        <v>930</v>
      </c>
      <c r="C3352" s="10" t="s">
        <v>110</v>
      </c>
      <c r="D3352" s="16">
        <f>D3351/($D$3346-Inputs!$D$20)</f>
        <v>52690.721849015405</v>
      </c>
      <c r="G3352" s="99" t="s">
        <v>931</v>
      </c>
      <c r="H3352" s="91"/>
      <c r="I3352" s="91"/>
      <c r="J3352" s="16">
        <f>MIN(D3336:M3336,(M3322*(Inputs!$D$7+Inputs!$D$20)*$D$3344*$D$3345-D3353))</f>
        <v>823.80392890498001</v>
      </c>
      <c r="K3352" s="99" t="s">
        <v>110</v>
      </c>
      <c r="L3352" s="91"/>
      <c r="M3352" s="91"/>
    </row>
    <row r="3353" spans="2:13" ht="15" customHeight="1" x14ac:dyDescent="0.2">
      <c r="B3353" s="10" t="s">
        <v>932</v>
      </c>
      <c r="C3353" s="10" t="s">
        <v>928</v>
      </c>
      <c r="D3353" s="16">
        <f>M3322*(Inputs!$D$7+Inputs!$D$20)*($D$3347/Inputs!$D$21+$D$3348/Inputs!$D$22)</f>
        <v>13509.71303671543</v>
      </c>
      <c r="G3353" s="99" t="s">
        <v>933</v>
      </c>
      <c r="H3353" s="91"/>
      <c r="I3353" s="91"/>
      <c r="J3353" s="31" t="str">
        <f>IF(J3352&lt;Inputs!$D$6,"breached","satisfied")</f>
        <v>satisfied</v>
      </c>
      <c r="K3353" s="99" t="s">
        <v>934</v>
      </c>
      <c r="L3353" s="91"/>
      <c r="M3353" s="91"/>
    </row>
    <row r="3354" spans="2:13" ht="15" customHeight="1" x14ac:dyDescent="0.2">
      <c r="B3354" s="10" t="s">
        <v>935</v>
      </c>
      <c r="C3354" s="10" t="s">
        <v>928</v>
      </c>
      <c r="D3354" s="16">
        <f>M3322*Inputs!$D$20*($D$3347+$D$3348)</f>
        <v>1365.7073615561799</v>
      </c>
    </row>
    <row r="3355" spans="2:13" ht="15" customHeight="1" x14ac:dyDescent="0.2">
      <c r="B3355" s="10" t="s">
        <v>936</v>
      </c>
      <c r="C3355" s="10" t="s">
        <v>896</v>
      </c>
      <c r="D3355" s="28">
        <f>SUM(D3332:M3332)+D3349</f>
        <v>4546.3744199446473</v>
      </c>
      <c r="G3355" s="99" t="s">
        <v>937</v>
      </c>
      <c r="H3355" s="91"/>
      <c r="I3355" s="91"/>
      <c r="J3355" s="16">
        <f>D3357-D3343</f>
        <v>0</v>
      </c>
      <c r="K3355" s="99" t="s">
        <v>110</v>
      </c>
      <c r="L3355" s="91"/>
      <c r="M3355" s="91"/>
    </row>
    <row r="3356" spans="2:13" ht="15" customHeight="1" x14ac:dyDescent="0.2">
      <c r="B3356" s="10" t="s">
        <v>938</v>
      </c>
      <c r="C3356" s="10" t="s">
        <v>110</v>
      </c>
      <c r="D3356" s="16">
        <f>SUM(D3333:M3333)+D3350</f>
        <v>-169347.40814486711</v>
      </c>
    </row>
    <row r="3357" spans="2:13" ht="15" customHeight="1" x14ac:dyDescent="0.2">
      <c r="B3357" s="10" t="s">
        <v>939</v>
      </c>
      <c r="C3357" s="10" t="s">
        <v>110</v>
      </c>
      <c r="D3357" s="16">
        <f>SUM(D3340:M3340)+D3352/(Inputs!$D$7+$D$3346)^M3320</f>
        <v>21850.000000000025</v>
      </c>
    </row>
    <row r="3358" spans="2:13" ht="15" customHeight="1" x14ac:dyDescent="0.2">
      <c r="B3358" s="10" t="s">
        <v>940</v>
      </c>
      <c r="C3358" s="10" t="s">
        <v>104</v>
      </c>
      <c r="D3358" s="30">
        <f>IF(ABS(D3343)&gt;Inputs!$D$6,D3357/D3343-Inputs!$D$7,Inputs!$D$6)</f>
        <v>1.1102230246251565E-15</v>
      </c>
    </row>
    <row r="3359" spans="2:13" ht="15" customHeight="1" x14ac:dyDescent="0.2">
      <c r="B3359" s="10" t="s">
        <v>941</v>
      </c>
      <c r="C3359" s="10" t="s">
        <v>104</v>
      </c>
      <c r="D3359" s="30">
        <f>IF(ABS(D3357)&gt;Inputs!$D$119,D3352/(Inputs!$D$7+$D$3346)^M3320/D3357,Inputs!$D$6)</f>
        <v>1.1416063086569663</v>
      </c>
    </row>
    <row r="3360" spans="2:13" ht="15" customHeight="1" x14ac:dyDescent="0.2">
      <c r="B3360" s="10" t="s">
        <v>942</v>
      </c>
      <c r="C3360" s="10" t="s">
        <v>943</v>
      </c>
      <c r="D3360" s="26">
        <f>$D$3344*Inputs!$D$8/Prices!$P$6/(Inputs!$D$26/Inputs!$D$25)/Inputs!$D$11/Inputs!$D$56</f>
        <v>7.6478147697225927</v>
      </c>
    </row>
    <row r="3364" spans="1:13" ht="15" customHeight="1" x14ac:dyDescent="0.2">
      <c r="A3364" s="104" t="s">
        <v>2238</v>
      </c>
      <c r="B3364" s="10" t="s">
        <v>886</v>
      </c>
      <c r="C3364" s="10" t="s">
        <v>107</v>
      </c>
      <c r="D3364" s="28">
        <f>Inputs!$D$60</f>
        <v>1</v>
      </c>
      <c r="E3364" s="28">
        <f>Inputs!$D$62</f>
        <v>2</v>
      </c>
      <c r="F3364" s="28">
        <f>Inputs!$D$64</f>
        <v>3</v>
      </c>
      <c r="G3364" s="28">
        <f>Inputs!$D$66</f>
        <v>4</v>
      </c>
      <c r="H3364" s="28">
        <f>Inputs!$D$68</f>
        <v>5</v>
      </c>
      <c r="I3364" s="28">
        <f>Inputs!$D$70</f>
        <v>6</v>
      </c>
      <c r="J3364" s="28">
        <f>Inputs!$D$72</f>
        <v>7</v>
      </c>
      <c r="K3364" s="28">
        <f>Inputs!$D$74</f>
        <v>8</v>
      </c>
      <c r="L3364" s="28">
        <f>Inputs!$D$76</f>
        <v>9</v>
      </c>
      <c r="M3364" s="28">
        <f>Inputs!$D$78</f>
        <v>10</v>
      </c>
    </row>
    <row r="3365" spans="1:13" ht="15" customHeight="1" x14ac:dyDescent="0.2">
      <c r="A3365" s="91"/>
      <c r="B3365" s="10" t="s">
        <v>887</v>
      </c>
      <c r="C3365" s="10" t="s">
        <v>161</v>
      </c>
      <c r="D3365" s="29">
        <f>Inputs!$D$61</f>
        <v>46568</v>
      </c>
      <c r="E3365" s="29">
        <f>Inputs!$D$63</f>
        <v>46934</v>
      </c>
      <c r="F3365" s="29">
        <f>Inputs!$D$65</f>
        <v>47299</v>
      </c>
      <c r="G3365" s="29">
        <f>Inputs!$D$67</f>
        <v>47664</v>
      </c>
      <c r="H3365" s="29">
        <f>Inputs!$D$69</f>
        <v>48029</v>
      </c>
      <c r="I3365" s="29">
        <f>Inputs!$D$71</f>
        <v>48395</v>
      </c>
      <c r="J3365" s="29">
        <f>Inputs!$D$73</f>
        <v>48760</v>
      </c>
      <c r="K3365" s="29">
        <f>Inputs!$D$75</f>
        <v>49125</v>
      </c>
      <c r="L3365" s="29">
        <f>Inputs!$D$77</f>
        <v>49490</v>
      </c>
      <c r="M3365" s="29">
        <f>Inputs!$D$79</f>
        <v>49856</v>
      </c>
    </row>
    <row r="3366" spans="1:13" ht="15" customHeight="1" x14ac:dyDescent="0.2">
      <c r="A3366" s="91"/>
      <c r="B3366" s="10" t="s">
        <v>888</v>
      </c>
      <c r="C3366" s="10" t="s">
        <v>107</v>
      </c>
      <c r="D3366" s="28">
        <f>(D3365-Inputs!$D$13)/Inputs!$D$10</f>
        <v>0.71457905544147848</v>
      </c>
      <c r="E3366" s="28">
        <f>(E3365-Inputs!$D$13)/Inputs!$D$10</f>
        <v>1.7166324435318274</v>
      </c>
      <c r="F3366" s="28">
        <f>(F3365-Inputs!$D$13)/Inputs!$D$10</f>
        <v>2.7159479808350446</v>
      </c>
      <c r="G3366" s="28">
        <f>(G3365-Inputs!$D$13)/Inputs!$D$10</f>
        <v>3.7152635181382614</v>
      </c>
      <c r="H3366" s="28">
        <f>(H3365-Inputs!$D$13)/Inputs!$D$10</f>
        <v>4.7145790554414786</v>
      </c>
      <c r="I3366" s="28">
        <f>(I3365-Inputs!$D$13)/Inputs!$D$10</f>
        <v>5.7166324435318279</v>
      </c>
      <c r="J3366" s="28">
        <f>(J3365-Inputs!$D$13)/Inputs!$D$10</f>
        <v>6.7159479808350442</v>
      </c>
      <c r="K3366" s="28">
        <f>(K3365-Inputs!$D$13)/Inputs!$D$10</f>
        <v>7.7152635181382614</v>
      </c>
      <c r="L3366" s="28">
        <f>(L3365-Inputs!$D$13)/Inputs!$D$10</f>
        <v>8.7145790554414777</v>
      </c>
      <c r="M3366" s="28">
        <f>(M3365-Inputs!$D$13)/Inputs!$D$10</f>
        <v>9.716632443531827</v>
      </c>
    </row>
    <row r="3367" spans="1:13" ht="15" customHeight="1" x14ac:dyDescent="0.2">
      <c r="A3367" s="91"/>
      <c r="B3367" s="10" t="s">
        <v>889</v>
      </c>
      <c r="C3367" s="10" t="s">
        <v>107</v>
      </c>
      <c r="D3367" s="28">
        <f>D3366</f>
        <v>0.71457905544147848</v>
      </c>
      <c r="E3367" s="28">
        <f>Inputs!$D$7</f>
        <v>1</v>
      </c>
      <c r="F3367" s="28">
        <f>Inputs!$D$7</f>
        <v>1</v>
      </c>
      <c r="G3367" s="28">
        <f>Inputs!$D$7</f>
        <v>1</v>
      </c>
      <c r="H3367" s="28">
        <f>Inputs!$D$7</f>
        <v>1</v>
      </c>
      <c r="I3367" s="28">
        <f>Inputs!$D$7</f>
        <v>1</v>
      </c>
      <c r="J3367" s="28">
        <f>Inputs!$D$7</f>
        <v>1</v>
      </c>
      <c r="K3367" s="28">
        <f>Inputs!$D$7</f>
        <v>1</v>
      </c>
      <c r="L3367" s="28">
        <f>Inputs!$D$7</f>
        <v>1</v>
      </c>
      <c r="M3367" s="28">
        <f>Inputs!$D$7</f>
        <v>1</v>
      </c>
    </row>
    <row r="3368" spans="1:13" ht="15" customHeight="1" x14ac:dyDescent="0.2">
      <c r="A3368" s="91"/>
      <c r="B3368" s="3" t="s">
        <v>890</v>
      </c>
      <c r="C3368" s="10" t="s">
        <v>199</v>
      </c>
      <c r="D3368" s="28">
        <f>Inputs!$D$24+(Inputs!$D$80-Inputs!$D$24)*Inputs!$D$83</f>
        <v>305.5</v>
      </c>
      <c r="E3368" s="28">
        <f>Inputs!$D$24+(Inputs!$D$80-Inputs!$D$24)*Inputs!$D$84</f>
        <v>651.5</v>
      </c>
      <c r="F3368" s="28">
        <f>Inputs!$D$24+(Inputs!$D$80-Inputs!$D$24)*Inputs!$D$85</f>
        <v>911</v>
      </c>
      <c r="G3368" s="28">
        <f>Inputs!$D$24+(Inputs!$D$80-Inputs!$D$24)*Inputs!$D$86</f>
        <v>911</v>
      </c>
      <c r="H3368" s="28">
        <f>Inputs!$D$24+(Inputs!$D$80-Inputs!$D$24)*Inputs!$D$87</f>
        <v>911</v>
      </c>
      <c r="I3368" s="28">
        <f>Inputs!$D$24+(Inputs!$D$80-Inputs!$D$24)*Inputs!$D$88</f>
        <v>911</v>
      </c>
      <c r="J3368" s="28">
        <f>Inputs!$D$24+(Inputs!$D$80-Inputs!$D$24)*Inputs!$D$89</f>
        <v>911</v>
      </c>
      <c r="K3368" s="28">
        <f>Inputs!$D$24+(Inputs!$D$80-Inputs!$D$24)*Inputs!$D$90</f>
        <v>911</v>
      </c>
      <c r="L3368" s="28">
        <f>Inputs!$D$24+(Inputs!$D$80-Inputs!$D$24)*Inputs!$D$91</f>
        <v>911</v>
      </c>
      <c r="M3368" s="28">
        <f>Inputs!$D$24+(Inputs!$D$80-Inputs!$D$24)*Inputs!$D$92</f>
        <v>911</v>
      </c>
    </row>
    <row r="3369" spans="1:13" ht="15" customHeight="1" x14ac:dyDescent="0.2">
      <c r="A3369" s="91"/>
      <c r="B3369" s="10" t="s">
        <v>891</v>
      </c>
      <c r="C3369" s="10" t="s">
        <v>199</v>
      </c>
      <c r="D3369" s="28">
        <f>Inputs!$D$24</f>
        <v>46</v>
      </c>
      <c r="E3369" s="28">
        <f t="shared" ref="E3369:M3369" si="730">D3368</f>
        <v>305.5</v>
      </c>
      <c r="F3369" s="28">
        <f t="shared" si="730"/>
        <v>651.5</v>
      </c>
      <c r="G3369" s="28">
        <f t="shared" si="730"/>
        <v>911</v>
      </c>
      <c r="H3369" s="28">
        <f t="shared" si="730"/>
        <v>911</v>
      </c>
      <c r="I3369" s="28">
        <f t="shared" si="730"/>
        <v>911</v>
      </c>
      <c r="J3369" s="28">
        <f t="shared" si="730"/>
        <v>911</v>
      </c>
      <c r="K3369" s="28">
        <f t="shared" si="730"/>
        <v>911</v>
      </c>
      <c r="L3369" s="28">
        <f t="shared" si="730"/>
        <v>911</v>
      </c>
      <c r="M3369" s="28">
        <f t="shared" si="730"/>
        <v>911</v>
      </c>
    </row>
    <row r="3370" spans="1:13" ht="15" customHeight="1" x14ac:dyDescent="0.2">
      <c r="B3370" s="10" t="s">
        <v>892</v>
      </c>
      <c r="C3370" s="10" t="s">
        <v>199</v>
      </c>
      <c r="D3370" s="28">
        <f>(D3369+D3368)*Inputs!$D$12</f>
        <v>175.75</v>
      </c>
      <c r="E3370" s="28">
        <f>(E3369+E3368)*Inputs!$D$12</f>
        <v>478.5</v>
      </c>
      <c r="F3370" s="28">
        <f>(F3369+F3368)*Inputs!$D$12</f>
        <v>781.25</v>
      </c>
      <c r="G3370" s="28">
        <f>(G3369+G3368)*Inputs!$D$12</f>
        <v>911</v>
      </c>
      <c r="H3370" s="28">
        <f>(H3369+H3368)*Inputs!$D$12</f>
        <v>911</v>
      </c>
      <c r="I3370" s="28">
        <f>(I3369+I3368)*Inputs!$D$12</f>
        <v>911</v>
      </c>
      <c r="J3370" s="28">
        <f>(J3369+J3368)*Inputs!$D$12</f>
        <v>911</v>
      </c>
      <c r="K3370" s="28">
        <f>(K3369+K3368)*Inputs!$D$12</f>
        <v>911</v>
      </c>
      <c r="L3370" s="28">
        <f>(L3369+L3368)*Inputs!$D$12</f>
        <v>911</v>
      </c>
      <c r="M3370" s="28">
        <f>(M3369+M3368)*Inputs!$D$12</f>
        <v>911</v>
      </c>
    </row>
    <row r="3371" spans="1:13" ht="15" customHeight="1" x14ac:dyDescent="0.2">
      <c r="B3371" s="10" t="s">
        <v>893</v>
      </c>
      <c r="C3371" s="10" t="s">
        <v>199</v>
      </c>
      <c r="D3371" s="28">
        <f t="shared" ref="D3371:M3371" si="731">D3368-D3369</f>
        <v>259.5</v>
      </c>
      <c r="E3371" s="28">
        <f t="shared" si="731"/>
        <v>346</v>
      </c>
      <c r="F3371" s="28">
        <f t="shared" si="731"/>
        <v>259.5</v>
      </c>
      <c r="G3371" s="28">
        <f t="shared" si="731"/>
        <v>0</v>
      </c>
      <c r="H3371" s="28">
        <f t="shared" si="731"/>
        <v>0</v>
      </c>
      <c r="I3371" s="28">
        <f t="shared" si="731"/>
        <v>0</v>
      </c>
      <c r="J3371" s="28">
        <f t="shared" si="731"/>
        <v>0</v>
      </c>
      <c r="K3371" s="28">
        <f t="shared" si="731"/>
        <v>0</v>
      </c>
      <c r="L3371" s="28">
        <f t="shared" si="731"/>
        <v>0</v>
      </c>
      <c r="M3371" s="28">
        <f t="shared" si="731"/>
        <v>0</v>
      </c>
    </row>
    <row r="3372" spans="1:13" ht="15" customHeight="1" x14ac:dyDescent="0.2">
      <c r="B3372" s="10" t="s">
        <v>894</v>
      </c>
      <c r="C3372" s="10" t="s">
        <v>199</v>
      </c>
      <c r="D3372" s="28">
        <f>IF(MOD(D3364,Inputs!$D$21)=Inputs!$D$6,Inputs!$D$24,Inputs!$D$6)+SUMPRODUCT(--(D3364&gt;$D$3364:$M$3364),--(MOD(D3364-$D$3364:$M$3364,Inputs!$D$21)=Inputs!$D$6),$D$3371:$M$3371)</f>
        <v>0</v>
      </c>
      <c r="E3372" s="28">
        <f>IF(MOD(E3364,Inputs!$D$21)=Inputs!$D$6,Inputs!$D$24,Inputs!$D$6)+SUMPRODUCT(--(E3364&gt;$D$3364:$M$3364),--(MOD(E3364-$D$3364:$M$3364,Inputs!$D$21)=Inputs!$D$6),$D$3371:$M$3371)</f>
        <v>0</v>
      </c>
      <c r="F3372" s="28">
        <f>IF(MOD(F3364,Inputs!$D$21)=Inputs!$D$6,Inputs!$D$24,Inputs!$D$6)+SUMPRODUCT(--(F3364&gt;$D$3364:$M$3364),--(MOD(F3364-$D$3364:$M$3364,Inputs!$D$21)=Inputs!$D$6),$D$3371:$M$3371)</f>
        <v>0</v>
      </c>
      <c r="G3372" s="28">
        <f>IF(MOD(G3364,Inputs!$D$21)=Inputs!$D$6,Inputs!$D$24,Inputs!$D$6)+SUMPRODUCT(--(G3364&gt;$D$3364:$M$3364),--(MOD(G3364-$D$3364:$M$3364,Inputs!$D$21)=Inputs!$D$6),$D$3371:$M$3371)</f>
        <v>46</v>
      </c>
      <c r="H3372" s="28">
        <f>IF(MOD(H3364,Inputs!$D$21)=Inputs!$D$6,Inputs!$D$24,Inputs!$D$6)+SUMPRODUCT(--(H3364&gt;$D$3364:$M$3364),--(MOD(H3364-$D$3364:$M$3364,Inputs!$D$21)=Inputs!$D$6),$D$3371:$M$3371)</f>
        <v>259.5</v>
      </c>
      <c r="I3372" s="28">
        <f>IF(MOD(I3364,Inputs!$D$21)=Inputs!$D$6,Inputs!$D$24,Inputs!$D$6)+SUMPRODUCT(--(I3364&gt;$D$3364:$M$3364),--(MOD(I3364-$D$3364:$M$3364,Inputs!$D$21)=Inputs!$D$6),$D$3371:$M$3371)</f>
        <v>346</v>
      </c>
      <c r="J3372" s="28">
        <f>IF(MOD(J3364,Inputs!$D$21)=Inputs!$D$6,Inputs!$D$24,Inputs!$D$6)+SUMPRODUCT(--(J3364&gt;$D$3364:$M$3364),--(MOD(J3364-$D$3364:$M$3364,Inputs!$D$21)=Inputs!$D$6),$D$3371:$M$3371)</f>
        <v>259.5</v>
      </c>
      <c r="K3372" s="28">
        <f>IF(MOD(K3364,Inputs!$D$21)=Inputs!$D$6,Inputs!$D$24,Inputs!$D$6)+SUMPRODUCT(--(K3364&gt;$D$3364:$M$3364),--(MOD(K3364-$D$3364:$M$3364,Inputs!$D$21)=Inputs!$D$6),$D$3371:$M$3371)</f>
        <v>46</v>
      </c>
      <c r="L3372" s="28">
        <f>IF(MOD(L3364,Inputs!$D$21)=Inputs!$D$6,Inputs!$D$24,Inputs!$D$6)+SUMPRODUCT(--(L3364&gt;$D$3364:$M$3364),--(MOD(L3364-$D$3364:$M$3364,Inputs!$D$21)=Inputs!$D$6),$D$3371:$M$3371)</f>
        <v>259.5</v>
      </c>
      <c r="M3372" s="28">
        <f>IF(MOD(M3364,Inputs!$D$21)=Inputs!$D$6,Inputs!$D$24,Inputs!$D$6)+SUMPRODUCT(--(M3364&gt;$D$3364:$M$3364),--(MOD(M3364-$D$3364:$M$3364,Inputs!$D$21)=Inputs!$D$6),$D$3371:$M$3371)</f>
        <v>346</v>
      </c>
    </row>
    <row r="3373" spans="1:13" ht="15" customHeight="1" x14ac:dyDescent="0.2">
      <c r="B3373" s="10" t="s">
        <v>895</v>
      </c>
      <c r="C3373" s="10" t="s">
        <v>896</v>
      </c>
      <c r="D3373" s="28">
        <f t="shared" ref="D3373:M3373" si="732">D3370*D3367</f>
        <v>125.58726899383984</v>
      </c>
      <c r="E3373" s="28">
        <f t="shared" si="732"/>
        <v>478.5</v>
      </c>
      <c r="F3373" s="28">
        <f t="shared" si="732"/>
        <v>781.25</v>
      </c>
      <c r="G3373" s="28">
        <f t="shared" si="732"/>
        <v>911</v>
      </c>
      <c r="H3373" s="28">
        <f t="shared" si="732"/>
        <v>911</v>
      </c>
      <c r="I3373" s="28">
        <f t="shared" si="732"/>
        <v>911</v>
      </c>
      <c r="J3373" s="28">
        <f t="shared" si="732"/>
        <v>911</v>
      </c>
      <c r="K3373" s="28">
        <f t="shared" si="732"/>
        <v>911</v>
      </c>
      <c r="L3373" s="28">
        <f t="shared" si="732"/>
        <v>911</v>
      </c>
      <c r="M3373" s="28">
        <f t="shared" si="732"/>
        <v>911</v>
      </c>
    </row>
    <row r="3374" spans="1:13" ht="15" customHeight="1" x14ac:dyDescent="0.2">
      <c r="B3374" s="10" t="s">
        <v>897</v>
      </c>
      <c r="C3374" s="10" t="s">
        <v>110</v>
      </c>
      <c r="D3374" s="16">
        <f>D3373*($D$3393/Inputs!$D$21+$D$3394/Inputs!$D$22)</f>
        <v>1816.9772859324419</v>
      </c>
      <c r="E3374" s="16">
        <f>E3373*($D$3393/Inputs!$D$21+$D$3394/Inputs!$D$22)</f>
        <v>6922.8643817497086</v>
      </c>
      <c r="F3374" s="16">
        <f>F3373*($D$3393/Inputs!$D$21+$D$3394/Inputs!$D$22)</f>
        <v>11303.0048030135</v>
      </c>
      <c r="G3374" s="16">
        <f>G3373*($D$3393/Inputs!$D$21+$D$3394/Inputs!$D$22)</f>
        <v>13180.207840697982</v>
      </c>
      <c r="H3374" s="16">
        <f>H3373*($D$3393/Inputs!$D$21+$D$3394/Inputs!$D$22)</f>
        <v>13180.207840697982</v>
      </c>
      <c r="I3374" s="16">
        <f>I3373*($D$3393/Inputs!$D$21+$D$3394/Inputs!$D$22)</f>
        <v>13180.207840697982</v>
      </c>
      <c r="J3374" s="16">
        <f>J3373*($D$3393/Inputs!$D$21+$D$3394/Inputs!$D$22)</f>
        <v>13180.207840697982</v>
      </c>
      <c r="K3374" s="16">
        <f>K3373*($D$3393/Inputs!$D$21+$D$3394/Inputs!$D$22)</f>
        <v>13180.207840697982</v>
      </c>
      <c r="L3374" s="16">
        <f>L3373*($D$3393/Inputs!$D$21+$D$3394/Inputs!$D$22)</f>
        <v>13180.207840697982</v>
      </c>
      <c r="M3374" s="16">
        <f>M3373*($D$3393/Inputs!$D$21+$D$3394/Inputs!$D$22)</f>
        <v>13180.207840697982</v>
      </c>
    </row>
    <row r="3375" spans="1:13" ht="15" customHeight="1" x14ac:dyDescent="0.2">
      <c r="B3375" s="10" t="s">
        <v>898</v>
      </c>
      <c r="C3375" s="10" t="s">
        <v>110</v>
      </c>
      <c r="D3375" s="16">
        <f t="shared" ref="D3375:M3375" si="733">D3371*($D$3393+$D$3394)</f>
        <v>15560.968620146154</v>
      </c>
      <c r="E3375" s="16">
        <f t="shared" si="733"/>
        <v>20747.95816019487</v>
      </c>
      <c r="F3375" s="16">
        <f t="shared" si="733"/>
        <v>15560.968620146154</v>
      </c>
      <c r="G3375" s="16">
        <f t="shared" si="733"/>
        <v>0</v>
      </c>
      <c r="H3375" s="16">
        <f t="shared" si="733"/>
        <v>0</v>
      </c>
      <c r="I3375" s="16">
        <f t="shared" si="733"/>
        <v>0</v>
      </c>
      <c r="J3375" s="16">
        <f t="shared" si="733"/>
        <v>0</v>
      </c>
      <c r="K3375" s="16">
        <f t="shared" si="733"/>
        <v>0</v>
      </c>
      <c r="L3375" s="16">
        <f t="shared" si="733"/>
        <v>0</v>
      </c>
      <c r="M3375" s="16">
        <f t="shared" si="733"/>
        <v>0</v>
      </c>
    </row>
    <row r="3376" spans="1:13" ht="15" customHeight="1" x14ac:dyDescent="0.2">
      <c r="B3376" s="10" t="s">
        <v>899</v>
      </c>
      <c r="C3376" s="10" t="s">
        <v>110</v>
      </c>
      <c r="D3376" s="16">
        <f t="shared" ref="D3376:M3376" si="734">D3372*$D$3393</f>
        <v>0</v>
      </c>
      <c r="E3376" s="16">
        <f t="shared" si="734"/>
        <v>0</v>
      </c>
      <c r="F3376" s="16">
        <f t="shared" si="734"/>
        <v>0</v>
      </c>
      <c r="G3376" s="16">
        <f t="shared" si="734"/>
        <v>2638.0048485671714</v>
      </c>
      <c r="H3376" s="16">
        <f t="shared" si="734"/>
        <v>14881.788221808281</v>
      </c>
      <c r="I3376" s="16">
        <f t="shared" si="734"/>
        <v>19842.384295744378</v>
      </c>
      <c r="J3376" s="16">
        <f t="shared" si="734"/>
        <v>14881.788221808281</v>
      </c>
      <c r="K3376" s="16">
        <f t="shared" si="734"/>
        <v>2638.0048485671714</v>
      </c>
      <c r="L3376" s="16">
        <f t="shared" si="734"/>
        <v>14881.788221808281</v>
      </c>
      <c r="M3376" s="16">
        <f t="shared" si="734"/>
        <v>19842.384295744378</v>
      </c>
    </row>
    <row r="3377" spans="2:13" ht="15" customHeight="1" x14ac:dyDescent="0.2">
      <c r="B3377" s="10" t="s">
        <v>900</v>
      </c>
      <c r="C3377" s="10" t="s">
        <v>199</v>
      </c>
      <c r="D3377" s="28">
        <f>D3371*Inputs!$D$23</f>
        <v>6.4875000000000007</v>
      </c>
      <c r="E3377" s="28">
        <f>E3371*Inputs!$D$23</f>
        <v>8.65</v>
      </c>
      <c r="F3377" s="28">
        <f>F3371*Inputs!$D$23</f>
        <v>6.4875000000000007</v>
      </c>
      <c r="G3377" s="28">
        <f>G3371*Inputs!$D$23</f>
        <v>0</v>
      </c>
      <c r="H3377" s="28">
        <f>H3371*Inputs!$D$23</f>
        <v>0</v>
      </c>
      <c r="I3377" s="28">
        <f>I3371*Inputs!$D$23</f>
        <v>0</v>
      </c>
      <c r="J3377" s="28">
        <f>J3371*Inputs!$D$23</f>
        <v>0</v>
      </c>
      <c r="K3377" s="28">
        <f>K3371*Inputs!$D$23</f>
        <v>0</v>
      </c>
      <c r="L3377" s="28">
        <f>L3371*Inputs!$D$23</f>
        <v>0</v>
      </c>
      <c r="M3377" s="28">
        <f>M3371*Inputs!$D$23</f>
        <v>0</v>
      </c>
    </row>
    <row r="3378" spans="2:13" ht="15" customHeight="1" x14ac:dyDescent="0.2">
      <c r="B3378" s="3" t="s">
        <v>901</v>
      </c>
      <c r="C3378" s="10" t="s">
        <v>896</v>
      </c>
      <c r="D3378" s="28">
        <f>(D3373*$D$3391*(Inputs!$D$7-Inputs!$D$19)-D3377)/(Inputs!$D$7+$D$3392)^D3366</f>
        <v>35.001179305651803</v>
      </c>
      <c r="E3378" s="28">
        <f>(E3373*$D$3391*(Inputs!$D$7-Inputs!$D$19)-E3377)/(Inputs!$D$7+$D$3392)^E3366</f>
        <v>134.85369099155164</v>
      </c>
      <c r="F3378" s="28">
        <f>(F3373*$D$3391*(Inputs!$D$7-Inputs!$D$19)-F3377)/(Inputs!$D$7+$D$3392)^F3366</f>
        <v>206.06752051055432</v>
      </c>
      <c r="G3378" s="28">
        <f>(G3373*$D$3391*(Inputs!$D$7-Inputs!$D$19)-G3377)/(Inputs!$D$7+$D$3392)^G3366</f>
        <v>223.76991053495766</v>
      </c>
      <c r="H3378" s="28">
        <f>(H3373*$D$3391*(Inputs!$D$7-Inputs!$D$19)-H3377)/(Inputs!$D$7+$D$3392)^H3366</f>
        <v>203.44046265799324</v>
      </c>
      <c r="I3378" s="28">
        <f>(I3373*$D$3391*(Inputs!$D$7-Inputs!$D$19)-I3377)/(Inputs!$D$7+$D$3392)^I3366</f>
        <v>184.9096831522028</v>
      </c>
      <c r="J3378" s="28">
        <f>(J3373*$D$3391*(Inputs!$D$7-Inputs!$D$19)-J3377)/(Inputs!$D$7+$D$3392)^J3366</f>
        <v>168.11067851122158</v>
      </c>
      <c r="K3378" s="28">
        <f>(K3373*$D$3391*(Inputs!$D$7-Inputs!$D$19)-K3377)/(Inputs!$D$7+$D$3392)^K3366</f>
        <v>152.83785980121411</v>
      </c>
      <c r="L3378" s="28">
        <f>(L3373*$D$3391*(Inputs!$D$7-Inputs!$D$19)-L3377)/(Inputs!$D$7+$D$3392)^L3366</f>
        <v>138.95257336110456</v>
      </c>
      <c r="M3378" s="28">
        <f>(M3373*$D$3391*(Inputs!$D$7-Inputs!$D$19)-M3377)/(Inputs!$D$7+$D$3392)^M3366</f>
        <v>126.29580162024641</v>
      </c>
    </row>
    <row r="3379" spans="2:13" ht="15" customHeight="1" x14ac:dyDescent="0.2">
      <c r="B3379" s="10" t="s">
        <v>902</v>
      </c>
      <c r="C3379" s="10" t="s">
        <v>110</v>
      </c>
      <c r="D3379" s="16">
        <f>(D3374*Inputs!$D$19-D3375-D3376)/(Inputs!$D$7+$D$3392)^D3366</f>
        <v>-14027.24269342025</v>
      </c>
      <c r="E3379" s="16">
        <f>(E3374*Inputs!$D$19-E3375-E3376)/(Inputs!$D$7+$D$3392)^E3366</f>
        <v>-15853.087323826181</v>
      </c>
      <c r="F3379" s="16">
        <f>(F3374*Inputs!$D$19-F3375-F3376)/(Inputs!$D$7+$D$3392)^F3366</f>
        <v>-9394.4767487293357</v>
      </c>
      <c r="G3379" s="16">
        <f>(G3374*Inputs!$D$19-G3375-G3376)/(Inputs!$D$7+$D$3392)^G3366</f>
        <v>923.61320322684639</v>
      </c>
      <c r="H3379" s="16">
        <f>(H3374*Inputs!$D$19-H3375-H3376)/(Inputs!$D$7+$D$3392)^H3366</f>
        <v>-6972.3744918015345</v>
      </c>
      <c r="I3379" s="16">
        <f>(I3374*Inputs!$D$19-I3375-I3376)/(Inputs!$D$7+$D$3392)^I3366</f>
        <v>-9214.0648467907959</v>
      </c>
      <c r="J3379" s="16">
        <f>(J3374*Inputs!$D$19-J3375-J3376)/(Inputs!$D$7+$D$3392)^J3366</f>
        <v>-5761.5411965591911</v>
      </c>
      <c r="K3379" s="16">
        <f>(K3374*Inputs!$D$19-K3375-K3376)/(Inputs!$D$7+$D$3392)^K3366</f>
        <v>630.8402453567694</v>
      </c>
      <c r="L3379" s="16">
        <f>(L3374*Inputs!$D$19-L3375-L3376)/(Inputs!$D$7+$D$3392)^L3366</f>
        <v>-4762.2255937446444</v>
      </c>
      <c r="M3379" s="16">
        <f>(M3374*Inputs!$D$19-M3375-M3376)/(Inputs!$D$7+$D$3392)^M3366</f>
        <v>-6293.3302689644106</v>
      </c>
    </row>
    <row r="3380" spans="2:13" ht="15" customHeight="1" x14ac:dyDescent="0.2">
      <c r="B3380" s="10" t="s">
        <v>903</v>
      </c>
      <c r="C3380" s="10" t="s">
        <v>110</v>
      </c>
      <c r="D3380" s="16">
        <f t="shared" ref="D3380:M3380" si="735">D3373*$D$3390</f>
        <v>5702.9784335143149</v>
      </c>
      <c r="E3380" s="16">
        <f t="shared" si="735"/>
        <v>21728.915695829433</v>
      </c>
      <c r="F3380" s="16">
        <f t="shared" si="735"/>
        <v>35476.939158551191</v>
      </c>
      <c r="G3380" s="16">
        <f t="shared" si="735"/>
        <v>41368.949214003369</v>
      </c>
      <c r="H3380" s="16">
        <f t="shared" si="735"/>
        <v>41368.949214003369</v>
      </c>
      <c r="I3380" s="16">
        <f t="shared" si="735"/>
        <v>41368.949214003369</v>
      </c>
      <c r="J3380" s="16">
        <f t="shared" si="735"/>
        <v>41368.949214003369</v>
      </c>
      <c r="K3380" s="16">
        <f t="shared" si="735"/>
        <v>41368.949214003369</v>
      </c>
      <c r="L3380" s="16">
        <f t="shared" si="735"/>
        <v>41368.949214003369</v>
      </c>
      <c r="M3380" s="16">
        <f t="shared" si="735"/>
        <v>41368.949214003369</v>
      </c>
    </row>
    <row r="3381" spans="2:13" ht="15" customHeight="1" x14ac:dyDescent="0.2">
      <c r="B3381" s="10" t="s">
        <v>904</v>
      </c>
      <c r="C3381" s="10" t="s">
        <v>110</v>
      </c>
      <c r="D3381" s="16">
        <f t="shared" ref="D3381:M3381" si="736">D3380*$D$3391</f>
        <v>2851.4892167571575</v>
      </c>
      <c r="E3381" s="16">
        <f t="shared" si="736"/>
        <v>10864.457847914717</v>
      </c>
      <c r="F3381" s="16">
        <f t="shared" si="736"/>
        <v>17738.469579275596</v>
      </c>
      <c r="G3381" s="16">
        <f t="shared" si="736"/>
        <v>20684.474607001684</v>
      </c>
      <c r="H3381" s="16">
        <f t="shared" si="736"/>
        <v>20684.474607001684</v>
      </c>
      <c r="I3381" s="16">
        <f t="shared" si="736"/>
        <v>20684.474607001684</v>
      </c>
      <c r="J3381" s="16">
        <f t="shared" si="736"/>
        <v>20684.474607001684</v>
      </c>
      <c r="K3381" s="16">
        <f t="shared" si="736"/>
        <v>20684.474607001684</v>
      </c>
      <c r="L3381" s="16">
        <f t="shared" si="736"/>
        <v>20684.474607001684</v>
      </c>
      <c r="M3381" s="16">
        <f t="shared" si="736"/>
        <v>20684.474607001684</v>
      </c>
    </row>
    <row r="3382" spans="2:13" ht="15" customHeight="1" x14ac:dyDescent="0.2">
      <c r="B3382" s="10" t="s">
        <v>905</v>
      </c>
      <c r="C3382" s="10" t="s">
        <v>110</v>
      </c>
      <c r="D3382" s="16">
        <f t="shared" ref="D3382:M3382" si="737">D3381-D3374</f>
        <v>1034.5119308247156</v>
      </c>
      <c r="E3382" s="16">
        <f t="shared" si="737"/>
        <v>3941.5934661650081</v>
      </c>
      <c r="F3382" s="16">
        <f t="shared" si="737"/>
        <v>6435.4647762620953</v>
      </c>
      <c r="G3382" s="16">
        <f t="shared" si="737"/>
        <v>7504.2667663037028</v>
      </c>
      <c r="H3382" s="16">
        <f t="shared" si="737"/>
        <v>7504.2667663037028</v>
      </c>
      <c r="I3382" s="16">
        <f t="shared" si="737"/>
        <v>7504.2667663037028</v>
      </c>
      <c r="J3382" s="16">
        <f t="shared" si="737"/>
        <v>7504.2667663037028</v>
      </c>
      <c r="K3382" s="16">
        <f t="shared" si="737"/>
        <v>7504.2667663037028</v>
      </c>
      <c r="L3382" s="16">
        <f t="shared" si="737"/>
        <v>7504.2667663037028</v>
      </c>
      <c r="M3382" s="16">
        <f t="shared" si="737"/>
        <v>7504.2667663037028</v>
      </c>
    </row>
    <row r="3383" spans="2:13" ht="15" customHeight="1" x14ac:dyDescent="0.2">
      <c r="B3383" s="10" t="s">
        <v>906</v>
      </c>
      <c r="C3383" s="10" t="s">
        <v>110</v>
      </c>
      <c r="D3383" s="16">
        <f>MAX(D3382,Inputs!$D$6)*Inputs!$D$19</f>
        <v>310.35357924741464</v>
      </c>
      <c r="E3383" s="16">
        <f>MAX(E3382,Inputs!$D$6)*Inputs!$D$19</f>
        <v>1182.4780398495025</v>
      </c>
      <c r="F3383" s="16">
        <f>MAX(F3382,Inputs!$D$6)*Inputs!$D$19</f>
        <v>1930.6394328786284</v>
      </c>
      <c r="G3383" s="16">
        <f>MAX(G3382,Inputs!$D$6)*Inputs!$D$19</f>
        <v>2251.2800298911106</v>
      </c>
      <c r="H3383" s="16">
        <f>MAX(H3382,Inputs!$D$6)*Inputs!$D$19</f>
        <v>2251.2800298911106</v>
      </c>
      <c r="I3383" s="16">
        <f>MAX(I3382,Inputs!$D$6)*Inputs!$D$19</f>
        <v>2251.2800298911106</v>
      </c>
      <c r="J3383" s="16">
        <f>MAX(J3382,Inputs!$D$6)*Inputs!$D$19</f>
        <v>2251.2800298911106</v>
      </c>
      <c r="K3383" s="16">
        <f>MAX(K3382,Inputs!$D$6)*Inputs!$D$19</f>
        <v>2251.2800298911106</v>
      </c>
      <c r="L3383" s="16">
        <f>MAX(L3382,Inputs!$D$6)*Inputs!$D$19</f>
        <v>2251.2800298911106</v>
      </c>
      <c r="M3383" s="16">
        <f>MAX(M3382,Inputs!$D$6)*Inputs!$D$19</f>
        <v>2251.2800298911106</v>
      </c>
    </row>
    <row r="3384" spans="2:13" ht="15" customHeight="1" x14ac:dyDescent="0.2">
      <c r="B3384" s="10" t="s">
        <v>907</v>
      </c>
      <c r="C3384" s="10" t="s">
        <v>110</v>
      </c>
      <c r="D3384" s="16">
        <f t="shared" ref="D3384:M3384" si="738">D3377*$D$3390</f>
        <v>294.6005027726091</v>
      </c>
      <c r="E3384" s="16">
        <f t="shared" si="738"/>
        <v>392.80067036347879</v>
      </c>
      <c r="F3384" s="16">
        <f t="shared" si="738"/>
        <v>294.6005027726091</v>
      </c>
      <c r="G3384" s="16">
        <f t="shared" si="738"/>
        <v>0</v>
      </c>
      <c r="H3384" s="16">
        <f t="shared" si="738"/>
        <v>0</v>
      </c>
      <c r="I3384" s="16">
        <f t="shared" si="738"/>
        <v>0</v>
      </c>
      <c r="J3384" s="16">
        <f t="shared" si="738"/>
        <v>0</v>
      </c>
      <c r="K3384" s="16">
        <f t="shared" si="738"/>
        <v>0</v>
      </c>
      <c r="L3384" s="16">
        <f t="shared" si="738"/>
        <v>0</v>
      </c>
      <c r="M3384" s="16">
        <f t="shared" si="738"/>
        <v>0</v>
      </c>
    </row>
    <row r="3385" spans="2:13" ht="15" customHeight="1" x14ac:dyDescent="0.2">
      <c r="B3385" s="10" t="s">
        <v>908</v>
      </c>
      <c r="C3385" s="10" t="s">
        <v>110</v>
      </c>
      <c r="D3385" s="16">
        <f t="shared" ref="D3385:M3385" si="739">D3381-D3383-D3375-D3376-D3384</f>
        <v>-13314.433485409019</v>
      </c>
      <c r="E3385" s="16">
        <f t="shared" si="739"/>
        <v>-11458.779022493134</v>
      </c>
      <c r="F3385" s="16">
        <f t="shared" si="739"/>
        <v>-47.738976521795337</v>
      </c>
      <c r="G3385" s="16">
        <f t="shared" si="739"/>
        <v>15795.189728543402</v>
      </c>
      <c r="H3385" s="16">
        <f t="shared" si="739"/>
        <v>3551.4063553022934</v>
      </c>
      <c r="I3385" s="16">
        <f t="shared" si="739"/>
        <v>-1409.1897186338028</v>
      </c>
      <c r="J3385" s="16">
        <f t="shared" si="739"/>
        <v>3551.4063553022934</v>
      </c>
      <c r="K3385" s="16">
        <f t="shared" si="739"/>
        <v>15795.189728543402</v>
      </c>
      <c r="L3385" s="16">
        <f t="shared" si="739"/>
        <v>3551.4063553022934</v>
      </c>
      <c r="M3385" s="16">
        <f t="shared" si="739"/>
        <v>-1409.1897186338028</v>
      </c>
    </row>
    <row r="3386" spans="2:13" ht="15" customHeight="1" x14ac:dyDescent="0.2">
      <c r="B3386" s="10" t="s">
        <v>909</v>
      </c>
      <c r="C3386" s="10" t="s">
        <v>110</v>
      </c>
      <c r="D3386" s="16">
        <f>D3385/(Inputs!$D$7+$D$3392)^D3366</f>
        <v>-12437.822266278938</v>
      </c>
      <c r="E3386" s="16">
        <f>E3385/(Inputs!$D$7+$D$3392)^E3366</f>
        <v>-9729.3161998411051</v>
      </c>
      <c r="F3386" s="16">
        <f>F3385/(Inputs!$D$7+$D$3392)^F3366</f>
        <v>-36.851292465098076</v>
      </c>
      <c r="G3386" s="16">
        <f>G3385/(Inputs!$D$7+$D$3392)^G3366</f>
        <v>11085.112725227662</v>
      </c>
      <c r="H3386" s="16">
        <f>H3385/(Inputs!$D$7+$D$3392)^H3366</f>
        <v>2265.955000813035</v>
      </c>
      <c r="I3386" s="16">
        <f>I3385/(Inputs!$D$7+$D$3392)^I3366</f>
        <v>-817.2269856481679</v>
      </c>
      <c r="J3386" s="16">
        <f>J3385/(Inputs!$D$7+$D$3392)^J3366</f>
        <v>1872.4457646508799</v>
      </c>
      <c r="K3386" s="16">
        <f>K3385/(Inputs!$D$7+$D$3392)^K3366</f>
        <v>7571.281145569058</v>
      </c>
      <c r="L3386" s="16">
        <f>L3385/(Inputs!$D$7+$D$3392)^L3366</f>
        <v>1547.6777548070722</v>
      </c>
      <c r="M3386" s="16">
        <f>M3385/(Inputs!$D$7+$D$3392)^M3366</f>
        <v>-558.17702728513609</v>
      </c>
    </row>
    <row r="3387" spans="2:13" ht="15" customHeight="1" x14ac:dyDescent="0.2">
      <c r="B3387" s="3" t="s">
        <v>910</v>
      </c>
      <c r="C3387" s="10" t="s">
        <v>896</v>
      </c>
      <c r="D3387" s="28">
        <f>(D3373*$D$3391-D3377)/(Inputs!$D$7+$D$3392)^D3366</f>
        <v>52.598985465011189</v>
      </c>
      <c r="E3387" s="28">
        <f>(E3373*$D$3391-E3377)/(Inputs!$D$7+$D$3392)^E3366</f>
        <v>195.79575723375925</v>
      </c>
      <c r="F3387" s="28">
        <f>(F3373*$D$3391-F3377)/(Inputs!$D$7+$D$3392)^F3366</f>
        <v>296.52842165245573</v>
      </c>
      <c r="G3387" s="28">
        <f>(G3373*$D$3391-G3377)/(Inputs!$D$7+$D$3392)^G3366</f>
        <v>319.67130076422529</v>
      </c>
      <c r="H3387" s="28">
        <f>(H3373*$D$3391-H3377)/(Inputs!$D$7+$D$3392)^H3366</f>
        <v>290.62923236856182</v>
      </c>
      <c r="I3387" s="28">
        <f>(I3373*$D$3391-I3377)/(Inputs!$D$7+$D$3392)^I3366</f>
        <v>264.15669021743264</v>
      </c>
      <c r="J3387" s="28">
        <f>(J3373*$D$3391-J3377)/(Inputs!$D$7+$D$3392)^J3366</f>
        <v>240.158112158888</v>
      </c>
      <c r="K3387" s="28">
        <f>(K3373*$D$3391-K3377)/(Inputs!$D$7+$D$3392)^K3366</f>
        <v>218.3397997160202</v>
      </c>
      <c r="L3387" s="28">
        <f>(L3373*$D$3391-L3377)/(Inputs!$D$7+$D$3392)^L3366</f>
        <v>198.50367623014941</v>
      </c>
      <c r="M3387" s="28">
        <f>(M3373*$D$3391-M3377)/(Inputs!$D$7+$D$3392)^M3366</f>
        <v>180.42257374320917</v>
      </c>
    </row>
    <row r="3388" spans="2:13" ht="15" customHeight="1" x14ac:dyDescent="0.2">
      <c r="B3388" s="10" t="s">
        <v>911</v>
      </c>
      <c r="C3388" s="10" t="s">
        <v>110</v>
      </c>
      <c r="D3388" s="16">
        <f>(-D3375-D3376)/(Inputs!$D$7+$D$3392)^D3366</f>
        <v>-14536.447397527105</v>
      </c>
      <c r="E3388" s="16">
        <f>(-E3375-E3376)/(Inputs!$D$7+$D$3392)^E3366</f>
        <v>-17616.488200475756</v>
      </c>
      <c r="F3388" s="16">
        <f>(-F3375-F3376)/(Inputs!$D$7+$D$3392)^F3366</f>
        <v>-12012.025548964448</v>
      </c>
      <c r="G3388" s="16">
        <f>(-G3375-G3376)/(Inputs!$D$7+$D$3392)^G3366</f>
        <v>-1851.359915178487</v>
      </c>
      <c r="H3388" s="16">
        <f>(-H3375-H3376)/(Inputs!$D$7+$D$3392)^H3366</f>
        <v>-9495.2419037884629</v>
      </c>
      <c r="I3388" s="16">
        <f>(-I3375-I3376)/(Inputs!$D$7+$D$3392)^I3366</f>
        <v>-11507.131858586603</v>
      </c>
      <c r="J3388" s="16">
        <f>(-J3375-J3376)/(Inputs!$D$7+$D$3392)^J3366</f>
        <v>-7846.2835672839774</v>
      </c>
      <c r="K3388" s="16">
        <f>(-K3375-K3376)/(Inputs!$D$7+$D$3392)^K3366</f>
        <v>-1264.5037327904422</v>
      </c>
      <c r="L3388" s="16">
        <f>(-L3375-L3376)/(Inputs!$D$7+$D$3392)^L3366</f>
        <v>-6485.3779822337692</v>
      </c>
      <c r="M3388" s="16">
        <f>(-M3375-M3376)/(Inputs!$D$7+$D$3392)^M3366</f>
        <v>-7859.5258920747219</v>
      </c>
    </row>
    <row r="3389" spans="2:13" ht="15" customHeight="1" x14ac:dyDescent="0.2">
      <c r="B3389" s="10" t="s">
        <v>912</v>
      </c>
      <c r="C3389" s="10" t="s">
        <v>110</v>
      </c>
      <c r="D3389" s="16">
        <f>Prices!I9</f>
        <v>21850</v>
      </c>
    </row>
    <row r="3390" spans="2:13" ht="15" customHeight="1" x14ac:dyDescent="0.2">
      <c r="B3390" s="3" t="s">
        <v>913</v>
      </c>
      <c r="C3390" s="10" t="s">
        <v>914</v>
      </c>
      <c r="D3390" s="28">
        <f>IF(J3397&gt;=J3393,J3397,(D3389-J3396)/J3395)</f>
        <v>45.410482122945524</v>
      </c>
      <c r="G3390" s="99" t="s">
        <v>915</v>
      </c>
      <c r="H3390" s="91"/>
      <c r="I3390" s="91"/>
      <c r="J3390" s="28">
        <f>D3390*Inputs!$D$15</f>
        <v>31.69197547360368</v>
      </c>
      <c r="K3390" s="99" t="s">
        <v>916</v>
      </c>
      <c r="L3390" s="91"/>
      <c r="M3390" s="91"/>
    </row>
    <row r="3391" spans="2:13" ht="15" customHeight="1" x14ac:dyDescent="0.2">
      <c r="B3391" s="10" t="s">
        <v>917</v>
      </c>
      <c r="C3391" s="10" t="s">
        <v>104</v>
      </c>
      <c r="D3391" s="30">
        <f>Inputs!$D$140</f>
        <v>0.5</v>
      </c>
      <c r="G3391" s="99" t="s">
        <v>918</v>
      </c>
      <c r="H3391" s="91"/>
      <c r="I3391" s="91"/>
      <c r="J3391" s="28">
        <f>IF(-D3402/D3401&gt;=J3393,-D3402/D3401,-J3396/J3395)</f>
        <v>38.783797845890525</v>
      </c>
      <c r="K3391" s="99" t="s">
        <v>919</v>
      </c>
      <c r="L3391" s="91"/>
      <c r="M3391" s="91"/>
    </row>
    <row r="3392" spans="2:13" ht="15" customHeight="1" x14ac:dyDescent="0.2">
      <c r="B3392" s="10" t="s">
        <v>920</v>
      </c>
      <c r="C3392" s="10" t="s">
        <v>104</v>
      </c>
      <c r="D3392" s="30">
        <f>Inputs!$D$147</f>
        <v>0.1</v>
      </c>
      <c r="G3392" s="99" t="s">
        <v>918</v>
      </c>
      <c r="H3392" s="91"/>
      <c r="I3392" s="91"/>
      <c r="J3392" s="28">
        <f>J3391*Inputs!$D$15</f>
        <v>27.067212516646997</v>
      </c>
      <c r="K3392" s="99" t="s">
        <v>916</v>
      </c>
      <c r="L3392" s="91"/>
      <c r="M3392" s="91"/>
    </row>
    <row r="3393" spans="2:13" ht="15" customHeight="1" x14ac:dyDescent="0.2">
      <c r="B3393" s="3" t="s">
        <v>921</v>
      </c>
      <c r="C3393" s="10" t="s">
        <v>848</v>
      </c>
      <c r="D3393" s="28">
        <f>Capital!$D$13</f>
        <v>57.347931490590682</v>
      </c>
      <c r="G3393" s="99" t="s">
        <v>922</v>
      </c>
      <c r="H3393" s="91"/>
      <c r="I3393" s="91"/>
      <c r="J3393" s="28">
        <f>($D$3393/Inputs!$D$21+$D$3394/Inputs!$D$22)/$D$3391</f>
        <v>28.93569229571456</v>
      </c>
      <c r="K3393" s="99" t="s">
        <v>919</v>
      </c>
      <c r="L3393" s="91"/>
      <c r="M3393" s="91"/>
    </row>
    <row r="3394" spans="2:13" ht="15" customHeight="1" x14ac:dyDescent="0.2">
      <c r="B3394" s="3" t="s">
        <v>923</v>
      </c>
      <c r="C3394" s="10" t="s">
        <v>848</v>
      </c>
      <c r="D3394" s="28">
        <f>Capital!$D$14</f>
        <v>2.6172655041921802</v>
      </c>
    </row>
    <row r="3395" spans="2:13" ht="15" customHeight="1" x14ac:dyDescent="0.2">
      <c r="B3395" s="10" t="s">
        <v>924</v>
      </c>
      <c r="C3395" s="10" t="s">
        <v>896</v>
      </c>
      <c r="D3395" s="28">
        <f>(M3368*(Inputs!$D$7+Inputs!$D$20)*$D$3391*(Inputs!$D$7-Inputs!$D$19)-M3368*Inputs!$D$20*Inputs!$D$23)/($D$3392-Inputs!$D$20)/(Inputs!$D$7+$D$3392)^M3366</f>
        <v>1723.0355792476471</v>
      </c>
      <c r="G3395" s="92" t="s">
        <v>910</v>
      </c>
      <c r="H3395" s="91"/>
      <c r="I3395" s="91"/>
      <c r="J3395" s="28">
        <f>SUM(D3387:M3387)+(M3368*(Inputs!$D$7+Inputs!$D$20)*$D$3391-M3368*Inputs!$D$20*Inputs!$D$23)/($D$3392-Inputs!$D$20)/(Inputs!$D$7+$D$3392)^M3366</f>
        <v>4719.5726811445174</v>
      </c>
      <c r="K3395" s="99" t="s">
        <v>896</v>
      </c>
      <c r="L3395" s="91"/>
      <c r="M3395" s="91"/>
    </row>
    <row r="3396" spans="2:13" ht="15" customHeight="1" x14ac:dyDescent="0.2">
      <c r="B3396" s="10" t="s">
        <v>925</v>
      </c>
      <c r="C3396" s="10" t="s">
        <v>110</v>
      </c>
      <c r="D3396" s="16">
        <f>(D3399*Inputs!$D$19-D3399-D3400)/($D$3392-Inputs!$D$20)/(Inputs!$D$7+$D$3392)^M3366</f>
        <v>-57156.954988173631</v>
      </c>
      <c r="G3396" s="92" t="s">
        <v>926</v>
      </c>
      <c r="H3396" s="91"/>
      <c r="I3396" s="91"/>
      <c r="J3396" s="16">
        <f>SUM(D3388:M3388)-(D3399+D3400)/($D$3392-Inputs!$D$20)/(Inputs!$D$7+$D$3392)^M3366</f>
        <v>-169036.01450291832</v>
      </c>
      <c r="K3396" s="99" t="s">
        <v>110</v>
      </c>
      <c r="L3396" s="91"/>
      <c r="M3396" s="91"/>
    </row>
    <row r="3397" spans="2:13" ht="15" customHeight="1" x14ac:dyDescent="0.2">
      <c r="B3397" s="10" t="s">
        <v>927</v>
      </c>
      <c r="C3397" s="10" t="s">
        <v>928</v>
      </c>
      <c r="D3397" s="16">
        <f>(M3368*(Inputs!$D$7+Inputs!$D$20)*$D$3390*$D$3391-D3399)-MAX((M3368*(Inputs!$D$7+Inputs!$D$20)*$D$3390*$D$3391-D3399),Inputs!$D$6)*Inputs!$D$19-D3400-M3368*Inputs!$D$20*$D$3390*Inputs!$D$23</f>
        <v>3992.7484500079754</v>
      </c>
      <c r="G3397" s="99" t="s">
        <v>929</v>
      </c>
      <c r="H3397" s="91"/>
      <c r="I3397" s="91"/>
      <c r="J3397" s="28">
        <f>(D3389-D3402)/D3401</f>
        <v>45.410482122945524</v>
      </c>
      <c r="K3397" s="99" t="s">
        <v>919</v>
      </c>
      <c r="L3397" s="91"/>
      <c r="M3397" s="91"/>
    </row>
    <row r="3398" spans="2:13" ht="15" customHeight="1" x14ac:dyDescent="0.2">
      <c r="B3398" s="10" t="s">
        <v>930</v>
      </c>
      <c r="C3398" s="10" t="s">
        <v>110</v>
      </c>
      <c r="D3398" s="16">
        <f>D3397/($D$3392-Inputs!$D$20)</f>
        <v>53236.646000106331</v>
      </c>
      <c r="G3398" s="99" t="s">
        <v>931</v>
      </c>
      <c r="H3398" s="91"/>
      <c r="I3398" s="91"/>
      <c r="J3398" s="16">
        <f>MIN(D3382:M3382,(M3368*(Inputs!$D$7+Inputs!$D$20)*$D$3390*$D$3391-D3399))</f>
        <v>1034.5119308247156</v>
      </c>
      <c r="K3398" s="99" t="s">
        <v>110</v>
      </c>
      <c r="L3398" s="91"/>
      <c r="M3398" s="91"/>
    </row>
    <row r="3399" spans="2:13" ht="15" customHeight="1" x14ac:dyDescent="0.2">
      <c r="B3399" s="10" t="s">
        <v>932</v>
      </c>
      <c r="C3399" s="10" t="s">
        <v>928</v>
      </c>
      <c r="D3399" s="16">
        <f>M3368*(Inputs!$D$7+Inputs!$D$20)*($D$3393/Inputs!$D$21+$D$3394/Inputs!$D$22)</f>
        <v>13509.71303671543</v>
      </c>
      <c r="G3399" s="99" t="s">
        <v>933</v>
      </c>
      <c r="H3399" s="91"/>
      <c r="I3399" s="91"/>
      <c r="J3399" s="31" t="str">
        <f>IF(J3398&lt;Inputs!$D$6,"breached","satisfied")</f>
        <v>satisfied</v>
      </c>
      <c r="K3399" s="99" t="s">
        <v>934</v>
      </c>
      <c r="L3399" s="91"/>
      <c r="M3399" s="91"/>
    </row>
    <row r="3400" spans="2:13" ht="15" customHeight="1" x14ac:dyDescent="0.2">
      <c r="B3400" s="10" t="s">
        <v>935</v>
      </c>
      <c r="C3400" s="10" t="s">
        <v>928</v>
      </c>
      <c r="D3400" s="16">
        <f>M3368*Inputs!$D$20*($D$3393+$D$3394)</f>
        <v>1365.7073615561799</v>
      </c>
    </row>
    <row r="3401" spans="2:13" ht="15" customHeight="1" x14ac:dyDescent="0.2">
      <c r="B3401" s="10" t="s">
        <v>936</v>
      </c>
      <c r="C3401" s="10" t="s">
        <v>896</v>
      </c>
      <c r="D3401" s="28">
        <f>SUM(D3378:M3378)+D3395</f>
        <v>3297.2749396943454</v>
      </c>
      <c r="G3401" s="99" t="s">
        <v>937</v>
      </c>
      <c r="H3401" s="91"/>
      <c r="I3401" s="91"/>
      <c r="J3401" s="16">
        <f>D3403-D3389</f>
        <v>0</v>
      </c>
      <c r="K3401" s="99" t="s">
        <v>110</v>
      </c>
      <c r="L3401" s="91"/>
      <c r="M3401" s="91"/>
    </row>
    <row r="3402" spans="2:13" ht="15" customHeight="1" x14ac:dyDescent="0.2">
      <c r="B3402" s="10" t="s">
        <v>938</v>
      </c>
      <c r="C3402" s="10" t="s">
        <v>110</v>
      </c>
      <c r="D3402" s="16">
        <f>SUM(D3379:M3379)+D3396</f>
        <v>-127880.84470342637</v>
      </c>
    </row>
    <row r="3403" spans="2:13" ht="15" customHeight="1" x14ac:dyDescent="0.2">
      <c r="B3403" s="10" t="s">
        <v>939</v>
      </c>
      <c r="C3403" s="10" t="s">
        <v>110</v>
      </c>
      <c r="D3403" s="16">
        <f>SUM(D3386:M3386)+D3398/(Inputs!$D$7+$D$3392)^M3366</f>
        <v>21849.999999999993</v>
      </c>
    </row>
    <row r="3404" spans="2:13" ht="15" customHeight="1" x14ac:dyDescent="0.2">
      <c r="B3404" s="10" t="s">
        <v>940</v>
      </c>
      <c r="C3404" s="10" t="s">
        <v>104</v>
      </c>
      <c r="D3404" s="30">
        <f>IF(ABS(D3389)&gt;Inputs!$D$6,D3403/D3389-Inputs!$D$7,Inputs!$D$6)</f>
        <v>-3.3306690738754696E-16</v>
      </c>
    </row>
    <row r="3405" spans="2:13" ht="15" customHeight="1" x14ac:dyDescent="0.2">
      <c r="B3405" s="10" t="s">
        <v>941</v>
      </c>
      <c r="C3405" s="10" t="s">
        <v>104</v>
      </c>
      <c r="D3405" s="30">
        <f>IF(ABS(D3403)&gt;Inputs!$D$119,D3398/(Inputs!$D$7+$D$3392)^M3366/D3403,Inputs!$D$6)</f>
        <v>0.96507649338447299</v>
      </c>
    </row>
    <row r="3406" spans="2:13" ht="15" customHeight="1" x14ac:dyDescent="0.2">
      <c r="B3406" s="10" t="s">
        <v>942</v>
      </c>
      <c r="C3406" s="10" t="s">
        <v>943</v>
      </c>
      <c r="D3406" s="26">
        <f>$D$3390*Inputs!$D$8/Prices!$P$6/(Inputs!$D$26/Inputs!$D$25)/Inputs!$D$11/Inputs!$D$56</f>
        <v>8.258034109411323</v>
      </c>
    </row>
    <row r="3410" spans="1:13" ht="15" customHeight="1" x14ac:dyDescent="0.2">
      <c r="A3410" s="104" t="s">
        <v>2239</v>
      </c>
      <c r="B3410" s="10" t="s">
        <v>886</v>
      </c>
      <c r="C3410" s="10" t="s">
        <v>107</v>
      </c>
      <c r="D3410" s="28">
        <f>Inputs!$D$60</f>
        <v>1</v>
      </c>
      <c r="E3410" s="28">
        <f>Inputs!$D$62</f>
        <v>2</v>
      </c>
      <c r="F3410" s="28">
        <f>Inputs!$D$64</f>
        <v>3</v>
      </c>
      <c r="G3410" s="28">
        <f>Inputs!$D$66</f>
        <v>4</v>
      </c>
      <c r="H3410" s="28">
        <f>Inputs!$D$68</f>
        <v>5</v>
      </c>
      <c r="I3410" s="28">
        <f>Inputs!$D$70</f>
        <v>6</v>
      </c>
      <c r="J3410" s="28">
        <f>Inputs!$D$72</f>
        <v>7</v>
      </c>
      <c r="K3410" s="28">
        <f>Inputs!$D$74</f>
        <v>8</v>
      </c>
      <c r="L3410" s="28">
        <f>Inputs!$D$76</f>
        <v>9</v>
      </c>
      <c r="M3410" s="28">
        <f>Inputs!$D$78</f>
        <v>10</v>
      </c>
    </row>
    <row r="3411" spans="1:13" ht="15" customHeight="1" x14ac:dyDescent="0.2">
      <c r="A3411" s="91"/>
      <c r="B3411" s="10" t="s">
        <v>887</v>
      </c>
      <c r="C3411" s="10" t="s">
        <v>161</v>
      </c>
      <c r="D3411" s="29">
        <f>Inputs!$D$61</f>
        <v>46568</v>
      </c>
      <c r="E3411" s="29">
        <f>Inputs!$D$63</f>
        <v>46934</v>
      </c>
      <c r="F3411" s="29">
        <f>Inputs!$D$65</f>
        <v>47299</v>
      </c>
      <c r="G3411" s="29">
        <f>Inputs!$D$67</f>
        <v>47664</v>
      </c>
      <c r="H3411" s="29">
        <f>Inputs!$D$69</f>
        <v>48029</v>
      </c>
      <c r="I3411" s="29">
        <f>Inputs!$D$71</f>
        <v>48395</v>
      </c>
      <c r="J3411" s="29">
        <f>Inputs!$D$73</f>
        <v>48760</v>
      </c>
      <c r="K3411" s="29">
        <f>Inputs!$D$75</f>
        <v>49125</v>
      </c>
      <c r="L3411" s="29">
        <f>Inputs!$D$77</f>
        <v>49490</v>
      </c>
      <c r="M3411" s="29">
        <f>Inputs!$D$79</f>
        <v>49856</v>
      </c>
    </row>
    <row r="3412" spans="1:13" ht="15" customHeight="1" x14ac:dyDescent="0.2">
      <c r="A3412" s="91"/>
      <c r="B3412" s="10" t="s">
        <v>888</v>
      </c>
      <c r="C3412" s="10" t="s">
        <v>107</v>
      </c>
      <c r="D3412" s="28">
        <f>(D3411-Inputs!$D$13)/Inputs!$D$10</f>
        <v>0.71457905544147848</v>
      </c>
      <c r="E3412" s="28">
        <f>(E3411-Inputs!$D$13)/Inputs!$D$10</f>
        <v>1.7166324435318274</v>
      </c>
      <c r="F3412" s="28">
        <f>(F3411-Inputs!$D$13)/Inputs!$D$10</f>
        <v>2.7159479808350446</v>
      </c>
      <c r="G3412" s="28">
        <f>(G3411-Inputs!$D$13)/Inputs!$D$10</f>
        <v>3.7152635181382614</v>
      </c>
      <c r="H3412" s="28">
        <f>(H3411-Inputs!$D$13)/Inputs!$D$10</f>
        <v>4.7145790554414786</v>
      </c>
      <c r="I3412" s="28">
        <f>(I3411-Inputs!$D$13)/Inputs!$D$10</f>
        <v>5.7166324435318279</v>
      </c>
      <c r="J3412" s="28">
        <f>(J3411-Inputs!$D$13)/Inputs!$D$10</f>
        <v>6.7159479808350442</v>
      </c>
      <c r="K3412" s="28">
        <f>(K3411-Inputs!$D$13)/Inputs!$D$10</f>
        <v>7.7152635181382614</v>
      </c>
      <c r="L3412" s="28">
        <f>(L3411-Inputs!$D$13)/Inputs!$D$10</f>
        <v>8.7145790554414777</v>
      </c>
      <c r="M3412" s="28">
        <f>(M3411-Inputs!$D$13)/Inputs!$D$10</f>
        <v>9.716632443531827</v>
      </c>
    </row>
    <row r="3413" spans="1:13" ht="15" customHeight="1" x14ac:dyDescent="0.2">
      <c r="A3413" s="91"/>
      <c r="B3413" s="10" t="s">
        <v>889</v>
      </c>
      <c r="C3413" s="10" t="s">
        <v>107</v>
      </c>
      <c r="D3413" s="28">
        <f>D3412</f>
        <v>0.71457905544147848</v>
      </c>
      <c r="E3413" s="28">
        <f>Inputs!$D$7</f>
        <v>1</v>
      </c>
      <c r="F3413" s="28">
        <f>Inputs!$D$7</f>
        <v>1</v>
      </c>
      <c r="G3413" s="28">
        <f>Inputs!$D$7</f>
        <v>1</v>
      </c>
      <c r="H3413" s="28">
        <f>Inputs!$D$7</f>
        <v>1</v>
      </c>
      <c r="I3413" s="28">
        <f>Inputs!$D$7</f>
        <v>1</v>
      </c>
      <c r="J3413" s="28">
        <f>Inputs!$D$7</f>
        <v>1</v>
      </c>
      <c r="K3413" s="28">
        <f>Inputs!$D$7</f>
        <v>1</v>
      </c>
      <c r="L3413" s="28">
        <f>Inputs!$D$7</f>
        <v>1</v>
      </c>
      <c r="M3413" s="28">
        <f>Inputs!$D$7</f>
        <v>1</v>
      </c>
    </row>
    <row r="3414" spans="1:13" ht="15" customHeight="1" x14ac:dyDescent="0.2">
      <c r="A3414" s="91"/>
      <c r="B3414" s="3" t="s">
        <v>890</v>
      </c>
      <c r="C3414" s="10" t="s">
        <v>199</v>
      </c>
      <c r="D3414" s="28">
        <f>Inputs!$D$24+(Inputs!$D$80-Inputs!$D$24)*Inputs!$D$83</f>
        <v>305.5</v>
      </c>
      <c r="E3414" s="28">
        <f>Inputs!$D$24+(Inputs!$D$80-Inputs!$D$24)*Inputs!$D$84</f>
        <v>651.5</v>
      </c>
      <c r="F3414" s="28">
        <f>Inputs!$D$24+(Inputs!$D$80-Inputs!$D$24)*Inputs!$D$85</f>
        <v>911</v>
      </c>
      <c r="G3414" s="28">
        <f>Inputs!$D$24+(Inputs!$D$80-Inputs!$D$24)*Inputs!$D$86</f>
        <v>911</v>
      </c>
      <c r="H3414" s="28">
        <f>Inputs!$D$24+(Inputs!$D$80-Inputs!$D$24)*Inputs!$D$87</f>
        <v>911</v>
      </c>
      <c r="I3414" s="28">
        <f>Inputs!$D$24+(Inputs!$D$80-Inputs!$D$24)*Inputs!$D$88</f>
        <v>911</v>
      </c>
      <c r="J3414" s="28">
        <f>Inputs!$D$24+(Inputs!$D$80-Inputs!$D$24)*Inputs!$D$89</f>
        <v>911</v>
      </c>
      <c r="K3414" s="28">
        <f>Inputs!$D$24+(Inputs!$D$80-Inputs!$D$24)*Inputs!$D$90</f>
        <v>911</v>
      </c>
      <c r="L3414" s="28">
        <f>Inputs!$D$24+(Inputs!$D$80-Inputs!$D$24)*Inputs!$D$91</f>
        <v>911</v>
      </c>
      <c r="M3414" s="28">
        <f>Inputs!$D$24+(Inputs!$D$80-Inputs!$D$24)*Inputs!$D$92</f>
        <v>911</v>
      </c>
    </row>
    <row r="3415" spans="1:13" ht="15" customHeight="1" x14ac:dyDescent="0.2">
      <c r="A3415" s="91"/>
      <c r="B3415" s="10" t="s">
        <v>891</v>
      </c>
      <c r="C3415" s="10" t="s">
        <v>199</v>
      </c>
      <c r="D3415" s="28">
        <f>Inputs!$D$24</f>
        <v>46</v>
      </c>
      <c r="E3415" s="28">
        <f t="shared" ref="E3415:M3415" si="740">D3414</f>
        <v>305.5</v>
      </c>
      <c r="F3415" s="28">
        <f t="shared" si="740"/>
        <v>651.5</v>
      </c>
      <c r="G3415" s="28">
        <f t="shared" si="740"/>
        <v>911</v>
      </c>
      <c r="H3415" s="28">
        <f t="shared" si="740"/>
        <v>911</v>
      </c>
      <c r="I3415" s="28">
        <f t="shared" si="740"/>
        <v>911</v>
      </c>
      <c r="J3415" s="28">
        <f t="shared" si="740"/>
        <v>911</v>
      </c>
      <c r="K3415" s="28">
        <f t="shared" si="740"/>
        <v>911</v>
      </c>
      <c r="L3415" s="28">
        <f t="shared" si="740"/>
        <v>911</v>
      </c>
      <c r="M3415" s="28">
        <f t="shared" si="740"/>
        <v>911</v>
      </c>
    </row>
    <row r="3416" spans="1:13" ht="15" customHeight="1" x14ac:dyDescent="0.2">
      <c r="B3416" s="10" t="s">
        <v>892</v>
      </c>
      <c r="C3416" s="10" t="s">
        <v>199</v>
      </c>
      <c r="D3416" s="28">
        <f>(D3415+D3414)*Inputs!$D$12</f>
        <v>175.75</v>
      </c>
      <c r="E3416" s="28">
        <f>(E3415+E3414)*Inputs!$D$12</f>
        <v>478.5</v>
      </c>
      <c r="F3416" s="28">
        <f>(F3415+F3414)*Inputs!$D$12</f>
        <v>781.25</v>
      </c>
      <c r="G3416" s="28">
        <f>(G3415+G3414)*Inputs!$D$12</f>
        <v>911</v>
      </c>
      <c r="H3416" s="28">
        <f>(H3415+H3414)*Inputs!$D$12</f>
        <v>911</v>
      </c>
      <c r="I3416" s="28">
        <f>(I3415+I3414)*Inputs!$D$12</f>
        <v>911</v>
      </c>
      <c r="J3416" s="28">
        <f>(J3415+J3414)*Inputs!$D$12</f>
        <v>911</v>
      </c>
      <c r="K3416" s="28">
        <f>(K3415+K3414)*Inputs!$D$12</f>
        <v>911</v>
      </c>
      <c r="L3416" s="28">
        <f>(L3415+L3414)*Inputs!$D$12</f>
        <v>911</v>
      </c>
      <c r="M3416" s="28">
        <f>(M3415+M3414)*Inputs!$D$12</f>
        <v>911</v>
      </c>
    </row>
    <row r="3417" spans="1:13" ht="15" customHeight="1" x14ac:dyDescent="0.2">
      <c r="B3417" s="10" t="s">
        <v>893</v>
      </c>
      <c r="C3417" s="10" t="s">
        <v>199</v>
      </c>
      <c r="D3417" s="28">
        <f t="shared" ref="D3417:M3417" si="741">D3414-D3415</f>
        <v>259.5</v>
      </c>
      <c r="E3417" s="28">
        <f t="shared" si="741"/>
        <v>346</v>
      </c>
      <c r="F3417" s="28">
        <f t="shared" si="741"/>
        <v>259.5</v>
      </c>
      <c r="G3417" s="28">
        <f t="shared" si="741"/>
        <v>0</v>
      </c>
      <c r="H3417" s="28">
        <f t="shared" si="741"/>
        <v>0</v>
      </c>
      <c r="I3417" s="28">
        <f t="shared" si="741"/>
        <v>0</v>
      </c>
      <c r="J3417" s="28">
        <f t="shared" si="741"/>
        <v>0</v>
      </c>
      <c r="K3417" s="28">
        <f t="shared" si="741"/>
        <v>0</v>
      </c>
      <c r="L3417" s="28">
        <f t="shared" si="741"/>
        <v>0</v>
      </c>
      <c r="M3417" s="28">
        <f t="shared" si="741"/>
        <v>0</v>
      </c>
    </row>
    <row r="3418" spans="1:13" ht="15" customHeight="1" x14ac:dyDescent="0.2">
      <c r="B3418" s="10" t="s">
        <v>894</v>
      </c>
      <c r="C3418" s="10" t="s">
        <v>199</v>
      </c>
      <c r="D3418" s="28">
        <f>IF(MOD(D3410,Inputs!$D$21)=Inputs!$D$6,Inputs!$D$24,Inputs!$D$6)+SUMPRODUCT(--(D3410&gt;$D$3410:$M$3410),--(MOD(D3410-$D$3410:$M$3410,Inputs!$D$21)=Inputs!$D$6),$D$3417:$M$3417)</f>
        <v>0</v>
      </c>
      <c r="E3418" s="28">
        <f>IF(MOD(E3410,Inputs!$D$21)=Inputs!$D$6,Inputs!$D$24,Inputs!$D$6)+SUMPRODUCT(--(E3410&gt;$D$3410:$M$3410),--(MOD(E3410-$D$3410:$M$3410,Inputs!$D$21)=Inputs!$D$6),$D$3417:$M$3417)</f>
        <v>0</v>
      </c>
      <c r="F3418" s="28">
        <f>IF(MOD(F3410,Inputs!$D$21)=Inputs!$D$6,Inputs!$D$24,Inputs!$D$6)+SUMPRODUCT(--(F3410&gt;$D$3410:$M$3410),--(MOD(F3410-$D$3410:$M$3410,Inputs!$D$21)=Inputs!$D$6),$D$3417:$M$3417)</f>
        <v>0</v>
      </c>
      <c r="G3418" s="28">
        <f>IF(MOD(G3410,Inputs!$D$21)=Inputs!$D$6,Inputs!$D$24,Inputs!$D$6)+SUMPRODUCT(--(G3410&gt;$D$3410:$M$3410),--(MOD(G3410-$D$3410:$M$3410,Inputs!$D$21)=Inputs!$D$6),$D$3417:$M$3417)</f>
        <v>46</v>
      </c>
      <c r="H3418" s="28">
        <f>IF(MOD(H3410,Inputs!$D$21)=Inputs!$D$6,Inputs!$D$24,Inputs!$D$6)+SUMPRODUCT(--(H3410&gt;$D$3410:$M$3410),--(MOD(H3410-$D$3410:$M$3410,Inputs!$D$21)=Inputs!$D$6),$D$3417:$M$3417)</f>
        <v>259.5</v>
      </c>
      <c r="I3418" s="28">
        <f>IF(MOD(I3410,Inputs!$D$21)=Inputs!$D$6,Inputs!$D$24,Inputs!$D$6)+SUMPRODUCT(--(I3410&gt;$D$3410:$M$3410),--(MOD(I3410-$D$3410:$M$3410,Inputs!$D$21)=Inputs!$D$6),$D$3417:$M$3417)</f>
        <v>346</v>
      </c>
      <c r="J3418" s="28">
        <f>IF(MOD(J3410,Inputs!$D$21)=Inputs!$D$6,Inputs!$D$24,Inputs!$D$6)+SUMPRODUCT(--(J3410&gt;$D$3410:$M$3410),--(MOD(J3410-$D$3410:$M$3410,Inputs!$D$21)=Inputs!$D$6),$D$3417:$M$3417)</f>
        <v>259.5</v>
      </c>
      <c r="K3418" s="28">
        <f>IF(MOD(K3410,Inputs!$D$21)=Inputs!$D$6,Inputs!$D$24,Inputs!$D$6)+SUMPRODUCT(--(K3410&gt;$D$3410:$M$3410),--(MOD(K3410-$D$3410:$M$3410,Inputs!$D$21)=Inputs!$D$6),$D$3417:$M$3417)</f>
        <v>46</v>
      </c>
      <c r="L3418" s="28">
        <f>IF(MOD(L3410,Inputs!$D$21)=Inputs!$D$6,Inputs!$D$24,Inputs!$D$6)+SUMPRODUCT(--(L3410&gt;$D$3410:$M$3410),--(MOD(L3410-$D$3410:$M$3410,Inputs!$D$21)=Inputs!$D$6),$D$3417:$M$3417)</f>
        <v>259.5</v>
      </c>
      <c r="M3418" s="28">
        <f>IF(MOD(M3410,Inputs!$D$21)=Inputs!$D$6,Inputs!$D$24,Inputs!$D$6)+SUMPRODUCT(--(M3410&gt;$D$3410:$M$3410),--(MOD(M3410-$D$3410:$M$3410,Inputs!$D$21)=Inputs!$D$6),$D$3417:$M$3417)</f>
        <v>346</v>
      </c>
    </row>
    <row r="3419" spans="1:13" ht="15" customHeight="1" x14ac:dyDescent="0.2">
      <c r="B3419" s="10" t="s">
        <v>895</v>
      </c>
      <c r="C3419" s="10" t="s">
        <v>896</v>
      </c>
      <c r="D3419" s="28">
        <f t="shared" ref="D3419:M3419" si="742">D3416*D3413</f>
        <v>125.58726899383984</v>
      </c>
      <c r="E3419" s="28">
        <f t="shared" si="742"/>
        <v>478.5</v>
      </c>
      <c r="F3419" s="28">
        <f t="shared" si="742"/>
        <v>781.25</v>
      </c>
      <c r="G3419" s="28">
        <f t="shared" si="742"/>
        <v>911</v>
      </c>
      <c r="H3419" s="28">
        <f t="shared" si="742"/>
        <v>911</v>
      </c>
      <c r="I3419" s="28">
        <f t="shared" si="742"/>
        <v>911</v>
      </c>
      <c r="J3419" s="28">
        <f t="shared" si="742"/>
        <v>911</v>
      </c>
      <c r="K3419" s="28">
        <f t="shared" si="742"/>
        <v>911</v>
      </c>
      <c r="L3419" s="28">
        <f t="shared" si="742"/>
        <v>911</v>
      </c>
      <c r="M3419" s="28">
        <f t="shared" si="742"/>
        <v>911</v>
      </c>
    </row>
    <row r="3420" spans="1:13" ht="15" customHeight="1" x14ac:dyDescent="0.2">
      <c r="B3420" s="10" t="s">
        <v>897</v>
      </c>
      <c r="C3420" s="10" t="s">
        <v>110</v>
      </c>
      <c r="D3420" s="16">
        <f>D3419*($D$3439/Inputs!$D$21+$D$3440/Inputs!$D$22)</f>
        <v>1816.9772859324419</v>
      </c>
      <c r="E3420" s="16">
        <f>E3419*($D$3439/Inputs!$D$21+$D$3440/Inputs!$D$22)</f>
        <v>6922.8643817497086</v>
      </c>
      <c r="F3420" s="16">
        <f>F3419*($D$3439/Inputs!$D$21+$D$3440/Inputs!$D$22)</f>
        <v>11303.0048030135</v>
      </c>
      <c r="G3420" s="16">
        <f>G3419*($D$3439/Inputs!$D$21+$D$3440/Inputs!$D$22)</f>
        <v>13180.207840697982</v>
      </c>
      <c r="H3420" s="16">
        <f>H3419*($D$3439/Inputs!$D$21+$D$3440/Inputs!$D$22)</f>
        <v>13180.207840697982</v>
      </c>
      <c r="I3420" s="16">
        <f>I3419*($D$3439/Inputs!$D$21+$D$3440/Inputs!$D$22)</f>
        <v>13180.207840697982</v>
      </c>
      <c r="J3420" s="16">
        <f>J3419*($D$3439/Inputs!$D$21+$D$3440/Inputs!$D$22)</f>
        <v>13180.207840697982</v>
      </c>
      <c r="K3420" s="16">
        <f>K3419*($D$3439/Inputs!$D$21+$D$3440/Inputs!$D$22)</f>
        <v>13180.207840697982</v>
      </c>
      <c r="L3420" s="16">
        <f>L3419*($D$3439/Inputs!$D$21+$D$3440/Inputs!$D$22)</f>
        <v>13180.207840697982</v>
      </c>
      <c r="M3420" s="16">
        <f>M3419*($D$3439/Inputs!$D$21+$D$3440/Inputs!$D$22)</f>
        <v>13180.207840697982</v>
      </c>
    </row>
    <row r="3421" spans="1:13" ht="15" customHeight="1" x14ac:dyDescent="0.2">
      <c r="B3421" s="10" t="s">
        <v>898</v>
      </c>
      <c r="C3421" s="10" t="s">
        <v>110</v>
      </c>
      <c r="D3421" s="16">
        <f t="shared" ref="D3421:M3421" si="743">D3417*($D$3439+$D$3440)</f>
        <v>15560.968620146154</v>
      </c>
      <c r="E3421" s="16">
        <f t="shared" si="743"/>
        <v>20747.95816019487</v>
      </c>
      <c r="F3421" s="16">
        <f t="shared" si="743"/>
        <v>15560.968620146154</v>
      </c>
      <c r="G3421" s="16">
        <f t="shared" si="743"/>
        <v>0</v>
      </c>
      <c r="H3421" s="16">
        <f t="shared" si="743"/>
        <v>0</v>
      </c>
      <c r="I3421" s="16">
        <f t="shared" si="743"/>
        <v>0</v>
      </c>
      <c r="J3421" s="16">
        <f t="shared" si="743"/>
        <v>0</v>
      </c>
      <c r="K3421" s="16">
        <f t="shared" si="743"/>
        <v>0</v>
      </c>
      <c r="L3421" s="16">
        <f t="shared" si="743"/>
        <v>0</v>
      </c>
      <c r="M3421" s="16">
        <f t="shared" si="743"/>
        <v>0</v>
      </c>
    </row>
    <row r="3422" spans="1:13" ht="15" customHeight="1" x14ac:dyDescent="0.2">
      <c r="B3422" s="10" t="s">
        <v>899</v>
      </c>
      <c r="C3422" s="10" t="s">
        <v>110</v>
      </c>
      <c r="D3422" s="16">
        <f t="shared" ref="D3422:M3422" si="744">D3418*$D$3439</f>
        <v>0</v>
      </c>
      <c r="E3422" s="16">
        <f t="shared" si="744"/>
        <v>0</v>
      </c>
      <c r="F3422" s="16">
        <f t="shared" si="744"/>
        <v>0</v>
      </c>
      <c r="G3422" s="16">
        <f t="shared" si="744"/>
        <v>2638.0048485671714</v>
      </c>
      <c r="H3422" s="16">
        <f t="shared" si="744"/>
        <v>14881.788221808281</v>
      </c>
      <c r="I3422" s="16">
        <f t="shared" si="744"/>
        <v>19842.384295744378</v>
      </c>
      <c r="J3422" s="16">
        <f t="shared" si="744"/>
        <v>14881.788221808281</v>
      </c>
      <c r="K3422" s="16">
        <f t="shared" si="744"/>
        <v>2638.0048485671714</v>
      </c>
      <c r="L3422" s="16">
        <f t="shared" si="744"/>
        <v>14881.788221808281</v>
      </c>
      <c r="M3422" s="16">
        <f t="shared" si="744"/>
        <v>19842.384295744378</v>
      </c>
    </row>
    <row r="3423" spans="1:13" ht="15" customHeight="1" x14ac:dyDescent="0.2">
      <c r="B3423" s="10" t="s">
        <v>900</v>
      </c>
      <c r="C3423" s="10" t="s">
        <v>199</v>
      </c>
      <c r="D3423" s="28">
        <f>D3417*Inputs!$D$23</f>
        <v>6.4875000000000007</v>
      </c>
      <c r="E3423" s="28">
        <f>E3417*Inputs!$D$23</f>
        <v>8.65</v>
      </c>
      <c r="F3423" s="28">
        <f>F3417*Inputs!$D$23</f>
        <v>6.4875000000000007</v>
      </c>
      <c r="G3423" s="28">
        <f>G3417*Inputs!$D$23</f>
        <v>0</v>
      </c>
      <c r="H3423" s="28">
        <f>H3417*Inputs!$D$23</f>
        <v>0</v>
      </c>
      <c r="I3423" s="28">
        <f>I3417*Inputs!$D$23</f>
        <v>0</v>
      </c>
      <c r="J3423" s="28">
        <f>J3417*Inputs!$D$23</f>
        <v>0</v>
      </c>
      <c r="K3423" s="28">
        <f>K3417*Inputs!$D$23</f>
        <v>0</v>
      </c>
      <c r="L3423" s="28">
        <f>L3417*Inputs!$D$23</f>
        <v>0</v>
      </c>
      <c r="M3423" s="28">
        <f>M3417*Inputs!$D$23</f>
        <v>0</v>
      </c>
    </row>
    <row r="3424" spans="1:13" ht="15" customHeight="1" x14ac:dyDescent="0.2">
      <c r="B3424" s="3" t="s">
        <v>901</v>
      </c>
      <c r="C3424" s="10" t="s">
        <v>896</v>
      </c>
      <c r="D3424" s="28">
        <f>(D3419*$D$3437*(Inputs!$D$7-Inputs!$D$19)-D3423)/(Inputs!$D$7+$D$3438)^D3412</f>
        <v>34.553405364425309</v>
      </c>
      <c r="E3424" s="28">
        <f>(E3419*$D$3437*(Inputs!$D$7-Inputs!$D$19)-E3423)/(Inputs!$D$7+$D$3438)^E3412</f>
        <v>130.74636078479486</v>
      </c>
      <c r="F3424" s="28">
        <f>(F3419*$D$3437*(Inputs!$D$7-Inputs!$D$19)-F3423)/(Inputs!$D$7+$D$3438)^F3412</f>
        <v>196.22590281428219</v>
      </c>
      <c r="G3424" s="28">
        <f>(G3419*$D$3437*(Inputs!$D$7-Inputs!$D$19)-G3423)/(Inputs!$D$7+$D$3438)^G3412</f>
        <v>209.2803713494331</v>
      </c>
      <c r="H3424" s="28">
        <f>(H3419*$D$3437*(Inputs!$D$7-Inputs!$D$19)-H3423)/(Inputs!$D$7+$D$3438)^H3412</f>
        <v>186.8719693768727</v>
      </c>
      <c r="I3424" s="28">
        <f>(I3419*$D$3437*(Inputs!$D$7-Inputs!$D$19)-I3423)/(Inputs!$D$7+$D$3438)^I3412</f>
        <v>166.81114988976415</v>
      </c>
      <c r="J3424" s="28">
        <f>(J3419*$D$3437*(Inputs!$D$7-Inputs!$D$19)-J3423)/(Inputs!$D$7+$D$3438)^J3412</f>
        <v>148.95008018632026</v>
      </c>
      <c r="K3424" s="28">
        <f>(K3419*$D$3437*(Inputs!$D$7-Inputs!$D$19)-K3423)/(Inputs!$D$7+$D$3438)^K3412</f>
        <v>133.00145944784117</v>
      </c>
      <c r="L3424" s="28">
        <f>(L3419*$D$3437*(Inputs!$D$7-Inputs!$D$19)-L3423)/(Inputs!$D$7+$D$3438)^L3412</f>
        <v>118.76051488611658</v>
      </c>
      <c r="M3424" s="28">
        <f>(M3419*$D$3437*(Inputs!$D$7-Inputs!$D$19)-M3423)/(Inputs!$D$7+$D$3438)^M3412</f>
        <v>106.01150143444319</v>
      </c>
    </row>
    <row r="3425" spans="2:13" ht="15" customHeight="1" x14ac:dyDescent="0.2">
      <c r="B3425" s="10" t="s">
        <v>902</v>
      </c>
      <c r="C3425" s="10" t="s">
        <v>110</v>
      </c>
      <c r="D3425" s="16">
        <f>(D3420*Inputs!$D$19-D3421-D3422)/(Inputs!$D$7+$D$3438)^D3412</f>
        <v>-13847.790632947557</v>
      </c>
      <c r="E3425" s="16">
        <f>(E3420*Inputs!$D$19-E3421-E3422)/(Inputs!$D$7+$D$3438)^E3412</f>
        <v>-15370.239105459035</v>
      </c>
      <c r="F3425" s="16">
        <f>(F3420*Inputs!$D$19-F3421-F3422)/(Inputs!$D$7+$D$3438)^F3412</f>
        <v>-8945.8041564234754</v>
      </c>
      <c r="G3425" s="16">
        <f>(G3420*Inputs!$D$19-G3421-G3422)/(Inputs!$D$7+$D$3438)^G3412</f>
        <v>863.80744262020482</v>
      </c>
      <c r="H3425" s="16">
        <f>(H3420*Inputs!$D$19-H3421-H3422)/(Inputs!$D$7+$D$3438)^H3412</f>
        <v>-6404.5339628745278</v>
      </c>
      <c r="I3425" s="16">
        <f>(I3420*Inputs!$D$19-I3421-I3422)/(Inputs!$D$7+$D$3438)^I3412</f>
        <v>-8312.2134333380691</v>
      </c>
      <c r="J3425" s="16">
        <f>(J3420*Inputs!$D$19-J3421-J3422)/(Inputs!$D$7+$D$3438)^J3412</f>
        <v>-5104.8632414329013</v>
      </c>
      <c r="K3425" s="16">
        <f>(K3420*Inputs!$D$19-K3421-K3422)/(Inputs!$D$7+$D$3438)^K3412</f>
        <v>548.96524604578394</v>
      </c>
      <c r="L3425" s="16">
        <f>(L3420*Inputs!$D$19-L3421-L3422)/(Inputs!$D$7+$D$3438)^L3412</f>
        <v>-4070.1971171644977</v>
      </c>
      <c r="M3425" s="16">
        <f>(M3420*Inputs!$D$19-M3421-M3422)/(Inputs!$D$7+$D$3438)^M3412</f>
        <v>-5282.5619084458349</v>
      </c>
    </row>
    <row r="3426" spans="2:13" ht="15" customHeight="1" x14ac:dyDescent="0.2">
      <c r="B3426" s="10" t="s">
        <v>903</v>
      </c>
      <c r="C3426" s="10" t="s">
        <v>110</v>
      </c>
      <c r="D3426" s="16">
        <f t="shared" ref="D3426:M3426" si="745">D3419*$D$3436</f>
        <v>6132.9653287909841</v>
      </c>
      <c r="E3426" s="16">
        <f t="shared" si="745"/>
        <v>23367.208582029372</v>
      </c>
      <c r="F3426" s="16">
        <f t="shared" si="745"/>
        <v>38151.790396469063</v>
      </c>
      <c r="G3426" s="16">
        <f t="shared" si="745"/>
        <v>44488.039745514645</v>
      </c>
      <c r="H3426" s="16">
        <f t="shared" si="745"/>
        <v>44488.039745514645</v>
      </c>
      <c r="I3426" s="16">
        <f t="shared" si="745"/>
        <v>44488.039745514645</v>
      </c>
      <c r="J3426" s="16">
        <f t="shared" si="745"/>
        <v>44488.039745514645</v>
      </c>
      <c r="K3426" s="16">
        <f t="shared" si="745"/>
        <v>44488.039745514645</v>
      </c>
      <c r="L3426" s="16">
        <f t="shared" si="745"/>
        <v>44488.039745514645</v>
      </c>
      <c r="M3426" s="16">
        <f t="shared" si="745"/>
        <v>44488.039745514645</v>
      </c>
    </row>
    <row r="3427" spans="2:13" ht="15" customHeight="1" x14ac:dyDescent="0.2">
      <c r="B3427" s="10" t="s">
        <v>904</v>
      </c>
      <c r="C3427" s="10" t="s">
        <v>110</v>
      </c>
      <c r="D3427" s="16">
        <f t="shared" ref="D3427:M3427" si="746">D3426*$D$3437</f>
        <v>3066.4826643954921</v>
      </c>
      <c r="E3427" s="16">
        <f t="shared" si="746"/>
        <v>11683.604291014686</v>
      </c>
      <c r="F3427" s="16">
        <f t="shared" si="746"/>
        <v>19075.895198234532</v>
      </c>
      <c r="G3427" s="16">
        <f t="shared" si="746"/>
        <v>22244.019872757322</v>
      </c>
      <c r="H3427" s="16">
        <f t="shared" si="746"/>
        <v>22244.019872757322</v>
      </c>
      <c r="I3427" s="16">
        <f t="shared" si="746"/>
        <v>22244.019872757322</v>
      </c>
      <c r="J3427" s="16">
        <f t="shared" si="746"/>
        <v>22244.019872757322</v>
      </c>
      <c r="K3427" s="16">
        <f t="shared" si="746"/>
        <v>22244.019872757322</v>
      </c>
      <c r="L3427" s="16">
        <f t="shared" si="746"/>
        <v>22244.019872757322</v>
      </c>
      <c r="M3427" s="16">
        <f t="shared" si="746"/>
        <v>22244.019872757322</v>
      </c>
    </row>
    <row r="3428" spans="2:13" ht="15" customHeight="1" x14ac:dyDescent="0.2">
      <c r="B3428" s="10" t="s">
        <v>905</v>
      </c>
      <c r="C3428" s="10" t="s">
        <v>110</v>
      </c>
      <c r="D3428" s="16">
        <f t="shared" ref="D3428:M3428" si="747">D3427-D3420</f>
        <v>1249.5053784630502</v>
      </c>
      <c r="E3428" s="16">
        <f t="shared" si="747"/>
        <v>4760.7399092649775</v>
      </c>
      <c r="F3428" s="16">
        <f t="shared" si="747"/>
        <v>7772.8903952210312</v>
      </c>
      <c r="G3428" s="16">
        <f t="shared" si="747"/>
        <v>9063.8120320593407</v>
      </c>
      <c r="H3428" s="16">
        <f t="shared" si="747"/>
        <v>9063.8120320593407</v>
      </c>
      <c r="I3428" s="16">
        <f t="shared" si="747"/>
        <v>9063.8120320593407</v>
      </c>
      <c r="J3428" s="16">
        <f t="shared" si="747"/>
        <v>9063.8120320593407</v>
      </c>
      <c r="K3428" s="16">
        <f t="shared" si="747"/>
        <v>9063.8120320593407</v>
      </c>
      <c r="L3428" s="16">
        <f t="shared" si="747"/>
        <v>9063.8120320593407</v>
      </c>
      <c r="M3428" s="16">
        <f t="shared" si="747"/>
        <v>9063.8120320593407</v>
      </c>
    </row>
    <row r="3429" spans="2:13" ht="15" customHeight="1" x14ac:dyDescent="0.2">
      <c r="B3429" s="10" t="s">
        <v>906</v>
      </c>
      <c r="C3429" s="10" t="s">
        <v>110</v>
      </c>
      <c r="D3429" s="16">
        <f>MAX(D3428,Inputs!$D$6)*Inputs!$D$19</f>
        <v>374.85161353891505</v>
      </c>
      <c r="E3429" s="16">
        <f>MAX(E3428,Inputs!$D$6)*Inputs!$D$19</f>
        <v>1428.2219727794932</v>
      </c>
      <c r="F3429" s="16">
        <f>MAX(F3428,Inputs!$D$6)*Inputs!$D$19</f>
        <v>2331.8671185663093</v>
      </c>
      <c r="G3429" s="16">
        <f>MAX(G3428,Inputs!$D$6)*Inputs!$D$19</f>
        <v>2719.1436096178022</v>
      </c>
      <c r="H3429" s="16">
        <f>MAX(H3428,Inputs!$D$6)*Inputs!$D$19</f>
        <v>2719.1436096178022</v>
      </c>
      <c r="I3429" s="16">
        <f>MAX(I3428,Inputs!$D$6)*Inputs!$D$19</f>
        <v>2719.1436096178022</v>
      </c>
      <c r="J3429" s="16">
        <f>MAX(J3428,Inputs!$D$6)*Inputs!$D$19</f>
        <v>2719.1436096178022</v>
      </c>
      <c r="K3429" s="16">
        <f>MAX(K3428,Inputs!$D$6)*Inputs!$D$19</f>
        <v>2719.1436096178022</v>
      </c>
      <c r="L3429" s="16">
        <f>MAX(L3428,Inputs!$D$6)*Inputs!$D$19</f>
        <v>2719.1436096178022</v>
      </c>
      <c r="M3429" s="16">
        <f>MAX(M3428,Inputs!$D$6)*Inputs!$D$19</f>
        <v>2719.1436096178022</v>
      </c>
    </row>
    <row r="3430" spans="2:13" ht="15" customHeight="1" x14ac:dyDescent="0.2">
      <c r="B3430" s="10" t="s">
        <v>907</v>
      </c>
      <c r="C3430" s="10" t="s">
        <v>110</v>
      </c>
      <c r="D3430" s="16">
        <f t="shared" ref="D3430:M3430" si="748">D3423*$D$3436</f>
        <v>316.81246745227918</v>
      </c>
      <c r="E3430" s="16">
        <f t="shared" si="748"/>
        <v>422.4166232697055</v>
      </c>
      <c r="F3430" s="16">
        <f t="shared" si="748"/>
        <v>316.81246745227918</v>
      </c>
      <c r="G3430" s="16">
        <f t="shared" si="748"/>
        <v>0</v>
      </c>
      <c r="H3430" s="16">
        <f t="shared" si="748"/>
        <v>0</v>
      </c>
      <c r="I3430" s="16">
        <f t="shared" si="748"/>
        <v>0</v>
      </c>
      <c r="J3430" s="16">
        <f t="shared" si="748"/>
        <v>0</v>
      </c>
      <c r="K3430" s="16">
        <f t="shared" si="748"/>
        <v>0</v>
      </c>
      <c r="L3430" s="16">
        <f t="shared" si="748"/>
        <v>0</v>
      </c>
      <c r="M3430" s="16">
        <f t="shared" si="748"/>
        <v>0</v>
      </c>
    </row>
    <row r="3431" spans="2:13" ht="15" customHeight="1" x14ac:dyDescent="0.2">
      <c r="B3431" s="10" t="s">
        <v>908</v>
      </c>
      <c r="C3431" s="10" t="s">
        <v>110</v>
      </c>
      <c r="D3431" s="16">
        <f t="shared" ref="D3431:M3431" si="749">D3427-D3429-D3421-D3422-D3430</f>
        <v>-13186.150036741856</v>
      </c>
      <c r="E3431" s="16">
        <f t="shared" si="749"/>
        <v>-10914.992465229383</v>
      </c>
      <c r="F3431" s="16">
        <f t="shared" si="749"/>
        <v>866.24699206979085</v>
      </c>
      <c r="G3431" s="16">
        <f t="shared" si="749"/>
        <v>16886.87141457235</v>
      </c>
      <c r="H3431" s="16">
        <f t="shared" si="749"/>
        <v>4643.0880413312407</v>
      </c>
      <c r="I3431" s="16">
        <f t="shared" si="749"/>
        <v>-317.50803260485554</v>
      </c>
      <c r="J3431" s="16">
        <f t="shared" si="749"/>
        <v>4643.0880413312407</v>
      </c>
      <c r="K3431" s="16">
        <f t="shared" si="749"/>
        <v>16886.87141457235</v>
      </c>
      <c r="L3431" s="16">
        <f t="shared" si="749"/>
        <v>4643.0880413312407</v>
      </c>
      <c r="M3431" s="16">
        <f t="shared" si="749"/>
        <v>-317.50803260485554</v>
      </c>
    </row>
    <row r="3432" spans="2:13" ht="15" customHeight="1" x14ac:dyDescent="0.2">
      <c r="B3432" s="10" t="s">
        <v>909</v>
      </c>
      <c r="C3432" s="10" t="s">
        <v>110</v>
      </c>
      <c r="D3432" s="16">
        <f>D3431/(Inputs!$D$7+$D$3438)^D3412</f>
        <v>-12160.399555894395</v>
      </c>
      <c r="E3432" s="16">
        <f>E3431/(Inputs!$D$7+$D$3438)^E3412</f>
        <v>-8985.3331832028871</v>
      </c>
      <c r="F3432" s="16">
        <f>F3431/(Inputs!$D$7+$D$3438)^F3412</f>
        <v>636.7488221728828</v>
      </c>
      <c r="G3432" s="16">
        <f>G3431/(Inputs!$D$7+$D$3438)^G3412</f>
        <v>11083.866145748247</v>
      </c>
      <c r="H3432" s="16">
        <f>H3431/(Inputs!$D$7+$D$3438)^H3412</f>
        <v>2721.2263016270208</v>
      </c>
      <c r="I3432" s="16">
        <f>I3431/(Inputs!$D$7+$D$3438)^I3412</f>
        <v>-166.10907956108733</v>
      </c>
      <c r="J3432" s="16">
        <f>J3431/(Inputs!$D$7+$D$3438)^J3412</f>
        <v>2169.0084242384601</v>
      </c>
      <c r="K3432" s="16">
        <f>K3431/(Inputs!$D$7+$D$3438)^K3412</f>
        <v>7043.9973142422859</v>
      </c>
      <c r="L3432" s="16">
        <f>L3431/(Inputs!$D$7+$D$3438)^L3412</f>
        <v>1729.3885101146893</v>
      </c>
      <c r="M3432" s="16">
        <f>M3431/(Inputs!$D$7+$D$3438)^M3412</f>
        <v>-105.56532304825744</v>
      </c>
    </row>
    <row r="3433" spans="2:13" ht="15" customHeight="1" x14ac:dyDescent="0.2">
      <c r="B3433" s="3" t="s">
        <v>910</v>
      </c>
      <c r="C3433" s="10" t="s">
        <v>896</v>
      </c>
      <c r="D3433" s="28">
        <f>(D3419*$D$3437-D3423)/(Inputs!$D$7+$D$3438)^D3412</f>
        <v>51.926080851697769</v>
      </c>
      <c r="E3433" s="28">
        <f>(E3419*$D$3437-E3423)/(Inputs!$D$7+$D$3438)^E3412</f>
        <v>189.83227323767477</v>
      </c>
      <c r="F3433" s="28">
        <f>(F3419*$D$3437-F3423)/(Inputs!$D$7+$D$3438)^F3412</f>
        <v>282.36646466499843</v>
      </c>
      <c r="G3433" s="28">
        <f>(G3419*$D$3437-G3423)/(Inputs!$D$7+$D$3438)^G3412</f>
        <v>298.97195907061871</v>
      </c>
      <c r="H3433" s="28">
        <f>(H3419*$D$3437-H3423)/(Inputs!$D$7+$D$3438)^H3412</f>
        <v>266.95995625267534</v>
      </c>
      <c r="I3433" s="28">
        <f>(I3419*$D$3437-I3423)/(Inputs!$D$7+$D$3438)^I3412</f>
        <v>238.30164269966312</v>
      </c>
      <c r="J3433" s="28">
        <f>(J3419*$D$3437-J3423)/(Inputs!$D$7+$D$3438)^J3412</f>
        <v>212.78582883760038</v>
      </c>
      <c r="K3433" s="28">
        <f>(K3419*$D$3437-K3423)/(Inputs!$D$7+$D$3438)^K3412</f>
        <v>190.00208492548742</v>
      </c>
      <c r="L3433" s="28">
        <f>(L3419*$D$3437-L3423)/(Inputs!$D$7+$D$3438)^L3412</f>
        <v>169.65787840873799</v>
      </c>
      <c r="M3433" s="28">
        <f>(M3419*$D$3437-M3423)/(Inputs!$D$7+$D$3438)^M3412</f>
        <v>151.44500204920459</v>
      </c>
    </row>
    <row r="3434" spans="2:13" ht="15" customHeight="1" x14ac:dyDescent="0.2">
      <c r="B3434" s="10" t="s">
        <v>911</v>
      </c>
      <c r="C3434" s="10" t="s">
        <v>110</v>
      </c>
      <c r="D3434" s="16">
        <f>(-D3421-D3422)/(Inputs!$D$7+$D$3438)^D3412</f>
        <v>-14350.481025200577</v>
      </c>
      <c r="E3434" s="16">
        <f>(-E3421-E3422)/(Inputs!$D$7+$D$3438)^E3412</f>
        <v>-17079.930887207098</v>
      </c>
      <c r="F3434" s="16">
        <f>(-F3421-F3422)/(Inputs!$D$7+$D$3438)^F3412</f>
        <v>-11438.340948315768</v>
      </c>
      <c r="G3434" s="16">
        <f>(-G3421-G3422)/(Inputs!$D$7+$D$3438)^G3412</f>
        <v>-1731.4807411941122</v>
      </c>
      <c r="H3434" s="16">
        <f>(-H3421-H3422)/(Inputs!$D$7+$D$3438)^H3412</f>
        <v>-8721.9353076959778</v>
      </c>
      <c r="I3434" s="16">
        <f>(-I3421-I3422)/(Inputs!$D$7+$D$3438)^I3412</f>
        <v>-10380.8403353543</v>
      </c>
      <c r="J3434" s="16">
        <f>(-J3421-J3422)/(Inputs!$D$7+$D$3438)^J3412</f>
        <v>-6951.9948218729187</v>
      </c>
      <c r="K3434" s="16">
        <f>(-K3421-K3422)/(Inputs!$D$7+$D$3438)^K3412</f>
        <v>-1100.3873134386547</v>
      </c>
      <c r="L3434" s="16">
        <f>(-L3421-L3422)/(Inputs!$D$7+$D$3438)^L3412</f>
        <v>-5542.947566718196</v>
      </c>
      <c r="M3434" s="16">
        <f>(-M3421-M3422)/(Inputs!$D$7+$D$3438)^M3412</f>
        <v>-6597.2117021517279</v>
      </c>
    </row>
    <row r="3435" spans="2:13" ht="15" customHeight="1" x14ac:dyDescent="0.2">
      <c r="B3435" s="10" t="s">
        <v>912</v>
      </c>
      <c r="C3435" s="10" t="s">
        <v>110</v>
      </c>
      <c r="D3435" s="16">
        <f>Prices!I9</f>
        <v>21850</v>
      </c>
    </row>
    <row r="3436" spans="2:13" ht="15" customHeight="1" x14ac:dyDescent="0.2">
      <c r="B3436" s="3" t="s">
        <v>913</v>
      </c>
      <c r="C3436" s="10" t="s">
        <v>914</v>
      </c>
      <c r="D3436" s="28">
        <f>IF(J3443&gt;=J3439,J3443,(D3435-J3442)/J3441)</f>
        <v>48.834291707480403</v>
      </c>
      <c r="G3436" s="99" t="s">
        <v>915</v>
      </c>
      <c r="H3436" s="91"/>
      <c r="I3436" s="91"/>
      <c r="J3436" s="28">
        <f>D3436*Inputs!$D$15</f>
        <v>34.081452182650573</v>
      </c>
      <c r="K3436" s="99" t="s">
        <v>916</v>
      </c>
      <c r="L3436" s="91"/>
      <c r="M3436" s="91"/>
    </row>
    <row r="3437" spans="2:13" ht="15" customHeight="1" x14ac:dyDescent="0.2">
      <c r="B3437" s="10" t="s">
        <v>917</v>
      </c>
      <c r="C3437" s="10" t="s">
        <v>104</v>
      </c>
      <c r="D3437" s="30">
        <f>Inputs!$D$140</f>
        <v>0.5</v>
      </c>
      <c r="G3437" s="99" t="s">
        <v>918</v>
      </c>
      <c r="H3437" s="91"/>
      <c r="I3437" s="91"/>
      <c r="J3437" s="28">
        <f>IF(-D3448/D3447&gt;=J3439,-D3448/D3447,-J3442/J3441)</f>
        <v>40.342352538398764</v>
      </c>
      <c r="K3437" s="99" t="s">
        <v>919</v>
      </c>
      <c r="L3437" s="91"/>
      <c r="M3437" s="91"/>
    </row>
    <row r="3438" spans="2:13" ht="15" customHeight="1" x14ac:dyDescent="0.2">
      <c r="B3438" s="10" t="s">
        <v>920</v>
      </c>
      <c r="C3438" s="10" t="s">
        <v>104</v>
      </c>
      <c r="D3438" s="30">
        <f>Inputs!$D$148</f>
        <v>0.12</v>
      </c>
      <c r="G3438" s="99" t="s">
        <v>918</v>
      </c>
      <c r="H3438" s="91"/>
      <c r="I3438" s="91"/>
      <c r="J3438" s="28">
        <f>J3437*Inputs!$D$15</f>
        <v>28.154927836548495</v>
      </c>
      <c r="K3438" s="99" t="s">
        <v>916</v>
      </c>
      <c r="L3438" s="91"/>
      <c r="M3438" s="91"/>
    </row>
    <row r="3439" spans="2:13" ht="15" customHeight="1" x14ac:dyDescent="0.2">
      <c r="B3439" s="3" t="s">
        <v>921</v>
      </c>
      <c r="C3439" s="10" t="s">
        <v>848</v>
      </c>
      <c r="D3439" s="28">
        <f>Capital!$D$13</f>
        <v>57.347931490590682</v>
      </c>
      <c r="G3439" s="99" t="s">
        <v>922</v>
      </c>
      <c r="H3439" s="91"/>
      <c r="I3439" s="91"/>
      <c r="J3439" s="28">
        <f>($D$3439/Inputs!$D$21+$D$3440/Inputs!$D$22)/$D$3437</f>
        <v>28.93569229571456</v>
      </c>
      <c r="K3439" s="99" t="s">
        <v>919</v>
      </c>
      <c r="L3439" s="91"/>
      <c r="M3439" s="91"/>
    </row>
    <row r="3440" spans="2:13" ht="15" customHeight="1" x14ac:dyDescent="0.2">
      <c r="B3440" s="3" t="s">
        <v>923</v>
      </c>
      <c r="C3440" s="10" t="s">
        <v>848</v>
      </c>
      <c r="D3440" s="28">
        <f>Capital!$D$14</f>
        <v>2.6172655041921802</v>
      </c>
    </row>
    <row r="3441" spans="1:13" ht="15" customHeight="1" x14ac:dyDescent="0.2">
      <c r="B3441" s="10" t="s">
        <v>924</v>
      </c>
      <c r="C3441" s="10" t="s">
        <v>896</v>
      </c>
      <c r="D3441" s="28">
        <f>(M3414*(Inputs!$D$7+Inputs!$D$20)*$D$3437*(Inputs!$D$7-Inputs!$D$19)-M3414*Inputs!$D$20*Inputs!$D$23)/($D$3438-Inputs!$D$20)/(Inputs!$D$7+$D$3438)^M3412</f>
        <v>1141.8156075551869</v>
      </c>
      <c r="G3441" s="92" t="s">
        <v>910</v>
      </c>
      <c r="H3441" s="91"/>
      <c r="I3441" s="91"/>
      <c r="J3441" s="28">
        <f>SUM(D3433:M3433)+(M3414*(Inputs!$D$7+Inputs!$D$20)*$D$3437-M3414*Inputs!$D$20*Inputs!$D$23)/($D$3438-Inputs!$D$20)/(Inputs!$D$7+$D$3438)^M3412</f>
        <v>3684.2683378180759</v>
      </c>
      <c r="K3441" s="99" t="s">
        <v>896</v>
      </c>
      <c r="L3441" s="91"/>
      <c r="M3441" s="91"/>
    </row>
    <row r="3442" spans="1:13" ht="15" customHeight="1" x14ac:dyDescent="0.2">
      <c r="B3442" s="10" t="s">
        <v>925</v>
      </c>
      <c r="C3442" s="10" t="s">
        <v>110</v>
      </c>
      <c r="D3442" s="16">
        <f>(D3445*Inputs!$D$19-D3445-D3446)/($D$3438-Inputs!$D$20)/(Inputs!$D$7+$D$3438)^M3412</f>
        <v>-37876.58483194092</v>
      </c>
      <c r="G3442" s="92" t="s">
        <v>926</v>
      </c>
      <c r="H3442" s="91"/>
      <c r="I3442" s="91"/>
      <c r="J3442" s="16">
        <f>SUM(D3434:M3434)-(D3445+D3446)/($D$3438-Inputs!$D$20)/(Inputs!$D$7+$D$3438)^M3412</f>
        <v>-135956.51483423277</v>
      </c>
      <c r="K3442" s="99" t="s">
        <v>110</v>
      </c>
      <c r="L3442" s="91"/>
      <c r="M3442" s="91"/>
    </row>
    <row r="3443" spans="1:13" ht="15" customHeight="1" x14ac:dyDescent="0.2">
      <c r="B3443" s="10" t="s">
        <v>927</v>
      </c>
      <c r="C3443" s="10" t="s">
        <v>928</v>
      </c>
      <c r="D3443" s="16">
        <f>(M3414*(Inputs!$D$7+Inputs!$D$20)*$D$3436*$D$3437-D3445)-MAX((M3414*(Inputs!$D$7+Inputs!$D$20)*$D$3436*$D$3437-D3445),Inputs!$D$6)*Inputs!$D$19-D3446-M3414*Inputs!$D$20*$D$3436*Inputs!$D$23</f>
        <v>5109.7727466054503</v>
      </c>
      <c r="G3443" s="99" t="s">
        <v>929</v>
      </c>
      <c r="H3443" s="91"/>
      <c r="I3443" s="91"/>
      <c r="J3443" s="28">
        <f>(D3435-D3448)/D3447</f>
        <v>48.834291707480403</v>
      </c>
      <c r="K3443" s="99" t="s">
        <v>919</v>
      </c>
      <c r="L3443" s="91"/>
      <c r="M3443" s="91"/>
    </row>
    <row r="3444" spans="1:13" ht="15" customHeight="1" x14ac:dyDescent="0.2">
      <c r="B3444" s="10" t="s">
        <v>930</v>
      </c>
      <c r="C3444" s="10" t="s">
        <v>110</v>
      </c>
      <c r="D3444" s="16">
        <f>D3443/($D$3438-Inputs!$D$20)</f>
        <v>53787.081543215267</v>
      </c>
      <c r="G3444" s="99" t="s">
        <v>931</v>
      </c>
      <c r="H3444" s="91"/>
      <c r="I3444" s="91"/>
      <c r="J3444" s="16">
        <f>MIN(D3428:M3428,(M3414*(Inputs!$D$7+Inputs!$D$20)*$D$3436*$D$3437-D3445))</f>
        <v>1249.5053784630502</v>
      </c>
      <c r="K3444" s="99" t="s">
        <v>110</v>
      </c>
      <c r="L3444" s="91"/>
      <c r="M3444" s="91"/>
    </row>
    <row r="3445" spans="1:13" ht="15" customHeight="1" x14ac:dyDescent="0.2">
      <c r="B3445" s="10" t="s">
        <v>932</v>
      </c>
      <c r="C3445" s="10" t="s">
        <v>928</v>
      </c>
      <c r="D3445" s="16">
        <f>M3414*(Inputs!$D$7+Inputs!$D$20)*($D$3439/Inputs!$D$21+$D$3440/Inputs!$D$22)</f>
        <v>13509.71303671543</v>
      </c>
      <c r="G3445" s="99" t="s">
        <v>933</v>
      </c>
      <c r="H3445" s="91"/>
      <c r="I3445" s="91"/>
      <c r="J3445" s="31" t="str">
        <f>IF(J3444&lt;Inputs!$D$6,"breached","satisfied")</f>
        <v>satisfied</v>
      </c>
      <c r="K3445" s="99" t="s">
        <v>934</v>
      </c>
      <c r="L3445" s="91"/>
      <c r="M3445" s="91"/>
    </row>
    <row r="3446" spans="1:13" ht="15" customHeight="1" x14ac:dyDescent="0.2">
      <c r="B3446" s="10" t="s">
        <v>935</v>
      </c>
      <c r="C3446" s="10" t="s">
        <v>928</v>
      </c>
      <c r="D3446" s="16">
        <f>M3414*Inputs!$D$20*($D$3439+$D$3440)</f>
        <v>1365.7073615561799</v>
      </c>
    </row>
    <row r="3447" spans="1:13" ht="15" customHeight="1" x14ac:dyDescent="0.2">
      <c r="B3447" s="10" t="s">
        <v>936</v>
      </c>
      <c r="C3447" s="10" t="s">
        <v>896</v>
      </c>
      <c r="D3447" s="28">
        <f>SUM(D3424:M3424)+D3441</f>
        <v>2573.0283230894806</v>
      </c>
      <c r="G3447" s="99" t="s">
        <v>937</v>
      </c>
      <c r="H3447" s="91"/>
      <c r="I3447" s="91"/>
      <c r="J3447" s="16">
        <f>D3449-D3435</f>
        <v>0</v>
      </c>
      <c r="K3447" s="99" t="s">
        <v>110</v>
      </c>
      <c r="L3447" s="91"/>
      <c r="M3447" s="91"/>
    </row>
    <row r="3448" spans="1:13" ht="15" customHeight="1" x14ac:dyDescent="0.2">
      <c r="B3448" s="10" t="s">
        <v>938</v>
      </c>
      <c r="C3448" s="10" t="s">
        <v>110</v>
      </c>
      <c r="D3448" s="16">
        <f>SUM(D3425:M3425)+D3442</f>
        <v>-103802.01570136083</v>
      </c>
    </row>
    <row r="3449" spans="1:13" ht="15" customHeight="1" x14ac:dyDescent="0.2">
      <c r="B3449" s="10" t="s">
        <v>939</v>
      </c>
      <c r="C3449" s="10" t="s">
        <v>110</v>
      </c>
      <c r="D3449" s="16">
        <f>SUM(D3432:M3432)+D3444/(Inputs!$D$7+$D$3438)^M3412</f>
        <v>21850.000000000011</v>
      </c>
    </row>
    <row r="3450" spans="1:13" ht="15" customHeight="1" x14ac:dyDescent="0.2">
      <c r="B3450" s="10" t="s">
        <v>940</v>
      </c>
      <c r="C3450" s="10" t="s">
        <v>104</v>
      </c>
      <c r="D3450" s="30">
        <f>IF(ABS(D3435)&gt;Inputs!$D$6,D3449/D3435-Inputs!$D$7,Inputs!$D$6)</f>
        <v>4.4408920985006262E-16</v>
      </c>
    </row>
    <row r="3451" spans="1:13" ht="15" customHeight="1" x14ac:dyDescent="0.2">
      <c r="B3451" s="10" t="s">
        <v>941</v>
      </c>
      <c r="C3451" s="10" t="s">
        <v>104</v>
      </c>
      <c r="D3451" s="30">
        <f>IF(ABS(D3449)&gt;Inputs!$D$119,D3444/(Inputs!$D$7+$D$3438)^M3412/D3449,Inputs!$D$6)</f>
        <v>0.81845179055208439</v>
      </c>
    </row>
    <row r="3452" spans="1:13" ht="15" customHeight="1" x14ac:dyDescent="0.2">
      <c r="B3452" s="10" t="s">
        <v>942</v>
      </c>
      <c r="C3452" s="10" t="s">
        <v>943</v>
      </c>
      <c r="D3452" s="26">
        <f>$D$3436*Inputs!$D$8/Prices!$P$6/(Inputs!$D$26/Inputs!$D$25)/Inputs!$D$11/Inputs!$D$56</f>
        <v>8.880664282257074</v>
      </c>
    </row>
    <row r="3456" spans="1:13" ht="15" customHeight="1" x14ac:dyDescent="0.2">
      <c r="A3456" s="104" t="s">
        <v>2240</v>
      </c>
      <c r="B3456" s="10" t="s">
        <v>886</v>
      </c>
      <c r="C3456" s="10" t="s">
        <v>107</v>
      </c>
      <c r="D3456" s="28">
        <f>Inputs!$D$60</f>
        <v>1</v>
      </c>
      <c r="E3456" s="28">
        <f>Inputs!$D$62</f>
        <v>2</v>
      </c>
      <c r="F3456" s="28">
        <f>Inputs!$D$64</f>
        <v>3</v>
      </c>
      <c r="G3456" s="28">
        <f>Inputs!$D$66</f>
        <v>4</v>
      </c>
      <c r="H3456" s="28">
        <f>Inputs!$D$68</f>
        <v>5</v>
      </c>
      <c r="I3456" s="28">
        <f>Inputs!$D$70</f>
        <v>6</v>
      </c>
      <c r="J3456" s="28">
        <f>Inputs!$D$72</f>
        <v>7</v>
      </c>
      <c r="K3456" s="28">
        <f>Inputs!$D$74</f>
        <v>8</v>
      </c>
      <c r="L3456" s="28">
        <f>Inputs!$D$76</f>
        <v>9</v>
      </c>
      <c r="M3456" s="28">
        <f>Inputs!$D$78</f>
        <v>10</v>
      </c>
    </row>
    <row r="3457" spans="1:13" ht="15" customHeight="1" x14ac:dyDescent="0.2">
      <c r="A3457" s="91"/>
      <c r="B3457" s="10" t="s">
        <v>887</v>
      </c>
      <c r="C3457" s="10" t="s">
        <v>161</v>
      </c>
      <c r="D3457" s="29">
        <f>Inputs!$D$61</f>
        <v>46568</v>
      </c>
      <c r="E3457" s="29">
        <f>Inputs!$D$63</f>
        <v>46934</v>
      </c>
      <c r="F3457" s="29">
        <f>Inputs!$D$65</f>
        <v>47299</v>
      </c>
      <c r="G3457" s="29">
        <f>Inputs!$D$67</f>
        <v>47664</v>
      </c>
      <c r="H3457" s="29">
        <f>Inputs!$D$69</f>
        <v>48029</v>
      </c>
      <c r="I3457" s="29">
        <f>Inputs!$D$71</f>
        <v>48395</v>
      </c>
      <c r="J3457" s="29">
        <f>Inputs!$D$73</f>
        <v>48760</v>
      </c>
      <c r="K3457" s="29">
        <f>Inputs!$D$75</f>
        <v>49125</v>
      </c>
      <c r="L3457" s="29">
        <f>Inputs!$D$77</f>
        <v>49490</v>
      </c>
      <c r="M3457" s="29">
        <f>Inputs!$D$79</f>
        <v>49856</v>
      </c>
    </row>
    <row r="3458" spans="1:13" ht="15" customHeight="1" x14ac:dyDescent="0.2">
      <c r="A3458" s="91"/>
      <c r="B3458" s="10" t="s">
        <v>888</v>
      </c>
      <c r="C3458" s="10" t="s">
        <v>107</v>
      </c>
      <c r="D3458" s="28">
        <f>(D3457-Inputs!$D$13)/Inputs!$D$10</f>
        <v>0.71457905544147848</v>
      </c>
      <c r="E3458" s="28">
        <f>(E3457-Inputs!$D$13)/Inputs!$D$10</f>
        <v>1.7166324435318274</v>
      </c>
      <c r="F3458" s="28">
        <f>(F3457-Inputs!$D$13)/Inputs!$D$10</f>
        <v>2.7159479808350446</v>
      </c>
      <c r="G3458" s="28">
        <f>(G3457-Inputs!$D$13)/Inputs!$D$10</f>
        <v>3.7152635181382614</v>
      </c>
      <c r="H3458" s="28">
        <f>(H3457-Inputs!$D$13)/Inputs!$D$10</f>
        <v>4.7145790554414786</v>
      </c>
      <c r="I3458" s="28">
        <f>(I3457-Inputs!$D$13)/Inputs!$D$10</f>
        <v>5.7166324435318279</v>
      </c>
      <c r="J3458" s="28">
        <f>(J3457-Inputs!$D$13)/Inputs!$D$10</f>
        <v>6.7159479808350442</v>
      </c>
      <c r="K3458" s="28">
        <f>(K3457-Inputs!$D$13)/Inputs!$D$10</f>
        <v>7.7152635181382614</v>
      </c>
      <c r="L3458" s="28">
        <f>(L3457-Inputs!$D$13)/Inputs!$D$10</f>
        <v>8.7145790554414777</v>
      </c>
      <c r="M3458" s="28">
        <f>(M3457-Inputs!$D$13)/Inputs!$D$10</f>
        <v>9.716632443531827</v>
      </c>
    </row>
    <row r="3459" spans="1:13" ht="15" customHeight="1" x14ac:dyDescent="0.2">
      <c r="A3459" s="91"/>
      <c r="B3459" s="10" t="s">
        <v>889</v>
      </c>
      <c r="C3459" s="10" t="s">
        <v>107</v>
      </c>
      <c r="D3459" s="28">
        <f>D3458</f>
        <v>0.71457905544147848</v>
      </c>
      <c r="E3459" s="28">
        <f>Inputs!$D$7</f>
        <v>1</v>
      </c>
      <c r="F3459" s="28">
        <f>Inputs!$D$7</f>
        <v>1</v>
      </c>
      <c r="G3459" s="28">
        <f>Inputs!$D$7</f>
        <v>1</v>
      </c>
      <c r="H3459" s="28">
        <f>Inputs!$D$7</f>
        <v>1</v>
      </c>
      <c r="I3459" s="28">
        <f>Inputs!$D$7</f>
        <v>1</v>
      </c>
      <c r="J3459" s="28">
        <f>Inputs!$D$7</f>
        <v>1</v>
      </c>
      <c r="K3459" s="28">
        <f>Inputs!$D$7</f>
        <v>1</v>
      </c>
      <c r="L3459" s="28">
        <f>Inputs!$D$7</f>
        <v>1</v>
      </c>
      <c r="M3459" s="28">
        <f>Inputs!$D$7</f>
        <v>1</v>
      </c>
    </row>
    <row r="3460" spans="1:13" ht="15" customHeight="1" x14ac:dyDescent="0.2">
      <c r="A3460" s="91"/>
      <c r="B3460" s="3" t="s">
        <v>890</v>
      </c>
      <c r="C3460" s="10" t="s">
        <v>199</v>
      </c>
      <c r="D3460" s="28">
        <f>Inputs!$D$24+(Inputs!$D$80-Inputs!$D$24)*Inputs!$D$83</f>
        <v>305.5</v>
      </c>
      <c r="E3460" s="28">
        <f>Inputs!$D$24+(Inputs!$D$80-Inputs!$D$24)*Inputs!$D$84</f>
        <v>651.5</v>
      </c>
      <c r="F3460" s="28">
        <f>Inputs!$D$24+(Inputs!$D$80-Inputs!$D$24)*Inputs!$D$85</f>
        <v>911</v>
      </c>
      <c r="G3460" s="28">
        <f>Inputs!$D$24+(Inputs!$D$80-Inputs!$D$24)*Inputs!$D$86</f>
        <v>911</v>
      </c>
      <c r="H3460" s="28">
        <f>Inputs!$D$24+(Inputs!$D$80-Inputs!$D$24)*Inputs!$D$87</f>
        <v>911</v>
      </c>
      <c r="I3460" s="28">
        <f>Inputs!$D$24+(Inputs!$D$80-Inputs!$D$24)*Inputs!$D$88</f>
        <v>911</v>
      </c>
      <c r="J3460" s="28">
        <f>Inputs!$D$24+(Inputs!$D$80-Inputs!$D$24)*Inputs!$D$89</f>
        <v>911</v>
      </c>
      <c r="K3460" s="28">
        <f>Inputs!$D$24+(Inputs!$D$80-Inputs!$D$24)*Inputs!$D$90</f>
        <v>911</v>
      </c>
      <c r="L3460" s="28">
        <f>Inputs!$D$24+(Inputs!$D$80-Inputs!$D$24)*Inputs!$D$91</f>
        <v>911</v>
      </c>
      <c r="M3460" s="28">
        <f>Inputs!$D$24+(Inputs!$D$80-Inputs!$D$24)*Inputs!$D$92</f>
        <v>911</v>
      </c>
    </row>
    <row r="3461" spans="1:13" ht="15" customHeight="1" x14ac:dyDescent="0.2">
      <c r="A3461" s="91"/>
      <c r="B3461" s="10" t="s">
        <v>891</v>
      </c>
      <c r="C3461" s="10" t="s">
        <v>199</v>
      </c>
      <c r="D3461" s="28">
        <f>Inputs!$D$24</f>
        <v>46</v>
      </c>
      <c r="E3461" s="28">
        <f t="shared" ref="E3461:M3461" si="750">D3460</f>
        <v>305.5</v>
      </c>
      <c r="F3461" s="28">
        <f t="shared" si="750"/>
        <v>651.5</v>
      </c>
      <c r="G3461" s="28">
        <f t="shared" si="750"/>
        <v>911</v>
      </c>
      <c r="H3461" s="28">
        <f t="shared" si="750"/>
        <v>911</v>
      </c>
      <c r="I3461" s="28">
        <f t="shared" si="750"/>
        <v>911</v>
      </c>
      <c r="J3461" s="28">
        <f t="shared" si="750"/>
        <v>911</v>
      </c>
      <c r="K3461" s="28">
        <f t="shared" si="750"/>
        <v>911</v>
      </c>
      <c r="L3461" s="28">
        <f t="shared" si="750"/>
        <v>911</v>
      </c>
      <c r="M3461" s="28">
        <f t="shared" si="750"/>
        <v>911</v>
      </c>
    </row>
    <row r="3462" spans="1:13" ht="15" customHeight="1" x14ac:dyDescent="0.2">
      <c r="B3462" s="10" t="s">
        <v>892</v>
      </c>
      <c r="C3462" s="10" t="s">
        <v>199</v>
      </c>
      <c r="D3462" s="28">
        <f>(D3461+D3460)*Inputs!$D$12</f>
        <v>175.75</v>
      </c>
      <c r="E3462" s="28">
        <f>(E3461+E3460)*Inputs!$D$12</f>
        <v>478.5</v>
      </c>
      <c r="F3462" s="28">
        <f>(F3461+F3460)*Inputs!$D$12</f>
        <v>781.25</v>
      </c>
      <c r="G3462" s="28">
        <f>(G3461+G3460)*Inputs!$D$12</f>
        <v>911</v>
      </c>
      <c r="H3462" s="28">
        <f>(H3461+H3460)*Inputs!$D$12</f>
        <v>911</v>
      </c>
      <c r="I3462" s="28">
        <f>(I3461+I3460)*Inputs!$D$12</f>
        <v>911</v>
      </c>
      <c r="J3462" s="28">
        <f>(J3461+J3460)*Inputs!$D$12</f>
        <v>911</v>
      </c>
      <c r="K3462" s="28">
        <f>(K3461+K3460)*Inputs!$D$12</f>
        <v>911</v>
      </c>
      <c r="L3462" s="28">
        <f>(L3461+L3460)*Inputs!$D$12</f>
        <v>911</v>
      </c>
      <c r="M3462" s="28">
        <f>(M3461+M3460)*Inputs!$D$12</f>
        <v>911</v>
      </c>
    </row>
    <row r="3463" spans="1:13" ht="15" customHeight="1" x14ac:dyDescent="0.2">
      <c r="B3463" s="10" t="s">
        <v>893</v>
      </c>
      <c r="C3463" s="10" t="s">
        <v>199</v>
      </c>
      <c r="D3463" s="28">
        <f t="shared" ref="D3463:M3463" si="751">D3460-D3461</f>
        <v>259.5</v>
      </c>
      <c r="E3463" s="28">
        <f t="shared" si="751"/>
        <v>346</v>
      </c>
      <c r="F3463" s="28">
        <f t="shared" si="751"/>
        <v>259.5</v>
      </c>
      <c r="G3463" s="28">
        <f t="shared" si="751"/>
        <v>0</v>
      </c>
      <c r="H3463" s="28">
        <f t="shared" si="751"/>
        <v>0</v>
      </c>
      <c r="I3463" s="28">
        <f t="shared" si="751"/>
        <v>0</v>
      </c>
      <c r="J3463" s="28">
        <f t="shared" si="751"/>
        <v>0</v>
      </c>
      <c r="K3463" s="28">
        <f t="shared" si="751"/>
        <v>0</v>
      </c>
      <c r="L3463" s="28">
        <f t="shared" si="751"/>
        <v>0</v>
      </c>
      <c r="M3463" s="28">
        <f t="shared" si="751"/>
        <v>0</v>
      </c>
    </row>
    <row r="3464" spans="1:13" ht="15" customHeight="1" x14ac:dyDescent="0.2">
      <c r="B3464" s="10" t="s">
        <v>894</v>
      </c>
      <c r="C3464" s="10" t="s">
        <v>199</v>
      </c>
      <c r="D3464" s="28">
        <f>IF(MOD(D3456,Inputs!$D$21)=Inputs!$D$6,Inputs!$D$24,Inputs!$D$6)+SUMPRODUCT(--(D3456&gt;$D$3456:$M$3456),--(MOD(D3456-$D$3456:$M$3456,Inputs!$D$21)=Inputs!$D$6),$D$3463:$M$3463)</f>
        <v>0</v>
      </c>
      <c r="E3464" s="28">
        <f>IF(MOD(E3456,Inputs!$D$21)=Inputs!$D$6,Inputs!$D$24,Inputs!$D$6)+SUMPRODUCT(--(E3456&gt;$D$3456:$M$3456),--(MOD(E3456-$D$3456:$M$3456,Inputs!$D$21)=Inputs!$D$6),$D$3463:$M$3463)</f>
        <v>0</v>
      </c>
      <c r="F3464" s="28">
        <f>IF(MOD(F3456,Inputs!$D$21)=Inputs!$D$6,Inputs!$D$24,Inputs!$D$6)+SUMPRODUCT(--(F3456&gt;$D$3456:$M$3456),--(MOD(F3456-$D$3456:$M$3456,Inputs!$D$21)=Inputs!$D$6),$D$3463:$M$3463)</f>
        <v>0</v>
      </c>
      <c r="G3464" s="28">
        <f>IF(MOD(G3456,Inputs!$D$21)=Inputs!$D$6,Inputs!$D$24,Inputs!$D$6)+SUMPRODUCT(--(G3456&gt;$D$3456:$M$3456),--(MOD(G3456-$D$3456:$M$3456,Inputs!$D$21)=Inputs!$D$6),$D$3463:$M$3463)</f>
        <v>46</v>
      </c>
      <c r="H3464" s="28">
        <f>IF(MOD(H3456,Inputs!$D$21)=Inputs!$D$6,Inputs!$D$24,Inputs!$D$6)+SUMPRODUCT(--(H3456&gt;$D$3456:$M$3456),--(MOD(H3456-$D$3456:$M$3456,Inputs!$D$21)=Inputs!$D$6),$D$3463:$M$3463)</f>
        <v>259.5</v>
      </c>
      <c r="I3464" s="28">
        <f>IF(MOD(I3456,Inputs!$D$21)=Inputs!$D$6,Inputs!$D$24,Inputs!$D$6)+SUMPRODUCT(--(I3456&gt;$D$3456:$M$3456),--(MOD(I3456-$D$3456:$M$3456,Inputs!$D$21)=Inputs!$D$6),$D$3463:$M$3463)</f>
        <v>346</v>
      </c>
      <c r="J3464" s="28">
        <f>IF(MOD(J3456,Inputs!$D$21)=Inputs!$D$6,Inputs!$D$24,Inputs!$D$6)+SUMPRODUCT(--(J3456&gt;$D$3456:$M$3456),--(MOD(J3456-$D$3456:$M$3456,Inputs!$D$21)=Inputs!$D$6),$D$3463:$M$3463)</f>
        <v>259.5</v>
      </c>
      <c r="K3464" s="28">
        <f>IF(MOD(K3456,Inputs!$D$21)=Inputs!$D$6,Inputs!$D$24,Inputs!$D$6)+SUMPRODUCT(--(K3456&gt;$D$3456:$M$3456),--(MOD(K3456-$D$3456:$M$3456,Inputs!$D$21)=Inputs!$D$6),$D$3463:$M$3463)</f>
        <v>46</v>
      </c>
      <c r="L3464" s="28">
        <f>IF(MOD(L3456,Inputs!$D$21)=Inputs!$D$6,Inputs!$D$24,Inputs!$D$6)+SUMPRODUCT(--(L3456&gt;$D$3456:$M$3456),--(MOD(L3456-$D$3456:$M$3456,Inputs!$D$21)=Inputs!$D$6),$D$3463:$M$3463)</f>
        <v>259.5</v>
      </c>
      <c r="M3464" s="28">
        <f>IF(MOD(M3456,Inputs!$D$21)=Inputs!$D$6,Inputs!$D$24,Inputs!$D$6)+SUMPRODUCT(--(M3456&gt;$D$3456:$M$3456),--(MOD(M3456-$D$3456:$M$3456,Inputs!$D$21)=Inputs!$D$6),$D$3463:$M$3463)</f>
        <v>346</v>
      </c>
    </row>
    <row r="3465" spans="1:13" ht="15" customHeight="1" x14ac:dyDescent="0.2">
      <c r="B3465" s="10" t="s">
        <v>895</v>
      </c>
      <c r="C3465" s="10" t="s">
        <v>896</v>
      </c>
      <c r="D3465" s="28">
        <f t="shared" ref="D3465:M3465" si="752">D3462*D3459</f>
        <v>125.58726899383984</v>
      </c>
      <c r="E3465" s="28">
        <f t="shared" si="752"/>
        <v>478.5</v>
      </c>
      <c r="F3465" s="28">
        <f t="shared" si="752"/>
        <v>781.25</v>
      </c>
      <c r="G3465" s="28">
        <f t="shared" si="752"/>
        <v>911</v>
      </c>
      <c r="H3465" s="28">
        <f t="shared" si="752"/>
        <v>911</v>
      </c>
      <c r="I3465" s="28">
        <f t="shared" si="752"/>
        <v>911</v>
      </c>
      <c r="J3465" s="28">
        <f t="shared" si="752"/>
        <v>911</v>
      </c>
      <c r="K3465" s="28">
        <f t="shared" si="752"/>
        <v>911</v>
      </c>
      <c r="L3465" s="28">
        <f t="shared" si="752"/>
        <v>911</v>
      </c>
      <c r="M3465" s="28">
        <f t="shared" si="752"/>
        <v>911</v>
      </c>
    </row>
    <row r="3466" spans="1:13" ht="15" customHeight="1" x14ac:dyDescent="0.2">
      <c r="B3466" s="10" t="s">
        <v>897</v>
      </c>
      <c r="C3466" s="10" t="s">
        <v>110</v>
      </c>
      <c r="D3466" s="16">
        <f>D3465*($D$3485/Inputs!$D$21+$D$3486/Inputs!$D$22)</f>
        <v>1816.9772859324419</v>
      </c>
      <c r="E3466" s="16">
        <f>E3465*($D$3485/Inputs!$D$21+$D$3486/Inputs!$D$22)</f>
        <v>6922.8643817497086</v>
      </c>
      <c r="F3466" s="16">
        <f>F3465*($D$3485/Inputs!$D$21+$D$3486/Inputs!$D$22)</f>
        <v>11303.0048030135</v>
      </c>
      <c r="G3466" s="16">
        <f>G3465*($D$3485/Inputs!$D$21+$D$3486/Inputs!$D$22)</f>
        <v>13180.207840697982</v>
      </c>
      <c r="H3466" s="16">
        <f>H3465*($D$3485/Inputs!$D$21+$D$3486/Inputs!$D$22)</f>
        <v>13180.207840697982</v>
      </c>
      <c r="I3466" s="16">
        <f>I3465*($D$3485/Inputs!$D$21+$D$3486/Inputs!$D$22)</f>
        <v>13180.207840697982</v>
      </c>
      <c r="J3466" s="16">
        <f>J3465*($D$3485/Inputs!$D$21+$D$3486/Inputs!$D$22)</f>
        <v>13180.207840697982</v>
      </c>
      <c r="K3466" s="16">
        <f>K3465*($D$3485/Inputs!$D$21+$D$3486/Inputs!$D$22)</f>
        <v>13180.207840697982</v>
      </c>
      <c r="L3466" s="16">
        <f>L3465*($D$3485/Inputs!$D$21+$D$3486/Inputs!$D$22)</f>
        <v>13180.207840697982</v>
      </c>
      <c r="M3466" s="16">
        <f>M3465*($D$3485/Inputs!$D$21+$D$3486/Inputs!$D$22)</f>
        <v>13180.207840697982</v>
      </c>
    </row>
    <row r="3467" spans="1:13" ht="15" customHeight="1" x14ac:dyDescent="0.2">
      <c r="B3467" s="10" t="s">
        <v>898</v>
      </c>
      <c r="C3467" s="10" t="s">
        <v>110</v>
      </c>
      <c r="D3467" s="16">
        <f t="shared" ref="D3467:M3467" si="753">D3463*($D$3485+$D$3486)</f>
        <v>15560.968620146154</v>
      </c>
      <c r="E3467" s="16">
        <f t="shared" si="753"/>
        <v>20747.95816019487</v>
      </c>
      <c r="F3467" s="16">
        <f t="shared" si="753"/>
        <v>15560.968620146154</v>
      </c>
      <c r="G3467" s="16">
        <f t="shared" si="753"/>
        <v>0</v>
      </c>
      <c r="H3467" s="16">
        <f t="shared" si="753"/>
        <v>0</v>
      </c>
      <c r="I3467" s="16">
        <f t="shared" si="753"/>
        <v>0</v>
      </c>
      <c r="J3467" s="16">
        <f t="shared" si="753"/>
        <v>0</v>
      </c>
      <c r="K3467" s="16">
        <f t="shared" si="753"/>
        <v>0</v>
      </c>
      <c r="L3467" s="16">
        <f t="shared" si="753"/>
        <v>0</v>
      </c>
      <c r="M3467" s="16">
        <f t="shared" si="753"/>
        <v>0</v>
      </c>
    </row>
    <row r="3468" spans="1:13" ht="15" customHeight="1" x14ac:dyDescent="0.2">
      <c r="B3468" s="10" t="s">
        <v>899</v>
      </c>
      <c r="C3468" s="10" t="s">
        <v>110</v>
      </c>
      <c r="D3468" s="16">
        <f t="shared" ref="D3468:M3468" si="754">D3464*$D$3485</f>
        <v>0</v>
      </c>
      <c r="E3468" s="16">
        <f t="shared" si="754"/>
        <v>0</v>
      </c>
      <c r="F3468" s="16">
        <f t="shared" si="754"/>
        <v>0</v>
      </c>
      <c r="G3468" s="16">
        <f t="shared" si="754"/>
        <v>2638.0048485671714</v>
      </c>
      <c r="H3468" s="16">
        <f t="shared" si="754"/>
        <v>14881.788221808281</v>
      </c>
      <c r="I3468" s="16">
        <f t="shared" si="754"/>
        <v>19842.384295744378</v>
      </c>
      <c r="J3468" s="16">
        <f t="shared" si="754"/>
        <v>14881.788221808281</v>
      </c>
      <c r="K3468" s="16">
        <f t="shared" si="754"/>
        <v>2638.0048485671714</v>
      </c>
      <c r="L3468" s="16">
        <f t="shared" si="754"/>
        <v>14881.788221808281</v>
      </c>
      <c r="M3468" s="16">
        <f t="shared" si="754"/>
        <v>19842.384295744378</v>
      </c>
    </row>
    <row r="3469" spans="1:13" ht="15" customHeight="1" x14ac:dyDescent="0.2">
      <c r="B3469" s="10" t="s">
        <v>900</v>
      </c>
      <c r="C3469" s="10" t="s">
        <v>199</v>
      </c>
      <c r="D3469" s="28">
        <f>D3463*Inputs!$D$23</f>
        <v>6.4875000000000007</v>
      </c>
      <c r="E3469" s="28">
        <f>E3463*Inputs!$D$23</f>
        <v>8.65</v>
      </c>
      <c r="F3469" s="28">
        <f>F3463*Inputs!$D$23</f>
        <v>6.4875000000000007</v>
      </c>
      <c r="G3469" s="28">
        <f>G3463*Inputs!$D$23</f>
        <v>0</v>
      </c>
      <c r="H3469" s="28">
        <f>H3463*Inputs!$D$23</f>
        <v>0</v>
      </c>
      <c r="I3469" s="28">
        <f>I3463*Inputs!$D$23</f>
        <v>0</v>
      </c>
      <c r="J3469" s="28">
        <f>J3463*Inputs!$D$23</f>
        <v>0</v>
      </c>
      <c r="K3469" s="28">
        <f>K3463*Inputs!$D$23</f>
        <v>0</v>
      </c>
      <c r="L3469" s="28">
        <f>L3463*Inputs!$D$23</f>
        <v>0</v>
      </c>
      <c r="M3469" s="28">
        <f>M3463*Inputs!$D$23</f>
        <v>0</v>
      </c>
    </row>
    <row r="3470" spans="1:13" ht="15" customHeight="1" x14ac:dyDescent="0.2">
      <c r="B3470" s="3" t="s">
        <v>901</v>
      </c>
      <c r="C3470" s="10" t="s">
        <v>896</v>
      </c>
      <c r="D3470" s="28">
        <f>(D3465*$D$3483*(Inputs!$D$7-Inputs!$D$19)-D3469)/(Inputs!$D$7+$D$3484)^D3458</f>
        <v>34.11913469425</v>
      </c>
      <c r="E3470" s="28">
        <f>(E3465*$D$3483*(Inputs!$D$7-Inputs!$D$19)-E3469)/(Inputs!$D$7+$D$3484)^E3458</f>
        <v>126.83355050421525</v>
      </c>
      <c r="F3470" s="28">
        <f>(F3465*$D$3483*(Inputs!$D$7-Inputs!$D$19)-F3469)/(Inputs!$D$7+$D$3484)^F3458</f>
        <v>187.01623480611519</v>
      </c>
      <c r="G3470" s="28">
        <f>(G3465*$D$3483*(Inputs!$D$7-Inputs!$D$19)-G3469)/(Inputs!$D$7+$D$3484)^G3458</f>
        <v>195.96111556962208</v>
      </c>
      <c r="H3470" s="28">
        <f>(H3465*$D$3483*(Inputs!$D$7-Inputs!$D$19)-H3469)/(Inputs!$D$7+$D$3484)^H3458</f>
        <v>171.91113239136084</v>
      </c>
      <c r="I3470" s="28">
        <f>(I3465*$D$3483*(Inputs!$D$7-Inputs!$D$19)-I3469)/(Inputs!$D$7+$D$3484)^I3458</f>
        <v>150.75867157963424</v>
      </c>
      <c r="J3470" s="28">
        <f>(J3465*$D$3483*(Inputs!$D$7-Inputs!$D$19)-J3469)/(Inputs!$D$7+$D$3484)^J3458</f>
        <v>132.25630949148294</v>
      </c>
      <c r="K3470" s="28">
        <f>(K3465*$D$3483*(Inputs!$D$7-Inputs!$D$19)-K3469)/(Inputs!$D$7+$D$3484)^K3458</f>
        <v>116.02471166023361</v>
      </c>
      <c r="L3470" s="28">
        <f>(L3465*$D$3483*(Inputs!$D$7-Inputs!$D$19)-L3469)/(Inputs!$D$7+$D$3484)^L3458</f>
        <v>101.78519094930031</v>
      </c>
      <c r="M3470" s="28">
        <f>(M3465*$D$3483*(Inputs!$D$7-Inputs!$D$19)-M3469)/(Inputs!$D$7+$D$3484)^M3458</f>
        <v>89.26123608483114</v>
      </c>
    </row>
    <row r="3471" spans="1:13" ht="15" customHeight="1" x14ac:dyDescent="0.2">
      <c r="B3471" s="10" t="s">
        <v>902</v>
      </c>
      <c r="C3471" s="10" t="s">
        <v>110</v>
      </c>
      <c r="D3471" s="16">
        <f>(D3466*Inputs!$D$19-D3467-D3468)/(Inputs!$D$7+$D$3484)^D3458</f>
        <v>-13673.750208995338</v>
      </c>
      <c r="E3471" s="16">
        <f>(E3466*Inputs!$D$19-E3467-E3468)/(Inputs!$D$7+$D$3484)^E3458</f>
        <v>-14910.258198718562</v>
      </c>
      <c r="F3471" s="16">
        <f>(F3466*Inputs!$D$19-F3467-F3468)/(Inputs!$D$7+$D$3484)^F3458</f>
        <v>-8525.9417164238148</v>
      </c>
      <c r="G3471" s="16">
        <f>(G3466*Inputs!$D$19-G3467-G3468)/(Inputs!$D$7+$D$3484)^G3458</f>
        <v>808.83204192410847</v>
      </c>
      <c r="H3471" s="16">
        <f>(H3466*Inputs!$D$19-H3467-H3468)/(Inputs!$D$7+$D$3484)^H3458</f>
        <v>-5891.7915280072548</v>
      </c>
      <c r="I3471" s="16">
        <f>(I3466*Inputs!$D$19-I3467-I3468)/(Inputs!$D$7+$D$3484)^I3458</f>
        <v>-7512.3171078465948</v>
      </c>
      <c r="J3471" s="16">
        <f>(J3466*Inputs!$D$19-J3467-J3468)/(Inputs!$D$7+$D$3484)^J3458</f>
        <v>-4532.7291662153211</v>
      </c>
      <c r="K3471" s="16">
        <f>(K3466*Inputs!$D$19-K3467-K3468)/(Inputs!$D$7+$D$3484)^K3458</f>
        <v>478.89349972832292</v>
      </c>
      <c r="L3471" s="16">
        <f>(L3466*Inputs!$D$19-L3467-L3468)/(Inputs!$D$7+$D$3484)^L3458</f>
        <v>-3488.413562109869</v>
      </c>
      <c r="M3471" s="16">
        <f>(M3466*Inputs!$D$19-M3467-M3468)/(Inputs!$D$7+$D$3484)^M3458</f>
        <v>-4447.8947969066312</v>
      </c>
    </row>
    <row r="3472" spans="1:13" ht="15" customHeight="1" x14ac:dyDescent="0.2">
      <c r="B3472" s="10" t="s">
        <v>903</v>
      </c>
      <c r="C3472" s="10" t="s">
        <v>110</v>
      </c>
      <c r="D3472" s="16">
        <f t="shared" ref="D3472:M3472" si="755">D3465*$D$3482</f>
        <v>6571.4461741647747</v>
      </c>
      <c r="E3472" s="16">
        <f t="shared" si="755"/>
        <v>25037.864263869629</v>
      </c>
      <c r="F3472" s="16">
        <f t="shared" si="755"/>
        <v>40879.480577112117</v>
      </c>
      <c r="G3472" s="16">
        <f t="shared" si="755"/>
        <v>47668.744711358893</v>
      </c>
      <c r="H3472" s="16">
        <f t="shared" si="755"/>
        <v>47668.744711358893</v>
      </c>
      <c r="I3472" s="16">
        <f t="shared" si="755"/>
        <v>47668.744711358893</v>
      </c>
      <c r="J3472" s="16">
        <f t="shared" si="755"/>
        <v>47668.744711358893</v>
      </c>
      <c r="K3472" s="16">
        <f t="shared" si="755"/>
        <v>47668.744711358893</v>
      </c>
      <c r="L3472" s="16">
        <f t="shared" si="755"/>
        <v>47668.744711358893</v>
      </c>
      <c r="M3472" s="16">
        <f t="shared" si="755"/>
        <v>47668.744711358893</v>
      </c>
    </row>
    <row r="3473" spans="2:13" ht="15" customHeight="1" x14ac:dyDescent="0.2">
      <c r="B3473" s="10" t="s">
        <v>904</v>
      </c>
      <c r="C3473" s="10" t="s">
        <v>110</v>
      </c>
      <c r="D3473" s="16">
        <f t="shared" ref="D3473:M3473" si="756">D3472*$D$3483</f>
        <v>3285.7230870823873</v>
      </c>
      <c r="E3473" s="16">
        <f t="shared" si="756"/>
        <v>12518.932131934815</v>
      </c>
      <c r="F3473" s="16">
        <f t="shared" si="756"/>
        <v>20439.740288556059</v>
      </c>
      <c r="G3473" s="16">
        <f t="shared" si="756"/>
        <v>23834.372355679447</v>
      </c>
      <c r="H3473" s="16">
        <f t="shared" si="756"/>
        <v>23834.372355679447</v>
      </c>
      <c r="I3473" s="16">
        <f t="shared" si="756"/>
        <v>23834.372355679447</v>
      </c>
      <c r="J3473" s="16">
        <f t="shared" si="756"/>
        <v>23834.372355679447</v>
      </c>
      <c r="K3473" s="16">
        <f t="shared" si="756"/>
        <v>23834.372355679447</v>
      </c>
      <c r="L3473" s="16">
        <f t="shared" si="756"/>
        <v>23834.372355679447</v>
      </c>
      <c r="M3473" s="16">
        <f t="shared" si="756"/>
        <v>23834.372355679447</v>
      </c>
    </row>
    <row r="3474" spans="2:13" ht="15" customHeight="1" x14ac:dyDescent="0.2">
      <c r="B3474" s="10" t="s">
        <v>905</v>
      </c>
      <c r="C3474" s="10" t="s">
        <v>110</v>
      </c>
      <c r="D3474" s="16">
        <f t="shared" ref="D3474:M3474" si="757">D3473-D3466</f>
        <v>1468.7458011499455</v>
      </c>
      <c r="E3474" s="16">
        <f t="shared" si="757"/>
        <v>5596.067750185106</v>
      </c>
      <c r="F3474" s="16">
        <f t="shared" si="757"/>
        <v>9136.7354855425583</v>
      </c>
      <c r="G3474" s="16">
        <f t="shared" si="757"/>
        <v>10654.164514981465</v>
      </c>
      <c r="H3474" s="16">
        <f t="shared" si="757"/>
        <v>10654.164514981465</v>
      </c>
      <c r="I3474" s="16">
        <f t="shared" si="757"/>
        <v>10654.164514981465</v>
      </c>
      <c r="J3474" s="16">
        <f t="shared" si="757"/>
        <v>10654.164514981465</v>
      </c>
      <c r="K3474" s="16">
        <f t="shared" si="757"/>
        <v>10654.164514981465</v>
      </c>
      <c r="L3474" s="16">
        <f t="shared" si="757"/>
        <v>10654.164514981465</v>
      </c>
      <c r="M3474" s="16">
        <f t="shared" si="757"/>
        <v>10654.164514981465</v>
      </c>
    </row>
    <row r="3475" spans="2:13" ht="15" customHeight="1" x14ac:dyDescent="0.2">
      <c r="B3475" s="10" t="s">
        <v>906</v>
      </c>
      <c r="C3475" s="10" t="s">
        <v>110</v>
      </c>
      <c r="D3475" s="16">
        <f>MAX(D3474,Inputs!$D$6)*Inputs!$D$19</f>
        <v>440.62374034498362</v>
      </c>
      <c r="E3475" s="16">
        <f>MAX(E3474,Inputs!$D$6)*Inputs!$D$19</f>
        <v>1678.8203250555318</v>
      </c>
      <c r="F3475" s="16">
        <f>MAX(F3474,Inputs!$D$6)*Inputs!$D$19</f>
        <v>2741.0206456627675</v>
      </c>
      <c r="G3475" s="16">
        <f>MAX(G3474,Inputs!$D$6)*Inputs!$D$19</f>
        <v>3196.2493544944396</v>
      </c>
      <c r="H3475" s="16">
        <f>MAX(H3474,Inputs!$D$6)*Inputs!$D$19</f>
        <v>3196.2493544944396</v>
      </c>
      <c r="I3475" s="16">
        <f>MAX(I3474,Inputs!$D$6)*Inputs!$D$19</f>
        <v>3196.2493544944396</v>
      </c>
      <c r="J3475" s="16">
        <f>MAX(J3474,Inputs!$D$6)*Inputs!$D$19</f>
        <v>3196.2493544944396</v>
      </c>
      <c r="K3475" s="16">
        <f>MAX(K3474,Inputs!$D$6)*Inputs!$D$19</f>
        <v>3196.2493544944396</v>
      </c>
      <c r="L3475" s="16">
        <f>MAX(L3474,Inputs!$D$6)*Inputs!$D$19</f>
        <v>3196.2493544944396</v>
      </c>
      <c r="M3475" s="16">
        <f>MAX(M3474,Inputs!$D$6)*Inputs!$D$19</f>
        <v>3196.2493544944396</v>
      </c>
    </row>
    <row r="3476" spans="2:13" ht="15" customHeight="1" x14ac:dyDescent="0.2">
      <c r="B3476" s="10" t="s">
        <v>907</v>
      </c>
      <c r="C3476" s="10" t="s">
        <v>110</v>
      </c>
      <c r="D3476" s="16">
        <f t="shared" ref="D3476:M3476" si="758">D3469*$D$3482</f>
        <v>339.46320671233906</v>
      </c>
      <c r="E3476" s="16">
        <f t="shared" si="758"/>
        <v>452.61760894978534</v>
      </c>
      <c r="F3476" s="16">
        <f t="shared" si="758"/>
        <v>339.46320671233906</v>
      </c>
      <c r="G3476" s="16">
        <f t="shared" si="758"/>
        <v>0</v>
      </c>
      <c r="H3476" s="16">
        <f t="shared" si="758"/>
        <v>0</v>
      </c>
      <c r="I3476" s="16">
        <f t="shared" si="758"/>
        <v>0</v>
      </c>
      <c r="J3476" s="16">
        <f t="shared" si="758"/>
        <v>0</v>
      </c>
      <c r="K3476" s="16">
        <f t="shared" si="758"/>
        <v>0</v>
      </c>
      <c r="L3476" s="16">
        <f t="shared" si="758"/>
        <v>0</v>
      </c>
      <c r="M3476" s="16">
        <f t="shared" si="758"/>
        <v>0</v>
      </c>
    </row>
    <row r="3477" spans="2:13" ht="15" customHeight="1" x14ac:dyDescent="0.2">
      <c r="B3477" s="10" t="s">
        <v>908</v>
      </c>
      <c r="C3477" s="10" t="s">
        <v>110</v>
      </c>
      <c r="D3477" s="16">
        <f t="shared" ref="D3477:M3477" si="759">D3473-D3475-D3467-D3468-D3476</f>
        <v>-13055.332480121087</v>
      </c>
      <c r="E3477" s="16">
        <f t="shared" si="759"/>
        <v>-10360.463962265374</v>
      </c>
      <c r="F3477" s="16">
        <f t="shared" si="759"/>
        <v>1798.2878160347984</v>
      </c>
      <c r="G3477" s="16">
        <f t="shared" si="759"/>
        <v>18000.118152617833</v>
      </c>
      <c r="H3477" s="16">
        <f t="shared" si="759"/>
        <v>5756.3347793767243</v>
      </c>
      <c r="I3477" s="16">
        <f t="shared" si="759"/>
        <v>795.73870544062811</v>
      </c>
      <c r="J3477" s="16">
        <f t="shared" si="759"/>
        <v>5756.3347793767243</v>
      </c>
      <c r="K3477" s="16">
        <f t="shared" si="759"/>
        <v>18000.118152617833</v>
      </c>
      <c r="L3477" s="16">
        <f t="shared" si="759"/>
        <v>5756.3347793767243</v>
      </c>
      <c r="M3477" s="16">
        <f t="shared" si="759"/>
        <v>795.73870544062811</v>
      </c>
    </row>
    <row r="3478" spans="2:13" ht="15" customHeight="1" x14ac:dyDescent="0.2">
      <c r="B3478" s="10" t="s">
        <v>909</v>
      </c>
      <c r="C3478" s="10" t="s">
        <v>110</v>
      </c>
      <c r="D3478" s="16">
        <f>D3477/(Inputs!$D$7+$D$3484)^D3458</f>
        <v>-11888.44140382226</v>
      </c>
      <c r="E3478" s="16">
        <f>E3477/(Inputs!$D$7+$D$3484)^E3458</f>
        <v>-8273.5994283336222</v>
      </c>
      <c r="F3478" s="16">
        <f>F3477/(Inputs!$D$7+$D$3484)^F3458</f>
        <v>1259.8202526785537</v>
      </c>
      <c r="G3478" s="16">
        <f>G3477/(Inputs!$D$7+$D$3484)^G3458</f>
        <v>11062.64147270502</v>
      </c>
      <c r="H3478" s="16">
        <f>H3477/(Inputs!$D$7+$D$3484)^H3458</f>
        <v>3103.5848528976853</v>
      </c>
      <c r="I3478" s="16">
        <f>I3477/(Inputs!$D$7+$D$3484)^I3458</f>
        <v>376.24121109213411</v>
      </c>
      <c r="J3478" s="16">
        <f>J3477/(Inputs!$D$7+$D$3484)^J3458</f>
        <v>2387.6794546584138</v>
      </c>
      <c r="K3478" s="16">
        <f>K3477/(Inputs!$D$7+$D$3484)^K3458</f>
        <v>6549.9718316061508</v>
      </c>
      <c r="L3478" s="16">
        <f>L3477/(Inputs!$D$7+$D$3484)^L3458</f>
        <v>1837.5713805455807</v>
      </c>
      <c r="M3478" s="16">
        <f>M3477/(Inputs!$D$7+$D$3484)^M3458</f>
        <v>222.76500062152678</v>
      </c>
    </row>
    <row r="3479" spans="2:13" ht="15" customHeight="1" x14ac:dyDescent="0.2">
      <c r="B3479" s="3" t="s">
        <v>910</v>
      </c>
      <c r="C3479" s="10" t="s">
        <v>896</v>
      </c>
      <c r="D3479" s="28">
        <f>(D3465*$D$3483-D3469)/(Inputs!$D$7+$D$3484)^D3458</f>
        <v>51.273468650578494</v>
      </c>
      <c r="E3479" s="28">
        <f>(E3465*$D$3483-E3469)/(Inputs!$D$7+$D$3484)^E3458</f>
        <v>184.15121515046144</v>
      </c>
      <c r="F3479" s="28">
        <f>(F3465*$D$3483-F3469)/(Inputs!$D$7+$D$3484)^F3458</f>
        <v>269.11387487482324</v>
      </c>
      <c r="G3479" s="28">
        <f>(G3465*$D$3483-G3469)/(Inputs!$D$7+$D$3484)^G3458</f>
        <v>279.94445081374585</v>
      </c>
      <c r="H3479" s="28">
        <f>(H3465*$D$3483-H3469)/(Inputs!$D$7+$D$3484)^H3458</f>
        <v>245.58733198765836</v>
      </c>
      <c r="I3479" s="28">
        <f>(I3465*$D$3483-I3469)/(Inputs!$D$7+$D$3484)^I3458</f>
        <v>215.36953082804891</v>
      </c>
      <c r="J3479" s="28">
        <f>(J3465*$D$3483-J3469)/(Inputs!$D$7+$D$3484)^J3458</f>
        <v>188.93758498783279</v>
      </c>
      <c r="K3479" s="28">
        <f>(K3465*$D$3483-K3469)/(Inputs!$D$7+$D$3484)^K3458</f>
        <v>165.74958808604802</v>
      </c>
      <c r="L3479" s="28">
        <f>(L3465*$D$3483-L3469)/(Inputs!$D$7+$D$3484)^L3458</f>
        <v>145.4074156418576</v>
      </c>
      <c r="M3479" s="28">
        <f>(M3465*$D$3483-M3469)/(Inputs!$D$7+$D$3484)^M3458</f>
        <v>127.51605154975879</v>
      </c>
    </row>
    <row r="3480" spans="2:13" ht="15" customHeight="1" x14ac:dyDescent="0.2">
      <c r="B3480" s="10" t="s">
        <v>911</v>
      </c>
      <c r="C3480" s="10" t="s">
        <v>110</v>
      </c>
      <c r="D3480" s="16">
        <f>(-D3467-D3468)/(Inputs!$D$7+$D$3484)^D3458</f>
        <v>-14170.122737893587</v>
      </c>
      <c r="E3480" s="16">
        <f>(-E3467-E3468)/(Inputs!$D$7+$D$3484)^E3458</f>
        <v>-16568.784506031301</v>
      </c>
      <c r="F3480" s="16">
        <f>(-F3467-F3468)/(Inputs!$D$7+$D$3484)^F3458</f>
        <v>-10901.493767656277</v>
      </c>
      <c r="G3480" s="16">
        <f>(-G3467-G3468)/(Inputs!$D$7+$D$3484)^G3458</f>
        <v>-1621.2839046676961</v>
      </c>
      <c r="H3480" s="16">
        <f>(-H3467-H3468)/(Inputs!$D$7+$D$3484)^H3458</f>
        <v>-8023.6633690433682</v>
      </c>
      <c r="I3480" s="16">
        <f>(-I3467-I3468)/(Inputs!$D$7+$D$3484)^I3458</f>
        <v>-9381.8770500204446</v>
      </c>
      <c r="J3480" s="16">
        <f>(-J3467-J3468)/(Inputs!$D$7+$D$3484)^J3458</f>
        <v>-6172.8411129063252</v>
      </c>
      <c r="K3480" s="16">
        <f>(-K3467-K3468)/(Inputs!$D$7+$D$3484)^K3458</f>
        <v>-959.93022397147342</v>
      </c>
      <c r="L3480" s="16">
        <f>(-L3467-L3468)/(Inputs!$D$7+$D$3484)^L3458</f>
        <v>-4750.6528330682277</v>
      </c>
      <c r="M3480" s="16">
        <f>(-M3467-M3468)/(Inputs!$D$7+$D$3484)^M3458</f>
        <v>-5554.82436602912</v>
      </c>
    </row>
    <row r="3481" spans="2:13" ht="15" customHeight="1" x14ac:dyDescent="0.2">
      <c r="B3481" s="10" t="s">
        <v>912</v>
      </c>
      <c r="C3481" s="10" t="s">
        <v>110</v>
      </c>
      <c r="D3481" s="16">
        <f>Prices!I9</f>
        <v>21850</v>
      </c>
    </row>
    <row r="3482" spans="2:13" ht="15" customHeight="1" x14ac:dyDescent="0.2">
      <c r="B3482" s="3" t="s">
        <v>913</v>
      </c>
      <c r="C3482" s="10" t="s">
        <v>914</v>
      </c>
      <c r="D3482" s="28">
        <f>IF(J3489&gt;=J3485,J3489,(D3481-J3488)/J3487)</f>
        <v>52.325735138703507</v>
      </c>
      <c r="G3482" s="99" t="s">
        <v>915</v>
      </c>
      <c r="H3482" s="91"/>
      <c r="I3482" s="91"/>
      <c r="J3482" s="28">
        <f>D3482*Inputs!$D$15</f>
        <v>36.518130553301177</v>
      </c>
      <c r="K3482" s="99" t="s">
        <v>916</v>
      </c>
      <c r="L3482" s="91"/>
      <c r="M3482" s="91"/>
    </row>
    <row r="3483" spans="2:13" ht="15" customHeight="1" x14ac:dyDescent="0.2">
      <c r="B3483" s="10" t="s">
        <v>917</v>
      </c>
      <c r="C3483" s="10" t="s">
        <v>104</v>
      </c>
      <c r="D3483" s="30">
        <f>Inputs!$D$140</f>
        <v>0.5</v>
      </c>
      <c r="G3483" s="99" t="s">
        <v>918</v>
      </c>
      <c r="H3483" s="91"/>
      <c r="I3483" s="91"/>
      <c r="J3483" s="28">
        <f>IF(-D3494/D3493&gt;=J3485,-D3494/D3493,-J3488/J3487)</f>
        <v>41.921619883591745</v>
      </c>
      <c r="K3483" s="99" t="s">
        <v>919</v>
      </c>
      <c r="L3483" s="91"/>
      <c r="M3483" s="91"/>
    </row>
    <row r="3484" spans="2:13" ht="15" customHeight="1" x14ac:dyDescent="0.2">
      <c r="B3484" s="10" t="s">
        <v>920</v>
      </c>
      <c r="C3484" s="10" t="s">
        <v>104</v>
      </c>
      <c r="D3484" s="30">
        <f>Inputs!$D$149</f>
        <v>0.14000000000000001</v>
      </c>
      <c r="G3484" s="99" t="s">
        <v>918</v>
      </c>
      <c r="H3484" s="91"/>
      <c r="I3484" s="91"/>
      <c r="J3484" s="28">
        <f>J3483*Inputs!$D$15</f>
        <v>29.257098516758678</v>
      </c>
      <c r="K3484" s="99" t="s">
        <v>916</v>
      </c>
      <c r="L3484" s="91"/>
      <c r="M3484" s="91"/>
    </row>
    <row r="3485" spans="2:13" ht="15" customHeight="1" x14ac:dyDescent="0.2">
      <c r="B3485" s="3" t="s">
        <v>921</v>
      </c>
      <c r="C3485" s="10" t="s">
        <v>848</v>
      </c>
      <c r="D3485" s="28">
        <f>Capital!$D$13</f>
        <v>57.347931490590682</v>
      </c>
      <c r="G3485" s="99" t="s">
        <v>922</v>
      </c>
      <c r="H3485" s="91"/>
      <c r="I3485" s="91"/>
      <c r="J3485" s="28">
        <f>($D$3485/Inputs!$D$21+$D$3486/Inputs!$D$22)/$D$3483</f>
        <v>28.93569229571456</v>
      </c>
      <c r="K3485" s="99" t="s">
        <v>919</v>
      </c>
      <c r="L3485" s="91"/>
      <c r="M3485" s="91"/>
    </row>
    <row r="3486" spans="2:13" ht="15" customHeight="1" x14ac:dyDescent="0.2">
      <c r="B3486" s="3" t="s">
        <v>923</v>
      </c>
      <c r="C3486" s="10" t="s">
        <v>848</v>
      </c>
      <c r="D3486" s="28">
        <f>Capital!$D$14</f>
        <v>2.6172655041921802</v>
      </c>
    </row>
    <row r="3487" spans="2:13" ht="15" customHeight="1" x14ac:dyDescent="0.2">
      <c r="B3487" s="10" t="s">
        <v>924</v>
      </c>
      <c r="C3487" s="10" t="s">
        <v>896</v>
      </c>
      <c r="D3487" s="28">
        <f>(M3460*(Inputs!$D$7+Inputs!$D$20)*$D$3483*(Inputs!$D$7-Inputs!$D$19)-M3460*Inputs!$D$20*Inputs!$D$23)/($D$3484-Inputs!$D$20)/(Inputs!$D$7+$D$3484)^M3458</f>
        <v>794.20323410882349</v>
      </c>
      <c r="G3487" s="92" t="s">
        <v>910</v>
      </c>
      <c r="H3487" s="91"/>
      <c r="I3487" s="91"/>
      <c r="J3487" s="28">
        <f>SUM(D3479:M3479)+(M3460*(Inputs!$D$7+Inputs!$D$20)*$D$3483-M3460*Inputs!$D$20*Inputs!$D$23)/($D$3484-Inputs!$D$20)/(Inputs!$D$7+$D$3484)^M3458</f>
        <v>3008.2205801713835</v>
      </c>
      <c r="K3487" s="99" t="s">
        <v>896</v>
      </c>
      <c r="L3487" s="91"/>
      <c r="M3487" s="91"/>
    </row>
    <row r="3488" spans="2:13" ht="15" customHeight="1" x14ac:dyDescent="0.2">
      <c r="B3488" s="10" t="s">
        <v>925</v>
      </c>
      <c r="C3488" s="10" t="s">
        <v>110</v>
      </c>
      <c r="D3488" s="16">
        <f>(D3491*Inputs!$D$19-D3491-D3492)/($D$3484-Inputs!$D$20)/(Inputs!$D$7+$D$3484)^M3458</f>
        <v>-26345.502698929216</v>
      </c>
      <c r="G3488" s="92" t="s">
        <v>926</v>
      </c>
      <c r="H3488" s="91"/>
      <c r="I3488" s="91"/>
      <c r="J3488" s="16">
        <f>SUM(D3480:M3480)-(D3491+D3492)/($D$3484-Inputs!$D$20)/(Inputs!$D$7+$D$3484)^M3458</f>
        <v>-114317.08794717836</v>
      </c>
      <c r="K3488" s="99" t="s">
        <v>110</v>
      </c>
      <c r="L3488" s="91"/>
      <c r="M3488" s="91"/>
    </row>
    <row r="3489" spans="1:13" ht="15" customHeight="1" x14ac:dyDescent="0.2">
      <c r="B3489" s="10" t="s">
        <v>927</v>
      </c>
      <c r="C3489" s="10" t="s">
        <v>928</v>
      </c>
      <c r="D3489" s="16">
        <f>(M3460*(Inputs!$D$7+Inputs!$D$20)*$D$3482*$D$3483-D3491)-MAX((M3460*(Inputs!$D$7+Inputs!$D$20)*$D$3482*$D$3483-D3491),Inputs!$D$6)*Inputs!$D$19-D3492-M3460*Inputs!$D$20*$D$3482*Inputs!$D$23</f>
        <v>6248.8627124984214</v>
      </c>
      <c r="G3489" s="99" t="s">
        <v>929</v>
      </c>
      <c r="H3489" s="91"/>
      <c r="I3489" s="91"/>
      <c r="J3489" s="28">
        <f>(D3481-D3494)/D3493</f>
        <v>52.325735138703507</v>
      </c>
      <c r="K3489" s="99" t="s">
        <v>919</v>
      </c>
      <c r="L3489" s="91"/>
      <c r="M3489" s="91"/>
    </row>
    <row r="3490" spans="1:13" ht="15" customHeight="1" x14ac:dyDescent="0.2">
      <c r="B3490" s="10" t="s">
        <v>930</v>
      </c>
      <c r="C3490" s="10" t="s">
        <v>110</v>
      </c>
      <c r="D3490" s="16">
        <f>D3489/($D$3484-Inputs!$D$20)</f>
        <v>54337.936630421049</v>
      </c>
      <c r="G3490" s="99" t="s">
        <v>931</v>
      </c>
      <c r="H3490" s="91"/>
      <c r="I3490" s="91"/>
      <c r="J3490" s="16">
        <f>MIN(D3474:M3474,(M3460*(Inputs!$D$7+Inputs!$D$20)*$D$3482*$D$3483-D3491))</f>
        <v>1468.7458011499455</v>
      </c>
      <c r="K3490" s="99" t="s">
        <v>110</v>
      </c>
      <c r="L3490" s="91"/>
      <c r="M3490" s="91"/>
    </row>
    <row r="3491" spans="1:13" ht="15" customHeight="1" x14ac:dyDescent="0.2">
      <c r="B3491" s="10" t="s">
        <v>932</v>
      </c>
      <c r="C3491" s="10" t="s">
        <v>928</v>
      </c>
      <c r="D3491" s="16">
        <f>M3460*(Inputs!$D$7+Inputs!$D$20)*($D$3485/Inputs!$D$21+$D$3486/Inputs!$D$22)</f>
        <v>13509.71303671543</v>
      </c>
      <c r="G3491" s="99" t="s">
        <v>933</v>
      </c>
      <c r="H3491" s="91"/>
      <c r="I3491" s="91"/>
      <c r="J3491" s="31" t="str">
        <f>IF(J3490&lt;Inputs!$D$6,"breached","satisfied")</f>
        <v>satisfied</v>
      </c>
      <c r="K3491" s="99" t="s">
        <v>934</v>
      </c>
      <c r="L3491" s="91"/>
      <c r="M3491" s="91"/>
    </row>
    <row r="3492" spans="1:13" ht="15" customHeight="1" x14ac:dyDescent="0.2">
      <c r="B3492" s="10" t="s">
        <v>935</v>
      </c>
      <c r="C3492" s="10" t="s">
        <v>928</v>
      </c>
      <c r="D3492" s="16">
        <f>M3460*Inputs!$D$20*($D$3485+$D$3486)</f>
        <v>1365.7073615561799</v>
      </c>
    </row>
    <row r="3493" spans="1:13" ht="15" customHeight="1" x14ac:dyDescent="0.2">
      <c r="B3493" s="10" t="s">
        <v>936</v>
      </c>
      <c r="C3493" s="10" t="s">
        <v>896</v>
      </c>
      <c r="D3493" s="28">
        <f>SUM(D3470:M3470)+D3487</f>
        <v>2100.1305218398693</v>
      </c>
      <c r="G3493" s="99" t="s">
        <v>937</v>
      </c>
      <c r="H3493" s="91"/>
      <c r="I3493" s="91"/>
      <c r="J3493" s="16">
        <f>D3495-D3481</f>
        <v>0</v>
      </c>
      <c r="K3493" s="99" t="s">
        <v>110</v>
      </c>
      <c r="L3493" s="91"/>
      <c r="M3493" s="91"/>
    </row>
    <row r="3494" spans="1:13" ht="15" customHeight="1" x14ac:dyDescent="0.2">
      <c r="B3494" s="10" t="s">
        <v>938</v>
      </c>
      <c r="C3494" s="10" t="s">
        <v>110</v>
      </c>
      <c r="D3494" s="16">
        <f>SUM(D3471:M3471)+D3488</f>
        <v>-88040.873442500175</v>
      </c>
    </row>
    <row r="3495" spans="1:13" ht="15" customHeight="1" x14ac:dyDescent="0.2">
      <c r="B3495" s="10" t="s">
        <v>939</v>
      </c>
      <c r="C3495" s="10" t="s">
        <v>110</v>
      </c>
      <c r="D3495" s="16">
        <f>SUM(D3478:M3478)+D3490/(Inputs!$D$7+$D$3484)^M3458</f>
        <v>21850</v>
      </c>
    </row>
    <row r="3496" spans="1:13" ht="15" customHeight="1" x14ac:dyDescent="0.2">
      <c r="B3496" s="10" t="s">
        <v>940</v>
      </c>
      <c r="C3496" s="10" t="s">
        <v>104</v>
      </c>
      <c r="D3496" s="30">
        <f>IF(ABS(D3481)&gt;Inputs!$D$6,D3495/D3481-Inputs!$D$7,Inputs!$D$6)</f>
        <v>0</v>
      </c>
    </row>
    <row r="3497" spans="1:13" ht="15" customHeight="1" x14ac:dyDescent="0.2">
      <c r="B3497" s="10" t="s">
        <v>941</v>
      </c>
      <c r="C3497" s="10" t="s">
        <v>104</v>
      </c>
      <c r="D3497" s="30">
        <f>IF(ABS(D3495)&gt;Inputs!$D$119,D3490/(Inputs!$D$7+$D$3484)^M3458/D3495,Inputs!$D$6)</f>
        <v>0.69619063502749723</v>
      </c>
    </row>
    <row r="3498" spans="1:13" ht="15" customHeight="1" x14ac:dyDescent="0.2">
      <c r="B3498" s="10" t="s">
        <v>942</v>
      </c>
      <c r="C3498" s="10" t="s">
        <v>943</v>
      </c>
      <c r="D3498" s="26">
        <f>$D$3482*Inputs!$D$8/Prices!$P$6/(Inputs!$D$26/Inputs!$D$25)/Inputs!$D$11/Inputs!$D$56</f>
        <v>9.5155938755623968</v>
      </c>
    </row>
    <row r="3502" spans="1:13" ht="15" customHeight="1" x14ac:dyDescent="0.2">
      <c r="A3502" s="104" t="s">
        <v>2241</v>
      </c>
      <c r="B3502" s="10" t="s">
        <v>886</v>
      </c>
      <c r="C3502" s="10" t="s">
        <v>107</v>
      </c>
      <c r="D3502" s="28">
        <f>Inputs!$D$60</f>
        <v>1</v>
      </c>
      <c r="E3502" s="28">
        <f>Inputs!$D$62</f>
        <v>2</v>
      </c>
      <c r="F3502" s="28">
        <f>Inputs!$D$64</f>
        <v>3</v>
      </c>
      <c r="G3502" s="28">
        <f>Inputs!$D$66</f>
        <v>4</v>
      </c>
      <c r="H3502" s="28">
        <f>Inputs!$D$68</f>
        <v>5</v>
      </c>
      <c r="I3502" s="28">
        <f>Inputs!$D$70</f>
        <v>6</v>
      </c>
      <c r="J3502" s="28">
        <f>Inputs!$D$72</f>
        <v>7</v>
      </c>
      <c r="K3502" s="28">
        <f>Inputs!$D$74</f>
        <v>8</v>
      </c>
      <c r="L3502" s="28">
        <f>Inputs!$D$76</f>
        <v>9</v>
      </c>
      <c r="M3502" s="28">
        <f>Inputs!$D$78</f>
        <v>10</v>
      </c>
    </row>
    <row r="3503" spans="1:13" ht="15" customHeight="1" x14ac:dyDescent="0.2">
      <c r="A3503" s="91"/>
      <c r="B3503" s="10" t="s">
        <v>887</v>
      </c>
      <c r="C3503" s="10" t="s">
        <v>161</v>
      </c>
      <c r="D3503" s="29">
        <f>Inputs!$D$61</f>
        <v>46568</v>
      </c>
      <c r="E3503" s="29">
        <f>Inputs!$D$63</f>
        <v>46934</v>
      </c>
      <c r="F3503" s="29">
        <f>Inputs!$D$65</f>
        <v>47299</v>
      </c>
      <c r="G3503" s="29">
        <f>Inputs!$D$67</f>
        <v>47664</v>
      </c>
      <c r="H3503" s="29">
        <f>Inputs!$D$69</f>
        <v>48029</v>
      </c>
      <c r="I3503" s="29">
        <f>Inputs!$D$71</f>
        <v>48395</v>
      </c>
      <c r="J3503" s="29">
        <f>Inputs!$D$73</f>
        <v>48760</v>
      </c>
      <c r="K3503" s="29">
        <f>Inputs!$D$75</f>
        <v>49125</v>
      </c>
      <c r="L3503" s="29">
        <f>Inputs!$D$77</f>
        <v>49490</v>
      </c>
      <c r="M3503" s="29">
        <f>Inputs!$D$79</f>
        <v>49856</v>
      </c>
    </row>
    <row r="3504" spans="1:13" ht="15" customHeight="1" x14ac:dyDescent="0.2">
      <c r="A3504" s="91"/>
      <c r="B3504" s="10" t="s">
        <v>888</v>
      </c>
      <c r="C3504" s="10" t="s">
        <v>107</v>
      </c>
      <c r="D3504" s="28">
        <f>(D3503-Inputs!$D$13)/Inputs!$D$10</f>
        <v>0.71457905544147848</v>
      </c>
      <c r="E3504" s="28">
        <f>(E3503-Inputs!$D$13)/Inputs!$D$10</f>
        <v>1.7166324435318274</v>
      </c>
      <c r="F3504" s="28">
        <f>(F3503-Inputs!$D$13)/Inputs!$D$10</f>
        <v>2.7159479808350446</v>
      </c>
      <c r="G3504" s="28">
        <f>(G3503-Inputs!$D$13)/Inputs!$D$10</f>
        <v>3.7152635181382614</v>
      </c>
      <c r="H3504" s="28">
        <f>(H3503-Inputs!$D$13)/Inputs!$D$10</f>
        <v>4.7145790554414786</v>
      </c>
      <c r="I3504" s="28">
        <f>(I3503-Inputs!$D$13)/Inputs!$D$10</f>
        <v>5.7166324435318279</v>
      </c>
      <c r="J3504" s="28">
        <f>(J3503-Inputs!$D$13)/Inputs!$D$10</f>
        <v>6.7159479808350442</v>
      </c>
      <c r="K3504" s="28">
        <f>(K3503-Inputs!$D$13)/Inputs!$D$10</f>
        <v>7.7152635181382614</v>
      </c>
      <c r="L3504" s="28">
        <f>(L3503-Inputs!$D$13)/Inputs!$D$10</f>
        <v>8.7145790554414777</v>
      </c>
      <c r="M3504" s="28">
        <f>(M3503-Inputs!$D$13)/Inputs!$D$10</f>
        <v>9.716632443531827</v>
      </c>
    </row>
    <row r="3505" spans="1:13" ht="15" customHeight="1" x14ac:dyDescent="0.2">
      <c r="A3505" s="91"/>
      <c r="B3505" s="10" t="s">
        <v>889</v>
      </c>
      <c r="C3505" s="10" t="s">
        <v>107</v>
      </c>
      <c r="D3505" s="28">
        <f>D3504</f>
        <v>0.71457905544147848</v>
      </c>
      <c r="E3505" s="28">
        <f>Inputs!$D$7</f>
        <v>1</v>
      </c>
      <c r="F3505" s="28">
        <f>Inputs!$D$7</f>
        <v>1</v>
      </c>
      <c r="G3505" s="28">
        <f>Inputs!$D$7</f>
        <v>1</v>
      </c>
      <c r="H3505" s="28">
        <f>Inputs!$D$7</f>
        <v>1</v>
      </c>
      <c r="I3505" s="28">
        <f>Inputs!$D$7</f>
        <v>1</v>
      </c>
      <c r="J3505" s="28">
        <f>Inputs!$D$7</f>
        <v>1</v>
      </c>
      <c r="K3505" s="28">
        <f>Inputs!$D$7</f>
        <v>1</v>
      </c>
      <c r="L3505" s="28">
        <f>Inputs!$D$7</f>
        <v>1</v>
      </c>
      <c r="M3505" s="28">
        <f>Inputs!$D$7</f>
        <v>1</v>
      </c>
    </row>
    <row r="3506" spans="1:13" ht="15" customHeight="1" x14ac:dyDescent="0.2">
      <c r="A3506" s="91"/>
      <c r="B3506" s="3" t="s">
        <v>890</v>
      </c>
      <c r="C3506" s="10" t="s">
        <v>199</v>
      </c>
      <c r="D3506" s="28">
        <f>Inputs!$D$24+(Inputs!$D$80-Inputs!$D$24)*Inputs!$D$83</f>
        <v>305.5</v>
      </c>
      <c r="E3506" s="28">
        <f>Inputs!$D$24+(Inputs!$D$80-Inputs!$D$24)*Inputs!$D$84</f>
        <v>651.5</v>
      </c>
      <c r="F3506" s="28">
        <f>Inputs!$D$24+(Inputs!$D$80-Inputs!$D$24)*Inputs!$D$85</f>
        <v>911</v>
      </c>
      <c r="G3506" s="28">
        <f>Inputs!$D$24+(Inputs!$D$80-Inputs!$D$24)*Inputs!$D$86</f>
        <v>911</v>
      </c>
      <c r="H3506" s="28">
        <f>Inputs!$D$24+(Inputs!$D$80-Inputs!$D$24)*Inputs!$D$87</f>
        <v>911</v>
      </c>
      <c r="I3506" s="28">
        <f>Inputs!$D$24+(Inputs!$D$80-Inputs!$D$24)*Inputs!$D$88</f>
        <v>911</v>
      </c>
      <c r="J3506" s="28">
        <f>Inputs!$D$24+(Inputs!$D$80-Inputs!$D$24)*Inputs!$D$89</f>
        <v>911</v>
      </c>
      <c r="K3506" s="28">
        <f>Inputs!$D$24+(Inputs!$D$80-Inputs!$D$24)*Inputs!$D$90</f>
        <v>911</v>
      </c>
      <c r="L3506" s="28">
        <f>Inputs!$D$24+(Inputs!$D$80-Inputs!$D$24)*Inputs!$D$91</f>
        <v>911</v>
      </c>
      <c r="M3506" s="28">
        <f>Inputs!$D$24+(Inputs!$D$80-Inputs!$D$24)*Inputs!$D$92</f>
        <v>911</v>
      </c>
    </row>
    <row r="3507" spans="1:13" ht="15" customHeight="1" x14ac:dyDescent="0.2">
      <c r="A3507" s="91"/>
      <c r="B3507" s="10" t="s">
        <v>891</v>
      </c>
      <c r="C3507" s="10" t="s">
        <v>199</v>
      </c>
      <c r="D3507" s="28">
        <f>Inputs!$D$24</f>
        <v>46</v>
      </c>
      <c r="E3507" s="28">
        <f t="shared" ref="E3507:M3507" si="760">D3506</f>
        <v>305.5</v>
      </c>
      <c r="F3507" s="28">
        <f t="shared" si="760"/>
        <v>651.5</v>
      </c>
      <c r="G3507" s="28">
        <f t="shared" si="760"/>
        <v>911</v>
      </c>
      <c r="H3507" s="28">
        <f t="shared" si="760"/>
        <v>911</v>
      </c>
      <c r="I3507" s="28">
        <f t="shared" si="760"/>
        <v>911</v>
      </c>
      <c r="J3507" s="28">
        <f t="shared" si="760"/>
        <v>911</v>
      </c>
      <c r="K3507" s="28">
        <f t="shared" si="760"/>
        <v>911</v>
      </c>
      <c r="L3507" s="28">
        <f t="shared" si="760"/>
        <v>911</v>
      </c>
      <c r="M3507" s="28">
        <f t="shared" si="760"/>
        <v>911</v>
      </c>
    </row>
    <row r="3508" spans="1:13" ht="15" customHeight="1" x14ac:dyDescent="0.2">
      <c r="B3508" s="10" t="s">
        <v>892</v>
      </c>
      <c r="C3508" s="10" t="s">
        <v>199</v>
      </c>
      <c r="D3508" s="28">
        <f>(D3507+D3506)*Inputs!$D$12</f>
        <v>175.75</v>
      </c>
      <c r="E3508" s="28">
        <f>(E3507+E3506)*Inputs!$D$12</f>
        <v>478.5</v>
      </c>
      <c r="F3508" s="28">
        <f>(F3507+F3506)*Inputs!$D$12</f>
        <v>781.25</v>
      </c>
      <c r="G3508" s="28">
        <f>(G3507+G3506)*Inputs!$D$12</f>
        <v>911</v>
      </c>
      <c r="H3508" s="28">
        <f>(H3507+H3506)*Inputs!$D$12</f>
        <v>911</v>
      </c>
      <c r="I3508" s="28">
        <f>(I3507+I3506)*Inputs!$D$12</f>
        <v>911</v>
      </c>
      <c r="J3508" s="28">
        <f>(J3507+J3506)*Inputs!$D$12</f>
        <v>911</v>
      </c>
      <c r="K3508" s="28">
        <f>(K3507+K3506)*Inputs!$D$12</f>
        <v>911</v>
      </c>
      <c r="L3508" s="28">
        <f>(L3507+L3506)*Inputs!$D$12</f>
        <v>911</v>
      </c>
      <c r="M3508" s="28">
        <f>(M3507+M3506)*Inputs!$D$12</f>
        <v>911</v>
      </c>
    </row>
    <row r="3509" spans="1:13" ht="15" customHeight="1" x14ac:dyDescent="0.2">
      <c r="B3509" s="10" t="s">
        <v>893</v>
      </c>
      <c r="C3509" s="10" t="s">
        <v>199</v>
      </c>
      <c r="D3509" s="28">
        <f t="shared" ref="D3509:M3509" si="761">D3506-D3507</f>
        <v>259.5</v>
      </c>
      <c r="E3509" s="28">
        <f t="shared" si="761"/>
        <v>346</v>
      </c>
      <c r="F3509" s="28">
        <f t="shared" si="761"/>
        <v>259.5</v>
      </c>
      <c r="G3509" s="28">
        <f t="shared" si="761"/>
        <v>0</v>
      </c>
      <c r="H3509" s="28">
        <f t="shared" si="761"/>
        <v>0</v>
      </c>
      <c r="I3509" s="28">
        <f t="shared" si="761"/>
        <v>0</v>
      </c>
      <c r="J3509" s="28">
        <f t="shared" si="761"/>
        <v>0</v>
      </c>
      <c r="K3509" s="28">
        <f t="shared" si="761"/>
        <v>0</v>
      </c>
      <c r="L3509" s="28">
        <f t="shared" si="761"/>
        <v>0</v>
      </c>
      <c r="M3509" s="28">
        <f t="shared" si="761"/>
        <v>0</v>
      </c>
    </row>
    <row r="3510" spans="1:13" ht="15" customHeight="1" x14ac:dyDescent="0.2">
      <c r="B3510" s="10" t="s">
        <v>894</v>
      </c>
      <c r="C3510" s="10" t="s">
        <v>199</v>
      </c>
      <c r="D3510" s="28">
        <f>IF(MOD(D3502,Inputs!$D$21)=Inputs!$D$6,Inputs!$D$24,Inputs!$D$6)+SUMPRODUCT(--(D3502&gt;$D$3502:$M$3502),--(MOD(D3502-$D$3502:$M$3502,Inputs!$D$21)=Inputs!$D$6),$D$3509:$M$3509)</f>
        <v>0</v>
      </c>
      <c r="E3510" s="28">
        <f>IF(MOD(E3502,Inputs!$D$21)=Inputs!$D$6,Inputs!$D$24,Inputs!$D$6)+SUMPRODUCT(--(E3502&gt;$D$3502:$M$3502),--(MOD(E3502-$D$3502:$M$3502,Inputs!$D$21)=Inputs!$D$6),$D$3509:$M$3509)</f>
        <v>0</v>
      </c>
      <c r="F3510" s="28">
        <f>IF(MOD(F3502,Inputs!$D$21)=Inputs!$D$6,Inputs!$D$24,Inputs!$D$6)+SUMPRODUCT(--(F3502&gt;$D$3502:$M$3502),--(MOD(F3502-$D$3502:$M$3502,Inputs!$D$21)=Inputs!$D$6),$D$3509:$M$3509)</f>
        <v>0</v>
      </c>
      <c r="G3510" s="28">
        <f>IF(MOD(G3502,Inputs!$D$21)=Inputs!$D$6,Inputs!$D$24,Inputs!$D$6)+SUMPRODUCT(--(G3502&gt;$D$3502:$M$3502),--(MOD(G3502-$D$3502:$M$3502,Inputs!$D$21)=Inputs!$D$6),$D$3509:$M$3509)</f>
        <v>46</v>
      </c>
      <c r="H3510" s="28">
        <f>IF(MOD(H3502,Inputs!$D$21)=Inputs!$D$6,Inputs!$D$24,Inputs!$D$6)+SUMPRODUCT(--(H3502&gt;$D$3502:$M$3502),--(MOD(H3502-$D$3502:$M$3502,Inputs!$D$21)=Inputs!$D$6),$D$3509:$M$3509)</f>
        <v>259.5</v>
      </c>
      <c r="I3510" s="28">
        <f>IF(MOD(I3502,Inputs!$D$21)=Inputs!$D$6,Inputs!$D$24,Inputs!$D$6)+SUMPRODUCT(--(I3502&gt;$D$3502:$M$3502),--(MOD(I3502-$D$3502:$M$3502,Inputs!$D$21)=Inputs!$D$6),$D$3509:$M$3509)</f>
        <v>346</v>
      </c>
      <c r="J3510" s="28">
        <f>IF(MOD(J3502,Inputs!$D$21)=Inputs!$D$6,Inputs!$D$24,Inputs!$D$6)+SUMPRODUCT(--(J3502&gt;$D$3502:$M$3502),--(MOD(J3502-$D$3502:$M$3502,Inputs!$D$21)=Inputs!$D$6),$D$3509:$M$3509)</f>
        <v>259.5</v>
      </c>
      <c r="K3510" s="28">
        <f>IF(MOD(K3502,Inputs!$D$21)=Inputs!$D$6,Inputs!$D$24,Inputs!$D$6)+SUMPRODUCT(--(K3502&gt;$D$3502:$M$3502),--(MOD(K3502-$D$3502:$M$3502,Inputs!$D$21)=Inputs!$D$6),$D$3509:$M$3509)</f>
        <v>46</v>
      </c>
      <c r="L3510" s="28">
        <f>IF(MOD(L3502,Inputs!$D$21)=Inputs!$D$6,Inputs!$D$24,Inputs!$D$6)+SUMPRODUCT(--(L3502&gt;$D$3502:$M$3502),--(MOD(L3502-$D$3502:$M$3502,Inputs!$D$21)=Inputs!$D$6),$D$3509:$M$3509)</f>
        <v>259.5</v>
      </c>
      <c r="M3510" s="28">
        <f>IF(MOD(M3502,Inputs!$D$21)=Inputs!$D$6,Inputs!$D$24,Inputs!$D$6)+SUMPRODUCT(--(M3502&gt;$D$3502:$M$3502),--(MOD(M3502-$D$3502:$M$3502,Inputs!$D$21)=Inputs!$D$6),$D$3509:$M$3509)</f>
        <v>346</v>
      </c>
    </row>
    <row r="3511" spans="1:13" ht="15" customHeight="1" x14ac:dyDescent="0.2">
      <c r="B3511" s="10" t="s">
        <v>895</v>
      </c>
      <c r="C3511" s="10" t="s">
        <v>896</v>
      </c>
      <c r="D3511" s="28">
        <f t="shared" ref="D3511:M3511" si="762">D3508*D3505</f>
        <v>125.58726899383984</v>
      </c>
      <c r="E3511" s="28">
        <f t="shared" si="762"/>
        <v>478.5</v>
      </c>
      <c r="F3511" s="28">
        <f t="shared" si="762"/>
        <v>781.25</v>
      </c>
      <c r="G3511" s="28">
        <f t="shared" si="762"/>
        <v>911</v>
      </c>
      <c r="H3511" s="28">
        <f t="shared" si="762"/>
        <v>911</v>
      </c>
      <c r="I3511" s="28">
        <f t="shared" si="762"/>
        <v>911</v>
      </c>
      <c r="J3511" s="28">
        <f t="shared" si="762"/>
        <v>911</v>
      </c>
      <c r="K3511" s="28">
        <f t="shared" si="762"/>
        <v>911</v>
      </c>
      <c r="L3511" s="28">
        <f t="shared" si="762"/>
        <v>911</v>
      </c>
      <c r="M3511" s="28">
        <f t="shared" si="762"/>
        <v>911</v>
      </c>
    </row>
    <row r="3512" spans="1:13" ht="15" customHeight="1" x14ac:dyDescent="0.2">
      <c r="B3512" s="10" t="s">
        <v>897</v>
      </c>
      <c r="C3512" s="10" t="s">
        <v>110</v>
      </c>
      <c r="D3512" s="16">
        <f>D3511*($D$3531/Inputs!$D$21+$D$3532/Inputs!$D$22)</f>
        <v>1816.9772859324419</v>
      </c>
      <c r="E3512" s="16">
        <f>E3511*($D$3531/Inputs!$D$21+$D$3532/Inputs!$D$22)</f>
        <v>6922.8643817497086</v>
      </c>
      <c r="F3512" s="16">
        <f>F3511*($D$3531/Inputs!$D$21+$D$3532/Inputs!$D$22)</f>
        <v>11303.0048030135</v>
      </c>
      <c r="G3512" s="16">
        <f>G3511*($D$3531/Inputs!$D$21+$D$3532/Inputs!$D$22)</f>
        <v>13180.207840697982</v>
      </c>
      <c r="H3512" s="16">
        <f>H3511*($D$3531/Inputs!$D$21+$D$3532/Inputs!$D$22)</f>
        <v>13180.207840697982</v>
      </c>
      <c r="I3512" s="16">
        <f>I3511*($D$3531/Inputs!$D$21+$D$3532/Inputs!$D$22)</f>
        <v>13180.207840697982</v>
      </c>
      <c r="J3512" s="16">
        <f>J3511*($D$3531/Inputs!$D$21+$D$3532/Inputs!$D$22)</f>
        <v>13180.207840697982</v>
      </c>
      <c r="K3512" s="16">
        <f>K3511*($D$3531/Inputs!$D$21+$D$3532/Inputs!$D$22)</f>
        <v>13180.207840697982</v>
      </c>
      <c r="L3512" s="16">
        <f>L3511*($D$3531/Inputs!$D$21+$D$3532/Inputs!$D$22)</f>
        <v>13180.207840697982</v>
      </c>
      <c r="M3512" s="16">
        <f>M3511*($D$3531/Inputs!$D$21+$D$3532/Inputs!$D$22)</f>
        <v>13180.207840697982</v>
      </c>
    </row>
    <row r="3513" spans="1:13" ht="15" customHeight="1" x14ac:dyDescent="0.2">
      <c r="B3513" s="10" t="s">
        <v>898</v>
      </c>
      <c r="C3513" s="10" t="s">
        <v>110</v>
      </c>
      <c r="D3513" s="16">
        <f t="shared" ref="D3513:M3513" si="763">D3509*($D$3531+$D$3532)</f>
        <v>15560.968620146154</v>
      </c>
      <c r="E3513" s="16">
        <f t="shared" si="763"/>
        <v>20747.95816019487</v>
      </c>
      <c r="F3513" s="16">
        <f t="shared" si="763"/>
        <v>15560.968620146154</v>
      </c>
      <c r="G3513" s="16">
        <f t="shared" si="763"/>
        <v>0</v>
      </c>
      <c r="H3513" s="16">
        <f t="shared" si="763"/>
        <v>0</v>
      </c>
      <c r="I3513" s="16">
        <f t="shared" si="763"/>
        <v>0</v>
      </c>
      <c r="J3513" s="16">
        <f t="shared" si="763"/>
        <v>0</v>
      </c>
      <c r="K3513" s="16">
        <f t="shared" si="763"/>
        <v>0</v>
      </c>
      <c r="L3513" s="16">
        <f t="shared" si="763"/>
        <v>0</v>
      </c>
      <c r="M3513" s="16">
        <f t="shared" si="763"/>
        <v>0</v>
      </c>
    </row>
    <row r="3514" spans="1:13" ht="15" customHeight="1" x14ac:dyDescent="0.2">
      <c r="B3514" s="10" t="s">
        <v>899</v>
      </c>
      <c r="C3514" s="10" t="s">
        <v>110</v>
      </c>
      <c r="D3514" s="16">
        <f t="shared" ref="D3514:M3514" si="764">D3510*$D$3531</f>
        <v>0</v>
      </c>
      <c r="E3514" s="16">
        <f t="shared" si="764"/>
        <v>0</v>
      </c>
      <c r="F3514" s="16">
        <f t="shared" si="764"/>
        <v>0</v>
      </c>
      <c r="G3514" s="16">
        <f t="shared" si="764"/>
        <v>2638.0048485671714</v>
      </c>
      <c r="H3514" s="16">
        <f t="shared" si="764"/>
        <v>14881.788221808281</v>
      </c>
      <c r="I3514" s="16">
        <f t="shared" si="764"/>
        <v>19842.384295744378</v>
      </c>
      <c r="J3514" s="16">
        <f t="shared" si="764"/>
        <v>14881.788221808281</v>
      </c>
      <c r="K3514" s="16">
        <f t="shared" si="764"/>
        <v>2638.0048485671714</v>
      </c>
      <c r="L3514" s="16">
        <f t="shared" si="764"/>
        <v>14881.788221808281</v>
      </c>
      <c r="M3514" s="16">
        <f t="shared" si="764"/>
        <v>19842.384295744378</v>
      </c>
    </row>
    <row r="3515" spans="1:13" ht="15" customHeight="1" x14ac:dyDescent="0.2">
      <c r="B3515" s="10" t="s">
        <v>900</v>
      </c>
      <c r="C3515" s="10" t="s">
        <v>199</v>
      </c>
      <c r="D3515" s="28">
        <f>D3509*Inputs!$D$23</f>
        <v>6.4875000000000007</v>
      </c>
      <c r="E3515" s="28">
        <f>E3509*Inputs!$D$23</f>
        <v>8.65</v>
      </c>
      <c r="F3515" s="28">
        <f>F3509*Inputs!$D$23</f>
        <v>6.4875000000000007</v>
      </c>
      <c r="G3515" s="28">
        <f>G3509*Inputs!$D$23</f>
        <v>0</v>
      </c>
      <c r="H3515" s="28">
        <f>H3509*Inputs!$D$23</f>
        <v>0</v>
      </c>
      <c r="I3515" s="28">
        <f>I3509*Inputs!$D$23</f>
        <v>0</v>
      </c>
      <c r="J3515" s="28">
        <f>J3509*Inputs!$D$23</f>
        <v>0</v>
      </c>
      <c r="K3515" s="28">
        <f>K3509*Inputs!$D$23</f>
        <v>0</v>
      </c>
      <c r="L3515" s="28">
        <f>L3509*Inputs!$D$23</f>
        <v>0</v>
      </c>
      <c r="M3515" s="28">
        <f>M3509*Inputs!$D$23</f>
        <v>0</v>
      </c>
    </row>
    <row r="3516" spans="1:13" ht="15" customHeight="1" x14ac:dyDescent="0.2">
      <c r="B3516" s="3" t="s">
        <v>901</v>
      </c>
      <c r="C3516" s="10" t="s">
        <v>896</v>
      </c>
      <c r="D3516" s="28">
        <f>(D3511*$D$3529*(Inputs!$D$7-Inputs!$D$19)-D3515)/(Inputs!$D$7+$D$3530)^D3504</f>
        <v>42.951761434492518</v>
      </c>
      <c r="E3516" s="28">
        <f>(E3511*$D$3529*(Inputs!$D$7-Inputs!$D$19)-E3515)/(Inputs!$D$7+$D$3530)^E3504</f>
        <v>165.58374817888472</v>
      </c>
      <c r="F3516" s="28">
        <f>(F3511*$D$3529*(Inputs!$D$7-Inputs!$D$19)-F3515)/(Inputs!$D$7+$D$3530)^F3504</f>
        <v>256.53212636655121</v>
      </c>
      <c r="G3516" s="28">
        <f>(G3511*$D$3529*(Inputs!$D$7-Inputs!$D$19)-G3515)/(Inputs!$D$7+$D$3530)^G3504</f>
        <v>282.67693208077219</v>
      </c>
      <c r="H3516" s="28">
        <f>(H3511*$D$3529*(Inputs!$D$7-Inputs!$D$19)-H3515)/(Inputs!$D$7+$D$3530)^H3504</f>
        <v>261.75168799529297</v>
      </c>
      <c r="I3516" s="28">
        <f>(I3511*$D$3529*(Inputs!$D$7-Inputs!$D$19)-I3515)/(Inputs!$D$7+$D$3530)^I3504</f>
        <v>242.32437630796554</v>
      </c>
      <c r="J3516" s="28">
        <f>(J3511*$D$3529*(Inputs!$D$7-Inputs!$D$19)-J3515)/(Inputs!$D$7+$D$3530)^J3504</f>
        <v>224.38624218156014</v>
      </c>
      <c r="K3516" s="28">
        <f>(K3511*$D$3529*(Inputs!$D$7-Inputs!$D$19)-K3515)/(Inputs!$D$7+$D$3530)^K3504</f>
        <v>207.77598377628297</v>
      </c>
      <c r="L3516" s="28">
        <f>(L3511*$D$3529*(Inputs!$D$7-Inputs!$D$19)-L3515)/(Inputs!$D$7+$D$3530)^L3504</f>
        <v>192.39530469640334</v>
      </c>
      <c r="M3516" s="28">
        <f>(M3511*$D$3529*(Inputs!$D$7-Inputs!$D$19)-M3515)/(Inputs!$D$7+$D$3530)^M3504</f>
        <v>178.11565064663625</v>
      </c>
    </row>
    <row r="3517" spans="1:13" ht="15" customHeight="1" x14ac:dyDescent="0.2">
      <c r="B3517" s="10" t="s">
        <v>902</v>
      </c>
      <c r="C3517" s="10" t="s">
        <v>110</v>
      </c>
      <c r="D3517" s="16">
        <f>(D3512*Inputs!$D$19-D3513-D3514)/(Inputs!$D$7+$D$3530)^D3504</f>
        <v>-14212.377724210151</v>
      </c>
      <c r="E3517" s="16">
        <f>(E3512*Inputs!$D$19-E3513-E3514)/(Inputs!$D$7+$D$3530)^E3504</f>
        <v>-16360.387094728963</v>
      </c>
      <c r="F3517" s="16">
        <f>(F3512*Inputs!$D$19-F3513-F3514)/(Inputs!$D$7+$D$3530)^F3504</f>
        <v>-9874.5154652847668</v>
      </c>
      <c r="G3517" s="16">
        <f>(G3512*Inputs!$D$19-G3513-G3514)/(Inputs!$D$7+$D$3530)^G3504</f>
        <v>988.77347238742834</v>
      </c>
      <c r="H3517" s="16">
        <f>(H3512*Inputs!$D$19-H3513-H3514)/(Inputs!$D$7+$D$3530)^H3504</f>
        <v>-7602.4024163036647</v>
      </c>
      <c r="I3517" s="16">
        <f>(I3512*Inputs!$D$19-I3513-I3514)/(Inputs!$D$7+$D$3530)^I3504</f>
        <v>-10233.087939303265</v>
      </c>
      <c r="J3517" s="16">
        <f>(J3512*Inputs!$D$19-J3513-J3514)/(Inputs!$D$7+$D$3530)^J3504</f>
        <v>-6517.1480757635773</v>
      </c>
      <c r="K3517" s="16">
        <f>(K3512*Inputs!$D$19-K3513-K3514)/(Inputs!$D$7+$D$3530)^K3504</f>
        <v>726.77801985796941</v>
      </c>
      <c r="L3517" s="16">
        <f>(L3512*Inputs!$D$19-L3513-L3514)/(Inputs!$D$7+$D$3530)^L3504</f>
        <v>-5587.9927289550824</v>
      </c>
      <c r="M3517" s="16">
        <f>(M3512*Inputs!$D$19-M3513-M3514)/(Inputs!$D$7+$D$3530)^M3504</f>
        <v>-7521.6251216792398</v>
      </c>
    </row>
    <row r="3518" spans="1:13" ht="15" customHeight="1" x14ac:dyDescent="0.2">
      <c r="B3518" s="10" t="s">
        <v>903</v>
      </c>
      <c r="C3518" s="10" t="s">
        <v>110</v>
      </c>
      <c r="D3518" s="16">
        <f t="shared" ref="D3518:M3518" si="765">D3511*$D$3528</f>
        <v>4472.3163181882583</v>
      </c>
      <c r="E3518" s="16">
        <f t="shared" si="765"/>
        <v>17039.970495401492</v>
      </c>
      <c r="F3518" s="16">
        <f t="shared" si="765"/>
        <v>27821.268442074015</v>
      </c>
      <c r="G3518" s="16">
        <f t="shared" si="765"/>
        <v>32441.824704933668</v>
      </c>
      <c r="H3518" s="16">
        <f t="shared" si="765"/>
        <v>32441.824704933668</v>
      </c>
      <c r="I3518" s="16">
        <f t="shared" si="765"/>
        <v>32441.824704933668</v>
      </c>
      <c r="J3518" s="16">
        <f t="shared" si="765"/>
        <v>32441.824704933668</v>
      </c>
      <c r="K3518" s="16">
        <f t="shared" si="765"/>
        <v>32441.824704933668</v>
      </c>
      <c r="L3518" s="16">
        <f t="shared" si="765"/>
        <v>32441.824704933668</v>
      </c>
      <c r="M3518" s="16">
        <f t="shared" si="765"/>
        <v>32441.824704933668</v>
      </c>
    </row>
    <row r="3519" spans="1:13" ht="15" customHeight="1" x14ac:dyDescent="0.2">
      <c r="B3519" s="10" t="s">
        <v>904</v>
      </c>
      <c r="C3519" s="10" t="s">
        <v>110</v>
      </c>
      <c r="D3519" s="16">
        <f t="shared" ref="D3519:M3519" si="766">D3518*$D$3529</f>
        <v>2638.6666277310724</v>
      </c>
      <c r="E3519" s="16">
        <f t="shared" si="766"/>
        <v>10053.582592286881</v>
      </c>
      <c r="F3519" s="16">
        <f t="shared" si="766"/>
        <v>16414.548380823668</v>
      </c>
      <c r="G3519" s="16">
        <f t="shared" si="766"/>
        <v>19140.676575910864</v>
      </c>
      <c r="H3519" s="16">
        <f t="shared" si="766"/>
        <v>19140.676575910864</v>
      </c>
      <c r="I3519" s="16">
        <f t="shared" si="766"/>
        <v>19140.676575910864</v>
      </c>
      <c r="J3519" s="16">
        <f t="shared" si="766"/>
        <v>19140.676575910864</v>
      </c>
      <c r="K3519" s="16">
        <f t="shared" si="766"/>
        <v>19140.676575910864</v>
      </c>
      <c r="L3519" s="16">
        <f t="shared" si="766"/>
        <v>19140.676575910864</v>
      </c>
      <c r="M3519" s="16">
        <f t="shared" si="766"/>
        <v>19140.676575910864</v>
      </c>
    </row>
    <row r="3520" spans="1:13" ht="15" customHeight="1" x14ac:dyDescent="0.2">
      <c r="B3520" s="10" t="s">
        <v>905</v>
      </c>
      <c r="C3520" s="10" t="s">
        <v>110</v>
      </c>
      <c r="D3520" s="16">
        <f t="shared" ref="D3520:M3520" si="767">D3519-D3512</f>
        <v>821.68934179863049</v>
      </c>
      <c r="E3520" s="16">
        <f t="shared" si="767"/>
        <v>3130.7182105371721</v>
      </c>
      <c r="F3520" s="16">
        <f t="shared" si="767"/>
        <v>5111.5435778101673</v>
      </c>
      <c r="G3520" s="16">
        <f t="shared" si="767"/>
        <v>5960.4687352128822</v>
      </c>
      <c r="H3520" s="16">
        <f t="shared" si="767"/>
        <v>5960.4687352128822</v>
      </c>
      <c r="I3520" s="16">
        <f t="shared" si="767"/>
        <v>5960.4687352128822</v>
      </c>
      <c r="J3520" s="16">
        <f t="shared" si="767"/>
        <v>5960.4687352128822</v>
      </c>
      <c r="K3520" s="16">
        <f t="shared" si="767"/>
        <v>5960.4687352128822</v>
      </c>
      <c r="L3520" s="16">
        <f t="shared" si="767"/>
        <v>5960.4687352128822</v>
      </c>
      <c r="M3520" s="16">
        <f t="shared" si="767"/>
        <v>5960.4687352128822</v>
      </c>
    </row>
    <row r="3521" spans="2:13" ht="15" customHeight="1" x14ac:dyDescent="0.2">
      <c r="B3521" s="10" t="s">
        <v>906</v>
      </c>
      <c r="C3521" s="10" t="s">
        <v>110</v>
      </c>
      <c r="D3521" s="16">
        <f>MAX(D3520,Inputs!$D$6)*Inputs!$D$19</f>
        <v>246.50680253958913</v>
      </c>
      <c r="E3521" s="16">
        <f>MAX(E3520,Inputs!$D$6)*Inputs!$D$19</f>
        <v>939.21546316115155</v>
      </c>
      <c r="F3521" s="16">
        <f>MAX(F3520,Inputs!$D$6)*Inputs!$D$19</f>
        <v>1533.4630733430502</v>
      </c>
      <c r="G3521" s="16">
        <f>MAX(G3520,Inputs!$D$6)*Inputs!$D$19</f>
        <v>1788.1406205638646</v>
      </c>
      <c r="H3521" s="16">
        <f>MAX(H3520,Inputs!$D$6)*Inputs!$D$19</f>
        <v>1788.1406205638646</v>
      </c>
      <c r="I3521" s="16">
        <f>MAX(I3520,Inputs!$D$6)*Inputs!$D$19</f>
        <v>1788.1406205638646</v>
      </c>
      <c r="J3521" s="16">
        <f>MAX(J3520,Inputs!$D$6)*Inputs!$D$19</f>
        <v>1788.1406205638646</v>
      </c>
      <c r="K3521" s="16">
        <f>MAX(K3520,Inputs!$D$6)*Inputs!$D$19</f>
        <v>1788.1406205638646</v>
      </c>
      <c r="L3521" s="16">
        <f>MAX(L3520,Inputs!$D$6)*Inputs!$D$19</f>
        <v>1788.1406205638646</v>
      </c>
      <c r="M3521" s="16">
        <f>MAX(M3520,Inputs!$D$6)*Inputs!$D$19</f>
        <v>1788.1406205638646</v>
      </c>
    </row>
    <row r="3522" spans="2:13" ht="15" customHeight="1" x14ac:dyDescent="0.2">
      <c r="B3522" s="10" t="s">
        <v>907</v>
      </c>
      <c r="C3522" s="10" t="s">
        <v>110</v>
      </c>
      <c r="D3522" s="16">
        <f t="shared" ref="D3522:M3522" si="768">D3515*$D$3528</f>
        <v>231.02781314298264</v>
      </c>
      <c r="E3522" s="16">
        <f t="shared" si="768"/>
        <v>308.0370841906435</v>
      </c>
      <c r="F3522" s="16">
        <f t="shared" si="768"/>
        <v>231.02781314298264</v>
      </c>
      <c r="G3522" s="16">
        <f t="shared" si="768"/>
        <v>0</v>
      </c>
      <c r="H3522" s="16">
        <f t="shared" si="768"/>
        <v>0</v>
      </c>
      <c r="I3522" s="16">
        <f t="shared" si="768"/>
        <v>0</v>
      </c>
      <c r="J3522" s="16">
        <f t="shared" si="768"/>
        <v>0</v>
      </c>
      <c r="K3522" s="16">
        <f t="shared" si="768"/>
        <v>0</v>
      </c>
      <c r="L3522" s="16">
        <f t="shared" si="768"/>
        <v>0</v>
      </c>
      <c r="M3522" s="16">
        <f t="shared" si="768"/>
        <v>0</v>
      </c>
    </row>
    <row r="3523" spans="2:13" ht="15" customHeight="1" x14ac:dyDescent="0.2">
      <c r="B3523" s="10" t="s">
        <v>908</v>
      </c>
      <c r="C3523" s="10" t="s">
        <v>110</v>
      </c>
      <c r="D3523" s="16">
        <f t="shared" ref="D3523:M3523" si="769">D3519-D3521-D3513-D3514-D3522</f>
        <v>-13399.836608097652</v>
      </c>
      <c r="E3523" s="16">
        <f t="shared" si="769"/>
        <v>-11941.628115259786</v>
      </c>
      <c r="F3523" s="16">
        <f t="shared" si="769"/>
        <v>-910.91112580851802</v>
      </c>
      <c r="G3523" s="16">
        <f t="shared" si="769"/>
        <v>14714.531106779828</v>
      </c>
      <c r="H3523" s="16">
        <f t="shared" si="769"/>
        <v>2470.7477335387193</v>
      </c>
      <c r="I3523" s="16">
        <f t="shared" si="769"/>
        <v>-2489.8483403973769</v>
      </c>
      <c r="J3523" s="16">
        <f t="shared" si="769"/>
        <v>2470.7477335387193</v>
      </c>
      <c r="K3523" s="16">
        <f t="shared" si="769"/>
        <v>14714.531106779828</v>
      </c>
      <c r="L3523" s="16">
        <f t="shared" si="769"/>
        <v>2470.7477335387193</v>
      </c>
      <c r="M3523" s="16">
        <f t="shared" si="769"/>
        <v>-2489.8483403973769</v>
      </c>
    </row>
    <row r="3524" spans="2:13" ht="15" customHeight="1" x14ac:dyDescent="0.2">
      <c r="B3524" s="10" t="s">
        <v>909</v>
      </c>
      <c r="C3524" s="10" t="s">
        <v>110</v>
      </c>
      <c r="D3524" s="16">
        <f>D3523/(Inputs!$D$7+$D$3530)^D3504</f>
        <v>-12682.812943501111</v>
      </c>
      <c r="E3524" s="16">
        <f>E3523/(Inputs!$D$7+$D$3530)^E3504</f>
        <v>-10463.747212835158</v>
      </c>
      <c r="F3524" s="16">
        <f>F3523/(Inputs!$D$7+$D$3530)^F3504</f>
        <v>-739.09255116012639</v>
      </c>
      <c r="G3524" s="16">
        <f>G3523/(Inputs!$D$7+$D$3530)^G3504</f>
        <v>11055.24490893282</v>
      </c>
      <c r="H3524" s="16">
        <f>H3523/(Inputs!$D$7+$D$3530)^H3504</f>
        <v>1718.8954741066389</v>
      </c>
      <c r="I3524" s="16">
        <f>I3523/(Inputs!$D$7+$D$3530)^I3504</f>
        <v>-1603.6203894510129</v>
      </c>
      <c r="J3524" s="16">
        <f>J3523/(Inputs!$D$7+$D$3530)^J3504</f>
        <v>1473.5205686414361</v>
      </c>
      <c r="K3524" s="16">
        <f>K3523/(Inputs!$D$7+$D$3530)^K3504</f>
        <v>8125.9350380416299</v>
      </c>
      <c r="L3524" s="16">
        <f>L3523/(Inputs!$D$7+$D$3530)^L3504</f>
        <v>1263.4394873050924</v>
      </c>
      <c r="M3524" s="16">
        <f>M3523/(Inputs!$D$7+$D$3530)^M3504</f>
        <v>-1178.708858799569</v>
      </c>
    </row>
    <row r="3525" spans="2:13" ht="15" customHeight="1" x14ac:dyDescent="0.2">
      <c r="B3525" s="3" t="s">
        <v>910</v>
      </c>
      <c r="C3525" s="10" t="s">
        <v>896</v>
      </c>
      <c r="D3525" s="28">
        <f>(D3511*$D$3529-D3515)/(Inputs!$D$7+$D$3530)^D3504</f>
        <v>63.991239754664917</v>
      </c>
      <c r="E3525" s="28">
        <f>(E3511*$D$3529-E3515)/(Inputs!$D$7+$D$3530)^E3504</f>
        <v>239.79656319570776</v>
      </c>
      <c r="F3525" s="28">
        <f>(F3511*$D$3529-F3515)/(Inputs!$D$7+$D$3530)^F3504</f>
        <v>368.73038473055669</v>
      </c>
      <c r="G3525" s="28">
        <f>(G3511*$D$3529-G3515)/(Inputs!$D$7+$D$3530)^G3504</f>
        <v>403.82418868681742</v>
      </c>
      <c r="H3525" s="28">
        <f>(H3511*$D$3529-H3515)/(Inputs!$D$7+$D$3530)^H3504</f>
        <v>373.93098285041856</v>
      </c>
      <c r="I3525" s="28">
        <f>(I3511*$D$3529-I3515)/(Inputs!$D$7+$D$3530)^I3504</f>
        <v>346.17768043995079</v>
      </c>
      <c r="J3525" s="28">
        <f>(J3511*$D$3529-J3515)/(Inputs!$D$7+$D$3530)^J3504</f>
        <v>320.55177454508589</v>
      </c>
      <c r="K3525" s="28">
        <f>(K3511*$D$3529-K3515)/(Inputs!$D$7+$D$3530)^K3504</f>
        <v>296.82283396611854</v>
      </c>
      <c r="L3525" s="28">
        <f>(L3511*$D$3529-L3515)/(Inputs!$D$7+$D$3530)^L3504</f>
        <v>274.85043528057622</v>
      </c>
      <c r="M3525" s="28">
        <f>(M3511*$D$3529-M3515)/(Inputs!$D$7+$D$3530)^M3504</f>
        <v>254.45092949519466</v>
      </c>
    </row>
    <row r="3526" spans="2:13" ht="15" customHeight="1" x14ac:dyDescent="0.2">
      <c r="B3526" s="10" t="s">
        <v>911</v>
      </c>
      <c r="C3526" s="10" t="s">
        <v>110</v>
      </c>
      <c r="D3526" s="16">
        <f>(-D3513-D3514)/(Inputs!$D$7+$D$3530)^D3504</f>
        <v>-14728.303038392241</v>
      </c>
      <c r="E3526" s="16">
        <f>(-E3513-E3514)/(Inputs!$D$7+$D$3530)^E3504</f>
        <v>-18180.216908055725</v>
      </c>
      <c r="F3526" s="16">
        <f>(-F3513-F3514)/(Inputs!$D$7+$D$3530)^F3504</f>
        <v>-12625.815702688111</v>
      </c>
      <c r="G3526" s="16">
        <f>(-G3513-G3514)/(Inputs!$D$7+$D$3530)^G3504</f>
        <v>-1981.9720696655354</v>
      </c>
      <c r="H3526" s="16">
        <f>(-H3513-H3514)/(Inputs!$D$7+$D$3530)^H3504</f>
        <v>-10353.237634844469</v>
      </c>
      <c r="I3526" s="16">
        <f>(-I3513-I3514)/(Inputs!$D$7+$D$3530)^I3504</f>
        <v>-12779.755102232404</v>
      </c>
      <c r="J3526" s="16">
        <f>(-J3513-J3514)/(Inputs!$D$7+$D$3530)^J3504</f>
        <v>-8875.2974434962562</v>
      </c>
      <c r="K3526" s="16">
        <f>(-K3513-K3514)/(Inputs!$D$7+$D$3530)^K3504</f>
        <v>-1456.8086386129401</v>
      </c>
      <c r="L3526" s="16">
        <f>(-L3513-L3514)/(Inputs!$D$7+$D$3530)^L3504</f>
        <v>-7609.9387347064285</v>
      </c>
      <c r="M3526" s="16">
        <f>(-M3513-M3514)/(Inputs!$D$7+$D$3530)^M3504</f>
        <v>-9393.5015115686074</v>
      </c>
    </row>
    <row r="3527" spans="2:13" ht="15" customHeight="1" x14ac:dyDescent="0.2">
      <c r="B3527" s="10" t="s">
        <v>912</v>
      </c>
      <c r="C3527" s="10" t="s">
        <v>110</v>
      </c>
      <c r="D3527" s="16">
        <f>Prices!I9</f>
        <v>21850</v>
      </c>
    </row>
    <row r="3528" spans="2:13" ht="15" customHeight="1" x14ac:dyDescent="0.2">
      <c r="B3528" s="3" t="s">
        <v>913</v>
      </c>
      <c r="C3528" s="10" t="s">
        <v>914</v>
      </c>
      <c r="D3528" s="28">
        <f>IF(J3535&gt;=J3531,J3535,(D3527-J3534)/J3533)</f>
        <v>35.61122360585474</v>
      </c>
      <c r="G3528" s="99" t="s">
        <v>915</v>
      </c>
      <c r="H3528" s="91"/>
      <c r="I3528" s="91"/>
      <c r="J3528" s="28">
        <f>D3528*Inputs!$D$15</f>
        <v>24.85307295452602</v>
      </c>
      <c r="K3528" s="99" t="s">
        <v>916</v>
      </c>
      <c r="L3528" s="91"/>
      <c r="M3528" s="91"/>
    </row>
    <row r="3529" spans="2:13" ht="15" customHeight="1" x14ac:dyDescent="0.2">
      <c r="B3529" s="10" t="s">
        <v>917</v>
      </c>
      <c r="C3529" s="10" t="s">
        <v>104</v>
      </c>
      <c r="D3529" s="30">
        <f>Inputs!$D$141</f>
        <v>0.59</v>
      </c>
      <c r="G3529" s="99" t="s">
        <v>918</v>
      </c>
      <c r="H3529" s="91"/>
      <c r="I3529" s="91"/>
      <c r="J3529" s="28">
        <f>IF(-D3540/D3539&gt;=J3531,-D3540/D3539,-J3534/J3533)</f>
        <v>31.541580385595349</v>
      </c>
      <c r="K3529" s="99" t="s">
        <v>919</v>
      </c>
      <c r="L3529" s="91"/>
      <c r="M3529" s="91"/>
    </row>
    <row r="3530" spans="2:13" ht="15" customHeight="1" x14ac:dyDescent="0.2">
      <c r="B3530" s="10" t="s">
        <v>920</v>
      </c>
      <c r="C3530" s="10" t="s">
        <v>104</v>
      </c>
      <c r="D3530" s="30">
        <f>Inputs!$D$146</f>
        <v>0.08</v>
      </c>
      <c r="G3530" s="99" t="s">
        <v>918</v>
      </c>
      <c r="H3530" s="91"/>
      <c r="I3530" s="91"/>
      <c r="J3530" s="28">
        <f>J3529*Inputs!$D$15</f>
        <v>22.012868951106991</v>
      </c>
      <c r="K3530" s="99" t="s">
        <v>916</v>
      </c>
      <c r="L3530" s="91"/>
      <c r="M3530" s="91"/>
    </row>
    <row r="3531" spans="2:13" ht="15" customHeight="1" x14ac:dyDescent="0.2">
      <c r="B3531" s="3" t="s">
        <v>921</v>
      </c>
      <c r="C3531" s="10" t="s">
        <v>848</v>
      </c>
      <c r="D3531" s="28">
        <f>Capital!$D$13</f>
        <v>57.347931490590682</v>
      </c>
      <c r="G3531" s="99" t="s">
        <v>922</v>
      </c>
      <c r="H3531" s="91"/>
      <c r="I3531" s="91"/>
      <c r="J3531" s="28">
        <f>($D$3531/Inputs!$D$21+$D$3532/Inputs!$D$22)/$D$3529</f>
        <v>24.521773131961492</v>
      </c>
      <c r="K3531" s="99" t="s">
        <v>919</v>
      </c>
      <c r="L3531" s="91"/>
      <c r="M3531" s="91"/>
    </row>
    <row r="3532" spans="2:13" ht="15" customHeight="1" x14ac:dyDescent="0.2">
      <c r="B3532" s="3" t="s">
        <v>923</v>
      </c>
      <c r="C3532" s="10" t="s">
        <v>848</v>
      </c>
      <c r="D3532" s="28">
        <f>Capital!$D$14</f>
        <v>2.6172655041921802</v>
      </c>
    </row>
    <row r="3533" spans="2:13" ht="15" customHeight="1" x14ac:dyDescent="0.2">
      <c r="B3533" s="10" t="s">
        <v>924</v>
      </c>
      <c r="C3533" s="10" t="s">
        <v>896</v>
      </c>
      <c r="D3533" s="28">
        <f>(M3506*(Inputs!$D$7+Inputs!$D$20)*$D$3529*(Inputs!$D$7-Inputs!$D$19)-M3506*Inputs!$D$20*Inputs!$D$23)/($D$3530-Inputs!$D$20)/(Inputs!$D$7+$D$3530)^M3504</f>
        <v>3314.5272079389447</v>
      </c>
      <c r="G3533" s="92" t="s">
        <v>910</v>
      </c>
      <c r="H3533" s="91"/>
      <c r="I3533" s="91"/>
      <c r="J3533" s="28">
        <f>SUM(D3525:M3525)+(M3506*(Inputs!$D$7+Inputs!$D$20)*$D$3529-M3506*Inputs!$D$20*Inputs!$D$23)/($D$3530-Inputs!$D$20)/(Inputs!$D$7+$D$3530)^M3504</f>
        <v>7680.2662357889876</v>
      </c>
      <c r="K3533" s="99" t="s">
        <v>896</v>
      </c>
      <c r="L3533" s="91"/>
      <c r="M3533" s="91"/>
    </row>
    <row r="3534" spans="2:13" ht="15" customHeight="1" x14ac:dyDescent="0.2">
      <c r="B3534" s="10" t="s">
        <v>925</v>
      </c>
      <c r="C3534" s="10" t="s">
        <v>110</v>
      </c>
      <c r="D3534" s="16">
        <f>(D3537*Inputs!$D$19-D3537-D3538)/($D$3530-Inputs!$D$20)/(Inputs!$D$7+$D$3530)^M3504</f>
        <v>-93153.423070883771</v>
      </c>
      <c r="G3534" s="92" t="s">
        <v>926</v>
      </c>
      <c r="H3534" s="91"/>
      <c r="I3534" s="91"/>
      <c r="J3534" s="16">
        <f>SUM(D3526:M3526)-(D3537+D3538)/($D$3530-Inputs!$D$20)/(Inputs!$D$7+$D$3530)^M3504</f>
        <v>-226023.23893944838</v>
      </c>
      <c r="K3534" s="99" t="s">
        <v>110</v>
      </c>
      <c r="L3534" s="91"/>
      <c r="M3534" s="91"/>
    </row>
    <row r="3535" spans="2:13" ht="15" customHeight="1" x14ac:dyDescent="0.2">
      <c r="B3535" s="10" t="s">
        <v>927</v>
      </c>
      <c r="C3535" s="10" t="s">
        <v>928</v>
      </c>
      <c r="D3535" s="16">
        <f>(M3506*(Inputs!$D$7+Inputs!$D$20)*$D$3528*$D$3529-D3537)-MAX((M3506*(Inputs!$D$7+Inputs!$D$20)*$D$3528*$D$3529-D3537),Inputs!$D$6)*Inputs!$D$19-D3538-M3506*Inputs!$D$20*$D$3528*Inputs!$D$23</f>
        <v>2890.6528155184792</v>
      </c>
      <c r="G3535" s="99" t="s">
        <v>929</v>
      </c>
      <c r="H3535" s="91"/>
      <c r="I3535" s="91"/>
      <c r="J3535" s="28">
        <f>(D3527-D3540)/D3539</f>
        <v>35.61122360585474</v>
      </c>
      <c r="K3535" s="99" t="s">
        <v>919</v>
      </c>
      <c r="L3535" s="91"/>
      <c r="M3535" s="91"/>
    </row>
    <row r="3536" spans="2:13" ht="15" customHeight="1" x14ac:dyDescent="0.2">
      <c r="B3536" s="10" t="s">
        <v>930</v>
      </c>
      <c r="C3536" s="10" t="s">
        <v>110</v>
      </c>
      <c r="D3536" s="16">
        <f>D3535/($D$3530-Inputs!$D$20)</f>
        <v>52557.323918517803</v>
      </c>
      <c r="G3536" s="99" t="s">
        <v>931</v>
      </c>
      <c r="H3536" s="91"/>
      <c r="I3536" s="91"/>
      <c r="J3536" s="16">
        <f>MIN(D3520:M3520,(M3506*(Inputs!$D$7+Inputs!$D$20)*$D$3528*$D$3529-D3537))</f>
        <v>821.68934179863049</v>
      </c>
      <c r="K3536" s="99" t="s">
        <v>110</v>
      </c>
      <c r="L3536" s="91"/>
      <c r="M3536" s="91"/>
    </row>
    <row r="3537" spans="1:13" ht="15" customHeight="1" x14ac:dyDescent="0.2">
      <c r="B3537" s="10" t="s">
        <v>932</v>
      </c>
      <c r="C3537" s="10" t="s">
        <v>928</v>
      </c>
      <c r="D3537" s="16">
        <f>M3506*(Inputs!$D$7+Inputs!$D$20)*($D$3531/Inputs!$D$21+$D$3532/Inputs!$D$22)</f>
        <v>13509.71303671543</v>
      </c>
      <c r="G3537" s="99" t="s">
        <v>933</v>
      </c>
      <c r="H3537" s="91"/>
      <c r="I3537" s="91"/>
      <c r="J3537" s="31" t="str">
        <f>IF(J3536&lt;Inputs!$D$6,"breached","satisfied")</f>
        <v>satisfied</v>
      </c>
      <c r="K3537" s="99" t="s">
        <v>934</v>
      </c>
      <c r="L3537" s="91"/>
      <c r="M3537" s="91"/>
    </row>
    <row r="3538" spans="1:13" ht="15" customHeight="1" x14ac:dyDescent="0.2">
      <c r="B3538" s="10" t="s">
        <v>935</v>
      </c>
      <c r="C3538" s="10" t="s">
        <v>928</v>
      </c>
      <c r="D3538" s="16">
        <f>M3506*Inputs!$D$20*($D$3531+$D$3532)</f>
        <v>1365.7073615561799</v>
      </c>
    </row>
    <row r="3539" spans="1:13" ht="15" customHeight="1" x14ac:dyDescent="0.2">
      <c r="B3539" s="10" t="s">
        <v>936</v>
      </c>
      <c r="C3539" s="10" t="s">
        <v>896</v>
      </c>
      <c r="D3539" s="28">
        <f>SUM(D3516:M3516)+D3533</f>
        <v>5369.0210216037867</v>
      </c>
      <c r="G3539" s="99" t="s">
        <v>937</v>
      </c>
      <c r="H3539" s="91"/>
      <c r="I3539" s="91"/>
      <c r="J3539" s="16">
        <f>D3541-D3527</f>
        <v>0</v>
      </c>
      <c r="K3539" s="99" t="s">
        <v>110</v>
      </c>
      <c r="L3539" s="91"/>
      <c r="M3539" s="91"/>
    </row>
    <row r="3540" spans="1:13" ht="15" customHeight="1" x14ac:dyDescent="0.2">
      <c r="B3540" s="10" t="s">
        <v>938</v>
      </c>
      <c r="C3540" s="10" t="s">
        <v>110</v>
      </c>
      <c r="D3540" s="16">
        <f>SUM(D3517:M3517)+D3534</f>
        <v>-169347.40814486711</v>
      </c>
    </row>
    <row r="3541" spans="1:13" ht="15" customHeight="1" x14ac:dyDescent="0.2">
      <c r="B3541" s="10" t="s">
        <v>939</v>
      </c>
      <c r="C3541" s="10" t="s">
        <v>110</v>
      </c>
      <c r="D3541" s="16">
        <f>SUM(D3524:M3524)+D3536/(Inputs!$D$7+$D$3530)^M3504</f>
        <v>21850.000000000022</v>
      </c>
    </row>
    <row r="3542" spans="1:13" ht="15" customHeight="1" x14ac:dyDescent="0.2">
      <c r="B3542" s="10" t="s">
        <v>940</v>
      </c>
      <c r="C3542" s="10" t="s">
        <v>104</v>
      </c>
      <c r="D3542" s="30">
        <f>IF(ABS(D3527)&gt;Inputs!$D$6,D3541/D3527-Inputs!$D$7,Inputs!$D$6)</f>
        <v>8.8817841970012523E-16</v>
      </c>
    </row>
    <row r="3543" spans="1:13" ht="15" customHeight="1" x14ac:dyDescent="0.2">
      <c r="B3543" s="10" t="s">
        <v>941</v>
      </c>
      <c r="C3543" s="10" t="s">
        <v>104</v>
      </c>
      <c r="D3543" s="30">
        <f>IF(ABS(D3541)&gt;Inputs!$D$119,D3536/(Inputs!$D$7+$D$3530)^M3504/D3541,Inputs!$D$6)</f>
        <v>1.1387160859825793</v>
      </c>
    </row>
    <row r="3544" spans="1:13" ht="15" customHeight="1" x14ac:dyDescent="0.2">
      <c r="B3544" s="10" t="s">
        <v>942</v>
      </c>
      <c r="C3544" s="10" t="s">
        <v>943</v>
      </c>
      <c r="D3544" s="26">
        <f>$D$3528*Inputs!$D$8/Prices!$P$6/(Inputs!$D$26/Inputs!$D$25)/Inputs!$D$11/Inputs!$D$56</f>
        <v>6.4760091826117554</v>
      </c>
    </row>
    <row r="3548" spans="1:13" ht="15" customHeight="1" x14ac:dyDescent="0.2">
      <c r="A3548" s="104" t="s">
        <v>2242</v>
      </c>
      <c r="B3548" s="10" t="s">
        <v>886</v>
      </c>
      <c r="C3548" s="10" t="s">
        <v>107</v>
      </c>
      <c r="D3548" s="28">
        <f>Inputs!$D$60</f>
        <v>1</v>
      </c>
      <c r="E3548" s="28">
        <f>Inputs!$D$62</f>
        <v>2</v>
      </c>
      <c r="F3548" s="28">
        <f>Inputs!$D$64</f>
        <v>3</v>
      </c>
      <c r="G3548" s="28">
        <f>Inputs!$D$66</f>
        <v>4</v>
      </c>
      <c r="H3548" s="28">
        <f>Inputs!$D$68</f>
        <v>5</v>
      </c>
      <c r="I3548" s="28">
        <f>Inputs!$D$70</f>
        <v>6</v>
      </c>
      <c r="J3548" s="28">
        <f>Inputs!$D$72</f>
        <v>7</v>
      </c>
      <c r="K3548" s="28">
        <f>Inputs!$D$74</f>
        <v>8</v>
      </c>
      <c r="L3548" s="28">
        <f>Inputs!$D$76</f>
        <v>9</v>
      </c>
      <c r="M3548" s="28">
        <f>Inputs!$D$78</f>
        <v>10</v>
      </c>
    </row>
    <row r="3549" spans="1:13" ht="15" customHeight="1" x14ac:dyDescent="0.2">
      <c r="A3549" s="91"/>
      <c r="B3549" s="10" t="s">
        <v>887</v>
      </c>
      <c r="C3549" s="10" t="s">
        <v>161</v>
      </c>
      <c r="D3549" s="29">
        <f>Inputs!$D$61</f>
        <v>46568</v>
      </c>
      <c r="E3549" s="29">
        <f>Inputs!$D$63</f>
        <v>46934</v>
      </c>
      <c r="F3549" s="29">
        <f>Inputs!$D$65</f>
        <v>47299</v>
      </c>
      <c r="G3549" s="29">
        <f>Inputs!$D$67</f>
        <v>47664</v>
      </c>
      <c r="H3549" s="29">
        <f>Inputs!$D$69</f>
        <v>48029</v>
      </c>
      <c r="I3549" s="29">
        <f>Inputs!$D$71</f>
        <v>48395</v>
      </c>
      <c r="J3549" s="29">
        <f>Inputs!$D$73</f>
        <v>48760</v>
      </c>
      <c r="K3549" s="29">
        <f>Inputs!$D$75</f>
        <v>49125</v>
      </c>
      <c r="L3549" s="29">
        <f>Inputs!$D$77</f>
        <v>49490</v>
      </c>
      <c r="M3549" s="29">
        <f>Inputs!$D$79</f>
        <v>49856</v>
      </c>
    </row>
    <row r="3550" spans="1:13" ht="15" customHeight="1" x14ac:dyDescent="0.2">
      <c r="A3550" s="91"/>
      <c r="B3550" s="10" t="s">
        <v>888</v>
      </c>
      <c r="C3550" s="10" t="s">
        <v>107</v>
      </c>
      <c r="D3550" s="28">
        <f>(D3549-Inputs!$D$13)/Inputs!$D$10</f>
        <v>0.71457905544147848</v>
      </c>
      <c r="E3550" s="28">
        <f>(E3549-Inputs!$D$13)/Inputs!$D$10</f>
        <v>1.7166324435318274</v>
      </c>
      <c r="F3550" s="28">
        <f>(F3549-Inputs!$D$13)/Inputs!$D$10</f>
        <v>2.7159479808350446</v>
      </c>
      <c r="G3550" s="28">
        <f>(G3549-Inputs!$D$13)/Inputs!$D$10</f>
        <v>3.7152635181382614</v>
      </c>
      <c r="H3550" s="28">
        <f>(H3549-Inputs!$D$13)/Inputs!$D$10</f>
        <v>4.7145790554414786</v>
      </c>
      <c r="I3550" s="28">
        <f>(I3549-Inputs!$D$13)/Inputs!$D$10</f>
        <v>5.7166324435318279</v>
      </c>
      <c r="J3550" s="28">
        <f>(J3549-Inputs!$D$13)/Inputs!$D$10</f>
        <v>6.7159479808350442</v>
      </c>
      <c r="K3550" s="28">
        <f>(K3549-Inputs!$D$13)/Inputs!$D$10</f>
        <v>7.7152635181382614</v>
      </c>
      <c r="L3550" s="28">
        <f>(L3549-Inputs!$D$13)/Inputs!$D$10</f>
        <v>8.7145790554414777</v>
      </c>
      <c r="M3550" s="28">
        <f>(M3549-Inputs!$D$13)/Inputs!$D$10</f>
        <v>9.716632443531827</v>
      </c>
    </row>
    <row r="3551" spans="1:13" ht="15" customHeight="1" x14ac:dyDescent="0.2">
      <c r="A3551" s="91"/>
      <c r="B3551" s="10" t="s">
        <v>889</v>
      </c>
      <c r="C3551" s="10" t="s">
        <v>107</v>
      </c>
      <c r="D3551" s="28">
        <f>D3550</f>
        <v>0.71457905544147848</v>
      </c>
      <c r="E3551" s="28">
        <f>Inputs!$D$7</f>
        <v>1</v>
      </c>
      <c r="F3551" s="28">
        <f>Inputs!$D$7</f>
        <v>1</v>
      </c>
      <c r="G3551" s="28">
        <f>Inputs!$D$7</f>
        <v>1</v>
      </c>
      <c r="H3551" s="28">
        <f>Inputs!$D$7</f>
        <v>1</v>
      </c>
      <c r="I3551" s="28">
        <f>Inputs!$D$7</f>
        <v>1</v>
      </c>
      <c r="J3551" s="28">
        <f>Inputs!$D$7</f>
        <v>1</v>
      </c>
      <c r="K3551" s="28">
        <f>Inputs!$D$7</f>
        <v>1</v>
      </c>
      <c r="L3551" s="28">
        <f>Inputs!$D$7</f>
        <v>1</v>
      </c>
      <c r="M3551" s="28">
        <f>Inputs!$D$7</f>
        <v>1</v>
      </c>
    </row>
    <row r="3552" spans="1:13" ht="15" customHeight="1" x14ac:dyDescent="0.2">
      <c r="A3552" s="91"/>
      <c r="B3552" s="3" t="s">
        <v>890</v>
      </c>
      <c r="C3552" s="10" t="s">
        <v>199</v>
      </c>
      <c r="D3552" s="28">
        <f>Inputs!$D$24+(Inputs!$D$80-Inputs!$D$24)*Inputs!$D$83</f>
        <v>305.5</v>
      </c>
      <c r="E3552" s="28">
        <f>Inputs!$D$24+(Inputs!$D$80-Inputs!$D$24)*Inputs!$D$84</f>
        <v>651.5</v>
      </c>
      <c r="F3552" s="28">
        <f>Inputs!$D$24+(Inputs!$D$80-Inputs!$D$24)*Inputs!$D$85</f>
        <v>911</v>
      </c>
      <c r="G3552" s="28">
        <f>Inputs!$D$24+(Inputs!$D$80-Inputs!$D$24)*Inputs!$D$86</f>
        <v>911</v>
      </c>
      <c r="H3552" s="28">
        <f>Inputs!$D$24+(Inputs!$D$80-Inputs!$D$24)*Inputs!$D$87</f>
        <v>911</v>
      </c>
      <c r="I3552" s="28">
        <f>Inputs!$D$24+(Inputs!$D$80-Inputs!$D$24)*Inputs!$D$88</f>
        <v>911</v>
      </c>
      <c r="J3552" s="28">
        <f>Inputs!$D$24+(Inputs!$D$80-Inputs!$D$24)*Inputs!$D$89</f>
        <v>911</v>
      </c>
      <c r="K3552" s="28">
        <f>Inputs!$D$24+(Inputs!$D$80-Inputs!$D$24)*Inputs!$D$90</f>
        <v>911</v>
      </c>
      <c r="L3552" s="28">
        <f>Inputs!$D$24+(Inputs!$D$80-Inputs!$D$24)*Inputs!$D$91</f>
        <v>911</v>
      </c>
      <c r="M3552" s="28">
        <f>Inputs!$D$24+(Inputs!$D$80-Inputs!$D$24)*Inputs!$D$92</f>
        <v>911</v>
      </c>
    </row>
    <row r="3553" spans="1:13" ht="15" customHeight="1" x14ac:dyDescent="0.2">
      <c r="A3553" s="91"/>
      <c r="B3553" s="10" t="s">
        <v>891</v>
      </c>
      <c r="C3553" s="10" t="s">
        <v>199</v>
      </c>
      <c r="D3553" s="28">
        <f>Inputs!$D$24</f>
        <v>46</v>
      </c>
      <c r="E3553" s="28">
        <f t="shared" ref="E3553:M3553" si="770">D3552</f>
        <v>305.5</v>
      </c>
      <c r="F3553" s="28">
        <f t="shared" si="770"/>
        <v>651.5</v>
      </c>
      <c r="G3553" s="28">
        <f t="shared" si="770"/>
        <v>911</v>
      </c>
      <c r="H3553" s="28">
        <f t="shared" si="770"/>
        <v>911</v>
      </c>
      <c r="I3553" s="28">
        <f t="shared" si="770"/>
        <v>911</v>
      </c>
      <c r="J3553" s="28">
        <f t="shared" si="770"/>
        <v>911</v>
      </c>
      <c r="K3553" s="28">
        <f t="shared" si="770"/>
        <v>911</v>
      </c>
      <c r="L3553" s="28">
        <f t="shared" si="770"/>
        <v>911</v>
      </c>
      <c r="M3553" s="28">
        <f t="shared" si="770"/>
        <v>911</v>
      </c>
    </row>
    <row r="3554" spans="1:13" ht="15" customHeight="1" x14ac:dyDescent="0.2">
      <c r="B3554" s="10" t="s">
        <v>892</v>
      </c>
      <c r="C3554" s="10" t="s">
        <v>199</v>
      </c>
      <c r="D3554" s="28">
        <f>(D3553+D3552)*Inputs!$D$12</f>
        <v>175.75</v>
      </c>
      <c r="E3554" s="28">
        <f>(E3553+E3552)*Inputs!$D$12</f>
        <v>478.5</v>
      </c>
      <c r="F3554" s="28">
        <f>(F3553+F3552)*Inputs!$D$12</f>
        <v>781.25</v>
      </c>
      <c r="G3554" s="28">
        <f>(G3553+G3552)*Inputs!$D$12</f>
        <v>911</v>
      </c>
      <c r="H3554" s="28">
        <f>(H3553+H3552)*Inputs!$D$12</f>
        <v>911</v>
      </c>
      <c r="I3554" s="28">
        <f>(I3553+I3552)*Inputs!$D$12</f>
        <v>911</v>
      </c>
      <c r="J3554" s="28">
        <f>(J3553+J3552)*Inputs!$D$12</f>
        <v>911</v>
      </c>
      <c r="K3554" s="28">
        <f>(K3553+K3552)*Inputs!$D$12</f>
        <v>911</v>
      </c>
      <c r="L3554" s="28">
        <f>(L3553+L3552)*Inputs!$D$12</f>
        <v>911</v>
      </c>
      <c r="M3554" s="28">
        <f>(M3553+M3552)*Inputs!$D$12</f>
        <v>911</v>
      </c>
    </row>
    <row r="3555" spans="1:13" ht="15" customHeight="1" x14ac:dyDescent="0.2">
      <c r="B3555" s="10" t="s">
        <v>893</v>
      </c>
      <c r="C3555" s="10" t="s">
        <v>199</v>
      </c>
      <c r="D3555" s="28">
        <f t="shared" ref="D3555:M3555" si="771">D3552-D3553</f>
        <v>259.5</v>
      </c>
      <c r="E3555" s="28">
        <f t="shared" si="771"/>
        <v>346</v>
      </c>
      <c r="F3555" s="28">
        <f t="shared" si="771"/>
        <v>259.5</v>
      </c>
      <c r="G3555" s="28">
        <f t="shared" si="771"/>
        <v>0</v>
      </c>
      <c r="H3555" s="28">
        <f t="shared" si="771"/>
        <v>0</v>
      </c>
      <c r="I3555" s="28">
        <f t="shared" si="771"/>
        <v>0</v>
      </c>
      <c r="J3555" s="28">
        <f t="shared" si="771"/>
        <v>0</v>
      </c>
      <c r="K3555" s="28">
        <f t="shared" si="771"/>
        <v>0</v>
      </c>
      <c r="L3555" s="28">
        <f t="shared" si="771"/>
        <v>0</v>
      </c>
      <c r="M3555" s="28">
        <f t="shared" si="771"/>
        <v>0</v>
      </c>
    </row>
    <row r="3556" spans="1:13" ht="15" customHeight="1" x14ac:dyDescent="0.2">
      <c r="B3556" s="10" t="s">
        <v>894</v>
      </c>
      <c r="C3556" s="10" t="s">
        <v>199</v>
      </c>
      <c r="D3556" s="28">
        <f>IF(MOD(D3548,Inputs!$D$21)=Inputs!$D$6,Inputs!$D$24,Inputs!$D$6)+SUMPRODUCT(--(D3548&gt;$D$3548:$M$3548),--(MOD(D3548-$D$3548:$M$3548,Inputs!$D$21)=Inputs!$D$6),$D$3555:$M$3555)</f>
        <v>0</v>
      </c>
      <c r="E3556" s="28">
        <f>IF(MOD(E3548,Inputs!$D$21)=Inputs!$D$6,Inputs!$D$24,Inputs!$D$6)+SUMPRODUCT(--(E3548&gt;$D$3548:$M$3548),--(MOD(E3548-$D$3548:$M$3548,Inputs!$D$21)=Inputs!$D$6),$D$3555:$M$3555)</f>
        <v>0</v>
      </c>
      <c r="F3556" s="28">
        <f>IF(MOD(F3548,Inputs!$D$21)=Inputs!$D$6,Inputs!$D$24,Inputs!$D$6)+SUMPRODUCT(--(F3548&gt;$D$3548:$M$3548),--(MOD(F3548-$D$3548:$M$3548,Inputs!$D$21)=Inputs!$D$6),$D$3555:$M$3555)</f>
        <v>0</v>
      </c>
      <c r="G3556" s="28">
        <f>IF(MOD(G3548,Inputs!$D$21)=Inputs!$D$6,Inputs!$D$24,Inputs!$D$6)+SUMPRODUCT(--(G3548&gt;$D$3548:$M$3548),--(MOD(G3548-$D$3548:$M$3548,Inputs!$D$21)=Inputs!$D$6),$D$3555:$M$3555)</f>
        <v>46</v>
      </c>
      <c r="H3556" s="28">
        <f>IF(MOD(H3548,Inputs!$D$21)=Inputs!$D$6,Inputs!$D$24,Inputs!$D$6)+SUMPRODUCT(--(H3548&gt;$D$3548:$M$3548),--(MOD(H3548-$D$3548:$M$3548,Inputs!$D$21)=Inputs!$D$6),$D$3555:$M$3555)</f>
        <v>259.5</v>
      </c>
      <c r="I3556" s="28">
        <f>IF(MOD(I3548,Inputs!$D$21)=Inputs!$D$6,Inputs!$D$24,Inputs!$D$6)+SUMPRODUCT(--(I3548&gt;$D$3548:$M$3548),--(MOD(I3548-$D$3548:$M$3548,Inputs!$D$21)=Inputs!$D$6),$D$3555:$M$3555)</f>
        <v>346</v>
      </c>
      <c r="J3556" s="28">
        <f>IF(MOD(J3548,Inputs!$D$21)=Inputs!$D$6,Inputs!$D$24,Inputs!$D$6)+SUMPRODUCT(--(J3548&gt;$D$3548:$M$3548),--(MOD(J3548-$D$3548:$M$3548,Inputs!$D$21)=Inputs!$D$6),$D$3555:$M$3555)</f>
        <v>259.5</v>
      </c>
      <c r="K3556" s="28">
        <f>IF(MOD(K3548,Inputs!$D$21)=Inputs!$D$6,Inputs!$D$24,Inputs!$D$6)+SUMPRODUCT(--(K3548&gt;$D$3548:$M$3548),--(MOD(K3548-$D$3548:$M$3548,Inputs!$D$21)=Inputs!$D$6),$D$3555:$M$3555)</f>
        <v>46</v>
      </c>
      <c r="L3556" s="28">
        <f>IF(MOD(L3548,Inputs!$D$21)=Inputs!$D$6,Inputs!$D$24,Inputs!$D$6)+SUMPRODUCT(--(L3548&gt;$D$3548:$M$3548),--(MOD(L3548-$D$3548:$M$3548,Inputs!$D$21)=Inputs!$D$6),$D$3555:$M$3555)</f>
        <v>259.5</v>
      </c>
      <c r="M3556" s="28">
        <f>IF(MOD(M3548,Inputs!$D$21)=Inputs!$D$6,Inputs!$D$24,Inputs!$D$6)+SUMPRODUCT(--(M3548&gt;$D$3548:$M$3548),--(MOD(M3548-$D$3548:$M$3548,Inputs!$D$21)=Inputs!$D$6),$D$3555:$M$3555)</f>
        <v>346</v>
      </c>
    </row>
    <row r="3557" spans="1:13" ht="15" customHeight="1" x14ac:dyDescent="0.2">
      <c r="B3557" s="10" t="s">
        <v>895</v>
      </c>
      <c r="C3557" s="10" t="s">
        <v>896</v>
      </c>
      <c r="D3557" s="28">
        <f t="shared" ref="D3557:M3557" si="772">D3554*D3551</f>
        <v>125.58726899383984</v>
      </c>
      <c r="E3557" s="28">
        <f t="shared" si="772"/>
        <v>478.5</v>
      </c>
      <c r="F3557" s="28">
        <f t="shared" si="772"/>
        <v>781.25</v>
      </c>
      <c r="G3557" s="28">
        <f t="shared" si="772"/>
        <v>911</v>
      </c>
      <c r="H3557" s="28">
        <f t="shared" si="772"/>
        <v>911</v>
      </c>
      <c r="I3557" s="28">
        <f t="shared" si="772"/>
        <v>911</v>
      </c>
      <c r="J3557" s="28">
        <f t="shared" si="772"/>
        <v>911</v>
      </c>
      <c r="K3557" s="28">
        <f t="shared" si="772"/>
        <v>911</v>
      </c>
      <c r="L3557" s="28">
        <f t="shared" si="772"/>
        <v>911</v>
      </c>
      <c r="M3557" s="28">
        <f t="shared" si="772"/>
        <v>911</v>
      </c>
    </row>
    <row r="3558" spans="1:13" ht="15" customHeight="1" x14ac:dyDescent="0.2">
      <c r="B3558" s="10" t="s">
        <v>897</v>
      </c>
      <c r="C3558" s="10" t="s">
        <v>110</v>
      </c>
      <c r="D3558" s="16">
        <f>D3557*($D$3577/Inputs!$D$21+$D$3578/Inputs!$D$22)</f>
        <v>1816.9772859324419</v>
      </c>
      <c r="E3558" s="16">
        <f>E3557*($D$3577/Inputs!$D$21+$D$3578/Inputs!$D$22)</f>
        <v>6922.8643817497086</v>
      </c>
      <c r="F3558" s="16">
        <f>F3557*($D$3577/Inputs!$D$21+$D$3578/Inputs!$D$22)</f>
        <v>11303.0048030135</v>
      </c>
      <c r="G3558" s="16">
        <f>G3557*($D$3577/Inputs!$D$21+$D$3578/Inputs!$D$22)</f>
        <v>13180.207840697982</v>
      </c>
      <c r="H3558" s="16">
        <f>H3557*($D$3577/Inputs!$D$21+$D$3578/Inputs!$D$22)</f>
        <v>13180.207840697982</v>
      </c>
      <c r="I3558" s="16">
        <f>I3557*($D$3577/Inputs!$D$21+$D$3578/Inputs!$D$22)</f>
        <v>13180.207840697982</v>
      </c>
      <c r="J3558" s="16">
        <f>J3557*($D$3577/Inputs!$D$21+$D$3578/Inputs!$D$22)</f>
        <v>13180.207840697982</v>
      </c>
      <c r="K3558" s="16">
        <f>K3557*($D$3577/Inputs!$D$21+$D$3578/Inputs!$D$22)</f>
        <v>13180.207840697982</v>
      </c>
      <c r="L3558" s="16">
        <f>L3557*($D$3577/Inputs!$D$21+$D$3578/Inputs!$D$22)</f>
        <v>13180.207840697982</v>
      </c>
      <c r="M3558" s="16">
        <f>M3557*($D$3577/Inputs!$D$21+$D$3578/Inputs!$D$22)</f>
        <v>13180.207840697982</v>
      </c>
    </row>
    <row r="3559" spans="1:13" ht="15" customHeight="1" x14ac:dyDescent="0.2">
      <c r="B3559" s="10" t="s">
        <v>898</v>
      </c>
      <c r="C3559" s="10" t="s">
        <v>110</v>
      </c>
      <c r="D3559" s="16">
        <f t="shared" ref="D3559:M3559" si="773">D3555*($D$3577+$D$3578)</f>
        <v>15560.968620146154</v>
      </c>
      <c r="E3559" s="16">
        <f t="shared" si="773"/>
        <v>20747.95816019487</v>
      </c>
      <c r="F3559" s="16">
        <f t="shared" si="773"/>
        <v>15560.968620146154</v>
      </c>
      <c r="G3559" s="16">
        <f t="shared" si="773"/>
        <v>0</v>
      </c>
      <c r="H3559" s="16">
        <f t="shared" si="773"/>
        <v>0</v>
      </c>
      <c r="I3559" s="16">
        <f t="shared" si="773"/>
        <v>0</v>
      </c>
      <c r="J3559" s="16">
        <f t="shared" si="773"/>
        <v>0</v>
      </c>
      <c r="K3559" s="16">
        <f t="shared" si="773"/>
        <v>0</v>
      </c>
      <c r="L3559" s="16">
        <f t="shared" si="773"/>
        <v>0</v>
      </c>
      <c r="M3559" s="16">
        <f t="shared" si="773"/>
        <v>0</v>
      </c>
    </row>
    <row r="3560" spans="1:13" ht="15" customHeight="1" x14ac:dyDescent="0.2">
      <c r="B3560" s="10" t="s">
        <v>899</v>
      </c>
      <c r="C3560" s="10" t="s">
        <v>110</v>
      </c>
      <c r="D3560" s="16">
        <f t="shared" ref="D3560:M3560" si="774">D3556*$D$3577</f>
        <v>0</v>
      </c>
      <c r="E3560" s="16">
        <f t="shared" si="774"/>
        <v>0</v>
      </c>
      <c r="F3560" s="16">
        <f t="shared" si="774"/>
        <v>0</v>
      </c>
      <c r="G3560" s="16">
        <f t="shared" si="774"/>
        <v>2638.0048485671714</v>
      </c>
      <c r="H3560" s="16">
        <f t="shared" si="774"/>
        <v>14881.788221808281</v>
      </c>
      <c r="I3560" s="16">
        <f t="shared" si="774"/>
        <v>19842.384295744378</v>
      </c>
      <c r="J3560" s="16">
        <f t="shared" si="774"/>
        <v>14881.788221808281</v>
      </c>
      <c r="K3560" s="16">
        <f t="shared" si="774"/>
        <v>2638.0048485671714</v>
      </c>
      <c r="L3560" s="16">
        <f t="shared" si="774"/>
        <v>14881.788221808281</v>
      </c>
      <c r="M3560" s="16">
        <f t="shared" si="774"/>
        <v>19842.384295744378</v>
      </c>
    </row>
    <row r="3561" spans="1:13" ht="15" customHeight="1" x14ac:dyDescent="0.2">
      <c r="B3561" s="10" t="s">
        <v>900</v>
      </c>
      <c r="C3561" s="10" t="s">
        <v>199</v>
      </c>
      <c r="D3561" s="28">
        <f>D3555*Inputs!$D$23</f>
        <v>6.4875000000000007</v>
      </c>
      <c r="E3561" s="28">
        <f>E3555*Inputs!$D$23</f>
        <v>8.65</v>
      </c>
      <c r="F3561" s="28">
        <f>F3555*Inputs!$D$23</f>
        <v>6.4875000000000007</v>
      </c>
      <c r="G3561" s="28">
        <f>G3555*Inputs!$D$23</f>
        <v>0</v>
      </c>
      <c r="H3561" s="28">
        <f>H3555*Inputs!$D$23</f>
        <v>0</v>
      </c>
      <c r="I3561" s="28">
        <f>I3555*Inputs!$D$23</f>
        <v>0</v>
      </c>
      <c r="J3561" s="28">
        <f>J3555*Inputs!$D$23</f>
        <v>0</v>
      </c>
      <c r="K3561" s="28">
        <f>K3555*Inputs!$D$23</f>
        <v>0</v>
      </c>
      <c r="L3561" s="28">
        <f>L3555*Inputs!$D$23</f>
        <v>0</v>
      </c>
      <c r="M3561" s="28">
        <f>M3555*Inputs!$D$23</f>
        <v>0</v>
      </c>
    </row>
    <row r="3562" spans="1:13" ht="15" customHeight="1" x14ac:dyDescent="0.2">
      <c r="B3562" s="3" t="s">
        <v>901</v>
      </c>
      <c r="C3562" s="10" t="s">
        <v>896</v>
      </c>
      <c r="D3562" s="28">
        <f>(D3557*$D$3575*(Inputs!$D$7-Inputs!$D$19)-D3561)/(Inputs!$D$7+$D$3576)^D3550</f>
        <v>42.392257892582741</v>
      </c>
      <c r="E3562" s="28">
        <f>(E3557*$D$3575*(Inputs!$D$7-Inputs!$D$19)-E3561)/(Inputs!$D$7+$D$3576)^E3550</f>
        <v>160.44935881327885</v>
      </c>
      <c r="F3562" s="28">
        <f>(F3557*$D$3575*(Inputs!$D$7-Inputs!$D$19)-F3561)/(Inputs!$D$7+$D$3576)^F3550</f>
        <v>244.06109899015289</v>
      </c>
      <c r="G3562" s="28">
        <f>(G3557*$D$3575*(Inputs!$D$7-Inputs!$D$19)-G3561)/(Inputs!$D$7+$D$3576)^G3550</f>
        <v>264.04849443125005</v>
      </c>
      <c r="H3562" s="28">
        <f>(H3557*$D$3575*(Inputs!$D$7-Inputs!$D$19)-H3561)/(Inputs!$D$7+$D$3576)^H3550</f>
        <v>240.05974593643205</v>
      </c>
      <c r="I3562" s="28">
        <f>(I3557*$D$3575*(Inputs!$D$7-Inputs!$D$19)-I3561)/(Inputs!$D$7+$D$3576)^I3550</f>
        <v>218.19342611959934</v>
      </c>
      <c r="J3562" s="28">
        <f>(J3557*$D$3575*(Inputs!$D$7-Inputs!$D$19)-J3561)/(Inputs!$D$7+$D$3576)^J3550</f>
        <v>198.37060064324149</v>
      </c>
      <c r="K3562" s="28">
        <f>(K3557*$D$3575*(Inputs!$D$7-Inputs!$D$19)-K3561)/(Inputs!$D$7+$D$3576)^K3550</f>
        <v>180.34867456543267</v>
      </c>
      <c r="L3562" s="28">
        <f>(L3557*$D$3575*(Inputs!$D$7-Inputs!$D$19)-L3561)/(Inputs!$D$7+$D$3576)^L3550</f>
        <v>163.9640365661034</v>
      </c>
      <c r="M3562" s="28">
        <f>(M3557*$D$3575*(Inputs!$D$7-Inputs!$D$19)-M3561)/(Inputs!$D$7+$D$3576)^M3550</f>
        <v>149.02904591189079</v>
      </c>
    </row>
    <row r="3563" spans="1:13" ht="15" customHeight="1" x14ac:dyDescent="0.2">
      <c r="B3563" s="10" t="s">
        <v>902</v>
      </c>
      <c r="C3563" s="10" t="s">
        <v>110</v>
      </c>
      <c r="D3563" s="16">
        <f>(D3558*Inputs!$D$19-D3559-D3560)/(Inputs!$D$7+$D$3576)^D3550</f>
        <v>-14027.24269342025</v>
      </c>
      <c r="E3563" s="16">
        <f>(E3558*Inputs!$D$19-E3559-E3560)/(Inputs!$D$7+$D$3576)^E3550</f>
        <v>-15853.087323826181</v>
      </c>
      <c r="F3563" s="16">
        <f>(F3558*Inputs!$D$19-F3559-F3560)/(Inputs!$D$7+$D$3576)^F3550</f>
        <v>-9394.4767487293357</v>
      </c>
      <c r="G3563" s="16">
        <f>(G3558*Inputs!$D$19-G3559-G3560)/(Inputs!$D$7+$D$3576)^G3550</f>
        <v>923.61320322684639</v>
      </c>
      <c r="H3563" s="16">
        <f>(H3558*Inputs!$D$19-H3559-H3560)/(Inputs!$D$7+$D$3576)^H3550</f>
        <v>-6972.3744918015345</v>
      </c>
      <c r="I3563" s="16">
        <f>(I3558*Inputs!$D$19-I3559-I3560)/(Inputs!$D$7+$D$3576)^I3550</f>
        <v>-9214.0648467907959</v>
      </c>
      <c r="J3563" s="16">
        <f>(J3558*Inputs!$D$19-J3559-J3560)/(Inputs!$D$7+$D$3576)^J3550</f>
        <v>-5761.5411965591911</v>
      </c>
      <c r="K3563" s="16">
        <f>(K3558*Inputs!$D$19-K3559-K3560)/(Inputs!$D$7+$D$3576)^K3550</f>
        <v>630.8402453567694</v>
      </c>
      <c r="L3563" s="16">
        <f>(L3558*Inputs!$D$19-L3559-L3560)/(Inputs!$D$7+$D$3576)^L3550</f>
        <v>-4762.2255937446444</v>
      </c>
      <c r="M3563" s="16">
        <f>(M3558*Inputs!$D$19-M3559-M3560)/(Inputs!$D$7+$D$3576)^M3550</f>
        <v>-6293.3302689644106</v>
      </c>
    </row>
    <row r="3564" spans="1:13" ht="15" customHeight="1" x14ac:dyDescent="0.2">
      <c r="B3564" s="10" t="s">
        <v>903</v>
      </c>
      <c r="C3564" s="10" t="s">
        <v>110</v>
      </c>
      <c r="D3564" s="16">
        <f t="shared" ref="D3564:M3564" si="775">D3557*$D$3574</f>
        <v>4828.2480314994391</v>
      </c>
      <c r="E3564" s="16">
        <f t="shared" si="775"/>
        <v>18396.10576439722</v>
      </c>
      <c r="F3564" s="16">
        <f t="shared" si="775"/>
        <v>30035.439139885744</v>
      </c>
      <c r="G3564" s="16">
        <f t="shared" si="775"/>
        <v>35023.724872237966</v>
      </c>
      <c r="H3564" s="16">
        <f t="shared" si="775"/>
        <v>35023.724872237966</v>
      </c>
      <c r="I3564" s="16">
        <f t="shared" si="775"/>
        <v>35023.724872237966</v>
      </c>
      <c r="J3564" s="16">
        <f t="shared" si="775"/>
        <v>35023.724872237966</v>
      </c>
      <c r="K3564" s="16">
        <f t="shared" si="775"/>
        <v>35023.724872237966</v>
      </c>
      <c r="L3564" s="16">
        <f t="shared" si="775"/>
        <v>35023.724872237966</v>
      </c>
      <c r="M3564" s="16">
        <f t="shared" si="775"/>
        <v>35023.724872237966</v>
      </c>
    </row>
    <row r="3565" spans="1:13" ht="15" customHeight="1" x14ac:dyDescent="0.2">
      <c r="B3565" s="10" t="s">
        <v>904</v>
      </c>
      <c r="C3565" s="10" t="s">
        <v>110</v>
      </c>
      <c r="D3565" s="16">
        <f t="shared" ref="D3565:M3565" si="776">D3564*$D$3575</f>
        <v>2848.6663385846691</v>
      </c>
      <c r="E3565" s="16">
        <f t="shared" si="776"/>
        <v>10853.70240099436</v>
      </c>
      <c r="F3565" s="16">
        <f t="shared" si="776"/>
        <v>17720.909092532587</v>
      </c>
      <c r="G3565" s="16">
        <f t="shared" si="776"/>
        <v>20663.997674620397</v>
      </c>
      <c r="H3565" s="16">
        <f t="shared" si="776"/>
        <v>20663.997674620397</v>
      </c>
      <c r="I3565" s="16">
        <f t="shared" si="776"/>
        <v>20663.997674620397</v>
      </c>
      <c r="J3565" s="16">
        <f t="shared" si="776"/>
        <v>20663.997674620397</v>
      </c>
      <c r="K3565" s="16">
        <f t="shared" si="776"/>
        <v>20663.997674620397</v>
      </c>
      <c r="L3565" s="16">
        <f t="shared" si="776"/>
        <v>20663.997674620397</v>
      </c>
      <c r="M3565" s="16">
        <f t="shared" si="776"/>
        <v>20663.997674620397</v>
      </c>
    </row>
    <row r="3566" spans="1:13" ht="15" customHeight="1" x14ac:dyDescent="0.2">
      <c r="B3566" s="10" t="s">
        <v>905</v>
      </c>
      <c r="C3566" s="10" t="s">
        <v>110</v>
      </c>
      <c r="D3566" s="16">
        <f t="shared" ref="D3566:M3566" si="777">D3565-D3558</f>
        <v>1031.6890526522272</v>
      </c>
      <c r="E3566" s="16">
        <f t="shared" si="777"/>
        <v>3930.8380192446512</v>
      </c>
      <c r="F3566" s="16">
        <f t="shared" si="777"/>
        <v>6417.9042895190869</v>
      </c>
      <c r="G3566" s="16">
        <f t="shared" si="777"/>
        <v>7483.7898339224157</v>
      </c>
      <c r="H3566" s="16">
        <f t="shared" si="777"/>
        <v>7483.7898339224157</v>
      </c>
      <c r="I3566" s="16">
        <f t="shared" si="777"/>
        <v>7483.7898339224157</v>
      </c>
      <c r="J3566" s="16">
        <f t="shared" si="777"/>
        <v>7483.7898339224157</v>
      </c>
      <c r="K3566" s="16">
        <f t="shared" si="777"/>
        <v>7483.7898339224157</v>
      </c>
      <c r="L3566" s="16">
        <f t="shared" si="777"/>
        <v>7483.7898339224157</v>
      </c>
      <c r="M3566" s="16">
        <f t="shared" si="777"/>
        <v>7483.7898339224157</v>
      </c>
    </row>
    <row r="3567" spans="1:13" ht="15" customHeight="1" x14ac:dyDescent="0.2">
      <c r="B3567" s="10" t="s">
        <v>906</v>
      </c>
      <c r="C3567" s="10" t="s">
        <v>110</v>
      </c>
      <c r="D3567" s="16">
        <f>MAX(D3566,Inputs!$D$6)*Inputs!$D$19</f>
        <v>309.50671579566819</v>
      </c>
      <c r="E3567" s="16">
        <f>MAX(E3566,Inputs!$D$6)*Inputs!$D$19</f>
        <v>1179.2514057733954</v>
      </c>
      <c r="F3567" s="16">
        <f>MAX(F3566,Inputs!$D$6)*Inputs!$D$19</f>
        <v>1925.3712868557259</v>
      </c>
      <c r="G3567" s="16">
        <f>MAX(G3566,Inputs!$D$6)*Inputs!$D$19</f>
        <v>2245.1369501767244</v>
      </c>
      <c r="H3567" s="16">
        <f>MAX(H3566,Inputs!$D$6)*Inputs!$D$19</f>
        <v>2245.1369501767244</v>
      </c>
      <c r="I3567" s="16">
        <f>MAX(I3566,Inputs!$D$6)*Inputs!$D$19</f>
        <v>2245.1369501767244</v>
      </c>
      <c r="J3567" s="16">
        <f>MAX(J3566,Inputs!$D$6)*Inputs!$D$19</f>
        <v>2245.1369501767244</v>
      </c>
      <c r="K3567" s="16">
        <f>MAX(K3566,Inputs!$D$6)*Inputs!$D$19</f>
        <v>2245.1369501767244</v>
      </c>
      <c r="L3567" s="16">
        <f>MAX(L3566,Inputs!$D$6)*Inputs!$D$19</f>
        <v>2245.1369501767244</v>
      </c>
      <c r="M3567" s="16">
        <f>MAX(M3566,Inputs!$D$6)*Inputs!$D$19</f>
        <v>2245.1369501767244</v>
      </c>
    </row>
    <row r="3568" spans="1:13" ht="15" customHeight="1" x14ac:dyDescent="0.2">
      <c r="B3568" s="10" t="s">
        <v>907</v>
      </c>
      <c r="C3568" s="10" t="s">
        <v>110</v>
      </c>
      <c r="D3568" s="16">
        <f t="shared" ref="D3568:M3568" si="778">D3561*$D$3574</f>
        <v>249.41428661761125</v>
      </c>
      <c r="E3568" s="16">
        <f t="shared" si="778"/>
        <v>332.55238215681499</v>
      </c>
      <c r="F3568" s="16">
        <f t="shared" si="778"/>
        <v>249.41428661761125</v>
      </c>
      <c r="G3568" s="16">
        <f t="shared" si="778"/>
        <v>0</v>
      </c>
      <c r="H3568" s="16">
        <f t="shared" si="778"/>
        <v>0</v>
      </c>
      <c r="I3568" s="16">
        <f t="shared" si="778"/>
        <v>0</v>
      </c>
      <c r="J3568" s="16">
        <f t="shared" si="778"/>
        <v>0</v>
      </c>
      <c r="K3568" s="16">
        <f t="shared" si="778"/>
        <v>0</v>
      </c>
      <c r="L3568" s="16">
        <f t="shared" si="778"/>
        <v>0</v>
      </c>
      <c r="M3568" s="16">
        <f t="shared" si="778"/>
        <v>0</v>
      </c>
    </row>
    <row r="3569" spans="2:13" ht="15" customHeight="1" x14ac:dyDescent="0.2">
      <c r="B3569" s="10" t="s">
        <v>908</v>
      </c>
      <c r="C3569" s="10" t="s">
        <v>110</v>
      </c>
      <c r="D3569" s="16">
        <f t="shared" ref="D3569:M3569" si="779">D3565-D3567-D3559-D3560-D3568</f>
        <v>-13271.223283974765</v>
      </c>
      <c r="E3569" s="16">
        <f t="shared" si="779"/>
        <v>-11406.059547130721</v>
      </c>
      <c r="F3569" s="16">
        <f t="shared" si="779"/>
        <v>-14.845101086904435</v>
      </c>
      <c r="G3569" s="16">
        <f t="shared" si="779"/>
        <v>15780.855875876499</v>
      </c>
      <c r="H3569" s="16">
        <f t="shared" si="779"/>
        <v>3537.0725026353903</v>
      </c>
      <c r="I3569" s="16">
        <f t="shared" si="779"/>
        <v>-1423.523571300706</v>
      </c>
      <c r="J3569" s="16">
        <f t="shared" si="779"/>
        <v>3537.0725026353903</v>
      </c>
      <c r="K3569" s="16">
        <f t="shared" si="779"/>
        <v>15780.855875876499</v>
      </c>
      <c r="L3569" s="16">
        <f t="shared" si="779"/>
        <v>3537.0725026353903</v>
      </c>
      <c r="M3569" s="16">
        <f t="shared" si="779"/>
        <v>-1423.523571300706</v>
      </c>
    </row>
    <row r="3570" spans="2:13" ht="15" customHeight="1" x14ac:dyDescent="0.2">
      <c r="B3570" s="10" t="s">
        <v>909</v>
      </c>
      <c r="C3570" s="10" t="s">
        <v>110</v>
      </c>
      <c r="D3570" s="16">
        <f>D3569/(Inputs!$D$7+$D$3576)^D3550</f>
        <v>-12397.456988543439</v>
      </c>
      <c r="E3570" s="16">
        <f>E3569/(Inputs!$D$7+$D$3576)^E3550</f>
        <v>-9684.5536256886753</v>
      </c>
      <c r="F3570" s="16">
        <f>F3569/(Inputs!$D$7+$D$3576)^F3550</f>
        <v>-11.459423759906095</v>
      </c>
      <c r="G3570" s="16">
        <f>G3569/(Inputs!$D$7+$D$3576)^G3550</f>
        <v>11075.05318334623</v>
      </c>
      <c r="H3570" s="16">
        <f>H3569/(Inputs!$D$7+$D$3576)^H3550</f>
        <v>2256.8093661314406</v>
      </c>
      <c r="I3570" s="16">
        <f>I3569/(Inputs!$D$7+$D$3576)^I3550</f>
        <v>-825.53957198966839</v>
      </c>
      <c r="J3570" s="16">
        <f>J3569/(Inputs!$D$7+$D$3576)^J3550</f>
        <v>1864.8883749770114</v>
      </c>
      <c r="K3570" s="16">
        <f>K3569/(Inputs!$D$7+$D$3576)^K3550</f>
        <v>7564.4103431092326</v>
      </c>
      <c r="L3570" s="16">
        <f>L3569/(Inputs!$D$7+$D$3576)^L3550</f>
        <v>1541.43116326169</v>
      </c>
      <c r="M3570" s="16">
        <f>M3569/(Inputs!$D$7+$D$3576)^M3550</f>
        <v>-563.85463560526478</v>
      </c>
    </row>
    <row r="3571" spans="2:13" ht="15" customHeight="1" x14ac:dyDescent="0.2">
      <c r="B3571" s="3" t="s">
        <v>910</v>
      </c>
      <c r="C3571" s="10" t="s">
        <v>896</v>
      </c>
      <c r="D3571" s="28">
        <f>(D3557*$D$3575-D3561)/(Inputs!$D$7+$D$3576)^D3550</f>
        <v>63.15766916062681</v>
      </c>
      <c r="E3571" s="28">
        <f>(E3557*$D$3575-E3561)/(Inputs!$D$7+$D$3576)^E3550</f>
        <v>232.36099697908384</v>
      </c>
      <c r="F3571" s="28">
        <f>(F3557*$D$3575-F3561)/(Inputs!$D$7+$D$3576)^F3550</f>
        <v>350.80496233759658</v>
      </c>
      <c r="G3571" s="28">
        <f>(G3557*$D$3575-G3561)/(Inputs!$D$7+$D$3576)^G3550</f>
        <v>377.21213490178582</v>
      </c>
      <c r="H3571" s="28">
        <f>(H3557*$D$3575-H3561)/(Inputs!$D$7+$D$3576)^H3550</f>
        <v>342.94249419490291</v>
      </c>
      <c r="I3571" s="28">
        <f>(I3557*$D$3575-I3561)/(Inputs!$D$7+$D$3576)^I3550</f>
        <v>311.70489445657051</v>
      </c>
      <c r="J3571" s="28">
        <f>(J3557*$D$3575-J3561)/(Inputs!$D$7+$D$3576)^J3550</f>
        <v>283.38657234748786</v>
      </c>
      <c r="K3571" s="28">
        <f>(K3557*$D$3575-K3561)/(Inputs!$D$7+$D$3576)^K3550</f>
        <v>257.64096366490384</v>
      </c>
      <c r="L3571" s="28">
        <f>(L3557*$D$3575-L3561)/(Inputs!$D$7+$D$3576)^L3550</f>
        <v>234.23433795157629</v>
      </c>
      <c r="M3571" s="28">
        <f>(M3557*$D$3575-M3561)/(Inputs!$D$7+$D$3576)^M3550</f>
        <v>212.89863701698684</v>
      </c>
    </row>
    <row r="3572" spans="2:13" ht="15" customHeight="1" x14ac:dyDescent="0.2">
      <c r="B3572" s="10" t="s">
        <v>911</v>
      </c>
      <c r="C3572" s="10" t="s">
        <v>110</v>
      </c>
      <c r="D3572" s="16">
        <f>(-D3559-D3560)/(Inputs!$D$7+$D$3576)^D3550</f>
        <v>-14536.447397527105</v>
      </c>
      <c r="E3572" s="16">
        <f>(-E3559-E3560)/(Inputs!$D$7+$D$3576)^E3550</f>
        <v>-17616.488200475756</v>
      </c>
      <c r="F3572" s="16">
        <f>(-F3559-F3560)/(Inputs!$D$7+$D$3576)^F3550</f>
        <v>-12012.025548964448</v>
      </c>
      <c r="G3572" s="16">
        <f>(-G3559-G3560)/(Inputs!$D$7+$D$3576)^G3550</f>
        <v>-1851.359915178487</v>
      </c>
      <c r="H3572" s="16">
        <f>(-H3559-H3560)/(Inputs!$D$7+$D$3576)^H3550</f>
        <v>-9495.2419037884629</v>
      </c>
      <c r="I3572" s="16">
        <f>(-I3559-I3560)/(Inputs!$D$7+$D$3576)^I3550</f>
        <v>-11507.131858586603</v>
      </c>
      <c r="J3572" s="16">
        <f>(-J3559-J3560)/(Inputs!$D$7+$D$3576)^J3550</f>
        <v>-7846.2835672839774</v>
      </c>
      <c r="K3572" s="16">
        <f>(-K3559-K3560)/(Inputs!$D$7+$D$3576)^K3550</f>
        <v>-1264.5037327904422</v>
      </c>
      <c r="L3572" s="16">
        <f>(-L3559-L3560)/(Inputs!$D$7+$D$3576)^L3550</f>
        <v>-6485.3779822337692</v>
      </c>
      <c r="M3572" s="16">
        <f>(-M3559-M3560)/(Inputs!$D$7+$D$3576)^M3550</f>
        <v>-7859.5258920747219</v>
      </c>
    </row>
    <row r="3573" spans="2:13" ht="15" customHeight="1" x14ac:dyDescent="0.2">
      <c r="B3573" s="10" t="s">
        <v>912</v>
      </c>
      <c r="C3573" s="10" t="s">
        <v>110</v>
      </c>
      <c r="D3573" s="16">
        <f>Prices!I9</f>
        <v>21850</v>
      </c>
    </row>
    <row r="3574" spans="2:13" ht="15" customHeight="1" x14ac:dyDescent="0.2">
      <c r="B3574" s="3" t="s">
        <v>913</v>
      </c>
      <c r="C3574" s="10" t="s">
        <v>914</v>
      </c>
      <c r="D3574" s="28">
        <f>IF(J3581&gt;=J3577,J3581,(D3573-J3580)/J3579)</f>
        <v>38.445362099053753</v>
      </c>
      <c r="G3574" s="99" t="s">
        <v>915</v>
      </c>
      <c r="H3574" s="91"/>
      <c r="I3574" s="91"/>
      <c r="J3574" s="28">
        <f>D3574*Inputs!$D$15</f>
        <v>26.831018208929613</v>
      </c>
      <c r="K3574" s="99" t="s">
        <v>916</v>
      </c>
      <c r="L3574" s="91"/>
      <c r="M3574" s="91"/>
    </row>
    <row r="3575" spans="2:13" ht="15" customHeight="1" x14ac:dyDescent="0.2">
      <c r="B3575" s="10" t="s">
        <v>917</v>
      </c>
      <c r="C3575" s="10" t="s">
        <v>104</v>
      </c>
      <c r="D3575" s="30">
        <f>Inputs!$D$141</f>
        <v>0.59</v>
      </c>
      <c r="G3575" s="99" t="s">
        <v>918</v>
      </c>
      <c r="H3575" s="91"/>
      <c r="I3575" s="91"/>
      <c r="J3575" s="28">
        <f>IF(-D3586/D3585&gt;=J3577,-D3586/D3585,-J3580/J3579)</f>
        <v>32.835087452382361</v>
      </c>
      <c r="K3575" s="99" t="s">
        <v>919</v>
      </c>
      <c r="L3575" s="91"/>
      <c r="M3575" s="91"/>
    </row>
    <row r="3576" spans="2:13" ht="15" customHeight="1" x14ac:dyDescent="0.2">
      <c r="B3576" s="10" t="s">
        <v>920</v>
      </c>
      <c r="C3576" s="10" t="s">
        <v>104</v>
      </c>
      <c r="D3576" s="30">
        <f>Inputs!$D$147</f>
        <v>0.1</v>
      </c>
      <c r="G3576" s="99" t="s">
        <v>918</v>
      </c>
      <c r="H3576" s="91"/>
      <c r="I3576" s="91"/>
      <c r="J3576" s="28">
        <f>J3575*Inputs!$D$15</f>
        <v>22.915607533017649</v>
      </c>
      <c r="K3576" s="99" t="s">
        <v>916</v>
      </c>
      <c r="L3576" s="91"/>
      <c r="M3576" s="91"/>
    </row>
    <row r="3577" spans="2:13" ht="15" customHeight="1" x14ac:dyDescent="0.2">
      <c r="B3577" s="3" t="s">
        <v>921</v>
      </c>
      <c r="C3577" s="10" t="s">
        <v>848</v>
      </c>
      <c r="D3577" s="28">
        <f>Capital!$D$13</f>
        <v>57.347931490590682</v>
      </c>
      <c r="G3577" s="99" t="s">
        <v>922</v>
      </c>
      <c r="H3577" s="91"/>
      <c r="I3577" s="91"/>
      <c r="J3577" s="28">
        <f>($D$3577/Inputs!$D$21+$D$3578/Inputs!$D$22)/$D$3575</f>
        <v>24.521773131961492</v>
      </c>
      <c r="K3577" s="99" t="s">
        <v>919</v>
      </c>
      <c r="L3577" s="91"/>
      <c r="M3577" s="91"/>
    </row>
    <row r="3578" spans="2:13" ht="15" customHeight="1" x14ac:dyDescent="0.2">
      <c r="B3578" s="3" t="s">
        <v>923</v>
      </c>
      <c r="C3578" s="10" t="s">
        <v>848</v>
      </c>
      <c r="D3578" s="28">
        <f>Capital!$D$14</f>
        <v>2.6172655041921802</v>
      </c>
    </row>
    <row r="3579" spans="2:13" ht="15" customHeight="1" x14ac:dyDescent="0.2">
      <c r="B3579" s="10" t="s">
        <v>924</v>
      </c>
      <c r="C3579" s="10" t="s">
        <v>896</v>
      </c>
      <c r="D3579" s="28">
        <f>(M3552*(Inputs!$D$7+Inputs!$D$20)*$D$3575*(Inputs!$D$7-Inputs!$D$19)-M3552*Inputs!$D$20*Inputs!$D$23)/($D$3576-Inputs!$D$20)/(Inputs!$D$7+$D$3576)^M3550</f>
        <v>2033.7232512334531</v>
      </c>
      <c r="G3579" s="92" t="s">
        <v>910</v>
      </c>
      <c r="H3579" s="91"/>
      <c r="I3579" s="91"/>
      <c r="J3579" s="28">
        <f>SUM(D3571:M3571)+(M3552*(Inputs!$D$7+Inputs!$D$20)*$D$3575-M3552*Inputs!$D$20*Inputs!$D$23)/($D$3576-Inputs!$D$20)/(Inputs!$D$7+$D$3576)^M3550</f>
        <v>5572.9513260146196</v>
      </c>
      <c r="K3579" s="99" t="s">
        <v>896</v>
      </c>
      <c r="L3579" s="91"/>
      <c r="M3579" s="91"/>
    </row>
    <row r="3580" spans="2:13" ht="15" customHeight="1" x14ac:dyDescent="0.2">
      <c r="B3580" s="10" t="s">
        <v>925</v>
      </c>
      <c r="C3580" s="10" t="s">
        <v>110</v>
      </c>
      <c r="D3580" s="16">
        <f>(D3583*Inputs!$D$19-D3583-D3584)/($D$3576-Inputs!$D$20)/(Inputs!$D$7+$D$3576)^M3550</f>
        <v>-57156.954988173631</v>
      </c>
      <c r="G3580" s="92" t="s">
        <v>926</v>
      </c>
      <c r="H3580" s="91"/>
      <c r="I3580" s="91"/>
      <c r="J3580" s="16">
        <f>SUM(D3572:M3572)-(D3583+D3584)/($D$3576-Inputs!$D$20)/(Inputs!$D$7+$D$3576)^M3550</f>
        <v>-169036.01450291832</v>
      </c>
      <c r="K3580" s="99" t="s">
        <v>110</v>
      </c>
      <c r="L3580" s="91"/>
      <c r="M3580" s="91"/>
    </row>
    <row r="3581" spans="2:13" ht="15" customHeight="1" x14ac:dyDescent="0.2">
      <c r="B3581" s="10" t="s">
        <v>927</v>
      </c>
      <c r="C3581" s="10" t="s">
        <v>928</v>
      </c>
      <c r="D3581" s="16">
        <f>(M3552*(Inputs!$D$7+Inputs!$D$20)*$D$3574*$D$3575-D3583)-MAX((M3552*(Inputs!$D$7+Inputs!$D$20)*$D$3574*$D$3575-D3583),Inputs!$D$6)*Inputs!$D$19-D3584-M3552*Inputs!$D$20*$D$3574*Inputs!$D$23</f>
        <v>3982.0220162380069</v>
      </c>
      <c r="G3581" s="99" t="s">
        <v>929</v>
      </c>
      <c r="H3581" s="91"/>
      <c r="I3581" s="91"/>
      <c r="J3581" s="28">
        <f>(D3573-D3586)/D3585</f>
        <v>38.445362099053753</v>
      </c>
      <c r="K3581" s="99" t="s">
        <v>919</v>
      </c>
      <c r="L3581" s="91"/>
      <c r="M3581" s="91"/>
    </row>
    <row r="3582" spans="2:13" ht="15" customHeight="1" x14ac:dyDescent="0.2">
      <c r="B3582" s="10" t="s">
        <v>930</v>
      </c>
      <c r="C3582" s="10" t="s">
        <v>110</v>
      </c>
      <c r="D3582" s="16">
        <f>D3581/($D$3576-Inputs!$D$20)</f>
        <v>53093.62688317342</v>
      </c>
      <c r="G3582" s="99" t="s">
        <v>931</v>
      </c>
      <c r="H3582" s="91"/>
      <c r="I3582" s="91"/>
      <c r="J3582" s="16">
        <f>MIN(D3566:M3566,(M3552*(Inputs!$D$7+Inputs!$D$20)*$D$3574*$D$3575-D3583))</f>
        <v>1031.6890526522272</v>
      </c>
      <c r="K3582" s="99" t="s">
        <v>110</v>
      </c>
      <c r="L3582" s="91"/>
      <c r="M3582" s="91"/>
    </row>
    <row r="3583" spans="2:13" ht="15" customHeight="1" x14ac:dyDescent="0.2">
      <c r="B3583" s="10" t="s">
        <v>932</v>
      </c>
      <c r="C3583" s="10" t="s">
        <v>928</v>
      </c>
      <c r="D3583" s="16">
        <f>M3552*(Inputs!$D$7+Inputs!$D$20)*($D$3577/Inputs!$D$21+$D$3578/Inputs!$D$22)</f>
        <v>13509.71303671543</v>
      </c>
      <c r="G3583" s="99" t="s">
        <v>933</v>
      </c>
      <c r="H3583" s="91"/>
      <c r="I3583" s="91"/>
      <c r="J3583" s="31" t="str">
        <f>IF(J3582&lt;Inputs!$D$6,"breached","satisfied")</f>
        <v>satisfied</v>
      </c>
      <c r="K3583" s="99" t="s">
        <v>934</v>
      </c>
      <c r="L3583" s="91"/>
      <c r="M3583" s="91"/>
    </row>
    <row r="3584" spans="2:13" ht="15" customHeight="1" x14ac:dyDescent="0.2">
      <c r="B3584" s="10" t="s">
        <v>935</v>
      </c>
      <c r="C3584" s="10" t="s">
        <v>928</v>
      </c>
      <c r="D3584" s="16">
        <f>M3552*Inputs!$D$20*($D$3577+$D$3578)</f>
        <v>1365.7073615561799</v>
      </c>
    </row>
    <row r="3585" spans="1:13" ht="15" customHeight="1" x14ac:dyDescent="0.2">
      <c r="B3585" s="10" t="s">
        <v>936</v>
      </c>
      <c r="C3585" s="10" t="s">
        <v>896</v>
      </c>
      <c r="D3585" s="28">
        <f>SUM(D3562:M3562)+D3579</f>
        <v>3894.6399911034173</v>
      </c>
      <c r="G3585" s="99" t="s">
        <v>937</v>
      </c>
      <c r="H3585" s="91"/>
      <c r="I3585" s="91"/>
      <c r="J3585" s="16">
        <f>D3587-D3573</f>
        <v>0</v>
      </c>
      <c r="K3585" s="99" t="s">
        <v>110</v>
      </c>
      <c r="L3585" s="91"/>
      <c r="M3585" s="91"/>
    </row>
    <row r="3586" spans="1:13" ht="15" customHeight="1" x14ac:dyDescent="0.2">
      <c r="B3586" s="10" t="s">
        <v>938</v>
      </c>
      <c r="C3586" s="10" t="s">
        <v>110</v>
      </c>
      <c r="D3586" s="16">
        <f>SUM(D3563:M3563)+D3580</f>
        <v>-127880.84470342637</v>
      </c>
    </row>
    <row r="3587" spans="1:13" ht="15" customHeight="1" x14ac:dyDescent="0.2">
      <c r="B3587" s="10" t="s">
        <v>939</v>
      </c>
      <c r="C3587" s="10" t="s">
        <v>110</v>
      </c>
      <c r="D3587" s="16">
        <f>SUM(D3570:M3570)+D3582/(Inputs!$D$7+$D$3576)^M3550</f>
        <v>21849.999999999989</v>
      </c>
    </row>
    <row r="3588" spans="1:13" ht="15" customHeight="1" x14ac:dyDescent="0.2">
      <c r="B3588" s="10" t="s">
        <v>940</v>
      </c>
      <c r="C3588" s="10" t="s">
        <v>104</v>
      </c>
      <c r="D3588" s="30">
        <f>IF(ABS(D3573)&gt;Inputs!$D$6,D3587/D3573-Inputs!$D$7,Inputs!$D$6)</f>
        <v>-4.4408920985006262E-16</v>
      </c>
    </row>
    <row r="3589" spans="1:13" ht="15" customHeight="1" x14ac:dyDescent="0.2">
      <c r="B3589" s="10" t="s">
        <v>941</v>
      </c>
      <c r="C3589" s="10" t="s">
        <v>104</v>
      </c>
      <c r="D3589" s="30">
        <f>IF(ABS(D3587)&gt;Inputs!$D$119,D3582/(Inputs!$D$7+$D$3576)^M3550/D3587,Inputs!$D$6)</f>
        <v>0.96248383591585118</v>
      </c>
    </row>
    <row r="3590" spans="1:13" ht="15" customHeight="1" x14ac:dyDescent="0.2">
      <c r="B3590" s="10" t="s">
        <v>942</v>
      </c>
      <c r="C3590" s="10" t="s">
        <v>943</v>
      </c>
      <c r="D3590" s="26">
        <f>$D$3574*Inputs!$D$8/Prices!$P$6/(Inputs!$D$26/Inputs!$D$25)/Inputs!$D$11/Inputs!$D$56</f>
        <v>6.9914058763589688</v>
      </c>
    </row>
    <row r="3594" spans="1:13" ht="15" customHeight="1" x14ac:dyDescent="0.2">
      <c r="A3594" s="104" t="s">
        <v>2243</v>
      </c>
      <c r="B3594" s="10" t="s">
        <v>886</v>
      </c>
      <c r="C3594" s="10" t="s">
        <v>107</v>
      </c>
      <c r="D3594" s="28">
        <f>Inputs!$D$60</f>
        <v>1</v>
      </c>
      <c r="E3594" s="28">
        <f>Inputs!$D$62</f>
        <v>2</v>
      </c>
      <c r="F3594" s="28">
        <f>Inputs!$D$64</f>
        <v>3</v>
      </c>
      <c r="G3594" s="28">
        <f>Inputs!$D$66</f>
        <v>4</v>
      </c>
      <c r="H3594" s="28">
        <f>Inputs!$D$68</f>
        <v>5</v>
      </c>
      <c r="I3594" s="28">
        <f>Inputs!$D$70</f>
        <v>6</v>
      </c>
      <c r="J3594" s="28">
        <f>Inputs!$D$72</f>
        <v>7</v>
      </c>
      <c r="K3594" s="28">
        <f>Inputs!$D$74</f>
        <v>8</v>
      </c>
      <c r="L3594" s="28">
        <f>Inputs!$D$76</f>
        <v>9</v>
      </c>
      <c r="M3594" s="28">
        <f>Inputs!$D$78</f>
        <v>10</v>
      </c>
    </row>
    <row r="3595" spans="1:13" ht="15" customHeight="1" x14ac:dyDescent="0.2">
      <c r="A3595" s="91"/>
      <c r="B3595" s="10" t="s">
        <v>887</v>
      </c>
      <c r="C3595" s="10" t="s">
        <v>161</v>
      </c>
      <c r="D3595" s="29">
        <f>Inputs!$D$61</f>
        <v>46568</v>
      </c>
      <c r="E3595" s="29">
        <f>Inputs!$D$63</f>
        <v>46934</v>
      </c>
      <c r="F3595" s="29">
        <f>Inputs!$D$65</f>
        <v>47299</v>
      </c>
      <c r="G3595" s="29">
        <f>Inputs!$D$67</f>
        <v>47664</v>
      </c>
      <c r="H3595" s="29">
        <f>Inputs!$D$69</f>
        <v>48029</v>
      </c>
      <c r="I3595" s="29">
        <f>Inputs!$D$71</f>
        <v>48395</v>
      </c>
      <c r="J3595" s="29">
        <f>Inputs!$D$73</f>
        <v>48760</v>
      </c>
      <c r="K3595" s="29">
        <f>Inputs!$D$75</f>
        <v>49125</v>
      </c>
      <c r="L3595" s="29">
        <f>Inputs!$D$77</f>
        <v>49490</v>
      </c>
      <c r="M3595" s="29">
        <f>Inputs!$D$79</f>
        <v>49856</v>
      </c>
    </row>
    <row r="3596" spans="1:13" ht="15" customHeight="1" x14ac:dyDescent="0.2">
      <c r="A3596" s="91"/>
      <c r="B3596" s="10" t="s">
        <v>888</v>
      </c>
      <c r="C3596" s="10" t="s">
        <v>107</v>
      </c>
      <c r="D3596" s="28">
        <f>(D3595-Inputs!$D$13)/Inputs!$D$10</f>
        <v>0.71457905544147848</v>
      </c>
      <c r="E3596" s="28">
        <f>(E3595-Inputs!$D$13)/Inputs!$D$10</f>
        <v>1.7166324435318274</v>
      </c>
      <c r="F3596" s="28">
        <f>(F3595-Inputs!$D$13)/Inputs!$D$10</f>
        <v>2.7159479808350446</v>
      </c>
      <c r="G3596" s="28">
        <f>(G3595-Inputs!$D$13)/Inputs!$D$10</f>
        <v>3.7152635181382614</v>
      </c>
      <c r="H3596" s="28">
        <f>(H3595-Inputs!$D$13)/Inputs!$D$10</f>
        <v>4.7145790554414786</v>
      </c>
      <c r="I3596" s="28">
        <f>(I3595-Inputs!$D$13)/Inputs!$D$10</f>
        <v>5.7166324435318279</v>
      </c>
      <c r="J3596" s="28">
        <f>(J3595-Inputs!$D$13)/Inputs!$D$10</f>
        <v>6.7159479808350442</v>
      </c>
      <c r="K3596" s="28">
        <f>(K3595-Inputs!$D$13)/Inputs!$D$10</f>
        <v>7.7152635181382614</v>
      </c>
      <c r="L3596" s="28">
        <f>(L3595-Inputs!$D$13)/Inputs!$D$10</f>
        <v>8.7145790554414777</v>
      </c>
      <c r="M3596" s="28">
        <f>(M3595-Inputs!$D$13)/Inputs!$D$10</f>
        <v>9.716632443531827</v>
      </c>
    </row>
    <row r="3597" spans="1:13" ht="15" customHeight="1" x14ac:dyDescent="0.2">
      <c r="A3597" s="91"/>
      <c r="B3597" s="10" t="s">
        <v>889</v>
      </c>
      <c r="C3597" s="10" t="s">
        <v>107</v>
      </c>
      <c r="D3597" s="28">
        <f>D3596</f>
        <v>0.71457905544147848</v>
      </c>
      <c r="E3597" s="28">
        <f>Inputs!$D$7</f>
        <v>1</v>
      </c>
      <c r="F3597" s="28">
        <f>Inputs!$D$7</f>
        <v>1</v>
      </c>
      <c r="G3597" s="28">
        <f>Inputs!$D$7</f>
        <v>1</v>
      </c>
      <c r="H3597" s="28">
        <f>Inputs!$D$7</f>
        <v>1</v>
      </c>
      <c r="I3597" s="28">
        <f>Inputs!$D$7</f>
        <v>1</v>
      </c>
      <c r="J3597" s="28">
        <f>Inputs!$D$7</f>
        <v>1</v>
      </c>
      <c r="K3597" s="28">
        <f>Inputs!$D$7</f>
        <v>1</v>
      </c>
      <c r="L3597" s="28">
        <f>Inputs!$D$7</f>
        <v>1</v>
      </c>
      <c r="M3597" s="28">
        <f>Inputs!$D$7</f>
        <v>1</v>
      </c>
    </row>
    <row r="3598" spans="1:13" ht="15" customHeight="1" x14ac:dyDescent="0.2">
      <c r="A3598" s="91"/>
      <c r="B3598" s="3" t="s">
        <v>890</v>
      </c>
      <c r="C3598" s="10" t="s">
        <v>199</v>
      </c>
      <c r="D3598" s="28">
        <f>Inputs!$D$24+(Inputs!$D$80-Inputs!$D$24)*Inputs!$D$83</f>
        <v>305.5</v>
      </c>
      <c r="E3598" s="28">
        <f>Inputs!$D$24+(Inputs!$D$80-Inputs!$D$24)*Inputs!$D$84</f>
        <v>651.5</v>
      </c>
      <c r="F3598" s="28">
        <f>Inputs!$D$24+(Inputs!$D$80-Inputs!$D$24)*Inputs!$D$85</f>
        <v>911</v>
      </c>
      <c r="G3598" s="28">
        <f>Inputs!$D$24+(Inputs!$D$80-Inputs!$D$24)*Inputs!$D$86</f>
        <v>911</v>
      </c>
      <c r="H3598" s="28">
        <f>Inputs!$D$24+(Inputs!$D$80-Inputs!$D$24)*Inputs!$D$87</f>
        <v>911</v>
      </c>
      <c r="I3598" s="28">
        <f>Inputs!$D$24+(Inputs!$D$80-Inputs!$D$24)*Inputs!$D$88</f>
        <v>911</v>
      </c>
      <c r="J3598" s="28">
        <f>Inputs!$D$24+(Inputs!$D$80-Inputs!$D$24)*Inputs!$D$89</f>
        <v>911</v>
      </c>
      <c r="K3598" s="28">
        <f>Inputs!$D$24+(Inputs!$D$80-Inputs!$D$24)*Inputs!$D$90</f>
        <v>911</v>
      </c>
      <c r="L3598" s="28">
        <f>Inputs!$D$24+(Inputs!$D$80-Inputs!$D$24)*Inputs!$D$91</f>
        <v>911</v>
      </c>
      <c r="M3598" s="28">
        <f>Inputs!$D$24+(Inputs!$D$80-Inputs!$D$24)*Inputs!$D$92</f>
        <v>911</v>
      </c>
    </row>
    <row r="3599" spans="1:13" ht="15" customHeight="1" x14ac:dyDescent="0.2">
      <c r="A3599" s="91"/>
      <c r="B3599" s="10" t="s">
        <v>891</v>
      </c>
      <c r="C3599" s="10" t="s">
        <v>199</v>
      </c>
      <c r="D3599" s="28">
        <f>Inputs!$D$24</f>
        <v>46</v>
      </c>
      <c r="E3599" s="28">
        <f t="shared" ref="E3599:M3599" si="780">D3598</f>
        <v>305.5</v>
      </c>
      <c r="F3599" s="28">
        <f t="shared" si="780"/>
        <v>651.5</v>
      </c>
      <c r="G3599" s="28">
        <f t="shared" si="780"/>
        <v>911</v>
      </c>
      <c r="H3599" s="28">
        <f t="shared" si="780"/>
        <v>911</v>
      </c>
      <c r="I3599" s="28">
        <f t="shared" si="780"/>
        <v>911</v>
      </c>
      <c r="J3599" s="28">
        <f t="shared" si="780"/>
        <v>911</v>
      </c>
      <c r="K3599" s="28">
        <f t="shared" si="780"/>
        <v>911</v>
      </c>
      <c r="L3599" s="28">
        <f t="shared" si="780"/>
        <v>911</v>
      </c>
      <c r="M3599" s="28">
        <f t="shared" si="780"/>
        <v>911</v>
      </c>
    </row>
    <row r="3600" spans="1:13" ht="15" customHeight="1" x14ac:dyDescent="0.2">
      <c r="B3600" s="10" t="s">
        <v>892</v>
      </c>
      <c r="C3600" s="10" t="s">
        <v>199</v>
      </c>
      <c r="D3600" s="28">
        <f>(D3599+D3598)*Inputs!$D$12</f>
        <v>175.75</v>
      </c>
      <c r="E3600" s="28">
        <f>(E3599+E3598)*Inputs!$D$12</f>
        <v>478.5</v>
      </c>
      <c r="F3600" s="28">
        <f>(F3599+F3598)*Inputs!$D$12</f>
        <v>781.25</v>
      </c>
      <c r="G3600" s="28">
        <f>(G3599+G3598)*Inputs!$D$12</f>
        <v>911</v>
      </c>
      <c r="H3600" s="28">
        <f>(H3599+H3598)*Inputs!$D$12</f>
        <v>911</v>
      </c>
      <c r="I3600" s="28">
        <f>(I3599+I3598)*Inputs!$D$12</f>
        <v>911</v>
      </c>
      <c r="J3600" s="28">
        <f>(J3599+J3598)*Inputs!$D$12</f>
        <v>911</v>
      </c>
      <c r="K3600" s="28">
        <f>(K3599+K3598)*Inputs!$D$12</f>
        <v>911</v>
      </c>
      <c r="L3600" s="28">
        <f>(L3599+L3598)*Inputs!$D$12</f>
        <v>911</v>
      </c>
      <c r="M3600" s="28">
        <f>(M3599+M3598)*Inputs!$D$12</f>
        <v>911</v>
      </c>
    </row>
    <row r="3601" spans="2:13" ht="15" customHeight="1" x14ac:dyDescent="0.2">
      <c r="B3601" s="10" t="s">
        <v>893</v>
      </c>
      <c r="C3601" s="10" t="s">
        <v>199</v>
      </c>
      <c r="D3601" s="28">
        <f t="shared" ref="D3601:M3601" si="781">D3598-D3599</f>
        <v>259.5</v>
      </c>
      <c r="E3601" s="28">
        <f t="shared" si="781"/>
        <v>346</v>
      </c>
      <c r="F3601" s="28">
        <f t="shared" si="781"/>
        <v>259.5</v>
      </c>
      <c r="G3601" s="28">
        <f t="shared" si="781"/>
        <v>0</v>
      </c>
      <c r="H3601" s="28">
        <f t="shared" si="781"/>
        <v>0</v>
      </c>
      <c r="I3601" s="28">
        <f t="shared" si="781"/>
        <v>0</v>
      </c>
      <c r="J3601" s="28">
        <f t="shared" si="781"/>
        <v>0</v>
      </c>
      <c r="K3601" s="28">
        <f t="shared" si="781"/>
        <v>0</v>
      </c>
      <c r="L3601" s="28">
        <f t="shared" si="781"/>
        <v>0</v>
      </c>
      <c r="M3601" s="28">
        <f t="shared" si="781"/>
        <v>0</v>
      </c>
    </row>
    <row r="3602" spans="2:13" ht="15" customHeight="1" x14ac:dyDescent="0.2">
      <c r="B3602" s="10" t="s">
        <v>894</v>
      </c>
      <c r="C3602" s="10" t="s">
        <v>199</v>
      </c>
      <c r="D3602" s="28">
        <f>IF(MOD(D3594,Inputs!$D$21)=Inputs!$D$6,Inputs!$D$24,Inputs!$D$6)+SUMPRODUCT(--(D3594&gt;$D$3594:$M$3594),--(MOD(D3594-$D$3594:$M$3594,Inputs!$D$21)=Inputs!$D$6),$D$3601:$M$3601)</f>
        <v>0</v>
      </c>
      <c r="E3602" s="28">
        <f>IF(MOD(E3594,Inputs!$D$21)=Inputs!$D$6,Inputs!$D$24,Inputs!$D$6)+SUMPRODUCT(--(E3594&gt;$D$3594:$M$3594),--(MOD(E3594-$D$3594:$M$3594,Inputs!$D$21)=Inputs!$D$6),$D$3601:$M$3601)</f>
        <v>0</v>
      </c>
      <c r="F3602" s="28">
        <f>IF(MOD(F3594,Inputs!$D$21)=Inputs!$D$6,Inputs!$D$24,Inputs!$D$6)+SUMPRODUCT(--(F3594&gt;$D$3594:$M$3594),--(MOD(F3594-$D$3594:$M$3594,Inputs!$D$21)=Inputs!$D$6),$D$3601:$M$3601)</f>
        <v>0</v>
      </c>
      <c r="G3602" s="28">
        <f>IF(MOD(G3594,Inputs!$D$21)=Inputs!$D$6,Inputs!$D$24,Inputs!$D$6)+SUMPRODUCT(--(G3594&gt;$D$3594:$M$3594),--(MOD(G3594-$D$3594:$M$3594,Inputs!$D$21)=Inputs!$D$6),$D$3601:$M$3601)</f>
        <v>46</v>
      </c>
      <c r="H3602" s="28">
        <f>IF(MOD(H3594,Inputs!$D$21)=Inputs!$D$6,Inputs!$D$24,Inputs!$D$6)+SUMPRODUCT(--(H3594&gt;$D$3594:$M$3594),--(MOD(H3594-$D$3594:$M$3594,Inputs!$D$21)=Inputs!$D$6),$D$3601:$M$3601)</f>
        <v>259.5</v>
      </c>
      <c r="I3602" s="28">
        <f>IF(MOD(I3594,Inputs!$D$21)=Inputs!$D$6,Inputs!$D$24,Inputs!$D$6)+SUMPRODUCT(--(I3594&gt;$D$3594:$M$3594),--(MOD(I3594-$D$3594:$M$3594,Inputs!$D$21)=Inputs!$D$6),$D$3601:$M$3601)</f>
        <v>346</v>
      </c>
      <c r="J3602" s="28">
        <f>IF(MOD(J3594,Inputs!$D$21)=Inputs!$D$6,Inputs!$D$24,Inputs!$D$6)+SUMPRODUCT(--(J3594&gt;$D$3594:$M$3594),--(MOD(J3594-$D$3594:$M$3594,Inputs!$D$21)=Inputs!$D$6),$D$3601:$M$3601)</f>
        <v>259.5</v>
      </c>
      <c r="K3602" s="28">
        <f>IF(MOD(K3594,Inputs!$D$21)=Inputs!$D$6,Inputs!$D$24,Inputs!$D$6)+SUMPRODUCT(--(K3594&gt;$D$3594:$M$3594),--(MOD(K3594-$D$3594:$M$3594,Inputs!$D$21)=Inputs!$D$6),$D$3601:$M$3601)</f>
        <v>46</v>
      </c>
      <c r="L3602" s="28">
        <f>IF(MOD(L3594,Inputs!$D$21)=Inputs!$D$6,Inputs!$D$24,Inputs!$D$6)+SUMPRODUCT(--(L3594&gt;$D$3594:$M$3594),--(MOD(L3594-$D$3594:$M$3594,Inputs!$D$21)=Inputs!$D$6),$D$3601:$M$3601)</f>
        <v>259.5</v>
      </c>
      <c r="M3602" s="28">
        <f>IF(MOD(M3594,Inputs!$D$21)=Inputs!$D$6,Inputs!$D$24,Inputs!$D$6)+SUMPRODUCT(--(M3594&gt;$D$3594:$M$3594),--(MOD(M3594-$D$3594:$M$3594,Inputs!$D$21)=Inputs!$D$6),$D$3601:$M$3601)</f>
        <v>346</v>
      </c>
    </row>
    <row r="3603" spans="2:13" ht="15" customHeight="1" x14ac:dyDescent="0.2">
      <c r="B3603" s="10" t="s">
        <v>895</v>
      </c>
      <c r="C3603" s="10" t="s">
        <v>896</v>
      </c>
      <c r="D3603" s="28">
        <f t="shared" ref="D3603:M3603" si="782">D3600*D3597</f>
        <v>125.58726899383984</v>
      </c>
      <c r="E3603" s="28">
        <f t="shared" si="782"/>
        <v>478.5</v>
      </c>
      <c r="F3603" s="28">
        <f t="shared" si="782"/>
        <v>781.25</v>
      </c>
      <c r="G3603" s="28">
        <f t="shared" si="782"/>
        <v>911</v>
      </c>
      <c r="H3603" s="28">
        <f t="shared" si="782"/>
        <v>911</v>
      </c>
      <c r="I3603" s="28">
        <f t="shared" si="782"/>
        <v>911</v>
      </c>
      <c r="J3603" s="28">
        <f t="shared" si="782"/>
        <v>911</v>
      </c>
      <c r="K3603" s="28">
        <f t="shared" si="782"/>
        <v>911</v>
      </c>
      <c r="L3603" s="28">
        <f t="shared" si="782"/>
        <v>911</v>
      </c>
      <c r="M3603" s="28">
        <f t="shared" si="782"/>
        <v>911</v>
      </c>
    </row>
    <row r="3604" spans="2:13" ht="15" customHeight="1" x14ac:dyDescent="0.2">
      <c r="B3604" s="10" t="s">
        <v>897</v>
      </c>
      <c r="C3604" s="10" t="s">
        <v>110</v>
      </c>
      <c r="D3604" s="16">
        <f>D3603*($D$3623/Inputs!$D$21+$D$3624/Inputs!$D$22)</f>
        <v>1816.9772859324419</v>
      </c>
      <c r="E3604" s="16">
        <f>E3603*($D$3623/Inputs!$D$21+$D$3624/Inputs!$D$22)</f>
        <v>6922.8643817497086</v>
      </c>
      <c r="F3604" s="16">
        <f>F3603*($D$3623/Inputs!$D$21+$D$3624/Inputs!$D$22)</f>
        <v>11303.0048030135</v>
      </c>
      <c r="G3604" s="16">
        <f>G3603*($D$3623/Inputs!$D$21+$D$3624/Inputs!$D$22)</f>
        <v>13180.207840697982</v>
      </c>
      <c r="H3604" s="16">
        <f>H3603*($D$3623/Inputs!$D$21+$D$3624/Inputs!$D$22)</f>
        <v>13180.207840697982</v>
      </c>
      <c r="I3604" s="16">
        <f>I3603*($D$3623/Inputs!$D$21+$D$3624/Inputs!$D$22)</f>
        <v>13180.207840697982</v>
      </c>
      <c r="J3604" s="16">
        <f>J3603*($D$3623/Inputs!$D$21+$D$3624/Inputs!$D$22)</f>
        <v>13180.207840697982</v>
      </c>
      <c r="K3604" s="16">
        <f>K3603*($D$3623/Inputs!$D$21+$D$3624/Inputs!$D$22)</f>
        <v>13180.207840697982</v>
      </c>
      <c r="L3604" s="16">
        <f>L3603*($D$3623/Inputs!$D$21+$D$3624/Inputs!$D$22)</f>
        <v>13180.207840697982</v>
      </c>
      <c r="M3604" s="16">
        <f>M3603*($D$3623/Inputs!$D$21+$D$3624/Inputs!$D$22)</f>
        <v>13180.207840697982</v>
      </c>
    </row>
    <row r="3605" spans="2:13" ht="15" customHeight="1" x14ac:dyDescent="0.2">
      <c r="B3605" s="10" t="s">
        <v>898</v>
      </c>
      <c r="C3605" s="10" t="s">
        <v>110</v>
      </c>
      <c r="D3605" s="16">
        <f t="shared" ref="D3605:M3605" si="783">D3601*($D$3623+$D$3624)</f>
        <v>15560.968620146154</v>
      </c>
      <c r="E3605" s="16">
        <f t="shared" si="783"/>
        <v>20747.95816019487</v>
      </c>
      <c r="F3605" s="16">
        <f t="shared" si="783"/>
        <v>15560.968620146154</v>
      </c>
      <c r="G3605" s="16">
        <f t="shared" si="783"/>
        <v>0</v>
      </c>
      <c r="H3605" s="16">
        <f t="shared" si="783"/>
        <v>0</v>
      </c>
      <c r="I3605" s="16">
        <f t="shared" si="783"/>
        <v>0</v>
      </c>
      <c r="J3605" s="16">
        <f t="shared" si="783"/>
        <v>0</v>
      </c>
      <c r="K3605" s="16">
        <f t="shared" si="783"/>
        <v>0</v>
      </c>
      <c r="L3605" s="16">
        <f t="shared" si="783"/>
        <v>0</v>
      </c>
      <c r="M3605" s="16">
        <f t="shared" si="783"/>
        <v>0</v>
      </c>
    </row>
    <row r="3606" spans="2:13" ht="15" customHeight="1" x14ac:dyDescent="0.2">
      <c r="B3606" s="10" t="s">
        <v>899</v>
      </c>
      <c r="C3606" s="10" t="s">
        <v>110</v>
      </c>
      <c r="D3606" s="16">
        <f t="shared" ref="D3606:M3606" si="784">D3602*$D$3623</f>
        <v>0</v>
      </c>
      <c r="E3606" s="16">
        <f t="shared" si="784"/>
        <v>0</v>
      </c>
      <c r="F3606" s="16">
        <f t="shared" si="784"/>
        <v>0</v>
      </c>
      <c r="G3606" s="16">
        <f t="shared" si="784"/>
        <v>2638.0048485671714</v>
      </c>
      <c r="H3606" s="16">
        <f t="shared" si="784"/>
        <v>14881.788221808281</v>
      </c>
      <c r="I3606" s="16">
        <f t="shared" si="784"/>
        <v>19842.384295744378</v>
      </c>
      <c r="J3606" s="16">
        <f t="shared" si="784"/>
        <v>14881.788221808281</v>
      </c>
      <c r="K3606" s="16">
        <f t="shared" si="784"/>
        <v>2638.0048485671714</v>
      </c>
      <c r="L3606" s="16">
        <f t="shared" si="784"/>
        <v>14881.788221808281</v>
      </c>
      <c r="M3606" s="16">
        <f t="shared" si="784"/>
        <v>19842.384295744378</v>
      </c>
    </row>
    <row r="3607" spans="2:13" ht="15" customHeight="1" x14ac:dyDescent="0.2">
      <c r="B3607" s="10" t="s">
        <v>900</v>
      </c>
      <c r="C3607" s="10" t="s">
        <v>199</v>
      </c>
      <c r="D3607" s="28">
        <f>D3601*Inputs!$D$23</f>
        <v>6.4875000000000007</v>
      </c>
      <c r="E3607" s="28">
        <f>E3601*Inputs!$D$23</f>
        <v>8.65</v>
      </c>
      <c r="F3607" s="28">
        <f>F3601*Inputs!$D$23</f>
        <v>6.4875000000000007</v>
      </c>
      <c r="G3607" s="28">
        <f>G3601*Inputs!$D$23</f>
        <v>0</v>
      </c>
      <c r="H3607" s="28">
        <f>H3601*Inputs!$D$23</f>
        <v>0</v>
      </c>
      <c r="I3607" s="28">
        <f>I3601*Inputs!$D$23</f>
        <v>0</v>
      </c>
      <c r="J3607" s="28">
        <f>J3601*Inputs!$D$23</f>
        <v>0</v>
      </c>
      <c r="K3607" s="28">
        <f>K3601*Inputs!$D$23</f>
        <v>0</v>
      </c>
      <c r="L3607" s="28">
        <f>L3601*Inputs!$D$23</f>
        <v>0</v>
      </c>
      <c r="M3607" s="28">
        <f>M3601*Inputs!$D$23</f>
        <v>0</v>
      </c>
    </row>
    <row r="3608" spans="2:13" ht="15" customHeight="1" x14ac:dyDescent="0.2">
      <c r="B3608" s="3" t="s">
        <v>901</v>
      </c>
      <c r="C3608" s="10" t="s">
        <v>896</v>
      </c>
      <c r="D3608" s="28">
        <f>(D3603*$D$3621*(Inputs!$D$7-Inputs!$D$19)-D3607)/(Inputs!$D$7+$D$3622)^D3596</f>
        <v>41.849929069079735</v>
      </c>
      <c r="E3608" s="28">
        <f>(E3603*$D$3621*(Inputs!$D$7-Inputs!$D$19)-E3607)/(Inputs!$D$7+$D$3622)^E3596</f>
        <v>155.56244401500442</v>
      </c>
      <c r="F3608" s="28">
        <f>(F3603*$D$3621*(Inputs!$D$7-Inputs!$D$19)-F3607)/(Inputs!$D$7+$D$3622)^F3596</f>
        <v>232.40493879158302</v>
      </c>
      <c r="G3608" s="28">
        <f>(G3603*$D$3621*(Inputs!$D$7-Inputs!$D$19)-G3607)/(Inputs!$D$7+$D$3622)^G3596</f>
        <v>246.95083819233108</v>
      </c>
      <c r="H3608" s="28">
        <f>(H3603*$D$3621*(Inputs!$D$7-Inputs!$D$19)-H3607)/(Inputs!$D$7+$D$3622)^H3596</f>
        <v>220.50892386470983</v>
      </c>
      <c r="I3608" s="28">
        <f>(I3603*$D$3621*(Inputs!$D$7-Inputs!$D$19)-I3607)/(Inputs!$D$7+$D$3622)^I3596</f>
        <v>196.83715686992173</v>
      </c>
      <c r="J3608" s="28">
        <f>(J3603*$D$3621*(Inputs!$D$7-Inputs!$D$19)-J3607)/(Inputs!$D$7+$D$3622)^J3596</f>
        <v>175.76109461985791</v>
      </c>
      <c r="K3608" s="28">
        <f>(K3603*$D$3621*(Inputs!$D$7-Inputs!$D$19)-K3607)/(Inputs!$D$7+$D$3622)^K3596</f>
        <v>156.94172214845261</v>
      </c>
      <c r="L3608" s="28">
        <f>(L3603*$D$3621*(Inputs!$D$7-Inputs!$D$19)-L3607)/(Inputs!$D$7+$D$3622)^L3596</f>
        <v>140.13740756561756</v>
      </c>
      <c r="M3608" s="28">
        <f>(M3603*$D$3621*(Inputs!$D$7-Inputs!$D$19)-M3607)/(Inputs!$D$7+$D$3622)^M3596</f>
        <v>125.09357169264298</v>
      </c>
    </row>
    <row r="3609" spans="2:13" ht="15" customHeight="1" x14ac:dyDescent="0.2">
      <c r="B3609" s="10" t="s">
        <v>902</v>
      </c>
      <c r="C3609" s="10" t="s">
        <v>110</v>
      </c>
      <c r="D3609" s="16">
        <f>(D3604*Inputs!$D$19-D3605-D3606)/(Inputs!$D$7+$D$3622)^D3596</f>
        <v>-13847.790632947557</v>
      </c>
      <c r="E3609" s="16">
        <f>(E3604*Inputs!$D$19-E3605-E3606)/(Inputs!$D$7+$D$3622)^E3596</f>
        <v>-15370.239105459035</v>
      </c>
      <c r="F3609" s="16">
        <f>(F3604*Inputs!$D$19-F3605-F3606)/(Inputs!$D$7+$D$3622)^F3596</f>
        <v>-8945.8041564234754</v>
      </c>
      <c r="G3609" s="16">
        <f>(G3604*Inputs!$D$19-G3605-G3606)/(Inputs!$D$7+$D$3622)^G3596</f>
        <v>863.80744262020482</v>
      </c>
      <c r="H3609" s="16">
        <f>(H3604*Inputs!$D$19-H3605-H3606)/(Inputs!$D$7+$D$3622)^H3596</f>
        <v>-6404.5339628745278</v>
      </c>
      <c r="I3609" s="16">
        <f>(I3604*Inputs!$D$19-I3605-I3606)/(Inputs!$D$7+$D$3622)^I3596</f>
        <v>-8312.2134333380691</v>
      </c>
      <c r="J3609" s="16">
        <f>(J3604*Inputs!$D$19-J3605-J3606)/(Inputs!$D$7+$D$3622)^J3596</f>
        <v>-5104.8632414329013</v>
      </c>
      <c r="K3609" s="16">
        <f>(K3604*Inputs!$D$19-K3605-K3606)/(Inputs!$D$7+$D$3622)^K3596</f>
        <v>548.96524604578394</v>
      </c>
      <c r="L3609" s="16">
        <f>(L3604*Inputs!$D$19-L3605-L3606)/(Inputs!$D$7+$D$3622)^L3596</f>
        <v>-4070.1971171644977</v>
      </c>
      <c r="M3609" s="16">
        <f>(M3604*Inputs!$D$19-M3605-M3606)/(Inputs!$D$7+$D$3622)^M3596</f>
        <v>-5282.5619084458349</v>
      </c>
    </row>
    <row r="3610" spans="2:13" ht="15" customHeight="1" x14ac:dyDescent="0.2">
      <c r="B3610" s="10" t="s">
        <v>903</v>
      </c>
      <c r="C3610" s="10" t="s">
        <v>110</v>
      </c>
      <c r="D3610" s="16">
        <f t="shared" ref="D3610:M3610" si="785">D3603*$D$3620</f>
        <v>5191.3144224721427</v>
      </c>
      <c r="E3610" s="16">
        <f t="shared" si="785"/>
        <v>19779.424865706449</v>
      </c>
      <c r="F3610" s="16">
        <f t="shared" si="785"/>
        <v>32293.993053987801</v>
      </c>
      <c r="G3610" s="16">
        <f t="shared" si="785"/>
        <v>37657.379420394092</v>
      </c>
      <c r="H3610" s="16">
        <f t="shared" si="785"/>
        <v>37657.379420394092</v>
      </c>
      <c r="I3610" s="16">
        <f t="shared" si="785"/>
        <v>37657.379420394092</v>
      </c>
      <c r="J3610" s="16">
        <f t="shared" si="785"/>
        <v>37657.379420394092</v>
      </c>
      <c r="K3610" s="16">
        <f t="shared" si="785"/>
        <v>37657.379420394092</v>
      </c>
      <c r="L3610" s="16">
        <f t="shared" si="785"/>
        <v>37657.379420394092</v>
      </c>
      <c r="M3610" s="16">
        <f t="shared" si="785"/>
        <v>37657.379420394092</v>
      </c>
    </row>
    <row r="3611" spans="2:13" ht="15" customHeight="1" x14ac:dyDescent="0.2">
      <c r="B3611" s="10" t="s">
        <v>904</v>
      </c>
      <c r="C3611" s="10" t="s">
        <v>110</v>
      </c>
      <c r="D3611" s="16">
        <f t="shared" ref="D3611:M3611" si="786">D3610*$D$3621</f>
        <v>3062.8755092585639</v>
      </c>
      <c r="E3611" s="16">
        <f t="shared" si="786"/>
        <v>11669.860670766804</v>
      </c>
      <c r="F3611" s="16">
        <f t="shared" si="786"/>
        <v>19053.455901852802</v>
      </c>
      <c r="G3611" s="16">
        <f t="shared" si="786"/>
        <v>22217.853858032515</v>
      </c>
      <c r="H3611" s="16">
        <f t="shared" si="786"/>
        <v>22217.853858032515</v>
      </c>
      <c r="I3611" s="16">
        <f t="shared" si="786"/>
        <v>22217.853858032515</v>
      </c>
      <c r="J3611" s="16">
        <f t="shared" si="786"/>
        <v>22217.853858032515</v>
      </c>
      <c r="K3611" s="16">
        <f t="shared" si="786"/>
        <v>22217.853858032515</v>
      </c>
      <c r="L3611" s="16">
        <f t="shared" si="786"/>
        <v>22217.853858032515</v>
      </c>
      <c r="M3611" s="16">
        <f t="shared" si="786"/>
        <v>22217.853858032515</v>
      </c>
    </row>
    <row r="3612" spans="2:13" ht="15" customHeight="1" x14ac:dyDescent="0.2">
      <c r="B3612" s="10" t="s">
        <v>905</v>
      </c>
      <c r="C3612" s="10" t="s">
        <v>110</v>
      </c>
      <c r="D3612" s="16">
        <f t="shared" ref="D3612:M3612" si="787">D3611-D3604</f>
        <v>1245.898223326122</v>
      </c>
      <c r="E3612" s="16">
        <f t="shared" si="787"/>
        <v>4746.9962890170955</v>
      </c>
      <c r="F3612" s="16">
        <f t="shared" si="787"/>
        <v>7750.4510988393013</v>
      </c>
      <c r="G3612" s="16">
        <f t="shared" si="787"/>
        <v>9037.6460173345331</v>
      </c>
      <c r="H3612" s="16">
        <f t="shared" si="787"/>
        <v>9037.6460173345331</v>
      </c>
      <c r="I3612" s="16">
        <f t="shared" si="787"/>
        <v>9037.6460173345331</v>
      </c>
      <c r="J3612" s="16">
        <f t="shared" si="787"/>
        <v>9037.6460173345331</v>
      </c>
      <c r="K3612" s="16">
        <f t="shared" si="787"/>
        <v>9037.6460173345331</v>
      </c>
      <c r="L3612" s="16">
        <f t="shared" si="787"/>
        <v>9037.6460173345331</v>
      </c>
      <c r="M3612" s="16">
        <f t="shared" si="787"/>
        <v>9037.6460173345331</v>
      </c>
    </row>
    <row r="3613" spans="2:13" ht="15" customHeight="1" x14ac:dyDescent="0.2">
      <c r="B3613" s="10" t="s">
        <v>906</v>
      </c>
      <c r="C3613" s="10" t="s">
        <v>110</v>
      </c>
      <c r="D3613" s="16">
        <f>MAX(D3612,Inputs!$D$6)*Inputs!$D$19</f>
        <v>373.76946699783656</v>
      </c>
      <c r="E3613" s="16">
        <f>MAX(E3612,Inputs!$D$6)*Inputs!$D$19</f>
        <v>1424.0988867051285</v>
      </c>
      <c r="F3613" s="16">
        <f>MAX(F3612,Inputs!$D$6)*Inputs!$D$19</f>
        <v>2325.1353296517905</v>
      </c>
      <c r="G3613" s="16">
        <f>MAX(G3612,Inputs!$D$6)*Inputs!$D$19</f>
        <v>2711.2938052003597</v>
      </c>
      <c r="H3613" s="16">
        <f>MAX(H3612,Inputs!$D$6)*Inputs!$D$19</f>
        <v>2711.2938052003597</v>
      </c>
      <c r="I3613" s="16">
        <f>MAX(I3612,Inputs!$D$6)*Inputs!$D$19</f>
        <v>2711.2938052003597</v>
      </c>
      <c r="J3613" s="16">
        <f>MAX(J3612,Inputs!$D$6)*Inputs!$D$19</f>
        <v>2711.2938052003597</v>
      </c>
      <c r="K3613" s="16">
        <f>MAX(K3612,Inputs!$D$6)*Inputs!$D$19</f>
        <v>2711.2938052003597</v>
      </c>
      <c r="L3613" s="16">
        <f>MAX(L3612,Inputs!$D$6)*Inputs!$D$19</f>
        <v>2711.2938052003597</v>
      </c>
      <c r="M3613" s="16">
        <f>MAX(M3612,Inputs!$D$6)*Inputs!$D$19</f>
        <v>2711.2938052003597</v>
      </c>
    </row>
    <row r="3614" spans="2:13" ht="15" customHeight="1" x14ac:dyDescent="0.2">
      <c r="B3614" s="10" t="s">
        <v>907</v>
      </c>
      <c r="C3614" s="10" t="s">
        <v>110</v>
      </c>
      <c r="D3614" s="16">
        <f t="shared" ref="D3614:M3614" si="788">D3607*$D$3620</f>
        <v>268.16931832031474</v>
      </c>
      <c r="E3614" s="16">
        <f t="shared" si="788"/>
        <v>357.55909109375295</v>
      </c>
      <c r="F3614" s="16">
        <f t="shared" si="788"/>
        <v>268.16931832031474</v>
      </c>
      <c r="G3614" s="16">
        <f t="shared" si="788"/>
        <v>0</v>
      </c>
      <c r="H3614" s="16">
        <f t="shared" si="788"/>
        <v>0</v>
      </c>
      <c r="I3614" s="16">
        <f t="shared" si="788"/>
        <v>0</v>
      </c>
      <c r="J3614" s="16">
        <f t="shared" si="788"/>
        <v>0</v>
      </c>
      <c r="K3614" s="16">
        <f t="shared" si="788"/>
        <v>0</v>
      </c>
      <c r="L3614" s="16">
        <f t="shared" si="788"/>
        <v>0</v>
      </c>
      <c r="M3614" s="16">
        <f t="shared" si="788"/>
        <v>0</v>
      </c>
    </row>
    <row r="3615" spans="2:13" ht="15" customHeight="1" x14ac:dyDescent="0.2">
      <c r="B3615" s="10" t="s">
        <v>908</v>
      </c>
      <c r="C3615" s="10" t="s">
        <v>110</v>
      </c>
      <c r="D3615" s="16">
        <f t="shared" ref="D3615:M3615" si="789">D3611-D3613-D3605-D3606-D3614</f>
        <v>-13140.031896205741</v>
      </c>
      <c r="E3615" s="16">
        <f t="shared" si="789"/>
        <v>-10859.755467226949</v>
      </c>
      <c r="F3615" s="16">
        <f t="shared" si="789"/>
        <v>899.18263373454147</v>
      </c>
      <c r="G3615" s="16">
        <f t="shared" si="789"/>
        <v>16868.555204264983</v>
      </c>
      <c r="H3615" s="16">
        <f t="shared" si="789"/>
        <v>4624.7718310238743</v>
      </c>
      <c r="I3615" s="16">
        <f t="shared" si="789"/>
        <v>-335.82424291222196</v>
      </c>
      <c r="J3615" s="16">
        <f t="shared" si="789"/>
        <v>4624.7718310238743</v>
      </c>
      <c r="K3615" s="16">
        <f t="shared" si="789"/>
        <v>16868.555204264983</v>
      </c>
      <c r="L3615" s="16">
        <f t="shared" si="789"/>
        <v>4624.7718310238743</v>
      </c>
      <c r="M3615" s="16">
        <f t="shared" si="789"/>
        <v>-335.82424291222196</v>
      </c>
    </row>
    <row r="3616" spans="2:13" ht="15" customHeight="1" x14ac:dyDescent="0.2">
      <c r="B3616" s="10" t="s">
        <v>909</v>
      </c>
      <c r="C3616" s="10" t="s">
        <v>110</v>
      </c>
      <c r="D3616" s="16">
        <f>D3615/(Inputs!$D$7+$D$3622)^D3596</f>
        <v>-12117.868945054128</v>
      </c>
      <c r="E3616" s="16">
        <f>E3615/(Inputs!$D$7+$D$3622)^E3596</f>
        <v>-8939.8615227621794</v>
      </c>
      <c r="F3616" s="16">
        <f>F3615/(Inputs!$D$7+$D$3622)^F3596</f>
        <v>660.95869675776157</v>
      </c>
      <c r="G3616" s="16">
        <f>G3615/(Inputs!$D$7+$D$3622)^G3596</f>
        <v>11071.844118792498</v>
      </c>
      <c r="H3616" s="16">
        <f>H3615/(Inputs!$D$7+$D$3622)^H3596</f>
        <v>2710.4915163309302</v>
      </c>
      <c r="I3616" s="16">
        <f>I3615/(Inputs!$D$7+$D$3622)^I3596</f>
        <v>-175.69147913140108</v>
      </c>
      <c r="J3616" s="16">
        <f>J3615/(Inputs!$D$7+$D$3622)^J3596</f>
        <v>2160.4520466502786</v>
      </c>
      <c r="K3616" s="16">
        <f>K3615/(Inputs!$D$7+$D$3622)^K3596</f>
        <v>7036.357098772839</v>
      </c>
      <c r="L3616" s="16">
        <f>L3615/(Inputs!$D$7+$D$3622)^L3596</f>
        <v>1722.5663599912293</v>
      </c>
      <c r="M3616" s="16">
        <f>M3615/(Inputs!$D$7+$D$3622)^M3596</f>
        <v>-111.65511120969052</v>
      </c>
    </row>
    <row r="3617" spans="2:13" ht="15" customHeight="1" x14ac:dyDescent="0.2">
      <c r="B3617" s="3" t="s">
        <v>910</v>
      </c>
      <c r="C3617" s="10" t="s">
        <v>896</v>
      </c>
      <c r="D3617" s="28">
        <f>(D3603*$D$3621-D3607)/(Inputs!$D$7+$D$3622)^D3596</f>
        <v>62.349686144061238</v>
      </c>
      <c r="E3617" s="28">
        <f>(E3603*$D$3621-E3607)/(Inputs!$D$7+$D$3622)^E3596</f>
        <v>225.28382070940276</v>
      </c>
      <c r="F3617" s="28">
        <f>(F3603*$D$3621-F3607)/(Inputs!$D$7+$D$3622)^F3596</f>
        <v>334.05080177542817</v>
      </c>
      <c r="G3617" s="28">
        <f>(G3603*$D$3621-G3607)/(Inputs!$D$7+$D$3622)^G3596</f>
        <v>352.78691170333013</v>
      </c>
      <c r="H3617" s="28">
        <f>(H3603*$D$3621-H3607)/(Inputs!$D$7+$D$3622)^H3596</f>
        <v>315.01274837815691</v>
      </c>
      <c r="I3617" s="28">
        <f>(I3603*$D$3621-I3607)/(Inputs!$D$7+$D$3622)^I3596</f>
        <v>281.19593838560246</v>
      </c>
      <c r="J3617" s="28">
        <f>(J3603*$D$3621-J3607)/(Inputs!$D$7+$D$3622)^J3596</f>
        <v>251.08727802836847</v>
      </c>
      <c r="K3617" s="28">
        <f>(K3603*$D$3621-K3607)/(Inputs!$D$7+$D$3622)^K3596</f>
        <v>224.20246021207515</v>
      </c>
      <c r="L3617" s="28">
        <f>(L3603*$D$3621-L3607)/(Inputs!$D$7+$D$3622)^L3596</f>
        <v>200.19629652231083</v>
      </c>
      <c r="M3617" s="28">
        <f>(M3603*$D$3621-M3607)/(Inputs!$D$7+$D$3622)^M3596</f>
        <v>178.70510241806141</v>
      </c>
    </row>
    <row r="3618" spans="2:13" ht="15" customHeight="1" x14ac:dyDescent="0.2">
      <c r="B3618" s="10" t="s">
        <v>911</v>
      </c>
      <c r="C3618" s="10" t="s">
        <v>110</v>
      </c>
      <c r="D3618" s="16">
        <f>(-D3605-D3606)/(Inputs!$D$7+$D$3622)^D3596</f>
        <v>-14350.481025200577</v>
      </c>
      <c r="E3618" s="16">
        <f>(-E3605-E3606)/(Inputs!$D$7+$D$3622)^E3596</f>
        <v>-17079.930887207098</v>
      </c>
      <c r="F3618" s="16">
        <f>(-F3605-F3606)/(Inputs!$D$7+$D$3622)^F3596</f>
        <v>-11438.340948315768</v>
      </c>
      <c r="G3618" s="16">
        <f>(-G3605-G3606)/(Inputs!$D$7+$D$3622)^G3596</f>
        <v>-1731.4807411941122</v>
      </c>
      <c r="H3618" s="16">
        <f>(-H3605-H3606)/(Inputs!$D$7+$D$3622)^H3596</f>
        <v>-8721.9353076959778</v>
      </c>
      <c r="I3618" s="16">
        <f>(-I3605-I3606)/(Inputs!$D$7+$D$3622)^I3596</f>
        <v>-10380.8403353543</v>
      </c>
      <c r="J3618" s="16">
        <f>(-J3605-J3606)/(Inputs!$D$7+$D$3622)^J3596</f>
        <v>-6951.9948218729187</v>
      </c>
      <c r="K3618" s="16">
        <f>(-K3605-K3606)/(Inputs!$D$7+$D$3622)^K3596</f>
        <v>-1100.3873134386547</v>
      </c>
      <c r="L3618" s="16">
        <f>(-L3605-L3606)/(Inputs!$D$7+$D$3622)^L3596</f>
        <v>-5542.947566718196</v>
      </c>
      <c r="M3618" s="16">
        <f>(-M3605-M3606)/(Inputs!$D$7+$D$3622)^M3596</f>
        <v>-6597.2117021517279</v>
      </c>
    </row>
    <row r="3619" spans="2:13" ht="15" customHeight="1" x14ac:dyDescent="0.2">
      <c r="B3619" s="10" t="s">
        <v>912</v>
      </c>
      <c r="C3619" s="10" t="s">
        <v>110</v>
      </c>
      <c r="D3619" s="16">
        <f>Prices!I9</f>
        <v>21850</v>
      </c>
    </row>
    <row r="3620" spans="2:13" ht="15" customHeight="1" x14ac:dyDescent="0.2">
      <c r="B3620" s="3" t="s">
        <v>913</v>
      </c>
      <c r="C3620" s="10" t="s">
        <v>914</v>
      </c>
      <c r="D3620" s="28">
        <f>IF(J3627&gt;=J3623,J3627,(D3619-J3626)/J3625)</f>
        <v>41.336311109104386</v>
      </c>
      <c r="G3620" s="99" t="s">
        <v>915</v>
      </c>
      <c r="H3620" s="91"/>
      <c r="I3620" s="91"/>
      <c r="J3620" s="28">
        <f>D3620*Inputs!$D$15</f>
        <v>28.848611523043949</v>
      </c>
      <c r="K3620" s="99" t="s">
        <v>916</v>
      </c>
      <c r="L3620" s="91"/>
      <c r="M3620" s="91"/>
    </row>
    <row r="3621" spans="2:13" ht="15" customHeight="1" x14ac:dyDescent="0.2">
      <c r="B3621" s="10" t="s">
        <v>917</v>
      </c>
      <c r="C3621" s="10" t="s">
        <v>104</v>
      </c>
      <c r="D3621" s="30">
        <f>Inputs!$D$141</f>
        <v>0.59</v>
      </c>
      <c r="G3621" s="99" t="s">
        <v>918</v>
      </c>
      <c r="H3621" s="91"/>
      <c r="I3621" s="91"/>
      <c r="J3621" s="28">
        <f>IF(-D3632/D3631&gt;=J3623,-D3632/D3631,-J3626/J3625)</f>
        <v>34.148217924188216</v>
      </c>
      <c r="K3621" s="99" t="s">
        <v>919</v>
      </c>
      <c r="L3621" s="91"/>
      <c r="M3621" s="91"/>
    </row>
    <row r="3622" spans="2:13" ht="15" customHeight="1" x14ac:dyDescent="0.2">
      <c r="B3622" s="10" t="s">
        <v>920</v>
      </c>
      <c r="C3622" s="10" t="s">
        <v>104</v>
      </c>
      <c r="D3622" s="30">
        <f>Inputs!$D$148</f>
        <v>0.12</v>
      </c>
      <c r="G3622" s="99" t="s">
        <v>918</v>
      </c>
      <c r="H3622" s="91"/>
      <c r="I3622" s="91"/>
      <c r="J3622" s="28">
        <f>J3621*Inputs!$D$15</f>
        <v>23.832041289290956</v>
      </c>
      <c r="K3622" s="99" t="s">
        <v>916</v>
      </c>
      <c r="L3622" s="91"/>
      <c r="M3622" s="91"/>
    </row>
    <row r="3623" spans="2:13" ht="15" customHeight="1" x14ac:dyDescent="0.2">
      <c r="B3623" s="3" t="s">
        <v>921</v>
      </c>
      <c r="C3623" s="10" t="s">
        <v>848</v>
      </c>
      <c r="D3623" s="28">
        <f>Capital!$D$13</f>
        <v>57.347931490590682</v>
      </c>
      <c r="G3623" s="99" t="s">
        <v>922</v>
      </c>
      <c r="H3623" s="91"/>
      <c r="I3623" s="91"/>
      <c r="J3623" s="28">
        <f>($D$3623/Inputs!$D$21+$D$3624/Inputs!$D$22)/$D$3621</f>
        <v>24.521773131961492</v>
      </c>
      <c r="K3623" s="99" t="s">
        <v>919</v>
      </c>
      <c r="L3623" s="91"/>
      <c r="M3623" s="91"/>
    </row>
    <row r="3624" spans="2:13" ht="15" customHeight="1" x14ac:dyDescent="0.2">
      <c r="B3624" s="3" t="s">
        <v>923</v>
      </c>
      <c r="C3624" s="10" t="s">
        <v>848</v>
      </c>
      <c r="D3624" s="28">
        <f>Capital!$D$14</f>
        <v>2.6172655041921802</v>
      </c>
    </row>
    <row r="3625" spans="2:13" ht="15" customHeight="1" x14ac:dyDescent="0.2">
      <c r="B3625" s="10" t="s">
        <v>924</v>
      </c>
      <c r="C3625" s="10" t="s">
        <v>896</v>
      </c>
      <c r="D3625" s="28">
        <f>(M3598*(Inputs!$D$7+Inputs!$D$20)*$D$3621*(Inputs!$D$7-Inputs!$D$19)-M3598*Inputs!$D$20*Inputs!$D$23)/($D$3622-Inputs!$D$20)/(Inputs!$D$7+$D$3622)^M3596</f>
        <v>1347.7011024462897</v>
      </c>
      <c r="G3625" s="92" t="s">
        <v>910</v>
      </c>
      <c r="H3625" s="91"/>
      <c r="I3625" s="91"/>
      <c r="J3625" s="28">
        <f>SUM(D3617:M3617)+(M3598*(Inputs!$D$7+Inputs!$D$20)*$D$3621-M3598*Inputs!$D$20*Inputs!$D$23)/($D$3622-Inputs!$D$20)/(Inputs!$D$7+$D$3622)^M3596</f>
        <v>4351.0123466552332</v>
      </c>
      <c r="K3625" s="99" t="s">
        <v>896</v>
      </c>
      <c r="L3625" s="91"/>
      <c r="M3625" s="91"/>
    </row>
    <row r="3626" spans="2:13" ht="15" customHeight="1" x14ac:dyDescent="0.2">
      <c r="B3626" s="10" t="s">
        <v>925</v>
      </c>
      <c r="C3626" s="10" t="s">
        <v>110</v>
      </c>
      <c r="D3626" s="16">
        <f>(D3629*Inputs!$D$19-D3629-D3630)/($D$3622-Inputs!$D$20)/(Inputs!$D$7+$D$3622)^M3596</f>
        <v>-37876.58483194092</v>
      </c>
      <c r="G3626" s="92" t="s">
        <v>926</v>
      </c>
      <c r="H3626" s="91"/>
      <c r="I3626" s="91"/>
      <c r="J3626" s="16">
        <f>SUM(D3618:M3618)-(D3629+D3630)/($D$3622-Inputs!$D$20)/(Inputs!$D$7+$D$3622)^M3596</f>
        <v>-135956.51483423277</v>
      </c>
      <c r="K3626" s="99" t="s">
        <v>110</v>
      </c>
      <c r="L3626" s="91"/>
      <c r="M3626" s="91"/>
    </row>
    <row r="3627" spans="2:13" ht="15" customHeight="1" x14ac:dyDescent="0.2">
      <c r="B3627" s="10" t="s">
        <v>927</v>
      </c>
      <c r="C3627" s="10" t="s">
        <v>928</v>
      </c>
      <c r="D3627" s="16">
        <f>(M3598*(Inputs!$D$7+Inputs!$D$20)*$D$3620*$D$3621-D3629)-MAX((M3598*(Inputs!$D$7+Inputs!$D$20)*$D$3620*$D$3621-D3629),Inputs!$D$6)*Inputs!$D$19-D3630-M3598*Inputs!$D$20*$D$3620*Inputs!$D$23</f>
        <v>5095.267793743601</v>
      </c>
      <c r="G3627" s="99" t="s">
        <v>929</v>
      </c>
      <c r="H3627" s="91"/>
      <c r="I3627" s="91"/>
      <c r="J3627" s="28">
        <f>(D3619-D3632)/D3631</f>
        <v>41.336311109104386</v>
      </c>
      <c r="K3627" s="99" t="s">
        <v>919</v>
      </c>
      <c r="L3627" s="91"/>
      <c r="M3627" s="91"/>
    </row>
    <row r="3628" spans="2:13" ht="15" customHeight="1" x14ac:dyDescent="0.2">
      <c r="B3628" s="10" t="s">
        <v>930</v>
      </c>
      <c r="C3628" s="10" t="s">
        <v>110</v>
      </c>
      <c r="D3628" s="16">
        <f>D3627/($D$3622-Inputs!$D$20)</f>
        <v>53634.397828880014</v>
      </c>
      <c r="G3628" s="99" t="s">
        <v>931</v>
      </c>
      <c r="H3628" s="91"/>
      <c r="I3628" s="91"/>
      <c r="J3628" s="16">
        <f>MIN(D3612:M3612,(M3598*(Inputs!$D$7+Inputs!$D$20)*$D$3620*$D$3621-D3629))</f>
        <v>1245.898223326122</v>
      </c>
      <c r="K3628" s="99" t="s">
        <v>110</v>
      </c>
      <c r="L3628" s="91"/>
      <c r="M3628" s="91"/>
    </row>
    <row r="3629" spans="2:13" ht="15" customHeight="1" x14ac:dyDescent="0.2">
      <c r="B3629" s="10" t="s">
        <v>932</v>
      </c>
      <c r="C3629" s="10" t="s">
        <v>928</v>
      </c>
      <c r="D3629" s="16">
        <f>M3598*(Inputs!$D$7+Inputs!$D$20)*($D$3623/Inputs!$D$21+$D$3624/Inputs!$D$22)</f>
        <v>13509.71303671543</v>
      </c>
      <c r="G3629" s="99" t="s">
        <v>933</v>
      </c>
      <c r="H3629" s="91"/>
      <c r="I3629" s="91"/>
      <c r="J3629" s="31" t="str">
        <f>IF(J3628&lt;Inputs!$D$6,"breached","satisfied")</f>
        <v>satisfied</v>
      </c>
      <c r="K3629" s="99" t="s">
        <v>934</v>
      </c>
      <c r="L3629" s="91"/>
      <c r="M3629" s="91"/>
    </row>
    <row r="3630" spans="2:13" ht="15" customHeight="1" x14ac:dyDescent="0.2">
      <c r="B3630" s="10" t="s">
        <v>935</v>
      </c>
      <c r="C3630" s="10" t="s">
        <v>928</v>
      </c>
      <c r="D3630" s="16">
        <f>M3598*Inputs!$D$20*($D$3623+$D$3624)</f>
        <v>1365.7073615561799</v>
      </c>
    </row>
    <row r="3631" spans="2:13" ht="15" customHeight="1" x14ac:dyDescent="0.2">
      <c r="B3631" s="10" t="s">
        <v>936</v>
      </c>
      <c r="C3631" s="10" t="s">
        <v>896</v>
      </c>
      <c r="D3631" s="28">
        <f>SUM(D3608:M3608)+D3625</f>
        <v>3039.7491292754903</v>
      </c>
      <c r="G3631" s="99" t="s">
        <v>937</v>
      </c>
      <c r="H3631" s="91"/>
      <c r="I3631" s="91"/>
      <c r="J3631" s="16">
        <f>D3633-D3619</f>
        <v>0</v>
      </c>
      <c r="K3631" s="99" t="s">
        <v>110</v>
      </c>
      <c r="L3631" s="91"/>
      <c r="M3631" s="91"/>
    </row>
    <row r="3632" spans="2:13" ht="15" customHeight="1" x14ac:dyDescent="0.2">
      <c r="B3632" s="10" t="s">
        <v>938</v>
      </c>
      <c r="C3632" s="10" t="s">
        <v>110</v>
      </c>
      <c r="D3632" s="16">
        <f>SUM(D3609:M3609)+D3626</f>
        <v>-103802.01570136083</v>
      </c>
    </row>
    <row r="3633" spans="1:13" ht="15" customHeight="1" x14ac:dyDescent="0.2">
      <c r="B3633" s="10" t="s">
        <v>939</v>
      </c>
      <c r="C3633" s="10" t="s">
        <v>110</v>
      </c>
      <c r="D3633" s="16">
        <f>SUM(D3616:M3616)+D3628/(Inputs!$D$7+$D$3622)^M3596</f>
        <v>21850.000000000022</v>
      </c>
    </row>
    <row r="3634" spans="1:13" ht="15" customHeight="1" x14ac:dyDescent="0.2">
      <c r="B3634" s="10" t="s">
        <v>940</v>
      </c>
      <c r="C3634" s="10" t="s">
        <v>104</v>
      </c>
      <c r="D3634" s="30">
        <f>IF(ABS(D3619)&gt;Inputs!$D$6,D3633/D3619-Inputs!$D$7,Inputs!$D$6)</f>
        <v>8.8817841970012523E-16</v>
      </c>
    </row>
    <row r="3635" spans="1:13" ht="15" customHeight="1" x14ac:dyDescent="0.2">
      <c r="B3635" s="10" t="s">
        <v>941</v>
      </c>
      <c r="C3635" s="10" t="s">
        <v>104</v>
      </c>
      <c r="D3635" s="30">
        <f>IF(ABS(D3633)&gt;Inputs!$D$119,D3628/(Inputs!$D$7+$D$3622)^M3596/D3633,Inputs!$D$6)</f>
        <v>0.81612847692731638</v>
      </c>
    </row>
    <row r="3636" spans="1:13" ht="15" customHeight="1" x14ac:dyDescent="0.2">
      <c r="B3636" s="10" t="s">
        <v>942</v>
      </c>
      <c r="C3636" s="10" t="s">
        <v>943</v>
      </c>
      <c r="D3636" s="26">
        <f>$D$3620*Inputs!$D$8/Prices!$P$6/(Inputs!$D$26/Inputs!$D$25)/Inputs!$D$11/Inputs!$D$56</f>
        <v>7.5171337351588621</v>
      </c>
    </row>
    <row r="3640" spans="1:13" ht="15" customHeight="1" x14ac:dyDescent="0.2">
      <c r="A3640" s="104" t="s">
        <v>2244</v>
      </c>
      <c r="B3640" s="10" t="s">
        <v>886</v>
      </c>
      <c r="C3640" s="10" t="s">
        <v>107</v>
      </c>
      <c r="D3640" s="28">
        <f>Inputs!$D$60</f>
        <v>1</v>
      </c>
      <c r="E3640" s="28">
        <f>Inputs!$D$62</f>
        <v>2</v>
      </c>
      <c r="F3640" s="28">
        <f>Inputs!$D$64</f>
        <v>3</v>
      </c>
      <c r="G3640" s="28">
        <f>Inputs!$D$66</f>
        <v>4</v>
      </c>
      <c r="H3640" s="28">
        <f>Inputs!$D$68</f>
        <v>5</v>
      </c>
      <c r="I3640" s="28">
        <f>Inputs!$D$70</f>
        <v>6</v>
      </c>
      <c r="J3640" s="28">
        <f>Inputs!$D$72</f>
        <v>7</v>
      </c>
      <c r="K3640" s="28">
        <f>Inputs!$D$74</f>
        <v>8</v>
      </c>
      <c r="L3640" s="28">
        <f>Inputs!$D$76</f>
        <v>9</v>
      </c>
      <c r="M3640" s="28">
        <f>Inputs!$D$78</f>
        <v>10</v>
      </c>
    </row>
    <row r="3641" spans="1:13" ht="15" customHeight="1" x14ac:dyDescent="0.2">
      <c r="A3641" s="91"/>
      <c r="B3641" s="10" t="s">
        <v>887</v>
      </c>
      <c r="C3641" s="10" t="s">
        <v>161</v>
      </c>
      <c r="D3641" s="29">
        <f>Inputs!$D$61</f>
        <v>46568</v>
      </c>
      <c r="E3641" s="29">
        <f>Inputs!$D$63</f>
        <v>46934</v>
      </c>
      <c r="F3641" s="29">
        <f>Inputs!$D$65</f>
        <v>47299</v>
      </c>
      <c r="G3641" s="29">
        <f>Inputs!$D$67</f>
        <v>47664</v>
      </c>
      <c r="H3641" s="29">
        <f>Inputs!$D$69</f>
        <v>48029</v>
      </c>
      <c r="I3641" s="29">
        <f>Inputs!$D$71</f>
        <v>48395</v>
      </c>
      <c r="J3641" s="29">
        <f>Inputs!$D$73</f>
        <v>48760</v>
      </c>
      <c r="K3641" s="29">
        <f>Inputs!$D$75</f>
        <v>49125</v>
      </c>
      <c r="L3641" s="29">
        <f>Inputs!$D$77</f>
        <v>49490</v>
      </c>
      <c r="M3641" s="29">
        <f>Inputs!$D$79</f>
        <v>49856</v>
      </c>
    </row>
    <row r="3642" spans="1:13" ht="15" customHeight="1" x14ac:dyDescent="0.2">
      <c r="A3642" s="91"/>
      <c r="B3642" s="10" t="s">
        <v>888</v>
      </c>
      <c r="C3642" s="10" t="s">
        <v>107</v>
      </c>
      <c r="D3642" s="28">
        <f>(D3641-Inputs!$D$13)/Inputs!$D$10</f>
        <v>0.71457905544147848</v>
      </c>
      <c r="E3642" s="28">
        <f>(E3641-Inputs!$D$13)/Inputs!$D$10</f>
        <v>1.7166324435318274</v>
      </c>
      <c r="F3642" s="28">
        <f>(F3641-Inputs!$D$13)/Inputs!$D$10</f>
        <v>2.7159479808350446</v>
      </c>
      <c r="G3642" s="28">
        <f>(G3641-Inputs!$D$13)/Inputs!$D$10</f>
        <v>3.7152635181382614</v>
      </c>
      <c r="H3642" s="28">
        <f>(H3641-Inputs!$D$13)/Inputs!$D$10</f>
        <v>4.7145790554414786</v>
      </c>
      <c r="I3642" s="28">
        <f>(I3641-Inputs!$D$13)/Inputs!$D$10</f>
        <v>5.7166324435318279</v>
      </c>
      <c r="J3642" s="28">
        <f>(J3641-Inputs!$D$13)/Inputs!$D$10</f>
        <v>6.7159479808350442</v>
      </c>
      <c r="K3642" s="28">
        <f>(K3641-Inputs!$D$13)/Inputs!$D$10</f>
        <v>7.7152635181382614</v>
      </c>
      <c r="L3642" s="28">
        <f>(L3641-Inputs!$D$13)/Inputs!$D$10</f>
        <v>8.7145790554414777</v>
      </c>
      <c r="M3642" s="28">
        <f>(M3641-Inputs!$D$13)/Inputs!$D$10</f>
        <v>9.716632443531827</v>
      </c>
    </row>
    <row r="3643" spans="1:13" ht="15" customHeight="1" x14ac:dyDescent="0.2">
      <c r="A3643" s="91"/>
      <c r="B3643" s="10" t="s">
        <v>889</v>
      </c>
      <c r="C3643" s="10" t="s">
        <v>107</v>
      </c>
      <c r="D3643" s="28">
        <f>D3642</f>
        <v>0.71457905544147848</v>
      </c>
      <c r="E3643" s="28">
        <f>Inputs!$D$7</f>
        <v>1</v>
      </c>
      <c r="F3643" s="28">
        <f>Inputs!$D$7</f>
        <v>1</v>
      </c>
      <c r="G3643" s="28">
        <f>Inputs!$D$7</f>
        <v>1</v>
      </c>
      <c r="H3643" s="28">
        <f>Inputs!$D$7</f>
        <v>1</v>
      </c>
      <c r="I3643" s="28">
        <f>Inputs!$D$7</f>
        <v>1</v>
      </c>
      <c r="J3643" s="28">
        <f>Inputs!$D$7</f>
        <v>1</v>
      </c>
      <c r="K3643" s="28">
        <f>Inputs!$D$7</f>
        <v>1</v>
      </c>
      <c r="L3643" s="28">
        <f>Inputs!$D$7</f>
        <v>1</v>
      </c>
      <c r="M3643" s="28">
        <f>Inputs!$D$7</f>
        <v>1</v>
      </c>
    </row>
    <row r="3644" spans="1:13" ht="15" customHeight="1" x14ac:dyDescent="0.2">
      <c r="A3644" s="91"/>
      <c r="B3644" s="3" t="s">
        <v>890</v>
      </c>
      <c r="C3644" s="10" t="s">
        <v>199</v>
      </c>
      <c r="D3644" s="28">
        <f>Inputs!$D$24+(Inputs!$D$80-Inputs!$D$24)*Inputs!$D$83</f>
        <v>305.5</v>
      </c>
      <c r="E3644" s="28">
        <f>Inputs!$D$24+(Inputs!$D$80-Inputs!$D$24)*Inputs!$D$84</f>
        <v>651.5</v>
      </c>
      <c r="F3644" s="28">
        <f>Inputs!$D$24+(Inputs!$D$80-Inputs!$D$24)*Inputs!$D$85</f>
        <v>911</v>
      </c>
      <c r="G3644" s="28">
        <f>Inputs!$D$24+(Inputs!$D$80-Inputs!$D$24)*Inputs!$D$86</f>
        <v>911</v>
      </c>
      <c r="H3644" s="28">
        <f>Inputs!$D$24+(Inputs!$D$80-Inputs!$D$24)*Inputs!$D$87</f>
        <v>911</v>
      </c>
      <c r="I3644" s="28">
        <f>Inputs!$D$24+(Inputs!$D$80-Inputs!$D$24)*Inputs!$D$88</f>
        <v>911</v>
      </c>
      <c r="J3644" s="28">
        <f>Inputs!$D$24+(Inputs!$D$80-Inputs!$D$24)*Inputs!$D$89</f>
        <v>911</v>
      </c>
      <c r="K3644" s="28">
        <f>Inputs!$D$24+(Inputs!$D$80-Inputs!$D$24)*Inputs!$D$90</f>
        <v>911</v>
      </c>
      <c r="L3644" s="28">
        <f>Inputs!$D$24+(Inputs!$D$80-Inputs!$D$24)*Inputs!$D$91</f>
        <v>911</v>
      </c>
      <c r="M3644" s="28">
        <f>Inputs!$D$24+(Inputs!$D$80-Inputs!$D$24)*Inputs!$D$92</f>
        <v>911</v>
      </c>
    </row>
    <row r="3645" spans="1:13" ht="15" customHeight="1" x14ac:dyDescent="0.2">
      <c r="A3645" s="91"/>
      <c r="B3645" s="10" t="s">
        <v>891</v>
      </c>
      <c r="C3645" s="10" t="s">
        <v>199</v>
      </c>
      <c r="D3645" s="28">
        <f>Inputs!$D$24</f>
        <v>46</v>
      </c>
      <c r="E3645" s="28">
        <f t="shared" ref="E3645:M3645" si="790">D3644</f>
        <v>305.5</v>
      </c>
      <c r="F3645" s="28">
        <f t="shared" si="790"/>
        <v>651.5</v>
      </c>
      <c r="G3645" s="28">
        <f t="shared" si="790"/>
        <v>911</v>
      </c>
      <c r="H3645" s="28">
        <f t="shared" si="790"/>
        <v>911</v>
      </c>
      <c r="I3645" s="28">
        <f t="shared" si="790"/>
        <v>911</v>
      </c>
      <c r="J3645" s="28">
        <f t="shared" si="790"/>
        <v>911</v>
      </c>
      <c r="K3645" s="28">
        <f t="shared" si="790"/>
        <v>911</v>
      </c>
      <c r="L3645" s="28">
        <f t="shared" si="790"/>
        <v>911</v>
      </c>
      <c r="M3645" s="28">
        <f t="shared" si="790"/>
        <v>911</v>
      </c>
    </row>
    <row r="3646" spans="1:13" ht="15" customHeight="1" x14ac:dyDescent="0.2">
      <c r="B3646" s="10" t="s">
        <v>892</v>
      </c>
      <c r="C3646" s="10" t="s">
        <v>199</v>
      </c>
      <c r="D3646" s="28">
        <f>(D3645+D3644)*Inputs!$D$12</f>
        <v>175.75</v>
      </c>
      <c r="E3646" s="28">
        <f>(E3645+E3644)*Inputs!$D$12</f>
        <v>478.5</v>
      </c>
      <c r="F3646" s="28">
        <f>(F3645+F3644)*Inputs!$D$12</f>
        <v>781.25</v>
      </c>
      <c r="G3646" s="28">
        <f>(G3645+G3644)*Inputs!$D$12</f>
        <v>911</v>
      </c>
      <c r="H3646" s="28">
        <f>(H3645+H3644)*Inputs!$D$12</f>
        <v>911</v>
      </c>
      <c r="I3646" s="28">
        <f>(I3645+I3644)*Inputs!$D$12</f>
        <v>911</v>
      </c>
      <c r="J3646" s="28">
        <f>(J3645+J3644)*Inputs!$D$12</f>
        <v>911</v>
      </c>
      <c r="K3646" s="28">
        <f>(K3645+K3644)*Inputs!$D$12</f>
        <v>911</v>
      </c>
      <c r="L3646" s="28">
        <f>(L3645+L3644)*Inputs!$D$12</f>
        <v>911</v>
      </c>
      <c r="M3646" s="28">
        <f>(M3645+M3644)*Inputs!$D$12</f>
        <v>911</v>
      </c>
    </row>
    <row r="3647" spans="1:13" ht="15" customHeight="1" x14ac:dyDescent="0.2">
      <c r="B3647" s="10" t="s">
        <v>893</v>
      </c>
      <c r="C3647" s="10" t="s">
        <v>199</v>
      </c>
      <c r="D3647" s="28">
        <f t="shared" ref="D3647:M3647" si="791">D3644-D3645</f>
        <v>259.5</v>
      </c>
      <c r="E3647" s="28">
        <f t="shared" si="791"/>
        <v>346</v>
      </c>
      <c r="F3647" s="28">
        <f t="shared" si="791"/>
        <v>259.5</v>
      </c>
      <c r="G3647" s="28">
        <f t="shared" si="791"/>
        <v>0</v>
      </c>
      <c r="H3647" s="28">
        <f t="shared" si="791"/>
        <v>0</v>
      </c>
      <c r="I3647" s="28">
        <f t="shared" si="791"/>
        <v>0</v>
      </c>
      <c r="J3647" s="28">
        <f t="shared" si="791"/>
        <v>0</v>
      </c>
      <c r="K3647" s="28">
        <f t="shared" si="791"/>
        <v>0</v>
      </c>
      <c r="L3647" s="28">
        <f t="shared" si="791"/>
        <v>0</v>
      </c>
      <c r="M3647" s="28">
        <f t="shared" si="791"/>
        <v>0</v>
      </c>
    </row>
    <row r="3648" spans="1:13" ht="15" customHeight="1" x14ac:dyDescent="0.2">
      <c r="B3648" s="10" t="s">
        <v>894</v>
      </c>
      <c r="C3648" s="10" t="s">
        <v>199</v>
      </c>
      <c r="D3648" s="28">
        <f>IF(MOD(D3640,Inputs!$D$21)=Inputs!$D$6,Inputs!$D$24,Inputs!$D$6)+SUMPRODUCT(--(D3640&gt;$D$3640:$M$3640),--(MOD(D3640-$D$3640:$M$3640,Inputs!$D$21)=Inputs!$D$6),$D$3647:$M$3647)</f>
        <v>0</v>
      </c>
      <c r="E3648" s="28">
        <f>IF(MOD(E3640,Inputs!$D$21)=Inputs!$D$6,Inputs!$D$24,Inputs!$D$6)+SUMPRODUCT(--(E3640&gt;$D$3640:$M$3640),--(MOD(E3640-$D$3640:$M$3640,Inputs!$D$21)=Inputs!$D$6),$D$3647:$M$3647)</f>
        <v>0</v>
      </c>
      <c r="F3648" s="28">
        <f>IF(MOD(F3640,Inputs!$D$21)=Inputs!$D$6,Inputs!$D$24,Inputs!$D$6)+SUMPRODUCT(--(F3640&gt;$D$3640:$M$3640),--(MOD(F3640-$D$3640:$M$3640,Inputs!$D$21)=Inputs!$D$6),$D$3647:$M$3647)</f>
        <v>0</v>
      </c>
      <c r="G3648" s="28">
        <f>IF(MOD(G3640,Inputs!$D$21)=Inputs!$D$6,Inputs!$D$24,Inputs!$D$6)+SUMPRODUCT(--(G3640&gt;$D$3640:$M$3640),--(MOD(G3640-$D$3640:$M$3640,Inputs!$D$21)=Inputs!$D$6),$D$3647:$M$3647)</f>
        <v>46</v>
      </c>
      <c r="H3648" s="28">
        <f>IF(MOD(H3640,Inputs!$D$21)=Inputs!$D$6,Inputs!$D$24,Inputs!$D$6)+SUMPRODUCT(--(H3640&gt;$D$3640:$M$3640),--(MOD(H3640-$D$3640:$M$3640,Inputs!$D$21)=Inputs!$D$6),$D$3647:$M$3647)</f>
        <v>259.5</v>
      </c>
      <c r="I3648" s="28">
        <f>IF(MOD(I3640,Inputs!$D$21)=Inputs!$D$6,Inputs!$D$24,Inputs!$D$6)+SUMPRODUCT(--(I3640&gt;$D$3640:$M$3640),--(MOD(I3640-$D$3640:$M$3640,Inputs!$D$21)=Inputs!$D$6),$D$3647:$M$3647)</f>
        <v>346</v>
      </c>
      <c r="J3648" s="28">
        <f>IF(MOD(J3640,Inputs!$D$21)=Inputs!$D$6,Inputs!$D$24,Inputs!$D$6)+SUMPRODUCT(--(J3640&gt;$D$3640:$M$3640),--(MOD(J3640-$D$3640:$M$3640,Inputs!$D$21)=Inputs!$D$6),$D$3647:$M$3647)</f>
        <v>259.5</v>
      </c>
      <c r="K3648" s="28">
        <f>IF(MOD(K3640,Inputs!$D$21)=Inputs!$D$6,Inputs!$D$24,Inputs!$D$6)+SUMPRODUCT(--(K3640&gt;$D$3640:$M$3640),--(MOD(K3640-$D$3640:$M$3640,Inputs!$D$21)=Inputs!$D$6),$D$3647:$M$3647)</f>
        <v>46</v>
      </c>
      <c r="L3648" s="28">
        <f>IF(MOD(L3640,Inputs!$D$21)=Inputs!$D$6,Inputs!$D$24,Inputs!$D$6)+SUMPRODUCT(--(L3640&gt;$D$3640:$M$3640),--(MOD(L3640-$D$3640:$M$3640,Inputs!$D$21)=Inputs!$D$6),$D$3647:$M$3647)</f>
        <v>259.5</v>
      </c>
      <c r="M3648" s="28">
        <f>IF(MOD(M3640,Inputs!$D$21)=Inputs!$D$6,Inputs!$D$24,Inputs!$D$6)+SUMPRODUCT(--(M3640&gt;$D$3640:$M$3640),--(MOD(M3640-$D$3640:$M$3640,Inputs!$D$21)=Inputs!$D$6),$D$3647:$M$3647)</f>
        <v>346</v>
      </c>
    </row>
    <row r="3649" spans="2:13" ht="15" customHeight="1" x14ac:dyDescent="0.2">
      <c r="B3649" s="10" t="s">
        <v>895</v>
      </c>
      <c r="C3649" s="10" t="s">
        <v>896</v>
      </c>
      <c r="D3649" s="28">
        <f t="shared" ref="D3649:M3649" si="792">D3646*D3643</f>
        <v>125.58726899383984</v>
      </c>
      <c r="E3649" s="28">
        <f t="shared" si="792"/>
        <v>478.5</v>
      </c>
      <c r="F3649" s="28">
        <f t="shared" si="792"/>
        <v>781.25</v>
      </c>
      <c r="G3649" s="28">
        <f t="shared" si="792"/>
        <v>911</v>
      </c>
      <c r="H3649" s="28">
        <f t="shared" si="792"/>
        <v>911</v>
      </c>
      <c r="I3649" s="28">
        <f t="shared" si="792"/>
        <v>911</v>
      </c>
      <c r="J3649" s="28">
        <f t="shared" si="792"/>
        <v>911</v>
      </c>
      <c r="K3649" s="28">
        <f t="shared" si="792"/>
        <v>911</v>
      </c>
      <c r="L3649" s="28">
        <f t="shared" si="792"/>
        <v>911</v>
      </c>
      <c r="M3649" s="28">
        <f t="shared" si="792"/>
        <v>911</v>
      </c>
    </row>
    <row r="3650" spans="2:13" ht="15" customHeight="1" x14ac:dyDescent="0.2">
      <c r="B3650" s="10" t="s">
        <v>897</v>
      </c>
      <c r="C3650" s="10" t="s">
        <v>110</v>
      </c>
      <c r="D3650" s="16">
        <f>D3649*($D$3669/Inputs!$D$21+$D$3670/Inputs!$D$22)</f>
        <v>1816.9772859324419</v>
      </c>
      <c r="E3650" s="16">
        <f>E3649*($D$3669/Inputs!$D$21+$D$3670/Inputs!$D$22)</f>
        <v>6922.8643817497086</v>
      </c>
      <c r="F3650" s="16">
        <f>F3649*($D$3669/Inputs!$D$21+$D$3670/Inputs!$D$22)</f>
        <v>11303.0048030135</v>
      </c>
      <c r="G3650" s="16">
        <f>G3649*($D$3669/Inputs!$D$21+$D$3670/Inputs!$D$22)</f>
        <v>13180.207840697982</v>
      </c>
      <c r="H3650" s="16">
        <f>H3649*($D$3669/Inputs!$D$21+$D$3670/Inputs!$D$22)</f>
        <v>13180.207840697982</v>
      </c>
      <c r="I3650" s="16">
        <f>I3649*($D$3669/Inputs!$D$21+$D$3670/Inputs!$D$22)</f>
        <v>13180.207840697982</v>
      </c>
      <c r="J3650" s="16">
        <f>J3649*($D$3669/Inputs!$D$21+$D$3670/Inputs!$D$22)</f>
        <v>13180.207840697982</v>
      </c>
      <c r="K3650" s="16">
        <f>K3649*($D$3669/Inputs!$D$21+$D$3670/Inputs!$D$22)</f>
        <v>13180.207840697982</v>
      </c>
      <c r="L3650" s="16">
        <f>L3649*($D$3669/Inputs!$D$21+$D$3670/Inputs!$D$22)</f>
        <v>13180.207840697982</v>
      </c>
      <c r="M3650" s="16">
        <f>M3649*($D$3669/Inputs!$D$21+$D$3670/Inputs!$D$22)</f>
        <v>13180.207840697982</v>
      </c>
    </row>
    <row r="3651" spans="2:13" ht="15" customHeight="1" x14ac:dyDescent="0.2">
      <c r="B3651" s="10" t="s">
        <v>898</v>
      </c>
      <c r="C3651" s="10" t="s">
        <v>110</v>
      </c>
      <c r="D3651" s="16">
        <f t="shared" ref="D3651:M3651" si="793">D3647*($D$3669+$D$3670)</f>
        <v>15560.968620146154</v>
      </c>
      <c r="E3651" s="16">
        <f t="shared" si="793"/>
        <v>20747.95816019487</v>
      </c>
      <c r="F3651" s="16">
        <f t="shared" si="793"/>
        <v>15560.968620146154</v>
      </c>
      <c r="G3651" s="16">
        <f t="shared" si="793"/>
        <v>0</v>
      </c>
      <c r="H3651" s="16">
        <f t="shared" si="793"/>
        <v>0</v>
      </c>
      <c r="I3651" s="16">
        <f t="shared" si="793"/>
        <v>0</v>
      </c>
      <c r="J3651" s="16">
        <f t="shared" si="793"/>
        <v>0</v>
      </c>
      <c r="K3651" s="16">
        <f t="shared" si="793"/>
        <v>0</v>
      </c>
      <c r="L3651" s="16">
        <f t="shared" si="793"/>
        <v>0</v>
      </c>
      <c r="M3651" s="16">
        <f t="shared" si="793"/>
        <v>0</v>
      </c>
    </row>
    <row r="3652" spans="2:13" ht="15" customHeight="1" x14ac:dyDescent="0.2">
      <c r="B3652" s="10" t="s">
        <v>899</v>
      </c>
      <c r="C3652" s="10" t="s">
        <v>110</v>
      </c>
      <c r="D3652" s="16">
        <f t="shared" ref="D3652:M3652" si="794">D3648*$D$3669</f>
        <v>0</v>
      </c>
      <c r="E3652" s="16">
        <f t="shared" si="794"/>
        <v>0</v>
      </c>
      <c r="F3652" s="16">
        <f t="shared" si="794"/>
        <v>0</v>
      </c>
      <c r="G3652" s="16">
        <f t="shared" si="794"/>
        <v>2638.0048485671714</v>
      </c>
      <c r="H3652" s="16">
        <f t="shared" si="794"/>
        <v>14881.788221808281</v>
      </c>
      <c r="I3652" s="16">
        <f t="shared" si="794"/>
        <v>19842.384295744378</v>
      </c>
      <c r="J3652" s="16">
        <f t="shared" si="794"/>
        <v>14881.788221808281</v>
      </c>
      <c r="K3652" s="16">
        <f t="shared" si="794"/>
        <v>2638.0048485671714</v>
      </c>
      <c r="L3652" s="16">
        <f t="shared" si="794"/>
        <v>14881.788221808281</v>
      </c>
      <c r="M3652" s="16">
        <f t="shared" si="794"/>
        <v>19842.384295744378</v>
      </c>
    </row>
    <row r="3653" spans="2:13" ht="15" customHeight="1" x14ac:dyDescent="0.2">
      <c r="B3653" s="10" t="s">
        <v>900</v>
      </c>
      <c r="C3653" s="10" t="s">
        <v>199</v>
      </c>
      <c r="D3653" s="28">
        <f>D3647*Inputs!$D$23</f>
        <v>6.4875000000000007</v>
      </c>
      <c r="E3653" s="28">
        <f>E3647*Inputs!$D$23</f>
        <v>8.65</v>
      </c>
      <c r="F3653" s="28">
        <f>F3647*Inputs!$D$23</f>
        <v>6.4875000000000007</v>
      </c>
      <c r="G3653" s="28">
        <f>G3647*Inputs!$D$23</f>
        <v>0</v>
      </c>
      <c r="H3653" s="28">
        <f>H3647*Inputs!$D$23</f>
        <v>0</v>
      </c>
      <c r="I3653" s="28">
        <f>I3647*Inputs!$D$23</f>
        <v>0</v>
      </c>
      <c r="J3653" s="28">
        <f>J3647*Inputs!$D$23</f>
        <v>0</v>
      </c>
      <c r="K3653" s="28">
        <f>K3647*Inputs!$D$23</f>
        <v>0</v>
      </c>
      <c r="L3653" s="28">
        <f>L3647*Inputs!$D$23</f>
        <v>0</v>
      </c>
      <c r="M3653" s="28">
        <f>M3647*Inputs!$D$23</f>
        <v>0</v>
      </c>
    </row>
    <row r="3654" spans="2:13" ht="15" customHeight="1" x14ac:dyDescent="0.2">
      <c r="B3654" s="3" t="s">
        <v>901</v>
      </c>
      <c r="C3654" s="10" t="s">
        <v>896</v>
      </c>
      <c r="D3654" s="28">
        <f>(D3649*$D$3667*(Inputs!$D$7-Inputs!$D$19)-D3653)/(Inputs!$D$7+$D$3668)^D3642</f>
        <v>41.323954955907958</v>
      </c>
      <c r="E3654" s="28">
        <f>(E3649*$D$3667*(Inputs!$D$7-Inputs!$D$19)-E3653)/(Inputs!$D$7+$D$3668)^E3642</f>
        <v>150.90696965563865</v>
      </c>
      <c r="F3654" s="28">
        <f>(F3649*$D$3667*(Inputs!$D$7-Inputs!$D$19)-F3653)/(Inputs!$D$7+$D$3668)^F3642</f>
        <v>221.49724363497256</v>
      </c>
      <c r="G3654" s="28">
        <f>(G3649*$D$3667*(Inputs!$D$7-Inputs!$D$19)-G3653)/(Inputs!$D$7+$D$3668)^G3642</f>
        <v>231.23411637215406</v>
      </c>
      <c r="H3654" s="28">
        <f>(H3649*$D$3667*(Inputs!$D$7-Inputs!$D$19)-H3653)/(Inputs!$D$7+$D$3668)^H3642</f>
        <v>202.85513622180579</v>
      </c>
      <c r="I3654" s="28">
        <f>(I3649*$D$3667*(Inputs!$D$7-Inputs!$D$19)-I3653)/(Inputs!$D$7+$D$3668)^I3642</f>
        <v>177.8952324639684</v>
      </c>
      <c r="J3654" s="28">
        <f>(J3649*$D$3667*(Inputs!$D$7-Inputs!$D$19)-J3653)/(Inputs!$D$7+$D$3668)^J3642</f>
        <v>156.06244519994988</v>
      </c>
      <c r="K3654" s="28">
        <f>(K3649*$D$3667*(Inputs!$D$7-Inputs!$D$19)-K3653)/(Inputs!$D$7+$D$3668)^K3642</f>
        <v>136.90915975907566</v>
      </c>
      <c r="L3654" s="28">
        <f>(L3649*$D$3667*(Inputs!$D$7-Inputs!$D$19)-L3653)/(Inputs!$D$7+$D$3668)^L3642</f>
        <v>120.10652532017438</v>
      </c>
      <c r="M3654" s="28">
        <f>(M3649*$D$3667*(Inputs!$D$7-Inputs!$D$19)-M3653)/(Inputs!$D$7+$D$3668)^M3642</f>
        <v>105.32825858010075</v>
      </c>
    </row>
    <row r="3655" spans="2:13" ht="15" customHeight="1" x14ac:dyDescent="0.2">
      <c r="B3655" s="10" t="s">
        <v>902</v>
      </c>
      <c r="C3655" s="10" t="s">
        <v>110</v>
      </c>
      <c r="D3655" s="16">
        <f>(D3650*Inputs!$D$19-D3651-D3652)/(Inputs!$D$7+$D$3668)^D3642</f>
        <v>-13673.750208995338</v>
      </c>
      <c r="E3655" s="16">
        <f>(E3650*Inputs!$D$19-E3651-E3652)/(Inputs!$D$7+$D$3668)^E3642</f>
        <v>-14910.258198718562</v>
      </c>
      <c r="F3655" s="16">
        <f>(F3650*Inputs!$D$19-F3651-F3652)/(Inputs!$D$7+$D$3668)^F3642</f>
        <v>-8525.9417164238148</v>
      </c>
      <c r="G3655" s="16">
        <f>(G3650*Inputs!$D$19-G3651-G3652)/(Inputs!$D$7+$D$3668)^G3642</f>
        <v>808.83204192410847</v>
      </c>
      <c r="H3655" s="16">
        <f>(H3650*Inputs!$D$19-H3651-H3652)/(Inputs!$D$7+$D$3668)^H3642</f>
        <v>-5891.7915280072548</v>
      </c>
      <c r="I3655" s="16">
        <f>(I3650*Inputs!$D$19-I3651-I3652)/(Inputs!$D$7+$D$3668)^I3642</f>
        <v>-7512.3171078465948</v>
      </c>
      <c r="J3655" s="16">
        <f>(J3650*Inputs!$D$19-J3651-J3652)/(Inputs!$D$7+$D$3668)^J3642</f>
        <v>-4532.7291662153211</v>
      </c>
      <c r="K3655" s="16">
        <f>(K3650*Inputs!$D$19-K3651-K3652)/(Inputs!$D$7+$D$3668)^K3642</f>
        <v>478.89349972832292</v>
      </c>
      <c r="L3655" s="16">
        <f>(L3650*Inputs!$D$19-L3651-L3652)/(Inputs!$D$7+$D$3668)^L3642</f>
        <v>-3488.413562109869</v>
      </c>
      <c r="M3655" s="16">
        <f>(M3650*Inputs!$D$19-M3651-M3652)/(Inputs!$D$7+$D$3668)^M3642</f>
        <v>-4447.8947969066312</v>
      </c>
    </row>
    <row r="3656" spans="2:13" ht="15" customHeight="1" x14ac:dyDescent="0.2">
      <c r="B3656" s="10" t="s">
        <v>903</v>
      </c>
      <c r="C3656" s="10" t="s">
        <v>110</v>
      </c>
      <c r="D3656" s="16">
        <f t="shared" ref="D3656:M3656" si="795">D3649*$D$3666</f>
        <v>5561.4495411068592</v>
      </c>
      <c r="E3656" s="16">
        <f t="shared" si="795"/>
        <v>21189.676523264185</v>
      </c>
      <c r="F3656" s="16">
        <f t="shared" si="795"/>
        <v>34596.519924347216</v>
      </c>
      <c r="G3656" s="16">
        <f t="shared" si="795"/>
        <v>40342.309953382806</v>
      </c>
      <c r="H3656" s="16">
        <f t="shared" si="795"/>
        <v>40342.309953382806</v>
      </c>
      <c r="I3656" s="16">
        <f t="shared" si="795"/>
        <v>40342.309953382806</v>
      </c>
      <c r="J3656" s="16">
        <f t="shared" si="795"/>
        <v>40342.309953382806</v>
      </c>
      <c r="K3656" s="16">
        <f t="shared" si="795"/>
        <v>40342.309953382806</v>
      </c>
      <c r="L3656" s="16">
        <f t="shared" si="795"/>
        <v>40342.309953382806</v>
      </c>
      <c r="M3656" s="16">
        <f t="shared" si="795"/>
        <v>40342.309953382806</v>
      </c>
    </row>
    <row r="3657" spans="2:13" ht="15" customHeight="1" x14ac:dyDescent="0.2">
      <c r="B3657" s="10" t="s">
        <v>904</v>
      </c>
      <c r="C3657" s="10" t="s">
        <v>110</v>
      </c>
      <c r="D3657" s="16">
        <f t="shared" ref="D3657:M3657" si="796">D3656*$D$3667</f>
        <v>3281.2552292530468</v>
      </c>
      <c r="E3657" s="16">
        <f t="shared" si="796"/>
        <v>12501.909148725868</v>
      </c>
      <c r="F3657" s="16">
        <f t="shared" si="796"/>
        <v>20411.946755364857</v>
      </c>
      <c r="G3657" s="16">
        <f t="shared" si="796"/>
        <v>23801.962872495853</v>
      </c>
      <c r="H3657" s="16">
        <f t="shared" si="796"/>
        <v>23801.962872495853</v>
      </c>
      <c r="I3657" s="16">
        <f t="shared" si="796"/>
        <v>23801.962872495853</v>
      </c>
      <c r="J3657" s="16">
        <f t="shared" si="796"/>
        <v>23801.962872495853</v>
      </c>
      <c r="K3657" s="16">
        <f t="shared" si="796"/>
        <v>23801.962872495853</v>
      </c>
      <c r="L3657" s="16">
        <f t="shared" si="796"/>
        <v>23801.962872495853</v>
      </c>
      <c r="M3657" s="16">
        <f t="shared" si="796"/>
        <v>23801.962872495853</v>
      </c>
    </row>
    <row r="3658" spans="2:13" ht="15" customHeight="1" x14ac:dyDescent="0.2">
      <c r="B3658" s="10" t="s">
        <v>905</v>
      </c>
      <c r="C3658" s="10" t="s">
        <v>110</v>
      </c>
      <c r="D3658" s="16">
        <f t="shared" ref="D3658:M3658" si="797">D3657-D3650</f>
        <v>1464.2779433206049</v>
      </c>
      <c r="E3658" s="16">
        <f t="shared" si="797"/>
        <v>5579.0447669761597</v>
      </c>
      <c r="F3658" s="16">
        <f t="shared" si="797"/>
        <v>9108.941952351357</v>
      </c>
      <c r="G3658" s="16">
        <f t="shared" si="797"/>
        <v>10621.755031797871</v>
      </c>
      <c r="H3658" s="16">
        <f t="shared" si="797"/>
        <v>10621.755031797871</v>
      </c>
      <c r="I3658" s="16">
        <f t="shared" si="797"/>
        <v>10621.755031797871</v>
      </c>
      <c r="J3658" s="16">
        <f t="shared" si="797"/>
        <v>10621.755031797871</v>
      </c>
      <c r="K3658" s="16">
        <f t="shared" si="797"/>
        <v>10621.755031797871</v>
      </c>
      <c r="L3658" s="16">
        <f t="shared" si="797"/>
        <v>10621.755031797871</v>
      </c>
      <c r="M3658" s="16">
        <f t="shared" si="797"/>
        <v>10621.755031797871</v>
      </c>
    </row>
    <row r="3659" spans="2:13" ht="15" customHeight="1" x14ac:dyDescent="0.2">
      <c r="B3659" s="10" t="s">
        <v>906</v>
      </c>
      <c r="C3659" s="10" t="s">
        <v>110</v>
      </c>
      <c r="D3659" s="16">
        <f>MAX(D3658,Inputs!$D$6)*Inputs!$D$19</f>
        <v>439.28338299618144</v>
      </c>
      <c r="E3659" s="16">
        <f>MAX(E3658,Inputs!$D$6)*Inputs!$D$19</f>
        <v>1673.7134300928478</v>
      </c>
      <c r="F3659" s="16">
        <f>MAX(F3658,Inputs!$D$6)*Inputs!$D$19</f>
        <v>2732.6825857054068</v>
      </c>
      <c r="G3659" s="16">
        <f>MAX(G3658,Inputs!$D$6)*Inputs!$D$19</f>
        <v>3186.5265095393611</v>
      </c>
      <c r="H3659" s="16">
        <f>MAX(H3658,Inputs!$D$6)*Inputs!$D$19</f>
        <v>3186.5265095393611</v>
      </c>
      <c r="I3659" s="16">
        <f>MAX(I3658,Inputs!$D$6)*Inputs!$D$19</f>
        <v>3186.5265095393611</v>
      </c>
      <c r="J3659" s="16">
        <f>MAX(J3658,Inputs!$D$6)*Inputs!$D$19</f>
        <v>3186.5265095393611</v>
      </c>
      <c r="K3659" s="16">
        <f>MAX(K3658,Inputs!$D$6)*Inputs!$D$19</f>
        <v>3186.5265095393611</v>
      </c>
      <c r="L3659" s="16">
        <f>MAX(L3658,Inputs!$D$6)*Inputs!$D$19</f>
        <v>3186.5265095393611</v>
      </c>
      <c r="M3659" s="16">
        <f>MAX(M3658,Inputs!$D$6)*Inputs!$D$19</f>
        <v>3186.5265095393611</v>
      </c>
    </row>
    <row r="3660" spans="2:13" ht="15" customHeight="1" x14ac:dyDescent="0.2">
      <c r="B3660" s="10" t="s">
        <v>907</v>
      </c>
      <c r="C3660" s="10" t="s">
        <v>110</v>
      </c>
      <c r="D3660" s="16">
        <f t="shared" ref="D3660:M3660" si="798">D3653*$D$3666</f>
        <v>287.28950145177936</v>
      </c>
      <c r="E3660" s="16">
        <f t="shared" si="798"/>
        <v>383.05266860237242</v>
      </c>
      <c r="F3660" s="16">
        <f t="shared" si="798"/>
        <v>287.28950145177936</v>
      </c>
      <c r="G3660" s="16">
        <f t="shared" si="798"/>
        <v>0</v>
      </c>
      <c r="H3660" s="16">
        <f t="shared" si="798"/>
        <v>0</v>
      </c>
      <c r="I3660" s="16">
        <f t="shared" si="798"/>
        <v>0</v>
      </c>
      <c r="J3660" s="16">
        <f t="shared" si="798"/>
        <v>0</v>
      </c>
      <c r="K3660" s="16">
        <f t="shared" si="798"/>
        <v>0</v>
      </c>
      <c r="L3660" s="16">
        <f t="shared" si="798"/>
        <v>0</v>
      </c>
      <c r="M3660" s="16">
        <f t="shared" si="798"/>
        <v>0</v>
      </c>
    </row>
    <row r="3661" spans="2:13" ht="15" customHeight="1" x14ac:dyDescent="0.2">
      <c r="B3661" s="10" t="s">
        <v>908</v>
      </c>
      <c r="C3661" s="10" t="s">
        <v>110</v>
      </c>
      <c r="D3661" s="16">
        <f t="shared" ref="D3661:M3661" si="799">D3657-D3659-D3651-D3652-D3660</f>
        <v>-13006.286275341068</v>
      </c>
      <c r="E3661" s="16">
        <f t="shared" si="799"/>
        <v>-10302.815110164223</v>
      </c>
      <c r="F3661" s="16">
        <f t="shared" si="799"/>
        <v>1831.006048061518</v>
      </c>
      <c r="G3661" s="16">
        <f t="shared" si="799"/>
        <v>17977.431514389318</v>
      </c>
      <c r="H3661" s="16">
        <f t="shared" si="799"/>
        <v>5733.6481411482091</v>
      </c>
      <c r="I3661" s="16">
        <f t="shared" si="799"/>
        <v>773.05206721211289</v>
      </c>
      <c r="J3661" s="16">
        <f t="shared" si="799"/>
        <v>5733.6481411482091</v>
      </c>
      <c r="K3661" s="16">
        <f t="shared" si="799"/>
        <v>17977.431514389318</v>
      </c>
      <c r="L3661" s="16">
        <f t="shared" si="799"/>
        <v>5733.6481411482091</v>
      </c>
      <c r="M3661" s="16">
        <f t="shared" si="799"/>
        <v>773.05206721211289</v>
      </c>
    </row>
    <row r="3662" spans="2:13" ht="15" customHeight="1" x14ac:dyDescent="0.2">
      <c r="B3662" s="10" t="s">
        <v>909</v>
      </c>
      <c r="C3662" s="10" t="s">
        <v>110</v>
      </c>
      <c r="D3662" s="16">
        <f>D3661/(Inputs!$D$7+$D$3668)^D3642</f>
        <v>-11843.778969334669</v>
      </c>
      <c r="E3662" s="16">
        <f>E3661/(Inputs!$D$7+$D$3668)^E3642</f>
        <v>-8227.5625412284353</v>
      </c>
      <c r="F3662" s="16">
        <f>F3661/(Inputs!$D$7+$D$3668)^F3642</f>
        <v>1282.7415509109942</v>
      </c>
      <c r="G3662" s="16">
        <f>G3661/(Inputs!$D$7+$D$3668)^G3642</f>
        <v>11048.698556174413</v>
      </c>
      <c r="H3662" s="16">
        <f>H3661/(Inputs!$D$7+$D$3668)^H3642</f>
        <v>3091.3531274217021</v>
      </c>
      <c r="I3662" s="16">
        <f>I3661/(Inputs!$D$7+$D$3668)^I3642</f>
        <v>365.51451376756552</v>
      </c>
      <c r="J3662" s="16">
        <f>J3661/(Inputs!$D$7+$D$3668)^J3642</f>
        <v>2378.2692271317655</v>
      </c>
      <c r="K3662" s="16">
        <f>K3661/(Inputs!$D$7+$D$3668)^K3642</f>
        <v>6541.7165057193588</v>
      </c>
      <c r="L3662" s="16">
        <f>L3661/(Inputs!$D$7+$D$3668)^L3642</f>
        <v>1830.3292171330447</v>
      </c>
      <c r="M3662" s="16">
        <f>M3661/(Inputs!$D$7+$D$3668)^M3642</f>
        <v>216.41393469433015</v>
      </c>
    </row>
    <row r="3663" spans="2:13" ht="15" customHeight="1" x14ac:dyDescent="0.2">
      <c r="B3663" s="3" t="s">
        <v>910</v>
      </c>
      <c r="C3663" s="10" t="s">
        <v>896</v>
      </c>
      <c r="D3663" s="28">
        <f>(D3649*$D$3667-D3653)/(Inputs!$D$7+$D$3668)^D3642</f>
        <v>61.566069024375587</v>
      </c>
      <c r="E3663" s="28">
        <f>(E3649*$D$3667-E3653)/(Inputs!$D$7+$D$3668)^E3642</f>
        <v>218.54181393820917</v>
      </c>
      <c r="F3663" s="28">
        <f>(F3649*$D$3667-F3653)/(Inputs!$D$7+$D$3668)^F3642</f>
        <v>318.37245891604812</v>
      </c>
      <c r="G3663" s="28">
        <f>(G3649*$D$3667-G3653)/(Inputs!$D$7+$D$3668)^G3642</f>
        <v>330.33445196022012</v>
      </c>
      <c r="H3663" s="28">
        <f>(H3649*$D$3667-H3653)/(Inputs!$D$7+$D$3668)^H3642</f>
        <v>289.79305174543686</v>
      </c>
      <c r="I3663" s="28">
        <f>(I3649*$D$3667-I3653)/(Inputs!$D$7+$D$3668)^I3642</f>
        <v>254.13604637709773</v>
      </c>
      <c r="J3663" s="28">
        <f>(J3649*$D$3667-J3653)/(Inputs!$D$7+$D$3668)^J3642</f>
        <v>222.94635028564269</v>
      </c>
      <c r="K3663" s="28">
        <f>(K3649*$D$3667-K3653)/(Inputs!$D$7+$D$3668)^K3642</f>
        <v>195.58451394153667</v>
      </c>
      <c r="L3663" s="28">
        <f>(L3649*$D$3667-L3653)/(Inputs!$D$7+$D$3668)^L3642</f>
        <v>171.58075045739199</v>
      </c>
      <c r="M3663" s="28">
        <f>(M3649*$D$3667-M3653)/(Inputs!$D$7+$D$3668)^M3642</f>
        <v>150.46894082871538</v>
      </c>
    </row>
    <row r="3664" spans="2:13" ht="15" customHeight="1" x14ac:dyDescent="0.2">
      <c r="B3664" s="10" t="s">
        <v>911</v>
      </c>
      <c r="C3664" s="10" t="s">
        <v>110</v>
      </c>
      <c r="D3664" s="16">
        <f>(-D3651-D3652)/(Inputs!$D$7+$D$3668)^D3642</f>
        <v>-14170.122737893587</v>
      </c>
      <c r="E3664" s="16">
        <f>(-E3651-E3652)/(Inputs!$D$7+$D$3668)^E3642</f>
        <v>-16568.784506031301</v>
      </c>
      <c r="F3664" s="16">
        <f>(-F3651-F3652)/(Inputs!$D$7+$D$3668)^F3642</f>
        <v>-10901.493767656277</v>
      </c>
      <c r="G3664" s="16">
        <f>(-G3651-G3652)/(Inputs!$D$7+$D$3668)^G3642</f>
        <v>-1621.2839046676961</v>
      </c>
      <c r="H3664" s="16">
        <f>(-H3651-H3652)/(Inputs!$D$7+$D$3668)^H3642</f>
        <v>-8023.6633690433682</v>
      </c>
      <c r="I3664" s="16">
        <f>(-I3651-I3652)/(Inputs!$D$7+$D$3668)^I3642</f>
        <v>-9381.8770500204446</v>
      </c>
      <c r="J3664" s="16">
        <f>(-J3651-J3652)/(Inputs!$D$7+$D$3668)^J3642</f>
        <v>-6172.8411129063252</v>
      </c>
      <c r="K3664" s="16">
        <f>(-K3651-K3652)/(Inputs!$D$7+$D$3668)^K3642</f>
        <v>-959.93022397147342</v>
      </c>
      <c r="L3664" s="16">
        <f>(-L3651-L3652)/(Inputs!$D$7+$D$3668)^L3642</f>
        <v>-4750.6528330682277</v>
      </c>
      <c r="M3664" s="16">
        <f>(-M3651-M3652)/(Inputs!$D$7+$D$3668)^M3642</f>
        <v>-5554.82436602912</v>
      </c>
    </row>
    <row r="3665" spans="2:13" ht="15" customHeight="1" x14ac:dyDescent="0.2">
      <c r="B3665" s="10" t="s">
        <v>912</v>
      </c>
      <c r="C3665" s="10" t="s">
        <v>110</v>
      </c>
      <c r="D3665" s="16">
        <f>Prices!I9</f>
        <v>21850</v>
      </c>
    </row>
    <row r="3666" spans="2:13" ht="15" customHeight="1" x14ac:dyDescent="0.2">
      <c r="B3666" s="3" t="s">
        <v>913</v>
      </c>
      <c r="C3666" s="10" t="s">
        <v>914</v>
      </c>
      <c r="D3666" s="28">
        <f>IF(J3673&gt;=J3669,J3673,(D3665-J3672)/J3671)</f>
        <v>44.28354550316444</v>
      </c>
      <c r="G3666" s="99" t="s">
        <v>915</v>
      </c>
      <c r="H3666" s="91"/>
      <c r="I3666" s="91"/>
      <c r="J3666" s="28">
        <f>D3666*Inputs!$D$15</f>
        <v>30.905486406658461</v>
      </c>
      <c r="K3666" s="99" t="s">
        <v>916</v>
      </c>
      <c r="L3666" s="91"/>
      <c r="M3666" s="91"/>
    </row>
    <row r="3667" spans="2:13" ht="15" customHeight="1" x14ac:dyDescent="0.2">
      <c r="B3667" s="10" t="s">
        <v>917</v>
      </c>
      <c r="C3667" s="10" t="s">
        <v>104</v>
      </c>
      <c r="D3667" s="30">
        <f>Inputs!$D$141</f>
        <v>0.59</v>
      </c>
      <c r="G3667" s="99" t="s">
        <v>918</v>
      </c>
      <c r="H3667" s="91"/>
      <c r="I3667" s="91"/>
      <c r="J3667" s="28">
        <f>IF(-D3678/D3677&gt;=J3669,-D3678/D3677,-J3672/J3671)</f>
        <v>35.478487913459944</v>
      </c>
      <c r="K3667" s="99" t="s">
        <v>919</v>
      </c>
      <c r="L3667" s="91"/>
      <c r="M3667" s="91"/>
    </row>
    <row r="3668" spans="2:13" ht="15" customHeight="1" x14ac:dyDescent="0.2">
      <c r="B3668" s="10" t="s">
        <v>920</v>
      </c>
      <c r="C3668" s="10" t="s">
        <v>104</v>
      </c>
      <c r="D3668" s="30">
        <f>Inputs!$D$149</f>
        <v>0.14000000000000001</v>
      </c>
      <c r="G3668" s="99" t="s">
        <v>918</v>
      </c>
      <c r="H3668" s="91"/>
      <c r="I3668" s="91"/>
      <c r="J3668" s="28">
        <f>J3667*Inputs!$D$15</f>
        <v>24.760436714803692</v>
      </c>
      <c r="K3668" s="99" t="s">
        <v>916</v>
      </c>
      <c r="L3668" s="91"/>
      <c r="M3668" s="91"/>
    </row>
    <row r="3669" spans="2:13" ht="15" customHeight="1" x14ac:dyDescent="0.2">
      <c r="B3669" s="3" t="s">
        <v>921</v>
      </c>
      <c r="C3669" s="10" t="s">
        <v>848</v>
      </c>
      <c r="D3669" s="28">
        <f>Capital!$D$13</f>
        <v>57.347931490590682</v>
      </c>
      <c r="G3669" s="99" t="s">
        <v>922</v>
      </c>
      <c r="H3669" s="91"/>
      <c r="I3669" s="91"/>
      <c r="J3669" s="28">
        <f>($D$3669/Inputs!$D$21+$D$3670/Inputs!$D$22)/$D$3667</f>
        <v>24.521773131961492</v>
      </c>
      <c r="K3669" s="99" t="s">
        <v>919</v>
      </c>
      <c r="L3669" s="91"/>
      <c r="M3669" s="91"/>
    </row>
    <row r="3670" spans="2:13" ht="15" customHeight="1" x14ac:dyDescent="0.2">
      <c r="B3670" s="3" t="s">
        <v>923</v>
      </c>
      <c r="C3670" s="10" t="s">
        <v>848</v>
      </c>
      <c r="D3670" s="28">
        <f>Capital!$D$14</f>
        <v>2.6172655041921802</v>
      </c>
    </row>
    <row r="3671" spans="2:13" ht="15" customHeight="1" x14ac:dyDescent="0.2">
      <c r="B3671" s="10" t="s">
        <v>924</v>
      </c>
      <c r="C3671" s="10" t="s">
        <v>896</v>
      </c>
      <c r="D3671" s="28">
        <f>(M3644*(Inputs!$D$7+Inputs!$D$20)*$D$3667*(Inputs!$D$7-Inputs!$D$19)-M3644*Inputs!$D$20*Inputs!$D$23)/($D$3668-Inputs!$D$20)/(Inputs!$D$7+$D$3668)^M3642</f>
        <v>937.40930417535674</v>
      </c>
      <c r="G3671" s="92" t="s">
        <v>910</v>
      </c>
      <c r="H3671" s="91"/>
      <c r="I3671" s="91"/>
      <c r="J3671" s="28">
        <f>SUM(D3663:M3663)+(M3644*(Inputs!$D$7+Inputs!$D$20)*$D$3667-M3644*Inputs!$D$20*Inputs!$D$23)/($D$3668-Inputs!$D$20)/(Inputs!$D$7+$D$3668)^M3642</f>
        <v>3553.0746151702915</v>
      </c>
      <c r="K3671" s="99" t="s">
        <v>896</v>
      </c>
      <c r="L3671" s="91"/>
      <c r="M3671" s="91"/>
    </row>
    <row r="3672" spans="2:13" ht="15" customHeight="1" x14ac:dyDescent="0.2">
      <c r="B3672" s="10" t="s">
        <v>925</v>
      </c>
      <c r="C3672" s="10" t="s">
        <v>110</v>
      </c>
      <c r="D3672" s="16">
        <f>(D3675*Inputs!$D$19-D3675-D3676)/($D$3668-Inputs!$D$20)/(Inputs!$D$7+$D$3668)^M3642</f>
        <v>-26345.502698929216</v>
      </c>
      <c r="G3672" s="92" t="s">
        <v>926</v>
      </c>
      <c r="H3672" s="91"/>
      <c r="I3672" s="91"/>
      <c r="J3672" s="16">
        <f>SUM(D3664:M3664)-(D3675+D3676)/($D$3668-Inputs!$D$20)/(Inputs!$D$7+$D$3668)^M3642</f>
        <v>-114317.08794717836</v>
      </c>
      <c r="K3672" s="99" t="s">
        <v>110</v>
      </c>
      <c r="L3672" s="91"/>
      <c r="M3672" s="91"/>
    </row>
    <row r="3673" spans="2:13" ht="15" customHeight="1" x14ac:dyDescent="0.2">
      <c r="B3673" s="10" t="s">
        <v>927</v>
      </c>
      <c r="C3673" s="10" t="s">
        <v>928</v>
      </c>
      <c r="D3673" s="16">
        <f>(M3644*(Inputs!$D$7+Inputs!$D$20)*$D$3666*$D$3667-D3675)-MAX((M3644*(Inputs!$D$7+Inputs!$D$20)*$D$3666*$D$3667-D3675),Inputs!$D$6)*Inputs!$D$19-D3676-M3644*Inputs!$D$20*$D$3666*Inputs!$D$23</f>
        <v>6230.1879300379278</v>
      </c>
      <c r="G3673" s="99" t="s">
        <v>929</v>
      </c>
      <c r="H3673" s="91"/>
      <c r="I3673" s="91"/>
      <c r="J3673" s="28">
        <f>(D3665-D3678)/D3677</f>
        <v>44.28354550316444</v>
      </c>
      <c r="K3673" s="99" t="s">
        <v>919</v>
      </c>
      <c r="L3673" s="91"/>
      <c r="M3673" s="91"/>
    </row>
    <row r="3674" spans="2:13" ht="15" customHeight="1" x14ac:dyDescent="0.2">
      <c r="B3674" s="10" t="s">
        <v>930</v>
      </c>
      <c r="C3674" s="10" t="s">
        <v>110</v>
      </c>
      <c r="D3674" s="16">
        <f>D3673/($D$3668-Inputs!$D$20)</f>
        <v>54175.547217721105</v>
      </c>
      <c r="G3674" s="99" t="s">
        <v>931</v>
      </c>
      <c r="H3674" s="91"/>
      <c r="I3674" s="91"/>
      <c r="J3674" s="16">
        <f>MIN(D3658:M3658,(M3644*(Inputs!$D$7+Inputs!$D$20)*$D$3666*$D$3667-D3675))</f>
        <v>1464.2779433206049</v>
      </c>
      <c r="K3674" s="99" t="s">
        <v>110</v>
      </c>
      <c r="L3674" s="91"/>
      <c r="M3674" s="91"/>
    </row>
    <row r="3675" spans="2:13" ht="15" customHeight="1" x14ac:dyDescent="0.2">
      <c r="B3675" s="10" t="s">
        <v>932</v>
      </c>
      <c r="C3675" s="10" t="s">
        <v>928</v>
      </c>
      <c r="D3675" s="16">
        <f>M3644*(Inputs!$D$7+Inputs!$D$20)*($D$3669/Inputs!$D$21+$D$3670/Inputs!$D$22)</f>
        <v>13509.71303671543</v>
      </c>
      <c r="G3675" s="99" t="s">
        <v>933</v>
      </c>
      <c r="H3675" s="91"/>
      <c r="I3675" s="91"/>
      <c r="J3675" s="31" t="str">
        <f>IF(J3674&lt;Inputs!$D$6,"breached","satisfied")</f>
        <v>satisfied</v>
      </c>
      <c r="K3675" s="99" t="s">
        <v>934</v>
      </c>
      <c r="L3675" s="91"/>
      <c r="M3675" s="91"/>
    </row>
    <row r="3676" spans="2:13" ht="15" customHeight="1" x14ac:dyDescent="0.2">
      <c r="B3676" s="10" t="s">
        <v>935</v>
      </c>
      <c r="C3676" s="10" t="s">
        <v>928</v>
      </c>
      <c r="D3676" s="16">
        <f>M3644*Inputs!$D$20*($D$3669+$D$3670)</f>
        <v>1365.7073615561799</v>
      </c>
    </row>
    <row r="3677" spans="2:13" ht="15" customHeight="1" x14ac:dyDescent="0.2">
      <c r="B3677" s="10" t="s">
        <v>936</v>
      </c>
      <c r="C3677" s="10" t="s">
        <v>896</v>
      </c>
      <c r="D3677" s="28">
        <f>SUM(D3654:M3654)+D3671</f>
        <v>2481.5283463391052</v>
      </c>
      <c r="G3677" s="99" t="s">
        <v>937</v>
      </c>
      <c r="H3677" s="91"/>
      <c r="I3677" s="91"/>
      <c r="J3677" s="16">
        <f>D3679-D3665</f>
        <v>0</v>
      </c>
      <c r="K3677" s="99" t="s">
        <v>110</v>
      </c>
      <c r="L3677" s="91"/>
      <c r="M3677" s="91"/>
    </row>
    <row r="3678" spans="2:13" ht="15" customHeight="1" x14ac:dyDescent="0.2">
      <c r="B3678" s="10" t="s">
        <v>938</v>
      </c>
      <c r="C3678" s="10" t="s">
        <v>110</v>
      </c>
      <c r="D3678" s="16">
        <f>SUM(D3655:M3655)+D3672</f>
        <v>-88040.873442500175</v>
      </c>
    </row>
    <row r="3679" spans="2:13" ht="15" customHeight="1" x14ac:dyDescent="0.2">
      <c r="B3679" s="10" t="s">
        <v>939</v>
      </c>
      <c r="C3679" s="10" t="s">
        <v>110</v>
      </c>
      <c r="D3679" s="16">
        <f>SUM(D3662:M3662)+D3674/(Inputs!$D$7+$D$3668)^M3642</f>
        <v>21849.999999999978</v>
      </c>
    </row>
    <row r="3680" spans="2:13" ht="15" customHeight="1" x14ac:dyDescent="0.2">
      <c r="B3680" s="10" t="s">
        <v>940</v>
      </c>
      <c r="C3680" s="10" t="s">
        <v>104</v>
      </c>
      <c r="D3680" s="30">
        <f>IF(ABS(D3665)&gt;Inputs!$D$6,D3679/D3665-Inputs!$D$7,Inputs!$D$6)</f>
        <v>-9.9920072216264089E-16</v>
      </c>
    </row>
    <row r="3681" spans="1:13" ht="15" customHeight="1" x14ac:dyDescent="0.2">
      <c r="B3681" s="10" t="s">
        <v>941</v>
      </c>
      <c r="C3681" s="10" t="s">
        <v>104</v>
      </c>
      <c r="D3681" s="30">
        <f>IF(ABS(D3679)&gt;Inputs!$D$119,D3674/(Inputs!$D$7+$D$3668)^M3642/D3679,Inputs!$D$6)</f>
        <v>0.69411006304850931</v>
      </c>
    </row>
    <row r="3682" spans="1:13" ht="15" customHeight="1" x14ac:dyDescent="0.2">
      <c r="B3682" s="10" t="s">
        <v>942</v>
      </c>
      <c r="C3682" s="10" t="s">
        <v>943</v>
      </c>
      <c r="D3682" s="26">
        <f>$D$3666*Inputs!$D$8/Prices!$P$6/(Inputs!$D$26/Inputs!$D$25)/Inputs!$D$11/Inputs!$D$56</f>
        <v>8.0530972620089809</v>
      </c>
    </row>
    <row r="3686" spans="1:13" ht="15" customHeight="1" x14ac:dyDescent="0.2">
      <c r="A3686" s="104" t="s">
        <v>2245</v>
      </c>
      <c r="B3686" s="10" t="s">
        <v>886</v>
      </c>
      <c r="C3686" s="10" t="s">
        <v>107</v>
      </c>
      <c r="D3686" s="28">
        <f>Inputs!$D$60</f>
        <v>1</v>
      </c>
      <c r="E3686" s="28">
        <f>Inputs!$D$62</f>
        <v>2</v>
      </c>
      <c r="F3686" s="28">
        <f>Inputs!$D$64</f>
        <v>3</v>
      </c>
      <c r="G3686" s="28">
        <f>Inputs!$D$66</f>
        <v>4</v>
      </c>
      <c r="H3686" s="28">
        <f>Inputs!$D$68</f>
        <v>5</v>
      </c>
      <c r="I3686" s="28">
        <f>Inputs!$D$70</f>
        <v>6</v>
      </c>
      <c r="J3686" s="28">
        <f>Inputs!$D$72</f>
        <v>7</v>
      </c>
      <c r="K3686" s="28">
        <f>Inputs!$D$74</f>
        <v>8</v>
      </c>
      <c r="L3686" s="28">
        <f>Inputs!$D$76</f>
        <v>9</v>
      </c>
      <c r="M3686" s="28">
        <f>Inputs!$D$78</f>
        <v>10</v>
      </c>
    </row>
    <row r="3687" spans="1:13" ht="15" customHeight="1" x14ac:dyDescent="0.2">
      <c r="A3687" s="91"/>
      <c r="B3687" s="10" t="s">
        <v>887</v>
      </c>
      <c r="C3687" s="10" t="s">
        <v>161</v>
      </c>
      <c r="D3687" s="29">
        <f>Inputs!$D$61</f>
        <v>46568</v>
      </c>
      <c r="E3687" s="29">
        <f>Inputs!$D$63</f>
        <v>46934</v>
      </c>
      <c r="F3687" s="29">
        <f>Inputs!$D$65</f>
        <v>47299</v>
      </c>
      <c r="G3687" s="29">
        <f>Inputs!$D$67</f>
        <v>47664</v>
      </c>
      <c r="H3687" s="29">
        <f>Inputs!$D$69</f>
        <v>48029</v>
      </c>
      <c r="I3687" s="29">
        <f>Inputs!$D$71</f>
        <v>48395</v>
      </c>
      <c r="J3687" s="29">
        <f>Inputs!$D$73</f>
        <v>48760</v>
      </c>
      <c r="K3687" s="29">
        <f>Inputs!$D$75</f>
        <v>49125</v>
      </c>
      <c r="L3687" s="29">
        <f>Inputs!$D$77</f>
        <v>49490</v>
      </c>
      <c r="M3687" s="29">
        <f>Inputs!$D$79</f>
        <v>49856</v>
      </c>
    </row>
    <row r="3688" spans="1:13" ht="15" customHeight="1" x14ac:dyDescent="0.2">
      <c r="A3688" s="91"/>
      <c r="B3688" s="10" t="s">
        <v>888</v>
      </c>
      <c r="C3688" s="10" t="s">
        <v>107</v>
      </c>
      <c r="D3688" s="28">
        <f>(D3687-Inputs!$D$13)/Inputs!$D$10</f>
        <v>0.71457905544147848</v>
      </c>
      <c r="E3688" s="28">
        <f>(E3687-Inputs!$D$13)/Inputs!$D$10</f>
        <v>1.7166324435318274</v>
      </c>
      <c r="F3688" s="28">
        <f>(F3687-Inputs!$D$13)/Inputs!$D$10</f>
        <v>2.7159479808350446</v>
      </c>
      <c r="G3688" s="28">
        <f>(G3687-Inputs!$D$13)/Inputs!$D$10</f>
        <v>3.7152635181382614</v>
      </c>
      <c r="H3688" s="28">
        <f>(H3687-Inputs!$D$13)/Inputs!$D$10</f>
        <v>4.7145790554414786</v>
      </c>
      <c r="I3688" s="28">
        <f>(I3687-Inputs!$D$13)/Inputs!$D$10</f>
        <v>5.7166324435318279</v>
      </c>
      <c r="J3688" s="28">
        <f>(J3687-Inputs!$D$13)/Inputs!$D$10</f>
        <v>6.7159479808350442</v>
      </c>
      <c r="K3688" s="28">
        <f>(K3687-Inputs!$D$13)/Inputs!$D$10</f>
        <v>7.7152635181382614</v>
      </c>
      <c r="L3688" s="28">
        <f>(L3687-Inputs!$D$13)/Inputs!$D$10</f>
        <v>8.7145790554414777</v>
      </c>
      <c r="M3688" s="28">
        <f>(M3687-Inputs!$D$13)/Inputs!$D$10</f>
        <v>9.716632443531827</v>
      </c>
    </row>
    <row r="3689" spans="1:13" ht="15" customHeight="1" x14ac:dyDescent="0.2">
      <c r="A3689" s="91"/>
      <c r="B3689" s="10" t="s">
        <v>889</v>
      </c>
      <c r="C3689" s="10" t="s">
        <v>107</v>
      </c>
      <c r="D3689" s="28">
        <f>D3688</f>
        <v>0.71457905544147848</v>
      </c>
      <c r="E3689" s="28">
        <f>Inputs!$D$7</f>
        <v>1</v>
      </c>
      <c r="F3689" s="28">
        <f>Inputs!$D$7</f>
        <v>1</v>
      </c>
      <c r="G3689" s="28">
        <f>Inputs!$D$7</f>
        <v>1</v>
      </c>
      <c r="H3689" s="28">
        <f>Inputs!$D$7</f>
        <v>1</v>
      </c>
      <c r="I3689" s="28">
        <f>Inputs!$D$7</f>
        <v>1</v>
      </c>
      <c r="J3689" s="28">
        <f>Inputs!$D$7</f>
        <v>1</v>
      </c>
      <c r="K3689" s="28">
        <f>Inputs!$D$7</f>
        <v>1</v>
      </c>
      <c r="L3689" s="28">
        <f>Inputs!$D$7</f>
        <v>1</v>
      </c>
      <c r="M3689" s="28">
        <f>Inputs!$D$7</f>
        <v>1</v>
      </c>
    </row>
    <row r="3690" spans="1:13" ht="15" customHeight="1" x14ac:dyDescent="0.2">
      <c r="A3690" s="91"/>
      <c r="B3690" s="3" t="s">
        <v>890</v>
      </c>
      <c r="C3690" s="10" t="s">
        <v>199</v>
      </c>
      <c r="D3690" s="28">
        <f>Inputs!$D$24+(Inputs!$D$80-Inputs!$D$24)*Inputs!$D$83</f>
        <v>305.5</v>
      </c>
      <c r="E3690" s="28">
        <f>Inputs!$D$24+(Inputs!$D$80-Inputs!$D$24)*Inputs!$D$84</f>
        <v>651.5</v>
      </c>
      <c r="F3690" s="28">
        <f>Inputs!$D$24+(Inputs!$D$80-Inputs!$D$24)*Inputs!$D$85</f>
        <v>911</v>
      </c>
      <c r="G3690" s="28">
        <f>Inputs!$D$24+(Inputs!$D$80-Inputs!$D$24)*Inputs!$D$86</f>
        <v>911</v>
      </c>
      <c r="H3690" s="28">
        <f>Inputs!$D$24+(Inputs!$D$80-Inputs!$D$24)*Inputs!$D$87</f>
        <v>911</v>
      </c>
      <c r="I3690" s="28">
        <f>Inputs!$D$24+(Inputs!$D$80-Inputs!$D$24)*Inputs!$D$88</f>
        <v>911</v>
      </c>
      <c r="J3690" s="28">
        <f>Inputs!$D$24+(Inputs!$D$80-Inputs!$D$24)*Inputs!$D$89</f>
        <v>911</v>
      </c>
      <c r="K3690" s="28">
        <f>Inputs!$D$24+(Inputs!$D$80-Inputs!$D$24)*Inputs!$D$90</f>
        <v>911</v>
      </c>
      <c r="L3690" s="28">
        <f>Inputs!$D$24+(Inputs!$D$80-Inputs!$D$24)*Inputs!$D$91</f>
        <v>911</v>
      </c>
      <c r="M3690" s="28">
        <f>Inputs!$D$24+(Inputs!$D$80-Inputs!$D$24)*Inputs!$D$92</f>
        <v>911</v>
      </c>
    </row>
    <row r="3691" spans="1:13" ht="15" customHeight="1" x14ac:dyDescent="0.2">
      <c r="A3691" s="91"/>
      <c r="B3691" s="10" t="s">
        <v>891</v>
      </c>
      <c r="C3691" s="10" t="s">
        <v>199</v>
      </c>
      <c r="D3691" s="28">
        <f>Inputs!$D$24</f>
        <v>46</v>
      </c>
      <c r="E3691" s="28">
        <f t="shared" ref="E3691:M3691" si="800">D3690</f>
        <v>305.5</v>
      </c>
      <c r="F3691" s="28">
        <f t="shared" si="800"/>
        <v>651.5</v>
      </c>
      <c r="G3691" s="28">
        <f t="shared" si="800"/>
        <v>911</v>
      </c>
      <c r="H3691" s="28">
        <f t="shared" si="800"/>
        <v>911</v>
      </c>
      <c r="I3691" s="28">
        <f t="shared" si="800"/>
        <v>911</v>
      </c>
      <c r="J3691" s="28">
        <f t="shared" si="800"/>
        <v>911</v>
      </c>
      <c r="K3691" s="28">
        <f t="shared" si="800"/>
        <v>911</v>
      </c>
      <c r="L3691" s="28">
        <f t="shared" si="800"/>
        <v>911</v>
      </c>
      <c r="M3691" s="28">
        <f t="shared" si="800"/>
        <v>911</v>
      </c>
    </row>
    <row r="3692" spans="1:13" ht="15" customHeight="1" x14ac:dyDescent="0.2">
      <c r="B3692" s="10" t="s">
        <v>892</v>
      </c>
      <c r="C3692" s="10" t="s">
        <v>199</v>
      </c>
      <c r="D3692" s="28">
        <f>(D3691+D3690)*Inputs!$D$12</f>
        <v>175.75</v>
      </c>
      <c r="E3692" s="28">
        <f>(E3691+E3690)*Inputs!$D$12</f>
        <v>478.5</v>
      </c>
      <c r="F3692" s="28">
        <f>(F3691+F3690)*Inputs!$D$12</f>
        <v>781.25</v>
      </c>
      <c r="G3692" s="28">
        <f>(G3691+G3690)*Inputs!$D$12</f>
        <v>911</v>
      </c>
      <c r="H3692" s="28">
        <f>(H3691+H3690)*Inputs!$D$12</f>
        <v>911</v>
      </c>
      <c r="I3692" s="28">
        <f>(I3691+I3690)*Inputs!$D$12</f>
        <v>911</v>
      </c>
      <c r="J3692" s="28">
        <f>(J3691+J3690)*Inputs!$D$12</f>
        <v>911</v>
      </c>
      <c r="K3692" s="28">
        <f>(K3691+K3690)*Inputs!$D$12</f>
        <v>911</v>
      </c>
      <c r="L3692" s="28">
        <f>(L3691+L3690)*Inputs!$D$12</f>
        <v>911</v>
      </c>
      <c r="M3692" s="28">
        <f>(M3691+M3690)*Inputs!$D$12</f>
        <v>911</v>
      </c>
    </row>
    <row r="3693" spans="1:13" ht="15" customHeight="1" x14ac:dyDescent="0.2">
      <c r="B3693" s="10" t="s">
        <v>893</v>
      </c>
      <c r="C3693" s="10" t="s">
        <v>199</v>
      </c>
      <c r="D3693" s="28">
        <f t="shared" ref="D3693:M3693" si="801">D3690-D3691</f>
        <v>259.5</v>
      </c>
      <c r="E3693" s="28">
        <f t="shared" si="801"/>
        <v>346</v>
      </c>
      <c r="F3693" s="28">
        <f t="shared" si="801"/>
        <v>259.5</v>
      </c>
      <c r="G3693" s="28">
        <f t="shared" si="801"/>
        <v>0</v>
      </c>
      <c r="H3693" s="28">
        <f t="shared" si="801"/>
        <v>0</v>
      </c>
      <c r="I3693" s="28">
        <f t="shared" si="801"/>
        <v>0</v>
      </c>
      <c r="J3693" s="28">
        <f t="shared" si="801"/>
        <v>0</v>
      </c>
      <c r="K3693" s="28">
        <f t="shared" si="801"/>
        <v>0</v>
      </c>
      <c r="L3693" s="28">
        <f t="shared" si="801"/>
        <v>0</v>
      </c>
      <c r="M3693" s="28">
        <f t="shared" si="801"/>
        <v>0</v>
      </c>
    </row>
    <row r="3694" spans="1:13" ht="15" customHeight="1" x14ac:dyDescent="0.2">
      <c r="B3694" s="10" t="s">
        <v>894</v>
      </c>
      <c r="C3694" s="10" t="s">
        <v>199</v>
      </c>
      <c r="D3694" s="28">
        <f>IF(MOD(D3686,Inputs!$D$21)=Inputs!$D$6,Inputs!$D$24,Inputs!$D$6)+SUMPRODUCT(--(D3686&gt;$D$3686:$M$3686),--(MOD(D3686-$D$3686:$M$3686,Inputs!$D$21)=Inputs!$D$6),$D$3693:$M$3693)</f>
        <v>0</v>
      </c>
      <c r="E3694" s="28">
        <f>IF(MOD(E3686,Inputs!$D$21)=Inputs!$D$6,Inputs!$D$24,Inputs!$D$6)+SUMPRODUCT(--(E3686&gt;$D$3686:$M$3686),--(MOD(E3686-$D$3686:$M$3686,Inputs!$D$21)=Inputs!$D$6),$D$3693:$M$3693)</f>
        <v>0</v>
      </c>
      <c r="F3694" s="28">
        <f>IF(MOD(F3686,Inputs!$D$21)=Inputs!$D$6,Inputs!$D$24,Inputs!$D$6)+SUMPRODUCT(--(F3686&gt;$D$3686:$M$3686),--(MOD(F3686-$D$3686:$M$3686,Inputs!$D$21)=Inputs!$D$6),$D$3693:$M$3693)</f>
        <v>0</v>
      </c>
      <c r="G3694" s="28">
        <f>IF(MOD(G3686,Inputs!$D$21)=Inputs!$D$6,Inputs!$D$24,Inputs!$D$6)+SUMPRODUCT(--(G3686&gt;$D$3686:$M$3686),--(MOD(G3686-$D$3686:$M$3686,Inputs!$D$21)=Inputs!$D$6),$D$3693:$M$3693)</f>
        <v>46</v>
      </c>
      <c r="H3694" s="28">
        <f>IF(MOD(H3686,Inputs!$D$21)=Inputs!$D$6,Inputs!$D$24,Inputs!$D$6)+SUMPRODUCT(--(H3686&gt;$D$3686:$M$3686),--(MOD(H3686-$D$3686:$M$3686,Inputs!$D$21)=Inputs!$D$6),$D$3693:$M$3693)</f>
        <v>259.5</v>
      </c>
      <c r="I3694" s="28">
        <f>IF(MOD(I3686,Inputs!$D$21)=Inputs!$D$6,Inputs!$D$24,Inputs!$D$6)+SUMPRODUCT(--(I3686&gt;$D$3686:$M$3686),--(MOD(I3686-$D$3686:$M$3686,Inputs!$D$21)=Inputs!$D$6),$D$3693:$M$3693)</f>
        <v>346</v>
      </c>
      <c r="J3694" s="28">
        <f>IF(MOD(J3686,Inputs!$D$21)=Inputs!$D$6,Inputs!$D$24,Inputs!$D$6)+SUMPRODUCT(--(J3686&gt;$D$3686:$M$3686),--(MOD(J3686-$D$3686:$M$3686,Inputs!$D$21)=Inputs!$D$6),$D$3693:$M$3693)</f>
        <v>259.5</v>
      </c>
      <c r="K3694" s="28">
        <f>IF(MOD(K3686,Inputs!$D$21)=Inputs!$D$6,Inputs!$D$24,Inputs!$D$6)+SUMPRODUCT(--(K3686&gt;$D$3686:$M$3686),--(MOD(K3686-$D$3686:$M$3686,Inputs!$D$21)=Inputs!$D$6),$D$3693:$M$3693)</f>
        <v>46</v>
      </c>
      <c r="L3694" s="28">
        <f>IF(MOD(L3686,Inputs!$D$21)=Inputs!$D$6,Inputs!$D$24,Inputs!$D$6)+SUMPRODUCT(--(L3686&gt;$D$3686:$M$3686),--(MOD(L3686-$D$3686:$M$3686,Inputs!$D$21)=Inputs!$D$6),$D$3693:$M$3693)</f>
        <v>259.5</v>
      </c>
      <c r="M3694" s="28">
        <f>IF(MOD(M3686,Inputs!$D$21)=Inputs!$D$6,Inputs!$D$24,Inputs!$D$6)+SUMPRODUCT(--(M3686&gt;$D$3686:$M$3686),--(MOD(M3686-$D$3686:$M$3686,Inputs!$D$21)=Inputs!$D$6),$D$3693:$M$3693)</f>
        <v>346</v>
      </c>
    </row>
    <row r="3695" spans="1:13" ht="15" customHeight="1" x14ac:dyDescent="0.2">
      <c r="B3695" s="10" t="s">
        <v>895</v>
      </c>
      <c r="C3695" s="10" t="s">
        <v>896</v>
      </c>
      <c r="D3695" s="28">
        <f t="shared" ref="D3695:M3695" si="802">D3692*D3689</f>
        <v>125.58726899383984</v>
      </c>
      <c r="E3695" s="28">
        <f t="shared" si="802"/>
        <v>478.5</v>
      </c>
      <c r="F3695" s="28">
        <f t="shared" si="802"/>
        <v>781.25</v>
      </c>
      <c r="G3695" s="28">
        <f t="shared" si="802"/>
        <v>911</v>
      </c>
      <c r="H3695" s="28">
        <f t="shared" si="802"/>
        <v>911</v>
      </c>
      <c r="I3695" s="28">
        <f t="shared" si="802"/>
        <v>911</v>
      </c>
      <c r="J3695" s="28">
        <f t="shared" si="802"/>
        <v>911</v>
      </c>
      <c r="K3695" s="28">
        <f t="shared" si="802"/>
        <v>911</v>
      </c>
      <c r="L3695" s="28">
        <f t="shared" si="802"/>
        <v>911</v>
      </c>
      <c r="M3695" s="28">
        <f t="shared" si="802"/>
        <v>911</v>
      </c>
    </row>
    <row r="3696" spans="1:13" ht="15" customHeight="1" x14ac:dyDescent="0.2">
      <c r="B3696" s="10" t="s">
        <v>897</v>
      </c>
      <c r="C3696" s="10" t="s">
        <v>110</v>
      </c>
      <c r="D3696" s="16">
        <f>D3695*($D$3715/Inputs!$D$21+$D$3716/Inputs!$D$22)</f>
        <v>1816.9772859324419</v>
      </c>
      <c r="E3696" s="16">
        <f>E3695*($D$3715/Inputs!$D$21+$D$3716/Inputs!$D$22)</f>
        <v>6922.8643817497086</v>
      </c>
      <c r="F3696" s="16">
        <f>F3695*($D$3715/Inputs!$D$21+$D$3716/Inputs!$D$22)</f>
        <v>11303.0048030135</v>
      </c>
      <c r="G3696" s="16">
        <f>G3695*($D$3715/Inputs!$D$21+$D$3716/Inputs!$D$22)</f>
        <v>13180.207840697982</v>
      </c>
      <c r="H3696" s="16">
        <f>H3695*($D$3715/Inputs!$D$21+$D$3716/Inputs!$D$22)</f>
        <v>13180.207840697982</v>
      </c>
      <c r="I3696" s="16">
        <f>I3695*($D$3715/Inputs!$D$21+$D$3716/Inputs!$D$22)</f>
        <v>13180.207840697982</v>
      </c>
      <c r="J3696" s="16">
        <f>J3695*($D$3715/Inputs!$D$21+$D$3716/Inputs!$D$22)</f>
        <v>13180.207840697982</v>
      </c>
      <c r="K3696" s="16">
        <f>K3695*($D$3715/Inputs!$D$21+$D$3716/Inputs!$D$22)</f>
        <v>13180.207840697982</v>
      </c>
      <c r="L3696" s="16">
        <f>L3695*($D$3715/Inputs!$D$21+$D$3716/Inputs!$D$22)</f>
        <v>13180.207840697982</v>
      </c>
      <c r="M3696" s="16">
        <f>M3695*($D$3715/Inputs!$D$21+$D$3716/Inputs!$D$22)</f>
        <v>13180.207840697982</v>
      </c>
    </row>
    <row r="3697" spans="2:13" ht="15" customHeight="1" x14ac:dyDescent="0.2">
      <c r="B3697" s="10" t="s">
        <v>898</v>
      </c>
      <c r="C3697" s="10" t="s">
        <v>110</v>
      </c>
      <c r="D3697" s="16">
        <f t="shared" ref="D3697:M3697" si="803">D3693*($D$3715+$D$3716)</f>
        <v>15560.968620146154</v>
      </c>
      <c r="E3697" s="16">
        <f t="shared" si="803"/>
        <v>20747.95816019487</v>
      </c>
      <c r="F3697" s="16">
        <f t="shared" si="803"/>
        <v>15560.968620146154</v>
      </c>
      <c r="G3697" s="16">
        <f t="shared" si="803"/>
        <v>0</v>
      </c>
      <c r="H3697" s="16">
        <f t="shared" si="803"/>
        <v>0</v>
      </c>
      <c r="I3697" s="16">
        <f t="shared" si="803"/>
        <v>0</v>
      </c>
      <c r="J3697" s="16">
        <f t="shared" si="803"/>
        <v>0</v>
      </c>
      <c r="K3697" s="16">
        <f t="shared" si="803"/>
        <v>0</v>
      </c>
      <c r="L3697" s="16">
        <f t="shared" si="803"/>
        <v>0</v>
      </c>
      <c r="M3697" s="16">
        <f t="shared" si="803"/>
        <v>0</v>
      </c>
    </row>
    <row r="3698" spans="2:13" ht="15" customHeight="1" x14ac:dyDescent="0.2">
      <c r="B3698" s="10" t="s">
        <v>899</v>
      </c>
      <c r="C3698" s="10" t="s">
        <v>110</v>
      </c>
      <c r="D3698" s="16">
        <f t="shared" ref="D3698:M3698" si="804">D3694*$D$3715</f>
        <v>0</v>
      </c>
      <c r="E3698" s="16">
        <f t="shared" si="804"/>
        <v>0</v>
      </c>
      <c r="F3698" s="16">
        <f t="shared" si="804"/>
        <v>0</v>
      </c>
      <c r="G3698" s="16">
        <f t="shared" si="804"/>
        <v>2638.0048485671714</v>
      </c>
      <c r="H3698" s="16">
        <f t="shared" si="804"/>
        <v>14881.788221808281</v>
      </c>
      <c r="I3698" s="16">
        <f t="shared" si="804"/>
        <v>19842.384295744378</v>
      </c>
      <c r="J3698" s="16">
        <f t="shared" si="804"/>
        <v>14881.788221808281</v>
      </c>
      <c r="K3698" s="16">
        <f t="shared" si="804"/>
        <v>2638.0048485671714</v>
      </c>
      <c r="L3698" s="16">
        <f t="shared" si="804"/>
        <v>14881.788221808281</v>
      </c>
      <c r="M3698" s="16">
        <f t="shared" si="804"/>
        <v>19842.384295744378</v>
      </c>
    </row>
    <row r="3699" spans="2:13" ht="15" customHeight="1" x14ac:dyDescent="0.2">
      <c r="B3699" s="10" t="s">
        <v>900</v>
      </c>
      <c r="C3699" s="10" t="s">
        <v>199</v>
      </c>
      <c r="D3699" s="28">
        <f>D3693*Inputs!$D$23</f>
        <v>6.4875000000000007</v>
      </c>
      <c r="E3699" s="28">
        <f>E3693*Inputs!$D$23</f>
        <v>8.65</v>
      </c>
      <c r="F3699" s="28">
        <f>F3693*Inputs!$D$23</f>
        <v>6.4875000000000007</v>
      </c>
      <c r="G3699" s="28">
        <f>G3693*Inputs!$D$23</f>
        <v>0</v>
      </c>
      <c r="H3699" s="28">
        <f>H3693*Inputs!$D$23</f>
        <v>0</v>
      </c>
      <c r="I3699" s="28">
        <f>I3693*Inputs!$D$23</f>
        <v>0</v>
      </c>
      <c r="J3699" s="28">
        <f>J3693*Inputs!$D$23</f>
        <v>0</v>
      </c>
      <c r="K3699" s="28">
        <f>K3693*Inputs!$D$23</f>
        <v>0</v>
      </c>
      <c r="L3699" s="28">
        <f>L3693*Inputs!$D$23</f>
        <v>0</v>
      </c>
      <c r="M3699" s="28">
        <f>M3693*Inputs!$D$23</f>
        <v>0</v>
      </c>
    </row>
    <row r="3700" spans="2:13" ht="15" customHeight="1" x14ac:dyDescent="0.2">
      <c r="B3700" s="3" t="s">
        <v>901</v>
      </c>
      <c r="C3700" s="10" t="s">
        <v>896</v>
      </c>
      <c r="D3700" s="28">
        <f>(D3695*$D$3713*(Inputs!$D$7-Inputs!$D$19)-D3699)/(Inputs!$D$7+$D$3714)^D3688</f>
        <v>43.783831198567135</v>
      </c>
      <c r="E3700" s="28">
        <f>(E3695*$D$3713*(Inputs!$D$7-Inputs!$D$19)-E3699)/(Inputs!$D$7+$D$3714)^E3688</f>
        <v>168.51871826429579</v>
      </c>
      <c r="F3700" s="28">
        <f>(F3695*$D$3713*(Inputs!$D$7-Inputs!$D$19)-F3699)/(Inputs!$D$7+$D$3714)^F3688</f>
        <v>260.96934562388475</v>
      </c>
      <c r="G3700" s="28">
        <f>(G3695*$D$3713*(Inputs!$D$7-Inputs!$D$19)-G3699)/(Inputs!$D$7+$D$3714)^G3688</f>
        <v>287.46806652281919</v>
      </c>
      <c r="H3700" s="28">
        <f>(H3695*$D$3713*(Inputs!$D$7-Inputs!$D$19)-H3699)/(Inputs!$D$7+$D$3714)^H3688</f>
        <v>266.1881572833488</v>
      </c>
      <c r="I3700" s="28">
        <f>(I3695*$D$3713*(Inputs!$D$7-Inputs!$D$19)-I3699)/(Inputs!$D$7+$D$3714)^I3688</f>
        <v>246.43156912674462</v>
      </c>
      <c r="J3700" s="28">
        <f>(J3695*$D$3713*(Inputs!$D$7-Inputs!$D$19)-J3699)/(Inputs!$D$7+$D$3714)^J3688</f>
        <v>228.18939882870521</v>
      </c>
      <c r="K3700" s="28">
        <f>(K3695*$D$3713*(Inputs!$D$7-Inputs!$D$19)-K3699)/(Inputs!$D$7+$D$3714)^K3688</f>
        <v>211.29761061994878</v>
      </c>
      <c r="L3700" s="28">
        <f>(L3695*$D$3713*(Inputs!$D$7-Inputs!$D$19)-L3699)/(Inputs!$D$7+$D$3714)^L3688</f>
        <v>195.65624206413901</v>
      </c>
      <c r="M3700" s="28">
        <f>(M3695*$D$3713*(Inputs!$D$7-Inputs!$D$19)-M3699)/(Inputs!$D$7+$D$3714)^M3688</f>
        <v>181.1345599796301</v>
      </c>
    </row>
    <row r="3701" spans="2:13" ht="15" customHeight="1" x14ac:dyDescent="0.2">
      <c r="B3701" s="10" t="s">
        <v>902</v>
      </c>
      <c r="C3701" s="10" t="s">
        <v>110</v>
      </c>
      <c r="D3701" s="16">
        <f>(D3696*Inputs!$D$19-D3697-D3698)/(Inputs!$D$7+$D$3714)^D3688</f>
        <v>-14212.377724210151</v>
      </c>
      <c r="E3701" s="16">
        <f>(E3696*Inputs!$D$19-E3697-E3698)/(Inputs!$D$7+$D$3714)^E3688</f>
        <v>-16360.387094728963</v>
      </c>
      <c r="F3701" s="16">
        <f>(F3696*Inputs!$D$19-F3697-F3698)/(Inputs!$D$7+$D$3714)^F3688</f>
        <v>-9874.5154652847668</v>
      </c>
      <c r="G3701" s="16">
        <f>(G3696*Inputs!$D$19-G3697-G3698)/(Inputs!$D$7+$D$3714)^G3688</f>
        <v>988.77347238742834</v>
      </c>
      <c r="H3701" s="16">
        <f>(H3696*Inputs!$D$19-H3697-H3698)/(Inputs!$D$7+$D$3714)^H3688</f>
        <v>-7602.4024163036647</v>
      </c>
      <c r="I3701" s="16">
        <f>(I3696*Inputs!$D$19-I3697-I3698)/(Inputs!$D$7+$D$3714)^I3688</f>
        <v>-10233.087939303265</v>
      </c>
      <c r="J3701" s="16">
        <f>(J3696*Inputs!$D$19-J3697-J3698)/(Inputs!$D$7+$D$3714)^J3688</f>
        <v>-6517.1480757635773</v>
      </c>
      <c r="K3701" s="16">
        <f>(K3696*Inputs!$D$19-K3697-K3698)/(Inputs!$D$7+$D$3714)^K3688</f>
        <v>726.77801985796941</v>
      </c>
      <c r="L3701" s="16">
        <f>(L3696*Inputs!$D$19-L3697-L3698)/(Inputs!$D$7+$D$3714)^L3688</f>
        <v>-5587.9927289550824</v>
      </c>
      <c r="M3701" s="16">
        <f>(M3696*Inputs!$D$19-M3697-M3698)/(Inputs!$D$7+$D$3714)^M3688</f>
        <v>-7521.6251216792398</v>
      </c>
    </row>
    <row r="3702" spans="2:13" ht="15" customHeight="1" x14ac:dyDescent="0.2">
      <c r="B3702" s="10" t="s">
        <v>903</v>
      </c>
      <c r="C3702" s="10" t="s">
        <v>110</v>
      </c>
      <c r="D3702" s="16">
        <f t="shared" ref="D3702:M3702" si="805">D3695*$D$3712</f>
        <v>4397.4516731905078</v>
      </c>
      <c r="E3702" s="16">
        <f t="shared" si="805"/>
        <v>16754.728743443491</v>
      </c>
      <c r="F3702" s="16">
        <f t="shared" si="805"/>
        <v>27355.552415496819</v>
      </c>
      <c r="G3702" s="16">
        <f t="shared" si="805"/>
        <v>31898.762560662533</v>
      </c>
      <c r="H3702" s="16">
        <f t="shared" si="805"/>
        <v>31898.762560662533</v>
      </c>
      <c r="I3702" s="16">
        <f t="shared" si="805"/>
        <v>31898.762560662533</v>
      </c>
      <c r="J3702" s="16">
        <f t="shared" si="805"/>
        <v>31898.762560662533</v>
      </c>
      <c r="K3702" s="16">
        <f t="shared" si="805"/>
        <v>31898.762560662533</v>
      </c>
      <c r="L3702" s="16">
        <f t="shared" si="805"/>
        <v>31898.762560662533</v>
      </c>
      <c r="M3702" s="16">
        <f t="shared" si="805"/>
        <v>31898.762560662533</v>
      </c>
    </row>
    <row r="3703" spans="2:13" ht="15" customHeight="1" x14ac:dyDescent="0.2">
      <c r="B3703" s="10" t="s">
        <v>904</v>
      </c>
      <c r="C3703" s="10" t="s">
        <v>110</v>
      </c>
      <c r="D3703" s="16">
        <f t="shared" ref="D3703:M3703" si="806">D3702*$D$3713</f>
        <v>2638.4710039143047</v>
      </c>
      <c r="E3703" s="16">
        <f t="shared" si="806"/>
        <v>10052.837246066094</v>
      </c>
      <c r="F3703" s="16">
        <f t="shared" si="806"/>
        <v>16413.33144929809</v>
      </c>
      <c r="G3703" s="16">
        <f t="shared" si="806"/>
        <v>19139.257536397519</v>
      </c>
      <c r="H3703" s="16">
        <f t="shared" si="806"/>
        <v>19139.257536397519</v>
      </c>
      <c r="I3703" s="16">
        <f t="shared" si="806"/>
        <v>19139.257536397519</v>
      </c>
      <c r="J3703" s="16">
        <f t="shared" si="806"/>
        <v>19139.257536397519</v>
      </c>
      <c r="K3703" s="16">
        <f t="shared" si="806"/>
        <v>19139.257536397519</v>
      </c>
      <c r="L3703" s="16">
        <f t="shared" si="806"/>
        <v>19139.257536397519</v>
      </c>
      <c r="M3703" s="16">
        <f t="shared" si="806"/>
        <v>19139.257536397519</v>
      </c>
    </row>
    <row r="3704" spans="2:13" ht="15" customHeight="1" x14ac:dyDescent="0.2">
      <c r="B3704" s="10" t="s">
        <v>905</v>
      </c>
      <c r="C3704" s="10" t="s">
        <v>110</v>
      </c>
      <c r="D3704" s="16">
        <f t="shared" ref="D3704:M3704" si="807">D3703-D3696</f>
        <v>821.4937179818628</v>
      </c>
      <c r="E3704" s="16">
        <f t="shared" si="807"/>
        <v>3129.9728643163853</v>
      </c>
      <c r="F3704" s="16">
        <f t="shared" si="807"/>
        <v>5110.3266462845895</v>
      </c>
      <c r="G3704" s="16">
        <f t="shared" si="807"/>
        <v>5959.0496956995376</v>
      </c>
      <c r="H3704" s="16">
        <f t="shared" si="807"/>
        <v>5959.0496956995376</v>
      </c>
      <c r="I3704" s="16">
        <f t="shared" si="807"/>
        <v>5959.0496956995376</v>
      </c>
      <c r="J3704" s="16">
        <f t="shared" si="807"/>
        <v>5959.0496956995376</v>
      </c>
      <c r="K3704" s="16">
        <f t="shared" si="807"/>
        <v>5959.0496956995376</v>
      </c>
      <c r="L3704" s="16">
        <f t="shared" si="807"/>
        <v>5959.0496956995376</v>
      </c>
      <c r="M3704" s="16">
        <f t="shared" si="807"/>
        <v>5959.0496956995376</v>
      </c>
    </row>
    <row r="3705" spans="2:13" ht="15" customHeight="1" x14ac:dyDescent="0.2">
      <c r="B3705" s="10" t="s">
        <v>906</v>
      </c>
      <c r="C3705" s="10" t="s">
        <v>110</v>
      </c>
      <c r="D3705" s="16">
        <f>MAX(D3704,Inputs!$D$6)*Inputs!$D$19</f>
        <v>246.44811539455884</v>
      </c>
      <c r="E3705" s="16">
        <f>MAX(E3704,Inputs!$D$6)*Inputs!$D$19</f>
        <v>938.99185929491557</v>
      </c>
      <c r="F3705" s="16">
        <f>MAX(F3704,Inputs!$D$6)*Inputs!$D$19</f>
        <v>1533.0979938853768</v>
      </c>
      <c r="G3705" s="16">
        <f>MAX(G3704,Inputs!$D$6)*Inputs!$D$19</f>
        <v>1787.7149087098612</v>
      </c>
      <c r="H3705" s="16">
        <f>MAX(H3704,Inputs!$D$6)*Inputs!$D$19</f>
        <v>1787.7149087098612</v>
      </c>
      <c r="I3705" s="16">
        <f>MAX(I3704,Inputs!$D$6)*Inputs!$D$19</f>
        <v>1787.7149087098612</v>
      </c>
      <c r="J3705" s="16">
        <f>MAX(J3704,Inputs!$D$6)*Inputs!$D$19</f>
        <v>1787.7149087098612</v>
      </c>
      <c r="K3705" s="16">
        <f>MAX(K3704,Inputs!$D$6)*Inputs!$D$19</f>
        <v>1787.7149087098612</v>
      </c>
      <c r="L3705" s="16">
        <f>MAX(L3704,Inputs!$D$6)*Inputs!$D$19</f>
        <v>1787.7149087098612</v>
      </c>
      <c r="M3705" s="16">
        <f>MAX(M3704,Inputs!$D$6)*Inputs!$D$19</f>
        <v>1787.7149087098612</v>
      </c>
    </row>
    <row r="3706" spans="2:13" ht="15" customHeight="1" x14ac:dyDescent="0.2">
      <c r="B3706" s="10" t="s">
        <v>907</v>
      </c>
      <c r="C3706" s="10" t="s">
        <v>110</v>
      </c>
      <c r="D3706" s="16">
        <f t="shared" ref="D3706:M3706" si="808">D3699*$D$3712</f>
        <v>227.16050725828561</v>
      </c>
      <c r="E3706" s="16">
        <f t="shared" si="808"/>
        <v>302.88067634438079</v>
      </c>
      <c r="F3706" s="16">
        <f t="shared" si="808"/>
        <v>227.16050725828561</v>
      </c>
      <c r="G3706" s="16">
        <f t="shared" si="808"/>
        <v>0</v>
      </c>
      <c r="H3706" s="16">
        <f t="shared" si="808"/>
        <v>0</v>
      </c>
      <c r="I3706" s="16">
        <f t="shared" si="808"/>
        <v>0</v>
      </c>
      <c r="J3706" s="16">
        <f t="shared" si="808"/>
        <v>0</v>
      </c>
      <c r="K3706" s="16">
        <f t="shared" si="808"/>
        <v>0</v>
      </c>
      <c r="L3706" s="16">
        <f t="shared" si="808"/>
        <v>0</v>
      </c>
      <c r="M3706" s="16">
        <f t="shared" si="808"/>
        <v>0</v>
      </c>
    </row>
    <row r="3707" spans="2:13" ht="15" customHeight="1" x14ac:dyDescent="0.2">
      <c r="B3707" s="10" t="s">
        <v>908</v>
      </c>
      <c r="C3707" s="10" t="s">
        <v>110</v>
      </c>
      <c r="D3707" s="16">
        <f t="shared" ref="D3707:M3707" si="809">D3703-D3705-D3697-D3698-D3706</f>
        <v>-13396.106238884695</v>
      </c>
      <c r="E3707" s="16">
        <f t="shared" si="809"/>
        <v>-11936.993449768073</v>
      </c>
      <c r="F3707" s="16">
        <f t="shared" si="809"/>
        <v>-907.89567199172552</v>
      </c>
      <c r="G3707" s="16">
        <f t="shared" si="809"/>
        <v>14713.537779120485</v>
      </c>
      <c r="H3707" s="16">
        <f t="shared" si="809"/>
        <v>2469.7544058793756</v>
      </c>
      <c r="I3707" s="16">
        <f t="shared" si="809"/>
        <v>-2490.8416680567207</v>
      </c>
      <c r="J3707" s="16">
        <f t="shared" si="809"/>
        <v>2469.7544058793756</v>
      </c>
      <c r="K3707" s="16">
        <f t="shared" si="809"/>
        <v>14713.537779120485</v>
      </c>
      <c r="L3707" s="16">
        <f t="shared" si="809"/>
        <v>2469.7544058793756</v>
      </c>
      <c r="M3707" s="16">
        <f t="shared" si="809"/>
        <v>-2490.8416680567207</v>
      </c>
    </row>
    <row r="3708" spans="2:13" ht="15" customHeight="1" x14ac:dyDescent="0.2">
      <c r="B3708" s="10" t="s">
        <v>909</v>
      </c>
      <c r="C3708" s="10" t="s">
        <v>110</v>
      </c>
      <c r="D3708" s="16">
        <f>D3707/(Inputs!$D$7+$D$3714)^D3688</f>
        <v>-12679.282185901458</v>
      </c>
      <c r="E3708" s="16">
        <f>E3707/(Inputs!$D$7+$D$3714)^E3688</f>
        <v>-10459.686127725721</v>
      </c>
      <c r="F3708" s="16">
        <f>F3707/(Inputs!$D$7+$D$3714)^F3688</f>
        <v>-736.64588057809726</v>
      </c>
      <c r="G3708" s="16">
        <f>G3707/(Inputs!$D$7+$D$3714)^G3688</f>
        <v>11054.498607166955</v>
      </c>
      <c r="H3708" s="16">
        <f>H3707/(Inputs!$D$7+$D$3714)^H3688</f>
        <v>1718.2044175512594</v>
      </c>
      <c r="I3708" s="16">
        <f>I3707/(Inputs!$D$7+$D$3714)^I3688</f>
        <v>-1604.2601555211322</v>
      </c>
      <c r="J3708" s="16">
        <f>J3707/(Inputs!$D$7+$D$3714)^J3688</f>
        <v>1472.9281614451954</v>
      </c>
      <c r="K3708" s="16">
        <f>K3707/(Inputs!$D$7+$D$3714)^K3688</f>
        <v>8125.3864839645239</v>
      </c>
      <c r="L3708" s="16">
        <f>L3707/(Inputs!$D$7+$D$3714)^L3688</f>
        <v>1262.9315401069177</v>
      </c>
      <c r="M3708" s="16">
        <f>M3707/(Inputs!$D$7+$D$3714)^M3688</f>
        <v>-1179.1791059599132</v>
      </c>
    </row>
    <row r="3709" spans="2:13" ht="15" customHeight="1" x14ac:dyDescent="0.2">
      <c r="B3709" s="3" t="s">
        <v>910</v>
      </c>
      <c r="C3709" s="10" t="s">
        <v>896</v>
      </c>
      <c r="D3709" s="28">
        <f>(D3695*$D$3713-D3699)/(Inputs!$D$7+$D$3714)^D3688</f>
        <v>65.179910846200087</v>
      </c>
      <c r="E3709" s="28">
        <f>(E3695*$D$3713-E3699)/(Inputs!$D$7+$D$3714)^E3688</f>
        <v>243.98937760343787</v>
      </c>
      <c r="F3709" s="28">
        <f>(F3695*$D$3713-F3699)/(Inputs!$D$7+$D$3714)^F3688</f>
        <v>375.06926938389034</v>
      </c>
      <c r="G3709" s="28">
        <f>(G3695*$D$3713-G3699)/(Inputs!$D$7+$D$3714)^G3688</f>
        <v>410.66866646117023</v>
      </c>
      <c r="H3709" s="28">
        <f>(H3695*$D$3713-H3699)/(Inputs!$D$7+$D$3714)^H3688</f>
        <v>380.26879611906975</v>
      </c>
      <c r="I3709" s="28">
        <f>(I3695*$D$3713-I3699)/(Inputs!$D$7+$D$3714)^I3688</f>
        <v>352.04509875249232</v>
      </c>
      <c r="J3709" s="28">
        <f>(J3695*$D$3713-J3699)/(Inputs!$D$7+$D$3714)^J3688</f>
        <v>325.98485546957886</v>
      </c>
      <c r="K3709" s="28">
        <f>(K3695*$D$3713-K3699)/(Inputs!$D$7+$D$3714)^K3688</f>
        <v>301.85372945706973</v>
      </c>
      <c r="L3709" s="28">
        <f>(L3695*$D$3713-L3699)/(Inputs!$D$7+$D$3714)^L3688</f>
        <v>279.50891723448427</v>
      </c>
      <c r="M3709" s="28">
        <f>(M3695*$D$3713-M3699)/(Inputs!$D$7+$D$3714)^M3688</f>
        <v>258.76365711375729</v>
      </c>
    </row>
    <row r="3710" spans="2:13" ht="15" customHeight="1" x14ac:dyDescent="0.2">
      <c r="B3710" s="10" t="s">
        <v>911</v>
      </c>
      <c r="C3710" s="10" t="s">
        <v>110</v>
      </c>
      <c r="D3710" s="16">
        <f>(-D3697-D3698)/(Inputs!$D$7+$D$3714)^D3688</f>
        <v>-14728.303038392241</v>
      </c>
      <c r="E3710" s="16">
        <f>(-E3697-E3698)/(Inputs!$D$7+$D$3714)^E3688</f>
        <v>-18180.216908055725</v>
      </c>
      <c r="F3710" s="16">
        <f>(-F3697-F3698)/(Inputs!$D$7+$D$3714)^F3688</f>
        <v>-12625.815702688111</v>
      </c>
      <c r="G3710" s="16">
        <f>(-G3697-G3698)/(Inputs!$D$7+$D$3714)^G3688</f>
        <v>-1981.9720696655354</v>
      </c>
      <c r="H3710" s="16">
        <f>(-H3697-H3698)/(Inputs!$D$7+$D$3714)^H3688</f>
        <v>-10353.237634844469</v>
      </c>
      <c r="I3710" s="16">
        <f>(-I3697-I3698)/(Inputs!$D$7+$D$3714)^I3688</f>
        <v>-12779.755102232404</v>
      </c>
      <c r="J3710" s="16">
        <f>(-J3697-J3698)/(Inputs!$D$7+$D$3714)^J3688</f>
        <v>-8875.2974434962562</v>
      </c>
      <c r="K3710" s="16">
        <f>(-K3697-K3698)/(Inputs!$D$7+$D$3714)^K3688</f>
        <v>-1456.8086386129401</v>
      </c>
      <c r="L3710" s="16">
        <f>(-L3697-L3698)/(Inputs!$D$7+$D$3714)^L3688</f>
        <v>-7609.9387347064285</v>
      </c>
      <c r="M3710" s="16">
        <f>(-M3697-M3698)/(Inputs!$D$7+$D$3714)^M3688</f>
        <v>-9393.5015115686074</v>
      </c>
    </row>
    <row r="3711" spans="2:13" ht="15" customHeight="1" x14ac:dyDescent="0.2">
      <c r="B3711" s="10" t="s">
        <v>912</v>
      </c>
      <c r="C3711" s="10" t="s">
        <v>110</v>
      </c>
      <c r="D3711" s="16">
        <f>Prices!I9</f>
        <v>21850</v>
      </c>
    </row>
    <row r="3712" spans="2:13" ht="15" customHeight="1" x14ac:dyDescent="0.2">
      <c r="B3712" s="3" t="s">
        <v>913</v>
      </c>
      <c r="C3712" s="10" t="s">
        <v>914</v>
      </c>
      <c r="D3712" s="28">
        <f>IF(J3719&gt;=J3715,J3719,(D3711-J3718)/J3717)</f>
        <v>35.01510709183593</v>
      </c>
      <c r="G3712" s="99" t="s">
        <v>915</v>
      </c>
      <c r="H3712" s="91"/>
      <c r="I3712" s="91"/>
      <c r="J3712" s="28">
        <f>D3712*Inputs!$D$15</f>
        <v>24.437043239392295</v>
      </c>
      <c r="K3712" s="99" t="s">
        <v>916</v>
      </c>
      <c r="L3712" s="91"/>
      <c r="M3712" s="91"/>
    </row>
    <row r="3713" spans="2:13" ht="15" customHeight="1" x14ac:dyDescent="0.2">
      <c r="B3713" s="10" t="s">
        <v>917</v>
      </c>
      <c r="C3713" s="10" t="s">
        <v>104</v>
      </c>
      <c r="D3713" s="30">
        <f>Inputs!$D$142</f>
        <v>0.6</v>
      </c>
      <c r="G3713" s="99" t="s">
        <v>918</v>
      </c>
      <c r="H3713" s="91"/>
      <c r="I3713" s="91"/>
      <c r="J3713" s="28">
        <f>IF(-D3724/D3723&gt;=J3715,-D3724/D3723,-J3718/J3717)</f>
        <v>31.013587942701196</v>
      </c>
      <c r="K3713" s="99" t="s">
        <v>919</v>
      </c>
      <c r="L3713" s="91"/>
      <c r="M3713" s="91"/>
    </row>
    <row r="3714" spans="2:13" ht="15" customHeight="1" x14ac:dyDescent="0.2">
      <c r="B3714" s="10" t="s">
        <v>920</v>
      </c>
      <c r="C3714" s="10" t="s">
        <v>104</v>
      </c>
      <c r="D3714" s="30">
        <f>Inputs!$D$146</f>
        <v>0.08</v>
      </c>
      <c r="G3714" s="99" t="s">
        <v>918</v>
      </c>
      <c r="H3714" s="91"/>
      <c r="I3714" s="91"/>
      <c r="J3714" s="28">
        <f>J3713*Inputs!$D$15</f>
        <v>21.644383025211162</v>
      </c>
      <c r="K3714" s="99" t="s">
        <v>916</v>
      </c>
      <c r="L3714" s="91"/>
      <c r="M3714" s="91"/>
    </row>
    <row r="3715" spans="2:13" ht="15" customHeight="1" x14ac:dyDescent="0.2">
      <c r="B3715" s="3" t="s">
        <v>921</v>
      </c>
      <c r="C3715" s="10" t="s">
        <v>848</v>
      </c>
      <c r="D3715" s="28">
        <f>Capital!$D$13</f>
        <v>57.347931490590682</v>
      </c>
      <c r="G3715" s="99" t="s">
        <v>922</v>
      </c>
      <c r="H3715" s="91"/>
      <c r="I3715" s="91"/>
      <c r="J3715" s="28">
        <f>($D$3715/Inputs!$D$21+$D$3716/Inputs!$D$22)/$D$3713</f>
        <v>24.113076913095469</v>
      </c>
      <c r="K3715" s="99" t="s">
        <v>919</v>
      </c>
      <c r="L3715" s="91"/>
      <c r="M3715" s="91"/>
    </row>
    <row r="3716" spans="2:13" ht="15" customHeight="1" x14ac:dyDescent="0.2">
      <c r="B3716" s="3" t="s">
        <v>923</v>
      </c>
      <c r="C3716" s="10" t="s">
        <v>848</v>
      </c>
      <c r="D3716" s="28">
        <f>Capital!$D$14</f>
        <v>2.6172655041921802</v>
      </c>
    </row>
    <row r="3717" spans="2:13" ht="15" customHeight="1" x14ac:dyDescent="0.2">
      <c r="B3717" s="10" t="s">
        <v>924</v>
      </c>
      <c r="C3717" s="10" t="s">
        <v>896</v>
      </c>
      <c r="D3717" s="28">
        <f>(M3690*(Inputs!$D$7+Inputs!$D$20)*$D$3713*(Inputs!$D$7-Inputs!$D$19)-M3690*Inputs!$D$20*Inputs!$D$23)/($D$3714-Inputs!$D$20)/(Inputs!$D$7+$D$3714)^M3688</f>
        <v>3370.7887000538294</v>
      </c>
      <c r="G3717" s="92" t="s">
        <v>910</v>
      </c>
      <c r="H3717" s="91"/>
      <c r="I3717" s="91"/>
      <c r="J3717" s="28">
        <f>SUM(D3709:M3709)+(M3690*(Inputs!$D$7+Inputs!$D$20)*$D$3713-M3690*Inputs!$D$20*Inputs!$D$23)/($D$3714-Inputs!$D$20)/(Inputs!$D$7+$D$3714)^M3688</f>
        <v>7810.8450614491685</v>
      </c>
      <c r="K3717" s="99" t="s">
        <v>896</v>
      </c>
      <c r="L3717" s="91"/>
      <c r="M3717" s="91"/>
    </row>
    <row r="3718" spans="2:13" ht="15" customHeight="1" x14ac:dyDescent="0.2">
      <c r="B3718" s="10" t="s">
        <v>925</v>
      </c>
      <c r="C3718" s="10" t="s">
        <v>110</v>
      </c>
      <c r="D3718" s="16">
        <f>(D3721*Inputs!$D$19-D3721-D3722)/($D$3714-Inputs!$D$20)/(Inputs!$D$7+$D$3714)^M3688</f>
        <v>-93153.423070883771</v>
      </c>
      <c r="G3718" s="92" t="s">
        <v>926</v>
      </c>
      <c r="H3718" s="91"/>
      <c r="I3718" s="91"/>
      <c r="J3718" s="16">
        <f>SUM(D3710:M3710)-(D3721+D3722)/($D$3714-Inputs!$D$20)/(Inputs!$D$7+$D$3714)^M3688</f>
        <v>-226023.23893944838</v>
      </c>
      <c r="K3718" s="99" t="s">
        <v>110</v>
      </c>
      <c r="L3718" s="91"/>
      <c r="M3718" s="91"/>
    </row>
    <row r="3719" spans="2:13" ht="15" customHeight="1" x14ac:dyDescent="0.2">
      <c r="B3719" s="10" t="s">
        <v>927</v>
      </c>
      <c r="C3719" s="10" t="s">
        <v>928</v>
      </c>
      <c r="D3719" s="16">
        <f>(M3690*(Inputs!$D$7+Inputs!$D$20)*$D$3712*$D$3713-D3721)-MAX((M3690*(Inputs!$D$7+Inputs!$D$20)*$D$3712*$D$3713-D3721),Inputs!$D$6)*Inputs!$D$19-D3722-M3690*Inputs!$D$20*$D$3712*Inputs!$D$23</f>
        <v>2889.9740685078223</v>
      </c>
      <c r="G3719" s="99" t="s">
        <v>929</v>
      </c>
      <c r="H3719" s="91"/>
      <c r="I3719" s="91"/>
      <c r="J3719" s="28">
        <f>(D3711-D3724)/D3723</f>
        <v>35.01510709183593</v>
      </c>
      <c r="K3719" s="99" t="s">
        <v>919</v>
      </c>
      <c r="L3719" s="91"/>
      <c r="M3719" s="91"/>
    </row>
    <row r="3720" spans="2:13" ht="15" customHeight="1" x14ac:dyDescent="0.2">
      <c r="B3720" s="10" t="s">
        <v>930</v>
      </c>
      <c r="C3720" s="10" t="s">
        <v>110</v>
      </c>
      <c r="D3720" s="16">
        <f>D3719/($D$3714-Inputs!$D$20)</f>
        <v>52544.983063778585</v>
      </c>
      <c r="G3720" s="99" t="s">
        <v>931</v>
      </c>
      <c r="H3720" s="91"/>
      <c r="I3720" s="91"/>
      <c r="J3720" s="16">
        <f>MIN(D3704:M3704,(M3690*(Inputs!$D$7+Inputs!$D$20)*$D$3712*$D$3713-D3721))</f>
        <v>821.4937179818628</v>
      </c>
      <c r="K3720" s="99" t="s">
        <v>110</v>
      </c>
      <c r="L3720" s="91"/>
      <c r="M3720" s="91"/>
    </row>
    <row r="3721" spans="2:13" ht="15" customHeight="1" x14ac:dyDescent="0.2">
      <c r="B3721" s="10" t="s">
        <v>932</v>
      </c>
      <c r="C3721" s="10" t="s">
        <v>928</v>
      </c>
      <c r="D3721" s="16">
        <f>M3690*(Inputs!$D$7+Inputs!$D$20)*($D$3715/Inputs!$D$21+$D$3716/Inputs!$D$22)</f>
        <v>13509.71303671543</v>
      </c>
      <c r="G3721" s="99" t="s">
        <v>933</v>
      </c>
      <c r="H3721" s="91"/>
      <c r="I3721" s="91"/>
      <c r="J3721" s="31" t="str">
        <f>IF(J3720&lt;Inputs!$D$6,"breached","satisfied")</f>
        <v>satisfied</v>
      </c>
      <c r="K3721" s="99" t="s">
        <v>934</v>
      </c>
      <c r="L3721" s="91"/>
      <c r="M3721" s="91"/>
    </row>
    <row r="3722" spans="2:13" ht="15" customHeight="1" x14ac:dyDescent="0.2">
      <c r="B3722" s="10" t="s">
        <v>935</v>
      </c>
      <c r="C3722" s="10" t="s">
        <v>928</v>
      </c>
      <c r="D3722" s="16">
        <f>M3690*Inputs!$D$20*($D$3715+$D$3716)</f>
        <v>1365.7073615561799</v>
      </c>
    </row>
    <row r="3723" spans="2:13" ht="15" customHeight="1" x14ac:dyDescent="0.2">
      <c r="B3723" s="10" t="s">
        <v>936</v>
      </c>
      <c r="C3723" s="10" t="s">
        <v>896</v>
      </c>
      <c r="D3723" s="28">
        <f>SUM(D3700:M3700)+D3717</f>
        <v>5460.4261995659126</v>
      </c>
      <c r="G3723" s="99" t="s">
        <v>937</v>
      </c>
      <c r="H3723" s="91"/>
      <c r="I3723" s="91"/>
      <c r="J3723" s="16">
        <f>D3725-D3711</f>
        <v>0</v>
      </c>
      <c r="K3723" s="99" t="s">
        <v>110</v>
      </c>
      <c r="L3723" s="91"/>
      <c r="M3723" s="91"/>
    </row>
    <row r="3724" spans="2:13" ht="15" customHeight="1" x14ac:dyDescent="0.2">
      <c r="B3724" s="10" t="s">
        <v>938</v>
      </c>
      <c r="C3724" s="10" t="s">
        <v>110</v>
      </c>
      <c r="D3724" s="16">
        <f>SUM(D3701:M3701)+D3718</f>
        <v>-169347.40814486711</v>
      </c>
    </row>
    <row r="3725" spans="2:13" ht="15" customHeight="1" x14ac:dyDescent="0.2">
      <c r="B3725" s="10" t="s">
        <v>939</v>
      </c>
      <c r="C3725" s="10" t="s">
        <v>110</v>
      </c>
      <c r="D3725" s="16">
        <f>SUM(D3708:M3708)+D3720/(Inputs!$D$7+$D$3714)^M3688</f>
        <v>21850.000000000022</v>
      </c>
    </row>
    <row r="3726" spans="2:13" ht="15" customHeight="1" x14ac:dyDescent="0.2">
      <c r="B3726" s="10" t="s">
        <v>940</v>
      </c>
      <c r="C3726" s="10" t="s">
        <v>104</v>
      </c>
      <c r="D3726" s="30">
        <f>IF(ABS(D3711)&gt;Inputs!$D$6,D3725/D3711-Inputs!$D$7,Inputs!$D$6)</f>
        <v>8.8817841970012523E-16</v>
      </c>
    </row>
    <row r="3727" spans="2:13" ht="15" customHeight="1" x14ac:dyDescent="0.2">
      <c r="B3727" s="10" t="s">
        <v>941</v>
      </c>
      <c r="C3727" s="10" t="s">
        <v>104</v>
      </c>
      <c r="D3727" s="30">
        <f>IF(ABS(D3725)&gt;Inputs!$D$119,D3720/(Inputs!$D$7+$D$3714)^M3688/D3725,Inputs!$D$6)</f>
        <v>1.1384487068856506</v>
      </c>
    </row>
    <row r="3728" spans="2:13" ht="15" customHeight="1" x14ac:dyDescent="0.2">
      <c r="B3728" s="10" t="s">
        <v>942</v>
      </c>
      <c r="C3728" s="10" t="s">
        <v>943</v>
      </c>
      <c r="D3728" s="26">
        <f>$D$3712*Inputs!$D$8/Prices!$P$6/(Inputs!$D$26/Inputs!$D$25)/Inputs!$D$11/Inputs!$D$56</f>
        <v>6.3676035838202081</v>
      </c>
    </row>
    <row r="3732" spans="1:13" ht="15" customHeight="1" x14ac:dyDescent="0.2">
      <c r="A3732" s="104" t="s">
        <v>2246</v>
      </c>
      <c r="B3732" s="10" t="s">
        <v>886</v>
      </c>
      <c r="C3732" s="10" t="s">
        <v>107</v>
      </c>
      <c r="D3732" s="28">
        <f>Inputs!$D$60</f>
        <v>1</v>
      </c>
      <c r="E3732" s="28">
        <f>Inputs!$D$62</f>
        <v>2</v>
      </c>
      <c r="F3732" s="28">
        <f>Inputs!$D$64</f>
        <v>3</v>
      </c>
      <c r="G3732" s="28">
        <f>Inputs!$D$66</f>
        <v>4</v>
      </c>
      <c r="H3732" s="28">
        <f>Inputs!$D$68</f>
        <v>5</v>
      </c>
      <c r="I3732" s="28">
        <f>Inputs!$D$70</f>
        <v>6</v>
      </c>
      <c r="J3732" s="28">
        <f>Inputs!$D$72</f>
        <v>7</v>
      </c>
      <c r="K3732" s="28">
        <f>Inputs!$D$74</f>
        <v>8</v>
      </c>
      <c r="L3732" s="28">
        <f>Inputs!$D$76</f>
        <v>9</v>
      </c>
      <c r="M3732" s="28">
        <f>Inputs!$D$78</f>
        <v>10</v>
      </c>
    </row>
    <row r="3733" spans="1:13" ht="15" customHeight="1" x14ac:dyDescent="0.2">
      <c r="A3733" s="91"/>
      <c r="B3733" s="10" t="s">
        <v>887</v>
      </c>
      <c r="C3733" s="10" t="s">
        <v>161</v>
      </c>
      <c r="D3733" s="29">
        <f>Inputs!$D$61</f>
        <v>46568</v>
      </c>
      <c r="E3733" s="29">
        <f>Inputs!$D$63</f>
        <v>46934</v>
      </c>
      <c r="F3733" s="29">
        <f>Inputs!$D$65</f>
        <v>47299</v>
      </c>
      <c r="G3733" s="29">
        <f>Inputs!$D$67</f>
        <v>47664</v>
      </c>
      <c r="H3733" s="29">
        <f>Inputs!$D$69</f>
        <v>48029</v>
      </c>
      <c r="I3733" s="29">
        <f>Inputs!$D$71</f>
        <v>48395</v>
      </c>
      <c r="J3733" s="29">
        <f>Inputs!$D$73</f>
        <v>48760</v>
      </c>
      <c r="K3733" s="29">
        <f>Inputs!$D$75</f>
        <v>49125</v>
      </c>
      <c r="L3733" s="29">
        <f>Inputs!$D$77</f>
        <v>49490</v>
      </c>
      <c r="M3733" s="29">
        <f>Inputs!$D$79</f>
        <v>49856</v>
      </c>
    </row>
    <row r="3734" spans="1:13" ht="15" customHeight="1" x14ac:dyDescent="0.2">
      <c r="A3734" s="91"/>
      <c r="B3734" s="10" t="s">
        <v>888</v>
      </c>
      <c r="C3734" s="10" t="s">
        <v>107</v>
      </c>
      <c r="D3734" s="28">
        <f>(D3733-Inputs!$D$13)/Inputs!$D$10</f>
        <v>0.71457905544147848</v>
      </c>
      <c r="E3734" s="28">
        <f>(E3733-Inputs!$D$13)/Inputs!$D$10</f>
        <v>1.7166324435318274</v>
      </c>
      <c r="F3734" s="28">
        <f>(F3733-Inputs!$D$13)/Inputs!$D$10</f>
        <v>2.7159479808350446</v>
      </c>
      <c r="G3734" s="28">
        <f>(G3733-Inputs!$D$13)/Inputs!$D$10</f>
        <v>3.7152635181382614</v>
      </c>
      <c r="H3734" s="28">
        <f>(H3733-Inputs!$D$13)/Inputs!$D$10</f>
        <v>4.7145790554414786</v>
      </c>
      <c r="I3734" s="28">
        <f>(I3733-Inputs!$D$13)/Inputs!$D$10</f>
        <v>5.7166324435318279</v>
      </c>
      <c r="J3734" s="28">
        <f>(J3733-Inputs!$D$13)/Inputs!$D$10</f>
        <v>6.7159479808350442</v>
      </c>
      <c r="K3734" s="28">
        <f>(K3733-Inputs!$D$13)/Inputs!$D$10</f>
        <v>7.7152635181382614</v>
      </c>
      <c r="L3734" s="28">
        <f>(L3733-Inputs!$D$13)/Inputs!$D$10</f>
        <v>8.7145790554414777</v>
      </c>
      <c r="M3734" s="28">
        <f>(M3733-Inputs!$D$13)/Inputs!$D$10</f>
        <v>9.716632443531827</v>
      </c>
    </row>
    <row r="3735" spans="1:13" ht="15" customHeight="1" x14ac:dyDescent="0.2">
      <c r="A3735" s="91"/>
      <c r="B3735" s="10" t="s">
        <v>889</v>
      </c>
      <c r="C3735" s="10" t="s">
        <v>107</v>
      </c>
      <c r="D3735" s="28">
        <f>D3734</f>
        <v>0.71457905544147848</v>
      </c>
      <c r="E3735" s="28">
        <f>Inputs!$D$7</f>
        <v>1</v>
      </c>
      <c r="F3735" s="28">
        <f>Inputs!$D$7</f>
        <v>1</v>
      </c>
      <c r="G3735" s="28">
        <f>Inputs!$D$7</f>
        <v>1</v>
      </c>
      <c r="H3735" s="28">
        <f>Inputs!$D$7</f>
        <v>1</v>
      </c>
      <c r="I3735" s="28">
        <f>Inputs!$D$7</f>
        <v>1</v>
      </c>
      <c r="J3735" s="28">
        <f>Inputs!$D$7</f>
        <v>1</v>
      </c>
      <c r="K3735" s="28">
        <f>Inputs!$D$7</f>
        <v>1</v>
      </c>
      <c r="L3735" s="28">
        <f>Inputs!$D$7</f>
        <v>1</v>
      </c>
      <c r="M3735" s="28">
        <f>Inputs!$D$7</f>
        <v>1</v>
      </c>
    </row>
    <row r="3736" spans="1:13" ht="15" customHeight="1" x14ac:dyDescent="0.2">
      <c r="A3736" s="91"/>
      <c r="B3736" s="3" t="s">
        <v>890</v>
      </c>
      <c r="C3736" s="10" t="s">
        <v>199</v>
      </c>
      <c r="D3736" s="28">
        <f>Inputs!$D$24+(Inputs!$D$80-Inputs!$D$24)*Inputs!$D$83</f>
        <v>305.5</v>
      </c>
      <c r="E3736" s="28">
        <f>Inputs!$D$24+(Inputs!$D$80-Inputs!$D$24)*Inputs!$D$84</f>
        <v>651.5</v>
      </c>
      <c r="F3736" s="28">
        <f>Inputs!$D$24+(Inputs!$D$80-Inputs!$D$24)*Inputs!$D$85</f>
        <v>911</v>
      </c>
      <c r="G3736" s="28">
        <f>Inputs!$D$24+(Inputs!$D$80-Inputs!$D$24)*Inputs!$D$86</f>
        <v>911</v>
      </c>
      <c r="H3736" s="28">
        <f>Inputs!$D$24+(Inputs!$D$80-Inputs!$D$24)*Inputs!$D$87</f>
        <v>911</v>
      </c>
      <c r="I3736" s="28">
        <f>Inputs!$D$24+(Inputs!$D$80-Inputs!$D$24)*Inputs!$D$88</f>
        <v>911</v>
      </c>
      <c r="J3736" s="28">
        <f>Inputs!$D$24+(Inputs!$D$80-Inputs!$D$24)*Inputs!$D$89</f>
        <v>911</v>
      </c>
      <c r="K3736" s="28">
        <f>Inputs!$D$24+(Inputs!$D$80-Inputs!$D$24)*Inputs!$D$90</f>
        <v>911</v>
      </c>
      <c r="L3736" s="28">
        <f>Inputs!$D$24+(Inputs!$D$80-Inputs!$D$24)*Inputs!$D$91</f>
        <v>911</v>
      </c>
      <c r="M3736" s="28">
        <f>Inputs!$D$24+(Inputs!$D$80-Inputs!$D$24)*Inputs!$D$92</f>
        <v>911</v>
      </c>
    </row>
    <row r="3737" spans="1:13" ht="15" customHeight="1" x14ac:dyDescent="0.2">
      <c r="A3737" s="91"/>
      <c r="B3737" s="10" t="s">
        <v>891</v>
      </c>
      <c r="C3737" s="10" t="s">
        <v>199</v>
      </c>
      <c r="D3737" s="28">
        <f>Inputs!$D$24</f>
        <v>46</v>
      </c>
      <c r="E3737" s="28">
        <f t="shared" ref="E3737:M3737" si="810">D3736</f>
        <v>305.5</v>
      </c>
      <c r="F3737" s="28">
        <f t="shared" si="810"/>
        <v>651.5</v>
      </c>
      <c r="G3737" s="28">
        <f t="shared" si="810"/>
        <v>911</v>
      </c>
      <c r="H3737" s="28">
        <f t="shared" si="810"/>
        <v>911</v>
      </c>
      <c r="I3737" s="28">
        <f t="shared" si="810"/>
        <v>911</v>
      </c>
      <c r="J3737" s="28">
        <f t="shared" si="810"/>
        <v>911</v>
      </c>
      <c r="K3737" s="28">
        <f t="shared" si="810"/>
        <v>911</v>
      </c>
      <c r="L3737" s="28">
        <f t="shared" si="810"/>
        <v>911</v>
      </c>
      <c r="M3737" s="28">
        <f t="shared" si="810"/>
        <v>911</v>
      </c>
    </row>
    <row r="3738" spans="1:13" ht="15" customHeight="1" x14ac:dyDescent="0.2">
      <c r="B3738" s="10" t="s">
        <v>892</v>
      </c>
      <c r="C3738" s="10" t="s">
        <v>199</v>
      </c>
      <c r="D3738" s="28">
        <f>(D3737+D3736)*Inputs!$D$12</f>
        <v>175.75</v>
      </c>
      <c r="E3738" s="28">
        <f>(E3737+E3736)*Inputs!$D$12</f>
        <v>478.5</v>
      </c>
      <c r="F3738" s="28">
        <f>(F3737+F3736)*Inputs!$D$12</f>
        <v>781.25</v>
      </c>
      <c r="G3738" s="28">
        <f>(G3737+G3736)*Inputs!$D$12</f>
        <v>911</v>
      </c>
      <c r="H3738" s="28">
        <f>(H3737+H3736)*Inputs!$D$12</f>
        <v>911</v>
      </c>
      <c r="I3738" s="28">
        <f>(I3737+I3736)*Inputs!$D$12</f>
        <v>911</v>
      </c>
      <c r="J3738" s="28">
        <f>(J3737+J3736)*Inputs!$D$12</f>
        <v>911</v>
      </c>
      <c r="K3738" s="28">
        <f>(K3737+K3736)*Inputs!$D$12</f>
        <v>911</v>
      </c>
      <c r="L3738" s="28">
        <f>(L3737+L3736)*Inputs!$D$12</f>
        <v>911</v>
      </c>
      <c r="M3738" s="28">
        <f>(M3737+M3736)*Inputs!$D$12</f>
        <v>911</v>
      </c>
    </row>
    <row r="3739" spans="1:13" ht="15" customHeight="1" x14ac:dyDescent="0.2">
      <c r="B3739" s="10" t="s">
        <v>893</v>
      </c>
      <c r="C3739" s="10" t="s">
        <v>199</v>
      </c>
      <c r="D3739" s="28">
        <f t="shared" ref="D3739:M3739" si="811">D3736-D3737</f>
        <v>259.5</v>
      </c>
      <c r="E3739" s="28">
        <f t="shared" si="811"/>
        <v>346</v>
      </c>
      <c r="F3739" s="28">
        <f t="shared" si="811"/>
        <v>259.5</v>
      </c>
      <c r="G3739" s="28">
        <f t="shared" si="811"/>
        <v>0</v>
      </c>
      <c r="H3739" s="28">
        <f t="shared" si="811"/>
        <v>0</v>
      </c>
      <c r="I3739" s="28">
        <f t="shared" si="811"/>
        <v>0</v>
      </c>
      <c r="J3739" s="28">
        <f t="shared" si="811"/>
        <v>0</v>
      </c>
      <c r="K3739" s="28">
        <f t="shared" si="811"/>
        <v>0</v>
      </c>
      <c r="L3739" s="28">
        <f t="shared" si="811"/>
        <v>0</v>
      </c>
      <c r="M3739" s="28">
        <f t="shared" si="811"/>
        <v>0</v>
      </c>
    </row>
    <row r="3740" spans="1:13" ht="15" customHeight="1" x14ac:dyDescent="0.2">
      <c r="B3740" s="10" t="s">
        <v>894</v>
      </c>
      <c r="C3740" s="10" t="s">
        <v>199</v>
      </c>
      <c r="D3740" s="28">
        <f>IF(MOD(D3732,Inputs!$D$21)=Inputs!$D$6,Inputs!$D$24,Inputs!$D$6)+SUMPRODUCT(--(D3732&gt;$D$3732:$M$3732),--(MOD(D3732-$D$3732:$M$3732,Inputs!$D$21)=Inputs!$D$6),$D$3739:$M$3739)</f>
        <v>0</v>
      </c>
      <c r="E3740" s="28">
        <f>IF(MOD(E3732,Inputs!$D$21)=Inputs!$D$6,Inputs!$D$24,Inputs!$D$6)+SUMPRODUCT(--(E3732&gt;$D$3732:$M$3732),--(MOD(E3732-$D$3732:$M$3732,Inputs!$D$21)=Inputs!$D$6),$D$3739:$M$3739)</f>
        <v>0</v>
      </c>
      <c r="F3740" s="28">
        <f>IF(MOD(F3732,Inputs!$D$21)=Inputs!$D$6,Inputs!$D$24,Inputs!$D$6)+SUMPRODUCT(--(F3732&gt;$D$3732:$M$3732),--(MOD(F3732-$D$3732:$M$3732,Inputs!$D$21)=Inputs!$D$6),$D$3739:$M$3739)</f>
        <v>0</v>
      </c>
      <c r="G3740" s="28">
        <f>IF(MOD(G3732,Inputs!$D$21)=Inputs!$D$6,Inputs!$D$24,Inputs!$D$6)+SUMPRODUCT(--(G3732&gt;$D$3732:$M$3732),--(MOD(G3732-$D$3732:$M$3732,Inputs!$D$21)=Inputs!$D$6),$D$3739:$M$3739)</f>
        <v>46</v>
      </c>
      <c r="H3740" s="28">
        <f>IF(MOD(H3732,Inputs!$D$21)=Inputs!$D$6,Inputs!$D$24,Inputs!$D$6)+SUMPRODUCT(--(H3732&gt;$D$3732:$M$3732),--(MOD(H3732-$D$3732:$M$3732,Inputs!$D$21)=Inputs!$D$6),$D$3739:$M$3739)</f>
        <v>259.5</v>
      </c>
      <c r="I3740" s="28">
        <f>IF(MOD(I3732,Inputs!$D$21)=Inputs!$D$6,Inputs!$D$24,Inputs!$D$6)+SUMPRODUCT(--(I3732&gt;$D$3732:$M$3732),--(MOD(I3732-$D$3732:$M$3732,Inputs!$D$21)=Inputs!$D$6),$D$3739:$M$3739)</f>
        <v>346</v>
      </c>
      <c r="J3740" s="28">
        <f>IF(MOD(J3732,Inputs!$D$21)=Inputs!$D$6,Inputs!$D$24,Inputs!$D$6)+SUMPRODUCT(--(J3732&gt;$D$3732:$M$3732),--(MOD(J3732-$D$3732:$M$3732,Inputs!$D$21)=Inputs!$D$6),$D$3739:$M$3739)</f>
        <v>259.5</v>
      </c>
      <c r="K3740" s="28">
        <f>IF(MOD(K3732,Inputs!$D$21)=Inputs!$D$6,Inputs!$D$24,Inputs!$D$6)+SUMPRODUCT(--(K3732&gt;$D$3732:$M$3732),--(MOD(K3732-$D$3732:$M$3732,Inputs!$D$21)=Inputs!$D$6),$D$3739:$M$3739)</f>
        <v>46</v>
      </c>
      <c r="L3740" s="28">
        <f>IF(MOD(L3732,Inputs!$D$21)=Inputs!$D$6,Inputs!$D$24,Inputs!$D$6)+SUMPRODUCT(--(L3732&gt;$D$3732:$M$3732),--(MOD(L3732-$D$3732:$M$3732,Inputs!$D$21)=Inputs!$D$6),$D$3739:$M$3739)</f>
        <v>259.5</v>
      </c>
      <c r="M3740" s="28">
        <f>IF(MOD(M3732,Inputs!$D$21)=Inputs!$D$6,Inputs!$D$24,Inputs!$D$6)+SUMPRODUCT(--(M3732&gt;$D$3732:$M$3732),--(MOD(M3732-$D$3732:$M$3732,Inputs!$D$21)=Inputs!$D$6),$D$3739:$M$3739)</f>
        <v>346</v>
      </c>
    </row>
    <row r="3741" spans="1:13" ht="15" customHeight="1" x14ac:dyDescent="0.2">
      <c r="B3741" s="10" t="s">
        <v>895</v>
      </c>
      <c r="C3741" s="10" t="s">
        <v>896</v>
      </c>
      <c r="D3741" s="28">
        <f t="shared" ref="D3741:M3741" si="812">D3738*D3735</f>
        <v>125.58726899383984</v>
      </c>
      <c r="E3741" s="28">
        <f t="shared" si="812"/>
        <v>478.5</v>
      </c>
      <c r="F3741" s="28">
        <f t="shared" si="812"/>
        <v>781.25</v>
      </c>
      <c r="G3741" s="28">
        <f t="shared" si="812"/>
        <v>911</v>
      </c>
      <c r="H3741" s="28">
        <f t="shared" si="812"/>
        <v>911</v>
      </c>
      <c r="I3741" s="28">
        <f t="shared" si="812"/>
        <v>911</v>
      </c>
      <c r="J3741" s="28">
        <f t="shared" si="812"/>
        <v>911</v>
      </c>
      <c r="K3741" s="28">
        <f t="shared" si="812"/>
        <v>911</v>
      </c>
      <c r="L3741" s="28">
        <f t="shared" si="812"/>
        <v>911</v>
      </c>
      <c r="M3741" s="28">
        <f t="shared" si="812"/>
        <v>911</v>
      </c>
    </row>
    <row r="3742" spans="1:13" ht="15" customHeight="1" x14ac:dyDescent="0.2">
      <c r="B3742" s="10" t="s">
        <v>897</v>
      </c>
      <c r="C3742" s="10" t="s">
        <v>110</v>
      </c>
      <c r="D3742" s="16">
        <f>D3741*($D$3761/Inputs!$D$21+$D$3762/Inputs!$D$22)</f>
        <v>1816.9772859324419</v>
      </c>
      <c r="E3742" s="16">
        <f>E3741*($D$3761/Inputs!$D$21+$D$3762/Inputs!$D$22)</f>
        <v>6922.8643817497086</v>
      </c>
      <c r="F3742" s="16">
        <f>F3741*($D$3761/Inputs!$D$21+$D$3762/Inputs!$D$22)</f>
        <v>11303.0048030135</v>
      </c>
      <c r="G3742" s="16">
        <f>G3741*($D$3761/Inputs!$D$21+$D$3762/Inputs!$D$22)</f>
        <v>13180.207840697982</v>
      </c>
      <c r="H3742" s="16">
        <f>H3741*($D$3761/Inputs!$D$21+$D$3762/Inputs!$D$22)</f>
        <v>13180.207840697982</v>
      </c>
      <c r="I3742" s="16">
        <f>I3741*($D$3761/Inputs!$D$21+$D$3762/Inputs!$D$22)</f>
        <v>13180.207840697982</v>
      </c>
      <c r="J3742" s="16">
        <f>J3741*($D$3761/Inputs!$D$21+$D$3762/Inputs!$D$22)</f>
        <v>13180.207840697982</v>
      </c>
      <c r="K3742" s="16">
        <f>K3741*($D$3761/Inputs!$D$21+$D$3762/Inputs!$D$22)</f>
        <v>13180.207840697982</v>
      </c>
      <c r="L3742" s="16">
        <f>L3741*($D$3761/Inputs!$D$21+$D$3762/Inputs!$D$22)</f>
        <v>13180.207840697982</v>
      </c>
      <c r="M3742" s="16">
        <f>M3741*($D$3761/Inputs!$D$21+$D$3762/Inputs!$D$22)</f>
        <v>13180.207840697982</v>
      </c>
    </row>
    <row r="3743" spans="1:13" ht="15" customHeight="1" x14ac:dyDescent="0.2">
      <c r="B3743" s="10" t="s">
        <v>898</v>
      </c>
      <c r="C3743" s="10" t="s">
        <v>110</v>
      </c>
      <c r="D3743" s="16">
        <f t="shared" ref="D3743:M3743" si="813">D3739*($D$3761+$D$3762)</f>
        <v>15560.968620146154</v>
      </c>
      <c r="E3743" s="16">
        <f t="shared" si="813"/>
        <v>20747.95816019487</v>
      </c>
      <c r="F3743" s="16">
        <f t="shared" si="813"/>
        <v>15560.968620146154</v>
      </c>
      <c r="G3743" s="16">
        <f t="shared" si="813"/>
        <v>0</v>
      </c>
      <c r="H3743" s="16">
        <f t="shared" si="813"/>
        <v>0</v>
      </c>
      <c r="I3743" s="16">
        <f t="shared" si="813"/>
        <v>0</v>
      </c>
      <c r="J3743" s="16">
        <f t="shared" si="813"/>
        <v>0</v>
      </c>
      <c r="K3743" s="16">
        <f t="shared" si="813"/>
        <v>0</v>
      </c>
      <c r="L3743" s="16">
        <f t="shared" si="813"/>
        <v>0</v>
      </c>
      <c r="M3743" s="16">
        <f t="shared" si="813"/>
        <v>0</v>
      </c>
    </row>
    <row r="3744" spans="1:13" ht="15" customHeight="1" x14ac:dyDescent="0.2">
      <c r="B3744" s="10" t="s">
        <v>899</v>
      </c>
      <c r="C3744" s="10" t="s">
        <v>110</v>
      </c>
      <c r="D3744" s="16">
        <f t="shared" ref="D3744:M3744" si="814">D3740*$D$3761</f>
        <v>0</v>
      </c>
      <c r="E3744" s="16">
        <f t="shared" si="814"/>
        <v>0</v>
      </c>
      <c r="F3744" s="16">
        <f t="shared" si="814"/>
        <v>0</v>
      </c>
      <c r="G3744" s="16">
        <f t="shared" si="814"/>
        <v>2638.0048485671714</v>
      </c>
      <c r="H3744" s="16">
        <f t="shared" si="814"/>
        <v>14881.788221808281</v>
      </c>
      <c r="I3744" s="16">
        <f t="shared" si="814"/>
        <v>19842.384295744378</v>
      </c>
      <c r="J3744" s="16">
        <f t="shared" si="814"/>
        <v>14881.788221808281</v>
      </c>
      <c r="K3744" s="16">
        <f t="shared" si="814"/>
        <v>2638.0048485671714</v>
      </c>
      <c r="L3744" s="16">
        <f t="shared" si="814"/>
        <v>14881.788221808281</v>
      </c>
      <c r="M3744" s="16">
        <f t="shared" si="814"/>
        <v>19842.384295744378</v>
      </c>
    </row>
    <row r="3745" spans="2:13" ht="15" customHeight="1" x14ac:dyDescent="0.2">
      <c r="B3745" s="10" t="s">
        <v>900</v>
      </c>
      <c r="C3745" s="10" t="s">
        <v>199</v>
      </c>
      <c r="D3745" s="28">
        <f>D3739*Inputs!$D$23</f>
        <v>6.4875000000000007</v>
      </c>
      <c r="E3745" s="28">
        <f>E3739*Inputs!$D$23</f>
        <v>8.65</v>
      </c>
      <c r="F3745" s="28">
        <f>F3739*Inputs!$D$23</f>
        <v>6.4875000000000007</v>
      </c>
      <c r="G3745" s="28">
        <f>G3739*Inputs!$D$23</f>
        <v>0</v>
      </c>
      <c r="H3745" s="28">
        <f>H3739*Inputs!$D$23</f>
        <v>0</v>
      </c>
      <c r="I3745" s="28">
        <f>I3739*Inputs!$D$23</f>
        <v>0</v>
      </c>
      <c r="J3745" s="28">
        <f>J3739*Inputs!$D$23</f>
        <v>0</v>
      </c>
      <c r="K3745" s="28">
        <f>K3739*Inputs!$D$23</f>
        <v>0</v>
      </c>
      <c r="L3745" s="28">
        <f>L3739*Inputs!$D$23</f>
        <v>0</v>
      </c>
      <c r="M3745" s="28">
        <f>M3739*Inputs!$D$23</f>
        <v>0</v>
      </c>
    </row>
    <row r="3746" spans="2:13" ht="15" customHeight="1" x14ac:dyDescent="0.2">
      <c r="B3746" s="3" t="s">
        <v>901</v>
      </c>
      <c r="C3746" s="10" t="s">
        <v>896</v>
      </c>
      <c r="D3746" s="28">
        <f>(D3741*$D$3759*(Inputs!$D$7-Inputs!$D$19)-D3745)/(Inputs!$D$7+$D$3760)^D3734</f>
        <v>43.213488846686175</v>
      </c>
      <c r="E3746" s="28">
        <f>(E3741*$D$3759*(Inputs!$D$7-Inputs!$D$19)-E3745)/(Inputs!$D$7+$D$3760)^E3734</f>
        <v>163.29332190458183</v>
      </c>
      <c r="F3746" s="28">
        <f>(F3741*$D$3759*(Inputs!$D$7-Inputs!$D$19)-F3745)/(Inputs!$D$7+$D$3760)^F3734</f>
        <v>248.28260771010829</v>
      </c>
      <c r="G3746" s="28">
        <f>(G3741*$D$3759*(Inputs!$D$7-Inputs!$D$19)-G3745)/(Inputs!$D$7+$D$3760)^G3734</f>
        <v>268.5238926419492</v>
      </c>
      <c r="H3746" s="28">
        <f>(H3741*$D$3759*(Inputs!$D$7-Inputs!$D$19)-H3745)/(Inputs!$D$7+$D$3760)^H3734</f>
        <v>244.12855518959191</v>
      </c>
      <c r="I3746" s="28">
        <f>(I3741*$D$3759*(Inputs!$D$7-Inputs!$D$19)-I3745)/(Inputs!$D$7+$D$3760)^I3734</f>
        <v>221.8916197826434</v>
      </c>
      <c r="J3746" s="28">
        <f>(J3741*$D$3759*(Inputs!$D$7-Inputs!$D$19)-J3745)/(Inputs!$D$7+$D$3760)^J3734</f>
        <v>201.73281421346593</v>
      </c>
      <c r="K3746" s="28">
        <f>(K3741*$D$3759*(Inputs!$D$7-Inputs!$D$19)-K3745)/(Inputs!$D$7+$D$3760)^K3734</f>
        <v>183.40543176145695</v>
      </c>
      <c r="L3746" s="28">
        <f>(L3741*$D$3759*(Inputs!$D$7-Inputs!$D$19)-L3745)/(Inputs!$D$7+$D$3760)^L3734</f>
        <v>166.74308803332551</v>
      </c>
      <c r="M3746" s="28">
        <f>(M3741*$D$3759*(Inputs!$D$7-Inputs!$D$19)-M3745)/(Inputs!$D$7+$D$3760)^M3734</f>
        <v>151.55496194429571</v>
      </c>
    </row>
    <row r="3747" spans="2:13" ht="15" customHeight="1" x14ac:dyDescent="0.2">
      <c r="B3747" s="10" t="s">
        <v>902</v>
      </c>
      <c r="C3747" s="10" t="s">
        <v>110</v>
      </c>
      <c r="D3747" s="16">
        <f>(D3742*Inputs!$D$19-D3743-D3744)/(Inputs!$D$7+$D$3760)^D3734</f>
        <v>-14027.24269342025</v>
      </c>
      <c r="E3747" s="16">
        <f>(E3742*Inputs!$D$19-E3743-E3744)/(Inputs!$D$7+$D$3760)^E3734</f>
        <v>-15853.087323826181</v>
      </c>
      <c r="F3747" s="16">
        <f>(F3742*Inputs!$D$19-F3743-F3744)/(Inputs!$D$7+$D$3760)^F3734</f>
        <v>-9394.4767487293357</v>
      </c>
      <c r="G3747" s="16">
        <f>(G3742*Inputs!$D$19-G3743-G3744)/(Inputs!$D$7+$D$3760)^G3734</f>
        <v>923.61320322684639</v>
      </c>
      <c r="H3747" s="16">
        <f>(H3742*Inputs!$D$19-H3743-H3744)/(Inputs!$D$7+$D$3760)^H3734</f>
        <v>-6972.3744918015345</v>
      </c>
      <c r="I3747" s="16">
        <f>(I3742*Inputs!$D$19-I3743-I3744)/(Inputs!$D$7+$D$3760)^I3734</f>
        <v>-9214.0648467907959</v>
      </c>
      <c r="J3747" s="16">
        <f>(J3742*Inputs!$D$19-J3743-J3744)/(Inputs!$D$7+$D$3760)^J3734</f>
        <v>-5761.5411965591911</v>
      </c>
      <c r="K3747" s="16">
        <f>(K3742*Inputs!$D$19-K3743-K3744)/(Inputs!$D$7+$D$3760)^K3734</f>
        <v>630.8402453567694</v>
      </c>
      <c r="L3747" s="16">
        <f>(L3742*Inputs!$D$19-L3743-L3744)/(Inputs!$D$7+$D$3760)^L3734</f>
        <v>-4762.2255937446444</v>
      </c>
      <c r="M3747" s="16">
        <f>(M3742*Inputs!$D$19-M3743-M3744)/(Inputs!$D$7+$D$3760)^M3734</f>
        <v>-6293.3302689644106</v>
      </c>
    </row>
    <row r="3748" spans="2:13" ht="15" customHeight="1" x14ac:dyDescent="0.2">
      <c r="B3748" s="10" t="s">
        <v>903</v>
      </c>
      <c r="C3748" s="10" t="s">
        <v>110</v>
      </c>
      <c r="D3748" s="16">
        <f t="shared" ref="D3748:M3748" si="815">D3741*$D$3758</f>
        <v>4747.3420727733492</v>
      </c>
      <c r="E3748" s="16">
        <f t="shared" si="815"/>
        <v>18087.846005580963</v>
      </c>
      <c r="F3748" s="16">
        <f t="shared" si="815"/>
        <v>29532.141466792324</v>
      </c>
      <c r="G3748" s="16">
        <f t="shared" si="815"/>
        <v>34436.83952159719</v>
      </c>
      <c r="H3748" s="16">
        <f t="shared" si="815"/>
        <v>34436.83952159719</v>
      </c>
      <c r="I3748" s="16">
        <f t="shared" si="815"/>
        <v>34436.83952159719</v>
      </c>
      <c r="J3748" s="16">
        <f t="shared" si="815"/>
        <v>34436.83952159719</v>
      </c>
      <c r="K3748" s="16">
        <f t="shared" si="815"/>
        <v>34436.83952159719</v>
      </c>
      <c r="L3748" s="16">
        <f t="shared" si="815"/>
        <v>34436.83952159719</v>
      </c>
      <c r="M3748" s="16">
        <f t="shared" si="815"/>
        <v>34436.83952159719</v>
      </c>
    </row>
    <row r="3749" spans="2:13" ht="15" customHeight="1" x14ac:dyDescent="0.2">
      <c r="B3749" s="10" t="s">
        <v>904</v>
      </c>
      <c r="C3749" s="10" t="s">
        <v>110</v>
      </c>
      <c r="D3749" s="16">
        <f t="shared" ref="D3749:M3749" si="816">D3748*$D$3759</f>
        <v>2848.4052436640095</v>
      </c>
      <c r="E3749" s="16">
        <f t="shared" si="816"/>
        <v>10852.707603348577</v>
      </c>
      <c r="F3749" s="16">
        <f t="shared" si="816"/>
        <v>17719.284880075393</v>
      </c>
      <c r="G3749" s="16">
        <f t="shared" si="816"/>
        <v>20662.103712958313</v>
      </c>
      <c r="H3749" s="16">
        <f t="shared" si="816"/>
        <v>20662.103712958313</v>
      </c>
      <c r="I3749" s="16">
        <f t="shared" si="816"/>
        <v>20662.103712958313</v>
      </c>
      <c r="J3749" s="16">
        <f t="shared" si="816"/>
        <v>20662.103712958313</v>
      </c>
      <c r="K3749" s="16">
        <f t="shared" si="816"/>
        <v>20662.103712958313</v>
      </c>
      <c r="L3749" s="16">
        <f t="shared" si="816"/>
        <v>20662.103712958313</v>
      </c>
      <c r="M3749" s="16">
        <f t="shared" si="816"/>
        <v>20662.103712958313</v>
      </c>
    </row>
    <row r="3750" spans="2:13" ht="15" customHeight="1" x14ac:dyDescent="0.2">
      <c r="B3750" s="10" t="s">
        <v>905</v>
      </c>
      <c r="C3750" s="10" t="s">
        <v>110</v>
      </c>
      <c r="D3750" s="16">
        <f t="shared" ref="D3750:M3750" si="817">D3749-D3742</f>
        <v>1031.4279577315676</v>
      </c>
      <c r="E3750" s="16">
        <f t="shared" si="817"/>
        <v>3929.8432215988687</v>
      </c>
      <c r="F3750" s="16">
        <f t="shared" si="817"/>
        <v>6416.2800770618924</v>
      </c>
      <c r="G3750" s="16">
        <f t="shared" si="817"/>
        <v>7481.8958722603311</v>
      </c>
      <c r="H3750" s="16">
        <f t="shared" si="817"/>
        <v>7481.8958722603311</v>
      </c>
      <c r="I3750" s="16">
        <f t="shared" si="817"/>
        <v>7481.8958722603311</v>
      </c>
      <c r="J3750" s="16">
        <f t="shared" si="817"/>
        <v>7481.8958722603311</v>
      </c>
      <c r="K3750" s="16">
        <f t="shared" si="817"/>
        <v>7481.8958722603311</v>
      </c>
      <c r="L3750" s="16">
        <f t="shared" si="817"/>
        <v>7481.8958722603311</v>
      </c>
      <c r="M3750" s="16">
        <f t="shared" si="817"/>
        <v>7481.8958722603311</v>
      </c>
    </row>
    <row r="3751" spans="2:13" ht="15" customHeight="1" x14ac:dyDescent="0.2">
      <c r="B3751" s="10" t="s">
        <v>906</v>
      </c>
      <c r="C3751" s="10" t="s">
        <v>110</v>
      </c>
      <c r="D3751" s="16">
        <f>MAX(D3750,Inputs!$D$6)*Inputs!$D$19</f>
        <v>309.42838731947029</v>
      </c>
      <c r="E3751" s="16">
        <f>MAX(E3750,Inputs!$D$6)*Inputs!$D$19</f>
        <v>1178.9529664796605</v>
      </c>
      <c r="F3751" s="16">
        <f>MAX(F3750,Inputs!$D$6)*Inputs!$D$19</f>
        <v>1924.8840231185677</v>
      </c>
      <c r="G3751" s="16">
        <f>MAX(G3750,Inputs!$D$6)*Inputs!$D$19</f>
        <v>2244.5687616780992</v>
      </c>
      <c r="H3751" s="16">
        <f>MAX(H3750,Inputs!$D$6)*Inputs!$D$19</f>
        <v>2244.5687616780992</v>
      </c>
      <c r="I3751" s="16">
        <f>MAX(I3750,Inputs!$D$6)*Inputs!$D$19</f>
        <v>2244.5687616780992</v>
      </c>
      <c r="J3751" s="16">
        <f>MAX(J3750,Inputs!$D$6)*Inputs!$D$19</f>
        <v>2244.5687616780992</v>
      </c>
      <c r="K3751" s="16">
        <f>MAX(K3750,Inputs!$D$6)*Inputs!$D$19</f>
        <v>2244.5687616780992</v>
      </c>
      <c r="L3751" s="16">
        <f>MAX(L3750,Inputs!$D$6)*Inputs!$D$19</f>
        <v>2244.5687616780992</v>
      </c>
      <c r="M3751" s="16">
        <f>MAX(M3750,Inputs!$D$6)*Inputs!$D$19</f>
        <v>2244.5687616780992</v>
      </c>
    </row>
    <row r="3752" spans="2:13" ht="15" customHeight="1" x14ac:dyDescent="0.2">
      <c r="B3752" s="10" t="s">
        <v>907</v>
      </c>
      <c r="C3752" s="10" t="s">
        <v>110</v>
      </c>
      <c r="D3752" s="16">
        <f t="shared" ref="D3752:M3752" si="818">D3745*$D$3758</f>
        <v>245.23490274024346</v>
      </c>
      <c r="E3752" s="16">
        <f t="shared" si="818"/>
        <v>326.97987032032461</v>
      </c>
      <c r="F3752" s="16">
        <f t="shared" si="818"/>
        <v>245.23490274024346</v>
      </c>
      <c r="G3752" s="16">
        <f t="shared" si="818"/>
        <v>0</v>
      </c>
      <c r="H3752" s="16">
        <f t="shared" si="818"/>
        <v>0</v>
      </c>
      <c r="I3752" s="16">
        <f t="shared" si="818"/>
        <v>0</v>
      </c>
      <c r="J3752" s="16">
        <f t="shared" si="818"/>
        <v>0</v>
      </c>
      <c r="K3752" s="16">
        <f t="shared" si="818"/>
        <v>0</v>
      </c>
      <c r="L3752" s="16">
        <f t="shared" si="818"/>
        <v>0</v>
      </c>
      <c r="M3752" s="16">
        <f t="shared" si="818"/>
        <v>0</v>
      </c>
    </row>
    <row r="3753" spans="2:13" ht="15" customHeight="1" x14ac:dyDescent="0.2">
      <c r="B3753" s="10" t="s">
        <v>908</v>
      </c>
      <c r="C3753" s="10" t="s">
        <v>110</v>
      </c>
      <c r="D3753" s="16">
        <f t="shared" ref="D3753:M3753" si="819">D3749-D3751-D3743-D3744-D3752</f>
        <v>-13267.226666541857</v>
      </c>
      <c r="E3753" s="16">
        <f t="shared" si="819"/>
        <v>-11401.183393646279</v>
      </c>
      <c r="F3753" s="16">
        <f t="shared" si="819"/>
        <v>-11.802665929572072</v>
      </c>
      <c r="G3753" s="16">
        <f t="shared" si="819"/>
        <v>15779.530102713041</v>
      </c>
      <c r="H3753" s="16">
        <f t="shared" si="819"/>
        <v>3535.7467294719318</v>
      </c>
      <c r="I3753" s="16">
        <f t="shared" si="819"/>
        <v>-1424.8493444641645</v>
      </c>
      <c r="J3753" s="16">
        <f t="shared" si="819"/>
        <v>3535.7467294719318</v>
      </c>
      <c r="K3753" s="16">
        <f t="shared" si="819"/>
        <v>15779.530102713041</v>
      </c>
      <c r="L3753" s="16">
        <f t="shared" si="819"/>
        <v>3535.7467294719318</v>
      </c>
      <c r="M3753" s="16">
        <f t="shared" si="819"/>
        <v>-1424.8493444641645</v>
      </c>
    </row>
    <row r="3754" spans="2:13" ht="15" customHeight="1" x14ac:dyDescent="0.2">
      <c r="B3754" s="10" t="s">
        <v>909</v>
      </c>
      <c r="C3754" s="10" t="s">
        <v>110</v>
      </c>
      <c r="D3754" s="16">
        <f>D3753/(Inputs!$D$7+$D$3760)^D3734</f>
        <v>-12393.723505075945</v>
      </c>
      <c r="E3754" s="16">
        <f>E3753/(Inputs!$D$7+$D$3760)^E3734</f>
        <v>-9680.4134254984147</v>
      </c>
      <c r="F3754" s="16">
        <f>F3753/(Inputs!$D$7+$D$3760)^F3734</f>
        <v>-9.1108675913890753</v>
      </c>
      <c r="G3754" s="16">
        <f>G3753/(Inputs!$D$7+$D$3760)^G3734</f>
        <v>11074.122751663066</v>
      </c>
      <c r="H3754" s="16">
        <f>H3753/(Inputs!$D$7+$D$3760)^H3734</f>
        <v>2255.9634639650503</v>
      </c>
      <c r="I3754" s="16">
        <f>I3753/(Inputs!$D$7+$D$3760)^I3734</f>
        <v>-826.30842347339683</v>
      </c>
      <c r="J3754" s="16">
        <f>J3753/(Inputs!$D$7+$D$3760)^J3734</f>
        <v>1864.1893734839553</v>
      </c>
      <c r="K3754" s="16">
        <f>K3753/(Inputs!$D$7+$D$3760)^K3734</f>
        <v>7563.774845750333</v>
      </c>
      <c r="L3754" s="16">
        <f>L3753/(Inputs!$D$7+$D$3760)^L3734</f>
        <v>1540.8534007001228</v>
      </c>
      <c r="M3754" s="16">
        <f>M3753/(Inputs!$D$7+$D$3760)^M3734</f>
        <v>-564.3797715138287</v>
      </c>
    </row>
    <row r="3755" spans="2:13" ht="15" customHeight="1" x14ac:dyDescent="0.2">
      <c r="B3755" s="3" t="s">
        <v>910</v>
      </c>
      <c r="C3755" s="10" t="s">
        <v>896</v>
      </c>
      <c r="D3755" s="28">
        <f>(D3741*$D$3759-D3745)/(Inputs!$D$7+$D$3760)^D3734</f>
        <v>64.330856237917445</v>
      </c>
      <c r="E3755" s="28">
        <f>(E3741*$D$3759-E3745)/(Inputs!$D$7+$D$3760)^E3734</f>
        <v>236.42380139523098</v>
      </c>
      <c r="F3755" s="28">
        <f>(F3741*$D$3759-F3745)/(Inputs!$D$7+$D$3760)^F3734</f>
        <v>356.83568908039001</v>
      </c>
      <c r="G3755" s="28">
        <f>(G3741*$D$3759-G3745)/(Inputs!$D$7+$D$3760)^G3734</f>
        <v>383.60556091707036</v>
      </c>
      <c r="H3755" s="28">
        <f>(H3741*$D$3759-H3745)/(Inputs!$D$7+$D$3760)^H3734</f>
        <v>348.75507884227414</v>
      </c>
      <c r="I3755" s="28">
        <f>(I3741*$D$3759-I3745)/(Inputs!$D$7+$D$3760)^I3734</f>
        <v>316.98802826091918</v>
      </c>
      <c r="J3755" s="28">
        <f>(J3741*$D$3759-J3745)/(Inputs!$D$7+$D$3760)^J3734</f>
        <v>288.18973459066564</v>
      </c>
      <c r="K3755" s="28">
        <f>(K3741*$D$3759-K3745)/(Inputs!$D$7+$D$3760)^K3734</f>
        <v>262.00775965922423</v>
      </c>
      <c r="L3755" s="28">
        <f>(L3741*$D$3759-L3745)/(Inputs!$D$7+$D$3760)^L3734</f>
        <v>238.2044114761793</v>
      </c>
      <c r="M3755" s="28">
        <f>(M3741*$D$3759-M3745)/(Inputs!$D$7+$D$3760)^M3734</f>
        <v>216.50708849185102</v>
      </c>
    </row>
    <row r="3756" spans="2:13" ht="15" customHeight="1" x14ac:dyDescent="0.2">
      <c r="B3756" s="10" t="s">
        <v>911</v>
      </c>
      <c r="C3756" s="10" t="s">
        <v>110</v>
      </c>
      <c r="D3756" s="16">
        <f>(-D3743-D3744)/(Inputs!$D$7+$D$3760)^D3734</f>
        <v>-14536.447397527105</v>
      </c>
      <c r="E3756" s="16">
        <f>(-E3743-E3744)/(Inputs!$D$7+$D$3760)^E3734</f>
        <v>-17616.488200475756</v>
      </c>
      <c r="F3756" s="16">
        <f>(-F3743-F3744)/(Inputs!$D$7+$D$3760)^F3734</f>
        <v>-12012.025548964448</v>
      </c>
      <c r="G3756" s="16">
        <f>(-G3743-G3744)/(Inputs!$D$7+$D$3760)^G3734</f>
        <v>-1851.359915178487</v>
      </c>
      <c r="H3756" s="16">
        <f>(-H3743-H3744)/(Inputs!$D$7+$D$3760)^H3734</f>
        <v>-9495.2419037884629</v>
      </c>
      <c r="I3756" s="16">
        <f>(-I3743-I3744)/(Inputs!$D$7+$D$3760)^I3734</f>
        <v>-11507.131858586603</v>
      </c>
      <c r="J3756" s="16">
        <f>(-J3743-J3744)/(Inputs!$D$7+$D$3760)^J3734</f>
        <v>-7846.2835672839774</v>
      </c>
      <c r="K3756" s="16">
        <f>(-K3743-K3744)/(Inputs!$D$7+$D$3760)^K3734</f>
        <v>-1264.5037327904422</v>
      </c>
      <c r="L3756" s="16">
        <f>(-L3743-L3744)/(Inputs!$D$7+$D$3760)^L3734</f>
        <v>-6485.3779822337692</v>
      </c>
      <c r="M3756" s="16">
        <f>(-M3743-M3744)/(Inputs!$D$7+$D$3760)^M3734</f>
        <v>-7859.5258920747219</v>
      </c>
    </row>
    <row r="3757" spans="2:13" ht="15" customHeight="1" x14ac:dyDescent="0.2">
      <c r="B3757" s="10" t="s">
        <v>912</v>
      </c>
      <c r="C3757" s="10" t="s">
        <v>110</v>
      </c>
      <c r="D3757" s="16">
        <f>Prices!I9</f>
        <v>21850</v>
      </c>
    </row>
    <row r="3758" spans="2:13" ht="15" customHeight="1" x14ac:dyDescent="0.2">
      <c r="B3758" s="3" t="s">
        <v>913</v>
      </c>
      <c r="C3758" s="10" t="s">
        <v>914</v>
      </c>
      <c r="D3758" s="28">
        <f>IF(J3765&gt;=J3761,J3765,(D3757-J3764)/J3763)</f>
        <v>37.801141077494172</v>
      </c>
      <c r="G3758" s="99" t="s">
        <v>915</v>
      </c>
      <c r="H3758" s="91"/>
      <c r="I3758" s="91"/>
      <c r="J3758" s="28">
        <f>D3758*Inputs!$D$15</f>
        <v>26.381416357983181</v>
      </c>
      <c r="K3758" s="99" t="s">
        <v>916</v>
      </c>
      <c r="L3758" s="91"/>
      <c r="M3758" s="91"/>
    </row>
    <row r="3759" spans="2:13" ht="15" customHeight="1" x14ac:dyDescent="0.2">
      <c r="B3759" s="10" t="s">
        <v>917</v>
      </c>
      <c r="C3759" s="10" t="s">
        <v>104</v>
      </c>
      <c r="D3759" s="30">
        <f>Inputs!$D$142</f>
        <v>0.6</v>
      </c>
      <c r="G3759" s="99" t="s">
        <v>918</v>
      </c>
      <c r="H3759" s="91"/>
      <c r="I3759" s="91"/>
      <c r="J3759" s="28">
        <f>IF(-D3770/D3769&gt;=J3761,-D3770/D3769,-J3764/J3763)</f>
        <v>32.284876648616972</v>
      </c>
      <c r="K3759" s="99" t="s">
        <v>919</v>
      </c>
      <c r="L3759" s="91"/>
      <c r="M3759" s="91"/>
    </row>
    <row r="3760" spans="2:13" ht="15" customHeight="1" x14ac:dyDescent="0.2">
      <c r="B3760" s="10" t="s">
        <v>920</v>
      </c>
      <c r="C3760" s="10" t="s">
        <v>104</v>
      </c>
      <c r="D3760" s="30">
        <f>Inputs!$D$147</f>
        <v>0.1</v>
      </c>
      <c r="G3760" s="99" t="s">
        <v>918</v>
      </c>
      <c r="H3760" s="91"/>
      <c r="I3760" s="91"/>
      <c r="J3760" s="28">
        <f>J3759*Inputs!$D$15</f>
        <v>22.531615413069783</v>
      </c>
      <c r="K3760" s="99" t="s">
        <v>916</v>
      </c>
      <c r="L3760" s="91"/>
      <c r="M3760" s="91"/>
    </row>
    <row r="3761" spans="2:13" ht="15" customHeight="1" x14ac:dyDescent="0.2">
      <c r="B3761" s="3" t="s">
        <v>921</v>
      </c>
      <c r="C3761" s="10" t="s">
        <v>848</v>
      </c>
      <c r="D3761" s="28">
        <f>Capital!$D$13</f>
        <v>57.347931490590682</v>
      </c>
      <c r="G3761" s="99" t="s">
        <v>922</v>
      </c>
      <c r="H3761" s="91"/>
      <c r="I3761" s="91"/>
      <c r="J3761" s="28">
        <f>($D$3761/Inputs!$D$21+$D$3762/Inputs!$D$22)/$D$3759</f>
        <v>24.113076913095469</v>
      </c>
      <c r="K3761" s="99" t="s">
        <v>919</v>
      </c>
      <c r="L3761" s="91"/>
      <c r="M3761" s="91"/>
    </row>
    <row r="3762" spans="2:13" ht="15" customHeight="1" x14ac:dyDescent="0.2">
      <c r="B3762" s="3" t="s">
        <v>923</v>
      </c>
      <c r="C3762" s="10" t="s">
        <v>848</v>
      </c>
      <c r="D3762" s="28">
        <f>Capital!$D$14</f>
        <v>2.6172655041921802</v>
      </c>
    </row>
    <row r="3763" spans="2:13" ht="15" customHeight="1" x14ac:dyDescent="0.2">
      <c r="B3763" s="10" t="s">
        <v>924</v>
      </c>
      <c r="C3763" s="10" t="s">
        <v>896</v>
      </c>
      <c r="D3763" s="28">
        <f>(M3736*(Inputs!$D$7+Inputs!$D$20)*$D$3759*(Inputs!$D$7-Inputs!$D$19)-M3736*Inputs!$D$20*Inputs!$D$23)/($D$3760-Inputs!$D$20)/(Inputs!$D$7+$D$3760)^M3734</f>
        <v>2068.2441036763203</v>
      </c>
      <c r="G3763" s="92" t="s">
        <v>910</v>
      </c>
      <c r="H3763" s="91"/>
      <c r="I3763" s="91"/>
      <c r="J3763" s="28">
        <f>SUM(D3755:M3755)+(M3736*(Inputs!$D$7+Inputs!$D$20)*$D$3759-M3736*Inputs!$D$20*Inputs!$D$23)/($D$3760-Inputs!$D$20)/(Inputs!$D$7+$D$3760)^M3734</f>
        <v>5667.7711754446318</v>
      </c>
      <c r="K3763" s="99" t="s">
        <v>896</v>
      </c>
      <c r="L3763" s="91"/>
      <c r="M3763" s="91"/>
    </row>
    <row r="3764" spans="2:13" ht="15" customHeight="1" x14ac:dyDescent="0.2">
      <c r="B3764" s="10" t="s">
        <v>925</v>
      </c>
      <c r="C3764" s="10" t="s">
        <v>110</v>
      </c>
      <c r="D3764" s="16">
        <f>(D3767*Inputs!$D$19-D3767-D3768)/($D$3760-Inputs!$D$20)/(Inputs!$D$7+$D$3760)^M3734</f>
        <v>-57156.954988173631</v>
      </c>
      <c r="G3764" s="92" t="s">
        <v>926</v>
      </c>
      <c r="H3764" s="91"/>
      <c r="I3764" s="91"/>
      <c r="J3764" s="16">
        <f>SUM(D3756:M3756)-(D3767+D3768)/($D$3760-Inputs!$D$20)/(Inputs!$D$7+$D$3760)^M3734</f>
        <v>-169036.01450291832</v>
      </c>
      <c r="K3764" s="99" t="s">
        <v>110</v>
      </c>
      <c r="L3764" s="91"/>
      <c r="M3764" s="91"/>
    </row>
    <row r="3765" spans="2:13" ht="15" customHeight="1" x14ac:dyDescent="0.2">
      <c r="B3765" s="10" t="s">
        <v>927</v>
      </c>
      <c r="C3765" s="10" t="s">
        <v>928</v>
      </c>
      <c r="D3765" s="16">
        <f>(M3736*(Inputs!$D$7+Inputs!$D$20)*$D$3758*$D$3759-D3767)-MAX((M3736*(Inputs!$D$7+Inputs!$D$20)*$D$3758*$D$3759-D3767),Inputs!$D$6)*Inputs!$D$19-D3768-M3736*Inputs!$D$20*$D$3758*Inputs!$D$23</f>
        <v>3981.0299020896118</v>
      </c>
      <c r="G3765" s="99" t="s">
        <v>929</v>
      </c>
      <c r="H3765" s="91"/>
      <c r="I3765" s="91"/>
      <c r="J3765" s="28">
        <f>(D3757-D3770)/D3769</f>
        <v>37.801141077494172</v>
      </c>
      <c r="K3765" s="99" t="s">
        <v>919</v>
      </c>
      <c r="L3765" s="91"/>
      <c r="M3765" s="91"/>
    </row>
    <row r="3766" spans="2:13" ht="15" customHeight="1" x14ac:dyDescent="0.2">
      <c r="B3766" s="10" t="s">
        <v>930</v>
      </c>
      <c r="C3766" s="10" t="s">
        <v>110</v>
      </c>
      <c r="D3766" s="16">
        <f>D3765/($D$3760-Inputs!$D$20)</f>
        <v>53080.39869452815</v>
      </c>
      <c r="G3766" s="99" t="s">
        <v>931</v>
      </c>
      <c r="H3766" s="91"/>
      <c r="I3766" s="91"/>
      <c r="J3766" s="16">
        <f>MIN(D3750:M3750,(M3736*(Inputs!$D$7+Inputs!$D$20)*$D$3758*$D$3759-D3767))</f>
        <v>1031.4279577315676</v>
      </c>
      <c r="K3766" s="99" t="s">
        <v>110</v>
      </c>
      <c r="L3766" s="91"/>
      <c r="M3766" s="91"/>
    </row>
    <row r="3767" spans="2:13" ht="15" customHeight="1" x14ac:dyDescent="0.2">
      <c r="B3767" s="10" t="s">
        <v>932</v>
      </c>
      <c r="C3767" s="10" t="s">
        <v>928</v>
      </c>
      <c r="D3767" s="16">
        <f>M3736*(Inputs!$D$7+Inputs!$D$20)*($D$3761/Inputs!$D$21+$D$3762/Inputs!$D$22)</f>
        <v>13509.71303671543</v>
      </c>
      <c r="G3767" s="99" t="s">
        <v>933</v>
      </c>
      <c r="H3767" s="91"/>
      <c r="I3767" s="91"/>
      <c r="J3767" s="31" t="str">
        <f>IF(J3766&lt;Inputs!$D$6,"breached","satisfied")</f>
        <v>satisfied</v>
      </c>
      <c r="K3767" s="99" t="s">
        <v>934</v>
      </c>
      <c r="L3767" s="91"/>
      <c r="M3767" s="91"/>
    </row>
    <row r="3768" spans="2:13" ht="15" customHeight="1" x14ac:dyDescent="0.2">
      <c r="B3768" s="10" t="s">
        <v>935</v>
      </c>
      <c r="C3768" s="10" t="s">
        <v>928</v>
      </c>
      <c r="D3768" s="16">
        <f>M3736*Inputs!$D$20*($D$3761+$D$3762)</f>
        <v>1365.7073615561799</v>
      </c>
    </row>
    <row r="3769" spans="2:13" ht="15" customHeight="1" x14ac:dyDescent="0.2">
      <c r="B3769" s="10" t="s">
        <v>936</v>
      </c>
      <c r="C3769" s="10" t="s">
        <v>896</v>
      </c>
      <c r="D3769" s="28">
        <f>SUM(D3746:M3746)+D3763</f>
        <v>3961.0138857044249</v>
      </c>
      <c r="G3769" s="99" t="s">
        <v>937</v>
      </c>
      <c r="H3769" s="91"/>
      <c r="I3769" s="91"/>
      <c r="J3769" s="16">
        <f>D3771-D3757</f>
        <v>0</v>
      </c>
      <c r="K3769" s="99" t="s">
        <v>110</v>
      </c>
      <c r="L3769" s="91"/>
      <c r="M3769" s="91"/>
    </row>
    <row r="3770" spans="2:13" ht="15" customHeight="1" x14ac:dyDescent="0.2">
      <c r="B3770" s="10" t="s">
        <v>938</v>
      </c>
      <c r="C3770" s="10" t="s">
        <v>110</v>
      </c>
      <c r="D3770" s="16">
        <f>SUM(D3747:M3747)+D3764</f>
        <v>-127880.84470342637</v>
      </c>
    </row>
    <row r="3771" spans="2:13" ht="15" customHeight="1" x14ac:dyDescent="0.2">
      <c r="B3771" s="10" t="s">
        <v>939</v>
      </c>
      <c r="C3771" s="10" t="s">
        <v>110</v>
      </c>
      <c r="D3771" s="16">
        <f>SUM(D3754:M3754)+D3766/(Inputs!$D$7+$D$3760)^M3734</f>
        <v>21850.000000000004</v>
      </c>
    </row>
    <row r="3772" spans="2:13" ht="15" customHeight="1" x14ac:dyDescent="0.2">
      <c r="B3772" s="10" t="s">
        <v>940</v>
      </c>
      <c r="C3772" s="10" t="s">
        <v>104</v>
      </c>
      <c r="D3772" s="30">
        <f>IF(ABS(D3757)&gt;Inputs!$D$6,D3771/D3757-Inputs!$D$7,Inputs!$D$6)</f>
        <v>2.2204460492503131E-16</v>
      </c>
    </row>
    <row r="3773" spans="2:13" ht="15" customHeight="1" x14ac:dyDescent="0.2">
      <c r="B3773" s="10" t="s">
        <v>941</v>
      </c>
      <c r="C3773" s="10" t="s">
        <v>104</v>
      </c>
      <c r="D3773" s="30">
        <f>IF(ABS(D3771)&gt;Inputs!$D$119,D3766/(Inputs!$D$7+$D$3760)^M3734/D3771,Inputs!$D$6)</f>
        <v>0.96224403467233155</v>
      </c>
    </row>
    <row r="3774" spans="2:13" ht="15" customHeight="1" x14ac:dyDescent="0.2">
      <c r="B3774" s="10" t="s">
        <v>942</v>
      </c>
      <c r="C3774" s="10" t="s">
        <v>943</v>
      </c>
      <c r="D3774" s="26">
        <f>$D$3758*Inputs!$D$8/Prices!$P$6/(Inputs!$D$26/Inputs!$D$25)/Inputs!$D$11/Inputs!$D$56</f>
        <v>6.8742523267526172</v>
      </c>
    </row>
    <row r="3778" spans="1:13" ht="15" customHeight="1" x14ac:dyDescent="0.2">
      <c r="A3778" s="104" t="s">
        <v>2247</v>
      </c>
      <c r="B3778" s="10" t="s">
        <v>886</v>
      </c>
      <c r="C3778" s="10" t="s">
        <v>107</v>
      </c>
      <c r="D3778" s="28">
        <f>Inputs!$D$60</f>
        <v>1</v>
      </c>
      <c r="E3778" s="28">
        <f>Inputs!$D$62</f>
        <v>2</v>
      </c>
      <c r="F3778" s="28">
        <f>Inputs!$D$64</f>
        <v>3</v>
      </c>
      <c r="G3778" s="28">
        <f>Inputs!$D$66</f>
        <v>4</v>
      </c>
      <c r="H3778" s="28">
        <f>Inputs!$D$68</f>
        <v>5</v>
      </c>
      <c r="I3778" s="28">
        <f>Inputs!$D$70</f>
        <v>6</v>
      </c>
      <c r="J3778" s="28">
        <f>Inputs!$D$72</f>
        <v>7</v>
      </c>
      <c r="K3778" s="28">
        <f>Inputs!$D$74</f>
        <v>8</v>
      </c>
      <c r="L3778" s="28">
        <f>Inputs!$D$76</f>
        <v>9</v>
      </c>
      <c r="M3778" s="28">
        <f>Inputs!$D$78</f>
        <v>10</v>
      </c>
    </row>
    <row r="3779" spans="1:13" ht="15" customHeight="1" x14ac:dyDescent="0.2">
      <c r="A3779" s="91"/>
      <c r="B3779" s="10" t="s">
        <v>887</v>
      </c>
      <c r="C3779" s="10" t="s">
        <v>161</v>
      </c>
      <c r="D3779" s="29">
        <f>Inputs!$D$61</f>
        <v>46568</v>
      </c>
      <c r="E3779" s="29">
        <f>Inputs!$D$63</f>
        <v>46934</v>
      </c>
      <c r="F3779" s="29">
        <f>Inputs!$D$65</f>
        <v>47299</v>
      </c>
      <c r="G3779" s="29">
        <f>Inputs!$D$67</f>
        <v>47664</v>
      </c>
      <c r="H3779" s="29">
        <f>Inputs!$D$69</f>
        <v>48029</v>
      </c>
      <c r="I3779" s="29">
        <f>Inputs!$D$71</f>
        <v>48395</v>
      </c>
      <c r="J3779" s="29">
        <f>Inputs!$D$73</f>
        <v>48760</v>
      </c>
      <c r="K3779" s="29">
        <f>Inputs!$D$75</f>
        <v>49125</v>
      </c>
      <c r="L3779" s="29">
        <f>Inputs!$D$77</f>
        <v>49490</v>
      </c>
      <c r="M3779" s="29">
        <f>Inputs!$D$79</f>
        <v>49856</v>
      </c>
    </row>
    <row r="3780" spans="1:13" ht="15" customHeight="1" x14ac:dyDescent="0.2">
      <c r="A3780" s="91"/>
      <c r="B3780" s="10" t="s">
        <v>888</v>
      </c>
      <c r="C3780" s="10" t="s">
        <v>107</v>
      </c>
      <c r="D3780" s="28">
        <f>(D3779-Inputs!$D$13)/Inputs!$D$10</f>
        <v>0.71457905544147848</v>
      </c>
      <c r="E3780" s="28">
        <f>(E3779-Inputs!$D$13)/Inputs!$D$10</f>
        <v>1.7166324435318274</v>
      </c>
      <c r="F3780" s="28">
        <f>(F3779-Inputs!$D$13)/Inputs!$D$10</f>
        <v>2.7159479808350446</v>
      </c>
      <c r="G3780" s="28">
        <f>(G3779-Inputs!$D$13)/Inputs!$D$10</f>
        <v>3.7152635181382614</v>
      </c>
      <c r="H3780" s="28">
        <f>(H3779-Inputs!$D$13)/Inputs!$D$10</f>
        <v>4.7145790554414786</v>
      </c>
      <c r="I3780" s="28">
        <f>(I3779-Inputs!$D$13)/Inputs!$D$10</f>
        <v>5.7166324435318279</v>
      </c>
      <c r="J3780" s="28">
        <f>(J3779-Inputs!$D$13)/Inputs!$D$10</f>
        <v>6.7159479808350442</v>
      </c>
      <c r="K3780" s="28">
        <f>(K3779-Inputs!$D$13)/Inputs!$D$10</f>
        <v>7.7152635181382614</v>
      </c>
      <c r="L3780" s="28">
        <f>(L3779-Inputs!$D$13)/Inputs!$D$10</f>
        <v>8.7145790554414777</v>
      </c>
      <c r="M3780" s="28">
        <f>(M3779-Inputs!$D$13)/Inputs!$D$10</f>
        <v>9.716632443531827</v>
      </c>
    </row>
    <row r="3781" spans="1:13" ht="15" customHeight="1" x14ac:dyDescent="0.2">
      <c r="A3781" s="91"/>
      <c r="B3781" s="10" t="s">
        <v>889</v>
      </c>
      <c r="C3781" s="10" t="s">
        <v>107</v>
      </c>
      <c r="D3781" s="28">
        <f>D3780</f>
        <v>0.71457905544147848</v>
      </c>
      <c r="E3781" s="28">
        <f>Inputs!$D$7</f>
        <v>1</v>
      </c>
      <c r="F3781" s="28">
        <f>Inputs!$D$7</f>
        <v>1</v>
      </c>
      <c r="G3781" s="28">
        <f>Inputs!$D$7</f>
        <v>1</v>
      </c>
      <c r="H3781" s="28">
        <f>Inputs!$D$7</f>
        <v>1</v>
      </c>
      <c r="I3781" s="28">
        <f>Inputs!$D$7</f>
        <v>1</v>
      </c>
      <c r="J3781" s="28">
        <f>Inputs!$D$7</f>
        <v>1</v>
      </c>
      <c r="K3781" s="28">
        <f>Inputs!$D$7</f>
        <v>1</v>
      </c>
      <c r="L3781" s="28">
        <f>Inputs!$D$7</f>
        <v>1</v>
      </c>
      <c r="M3781" s="28">
        <f>Inputs!$D$7</f>
        <v>1</v>
      </c>
    </row>
    <row r="3782" spans="1:13" ht="15" customHeight="1" x14ac:dyDescent="0.2">
      <c r="A3782" s="91"/>
      <c r="B3782" s="3" t="s">
        <v>890</v>
      </c>
      <c r="C3782" s="10" t="s">
        <v>199</v>
      </c>
      <c r="D3782" s="28">
        <f>Inputs!$D$24+(Inputs!$D$80-Inputs!$D$24)*Inputs!$D$83</f>
        <v>305.5</v>
      </c>
      <c r="E3782" s="28">
        <f>Inputs!$D$24+(Inputs!$D$80-Inputs!$D$24)*Inputs!$D$84</f>
        <v>651.5</v>
      </c>
      <c r="F3782" s="28">
        <f>Inputs!$D$24+(Inputs!$D$80-Inputs!$D$24)*Inputs!$D$85</f>
        <v>911</v>
      </c>
      <c r="G3782" s="28">
        <f>Inputs!$D$24+(Inputs!$D$80-Inputs!$D$24)*Inputs!$D$86</f>
        <v>911</v>
      </c>
      <c r="H3782" s="28">
        <f>Inputs!$D$24+(Inputs!$D$80-Inputs!$D$24)*Inputs!$D$87</f>
        <v>911</v>
      </c>
      <c r="I3782" s="28">
        <f>Inputs!$D$24+(Inputs!$D$80-Inputs!$D$24)*Inputs!$D$88</f>
        <v>911</v>
      </c>
      <c r="J3782" s="28">
        <f>Inputs!$D$24+(Inputs!$D$80-Inputs!$D$24)*Inputs!$D$89</f>
        <v>911</v>
      </c>
      <c r="K3782" s="28">
        <f>Inputs!$D$24+(Inputs!$D$80-Inputs!$D$24)*Inputs!$D$90</f>
        <v>911</v>
      </c>
      <c r="L3782" s="28">
        <f>Inputs!$D$24+(Inputs!$D$80-Inputs!$D$24)*Inputs!$D$91</f>
        <v>911</v>
      </c>
      <c r="M3782" s="28">
        <f>Inputs!$D$24+(Inputs!$D$80-Inputs!$D$24)*Inputs!$D$92</f>
        <v>911</v>
      </c>
    </row>
    <row r="3783" spans="1:13" ht="15" customHeight="1" x14ac:dyDescent="0.2">
      <c r="A3783" s="91"/>
      <c r="B3783" s="10" t="s">
        <v>891</v>
      </c>
      <c r="C3783" s="10" t="s">
        <v>199</v>
      </c>
      <c r="D3783" s="28">
        <f>Inputs!$D$24</f>
        <v>46</v>
      </c>
      <c r="E3783" s="28">
        <f t="shared" ref="E3783:M3783" si="820">D3782</f>
        <v>305.5</v>
      </c>
      <c r="F3783" s="28">
        <f t="shared" si="820"/>
        <v>651.5</v>
      </c>
      <c r="G3783" s="28">
        <f t="shared" si="820"/>
        <v>911</v>
      </c>
      <c r="H3783" s="28">
        <f t="shared" si="820"/>
        <v>911</v>
      </c>
      <c r="I3783" s="28">
        <f t="shared" si="820"/>
        <v>911</v>
      </c>
      <c r="J3783" s="28">
        <f t="shared" si="820"/>
        <v>911</v>
      </c>
      <c r="K3783" s="28">
        <f t="shared" si="820"/>
        <v>911</v>
      </c>
      <c r="L3783" s="28">
        <f t="shared" si="820"/>
        <v>911</v>
      </c>
      <c r="M3783" s="28">
        <f t="shared" si="820"/>
        <v>911</v>
      </c>
    </row>
    <row r="3784" spans="1:13" ht="15" customHeight="1" x14ac:dyDescent="0.2">
      <c r="B3784" s="10" t="s">
        <v>892</v>
      </c>
      <c r="C3784" s="10" t="s">
        <v>199</v>
      </c>
      <c r="D3784" s="28">
        <f>(D3783+D3782)*Inputs!$D$12</f>
        <v>175.75</v>
      </c>
      <c r="E3784" s="28">
        <f>(E3783+E3782)*Inputs!$D$12</f>
        <v>478.5</v>
      </c>
      <c r="F3784" s="28">
        <f>(F3783+F3782)*Inputs!$D$12</f>
        <v>781.25</v>
      </c>
      <c r="G3784" s="28">
        <f>(G3783+G3782)*Inputs!$D$12</f>
        <v>911</v>
      </c>
      <c r="H3784" s="28">
        <f>(H3783+H3782)*Inputs!$D$12</f>
        <v>911</v>
      </c>
      <c r="I3784" s="28">
        <f>(I3783+I3782)*Inputs!$D$12</f>
        <v>911</v>
      </c>
      <c r="J3784" s="28">
        <f>(J3783+J3782)*Inputs!$D$12</f>
        <v>911</v>
      </c>
      <c r="K3784" s="28">
        <f>(K3783+K3782)*Inputs!$D$12</f>
        <v>911</v>
      </c>
      <c r="L3784" s="28">
        <f>(L3783+L3782)*Inputs!$D$12</f>
        <v>911</v>
      </c>
      <c r="M3784" s="28">
        <f>(M3783+M3782)*Inputs!$D$12</f>
        <v>911</v>
      </c>
    </row>
    <row r="3785" spans="1:13" ht="15" customHeight="1" x14ac:dyDescent="0.2">
      <c r="B3785" s="10" t="s">
        <v>893</v>
      </c>
      <c r="C3785" s="10" t="s">
        <v>199</v>
      </c>
      <c r="D3785" s="28">
        <f t="shared" ref="D3785:M3785" si="821">D3782-D3783</f>
        <v>259.5</v>
      </c>
      <c r="E3785" s="28">
        <f t="shared" si="821"/>
        <v>346</v>
      </c>
      <c r="F3785" s="28">
        <f t="shared" si="821"/>
        <v>259.5</v>
      </c>
      <c r="G3785" s="28">
        <f t="shared" si="821"/>
        <v>0</v>
      </c>
      <c r="H3785" s="28">
        <f t="shared" si="821"/>
        <v>0</v>
      </c>
      <c r="I3785" s="28">
        <f t="shared" si="821"/>
        <v>0</v>
      </c>
      <c r="J3785" s="28">
        <f t="shared" si="821"/>
        <v>0</v>
      </c>
      <c r="K3785" s="28">
        <f t="shared" si="821"/>
        <v>0</v>
      </c>
      <c r="L3785" s="28">
        <f t="shared" si="821"/>
        <v>0</v>
      </c>
      <c r="M3785" s="28">
        <f t="shared" si="821"/>
        <v>0</v>
      </c>
    </row>
    <row r="3786" spans="1:13" ht="15" customHeight="1" x14ac:dyDescent="0.2">
      <c r="B3786" s="10" t="s">
        <v>894</v>
      </c>
      <c r="C3786" s="10" t="s">
        <v>199</v>
      </c>
      <c r="D3786" s="28">
        <f>IF(MOD(D3778,Inputs!$D$21)=Inputs!$D$6,Inputs!$D$24,Inputs!$D$6)+SUMPRODUCT(--(D3778&gt;$D$3778:$M$3778),--(MOD(D3778-$D$3778:$M$3778,Inputs!$D$21)=Inputs!$D$6),$D$3785:$M$3785)</f>
        <v>0</v>
      </c>
      <c r="E3786" s="28">
        <f>IF(MOD(E3778,Inputs!$D$21)=Inputs!$D$6,Inputs!$D$24,Inputs!$D$6)+SUMPRODUCT(--(E3778&gt;$D$3778:$M$3778),--(MOD(E3778-$D$3778:$M$3778,Inputs!$D$21)=Inputs!$D$6),$D$3785:$M$3785)</f>
        <v>0</v>
      </c>
      <c r="F3786" s="28">
        <f>IF(MOD(F3778,Inputs!$D$21)=Inputs!$D$6,Inputs!$D$24,Inputs!$D$6)+SUMPRODUCT(--(F3778&gt;$D$3778:$M$3778),--(MOD(F3778-$D$3778:$M$3778,Inputs!$D$21)=Inputs!$D$6),$D$3785:$M$3785)</f>
        <v>0</v>
      </c>
      <c r="G3786" s="28">
        <f>IF(MOD(G3778,Inputs!$D$21)=Inputs!$D$6,Inputs!$D$24,Inputs!$D$6)+SUMPRODUCT(--(G3778&gt;$D$3778:$M$3778),--(MOD(G3778-$D$3778:$M$3778,Inputs!$D$21)=Inputs!$D$6),$D$3785:$M$3785)</f>
        <v>46</v>
      </c>
      <c r="H3786" s="28">
        <f>IF(MOD(H3778,Inputs!$D$21)=Inputs!$D$6,Inputs!$D$24,Inputs!$D$6)+SUMPRODUCT(--(H3778&gt;$D$3778:$M$3778),--(MOD(H3778-$D$3778:$M$3778,Inputs!$D$21)=Inputs!$D$6),$D$3785:$M$3785)</f>
        <v>259.5</v>
      </c>
      <c r="I3786" s="28">
        <f>IF(MOD(I3778,Inputs!$D$21)=Inputs!$D$6,Inputs!$D$24,Inputs!$D$6)+SUMPRODUCT(--(I3778&gt;$D$3778:$M$3778),--(MOD(I3778-$D$3778:$M$3778,Inputs!$D$21)=Inputs!$D$6),$D$3785:$M$3785)</f>
        <v>346</v>
      </c>
      <c r="J3786" s="28">
        <f>IF(MOD(J3778,Inputs!$D$21)=Inputs!$D$6,Inputs!$D$24,Inputs!$D$6)+SUMPRODUCT(--(J3778&gt;$D$3778:$M$3778),--(MOD(J3778-$D$3778:$M$3778,Inputs!$D$21)=Inputs!$D$6),$D$3785:$M$3785)</f>
        <v>259.5</v>
      </c>
      <c r="K3786" s="28">
        <f>IF(MOD(K3778,Inputs!$D$21)=Inputs!$D$6,Inputs!$D$24,Inputs!$D$6)+SUMPRODUCT(--(K3778&gt;$D$3778:$M$3778),--(MOD(K3778-$D$3778:$M$3778,Inputs!$D$21)=Inputs!$D$6),$D$3785:$M$3785)</f>
        <v>46</v>
      </c>
      <c r="L3786" s="28">
        <f>IF(MOD(L3778,Inputs!$D$21)=Inputs!$D$6,Inputs!$D$24,Inputs!$D$6)+SUMPRODUCT(--(L3778&gt;$D$3778:$M$3778),--(MOD(L3778-$D$3778:$M$3778,Inputs!$D$21)=Inputs!$D$6),$D$3785:$M$3785)</f>
        <v>259.5</v>
      </c>
      <c r="M3786" s="28">
        <f>IF(MOD(M3778,Inputs!$D$21)=Inputs!$D$6,Inputs!$D$24,Inputs!$D$6)+SUMPRODUCT(--(M3778&gt;$D$3778:$M$3778),--(MOD(M3778-$D$3778:$M$3778,Inputs!$D$21)=Inputs!$D$6),$D$3785:$M$3785)</f>
        <v>346</v>
      </c>
    </row>
    <row r="3787" spans="1:13" ht="15" customHeight="1" x14ac:dyDescent="0.2">
      <c r="B3787" s="10" t="s">
        <v>895</v>
      </c>
      <c r="C3787" s="10" t="s">
        <v>896</v>
      </c>
      <c r="D3787" s="28">
        <f t="shared" ref="D3787:M3787" si="822">D3784*D3781</f>
        <v>125.58726899383984</v>
      </c>
      <c r="E3787" s="28">
        <f t="shared" si="822"/>
        <v>478.5</v>
      </c>
      <c r="F3787" s="28">
        <f t="shared" si="822"/>
        <v>781.25</v>
      </c>
      <c r="G3787" s="28">
        <f t="shared" si="822"/>
        <v>911</v>
      </c>
      <c r="H3787" s="28">
        <f t="shared" si="822"/>
        <v>911</v>
      </c>
      <c r="I3787" s="28">
        <f t="shared" si="822"/>
        <v>911</v>
      </c>
      <c r="J3787" s="28">
        <f t="shared" si="822"/>
        <v>911</v>
      </c>
      <c r="K3787" s="28">
        <f t="shared" si="822"/>
        <v>911</v>
      </c>
      <c r="L3787" s="28">
        <f t="shared" si="822"/>
        <v>911</v>
      </c>
      <c r="M3787" s="28">
        <f t="shared" si="822"/>
        <v>911</v>
      </c>
    </row>
    <row r="3788" spans="1:13" ht="15" customHeight="1" x14ac:dyDescent="0.2">
      <c r="B3788" s="10" t="s">
        <v>897</v>
      </c>
      <c r="C3788" s="10" t="s">
        <v>110</v>
      </c>
      <c r="D3788" s="16">
        <f>D3787*($D$3807/Inputs!$D$21+$D$3808/Inputs!$D$22)</f>
        <v>1816.9772859324419</v>
      </c>
      <c r="E3788" s="16">
        <f>E3787*($D$3807/Inputs!$D$21+$D$3808/Inputs!$D$22)</f>
        <v>6922.8643817497086</v>
      </c>
      <c r="F3788" s="16">
        <f>F3787*($D$3807/Inputs!$D$21+$D$3808/Inputs!$D$22)</f>
        <v>11303.0048030135</v>
      </c>
      <c r="G3788" s="16">
        <f>G3787*($D$3807/Inputs!$D$21+$D$3808/Inputs!$D$22)</f>
        <v>13180.207840697982</v>
      </c>
      <c r="H3788" s="16">
        <f>H3787*($D$3807/Inputs!$D$21+$D$3808/Inputs!$D$22)</f>
        <v>13180.207840697982</v>
      </c>
      <c r="I3788" s="16">
        <f>I3787*($D$3807/Inputs!$D$21+$D$3808/Inputs!$D$22)</f>
        <v>13180.207840697982</v>
      </c>
      <c r="J3788" s="16">
        <f>J3787*($D$3807/Inputs!$D$21+$D$3808/Inputs!$D$22)</f>
        <v>13180.207840697982</v>
      </c>
      <c r="K3788" s="16">
        <f>K3787*($D$3807/Inputs!$D$21+$D$3808/Inputs!$D$22)</f>
        <v>13180.207840697982</v>
      </c>
      <c r="L3788" s="16">
        <f>L3787*($D$3807/Inputs!$D$21+$D$3808/Inputs!$D$22)</f>
        <v>13180.207840697982</v>
      </c>
      <c r="M3788" s="16">
        <f>M3787*($D$3807/Inputs!$D$21+$D$3808/Inputs!$D$22)</f>
        <v>13180.207840697982</v>
      </c>
    </row>
    <row r="3789" spans="1:13" ht="15" customHeight="1" x14ac:dyDescent="0.2">
      <c r="B3789" s="10" t="s">
        <v>898</v>
      </c>
      <c r="C3789" s="10" t="s">
        <v>110</v>
      </c>
      <c r="D3789" s="16">
        <f t="shared" ref="D3789:M3789" si="823">D3785*($D$3807+$D$3808)</f>
        <v>15560.968620146154</v>
      </c>
      <c r="E3789" s="16">
        <f t="shared" si="823"/>
        <v>20747.95816019487</v>
      </c>
      <c r="F3789" s="16">
        <f t="shared" si="823"/>
        <v>15560.968620146154</v>
      </c>
      <c r="G3789" s="16">
        <f t="shared" si="823"/>
        <v>0</v>
      </c>
      <c r="H3789" s="16">
        <f t="shared" si="823"/>
        <v>0</v>
      </c>
      <c r="I3789" s="16">
        <f t="shared" si="823"/>
        <v>0</v>
      </c>
      <c r="J3789" s="16">
        <f t="shared" si="823"/>
        <v>0</v>
      </c>
      <c r="K3789" s="16">
        <f t="shared" si="823"/>
        <v>0</v>
      </c>
      <c r="L3789" s="16">
        <f t="shared" si="823"/>
        <v>0</v>
      </c>
      <c r="M3789" s="16">
        <f t="shared" si="823"/>
        <v>0</v>
      </c>
    </row>
    <row r="3790" spans="1:13" ht="15" customHeight="1" x14ac:dyDescent="0.2">
      <c r="B3790" s="10" t="s">
        <v>899</v>
      </c>
      <c r="C3790" s="10" t="s">
        <v>110</v>
      </c>
      <c r="D3790" s="16">
        <f t="shared" ref="D3790:M3790" si="824">D3786*$D$3807</f>
        <v>0</v>
      </c>
      <c r="E3790" s="16">
        <f t="shared" si="824"/>
        <v>0</v>
      </c>
      <c r="F3790" s="16">
        <f t="shared" si="824"/>
        <v>0</v>
      </c>
      <c r="G3790" s="16">
        <f t="shared" si="824"/>
        <v>2638.0048485671714</v>
      </c>
      <c r="H3790" s="16">
        <f t="shared" si="824"/>
        <v>14881.788221808281</v>
      </c>
      <c r="I3790" s="16">
        <f t="shared" si="824"/>
        <v>19842.384295744378</v>
      </c>
      <c r="J3790" s="16">
        <f t="shared" si="824"/>
        <v>14881.788221808281</v>
      </c>
      <c r="K3790" s="16">
        <f t="shared" si="824"/>
        <v>2638.0048485671714</v>
      </c>
      <c r="L3790" s="16">
        <f t="shared" si="824"/>
        <v>14881.788221808281</v>
      </c>
      <c r="M3790" s="16">
        <f t="shared" si="824"/>
        <v>19842.384295744378</v>
      </c>
    </row>
    <row r="3791" spans="1:13" ht="15" customHeight="1" x14ac:dyDescent="0.2">
      <c r="B3791" s="10" t="s">
        <v>900</v>
      </c>
      <c r="C3791" s="10" t="s">
        <v>199</v>
      </c>
      <c r="D3791" s="28">
        <f>D3785*Inputs!$D$23</f>
        <v>6.4875000000000007</v>
      </c>
      <c r="E3791" s="28">
        <f>E3785*Inputs!$D$23</f>
        <v>8.65</v>
      </c>
      <c r="F3791" s="28">
        <f>F3785*Inputs!$D$23</f>
        <v>6.4875000000000007</v>
      </c>
      <c r="G3791" s="28">
        <f>G3785*Inputs!$D$23</f>
        <v>0</v>
      </c>
      <c r="H3791" s="28">
        <f>H3785*Inputs!$D$23</f>
        <v>0</v>
      </c>
      <c r="I3791" s="28">
        <f>I3785*Inputs!$D$23</f>
        <v>0</v>
      </c>
      <c r="J3791" s="28">
        <f>J3785*Inputs!$D$23</f>
        <v>0</v>
      </c>
      <c r="K3791" s="28">
        <f>K3785*Inputs!$D$23</f>
        <v>0</v>
      </c>
      <c r="L3791" s="28">
        <f>L3785*Inputs!$D$23</f>
        <v>0</v>
      </c>
      <c r="M3791" s="28">
        <f>M3785*Inputs!$D$23</f>
        <v>0</v>
      </c>
    </row>
    <row r="3792" spans="1:13" ht="15" customHeight="1" x14ac:dyDescent="0.2">
      <c r="B3792" s="3" t="s">
        <v>901</v>
      </c>
      <c r="C3792" s="10" t="s">
        <v>896</v>
      </c>
      <c r="D3792" s="28">
        <f>(D3787*$D$3805*(Inputs!$D$7-Inputs!$D$19)-D3791)/(Inputs!$D$7+$D$3806)^D3780</f>
        <v>42.660653925152452</v>
      </c>
      <c r="E3792" s="28">
        <f>(E3787*$D$3805*(Inputs!$D$7-Inputs!$D$19)-E3791)/(Inputs!$D$7+$D$3806)^E3780</f>
        <v>158.31978659613881</v>
      </c>
      <c r="F3792" s="28">
        <f>(F3787*$D$3805*(Inputs!$D$7-Inputs!$D$19)-F3791)/(Inputs!$D$7+$D$3806)^F3780</f>
        <v>236.42483167794978</v>
      </c>
      <c r="G3792" s="28">
        <f>(G3787*$D$3805*(Inputs!$D$7-Inputs!$D$19)-G3791)/(Inputs!$D$7+$D$3806)^G3780</f>
        <v>251.13644561931974</v>
      </c>
      <c r="H3792" s="28">
        <f>(H3787*$D$3805*(Inputs!$D$7-Inputs!$D$19)-H3791)/(Inputs!$D$7+$D$3806)^H3780</f>
        <v>224.24636325224728</v>
      </c>
      <c r="I3792" s="28">
        <f>(I3787*$D$3805*(Inputs!$D$7-Inputs!$D$19)-I3791)/(Inputs!$D$7+$D$3806)^I3780</f>
        <v>200.17337986771702</v>
      </c>
      <c r="J3792" s="28">
        <f>(J3787*$D$3805*(Inputs!$D$7-Inputs!$D$19)-J3791)/(Inputs!$D$7+$D$3806)^J3780</f>
        <v>178.74009622358432</v>
      </c>
      <c r="K3792" s="28">
        <f>(K3787*$D$3805*(Inputs!$D$7-Inputs!$D$19)-K3791)/(Inputs!$D$7+$D$3806)^K3780</f>
        <v>159.60175133740944</v>
      </c>
      <c r="L3792" s="28">
        <f>(L3787*$D$3805*(Inputs!$D$7-Inputs!$D$19)-L3791)/(Inputs!$D$7+$D$3806)^L3780</f>
        <v>142.5126178633399</v>
      </c>
      <c r="M3792" s="28">
        <f>(M3787*$D$3805*(Inputs!$D$7-Inputs!$D$19)-M3791)/(Inputs!$D$7+$D$3806)^M3780</f>
        <v>127.21380172133185</v>
      </c>
    </row>
    <row r="3793" spans="2:13" ht="15" customHeight="1" x14ac:dyDescent="0.2">
      <c r="B3793" s="10" t="s">
        <v>902</v>
      </c>
      <c r="C3793" s="10" t="s">
        <v>110</v>
      </c>
      <c r="D3793" s="16">
        <f>(D3788*Inputs!$D$19-D3789-D3790)/(Inputs!$D$7+$D$3806)^D3780</f>
        <v>-13847.790632947557</v>
      </c>
      <c r="E3793" s="16">
        <f>(E3788*Inputs!$D$19-E3789-E3790)/(Inputs!$D$7+$D$3806)^E3780</f>
        <v>-15370.239105459035</v>
      </c>
      <c r="F3793" s="16">
        <f>(F3788*Inputs!$D$19-F3789-F3790)/(Inputs!$D$7+$D$3806)^F3780</f>
        <v>-8945.8041564234754</v>
      </c>
      <c r="G3793" s="16">
        <f>(G3788*Inputs!$D$19-G3789-G3790)/(Inputs!$D$7+$D$3806)^G3780</f>
        <v>863.80744262020482</v>
      </c>
      <c r="H3793" s="16">
        <f>(H3788*Inputs!$D$19-H3789-H3790)/(Inputs!$D$7+$D$3806)^H3780</f>
        <v>-6404.5339628745278</v>
      </c>
      <c r="I3793" s="16">
        <f>(I3788*Inputs!$D$19-I3789-I3790)/(Inputs!$D$7+$D$3806)^I3780</f>
        <v>-8312.2134333380691</v>
      </c>
      <c r="J3793" s="16">
        <f>(J3788*Inputs!$D$19-J3789-J3790)/(Inputs!$D$7+$D$3806)^J3780</f>
        <v>-5104.8632414329013</v>
      </c>
      <c r="K3793" s="16">
        <f>(K3788*Inputs!$D$19-K3789-K3790)/(Inputs!$D$7+$D$3806)^K3780</f>
        <v>548.96524604578394</v>
      </c>
      <c r="L3793" s="16">
        <f>(L3788*Inputs!$D$19-L3789-L3790)/(Inputs!$D$7+$D$3806)^L3780</f>
        <v>-4070.1971171644977</v>
      </c>
      <c r="M3793" s="16">
        <f>(M3788*Inputs!$D$19-M3789-M3790)/(Inputs!$D$7+$D$3806)^M3780</f>
        <v>-5282.5619084458349</v>
      </c>
    </row>
    <row r="3794" spans="2:13" ht="15" customHeight="1" x14ac:dyDescent="0.2">
      <c r="B3794" s="10" t="s">
        <v>903</v>
      </c>
      <c r="C3794" s="10" t="s">
        <v>110</v>
      </c>
      <c r="D3794" s="16">
        <f t="shared" ref="D3794:M3794" si="825">D3787*$D$3804</f>
        <v>5104.23657104828</v>
      </c>
      <c r="E3794" s="16">
        <f t="shared" si="825"/>
        <v>19447.649581156213</v>
      </c>
      <c r="F3794" s="16">
        <f t="shared" si="825"/>
        <v>31752.301432138542</v>
      </c>
      <c r="G3794" s="16">
        <f t="shared" si="825"/>
        <v>37025.723653988112</v>
      </c>
      <c r="H3794" s="16">
        <f t="shared" si="825"/>
        <v>37025.723653988112</v>
      </c>
      <c r="I3794" s="16">
        <f t="shared" si="825"/>
        <v>37025.723653988112</v>
      </c>
      <c r="J3794" s="16">
        <f t="shared" si="825"/>
        <v>37025.723653988112</v>
      </c>
      <c r="K3794" s="16">
        <f t="shared" si="825"/>
        <v>37025.723653988112</v>
      </c>
      <c r="L3794" s="16">
        <f t="shared" si="825"/>
        <v>37025.723653988112</v>
      </c>
      <c r="M3794" s="16">
        <f t="shared" si="825"/>
        <v>37025.723653988112</v>
      </c>
    </row>
    <row r="3795" spans="2:13" ht="15" customHeight="1" x14ac:dyDescent="0.2">
      <c r="B3795" s="10" t="s">
        <v>904</v>
      </c>
      <c r="C3795" s="10" t="s">
        <v>110</v>
      </c>
      <c r="D3795" s="16">
        <f t="shared" ref="D3795:M3795" si="826">D3794*$D$3805</f>
        <v>3062.5419426289677</v>
      </c>
      <c r="E3795" s="16">
        <f t="shared" si="826"/>
        <v>11668.589748693727</v>
      </c>
      <c r="F3795" s="16">
        <f t="shared" si="826"/>
        <v>19051.380859283123</v>
      </c>
      <c r="G3795" s="16">
        <f t="shared" si="826"/>
        <v>22215.434192392866</v>
      </c>
      <c r="H3795" s="16">
        <f t="shared" si="826"/>
        <v>22215.434192392866</v>
      </c>
      <c r="I3795" s="16">
        <f t="shared" si="826"/>
        <v>22215.434192392866</v>
      </c>
      <c r="J3795" s="16">
        <f t="shared" si="826"/>
        <v>22215.434192392866</v>
      </c>
      <c r="K3795" s="16">
        <f t="shared" si="826"/>
        <v>22215.434192392866</v>
      </c>
      <c r="L3795" s="16">
        <f t="shared" si="826"/>
        <v>22215.434192392866</v>
      </c>
      <c r="M3795" s="16">
        <f t="shared" si="826"/>
        <v>22215.434192392866</v>
      </c>
    </row>
    <row r="3796" spans="2:13" ht="15" customHeight="1" x14ac:dyDescent="0.2">
      <c r="B3796" s="10" t="s">
        <v>905</v>
      </c>
      <c r="C3796" s="10" t="s">
        <v>110</v>
      </c>
      <c r="D3796" s="16">
        <f t="shared" ref="D3796:M3796" si="827">D3795-D3788</f>
        <v>1245.5646566965258</v>
      </c>
      <c r="E3796" s="16">
        <f t="shared" si="827"/>
        <v>4745.7253669440179</v>
      </c>
      <c r="F3796" s="16">
        <f t="shared" si="827"/>
        <v>7748.3760562696225</v>
      </c>
      <c r="G3796" s="16">
        <f t="shared" si="827"/>
        <v>9035.2263516948842</v>
      </c>
      <c r="H3796" s="16">
        <f t="shared" si="827"/>
        <v>9035.2263516948842</v>
      </c>
      <c r="I3796" s="16">
        <f t="shared" si="827"/>
        <v>9035.2263516948842</v>
      </c>
      <c r="J3796" s="16">
        <f t="shared" si="827"/>
        <v>9035.2263516948842</v>
      </c>
      <c r="K3796" s="16">
        <f t="shared" si="827"/>
        <v>9035.2263516948842</v>
      </c>
      <c r="L3796" s="16">
        <f t="shared" si="827"/>
        <v>9035.2263516948842</v>
      </c>
      <c r="M3796" s="16">
        <f t="shared" si="827"/>
        <v>9035.2263516948842</v>
      </c>
    </row>
    <row r="3797" spans="2:13" ht="15" customHeight="1" x14ac:dyDescent="0.2">
      <c r="B3797" s="10" t="s">
        <v>906</v>
      </c>
      <c r="C3797" s="10" t="s">
        <v>110</v>
      </c>
      <c r="D3797" s="16">
        <f>MAX(D3796,Inputs!$D$6)*Inputs!$D$19</f>
        <v>373.66939700895773</v>
      </c>
      <c r="E3797" s="16">
        <f>MAX(E3796,Inputs!$D$6)*Inputs!$D$19</f>
        <v>1423.7176100832053</v>
      </c>
      <c r="F3797" s="16">
        <f>MAX(F3796,Inputs!$D$6)*Inputs!$D$19</f>
        <v>2324.5128168808865</v>
      </c>
      <c r="G3797" s="16">
        <f>MAX(G3796,Inputs!$D$6)*Inputs!$D$19</f>
        <v>2710.5679055084652</v>
      </c>
      <c r="H3797" s="16">
        <f>MAX(H3796,Inputs!$D$6)*Inputs!$D$19</f>
        <v>2710.5679055084652</v>
      </c>
      <c r="I3797" s="16">
        <f>MAX(I3796,Inputs!$D$6)*Inputs!$D$19</f>
        <v>2710.5679055084652</v>
      </c>
      <c r="J3797" s="16">
        <f>MAX(J3796,Inputs!$D$6)*Inputs!$D$19</f>
        <v>2710.5679055084652</v>
      </c>
      <c r="K3797" s="16">
        <f>MAX(K3796,Inputs!$D$6)*Inputs!$D$19</f>
        <v>2710.5679055084652</v>
      </c>
      <c r="L3797" s="16">
        <f>MAX(L3796,Inputs!$D$6)*Inputs!$D$19</f>
        <v>2710.5679055084652</v>
      </c>
      <c r="M3797" s="16">
        <f>MAX(M3796,Inputs!$D$6)*Inputs!$D$19</f>
        <v>2710.5679055084652</v>
      </c>
    </row>
    <row r="3798" spans="2:13" ht="15" customHeight="1" x14ac:dyDescent="0.2">
      <c r="B3798" s="10" t="s">
        <v>907</v>
      </c>
      <c r="C3798" s="10" t="s">
        <v>110</v>
      </c>
      <c r="D3798" s="16">
        <f t="shared" ref="D3798:M3798" si="828">D3791*$D$3804</f>
        <v>263.6711110924785</v>
      </c>
      <c r="E3798" s="16">
        <f t="shared" si="828"/>
        <v>351.56148145663792</v>
      </c>
      <c r="F3798" s="16">
        <f t="shared" si="828"/>
        <v>263.6711110924785</v>
      </c>
      <c r="G3798" s="16">
        <f t="shared" si="828"/>
        <v>0</v>
      </c>
      <c r="H3798" s="16">
        <f t="shared" si="828"/>
        <v>0</v>
      </c>
      <c r="I3798" s="16">
        <f t="shared" si="828"/>
        <v>0</v>
      </c>
      <c r="J3798" s="16">
        <f t="shared" si="828"/>
        <v>0</v>
      </c>
      <c r="K3798" s="16">
        <f t="shared" si="828"/>
        <v>0</v>
      </c>
      <c r="L3798" s="16">
        <f t="shared" si="828"/>
        <v>0</v>
      </c>
      <c r="M3798" s="16">
        <f t="shared" si="828"/>
        <v>0</v>
      </c>
    </row>
    <row r="3799" spans="2:13" ht="15" customHeight="1" x14ac:dyDescent="0.2">
      <c r="B3799" s="10" t="s">
        <v>908</v>
      </c>
      <c r="C3799" s="10" t="s">
        <v>110</v>
      </c>
      <c r="D3799" s="16">
        <f t="shared" ref="D3799:M3799" si="829">D3795-D3797-D3789-D3790-D3798</f>
        <v>-13135.767185618623</v>
      </c>
      <c r="E3799" s="16">
        <f t="shared" si="829"/>
        <v>-10854.647503040987</v>
      </c>
      <c r="F3799" s="16">
        <f t="shared" si="829"/>
        <v>902.22831116360294</v>
      </c>
      <c r="G3799" s="16">
        <f t="shared" si="829"/>
        <v>16866.861438317228</v>
      </c>
      <c r="H3799" s="16">
        <f t="shared" si="829"/>
        <v>4623.0780650761189</v>
      </c>
      <c r="I3799" s="16">
        <f t="shared" si="829"/>
        <v>-337.51800885997727</v>
      </c>
      <c r="J3799" s="16">
        <f t="shared" si="829"/>
        <v>4623.0780650761189</v>
      </c>
      <c r="K3799" s="16">
        <f t="shared" si="829"/>
        <v>16866.861438317228</v>
      </c>
      <c r="L3799" s="16">
        <f t="shared" si="829"/>
        <v>4623.0780650761189</v>
      </c>
      <c r="M3799" s="16">
        <f t="shared" si="829"/>
        <v>-337.51800885997727</v>
      </c>
    </row>
    <row r="3800" spans="2:13" ht="15" customHeight="1" x14ac:dyDescent="0.2">
      <c r="B3800" s="10" t="s">
        <v>909</v>
      </c>
      <c r="C3800" s="10" t="s">
        <v>110</v>
      </c>
      <c r="D3800" s="16">
        <f>D3799/(Inputs!$D$7+$D$3806)^D3780</f>
        <v>-12113.935986261371</v>
      </c>
      <c r="E3800" s="16">
        <f>E3799/(Inputs!$D$7+$D$3806)^E3780</f>
        <v>-8935.6565945183047</v>
      </c>
      <c r="F3800" s="16">
        <f>F3799/(Inputs!$D$7+$D$3806)^F3780</f>
        <v>663.19747107204762</v>
      </c>
      <c r="G3800" s="16">
        <f>G3799/(Inputs!$D$7+$D$3806)^G3780</f>
        <v>11070.732398652855</v>
      </c>
      <c r="H3800" s="16">
        <f>H3799/(Inputs!$D$7+$D$3806)^H3780</f>
        <v>2709.4988320645962</v>
      </c>
      <c r="I3800" s="16">
        <f>I3799/(Inputs!$D$7+$D$3806)^I3780</f>
        <v>-176.57759813842378</v>
      </c>
      <c r="J3800" s="16">
        <f>J3799/(Inputs!$D$7+$D$3806)^J3780</f>
        <v>2159.6608075919908</v>
      </c>
      <c r="K3800" s="16">
        <f>K3799/(Inputs!$D$7+$D$3806)^K3780</f>
        <v>7035.6505805259685</v>
      </c>
      <c r="L3800" s="16">
        <f>L3799/(Inputs!$D$7+$D$3806)^L3780</f>
        <v>1721.9354911938262</v>
      </c>
      <c r="M3800" s="16">
        <f>M3799/(Inputs!$D$7+$D$3806)^M3780</f>
        <v>-112.21825585827159</v>
      </c>
    </row>
    <row r="3801" spans="2:13" ht="15" customHeight="1" x14ac:dyDescent="0.2">
      <c r="B3801" s="3" t="s">
        <v>910</v>
      </c>
      <c r="C3801" s="10" t="s">
        <v>896</v>
      </c>
      <c r="D3801" s="28">
        <f>(D3787*$D$3805-D3791)/(Inputs!$D$7+$D$3806)^D3780</f>
        <v>63.507864509879404</v>
      </c>
      <c r="E3801" s="28">
        <f>(E3787*$D$3805-E3791)/(Inputs!$D$7+$D$3806)^E3780</f>
        <v>229.22288153959471</v>
      </c>
      <c r="F3801" s="28">
        <f>(F3787*$D$3805-F3791)/(Inputs!$D$7+$D$3806)^F3780</f>
        <v>339.79350589880926</v>
      </c>
      <c r="G3801" s="28">
        <f>(G3787*$D$3805-G3791)/(Inputs!$D$7+$D$3806)^G3780</f>
        <v>358.76635088474251</v>
      </c>
      <c r="H3801" s="28">
        <f>(H3787*$D$3805-H3791)/(Inputs!$D$7+$D$3806)^H3780</f>
        <v>320.3519475032104</v>
      </c>
      <c r="I3801" s="28">
        <f>(I3787*$D$3805-I3791)/(Inputs!$D$7+$D$3806)^I3780</f>
        <v>285.96197123959575</v>
      </c>
      <c r="J3801" s="28">
        <f>(J3787*$D$3805-J3791)/(Inputs!$D$7+$D$3806)^J3780</f>
        <v>255.34299460512048</v>
      </c>
      <c r="K3801" s="28">
        <f>(K3787*$D$3805-K3791)/(Inputs!$D$7+$D$3806)^K3780</f>
        <v>228.0025019105849</v>
      </c>
      <c r="L3801" s="28">
        <f>(L3787*$D$3805-L3791)/(Inputs!$D$7+$D$3806)^L3780</f>
        <v>203.58945409048559</v>
      </c>
      <c r="M3801" s="28">
        <f>(M3787*$D$3805-M3791)/(Inputs!$D$7+$D$3806)^M3780</f>
        <v>181.73400245904551</v>
      </c>
    </row>
    <row r="3802" spans="2:13" ht="15" customHeight="1" x14ac:dyDescent="0.2">
      <c r="B3802" s="10" t="s">
        <v>911</v>
      </c>
      <c r="C3802" s="10" t="s">
        <v>110</v>
      </c>
      <c r="D3802" s="16">
        <f>(-D3789-D3790)/(Inputs!$D$7+$D$3806)^D3780</f>
        <v>-14350.481025200577</v>
      </c>
      <c r="E3802" s="16">
        <f>(-E3789-E3790)/(Inputs!$D$7+$D$3806)^E3780</f>
        <v>-17079.930887207098</v>
      </c>
      <c r="F3802" s="16">
        <f>(-F3789-F3790)/(Inputs!$D$7+$D$3806)^F3780</f>
        <v>-11438.340948315768</v>
      </c>
      <c r="G3802" s="16">
        <f>(-G3789-G3790)/(Inputs!$D$7+$D$3806)^G3780</f>
        <v>-1731.4807411941122</v>
      </c>
      <c r="H3802" s="16">
        <f>(-H3789-H3790)/(Inputs!$D$7+$D$3806)^H3780</f>
        <v>-8721.9353076959778</v>
      </c>
      <c r="I3802" s="16">
        <f>(-I3789-I3790)/(Inputs!$D$7+$D$3806)^I3780</f>
        <v>-10380.8403353543</v>
      </c>
      <c r="J3802" s="16">
        <f>(-J3789-J3790)/(Inputs!$D$7+$D$3806)^J3780</f>
        <v>-6951.9948218729187</v>
      </c>
      <c r="K3802" s="16">
        <f>(-K3789-K3790)/(Inputs!$D$7+$D$3806)^K3780</f>
        <v>-1100.3873134386547</v>
      </c>
      <c r="L3802" s="16">
        <f>(-L3789-L3790)/(Inputs!$D$7+$D$3806)^L3780</f>
        <v>-5542.947566718196</v>
      </c>
      <c r="M3802" s="16">
        <f>(-M3789-M3790)/(Inputs!$D$7+$D$3806)^M3780</f>
        <v>-6597.2117021517279</v>
      </c>
    </row>
    <row r="3803" spans="2:13" ht="15" customHeight="1" x14ac:dyDescent="0.2">
      <c r="B3803" s="10" t="s">
        <v>912</v>
      </c>
      <c r="C3803" s="10" t="s">
        <v>110</v>
      </c>
      <c r="D3803" s="16">
        <f>Prices!I9</f>
        <v>21850</v>
      </c>
    </row>
    <row r="3804" spans="2:13" ht="15" customHeight="1" x14ac:dyDescent="0.2">
      <c r="B3804" s="3" t="s">
        <v>913</v>
      </c>
      <c r="C3804" s="10" t="s">
        <v>914</v>
      </c>
      <c r="D3804" s="28">
        <f>IF(J3811&gt;=J3807,J3811,(D3803-J3810)/J3809)</f>
        <v>40.642945833137333</v>
      </c>
      <c r="G3804" s="99" t="s">
        <v>915</v>
      </c>
      <c r="H3804" s="91"/>
      <c r="I3804" s="91"/>
      <c r="J3804" s="28">
        <f>D3804*Inputs!$D$15</f>
        <v>28.364711896946542</v>
      </c>
      <c r="K3804" s="99" t="s">
        <v>916</v>
      </c>
      <c r="L3804" s="91"/>
      <c r="M3804" s="91"/>
    </row>
    <row r="3805" spans="2:13" ht="15" customHeight="1" x14ac:dyDescent="0.2">
      <c r="B3805" s="10" t="s">
        <v>917</v>
      </c>
      <c r="C3805" s="10" t="s">
        <v>104</v>
      </c>
      <c r="D3805" s="30">
        <f>Inputs!$D$142</f>
        <v>0.6</v>
      </c>
      <c r="G3805" s="99" t="s">
        <v>918</v>
      </c>
      <c r="H3805" s="91"/>
      <c r="I3805" s="91"/>
      <c r="J3805" s="28">
        <f>IF(-D3816/D3815&gt;=J3807,-D3816/D3815,-J3810/J3809)</f>
        <v>33.575423983231723</v>
      </c>
      <c r="K3805" s="99" t="s">
        <v>919</v>
      </c>
      <c r="L3805" s="91"/>
      <c r="M3805" s="91"/>
    </row>
    <row r="3806" spans="2:13" ht="15" customHeight="1" x14ac:dyDescent="0.2">
      <c r="B3806" s="10" t="s">
        <v>920</v>
      </c>
      <c r="C3806" s="10" t="s">
        <v>104</v>
      </c>
      <c r="D3806" s="30">
        <f>Inputs!$D$148</f>
        <v>0.12</v>
      </c>
      <c r="G3806" s="99" t="s">
        <v>918</v>
      </c>
      <c r="H3806" s="91"/>
      <c r="I3806" s="91"/>
      <c r="J3806" s="28">
        <f>J3805*Inputs!$D$15</f>
        <v>23.43228839789742</v>
      </c>
      <c r="K3806" s="99" t="s">
        <v>916</v>
      </c>
      <c r="L3806" s="91"/>
      <c r="M3806" s="91"/>
    </row>
    <row r="3807" spans="2:13" ht="15" customHeight="1" x14ac:dyDescent="0.2">
      <c r="B3807" s="3" t="s">
        <v>921</v>
      </c>
      <c r="C3807" s="10" t="s">
        <v>848</v>
      </c>
      <c r="D3807" s="28">
        <f>Capital!$D$13</f>
        <v>57.347931490590682</v>
      </c>
      <c r="G3807" s="99" t="s">
        <v>922</v>
      </c>
      <c r="H3807" s="91"/>
      <c r="I3807" s="91"/>
      <c r="J3807" s="28">
        <f>($D$3807/Inputs!$D$21+$D$3808/Inputs!$D$22)/$D$3805</f>
        <v>24.113076913095469</v>
      </c>
      <c r="K3807" s="99" t="s">
        <v>919</v>
      </c>
      <c r="L3807" s="91"/>
      <c r="M3807" s="91"/>
    </row>
    <row r="3808" spans="2:13" ht="15" customHeight="1" x14ac:dyDescent="0.2">
      <c r="B3808" s="3" t="s">
        <v>923</v>
      </c>
      <c r="C3808" s="10" t="s">
        <v>848</v>
      </c>
      <c r="D3808" s="28">
        <f>Capital!$D$14</f>
        <v>2.6172655041921802</v>
      </c>
    </row>
    <row r="3809" spans="1:13" ht="15" customHeight="1" x14ac:dyDescent="0.2">
      <c r="B3809" s="10" t="s">
        <v>924</v>
      </c>
      <c r="C3809" s="10" t="s">
        <v>896</v>
      </c>
      <c r="D3809" s="28">
        <f>(M3782*(Inputs!$D$7+Inputs!$D$20)*$D$3805*(Inputs!$D$7-Inputs!$D$19)-M3782*Inputs!$D$20*Inputs!$D$23)/($D$3806-Inputs!$D$20)/(Inputs!$D$7+$D$3806)^M3780</f>
        <v>1370.577268545301</v>
      </c>
      <c r="G3809" s="92" t="s">
        <v>910</v>
      </c>
      <c r="H3809" s="91"/>
      <c r="I3809" s="91"/>
      <c r="J3809" s="28">
        <f>SUM(D3801:M3801)+(M3782*(Inputs!$D$7+Inputs!$D$20)*$D$3805-M3782*Inputs!$D$20*Inputs!$D$23)/($D$3806-Inputs!$D$20)/(Inputs!$D$7+$D$3806)^M3780</f>
        <v>4425.0950143038062</v>
      </c>
      <c r="K3809" s="99" t="s">
        <v>896</v>
      </c>
      <c r="L3809" s="91"/>
      <c r="M3809" s="91"/>
    </row>
    <row r="3810" spans="1:13" ht="15" customHeight="1" x14ac:dyDescent="0.2">
      <c r="B3810" s="10" t="s">
        <v>925</v>
      </c>
      <c r="C3810" s="10" t="s">
        <v>110</v>
      </c>
      <c r="D3810" s="16">
        <f>(D3813*Inputs!$D$19-D3813-D3814)/($D$3806-Inputs!$D$20)/(Inputs!$D$7+$D$3806)^M3780</f>
        <v>-37876.58483194092</v>
      </c>
      <c r="G3810" s="92" t="s">
        <v>926</v>
      </c>
      <c r="H3810" s="91"/>
      <c r="I3810" s="91"/>
      <c r="J3810" s="16">
        <f>SUM(D3802:M3802)-(D3813+D3814)/($D$3806-Inputs!$D$20)/(Inputs!$D$7+$D$3806)^M3780</f>
        <v>-135956.51483423277</v>
      </c>
      <c r="K3810" s="99" t="s">
        <v>110</v>
      </c>
      <c r="L3810" s="91"/>
      <c r="M3810" s="91"/>
    </row>
    <row r="3811" spans="1:13" ht="15" customHeight="1" x14ac:dyDescent="0.2">
      <c r="B3811" s="10" t="s">
        <v>927</v>
      </c>
      <c r="C3811" s="10" t="s">
        <v>928</v>
      </c>
      <c r="D3811" s="16">
        <f>(M3782*(Inputs!$D$7+Inputs!$D$20)*$D$3804*$D$3805-D3813)-MAX((M3782*(Inputs!$D$7+Inputs!$D$20)*$D$3804*$D$3805-D3813),Inputs!$D$6)*Inputs!$D$19-D3814-M3782*Inputs!$D$20*$D$3804*Inputs!$D$23</f>
        <v>5093.9264685011549</v>
      </c>
      <c r="G3811" s="99" t="s">
        <v>929</v>
      </c>
      <c r="H3811" s="91"/>
      <c r="I3811" s="91"/>
      <c r="J3811" s="28">
        <f>(D3803-D3816)/D3815</f>
        <v>40.642945833137333</v>
      </c>
      <c r="K3811" s="99" t="s">
        <v>919</v>
      </c>
      <c r="L3811" s="91"/>
      <c r="M3811" s="91"/>
    </row>
    <row r="3812" spans="1:13" ht="15" customHeight="1" x14ac:dyDescent="0.2">
      <c r="B3812" s="10" t="s">
        <v>930</v>
      </c>
      <c r="C3812" s="10" t="s">
        <v>110</v>
      </c>
      <c r="D3812" s="16">
        <f>D3811/($D$3806-Inputs!$D$20)</f>
        <v>53620.278615801632</v>
      </c>
      <c r="G3812" s="99" t="s">
        <v>931</v>
      </c>
      <c r="H3812" s="91"/>
      <c r="I3812" s="91"/>
      <c r="J3812" s="16">
        <f>MIN(D3796:M3796,(M3782*(Inputs!$D$7+Inputs!$D$20)*$D$3804*$D$3805-D3813))</f>
        <v>1245.5646566965258</v>
      </c>
      <c r="K3812" s="99" t="s">
        <v>110</v>
      </c>
      <c r="L3812" s="91"/>
      <c r="M3812" s="91"/>
    </row>
    <row r="3813" spans="1:13" ht="15" customHeight="1" x14ac:dyDescent="0.2">
      <c r="B3813" s="10" t="s">
        <v>932</v>
      </c>
      <c r="C3813" s="10" t="s">
        <v>928</v>
      </c>
      <c r="D3813" s="16">
        <f>M3782*(Inputs!$D$7+Inputs!$D$20)*($D$3807/Inputs!$D$21+$D$3808/Inputs!$D$22)</f>
        <v>13509.71303671543</v>
      </c>
      <c r="G3813" s="99" t="s">
        <v>933</v>
      </c>
      <c r="H3813" s="91"/>
      <c r="I3813" s="91"/>
      <c r="J3813" s="31" t="str">
        <f>IF(J3812&lt;Inputs!$D$6,"breached","satisfied")</f>
        <v>satisfied</v>
      </c>
      <c r="K3813" s="99" t="s">
        <v>934</v>
      </c>
      <c r="L3813" s="91"/>
      <c r="M3813" s="91"/>
    </row>
    <row r="3814" spans="1:13" ht="15" customHeight="1" x14ac:dyDescent="0.2">
      <c r="B3814" s="10" t="s">
        <v>935</v>
      </c>
      <c r="C3814" s="10" t="s">
        <v>928</v>
      </c>
      <c r="D3814" s="16">
        <f>M3782*Inputs!$D$20*($D$3807+$D$3808)</f>
        <v>1365.7073615561799</v>
      </c>
    </row>
    <row r="3815" spans="1:13" ht="15" customHeight="1" x14ac:dyDescent="0.2">
      <c r="B3815" s="10" t="s">
        <v>936</v>
      </c>
      <c r="C3815" s="10" t="s">
        <v>896</v>
      </c>
      <c r="D3815" s="28">
        <f>SUM(D3792:M3792)+D3809</f>
        <v>3091.6069966294917</v>
      </c>
      <c r="G3815" s="99" t="s">
        <v>937</v>
      </c>
      <c r="H3815" s="91"/>
      <c r="I3815" s="91"/>
      <c r="J3815" s="16">
        <f>D3817-D3803</f>
        <v>0</v>
      </c>
      <c r="K3815" s="99" t="s">
        <v>110</v>
      </c>
      <c r="L3815" s="91"/>
      <c r="M3815" s="91"/>
    </row>
    <row r="3816" spans="1:13" ht="15" customHeight="1" x14ac:dyDescent="0.2">
      <c r="B3816" s="10" t="s">
        <v>938</v>
      </c>
      <c r="C3816" s="10" t="s">
        <v>110</v>
      </c>
      <c r="D3816" s="16">
        <f>SUM(D3793:M3793)+D3810</f>
        <v>-103802.01570136083</v>
      </c>
    </row>
    <row r="3817" spans="1:13" ht="15" customHeight="1" x14ac:dyDescent="0.2">
      <c r="B3817" s="10" t="s">
        <v>939</v>
      </c>
      <c r="C3817" s="10" t="s">
        <v>110</v>
      </c>
      <c r="D3817" s="16">
        <f>SUM(D3800:M3800)+D3812/(Inputs!$D$7+$D$3806)^M3780</f>
        <v>21849.999999999993</v>
      </c>
    </row>
    <row r="3818" spans="1:13" ht="15" customHeight="1" x14ac:dyDescent="0.2">
      <c r="B3818" s="10" t="s">
        <v>940</v>
      </c>
      <c r="C3818" s="10" t="s">
        <v>104</v>
      </c>
      <c r="D3818" s="30">
        <f>IF(ABS(D3803)&gt;Inputs!$D$6,D3817/D3803-Inputs!$D$7,Inputs!$D$6)</f>
        <v>-3.3306690738754696E-16</v>
      </c>
    </row>
    <row r="3819" spans="1:13" ht="15" customHeight="1" x14ac:dyDescent="0.2">
      <c r="B3819" s="10" t="s">
        <v>941</v>
      </c>
      <c r="C3819" s="10" t="s">
        <v>104</v>
      </c>
      <c r="D3819" s="30">
        <f>IF(ABS(D3817)&gt;Inputs!$D$119,D3812/(Inputs!$D$7+$D$3806)^M3780/D3817,Inputs!$D$6)</f>
        <v>0.81591363174714349</v>
      </c>
    </row>
    <row r="3820" spans="1:13" ht="15" customHeight="1" x14ac:dyDescent="0.2">
      <c r="B3820" s="10" t="s">
        <v>942</v>
      </c>
      <c r="C3820" s="10" t="s">
        <v>943</v>
      </c>
      <c r="D3820" s="26">
        <f>$D$3804*Inputs!$D$8/Prices!$P$6/(Inputs!$D$26/Inputs!$D$25)/Inputs!$D$11/Inputs!$D$56</f>
        <v>7.3910431536117418</v>
      </c>
    </row>
    <row r="3824" spans="1:13" ht="15" customHeight="1" x14ac:dyDescent="0.2">
      <c r="A3824" s="104" t="s">
        <v>2248</v>
      </c>
      <c r="B3824" s="10" t="s">
        <v>886</v>
      </c>
      <c r="C3824" s="10" t="s">
        <v>107</v>
      </c>
      <c r="D3824" s="28">
        <f>Inputs!$D$60</f>
        <v>1</v>
      </c>
      <c r="E3824" s="28">
        <f>Inputs!$D$62</f>
        <v>2</v>
      </c>
      <c r="F3824" s="28">
        <f>Inputs!$D$64</f>
        <v>3</v>
      </c>
      <c r="G3824" s="28">
        <f>Inputs!$D$66</f>
        <v>4</v>
      </c>
      <c r="H3824" s="28">
        <f>Inputs!$D$68</f>
        <v>5</v>
      </c>
      <c r="I3824" s="28">
        <f>Inputs!$D$70</f>
        <v>6</v>
      </c>
      <c r="J3824" s="28">
        <f>Inputs!$D$72</f>
        <v>7</v>
      </c>
      <c r="K3824" s="28">
        <f>Inputs!$D$74</f>
        <v>8</v>
      </c>
      <c r="L3824" s="28">
        <f>Inputs!$D$76</f>
        <v>9</v>
      </c>
      <c r="M3824" s="28">
        <f>Inputs!$D$78</f>
        <v>10</v>
      </c>
    </row>
    <row r="3825" spans="1:13" ht="15" customHeight="1" x14ac:dyDescent="0.2">
      <c r="A3825" s="91"/>
      <c r="B3825" s="10" t="s">
        <v>887</v>
      </c>
      <c r="C3825" s="10" t="s">
        <v>161</v>
      </c>
      <c r="D3825" s="29">
        <f>Inputs!$D$61</f>
        <v>46568</v>
      </c>
      <c r="E3825" s="29">
        <f>Inputs!$D$63</f>
        <v>46934</v>
      </c>
      <c r="F3825" s="29">
        <f>Inputs!$D$65</f>
        <v>47299</v>
      </c>
      <c r="G3825" s="29">
        <f>Inputs!$D$67</f>
        <v>47664</v>
      </c>
      <c r="H3825" s="29">
        <f>Inputs!$D$69</f>
        <v>48029</v>
      </c>
      <c r="I3825" s="29">
        <f>Inputs!$D$71</f>
        <v>48395</v>
      </c>
      <c r="J3825" s="29">
        <f>Inputs!$D$73</f>
        <v>48760</v>
      </c>
      <c r="K3825" s="29">
        <f>Inputs!$D$75</f>
        <v>49125</v>
      </c>
      <c r="L3825" s="29">
        <f>Inputs!$D$77</f>
        <v>49490</v>
      </c>
      <c r="M3825" s="29">
        <f>Inputs!$D$79</f>
        <v>49856</v>
      </c>
    </row>
    <row r="3826" spans="1:13" ht="15" customHeight="1" x14ac:dyDescent="0.2">
      <c r="A3826" s="91"/>
      <c r="B3826" s="10" t="s">
        <v>888</v>
      </c>
      <c r="C3826" s="10" t="s">
        <v>107</v>
      </c>
      <c r="D3826" s="28">
        <f>(D3825-Inputs!$D$13)/Inputs!$D$10</f>
        <v>0.71457905544147848</v>
      </c>
      <c r="E3826" s="28">
        <f>(E3825-Inputs!$D$13)/Inputs!$D$10</f>
        <v>1.7166324435318274</v>
      </c>
      <c r="F3826" s="28">
        <f>(F3825-Inputs!$D$13)/Inputs!$D$10</f>
        <v>2.7159479808350446</v>
      </c>
      <c r="G3826" s="28">
        <f>(G3825-Inputs!$D$13)/Inputs!$D$10</f>
        <v>3.7152635181382614</v>
      </c>
      <c r="H3826" s="28">
        <f>(H3825-Inputs!$D$13)/Inputs!$D$10</f>
        <v>4.7145790554414786</v>
      </c>
      <c r="I3826" s="28">
        <f>(I3825-Inputs!$D$13)/Inputs!$D$10</f>
        <v>5.7166324435318279</v>
      </c>
      <c r="J3826" s="28">
        <f>(J3825-Inputs!$D$13)/Inputs!$D$10</f>
        <v>6.7159479808350442</v>
      </c>
      <c r="K3826" s="28">
        <f>(K3825-Inputs!$D$13)/Inputs!$D$10</f>
        <v>7.7152635181382614</v>
      </c>
      <c r="L3826" s="28">
        <f>(L3825-Inputs!$D$13)/Inputs!$D$10</f>
        <v>8.7145790554414777</v>
      </c>
      <c r="M3826" s="28">
        <f>(M3825-Inputs!$D$13)/Inputs!$D$10</f>
        <v>9.716632443531827</v>
      </c>
    </row>
    <row r="3827" spans="1:13" ht="15" customHeight="1" x14ac:dyDescent="0.2">
      <c r="A3827" s="91"/>
      <c r="B3827" s="10" t="s">
        <v>889</v>
      </c>
      <c r="C3827" s="10" t="s">
        <v>107</v>
      </c>
      <c r="D3827" s="28">
        <f>D3826</f>
        <v>0.71457905544147848</v>
      </c>
      <c r="E3827" s="28">
        <f>Inputs!$D$7</f>
        <v>1</v>
      </c>
      <c r="F3827" s="28">
        <f>Inputs!$D$7</f>
        <v>1</v>
      </c>
      <c r="G3827" s="28">
        <f>Inputs!$D$7</f>
        <v>1</v>
      </c>
      <c r="H3827" s="28">
        <f>Inputs!$D$7</f>
        <v>1</v>
      </c>
      <c r="I3827" s="28">
        <f>Inputs!$D$7</f>
        <v>1</v>
      </c>
      <c r="J3827" s="28">
        <f>Inputs!$D$7</f>
        <v>1</v>
      </c>
      <c r="K3827" s="28">
        <f>Inputs!$D$7</f>
        <v>1</v>
      </c>
      <c r="L3827" s="28">
        <f>Inputs!$D$7</f>
        <v>1</v>
      </c>
      <c r="M3827" s="28">
        <f>Inputs!$D$7</f>
        <v>1</v>
      </c>
    </row>
    <row r="3828" spans="1:13" ht="15" customHeight="1" x14ac:dyDescent="0.2">
      <c r="A3828" s="91"/>
      <c r="B3828" s="3" t="s">
        <v>890</v>
      </c>
      <c r="C3828" s="10" t="s">
        <v>199</v>
      </c>
      <c r="D3828" s="28">
        <f>Inputs!$D$24+(Inputs!$D$80-Inputs!$D$24)*Inputs!$D$83</f>
        <v>305.5</v>
      </c>
      <c r="E3828" s="28">
        <f>Inputs!$D$24+(Inputs!$D$80-Inputs!$D$24)*Inputs!$D$84</f>
        <v>651.5</v>
      </c>
      <c r="F3828" s="28">
        <f>Inputs!$D$24+(Inputs!$D$80-Inputs!$D$24)*Inputs!$D$85</f>
        <v>911</v>
      </c>
      <c r="G3828" s="28">
        <f>Inputs!$D$24+(Inputs!$D$80-Inputs!$D$24)*Inputs!$D$86</f>
        <v>911</v>
      </c>
      <c r="H3828" s="28">
        <f>Inputs!$D$24+(Inputs!$D$80-Inputs!$D$24)*Inputs!$D$87</f>
        <v>911</v>
      </c>
      <c r="I3828" s="28">
        <f>Inputs!$D$24+(Inputs!$D$80-Inputs!$D$24)*Inputs!$D$88</f>
        <v>911</v>
      </c>
      <c r="J3828" s="28">
        <f>Inputs!$D$24+(Inputs!$D$80-Inputs!$D$24)*Inputs!$D$89</f>
        <v>911</v>
      </c>
      <c r="K3828" s="28">
        <f>Inputs!$D$24+(Inputs!$D$80-Inputs!$D$24)*Inputs!$D$90</f>
        <v>911</v>
      </c>
      <c r="L3828" s="28">
        <f>Inputs!$D$24+(Inputs!$D$80-Inputs!$D$24)*Inputs!$D$91</f>
        <v>911</v>
      </c>
      <c r="M3828" s="28">
        <f>Inputs!$D$24+(Inputs!$D$80-Inputs!$D$24)*Inputs!$D$92</f>
        <v>911</v>
      </c>
    </row>
    <row r="3829" spans="1:13" ht="15" customHeight="1" x14ac:dyDescent="0.2">
      <c r="A3829" s="91"/>
      <c r="B3829" s="10" t="s">
        <v>891</v>
      </c>
      <c r="C3829" s="10" t="s">
        <v>199</v>
      </c>
      <c r="D3829" s="28">
        <f>Inputs!$D$24</f>
        <v>46</v>
      </c>
      <c r="E3829" s="28">
        <f t="shared" ref="E3829:M3829" si="830">D3828</f>
        <v>305.5</v>
      </c>
      <c r="F3829" s="28">
        <f t="shared" si="830"/>
        <v>651.5</v>
      </c>
      <c r="G3829" s="28">
        <f t="shared" si="830"/>
        <v>911</v>
      </c>
      <c r="H3829" s="28">
        <f t="shared" si="830"/>
        <v>911</v>
      </c>
      <c r="I3829" s="28">
        <f t="shared" si="830"/>
        <v>911</v>
      </c>
      <c r="J3829" s="28">
        <f t="shared" si="830"/>
        <v>911</v>
      </c>
      <c r="K3829" s="28">
        <f t="shared" si="830"/>
        <v>911</v>
      </c>
      <c r="L3829" s="28">
        <f t="shared" si="830"/>
        <v>911</v>
      </c>
      <c r="M3829" s="28">
        <f t="shared" si="830"/>
        <v>911</v>
      </c>
    </row>
    <row r="3830" spans="1:13" ht="15" customHeight="1" x14ac:dyDescent="0.2">
      <c r="B3830" s="10" t="s">
        <v>892</v>
      </c>
      <c r="C3830" s="10" t="s">
        <v>199</v>
      </c>
      <c r="D3830" s="28">
        <f>(D3829+D3828)*Inputs!$D$12</f>
        <v>175.75</v>
      </c>
      <c r="E3830" s="28">
        <f>(E3829+E3828)*Inputs!$D$12</f>
        <v>478.5</v>
      </c>
      <c r="F3830" s="28">
        <f>(F3829+F3828)*Inputs!$D$12</f>
        <v>781.25</v>
      </c>
      <c r="G3830" s="28">
        <f>(G3829+G3828)*Inputs!$D$12</f>
        <v>911</v>
      </c>
      <c r="H3830" s="28">
        <f>(H3829+H3828)*Inputs!$D$12</f>
        <v>911</v>
      </c>
      <c r="I3830" s="28">
        <f>(I3829+I3828)*Inputs!$D$12</f>
        <v>911</v>
      </c>
      <c r="J3830" s="28">
        <f>(J3829+J3828)*Inputs!$D$12</f>
        <v>911</v>
      </c>
      <c r="K3830" s="28">
        <f>(K3829+K3828)*Inputs!$D$12</f>
        <v>911</v>
      </c>
      <c r="L3830" s="28">
        <f>(L3829+L3828)*Inputs!$D$12</f>
        <v>911</v>
      </c>
      <c r="M3830" s="28">
        <f>(M3829+M3828)*Inputs!$D$12</f>
        <v>911</v>
      </c>
    </row>
    <row r="3831" spans="1:13" ht="15" customHeight="1" x14ac:dyDescent="0.2">
      <c r="B3831" s="10" t="s">
        <v>893</v>
      </c>
      <c r="C3831" s="10" t="s">
        <v>199</v>
      </c>
      <c r="D3831" s="28">
        <f t="shared" ref="D3831:M3831" si="831">D3828-D3829</f>
        <v>259.5</v>
      </c>
      <c r="E3831" s="28">
        <f t="shared" si="831"/>
        <v>346</v>
      </c>
      <c r="F3831" s="28">
        <f t="shared" si="831"/>
        <v>259.5</v>
      </c>
      <c r="G3831" s="28">
        <f t="shared" si="831"/>
        <v>0</v>
      </c>
      <c r="H3831" s="28">
        <f t="shared" si="831"/>
        <v>0</v>
      </c>
      <c r="I3831" s="28">
        <f t="shared" si="831"/>
        <v>0</v>
      </c>
      <c r="J3831" s="28">
        <f t="shared" si="831"/>
        <v>0</v>
      </c>
      <c r="K3831" s="28">
        <f t="shared" si="831"/>
        <v>0</v>
      </c>
      <c r="L3831" s="28">
        <f t="shared" si="831"/>
        <v>0</v>
      </c>
      <c r="M3831" s="28">
        <f t="shared" si="831"/>
        <v>0</v>
      </c>
    </row>
    <row r="3832" spans="1:13" ht="15" customHeight="1" x14ac:dyDescent="0.2">
      <c r="B3832" s="10" t="s">
        <v>894</v>
      </c>
      <c r="C3832" s="10" t="s">
        <v>199</v>
      </c>
      <c r="D3832" s="28">
        <f>IF(MOD(D3824,Inputs!$D$21)=Inputs!$D$6,Inputs!$D$24,Inputs!$D$6)+SUMPRODUCT(--(D3824&gt;$D$3824:$M$3824),--(MOD(D3824-$D$3824:$M$3824,Inputs!$D$21)=Inputs!$D$6),$D$3831:$M$3831)</f>
        <v>0</v>
      </c>
      <c r="E3832" s="28">
        <f>IF(MOD(E3824,Inputs!$D$21)=Inputs!$D$6,Inputs!$D$24,Inputs!$D$6)+SUMPRODUCT(--(E3824&gt;$D$3824:$M$3824),--(MOD(E3824-$D$3824:$M$3824,Inputs!$D$21)=Inputs!$D$6),$D$3831:$M$3831)</f>
        <v>0</v>
      </c>
      <c r="F3832" s="28">
        <f>IF(MOD(F3824,Inputs!$D$21)=Inputs!$D$6,Inputs!$D$24,Inputs!$D$6)+SUMPRODUCT(--(F3824&gt;$D$3824:$M$3824),--(MOD(F3824-$D$3824:$M$3824,Inputs!$D$21)=Inputs!$D$6),$D$3831:$M$3831)</f>
        <v>0</v>
      </c>
      <c r="G3832" s="28">
        <f>IF(MOD(G3824,Inputs!$D$21)=Inputs!$D$6,Inputs!$D$24,Inputs!$D$6)+SUMPRODUCT(--(G3824&gt;$D$3824:$M$3824),--(MOD(G3824-$D$3824:$M$3824,Inputs!$D$21)=Inputs!$D$6),$D$3831:$M$3831)</f>
        <v>46</v>
      </c>
      <c r="H3832" s="28">
        <f>IF(MOD(H3824,Inputs!$D$21)=Inputs!$D$6,Inputs!$D$24,Inputs!$D$6)+SUMPRODUCT(--(H3824&gt;$D$3824:$M$3824),--(MOD(H3824-$D$3824:$M$3824,Inputs!$D$21)=Inputs!$D$6),$D$3831:$M$3831)</f>
        <v>259.5</v>
      </c>
      <c r="I3832" s="28">
        <f>IF(MOD(I3824,Inputs!$D$21)=Inputs!$D$6,Inputs!$D$24,Inputs!$D$6)+SUMPRODUCT(--(I3824&gt;$D$3824:$M$3824),--(MOD(I3824-$D$3824:$M$3824,Inputs!$D$21)=Inputs!$D$6),$D$3831:$M$3831)</f>
        <v>346</v>
      </c>
      <c r="J3832" s="28">
        <f>IF(MOD(J3824,Inputs!$D$21)=Inputs!$D$6,Inputs!$D$24,Inputs!$D$6)+SUMPRODUCT(--(J3824&gt;$D$3824:$M$3824),--(MOD(J3824-$D$3824:$M$3824,Inputs!$D$21)=Inputs!$D$6),$D$3831:$M$3831)</f>
        <v>259.5</v>
      </c>
      <c r="K3832" s="28">
        <f>IF(MOD(K3824,Inputs!$D$21)=Inputs!$D$6,Inputs!$D$24,Inputs!$D$6)+SUMPRODUCT(--(K3824&gt;$D$3824:$M$3824),--(MOD(K3824-$D$3824:$M$3824,Inputs!$D$21)=Inputs!$D$6),$D$3831:$M$3831)</f>
        <v>46</v>
      </c>
      <c r="L3832" s="28">
        <f>IF(MOD(L3824,Inputs!$D$21)=Inputs!$D$6,Inputs!$D$24,Inputs!$D$6)+SUMPRODUCT(--(L3824&gt;$D$3824:$M$3824),--(MOD(L3824-$D$3824:$M$3824,Inputs!$D$21)=Inputs!$D$6),$D$3831:$M$3831)</f>
        <v>259.5</v>
      </c>
      <c r="M3832" s="28">
        <f>IF(MOD(M3824,Inputs!$D$21)=Inputs!$D$6,Inputs!$D$24,Inputs!$D$6)+SUMPRODUCT(--(M3824&gt;$D$3824:$M$3824),--(MOD(M3824-$D$3824:$M$3824,Inputs!$D$21)=Inputs!$D$6),$D$3831:$M$3831)</f>
        <v>346</v>
      </c>
    </row>
    <row r="3833" spans="1:13" ht="15" customHeight="1" x14ac:dyDescent="0.2">
      <c r="B3833" s="10" t="s">
        <v>895</v>
      </c>
      <c r="C3833" s="10" t="s">
        <v>896</v>
      </c>
      <c r="D3833" s="28">
        <f t="shared" ref="D3833:M3833" si="832">D3830*D3827</f>
        <v>125.58726899383984</v>
      </c>
      <c r="E3833" s="28">
        <f t="shared" si="832"/>
        <v>478.5</v>
      </c>
      <c r="F3833" s="28">
        <f t="shared" si="832"/>
        <v>781.25</v>
      </c>
      <c r="G3833" s="28">
        <f t="shared" si="832"/>
        <v>911</v>
      </c>
      <c r="H3833" s="28">
        <f t="shared" si="832"/>
        <v>911</v>
      </c>
      <c r="I3833" s="28">
        <f t="shared" si="832"/>
        <v>911</v>
      </c>
      <c r="J3833" s="28">
        <f t="shared" si="832"/>
        <v>911</v>
      </c>
      <c r="K3833" s="28">
        <f t="shared" si="832"/>
        <v>911</v>
      </c>
      <c r="L3833" s="28">
        <f t="shared" si="832"/>
        <v>911</v>
      </c>
      <c r="M3833" s="28">
        <f t="shared" si="832"/>
        <v>911</v>
      </c>
    </row>
    <row r="3834" spans="1:13" ht="15" customHeight="1" x14ac:dyDescent="0.2">
      <c r="B3834" s="10" t="s">
        <v>897</v>
      </c>
      <c r="C3834" s="10" t="s">
        <v>110</v>
      </c>
      <c r="D3834" s="16">
        <f>D3833*($D$3853/Inputs!$D$21+$D$3854/Inputs!$D$22)</f>
        <v>1816.9772859324419</v>
      </c>
      <c r="E3834" s="16">
        <f>E3833*($D$3853/Inputs!$D$21+$D$3854/Inputs!$D$22)</f>
        <v>6922.8643817497086</v>
      </c>
      <c r="F3834" s="16">
        <f>F3833*($D$3853/Inputs!$D$21+$D$3854/Inputs!$D$22)</f>
        <v>11303.0048030135</v>
      </c>
      <c r="G3834" s="16">
        <f>G3833*($D$3853/Inputs!$D$21+$D$3854/Inputs!$D$22)</f>
        <v>13180.207840697982</v>
      </c>
      <c r="H3834" s="16">
        <f>H3833*($D$3853/Inputs!$D$21+$D$3854/Inputs!$D$22)</f>
        <v>13180.207840697982</v>
      </c>
      <c r="I3834" s="16">
        <f>I3833*($D$3853/Inputs!$D$21+$D$3854/Inputs!$D$22)</f>
        <v>13180.207840697982</v>
      </c>
      <c r="J3834" s="16">
        <f>J3833*($D$3853/Inputs!$D$21+$D$3854/Inputs!$D$22)</f>
        <v>13180.207840697982</v>
      </c>
      <c r="K3834" s="16">
        <f>K3833*($D$3853/Inputs!$D$21+$D$3854/Inputs!$D$22)</f>
        <v>13180.207840697982</v>
      </c>
      <c r="L3834" s="16">
        <f>L3833*($D$3853/Inputs!$D$21+$D$3854/Inputs!$D$22)</f>
        <v>13180.207840697982</v>
      </c>
      <c r="M3834" s="16">
        <f>M3833*($D$3853/Inputs!$D$21+$D$3854/Inputs!$D$22)</f>
        <v>13180.207840697982</v>
      </c>
    </row>
    <row r="3835" spans="1:13" ht="15" customHeight="1" x14ac:dyDescent="0.2">
      <c r="B3835" s="10" t="s">
        <v>898</v>
      </c>
      <c r="C3835" s="10" t="s">
        <v>110</v>
      </c>
      <c r="D3835" s="16">
        <f t="shared" ref="D3835:M3835" si="833">D3831*($D$3853+$D$3854)</f>
        <v>15560.968620146154</v>
      </c>
      <c r="E3835" s="16">
        <f t="shared" si="833"/>
        <v>20747.95816019487</v>
      </c>
      <c r="F3835" s="16">
        <f t="shared" si="833"/>
        <v>15560.968620146154</v>
      </c>
      <c r="G3835" s="16">
        <f t="shared" si="833"/>
        <v>0</v>
      </c>
      <c r="H3835" s="16">
        <f t="shared" si="833"/>
        <v>0</v>
      </c>
      <c r="I3835" s="16">
        <f t="shared" si="833"/>
        <v>0</v>
      </c>
      <c r="J3835" s="16">
        <f t="shared" si="833"/>
        <v>0</v>
      </c>
      <c r="K3835" s="16">
        <f t="shared" si="833"/>
        <v>0</v>
      </c>
      <c r="L3835" s="16">
        <f t="shared" si="833"/>
        <v>0</v>
      </c>
      <c r="M3835" s="16">
        <f t="shared" si="833"/>
        <v>0</v>
      </c>
    </row>
    <row r="3836" spans="1:13" ht="15" customHeight="1" x14ac:dyDescent="0.2">
      <c r="B3836" s="10" t="s">
        <v>899</v>
      </c>
      <c r="C3836" s="10" t="s">
        <v>110</v>
      </c>
      <c r="D3836" s="16">
        <f t="shared" ref="D3836:M3836" si="834">D3832*$D$3853</f>
        <v>0</v>
      </c>
      <c r="E3836" s="16">
        <f t="shared" si="834"/>
        <v>0</v>
      </c>
      <c r="F3836" s="16">
        <f t="shared" si="834"/>
        <v>0</v>
      </c>
      <c r="G3836" s="16">
        <f t="shared" si="834"/>
        <v>2638.0048485671714</v>
      </c>
      <c r="H3836" s="16">
        <f t="shared" si="834"/>
        <v>14881.788221808281</v>
      </c>
      <c r="I3836" s="16">
        <f t="shared" si="834"/>
        <v>19842.384295744378</v>
      </c>
      <c r="J3836" s="16">
        <f t="shared" si="834"/>
        <v>14881.788221808281</v>
      </c>
      <c r="K3836" s="16">
        <f t="shared" si="834"/>
        <v>2638.0048485671714</v>
      </c>
      <c r="L3836" s="16">
        <f t="shared" si="834"/>
        <v>14881.788221808281</v>
      </c>
      <c r="M3836" s="16">
        <f t="shared" si="834"/>
        <v>19842.384295744378</v>
      </c>
    </row>
    <row r="3837" spans="1:13" ht="15" customHeight="1" x14ac:dyDescent="0.2">
      <c r="B3837" s="10" t="s">
        <v>900</v>
      </c>
      <c r="C3837" s="10" t="s">
        <v>199</v>
      </c>
      <c r="D3837" s="28">
        <f>D3831*Inputs!$D$23</f>
        <v>6.4875000000000007</v>
      </c>
      <c r="E3837" s="28">
        <f>E3831*Inputs!$D$23</f>
        <v>8.65</v>
      </c>
      <c r="F3837" s="28">
        <f>F3831*Inputs!$D$23</f>
        <v>6.4875000000000007</v>
      </c>
      <c r="G3837" s="28">
        <f>G3831*Inputs!$D$23</f>
        <v>0</v>
      </c>
      <c r="H3837" s="28">
        <f>H3831*Inputs!$D$23</f>
        <v>0</v>
      </c>
      <c r="I3837" s="28">
        <f>I3831*Inputs!$D$23</f>
        <v>0</v>
      </c>
      <c r="J3837" s="28">
        <f>J3831*Inputs!$D$23</f>
        <v>0</v>
      </c>
      <c r="K3837" s="28">
        <f>K3831*Inputs!$D$23</f>
        <v>0</v>
      </c>
      <c r="L3837" s="28">
        <f>L3831*Inputs!$D$23</f>
        <v>0</v>
      </c>
      <c r="M3837" s="28">
        <f>M3831*Inputs!$D$23</f>
        <v>0</v>
      </c>
    </row>
    <row r="3838" spans="1:13" ht="15" customHeight="1" x14ac:dyDescent="0.2">
      <c r="B3838" s="3" t="s">
        <v>901</v>
      </c>
      <c r="C3838" s="10" t="s">
        <v>896</v>
      </c>
      <c r="D3838" s="28">
        <f>(D3833*$D$3851*(Inputs!$D$7-Inputs!$D$19)-D3837)/(Inputs!$D$7+$D$3852)^D3826</f>
        <v>42.12449054053662</v>
      </c>
      <c r="E3838" s="28">
        <f>(E3833*$D$3851*(Inputs!$D$7-Inputs!$D$19)-E3837)/(Inputs!$D$7+$D$3852)^E3826</f>
        <v>153.58179400579681</v>
      </c>
      <c r="F3838" s="28">
        <f>(F3833*$D$3851*(Inputs!$D$7-Inputs!$D$19)-F3837)/(Inputs!$D$7+$D$3852)^F3826</f>
        <v>225.32846683817894</v>
      </c>
      <c r="G3838" s="28">
        <f>(G3833*$D$3851*(Inputs!$D$7-Inputs!$D$19)-G3837)/(Inputs!$D$7+$D$3852)^G3826</f>
        <v>235.15333868354651</v>
      </c>
      <c r="H3838" s="28">
        <f>(H3833*$D$3851*(Inputs!$D$7-Inputs!$D$19)-H3837)/(Inputs!$D$7+$D$3852)^H3826</f>
        <v>206.29335886963301</v>
      </c>
      <c r="I3838" s="28">
        <f>(I3833*$D$3851*(Inputs!$D$7-Inputs!$D$19)-I3837)/(Inputs!$D$7+$D$3852)^I3826</f>
        <v>180.9104058955611</v>
      </c>
      <c r="J3838" s="28">
        <f>(J3833*$D$3851*(Inputs!$D$7-Inputs!$D$19)-J3837)/(Inputs!$D$7+$D$3852)^J3826</f>
        <v>158.70757138977953</v>
      </c>
      <c r="K3838" s="28">
        <f>(K3833*$D$3851*(Inputs!$D$7-Inputs!$D$19)-K3837)/(Inputs!$D$7+$D$3852)^K3826</f>
        <v>139.22965399228033</v>
      </c>
      <c r="L3838" s="28">
        <f>(L3833*$D$3851*(Inputs!$D$7-Inputs!$D$19)-L3837)/(Inputs!$D$7+$D$3852)^L3826</f>
        <v>122.14222913916039</v>
      </c>
      <c r="M3838" s="28">
        <f>(M3833*$D$3851*(Inputs!$D$7-Inputs!$D$19)-M3837)/(Inputs!$D$7+$D$3852)^M3826</f>
        <v>107.11348330179737</v>
      </c>
    </row>
    <row r="3839" spans="1:13" ht="15" customHeight="1" x14ac:dyDescent="0.2">
      <c r="B3839" s="10" t="s">
        <v>902</v>
      </c>
      <c r="C3839" s="10" t="s">
        <v>110</v>
      </c>
      <c r="D3839" s="16">
        <f>(D3834*Inputs!$D$19-D3835-D3836)/(Inputs!$D$7+$D$3852)^D3826</f>
        <v>-13673.750208995338</v>
      </c>
      <c r="E3839" s="16">
        <f>(E3834*Inputs!$D$19-E3835-E3836)/(Inputs!$D$7+$D$3852)^E3826</f>
        <v>-14910.258198718562</v>
      </c>
      <c r="F3839" s="16">
        <f>(F3834*Inputs!$D$19-F3835-F3836)/(Inputs!$D$7+$D$3852)^F3826</f>
        <v>-8525.9417164238148</v>
      </c>
      <c r="G3839" s="16">
        <f>(G3834*Inputs!$D$19-G3835-G3836)/(Inputs!$D$7+$D$3852)^G3826</f>
        <v>808.83204192410847</v>
      </c>
      <c r="H3839" s="16">
        <f>(H3834*Inputs!$D$19-H3835-H3836)/(Inputs!$D$7+$D$3852)^H3826</f>
        <v>-5891.7915280072548</v>
      </c>
      <c r="I3839" s="16">
        <f>(I3834*Inputs!$D$19-I3835-I3836)/(Inputs!$D$7+$D$3852)^I3826</f>
        <v>-7512.3171078465948</v>
      </c>
      <c r="J3839" s="16">
        <f>(J3834*Inputs!$D$19-J3835-J3836)/(Inputs!$D$7+$D$3852)^J3826</f>
        <v>-4532.7291662153211</v>
      </c>
      <c r="K3839" s="16">
        <f>(K3834*Inputs!$D$19-K3835-K3836)/(Inputs!$D$7+$D$3852)^K3826</f>
        <v>478.89349972832292</v>
      </c>
      <c r="L3839" s="16">
        <f>(L3834*Inputs!$D$19-L3835-L3836)/(Inputs!$D$7+$D$3852)^L3826</f>
        <v>-3488.413562109869</v>
      </c>
      <c r="M3839" s="16">
        <f>(M3834*Inputs!$D$19-M3835-M3836)/(Inputs!$D$7+$D$3852)^M3826</f>
        <v>-4447.8947969066312</v>
      </c>
    </row>
    <row r="3840" spans="1:13" ht="15" customHeight="1" x14ac:dyDescent="0.2">
      <c r="B3840" s="10" t="s">
        <v>903</v>
      </c>
      <c r="C3840" s="10" t="s">
        <v>110</v>
      </c>
      <c r="D3840" s="16">
        <f t="shared" ref="D3840:M3840" si="835">D3833*$D$3850</f>
        <v>5468.0702554160098</v>
      </c>
      <c r="E3840" s="16">
        <f t="shared" si="835"/>
        <v>20833.892146702394</v>
      </c>
      <c r="F3840" s="16">
        <f t="shared" si="835"/>
        <v>34015.628504934684</v>
      </c>
      <c r="G3840" s="16">
        <f t="shared" si="835"/>
        <v>39664.94408703423</v>
      </c>
      <c r="H3840" s="16">
        <f t="shared" si="835"/>
        <v>39664.94408703423</v>
      </c>
      <c r="I3840" s="16">
        <f t="shared" si="835"/>
        <v>39664.94408703423</v>
      </c>
      <c r="J3840" s="16">
        <f t="shared" si="835"/>
        <v>39664.94408703423</v>
      </c>
      <c r="K3840" s="16">
        <f t="shared" si="835"/>
        <v>39664.94408703423</v>
      </c>
      <c r="L3840" s="16">
        <f t="shared" si="835"/>
        <v>39664.94408703423</v>
      </c>
      <c r="M3840" s="16">
        <f t="shared" si="835"/>
        <v>39664.94408703423</v>
      </c>
    </row>
    <row r="3841" spans="2:13" ht="15" customHeight="1" x14ac:dyDescent="0.2">
      <c r="B3841" s="10" t="s">
        <v>904</v>
      </c>
      <c r="C3841" s="10" t="s">
        <v>110</v>
      </c>
      <c r="D3841" s="16">
        <f t="shared" ref="D3841:M3841" si="836">D3840*$D$3851</f>
        <v>3280.8421532496059</v>
      </c>
      <c r="E3841" s="16">
        <f t="shared" si="836"/>
        <v>12500.335288021435</v>
      </c>
      <c r="F3841" s="16">
        <f t="shared" si="836"/>
        <v>20409.377102960811</v>
      </c>
      <c r="G3841" s="16">
        <f t="shared" si="836"/>
        <v>23798.966452220538</v>
      </c>
      <c r="H3841" s="16">
        <f t="shared" si="836"/>
        <v>23798.966452220538</v>
      </c>
      <c r="I3841" s="16">
        <f t="shared" si="836"/>
        <v>23798.966452220538</v>
      </c>
      <c r="J3841" s="16">
        <f t="shared" si="836"/>
        <v>23798.966452220538</v>
      </c>
      <c r="K3841" s="16">
        <f t="shared" si="836"/>
        <v>23798.966452220538</v>
      </c>
      <c r="L3841" s="16">
        <f t="shared" si="836"/>
        <v>23798.966452220538</v>
      </c>
      <c r="M3841" s="16">
        <f t="shared" si="836"/>
        <v>23798.966452220538</v>
      </c>
    </row>
    <row r="3842" spans="2:13" ht="15" customHeight="1" x14ac:dyDescent="0.2">
      <c r="B3842" s="10" t="s">
        <v>905</v>
      </c>
      <c r="C3842" s="10" t="s">
        <v>110</v>
      </c>
      <c r="D3842" s="16">
        <f t="shared" ref="D3842:M3842" si="837">D3841-D3834</f>
        <v>1463.864867317164</v>
      </c>
      <c r="E3842" s="16">
        <f t="shared" si="837"/>
        <v>5577.4709062717266</v>
      </c>
      <c r="F3842" s="16">
        <f t="shared" si="837"/>
        <v>9106.3722999473102</v>
      </c>
      <c r="G3842" s="16">
        <f t="shared" si="837"/>
        <v>10618.758611522557</v>
      </c>
      <c r="H3842" s="16">
        <f t="shared" si="837"/>
        <v>10618.758611522557</v>
      </c>
      <c r="I3842" s="16">
        <f t="shared" si="837"/>
        <v>10618.758611522557</v>
      </c>
      <c r="J3842" s="16">
        <f t="shared" si="837"/>
        <v>10618.758611522557</v>
      </c>
      <c r="K3842" s="16">
        <f t="shared" si="837"/>
        <v>10618.758611522557</v>
      </c>
      <c r="L3842" s="16">
        <f t="shared" si="837"/>
        <v>10618.758611522557</v>
      </c>
      <c r="M3842" s="16">
        <f t="shared" si="837"/>
        <v>10618.758611522557</v>
      </c>
    </row>
    <row r="3843" spans="2:13" ht="15" customHeight="1" x14ac:dyDescent="0.2">
      <c r="B3843" s="10" t="s">
        <v>906</v>
      </c>
      <c r="C3843" s="10" t="s">
        <v>110</v>
      </c>
      <c r="D3843" s="16">
        <f>MAX(D3842,Inputs!$D$6)*Inputs!$D$19</f>
        <v>439.15946019514917</v>
      </c>
      <c r="E3843" s="16">
        <f>MAX(E3842,Inputs!$D$6)*Inputs!$D$19</f>
        <v>1673.2412718815178</v>
      </c>
      <c r="F3843" s="16">
        <f>MAX(F3842,Inputs!$D$6)*Inputs!$D$19</f>
        <v>2731.9116899841929</v>
      </c>
      <c r="G3843" s="16">
        <f>MAX(G3842,Inputs!$D$6)*Inputs!$D$19</f>
        <v>3185.6275834567668</v>
      </c>
      <c r="H3843" s="16">
        <f>MAX(H3842,Inputs!$D$6)*Inputs!$D$19</f>
        <v>3185.6275834567668</v>
      </c>
      <c r="I3843" s="16">
        <f>MAX(I3842,Inputs!$D$6)*Inputs!$D$19</f>
        <v>3185.6275834567668</v>
      </c>
      <c r="J3843" s="16">
        <f>MAX(J3842,Inputs!$D$6)*Inputs!$D$19</f>
        <v>3185.6275834567668</v>
      </c>
      <c r="K3843" s="16">
        <f>MAX(K3842,Inputs!$D$6)*Inputs!$D$19</f>
        <v>3185.6275834567668</v>
      </c>
      <c r="L3843" s="16">
        <f>MAX(L3842,Inputs!$D$6)*Inputs!$D$19</f>
        <v>3185.6275834567668</v>
      </c>
      <c r="M3843" s="16">
        <f>MAX(M3842,Inputs!$D$6)*Inputs!$D$19</f>
        <v>3185.6275834567668</v>
      </c>
    </row>
    <row r="3844" spans="2:13" ht="15" customHeight="1" x14ac:dyDescent="0.2">
      <c r="B3844" s="10" t="s">
        <v>907</v>
      </c>
      <c r="C3844" s="10" t="s">
        <v>110</v>
      </c>
      <c r="D3844" s="16">
        <f t="shared" ref="D3844:M3844" si="838">D3837*$D$3850</f>
        <v>282.46577910497763</v>
      </c>
      <c r="E3844" s="16">
        <f t="shared" si="838"/>
        <v>376.62103880663682</v>
      </c>
      <c r="F3844" s="16">
        <f t="shared" si="838"/>
        <v>282.46577910497763</v>
      </c>
      <c r="G3844" s="16">
        <f t="shared" si="838"/>
        <v>0</v>
      </c>
      <c r="H3844" s="16">
        <f t="shared" si="838"/>
        <v>0</v>
      </c>
      <c r="I3844" s="16">
        <f t="shared" si="838"/>
        <v>0</v>
      </c>
      <c r="J3844" s="16">
        <f t="shared" si="838"/>
        <v>0</v>
      </c>
      <c r="K3844" s="16">
        <f t="shared" si="838"/>
        <v>0</v>
      </c>
      <c r="L3844" s="16">
        <f t="shared" si="838"/>
        <v>0</v>
      </c>
      <c r="M3844" s="16">
        <f t="shared" si="838"/>
        <v>0</v>
      </c>
    </row>
    <row r="3845" spans="2:13" ht="15" customHeight="1" x14ac:dyDescent="0.2">
      <c r="B3845" s="10" t="s">
        <v>908</v>
      </c>
      <c r="C3845" s="10" t="s">
        <v>110</v>
      </c>
      <c r="D3845" s="16">
        <f t="shared" ref="D3845:M3845" si="839">D3841-D3843-D3835-D3836-D3844</f>
        <v>-13001.751706196674</v>
      </c>
      <c r="E3845" s="16">
        <f t="shared" si="839"/>
        <v>-10297.48518286159</v>
      </c>
      <c r="F3845" s="16">
        <f t="shared" si="839"/>
        <v>1834.0310137254855</v>
      </c>
      <c r="G3845" s="16">
        <f t="shared" si="839"/>
        <v>17975.334020196598</v>
      </c>
      <c r="H3845" s="16">
        <f t="shared" si="839"/>
        <v>5731.5506469554894</v>
      </c>
      <c r="I3845" s="16">
        <f t="shared" si="839"/>
        <v>770.95457301939314</v>
      </c>
      <c r="J3845" s="16">
        <f t="shared" si="839"/>
        <v>5731.5506469554894</v>
      </c>
      <c r="K3845" s="16">
        <f t="shared" si="839"/>
        <v>17975.334020196598</v>
      </c>
      <c r="L3845" s="16">
        <f t="shared" si="839"/>
        <v>5731.5506469554894</v>
      </c>
      <c r="M3845" s="16">
        <f t="shared" si="839"/>
        <v>770.95457301939314</v>
      </c>
    </row>
    <row r="3846" spans="2:13" ht="15" customHeight="1" x14ac:dyDescent="0.2">
      <c r="B3846" s="10" t="s">
        <v>909</v>
      </c>
      <c r="C3846" s="10" t="s">
        <v>110</v>
      </c>
      <c r="D3846" s="16">
        <f>D3845/(Inputs!$D$7+$D$3852)^D3826</f>
        <v>-11839.64970187658</v>
      </c>
      <c r="E3846" s="16">
        <f>E3845/(Inputs!$D$7+$D$3852)^E3826</f>
        <v>-8223.3061986896519</v>
      </c>
      <c r="F3846" s="16">
        <f>F3845/(Inputs!$D$7+$D$3852)^F3826</f>
        <v>1284.8607406052927</v>
      </c>
      <c r="G3846" s="16">
        <f>G3845/(Inputs!$D$7+$D$3852)^G3826</f>
        <v>11047.409463178001</v>
      </c>
      <c r="H3846" s="16">
        <f>H3845/(Inputs!$D$7+$D$3852)^H3826</f>
        <v>3090.2222426738435</v>
      </c>
      <c r="I3846" s="16">
        <f>I3845/(Inputs!$D$7+$D$3852)^I3826</f>
        <v>364.52277646745438</v>
      </c>
      <c r="J3846" s="16">
        <f>J3845/(Inputs!$D$7+$D$3852)^J3826</f>
        <v>2377.3992041080587</v>
      </c>
      <c r="K3846" s="16">
        <f>K3845/(Inputs!$D$7+$D$3852)^K3826</f>
        <v>6540.9532591804873</v>
      </c>
      <c r="L3846" s="16">
        <f>L3845/(Inputs!$D$7+$D$3852)^L3826</f>
        <v>1829.6596425778589</v>
      </c>
      <c r="M3846" s="16">
        <f>M3845/(Inputs!$D$7+$D$3852)^M3826</f>
        <v>215.826746598602</v>
      </c>
    </row>
    <row r="3847" spans="2:13" ht="15" customHeight="1" x14ac:dyDescent="0.2">
      <c r="B3847" s="3" t="s">
        <v>910</v>
      </c>
      <c r="C3847" s="10" t="s">
        <v>896</v>
      </c>
      <c r="D3847" s="28">
        <f>(D3833*$D$3851-D3837)/(Inputs!$D$7+$D$3852)^D3826</f>
        <v>62.70969128813082</v>
      </c>
      <c r="E3847" s="28">
        <f>(E3833*$D$3851-E3837)/(Inputs!$D$7+$D$3852)^E3826</f>
        <v>222.36299158129225</v>
      </c>
      <c r="F3847" s="28">
        <f>(F3833*$D$3851-F3837)/(Inputs!$D$7+$D$3852)^F3826</f>
        <v>323.84563492062864</v>
      </c>
      <c r="G3847" s="28">
        <f>(G3833*$D$3851-G3837)/(Inputs!$D$7+$D$3852)^G3826</f>
        <v>335.933340976495</v>
      </c>
      <c r="H3847" s="28">
        <f>(H3833*$D$3851-H3837)/(Inputs!$D$7+$D$3852)^H3826</f>
        <v>294.70479838519003</v>
      </c>
      <c r="I3847" s="28">
        <f>(I3833*$D$3851-I3837)/(Inputs!$D$7+$D$3852)^I3826</f>
        <v>258.44343699365874</v>
      </c>
      <c r="J3847" s="28">
        <f>(J3833*$D$3851-J3837)/(Inputs!$D$7+$D$3852)^J3826</f>
        <v>226.72510198539933</v>
      </c>
      <c r="K3847" s="28">
        <f>(K3833*$D$3851-K3837)/(Inputs!$D$7+$D$3852)^K3826</f>
        <v>198.89950570325763</v>
      </c>
      <c r="L3847" s="28">
        <f>(L3833*$D$3851-L3837)/(Inputs!$D$7+$D$3852)^L3826</f>
        <v>174.48889877022913</v>
      </c>
      <c r="M3847" s="28">
        <f>(M3833*$D$3851-M3837)/(Inputs!$D$7+$D$3852)^M3826</f>
        <v>153.01926185971055</v>
      </c>
    </row>
    <row r="3848" spans="2:13" ht="15" customHeight="1" x14ac:dyDescent="0.2">
      <c r="B3848" s="10" t="s">
        <v>911</v>
      </c>
      <c r="C3848" s="10" t="s">
        <v>110</v>
      </c>
      <c r="D3848" s="16">
        <f>(-D3835-D3836)/(Inputs!$D$7+$D$3852)^D3826</f>
        <v>-14170.122737893587</v>
      </c>
      <c r="E3848" s="16">
        <f>(-E3835-E3836)/(Inputs!$D$7+$D$3852)^E3826</f>
        <v>-16568.784506031301</v>
      </c>
      <c r="F3848" s="16">
        <f>(-F3835-F3836)/(Inputs!$D$7+$D$3852)^F3826</f>
        <v>-10901.493767656277</v>
      </c>
      <c r="G3848" s="16">
        <f>(-G3835-G3836)/(Inputs!$D$7+$D$3852)^G3826</f>
        <v>-1621.2839046676961</v>
      </c>
      <c r="H3848" s="16">
        <f>(-H3835-H3836)/(Inputs!$D$7+$D$3852)^H3826</f>
        <v>-8023.6633690433682</v>
      </c>
      <c r="I3848" s="16">
        <f>(-I3835-I3836)/(Inputs!$D$7+$D$3852)^I3826</f>
        <v>-9381.8770500204446</v>
      </c>
      <c r="J3848" s="16">
        <f>(-J3835-J3836)/(Inputs!$D$7+$D$3852)^J3826</f>
        <v>-6172.8411129063252</v>
      </c>
      <c r="K3848" s="16">
        <f>(-K3835-K3836)/(Inputs!$D$7+$D$3852)^K3826</f>
        <v>-959.93022397147342</v>
      </c>
      <c r="L3848" s="16">
        <f>(-L3835-L3836)/(Inputs!$D$7+$D$3852)^L3826</f>
        <v>-4750.6528330682277</v>
      </c>
      <c r="M3848" s="16">
        <f>(-M3835-M3836)/(Inputs!$D$7+$D$3852)^M3826</f>
        <v>-5554.82436602912</v>
      </c>
    </row>
    <row r="3849" spans="2:13" ht="15" customHeight="1" x14ac:dyDescent="0.2">
      <c r="B3849" s="10" t="s">
        <v>912</v>
      </c>
      <c r="C3849" s="10" t="s">
        <v>110</v>
      </c>
      <c r="D3849" s="16">
        <f>Prices!I9</f>
        <v>21850</v>
      </c>
    </row>
    <row r="3850" spans="2:13" ht="15" customHeight="1" x14ac:dyDescent="0.2">
      <c r="B3850" s="3" t="s">
        <v>913</v>
      </c>
      <c r="C3850" s="10" t="s">
        <v>914</v>
      </c>
      <c r="D3850" s="28">
        <f>IF(J3857&gt;=J3853,J3857,(D3849-J3856)/J3855)</f>
        <v>43.540004486316391</v>
      </c>
      <c r="G3850" s="99" t="s">
        <v>915</v>
      </c>
      <c r="H3850" s="91"/>
      <c r="I3850" s="91"/>
      <c r="J3850" s="28">
        <f>D3850*Inputs!$D$15</f>
        <v>30.386569131000208</v>
      </c>
      <c r="K3850" s="99" t="s">
        <v>916</v>
      </c>
      <c r="L3850" s="91"/>
      <c r="M3850" s="91"/>
    </row>
    <row r="3851" spans="2:13" ht="15" customHeight="1" x14ac:dyDescent="0.2">
      <c r="B3851" s="10" t="s">
        <v>917</v>
      </c>
      <c r="C3851" s="10" t="s">
        <v>104</v>
      </c>
      <c r="D3851" s="30">
        <f>Inputs!$D$142</f>
        <v>0.6</v>
      </c>
      <c r="G3851" s="99" t="s">
        <v>918</v>
      </c>
      <c r="H3851" s="91"/>
      <c r="I3851" s="91"/>
      <c r="J3851" s="28">
        <f>IF(-D3862/D3861&gt;=J3853,-D3862/D3861,-J3856/J3855)</f>
        <v>34.882787847449642</v>
      </c>
      <c r="K3851" s="99" t="s">
        <v>919</v>
      </c>
      <c r="L3851" s="91"/>
      <c r="M3851" s="91"/>
    </row>
    <row r="3852" spans="2:13" ht="15" customHeight="1" x14ac:dyDescent="0.2">
      <c r="B3852" s="10" t="s">
        <v>920</v>
      </c>
      <c r="C3852" s="10" t="s">
        <v>104</v>
      </c>
      <c r="D3852" s="30">
        <f>Inputs!$D$149</f>
        <v>0.14000000000000001</v>
      </c>
      <c r="G3852" s="99" t="s">
        <v>918</v>
      </c>
      <c r="H3852" s="91"/>
      <c r="I3852" s="91"/>
      <c r="J3852" s="28">
        <f>J3851*Inputs!$D$15</f>
        <v>24.344697638735102</v>
      </c>
      <c r="K3852" s="99" t="s">
        <v>916</v>
      </c>
      <c r="L3852" s="91"/>
      <c r="M3852" s="91"/>
    </row>
    <row r="3853" spans="2:13" ht="15" customHeight="1" x14ac:dyDescent="0.2">
      <c r="B3853" s="3" t="s">
        <v>921</v>
      </c>
      <c r="C3853" s="10" t="s">
        <v>848</v>
      </c>
      <c r="D3853" s="28">
        <f>Capital!$D$13</f>
        <v>57.347931490590682</v>
      </c>
      <c r="G3853" s="99" t="s">
        <v>922</v>
      </c>
      <c r="H3853" s="91"/>
      <c r="I3853" s="91"/>
      <c r="J3853" s="28">
        <f>($D$3853/Inputs!$D$21+$D$3854/Inputs!$D$22)/$D$3851</f>
        <v>24.113076913095469</v>
      </c>
      <c r="K3853" s="99" t="s">
        <v>919</v>
      </c>
      <c r="L3853" s="91"/>
      <c r="M3853" s="91"/>
    </row>
    <row r="3854" spans="2:13" ht="15" customHeight="1" x14ac:dyDescent="0.2">
      <c r="B3854" s="3" t="s">
        <v>923</v>
      </c>
      <c r="C3854" s="10" t="s">
        <v>848</v>
      </c>
      <c r="D3854" s="28">
        <f>Capital!$D$14</f>
        <v>2.6172655041921802</v>
      </c>
    </row>
    <row r="3855" spans="2:13" ht="15" customHeight="1" x14ac:dyDescent="0.2">
      <c r="B3855" s="10" t="s">
        <v>924</v>
      </c>
      <c r="C3855" s="10" t="s">
        <v>896</v>
      </c>
      <c r="D3855" s="28">
        <f>(M3828*(Inputs!$D$7+Inputs!$D$20)*$D$3851*(Inputs!$D$7-Inputs!$D$19)-M3828*Inputs!$D$20*Inputs!$D$23)/($D$3852-Inputs!$D$20)/(Inputs!$D$7+$D$3852)^M3826</f>
        <v>953.32108973830498</v>
      </c>
      <c r="G3855" s="92" t="s">
        <v>910</v>
      </c>
      <c r="H3855" s="91"/>
      <c r="I3855" s="91"/>
      <c r="J3855" s="28">
        <f>SUM(D3847:M3847)+(M3828*(Inputs!$D$7+Inputs!$D$20)*$D$3851-M3828*Inputs!$D$20*Inputs!$D$23)/($D$3852-Inputs!$D$20)/(Inputs!$D$7+$D$3852)^M3826</f>
        <v>3613.6139523923925</v>
      </c>
      <c r="K3855" s="99" t="s">
        <v>896</v>
      </c>
      <c r="L3855" s="91"/>
      <c r="M3855" s="91"/>
    </row>
    <row r="3856" spans="2:13" ht="15" customHeight="1" x14ac:dyDescent="0.2">
      <c r="B3856" s="10" t="s">
        <v>925</v>
      </c>
      <c r="C3856" s="10" t="s">
        <v>110</v>
      </c>
      <c r="D3856" s="16">
        <f>(D3859*Inputs!$D$19-D3859-D3860)/($D$3852-Inputs!$D$20)/(Inputs!$D$7+$D$3852)^M3826</f>
        <v>-26345.502698929216</v>
      </c>
      <c r="G3856" s="92" t="s">
        <v>926</v>
      </c>
      <c r="H3856" s="91"/>
      <c r="I3856" s="91"/>
      <c r="J3856" s="16">
        <f>SUM(D3848:M3848)-(D3859+D3860)/($D$3852-Inputs!$D$20)/(Inputs!$D$7+$D$3852)^M3826</f>
        <v>-114317.08794717836</v>
      </c>
      <c r="K3856" s="99" t="s">
        <v>110</v>
      </c>
      <c r="L3856" s="91"/>
      <c r="M3856" s="91"/>
    </row>
    <row r="3857" spans="1:13" ht="15" customHeight="1" x14ac:dyDescent="0.2">
      <c r="B3857" s="10" t="s">
        <v>927</v>
      </c>
      <c r="C3857" s="10" t="s">
        <v>928</v>
      </c>
      <c r="D3857" s="16">
        <f>(M3828*(Inputs!$D$7+Inputs!$D$20)*$D$3850*$D$3851-D3859)-MAX((M3828*(Inputs!$D$7+Inputs!$D$20)*$D$3850*$D$3851-D3859),Inputs!$D$6)*Inputs!$D$19-D3860-M3828*Inputs!$D$20*$D$3850*Inputs!$D$23</f>
        <v>6228.4613521568563</v>
      </c>
      <c r="G3857" s="99" t="s">
        <v>929</v>
      </c>
      <c r="H3857" s="91"/>
      <c r="I3857" s="91"/>
      <c r="J3857" s="28">
        <f>(D3849-D3862)/D3861</f>
        <v>43.540004486316391</v>
      </c>
      <c r="K3857" s="99" t="s">
        <v>919</v>
      </c>
      <c r="L3857" s="91"/>
      <c r="M3857" s="91"/>
    </row>
    <row r="3858" spans="1:13" ht="15" customHeight="1" x14ac:dyDescent="0.2">
      <c r="B3858" s="10" t="s">
        <v>930</v>
      </c>
      <c r="C3858" s="10" t="s">
        <v>110</v>
      </c>
      <c r="D3858" s="16">
        <f>D3857/($D$3852-Inputs!$D$20)</f>
        <v>54160.533497016135</v>
      </c>
      <c r="G3858" s="99" t="s">
        <v>931</v>
      </c>
      <c r="H3858" s="91"/>
      <c r="I3858" s="91"/>
      <c r="J3858" s="16">
        <f>MIN(D3842:M3842,(M3828*(Inputs!$D$7+Inputs!$D$20)*$D$3850*$D$3851-D3859))</f>
        <v>1463.864867317164</v>
      </c>
      <c r="K3858" s="99" t="s">
        <v>110</v>
      </c>
      <c r="L3858" s="91"/>
      <c r="M3858" s="91"/>
    </row>
    <row r="3859" spans="1:13" ht="15" customHeight="1" x14ac:dyDescent="0.2">
      <c r="B3859" s="10" t="s">
        <v>932</v>
      </c>
      <c r="C3859" s="10" t="s">
        <v>928</v>
      </c>
      <c r="D3859" s="16">
        <f>M3828*(Inputs!$D$7+Inputs!$D$20)*($D$3853/Inputs!$D$21+$D$3854/Inputs!$D$22)</f>
        <v>13509.71303671543</v>
      </c>
      <c r="G3859" s="99" t="s">
        <v>933</v>
      </c>
      <c r="H3859" s="91"/>
      <c r="I3859" s="91"/>
      <c r="J3859" s="31" t="str">
        <f>IF(J3858&lt;Inputs!$D$6,"breached","satisfied")</f>
        <v>satisfied</v>
      </c>
      <c r="K3859" s="99" t="s">
        <v>934</v>
      </c>
      <c r="L3859" s="91"/>
      <c r="M3859" s="91"/>
    </row>
    <row r="3860" spans="1:13" ht="15" customHeight="1" x14ac:dyDescent="0.2">
      <c r="B3860" s="10" t="s">
        <v>935</v>
      </c>
      <c r="C3860" s="10" t="s">
        <v>928</v>
      </c>
      <c r="D3860" s="16">
        <f>M3828*Inputs!$D$20*($D$3853+$D$3854)</f>
        <v>1365.7073615561799</v>
      </c>
    </row>
    <row r="3861" spans="1:13" ht="15" customHeight="1" x14ac:dyDescent="0.2">
      <c r="B3861" s="10" t="s">
        <v>936</v>
      </c>
      <c r="C3861" s="10" t="s">
        <v>896</v>
      </c>
      <c r="D3861" s="28">
        <f>SUM(D3838:M3838)+D3855</f>
        <v>2523.9058823945761</v>
      </c>
      <c r="G3861" s="99" t="s">
        <v>937</v>
      </c>
      <c r="H3861" s="91"/>
      <c r="I3861" s="91"/>
      <c r="J3861" s="16">
        <f>D3863-D3849</f>
        <v>0</v>
      </c>
      <c r="K3861" s="99" t="s">
        <v>110</v>
      </c>
      <c r="L3861" s="91"/>
      <c r="M3861" s="91"/>
    </row>
    <row r="3862" spans="1:13" ht="15" customHeight="1" x14ac:dyDescent="0.2">
      <c r="B3862" s="10" t="s">
        <v>938</v>
      </c>
      <c r="C3862" s="10" t="s">
        <v>110</v>
      </c>
      <c r="D3862" s="16">
        <f>SUM(D3839:M3839)+D3856</f>
        <v>-88040.873442500175</v>
      </c>
    </row>
    <row r="3863" spans="1:13" ht="15" customHeight="1" x14ac:dyDescent="0.2">
      <c r="B3863" s="10" t="s">
        <v>939</v>
      </c>
      <c r="C3863" s="10" t="s">
        <v>110</v>
      </c>
      <c r="D3863" s="16">
        <f>SUM(D3846:M3846)+D3858/(Inputs!$D$7+$D$3852)^M3826</f>
        <v>21849.999999999982</v>
      </c>
    </row>
    <row r="3864" spans="1:13" ht="15" customHeight="1" x14ac:dyDescent="0.2">
      <c r="B3864" s="10" t="s">
        <v>940</v>
      </c>
      <c r="C3864" s="10" t="s">
        <v>104</v>
      </c>
      <c r="D3864" s="30">
        <f>IF(ABS(D3849)&gt;Inputs!$D$6,D3863/D3849-Inputs!$D$7,Inputs!$D$6)</f>
        <v>-7.7715611723760958E-16</v>
      </c>
    </row>
    <row r="3865" spans="1:13" ht="15" customHeight="1" x14ac:dyDescent="0.2">
      <c r="B3865" s="10" t="s">
        <v>941</v>
      </c>
      <c r="C3865" s="10" t="s">
        <v>104</v>
      </c>
      <c r="D3865" s="30">
        <f>IF(ABS(D3863)&gt;Inputs!$D$119,D3858/(Inputs!$D$7+$D$3852)^M3826/D3863,Inputs!$D$6)</f>
        <v>0.69391770366941075</v>
      </c>
    </row>
    <row r="3866" spans="1:13" ht="15" customHeight="1" x14ac:dyDescent="0.2">
      <c r="B3866" s="10" t="s">
        <v>942</v>
      </c>
      <c r="C3866" s="10" t="s">
        <v>943</v>
      </c>
      <c r="D3866" s="26">
        <f>$D$3850*Inputs!$D$8/Prices!$P$6/(Inputs!$D$26/Inputs!$D$25)/Inputs!$D$11/Inputs!$D$56</f>
        <v>7.917882069572717</v>
      </c>
    </row>
    <row r="3870" spans="1:13" ht="15" customHeight="1" x14ac:dyDescent="0.2">
      <c r="A3870" s="104" t="s">
        <v>2249</v>
      </c>
      <c r="B3870" s="10" t="s">
        <v>886</v>
      </c>
      <c r="C3870" s="10" t="s">
        <v>107</v>
      </c>
      <c r="D3870" s="28">
        <f>Inputs!$D$60</f>
        <v>1</v>
      </c>
      <c r="E3870" s="28">
        <f>Inputs!$D$62</f>
        <v>2</v>
      </c>
      <c r="F3870" s="28">
        <f>Inputs!$D$64</f>
        <v>3</v>
      </c>
      <c r="G3870" s="28">
        <f>Inputs!$D$66</f>
        <v>4</v>
      </c>
      <c r="H3870" s="28">
        <f>Inputs!$D$68</f>
        <v>5</v>
      </c>
      <c r="I3870" s="28">
        <f>Inputs!$D$70</f>
        <v>6</v>
      </c>
      <c r="J3870" s="28">
        <f>Inputs!$D$72</f>
        <v>7</v>
      </c>
      <c r="K3870" s="28">
        <f>Inputs!$D$74</f>
        <v>8</v>
      </c>
      <c r="L3870" s="28">
        <f>Inputs!$D$76</f>
        <v>9</v>
      </c>
      <c r="M3870" s="28">
        <f>Inputs!$D$78</f>
        <v>10</v>
      </c>
    </row>
    <row r="3871" spans="1:13" ht="15" customHeight="1" x14ac:dyDescent="0.2">
      <c r="A3871" s="91"/>
      <c r="B3871" s="10" t="s">
        <v>887</v>
      </c>
      <c r="C3871" s="10" t="s">
        <v>161</v>
      </c>
      <c r="D3871" s="29">
        <f>Inputs!$D$61</f>
        <v>46568</v>
      </c>
      <c r="E3871" s="29">
        <f>Inputs!$D$63</f>
        <v>46934</v>
      </c>
      <c r="F3871" s="29">
        <f>Inputs!$D$65</f>
        <v>47299</v>
      </c>
      <c r="G3871" s="29">
        <f>Inputs!$D$67</f>
        <v>47664</v>
      </c>
      <c r="H3871" s="29">
        <f>Inputs!$D$69</f>
        <v>48029</v>
      </c>
      <c r="I3871" s="29">
        <f>Inputs!$D$71</f>
        <v>48395</v>
      </c>
      <c r="J3871" s="29">
        <f>Inputs!$D$73</f>
        <v>48760</v>
      </c>
      <c r="K3871" s="29">
        <f>Inputs!$D$75</f>
        <v>49125</v>
      </c>
      <c r="L3871" s="29">
        <f>Inputs!$D$77</f>
        <v>49490</v>
      </c>
      <c r="M3871" s="29">
        <f>Inputs!$D$79</f>
        <v>49856</v>
      </c>
    </row>
    <row r="3872" spans="1:13" ht="15" customHeight="1" x14ac:dyDescent="0.2">
      <c r="A3872" s="91"/>
      <c r="B3872" s="10" t="s">
        <v>888</v>
      </c>
      <c r="C3872" s="10" t="s">
        <v>107</v>
      </c>
      <c r="D3872" s="28">
        <f>(D3871-Inputs!$D$13)/Inputs!$D$10</f>
        <v>0.71457905544147848</v>
      </c>
      <c r="E3872" s="28">
        <f>(E3871-Inputs!$D$13)/Inputs!$D$10</f>
        <v>1.7166324435318274</v>
      </c>
      <c r="F3872" s="28">
        <f>(F3871-Inputs!$D$13)/Inputs!$D$10</f>
        <v>2.7159479808350446</v>
      </c>
      <c r="G3872" s="28">
        <f>(G3871-Inputs!$D$13)/Inputs!$D$10</f>
        <v>3.7152635181382614</v>
      </c>
      <c r="H3872" s="28">
        <f>(H3871-Inputs!$D$13)/Inputs!$D$10</f>
        <v>4.7145790554414786</v>
      </c>
      <c r="I3872" s="28">
        <f>(I3871-Inputs!$D$13)/Inputs!$D$10</f>
        <v>5.7166324435318279</v>
      </c>
      <c r="J3872" s="28">
        <f>(J3871-Inputs!$D$13)/Inputs!$D$10</f>
        <v>6.7159479808350442</v>
      </c>
      <c r="K3872" s="28">
        <f>(K3871-Inputs!$D$13)/Inputs!$D$10</f>
        <v>7.7152635181382614</v>
      </c>
      <c r="L3872" s="28">
        <f>(L3871-Inputs!$D$13)/Inputs!$D$10</f>
        <v>8.7145790554414777</v>
      </c>
      <c r="M3872" s="28">
        <f>(M3871-Inputs!$D$13)/Inputs!$D$10</f>
        <v>9.716632443531827</v>
      </c>
    </row>
    <row r="3873" spans="1:13" ht="15" customHeight="1" x14ac:dyDescent="0.2">
      <c r="A3873" s="91"/>
      <c r="B3873" s="10" t="s">
        <v>889</v>
      </c>
      <c r="C3873" s="10" t="s">
        <v>107</v>
      </c>
      <c r="D3873" s="28">
        <f>D3872</f>
        <v>0.71457905544147848</v>
      </c>
      <c r="E3873" s="28">
        <f>Inputs!$D$7</f>
        <v>1</v>
      </c>
      <c r="F3873" s="28">
        <f>Inputs!$D$7</f>
        <v>1</v>
      </c>
      <c r="G3873" s="28">
        <f>Inputs!$D$7</f>
        <v>1</v>
      </c>
      <c r="H3873" s="28">
        <f>Inputs!$D$7</f>
        <v>1</v>
      </c>
      <c r="I3873" s="28">
        <f>Inputs!$D$7</f>
        <v>1</v>
      </c>
      <c r="J3873" s="28">
        <f>Inputs!$D$7</f>
        <v>1</v>
      </c>
      <c r="K3873" s="28">
        <f>Inputs!$D$7</f>
        <v>1</v>
      </c>
      <c r="L3873" s="28">
        <f>Inputs!$D$7</f>
        <v>1</v>
      </c>
      <c r="M3873" s="28">
        <f>Inputs!$D$7</f>
        <v>1</v>
      </c>
    </row>
    <row r="3874" spans="1:13" ht="15" customHeight="1" x14ac:dyDescent="0.2">
      <c r="A3874" s="91"/>
      <c r="B3874" s="3" t="s">
        <v>890</v>
      </c>
      <c r="C3874" s="10" t="s">
        <v>199</v>
      </c>
      <c r="D3874" s="28">
        <f>Inputs!$D$24+(Inputs!$D$80-Inputs!$D$24)*Inputs!$D$83</f>
        <v>305.5</v>
      </c>
      <c r="E3874" s="28">
        <f>Inputs!$D$24+(Inputs!$D$80-Inputs!$D$24)*Inputs!$D$84</f>
        <v>651.5</v>
      </c>
      <c r="F3874" s="28">
        <f>Inputs!$D$24+(Inputs!$D$80-Inputs!$D$24)*Inputs!$D$85</f>
        <v>911</v>
      </c>
      <c r="G3874" s="28">
        <f>Inputs!$D$24+(Inputs!$D$80-Inputs!$D$24)*Inputs!$D$86</f>
        <v>911</v>
      </c>
      <c r="H3874" s="28">
        <f>Inputs!$D$24+(Inputs!$D$80-Inputs!$D$24)*Inputs!$D$87</f>
        <v>911</v>
      </c>
      <c r="I3874" s="28">
        <f>Inputs!$D$24+(Inputs!$D$80-Inputs!$D$24)*Inputs!$D$88</f>
        <v>911</v>
      </c>
      <c r="J3874" s="28">
        <f>Inputs!$D$24+(Inputs!$D$80-Inputs!$D$24)*Inputs!$D$89</f>
        <v>911</v>
      </c>
      <c r="K3874" s="28">
        <f>Inputs!$D$24+(Inputs!$D$80-Inputs!$D$24)*Inputs!$D$90</f>
        <v>911</v>
      </c>
      <c r="L3874" s="28">
        <f>Inputs!$D$24+(Inputs!$D$80-Inputs!$D$24)*Inputs!$D$91</f>
        <v>911</v>
      </c>
      <c r="M3874" s="28">
        <f>Inputs!$D$24+(Inputs!$D$80-Inputs!$D$24)*Inputs!$D$92</f>
        <v>911</v>
      </c>
    </row>
    <row r="3875" spans="1:13" ht="15" customHeight="1" x14ac:dyDescent="0.2">
      <c r="A3875" s="91"/>
      <c r="B3875" s="10" t="s">
        <v>891</v>
      </c>
      <c r="C3875" s="10" t="s">
        <v>199</v>
      </c>
      <c r="D3875" s="28">
        <f>Inputs!$D$24</f>
        <v>46</v>
      </c>
      <c r="E3875" s="28">
        <f t="shared" ref="E3875:M3875" si="840">D3874</f>
        <v>305.5</v>
      </c>
      <c r="F3875" s="28">
        <f t="shared" si="840"/>
        <v>651.5</v>
      </c>
      <c r="G3875" s="28">
        <f t="shared" si="840"/>
        <v>911</v>
      </c>
      <c r="H3875" s="28">
        <f t="shared" si="840"/>
        <v>911</v>
      </c>
      <c r="I3875" s="28">
        <f t="shared" si="840"/>
        <v>911</v>
      </c>
      <c r="J3875" s="28">
        <f t="shared" si="840"/>
        <v>911</v>
      </c>
      <c r="K3875" s="28">
        <f t="shared" si="840"/>
        <v>911</v>
      </c>
      <c r="L3875" s="28">
        <f t="shared" si="840"/>
        <v>911</v>
      </c>
      <c r="M3875" s="28">
        <f t="shared" si="840"/>
        <v>911</v>
      </c>
    </row>
    <row r="3876" spans="1:13" ht="15" customHeight="1" x14ac:dyDescent="0.2">
      <c r="B3876" s="10" t="s">
        <v>892</v>
      </c>
      <c r="C3876" s="10" t="s">
        <v>199</v>
      </c>
      <c r="D3876" s="28">
        <f>(D3875+D3874)*Inputs!$D$12</f>
        <v>175.75</v>
      </c>
      <c r="E3876" s="28">
        <f>(E3875+E3874)*Inputs!$D$12</f>
        <v>478.5</v>
      </c>
      <c r="F3876" s="28">
        <f>(F3875+F3874)*Inputs!$D$12</f>
        <v>781.25</v>
      </c>
      <c r="G3876" s="28">
        <f>(G3875+G3874)*Inputs!$D$12</f>
        <v>911</v>
      </c>
      <c r="H3876" s="28">
        <f>(H3875+H3874)*Inputs!$D$12</f>
        <v>911</v>
      </c>
      <c r="I3876" s="28">
        <f>(I3875+I3874)*Inputs!$D$12</f>
        <v>911</v>
      </c>
      <c r="J3876" s="28">
        <f>(J3875+J3874)*Inputs!$D$12</f>
        <v>911</v>
      </c>
      <c r="K3876" s="28">
        <f>(K3875+K3874)*Inputs!$D$12</f>
        <v>911</v>
      </c>
      <c r="L3876" s="28">
        <f>(L3875+L3874)*Inputs!$D$12</f>
        <v>911</v>
      </c>
      <c r="M3876" s="28">
        <f>(M3875+M3874)*Inputs!$D$12</f>
        <v>911</v>
      </c>
    </row>
    <row r="3877" spans="1:13" ht="15" customHeight="1" x14ac:dyDescent="0.2">
      <c r="B3877" s="10" t="s">
        <v>893</v>
      </c>
      <c r="C3877" s="10" t="s">
        <v>199</v>
      </c>
      <c r="D3877" s="28">
        <f t="shared" ref="D3877:M3877" si="841">D3874-D3875</f>
        <v>259.5</v>
      </c>
      <c r="E3877" s="28">
        <f t="shared" si="841"/>
        <v>346</v>
      </c>
      <c r="F3877" s="28">
        <f t="shared" si="841"/>
        <v>259.5</v>
      </c>
      <c r="G3877" s="28">
        <f t="shared" si="841"/>
        <v>0</v>
      </c>
      <c r="H3877" s="28">
        <f t="shared" si="841"/>
        <v>0</v>
      </c>
      <c r="I3877" s="28">
        <f t="shared" si="841"/>
        <v>0</v>
      </c>
      <c r="J3877" s="28">
        <f t="shared" si="841"/>
        <v>0</v>
      </c>
      <c r="K3877" s="28">
        <f t="shared" si="841"/>
        <v>0</v>
      </c>
      <c r="L3877" s="28">
        <f t="shared" si="841"/>
        <v>0</v>
      </c>
      <c r="M3877" s="28">
        <f t="shared" si="841"/>
        <v>0</v>
      </c>
    </row>
    <row r="3878" spans="1:13" ht="15" customHeight="1" x14ac:dyDescent="0.2">
      <c r="B3878" s="10" t="s">
        <v>894</v>
      </c>
      <c r="C3878" s="10" t="s">
        <v>199</v>
      </c>
      <c r="D3878" s="28">
        <f>IF(MOD(D3870,Inputs!$D$21)=Inputs!$D$6,Inputs!$D$24,Inputs!$D$6)+SUMPRODUCT(--(D3870&gt;$D$3870:$M$3870),--(MOD(D3870-$D$3870:$M$3870,Inputs!$D$21)=Inputs!$D$6),$D$3877:$M$3877)</f>
        <v>0</v>
      </c>
      <c r="E3878" s="28">
        <f>IF(MOD(E3870,Inputs!$D$21)=Inputs!$D$6,Inputs!$D$24,Inputs!$D$6)+SUMPRODUCT(--(E3870&gt;$D$3870:$M$3870),--(MOD(E3870-$D$3870:$M$3870,Inputs!$D$21)=Inputs!$D$6),$D$3877:$M$3877)</f>
        <v>0</v>
      </c>
      <c r="F3878" s="28">
        <f>IF(MOD(F3870,Inputs!$D$21)=Inputs!$D$6,Inputs!$D$24,Inputs!$D$6)+SUMPRODUCT(--(F3870&gt;$D$3870:$M$3870),--(MOD(F3870-$D$3870:$M$3870,Inputs!$D$21)=Inputs!$D$6),$D$3877:$M$3877)</f>
        <v>0</v>
      </c>
      <c r="G3878" s="28">
        <f>IF(MOD(G3870,Inputs!$D$21)=Inputs!$D$6,Inputs!$D$24,Inputs!$D$6)+SUMPRODUCT(--(G3870&gt;$D$3870:$M$3870),--(MOD(G3870-$D$3870:$M$3870,Inputs!$D$21)=Inputs!$D$6),$D$3877:$M$3877)</f>
        <v>46</v>
      </c>
      <c r="H3878" s="28">
        <f>IF(MOD(H3870,Inputs!$D$21)=Inputs!$D$6,Inputs!$D$24,Inputs!$D$6)+SUMPRODUCT(--(H3870&gt;$D$3870:$M$3870),--(MOD(H3870-$D$3870:$M$3870,Inputs!$D$21)=Inputs!$D$6),$D$3877:$M$3877)</f>
        <v>259.5</v>
      </c>
      <c r="I3878" s="28">
        <f>IF(MOD(I3870,Inputs!$D$21)=Inputs!$D$6,Inputs!$D$24,Inputs!$D$6)+SUMPRODUCT(--(I3870&gt;$D$3870:$M$3870),--(MOD(I3870-$D$3870:$M$3870,Inputs!$D$21)=Inputs!$D$6),$D$3877:$M$3877)</f>
        <v>346</v>
      </c>
      <c r="J3878" s="28">
        <f>IF(MOD(J3870,Inputs!$D$21)=Inputs!$D$6,Inputs!$D$24,Inputs!$D$6)+SUMPRODUCT(--(J3870&gt;$D$3870:$M$3870),--(MOD(J3870-$D$3870:$M$3870,Inputs!$D$21)=Inputs!$D$6),$D$3877:$M$3877)</f>
        <v>259.5</v>
      </c>
      <c r="K3878" s="28">
        <f>IF(MOD(K3870,Inputs!$D$21)=Inputs!$D$6,Inputs!$D$24,Inputs!$D$6)+SUMPRODUCT(--(K3870&gt;$D$3870:$M$3870),--(MOD(K3870-$D$3870:$M$3870,Inputs!$D$21)=Inputs!$D$6),$D$3877:$M$3877)</f>
        <v>46</v>
      </c>
      <c r="L3878" s="28">
        <f>IF(MOD(L3870,Inputs!$D$21)=Inputs!$D$6,Inputs!$D$24,Inputs!$D$6)+SUMPRODUCT(--(L3870&gt;$D$3870:$M$3870),--(MOD(L3870-$D$3870:$M$3870,Inputs!$D$21)=Inputs!$D$6),$D$3877:$M$3877)</f>
        <v>259.5</v>
      </c>
      <c r="M3878" s="28">
        <f>IF(MOD(M3870,Inputs!$D$21)=Inputs!$D$6,Inputs!$D$24,Inputs!$D$6)+SUMPRODUCT(--(M3870&gt;$D$3870:$M$3870),--(MOD(M3870-$D$3870:$M$3870,Inputs!$D$21)=Inputs!$D$6),$D$3877:$M$3877)</f>
        <v>346</v>
      </c>
    </row>
    <row r="3879" spans="1:13" ht="15" customHeight="1" x14ac:dyDescent="0.2">
      <c r="B3879" s="10" t="s">
        <v>895</v>
      </c>
      <c r="C3879" s="10" t="s">
        <v>896</v>
      </c>
      <c r="D3879" s="28">
        <f t="shared" ref="D3879:M3879" si="842">D3876*D3873</f>
        <v>125.58726899383984</v>
      </c>
      <c r="E3879" s="28">
        <f t="shared" si="842"/>
        <v>478.5</v>
      </c>
      <c r="F3879" s="28">
        <f t="shared" si="842"/>
        <v>781.25</v>
      </c>
      <c r="G3879" s="28">
        <f t="shared" si="842"/>
        <v>911</v>
      </c>
      <c r="H3879" s="28">
        <f t="shared" si="842"/>
        <v>911</v>
      </c>
      <c r="I3879" s="28">
        <f t="shared" si="842"/>
        <v>911</v>
      </c>
      <c r="J3879" s="28">
        <f t="shared" si="842"/>
        <v>911</v>
      </c>
      <c r="K3879" s="28">
        <f t="shared" si="842"/>
        <v>911</v>
      </c>
      <c r="L3879" s="28">
        <f t="shared" si="842"/>
        <v>911</v>
      </c>
      <c r="M3879" s="28">
        <f t="shared" si="842"/>
        <v>911</v>
      </c>
    </row>
    <row r="3880" spans="1:13" ht="15" customHeight="1" x14ac:dyDescent="0.2">
      <c r="B3880" s="10" t="s">
        <v>897</v>
      </c>
      <c r="C3880" s="10" t="s">
        <v>110</v>
      </c>
      <c r="D3880" s="16">
        <f>D3879*($D$3899/Inputs!$D$21+$D$3900/Inputs!$D$22)</f>
        <v>1816.9772859324419</v>
      </c>
      <c r="E3880" s="16">
        <f>E3879*($D$3899/Inputs!$D$21+$D$3900/Inputs!$D$22)</f>
        <v>6922.8643817497086</v>
      </c>
      <c r="F3880" s="16">
        <f>F3879*($D$3899/Inputs!$D$21+$D$3900/Inputs!$D$22)</f>
        <v>11303.0048030135</v>
      </c>
      <c r="G3880" s="16">
        <f>G3879*($D$3899/Inputs!$D$21+$D$3900/Inputs!$D$22)</f>
        <v>13180.207840697982</v>
      </c>
      <c r="H3880" s="16">
        <f>H3879*($D$3899/Inputs!$D$21+$D$3900/Inputs!$D$22)</f>
        <v>13180.207840697982</v>
      </c>
      <c r="I3880" s="16">
        <f>I3879*($D$3899/Inputs!$D$21+$D$3900/Inputs!$D$22)</f>
        <v>13180.207840697982</v>
      </c>
      <c r="J3880" s="16">
        <f>J3879*($D$3899/Inputs!$D$21+$D$3900/Inputs!$D$22)</f>
        <v>13180.207840697982</v>
      </c>
      <c r="K3880" s="16">
        <f>K3879*($D$3899/Inputs!$D$21+$D$3900/Inputs!$D$22)</f>
        <v>13180.207840697982</v>
      </c>
      <c r="L3880" s="16">
        <f>L3879*($D$3899/Inputs!$D$21+$D$3900/Inputs!$D$22)</f>
        <v>13180.207840697982</v>
      </c>
      <c r="M3880" s="16">
        <f>M3879*($D$3899/Inputs!$D$21+$D$3900/Inputs!$D$22)</f>
        <v>13180.207840697982</v>
      </c>
    </row>
    <row r="3881" spans="1:13" ht="15" customHeight="1" x14ac:dyDescent="0.2">
      <c r="B3881" s="10" t="s">
        <v>898</v>
      </c>
      <c r="C3881" s="10" t="s">
        <v>110</v>
      </c>
      <c r="D3881" s="16">
        <f t="shared" ref="D3881:M3881" si="843">D3877*($D$3899+$D$3900)</f>
        <v>15560.968620146154</v>
      </c>
      <c r="E3881" s="16">
        <f t="shared" si="843"/>
        <v>20747.95816019487</v>
      </c>
      <c r="F3881" s="16">
        <f t="shared" si="843"/>
        <v>15560.968620146154</v>
      </c>
      <c r="G3881" s="16">
        <f t="shared" si="843"/>
        <v>0</v>
      </c>
      <c r="H3881" s="16">
        <f t="shared" si="843"/>
        <v>0</v>
      </c>
      <c r="I3881" s="16">
        <f t="shared" si="843"/>
        <v>0</v>
      </c>
      <c r="J3881" s="16">
        <f t="shared" si="843"/>
        <v>0</v>
      </c>
      <c r="K3881" s="16">
        <f t="shared" si="843"/>
        <v>0</v>
      </c>
      <c r="L3881" s="16">
        <f t="shared" si="843"/>
        <v>0</v>
      </c>
      <c r="M3881" s="16">
        <f t="shared" si="843"/>
        <v>0</v>
      </c>
    </row>
    <row r="3882" spans="1:13" ht="15" customHeight="1" x14ac:dyDescent="0.2">
      <c r="B3882" s="10" t="s">
        <v>899</v>
      </c>
      <c r="C3882" s="10" t="s">
        <v>110</v>
      </c>
      <c r="D3882" s="16">
        <f t="shared" ref="D3882:M3882" si="844">D3878*$D$3899</f>
        <v>0</v>
      </c>
      <c r="E3882" s="16">
        <f t="shared" si="844"/>
        <v>0</v>
      </c>
      <c r="F3882" s="16">
        <f t="shared" si="844"/>
        <v>0</v>
      </c>
      <c r="G3882" s="16">
        <f t="shared" si="844"/>
        <v>2638.0048485671714</v>
      </c>
      <c r="H3882" s="16">
        <f t="shared" si="844"/>
        <v>14881.788221808281</v>
      </c>
      <c r="I3882" s="16">
        <f t="shared" si="844"/>
        <v>19842.384295744378</v>
      </c>
      <c r="J3882" s="16">
        <f t="shared" si="844"/>
        <v>14881.788221808281</v>
      </c>
      <c r="K3882" s="16">
        <f t="shared" si="844"/>
        <v>2638.0048485671714</v>
      </c>
      <c r="L3882" s="16">
        <f t="shared" si="844"/>
        <v>14881.788221808281</v>
      </c>
      <c r="M3882" s="16">
        <f t="shared" si="844"/>
        <v>19842.384295744378</v>
      </c>
    </row>
    <row r="3883" spans="1:13" ht="15" customHeight="1" x14ac:dyDescent="0.2">
      <c r="B3883" s="10" t="s">
        <v>900</v>
      </c>
      <c r="C3883" s="10" t="s">
        <v>199</v>
      </c>
      <c r="D3883" s="28">
        <f>D3877*Inputs!$D$23</f>
        <v>6.4875000000000007</v>
      </c>
      <c r="E3883" s="28">
        <f>E3877*Inputs!$D$23</f>
        <v>8.65</v>
      </c>
      <c r="F3883" s="28">
        <f>F3877*Inputs!$D$23</f>
        <v>6.4875000000000007</v>
      </c>
      <c r="G3883" s="28">
        <f>G3877*Inputs!$D$23</f>
        <v>0</v>
      </c>
      <c r="H3883" s="28">
        <f>H3877*Inputs!$D$23</f>
        <v>0</v>
      </c>
      <c r="I3883" s="28">
        <f>I3877*Inputs!$D$23</f>
        <v>0</v>
      </c>
      <c r="J3883" s="28">
        <f>J3877*Inputs!$D$23</f>
        <v>0</v>
      </c>
      <c r="K3883" s="28">
        <f>K3877*Inputs!$D$23</f>
        <v>0</v>
      </c>
      <c r="L3883" s="28">
        <f>L3877*Inputs!$D$23</f>
        <v>0</v>
      </c>
      <c r="M3883" s="28">
        <f>M3877*Inputs!$D$23</f>
        <v>0</v>
      </c>
    </row>
    <row r="3884" spans="1:13" ht="15" customHeight="1" x14ac:dyDescent="0.2">
      <c r="B3884" s="3" t="s">
        <v>901</v>
      </c>
      <c r="C3884" s="10" t="s">
        <v>896</v>
      </c>
      <c r="D3884" s="28">
        <f>(D3879*$D$3897*(Inputs!$D$7-Inputs!$D$19)-D3883)/(Inputs!$D$7+$D$3898)^D3872</f>
        <v>52.104528839313289</v>
      </c>
      <c r="E3884" s="28">
        <f>(E3879*$D$3897*(Inputs!$D$7-Inputs!$D$19)-E3883)/(Inputs!$D$7+$D$3898)^E3872</f>
        <v>197.86841911840659</v>
      </c>
      <c r="F3884" s="28">
        <f>(F3879*$D$3897*(Inputs!$D$7-Inputs!$D$19)-F3883)/(Inputs!$D$7+$D$3898)^F3872</f>
        <v>305.3415381972203</v>
      </c>
      <c r="G3884" s="28">
        <f>(G3879*$D$3897*(Inputs!$D$7-Inputs!$D$19)-G3883)/(Inputs!$D$7+$D$3898)^G3872</f>
        <v>335.37941094328897</v>
      </c>
      <c r="H3884" s="28">
        <f>(H3879*$D$3897*(Inputs!$D$7-Inputs!$D$19)-H3883)/(Inputs!$D$7+$D$3898)^H3872</f>
        <v>310.5528501639069</v>
      </c>
      <c r="I3884" s="28">
        <f>(I3879*$D$3897*(Inputs!$D$7-Inputs!$D$19)-I3883)/(Inputs!$D$7+$D$3898)^I3872</f>
        <v>287.50349731453537</v>
      </c>
      <c r="J3884" s="28">
        <f>(J3879*$D$3897*(Inputs!$D$7-Inputs!$D$19)-J3883)/(Inputs!$D$7+$D$3898)^J3872</f>
        <v>266.22096530015602</v>
      </c>
      <c r="K3884" s="28">
        <f>(K3879*$D$3897*(Inputs!$D$7-Inputs!$D$19)-K3883)/(Inputs!$D$7+$D$3898)^K3872</f>
        <v>246.5138790566069</v>
      </c>
      <c r="L3884" s="28">
        <f>(L3879*$D$3897*(Inputs!$D$7-Inputs!$D$19)-L3883)/(Inputs!$D$7+$D$3898)^L3872</f>
        <v>228.26561574149545</v>
      </c>
      <c r="M3884" s="28">
        <f>(M3879*$D$3897*(Inputs!$D$7-Inputs!$D$19)-M3883)/(Inputs!$D$7+$D$3898)^M3872</f>
        <v>211.32365330956841</v>
      </c>
    </row>
    <row r="3885" spans="1:13" ht="15" customHeight="1" x14ac:dyDescent="0.2">
      <c r="B3885" s="10" t="s">
        <v>902</v>
      </c>
      <c r="C3885" s="10" t="s">
        <v>110</v>
      </c>
      <c r="D3885" s="16">
        <f>(D3880*Inputs!$D$19-D3881-D3882)/(Inputs!$D$7+$D$3898)^D3872</f>
        <v>-14212.377724210151</v>
      </c>
      <c r="E3885" s="16">
        <f>(E3880*Inputs!$D$19-E3881-E3882)/(Inputs!$D$7+$D$3898)^E3872</f>
        <v>-16360.387094728963</v>
      </c>
      <c r="F3885" s="16">
        <f>(F3880*Inputs!$D$19-F3881-F3882)/(Inputs!$D$7+$D$3898)^F3872</f>
        <v>-9874.5154652847668</v>
      </c>
      <c r="G3885" s="16">
        <f>(G3880*Inputs!$D$19-G3881-G3882)/(Inputs!$D$7+$D$3898)^G3872</f>
        <v>988.77347238742834</v>
      </c>
      <c r="H3885" s="16">
        <f>(H3880*Inputs!$D$19-H3881-H3882)/(Inputs!$D$7+$D$3898)^H3872</f>
        <v>-7602.4024163036647</v>
      </c>
      <c r="I3885" s="16">
        <f>(I3880*Inputs!$D$19-I3881-I3882)/(Inputs!$D$7+$D$3898)^I3872</f>
        <v>-10233.087939303265</v>
      </c>
      <c r="J3885" s="16">
        <f>(J3880*Inputs!$D$19-J3881-J3882)/(Inputs!$D$7+$D$3898)^J3872</f>
        <v>-6517.1480757635773</v>
      </c>
      <c r="K3885" s="16">
        <f>(K3880*Inputs!$D$19-K3881-K3882)/(Inputs!$D$7+$D$3898)^K3872</f>
        <v>726.77801985796941</v>
      </c>
      <c r="L3885" s="16">
        <f>(L3880*Inputs!$D$19-L3881-L3882)/(Inputs!$D$7+$D$3898)^L3872</f>
        <v>-5587.9927289550824</v>
      </c>
      <c r="M3885" s="16">
        <f>(M3880*Inputs!$D$19-M3881-M3882)/(Inputs!$D$7+$D$3898)^M3872</f>
        <v>-7521.6251216792398</v>
      </c>
    </row>
    <row r="3886" spans="1:13" ht="15" customHeight="1" x14ac:dyDescent="0.2">
      <c r="B3886" s="10" t="s">
        <v>903</v>
      </c>
      <c r="C3886" s="10" t="s">
        <v>110</v>
      </c>
      <c r="D3886" s="16">
        <f t="shared" ref="D3886:M3886" si="845">D3879*$D$3896</f>
        <v>3766.8904663274434</v>
      </c>
      <c r="E3886" s="16">
        <f t="shared" si="845"/>
        <v>14352.227758261815</v>
      </c>
      <c r="F3886" s="16">
        <f t="shared" si="845"/>
        <v>23432.973743243561</v>
      </c>
      <c r="G3886" s="16">
        <f t="shared" si="845"/>
        <v>27324.722022521451</v>
      </c>
      <c r="H3886" s="16">
        <f t="shared" si="845"/>
        <v>27324.722022521451</v>
      </c>
      <c r="I3886" s="16">
        <f t="shared" si="845"/>
        <v>27324.722022521451</v>
      </c>
      <c r="J3886" s="16">
        <f t="shared" si="845"/>
        <v>27324.722022521451</v>
      </c>
      <c r="K3886" s="16">
        <f t="shared" si="845"/>
        <v>27324.722022521451</v>
      </c>
      <c r="L3886" s="16">
        <f t="shared" si="845"/>
        <v>27324.722022521451</v>
      </c>
      <c r="M3886" s="16">
        <f t="shared" si="845"/>
        <v>27324.722022521451</v>
      </c>
    </row>
    <row r="3887" spans="1:13" ht="15" customHeight="1" x14ac:dyDescent="0.2">
      <c r="B3887" s="10" t="s">
        <v>904</v>
      </c>
      <c r="C3887" s="10" t="s">
        <v>110</v>
      </c>
      <c r="D3887" s="16">
        <f t="shared" ref="D3887:M3887" si="846">D3886*$D$3897</f>
        <v>2636.8233264292103</v>
      </c>
      <c r="E3887" s="16">
        <f t="shared" si="846"/>
        <v>10046.559430783271</v>
      </c>
      <c r="F3887" s="16">
        <f t="shared" si="846"/>
        <v>16403.081620270492</v>
      </c>
      <c r="G3887" s="16">
        <f t="shared" si="846"/>
        <v>19127.305415765015</v>
      </c>
      <c r="H3887" s="16">
        <f t="shared" si="846"/>
        <v>19127.305415765015</v>
      </c>
      <c r="I3887" s="16">
        <f t="shared" si="846"/>
        <v>19127.305415765015</v>
      </c>
      <c r="J3887" s="16">
        <f t="shared" si="846"/>
        <v>19127.305415765015</v>
      </c>
      <c r="K3887" s="16">
        <f t="shared" si="846"/>
        <v>19127.305415765015</v>
      </c>
      <c r="L3887" s="16">
        <f t="shared" si="846"/>
        <v>19127.305415765015</v>
      </c>
      <c r="M3887" s="16">
        <f t="shared" si="846"/>
        <v>19127.305415765015</v>
      </c>
    </row>
    <row r="3888" spans="1:13" ht="15" customHeight="1" x14ac:dyDescent="0.2">
      <c r="B3888" s="10" t="s">
        <v>905</v>
      </c>
      <c r="C3888" s="10" t="s">
        <v>110</v>
      </c>
      <c r="D3888" s="16">
        <f t="shared" ref="D3888:M3888" si="847">D3887-D3880</f>
        <v>819.84604049676841</v>
      </c>
      <c r="E3888" s="16">
        <f t="shared" si="847"/>
        <v>3123.6950490335621</v>
      </c>
      <c r="F3888" s="16">
        <f t="shared" si="847"/>
        <v>5100.0768172569915</v>
      </c>
      <c r="G3888" s="16">
        <f t="shared" si="847"/>
        <v>5947.0975750670332</v>
      </c>
      <c r="H3888" s="16">
        <f t="shared" si="847"/>
        <v>5947.0975750670332</v>
      </c>
      <c r="I3888" s="16">
        <f t="shared" si="847"/>
        <v>5947.0975750670332</v>
      </c>
      <c r="J3888" s="16">
        <f t="shared" si="847"/>
        <v>5947.0975750670332</v>
      </c>
      <c r="K3888" s="16">
        <f t="shared" si="847"/>
        <v>5947.0975750670332</v>
      </c>
      <c r="L3888" s="16">
        <f t="shared" si="847"/>
        <v>5947.0975750670332</v>
      </c>
      <c r="M3888" s="16">
        <f t="shared" si="847"/>
        <v>5947.0975750670332</v>
      </c>
    </row>
    <row r="3889" spans="2:13" ht="15" customHeight="1" x14ac:dyDescent="0.2">
      <c r="B3889" s="10" t="s">
        <v>906</v>
      </c>
      <c r="C3889" s="10" t="s">
        <v>110</v>
      </c>
      <c r="D3889" s="16">
        <f>MAX(D3888,Inputs!$D$6)*Inputs!$D$19</f>
        <v>245.95381214903051</v>
      </c>
      <c r="E3889" s="16">
        <f>MAX(E3888,Inputs!$D$6)*Inputs!$D$19</f>
        <v>937.10851471006856</v>
      </c>
      <c r="F3889" s="16">
        <f>MAX(F3888,Inputs!$D$6)*Inputs!$D$19</f>
        <v>1530.0230451770974</v>
      </c>
      <c r="G3889" s="16">
        <f>MAX(G3888,Inputs!$D$6)*Inputs!$D$19</f>
        <v>1784.1292725201099</v>
      </c>
      <c r="H3889" s="16">
        <f>MAX(H3888,Inputs!$D$6)*Inputs!$D$19</f>
        <v>1784.1292725201099</v>
      </c>
      <c r="I3889" s="16">
        <f>MAX(I3888,Inputs!$D$6)*Inputs!$D$19</f>
        <v>1784.1292725201099</v>
      </c>
      <c r="J3889" s="16">
        <f>MAX(J3888,Inputs!$D$6)*Inputs!$D$19</f>
        <v>1784.1292725201099</v>
      </c>
      <c r="K3889" s="16">
        <f>MAX(K3888,Inputs!$D$6)*Inputs!$D$19</f>
        <v>1784.1292725201099</v>
      </c>
      <c r="L3889" s="16">
        <f>MAX(L3888,Inputs!$D$6)*Inputs!$D$19</f>
        <v>1784.1292725201099</v>
      </c>
      <c r="M3889" s="16">
        <f>MAX(M3888,Inputs!$D$6)*Inputs!$D$19</f>
        <v>1784.1292725201099</v>
      </c>
    </row>
    <row r="3890" spans="2:13" ht="15" customHeight="1" x14ac:dyDescent="0.2">
      <c r="B3890" s="10" t="s">
        <v>907</v>
      </c>
      <c r="C3890" s="10" t="s">
        <v>110</v>
      </c>
      <c r="D3890" s="16">
        <f t="shared" ref="D3890:M3890" si="848">D3883*$D$3896</f>
        <v>194.58741396389453</v>
      </c>
      <c r="E3890" s="16">
        <f t="shared" si="848"/>
        <v>259.44988528519269</v>
      </c>
      <c r="F3890" s="16">
        <f t="shared" si="848"/>
        <v>194.58741396389453</v>
      </c>
      <c r="G3890" s="16">
        <f t="shared" si="848"/>
        <v>0</v>
      </c>
      <c r="H3890" s="16">
        <f t="shared" si="848"/>
        <v>0</v>
      </c>
      <c r="I3890" s="16">
        <f t="shared" si="848"/>
        <v>0</v>
      </c>
      <c r="J3890" s="16">
        <f t="shared" si="848"/>
        <v>0</v>
      </c>
      <c r="K3890" s="16">
        <f t="shared" si="848"/>
        <v>0</v>
      </c>
      <c r="L3890" s="16">
        <f t="shared" si="848"/>
        <v>0</v>
      </c>
      <c r="M3890" s="16">
        <f t="shared" si="848"/>
        <v>0</v>
      </c>
    </row>
    <row r="3891" spans="2:13" ht="15" customHeight="1" x14ac:dyDescent="0.2">
      <c r="B3891" s="10" t="s">
        <v>908</v>
      </c>
      <c r="C3891" s="10" t="s">
        <v>110</v>
      </c>
      <c r="D3891" s="16">
        <f t="shared" ref="D3891:M3891" si="849">D3887-D3889-D3881-D3882-D3890</f>
        <v>-13364.686519829869</v>
      </c>
      <c r="E3891" s="16">
        <f t="shared" si="849"/>
        <v>-11897.957129406861</v>
      </c>
      <c r="F3891" s="16">
        <f t="shared" si="849"/>
        <v>-882.49745901665301</v>
      </c>
      <c r="G3891" s="16">
        <f t="shared" si="849"/>
        <v>14705.171294677733</v>
      </c>
      <c r="H3891" s="16">
        <f t="shared" si="849"/>
        <v>2461.3879214366243</v>
      </c>
      <c r="I3891" s="16">
        <f t="shared" si="849"/>
        <v>-2499.2081524994719</v>
      </c>
      <c r="J3891" s="16">
        <f t="shared" si="849"/>
        <v>2461.3879214366243</v>
      </c>
      <c r="K3891" s="16">
        <f t="shared" si="849"/>
        <v>14705.171294677733</v>
      </c>
      <c r="L3891" s="16">
        <f t="shared" si="849"/>
        <v>2461.3879214366243</v>
      </c>
      <c r="M3891" s="16">
        <f t="shared" si="849"/>
        <v>-2499.2081524994719</v>
      </c>
    </row>
    <row r="3892" spans="2:13" ht="15" customHeight="1" x14ac:dyDescent="0.2">
      <c r="B3892" s="10" t="s">
        <v>909</v>
      </c>
      <c r="C3892" s="10" t="s">
        <v>110</v>
      </c>
      <c r="D3892" s="16">
        <f>D3891/(Inputs!$D$7+$D$3898)^D3872</f>
        <v>-12649.54373227965</v>
      </c>
      <c r="E3892" s="16">
        <f>E3891/(Inputs!$D$7+$D$3898)^E3872</f>
        <v>-10425.480893360986</v>
      </c>
      <c r="F3892" s="16">
        <f>F3891/(Inputs!$D$7+$D$3898)^F3872</f>
        <v>-716.03834874452457</v>
      </c>
      <c r="G3892" s="16">
        <f>G3891/(Inputs!$D$7+$D$3898)^G3872</f>
        <v>11048.212743630414</v>
      </c>
      <c r="H3892" s="16">
        <f>H3891/(Inputs!$D$7+$D$3898)^H3872</f>
        <v>1712.3838669350978</v>
      </c>
      <c r="I3892" s="16">
        <f>I3891/(Inputs!$D$7+$D$3898)^I3872</f>
        <v>-1609.6487026156431</v>
      </c>
      <c r="J3892" s="16">
        <f>J3891/(Inputs!$D$7+$D$3898)^J3872</f>
        <v>1467.938503154199</v>
      </c>
      <c r="K3892" s="16">
        <f>K3891/(Inputs!$D$7+$D$3898)^K3872</f>
        <v>8120.7661866145627</v>
      </c>
      <c r="L3892" s="16">
        <f>L3891/(Inputs!$D$7+$D$3898)^L3872</f>
        <v>1258.6532616443262</v>
      </c>
      <c r="M3892" s="16">
        <f>M3891/(Inputs!$D$7+$D$3898)^M3872</f>
        <v>-1183.1398489375781</v>
      </c>
    </row>
    <row r="3893" spans="2:13" ht="15" customHeight="1" x14ac:dyDescent="0.2">
      <c r="B3893" s="3" t="s">
        <v>910</v>
      </c>
      <c r="C3893" s="10" t="s">
        <v>896</v>
      </c>
      <c r="D3893" s="28">
        <f>(D3879*$D$3897-D3883)/(Inputs!$D$7+$D$3898)^D3872</f>
        <v>77.066621761551716</v>
      </c>
      <c r="E3893" s="28">
        <f>(E3879*$D$3897-E3883)/(Inputs!$D$7+$D$3898)^E3872</f>
        <v>285.91752168073901</v>
      </c>
      <c r="F3893" s="28">
        <f>(F3879*$D$3897-F3883)/(Inputs!$D$7+$D$3898)^F3872</f>
        <v>438.45811591722685</v>
      </c>
      <c r="G3893" s="28">
        <f>(G3879*$D$3897-G3883)/(Inputs!$D$7+$D$3898)^G3872</f>
        <v>479.11344420469857</v>
      </c>
      <c r="H3893" s="28">
        <f>(H3879*$D$3897-H3883)/(Inputs!$D$7+$D$3898)^H3872</f>
        <v>443.6469288055813</v>
      </c>
      <c r="I3893" s="28">
        <f>(I3879*$D$3897-I3883)/(Inputs!$D$7+$D$3898)^I3872</f>
        <v>410.71928187790763</v>
      </c>
      <c r="J3893" s="28">
        <f>(J3879*$D$3897-J3883)/(Inputs!$D$7+$D$3898)^J3872</f>
        <v>380.31566471450867</v>
      </c>
      <c r="K3893" s="28">
        <f>(K3879*$D$3897-K3883)/(Inputs!$D$7+$D$3898)^K3872</f>
        <v>352.16268436658129</v>
      </c>
      <c r="L3893" s="28">
        <f>(L3879*$D$3897-L3883)/(Inputs!$D$7+$D$3898)^L3872</f>
        <v>326.09373677356496</v>
      </c>
      <c r="M3893" s="28">
        <f>(M3879*$D$3897-M3883)/(Inputs!$D$7+$D$3898)^M3872</f>
        <v>301.89093329938345</v>
      </c>
    </row>
    <row r="3894" spans="2:13" ht="15" customHeight="1" x14ac:dyDescent="0.2">
      <c r="B3894" s="10" t="s">
        <v>911</v>
      </c>
      <c r="C3894" s="10" t="s">
        <v>110</v>
      </c>
      <c r="D3894" s="16">
        <f>(-D3881-D3882)/(Inputs!$D$7+$D$3898)^D3872</f>
        <v>-14728.303038392241</v>
      </c>
      <c r="E3894" s="16">
        <f>(-E3881-E3882)/(Inputs!$D$7+$D$3898)^E3872</f>
        <v>-18180.216908055725</v>
      </c>
      <c r="F3894" s="16">
        <f>(-F3881-F3882)/(Inputs!$D$7+$D$3898)^F3872</f>
        <v>-12625.815702688111</v>
      </c>
      <c r="G3894" s="16">
        <f>(-G3881-G3882)/(Inputs!$D$7+$D$3898)^G3872</f>
        <v>-1981.9720696655354</v>
      </c>
      <c r="H3894" s="16">
        <f>(-H3881-H3882)/(Inputs!$D$7+$D$3898)^H3872</f>
        <v>-10353.237634844469</v>
      </c>
      <c r="I3894" s="16">
        <f>(-I3881-I3882)/(Inputs!$D$7+$D$3898)^I3872</f>
        <v>-12779.755102232404</v>
      </c>
      <c r="J3894" s="16">
        <f>(-J3881-J3882)/(Inputs!$D$7+$D$3898)^J3872</f>
        <v>-8875.2974434962562</v>
      </c>
      <c r="K3894" s="16">
        <f>(-K3881-K3882)/(Inputs!$D$7+$D$3898)^K3872</f>
        <v>-1456.8086386129401</v>
      </c>
      <c r="L3894" s="16">
        <f>(-L3881-L3882)/(Inputs!$D$7+$D$3898)^L3872</f>
        <v>-7609.9387347064285</v>
      </c>
      <c r="M3894" s="16">
        <f>(-M3881-M3882)/(Inputs!$D$7+$D$3898)^M3872</f>
        <v>-9393.5015115686074</v>
      </c>
    </row>
    <row r="3895" spans="2:13" ht="15" customHeight="1" x14ac:dyDescent="0.2">
      <c r="B3895" s="10" t="s">
        <v>912</v>
      </c>
      <c r="C3895" s="10" t="s">
        <v>110</v>
      </c>
      <c r="D3895" s="16">
        <f>Prices!I9</f>
        <v>21850</v>
      </c>
    </row>
    <row r="3896" spans="2:13" ht="15" customHeight="1" x14ac:dyDescent="0.2">
      <c r="B3896" s="3" t="s">
        <v>913</v>
      </c>
      <c r="C3896" s="10" t="s">
        <v>914</v>
      </c>
      <c r="D3896" s="28">
        <f>IF(J3903&gt;=J3899,J3903,(D3895-J3902)/J3901)</f>
        <v>29.994206391351756</v>
      </c>
      <c r="G3896" s="99" t="s">
        <v>915</v>
      </c>
      <c r="H3896" s="91"/>
      <c r="I3896" s="91"/>
      <c r="J3896" s="28">
        <f>D3896*Inputs!$D$15</f>
        <v>20.932956640524388</v>
      </c>
      <c r="K3896" s="99" t="s">
        <v>916</v>
      </c>
      <c r="L3896" s="91"/>
      <c r="M3896" s="91"/>
    </row>
    <row r="3897" spans="2:13" ht="15" customHeight="1" x14ac:dyDescent="0.2">
      <c r="B3897" s="10" t="s">
        <v>917</v>
      </c>
      <c r="C3897" s="10" t="s">
        <v>104</v>
      </c>
      <c r="D3897" s="30">
        <f>Inputs!$D$143</f>
        <v>0.7</v>
      </c>
      <c r="G3897" s="99" t="s">
        <v>918</v>
      </c>
      <c r="H3897" s="91"/>
      <c r="I3897" s="91"/>
      <c r="J3897" s="28">
        <f>IF(-D3908/D3907&gt;=J3899,-D3908/D3907,-J3902/J3901)</f>
        <v>26.566474729035129</v>
      </c>
      <c r="K3897" s="99" t="s">
        <v>919</v>
      </c>
      <c r="L3897" s="91"/>
      <c r="M3897" s="91"/>
    </row>
    <row r="3898" spans="2:13" ht="15" customHeight="1" x14ac:dyDescent="0.2">
      <c r="B3898" s="10" t="s">
        <v>920</v>
      </c>
      <c r="C3898" s="10" t="s">
        <v>104</v>
      </c>
      <c r="D3898" s="30">
        <f>Inputs!$D$146</f>
        <v>0.08</v>
      </c>
      <c r="G3898" s="99" t="s">
        <v>918</v>
      </c>
      <c r="H3898" s="91"/>
      <c r="I3898" s="91"/>
      <c r="J3898" s="28">
        <f>J3897*Inputs!$D$15</f>
        <v>18.540742713393616</v>
      </c>
      <c r="K3898" s="99" t="s">
        <v>916</v>
      </c>
      <c r="L3898" s="91"/>
      <c r="M3898" s="91"/>
    </row>
    <row r="3899" spans="2:13" ht="15" customHeight="1" x14ac:dyDescent="0.2">
      <c r="B3899" s="3" t="s">
        <v>921</v>
      </c>
      <c r="C3899" s="10" t="s">
        <v>848</v>
      </c>
      <c r="D3899" s="28">
        <f>Capital!$D$13</f>
        <v>57.347931490590682</v>
      </c>
      <c r="G3899" s="99" t="s">
        <v>922</v>
      </c>
      <c r="H3899" s="91"/>
      <c r="I3899" s="91"/>
      <c r="J3899" s="28">
        <f>($D$3899/Inputs!$D$21+$D$3900/Inputs!$D$22)/$D$3897</f>
        <v>20.668351639796114</v>
      </c>
      <c r="K3899" s="99" t="s">
        <v>919</v>
      </c>
      <c r="L3899" s="91"/>
      <c r="M3899" s="91"/>
    </row>
    <row r="3900" spans="2:13" ht="15" customHeight="1" x14ac:dyDescent="0.2">
      <c r="B3900" s="3" t="s">
        <v>923</v>
      </c>
      <c r="C3900" s="10" t="s">
        <v>848</v>
      </c>
      <c r="D3900" s="28">
        <f>Capital!$D$14</f>
        <v>2.6172655041921802</v>
      </c>
    </row>
    <row r="3901" spans="2:13" ht="15" customHeight="1" x14ac:dyDescent="0.2">
      <c r="B3901" s="10" t="s">
        <v>924</v>
      </c>
      <c r="C3901" s="10" t="s">
        <v>896</v>
      </c>
      <c r="D3901" s="28">
        <f>(M3874*(Inputs!$D$7+Inputs!$D$20)*$D$3897*(Inputs!$D$7-Inputs!$D$19)-M3874*Inputs!$D$20*Inputs!$D$23)/($D$3898-Inputs!$D$20)/(Inputs!$D$7+$D$3898)^M3872</f>
        <v>3933.4036212026808</v>
      </c>
      <c r="G3901" s="92" t="s">
        <v>910</v>
      </c>
      <c r="H3901" s="91"/>
      <c r="I3901" s="91"/>
      <c r="J3901" s="28">
        <f>SUM(D3893:M3893)+(M3874*(Inputs!$D$7+Inputs!$D$20)*$D$3897-M3874*Inputs!$D$20*Inputs!$D$23)/($D$3898-Inputs!$D$20)/(Inputs!$D$7+$D$3898)^M3872</f>
        <v>9116.6333180509773</v>
      </c>
      <c r="K3901" s="99" t="s">
        <v>896</v>
      </c>
      <c r="L3901" s="91"/>
      <c r="M3901" s="91"/>
    </row>
    <row r="3902" spans="2:13" ht="15" customHeight="1" x14ac:dyDescent="0.2">
      <c r="B3902" s="10" t="s">
        <v>925</v>
      </c>
      <c r="C3902" s="10" t="s">
        <v>110</v>
      </c>
      <c r="D3902" s="16">
        <f>(D3905*Inputs!$D$19-D3905-D3906)/($D$3898-Inputs!$D$20)/(Inputs!$D$7+$D$3898)^M3872</f>
        <v>-93153.423070883771</v>
      </c>
      <c r="G3902" s="92" t="s">
        <v>926</v>
      </c>
      <c r="H3902" s="91"/>
      <c r="I3902" s="91"/>
      <c r="J3902" s="16">
        <f>SUM(D3894:M3894)-(D3905+D3906)/($D$3898-Inputs!$D$20)/(Inputs!$D$7+$D$3898)^M3872</f>
        <v>-226023.23893944838</v>
      </c>
      <c r="K3902" s="99" t="s">
        <v>110</v>
      </c>
      <c r="L3902" s="91"/>
      <c r="M3902" s="91"/>
    </row>
    <row r="3903" spans="2:13" ht="15" customHeight="1" x14ac:dyDescent="0.2">
      <c r="B3903" s="10" t="s">
        <v>927</v>
      </c>
      <c r="C3903" s="10" t="s">
        <v>928</v>
      </c>
      <c r="D3903" s="16">
        <f>(M3874*(Inputs!$D$7+Inputs!$D$20)*$D$3896*$D$3897-D3905)-MAX((M3874*(Inputs!$D$7+Inputs!$D$20)*$D$3896*$D$3897-D3905),Inputs!$D$6)*Inputs!$D$19-D3906-M3874*Inputs!$D$20*$D$3896*Inputs!$D$23</f>
        <v>2884.2571972903388</v>
      </c>
      <c r="G3903" s="99" t="s">
        <v>929</v>
      </c>
      <c r="H3903" s="91"/>
      <c r="I3903" s="91"/>
      <c r="J3903" s="28">
        <f>(D3895-D3908)/D3907</f>
        <v>29.994206391351756</v>
      </c>
      <c r="K3903" s="99" t="s">
        <v>919</v>
      </c>
      <c r="L3903" s="91"/>
      <c r="M3903" s="91"/>
    </row>
    <row r="3904" spans="2:13" ht="15" customHeight="1" x14ac:dyDescent="0.2">
      <c r="B3904" s="10" t="s">
        <v>930</v>
      </c>
      <c r="C3904" s="10" t="s">
        <v>110</v>
      </c>
      <c r="D3904" s="16">
        <f>D3903/($D$3898-Inputs!$D$20)</f>
        <v>52441.03995073343</v>
      </c>
      <c r="G3904" s="99" t="s">
        <v>931</v>
      </c>
      <c r="H3904" s="91"/>
      <c r="I3904" s="91"/>
      <c r="J3904" s="16">
        <f>MIN(D3888:M3888,(M3874*(Inputs!$D$7+Inputs!$D$20)*$D$3896*$D$3897-D3905))</f>
        <v>819.84604049676841</v>
      </c>
      <c r="K3904" s="99" t="s">
        <v>110</v>
      </c>
      <c r="L3904" s="91"/>
      <c r="M3904" s="91"/>
    </row>
    <row r="3905" spans="1:13" ht="15" customHeight="1" x14ac:dyDescent="0.2">
      <c r="B3905" s="10" t="s">
        <v>932</v>
      </c>
      <c r="C3905" s="10" t="s">
        <v>928</v>
      </c>
      <c r="D3905" s="16">
        <f>M3874*(Inputs!$D$7+Inputs!$D$20)*($D$3899/Inputs!$D$21+$D$3900/Inputs!$D$22)</f>
        <v>13509.71303671543</v>
      </c>
      <c r="G3905" s="99" t="s">
        <v>933</v>
      </c>
      <c r="H3905" s="91"/>
      <c r="I3905" s="91"/>
      <c r="J3905" s="31" t="str">
        <f>IF(J3904&lt;Inputs!$D$6,"breached","satisfied")</f>
        <v>satisfied</v>
      </c>
      <c r="K3905" s="99" t="s">
        <v>934</v>
      </c>
      <c r="L3905" s="91"/>
      <c r="M3905" s="91"/>
    </row>
    <row r="3906" spans="1:13" ht="15" customHeight="1" x14ac:dyDescent="0.2">
      <c r="B3906" s="10" t="s">
        <v>935</v>
      </c>
      <c r="C3906" s="10" t="s">
        <v>928</v>
      </c>
      <c r="D3906" s="16">
        <f>M3874*Inputs!$D$20*($D$3899+$D$3900)</f>
        <v>1365.7073615561799</v>
      </c>
    </row>
    <row r="3907" spans="1:13" ht="15" customHeight="1" x14ac:dyDescent="0.2">
      <c r="B3907" s="10" t="s">
        <v>936</v>
      </c>
      <c r="C3907" s="10" t="s">
        <v>896</v>
      </c>
      <c r="D3907" s="28">
        <f>SUM(D3884:M3884)+D3901</f>
        <v>6374.4779791871788</v>
      </c>
      <c r="G3907" s="99" t="s">
        <v>937</v>
      </c>
      <c r="H3907" s="91"/>
      <c r="I3907" s="91"/>
      <c r="J3907" s="16">
        <f>D3909-D3895</f>
        <v>2.9103830456733704E-11</v>
      </c>
      <c r="K3907" s="99" t="s">
        <v>110</v>
      </c>
      <c r="L3907" s="91"/>
      <c r="M3907" s="91"/>
    </row>
    <row r="3908" spans="1:13" ht="15" customHeight="1" x14ac:dyDescent="0.2">
      <c r="B3908" s="10" t="s">
        <v>938</v>
      </c>
      <c r="C3908" s="10" t="s">
        <v>110</v>
      </c>
      <c r="D3908" s="16">
        <f>SUM(D3885:M3885)+D3902</f>
        <v>-169347.40814486711</v>
      </c>
    </row>
    <row r="3909" spans="1:13" ht="15" customHeight="1" x14ac:dyDescent="0.2">
      <c r="B3909" s="10" t="s">
        <v>939</v>
      </c>
      <c r="C3909" s="10" t="s">
        <v>110</v>
      </c>
      <c r="D3909" s="16">
        <f>SUM(D3892:M3892)+D3904/(Inputs!$D$7+$D$3898)^M3872</f>
        <v>21850.000000000029</v>
      </c>
    </row>
    <row r="3910" spans="1:13" ht="15" customHeight="1" x14ac:dyDescent="0.2">
      <c r="B3910" s="10" t="s">
        <v>940</v>
      </c>
      <c r="C3910" s="10" t="s">
        <v>104</v>
      </c>
      <c r="D3910" s="30">
        <f>IF(ABS(D3895)&gt;Inputs!$D$6,D3909/D3895-Inputs!$D$7,Inputs!$D$6)</f>
        <v>1.3322676295501878E-15</v>
      </c>
    </row>
    <row r="3911" spans="1:13" ht="15" customHeight="1" x14ac:dyDescent="0.2">
      <c r="B3911" s="10" t="s">
        <v>941</v>
      </c>
      <c r="C3911" s="10" t="s">
        <v>104</v>
      </c>
      <c r="D3911" s="30">
        <f>IF(ABS(D3909)&gt;Inputs!$D$119,D3904/(Inputs!$D$7+$D$3898)^M3872/D3909,Inputs!$D$6)</f>
        <v>1.1361966573894635</v>
      </c>
    </row>
    <row r="3912" spans="1:13" ht="15" customHeight="1" x14ac:dyDescent="0.2">
      <c r="B3912" s="10" t="s">
        <v>942</v>
      </c>
      <c r="C3912" s="10" t="s">
        <v>943</v>
      </c>
      <c r="D3912" s="26">
        <f>$D$3896*Inputs!$D$8/Prices!$P$6/(Inputs!$D$26/Inputs!$D$25)/Inputs!$D$11/Inputs!$D$56</f>
        <v>5.4545375403391434</v>
      </c>
    </row>
    <row r="3916" spans="1:13" ht="15" customHeight="1" x14ac:dyDescent="0.2">
      <c r="A3916" s="104" t="s">
        <v>2250</v>
      </c>
      <c r="B3916" s="10" t="s">
        <v>886</v>
      </c>
      <c r="C3916" s="10" t="s">
        <v>107</v>
      </c>
      <c r="D3916" s="28">
        <f>Inputs!$D$60</f>
        <v>1</v>
      </c>
      <c r="E3916" s="28">
        <f>Inputs!$D$62</f>
        <v>2</v>
      </c>
      <c r="F3916" s="28">
        <f>Inputs!$D$64</f>
        <v>3</v>
      </c>
      <c r="G3916" s="28">
        <f>Inputs!$D$66</f>
        <v>4</v>
      </c>
      <c r="H3916" s="28">
        <f>Inputs!$D$68</f>
        <v>5</v>
      </c>
      <c r="I3916" s="28">
        <f>Inputs!$D$70</f>
        <v>6</v>
      </c>
      <c r="J3916" s="28">
        <f>Inputs!$D$72</f>
        <v>7</v>
      </c>
      <c r="K3916" s="28">
        <f>Inputs!$D$74</f>
        <v>8</v>
      </c>
      <c r="L3916" s="28">
        <f>Inputs!$D$76</f>
        <v>9</v>
      </c>
      <c r="M3916" s="28">
        <f>Inputs!$D$78</f>
        <v>10</v>
      </c>
    </row>
    <row r="3917" spans="1:13" ht="15" customHeight="1" x14ac:dyDescent="0.2">
      <c r="A3917" s="91"/>
      <c r="B3917" s="10" t="s">
        <v>887</v>
      </c>
      <c r="C3917" s="10" t="s">
        <v>161</v>
      </c>
      <c r="D3917" s="29">
        <f>Inputs!$D$61</f>
        <v>46568</v>
      </c>
      <c r="E3917" s="29">
        <f>Inputs!$D$63</f>
        <v>46934</v>
      </c>
      <c r="F3917" s="29">
        <f>Inputs!$D$65</f>
        <v>47299</v>
      </c>
      <c r="G3917" s="29">
        <f>Inputs!$D$67</f>
        <v>47664</v>
      </c>
      <c r="H3917" s="29">
        <f>Inputs!$D$69</f>
        <v>48029</v>
      </c>
      <c r="I3917" s="29">
        <f>Inputs!$D$71</f>
        <v>48395</v>
      </c>
      <c r="J3917" s="29">
        <f>Inputs!$D$73</f>
        <v>48760</v>
      </c>
      <c r="K3917" s="29">
        <f>Inputs!$D$75</f>
        <v>49125</v>
      </c>
      <c r="L3917" s="29">
        <f>Inputs!$D$77</f>
        <v>49490</v>
      </c>
      <c r="M3917" s="29">
        <f>Inputs!$D$79</f>
        <v>49856</v>
      </c>
    </row>
    <row r="3918" spans="1:13" ht="15" customHeight="1" x14ac:dyDescent="0.2">
      <c r="A3918" s="91"/>
      <c r="B3918" s="10" t="s">
        <v>888</v>
      </c>
      <c r="C3918" s="10" t="s">
        <v>107</v>
      </c>
      <c r="D3918" s="28">
        <f>(D3917-Inputs!$D$13)/Inputs!$D$10</f>
        <v>0.71457905544147848</v>
      </c>
      <c r="E3918" s="28">
        <f>(E3917-Inputs!$D$13)/Inputs!$D$10</f>
        <v>1.7166324435318274</v>
      </c>
      <c r="F3918" s="28">
        <f>(F3917-Inputs!$D$13)/Inputs!$D$10</f>
        <v>2.7159479808350446</v>
      </c>
      <c r="G3918" s="28">
        <f>(G3917-Inputs!$D$13)/Inputs!$D$10</f>
        <v>3.7152635181382614</v>
      </c>
      <c r="H3918" s="28">
        <f>(H3917-Inputs!$D$13)/Inputs!$D$10</f>
        <v>4.7145790554414786</v>
      </c>
      <c r="I3918" s="28">
        <f>(I3917-Inputs!$D$13)/Inputs!$D$10</f>
        <v>5.7166324435318279</v>
      </c>
      <c r="J3918" s="28">
        <f>(J3917-Inputs!$D$13)/Inputs!$D$10</f>
        <v>6.7159479808350442</v>
      </c>
      <c r="K3918" s="28">
        <f>(K3917-Inputs!$D$13)/Inputs!$D$10</f>
        <v>7.7152635181382614</v>
      </c>
      <c r="L3918" s="28">
        <f>(L3917-Inputs!$D$13)/Inputs!$D$10</f>
        <v>8.7145790554414777</v>
      </c>
      <c r="M3918" s="28">
        <f>(M3917-Inputs!$D$13)/Inputs!$D$10</f>
        <v>9.716632443531827</v>
      </c>
    </row>
    <row r="3919" spans="1:13" ht="15" customHeight="1" x14ac:dyDescent="0.2">
      <c r="A3919" s="91"/>
      <c r="B3919" s="10" t="s">
        <v>889</v>
      </c>
      <c r="C3919" s="10" t="s">
        <v>107</v>
      </c>
      <c r="D3919" s="28">
        <f>D3918</f>
        <v>0.71457905544147848</v>
      </c>
      <c r="E3919" s="28">
        <f>Inputs!$D$7</f>
        <v>1</v>
      </c>
      <c r="F3919" s="28">
        <f>Inputs!$D$7</f>
        <v>1</v>
      </c>
      <c r="G3919" s="28">
        <f>Inputs!$D$7</f>
        <v>1</v>
      </c>
      <c r="H3919" s="28">
        <f>Inputs!$D$7</f>
        <v>1</v>
      </c>
      <c r="I3919" s="28">
        <f>Inputs!$D$7</f>
        <v>1</v>
      </c>
      <c r="J3919" s="28">
        <f>Inputs!$D$7</f>
        <v>1</v>
      </c>
      <c r="K3919" s="28">
        <f>Inputs!$D$7</f>
        <v>1</v>
      </c>
      <c r="L3919" s="28">
        <f>Inputs!$D$7</f>
        <v>1</v>
      </c>
      <c r="M3919" s="28">
        <f>Inputs!$D$7</f>
        <v>1</v>
      </c>
    </row>
    <row r="3920" spans="1:13" ht="15" customHeight="1" x14ac:dyDescent="0.2">
      <c r="A3920" s="91"/>
      <c r="B3920" s="3" t="s">
        <v>890</v>
      </c>
      <c r="C3920" s="10" t="s">
        <v>199</v>
      </c>
      <c r="D3920" s="28">
        <f>Inputs!$D$24+(Inputs!$D$80-Inputs!$D$24)*Inputs!$D$83</f>
        <v>305.5</v>
      </c>
      <c r="E3920" s="28">
        <f>Inputs!$D$24+(Inputs!$D$80-Inputs!$D$24)*Inputs!$D$84</f>
        <v>651.5</v>
      </c>
      <c r="F3920" s="28">
        <f>Inputs!$D$24+(Inputs!$D$80-Inputs!$D$24)*Inputs!$D$85</f>
        <v>911</v>
      </c>
      <c r="G3920" s="28">
        <f>Inputs!$D$24+(Inputs!$D$80-Inputs!$D$24)*Inputs!$D$86</f>
        <v>911</v>
      </c>
      <c r="H3920" s="28">
        <f>Inputs!$D$24+(Inputs!$D$80-Inputs!$D$24)*Inputs!$D$87</f>
        <v>911</v>
      </c>
      <c r="I3920" s="28">
        <f>Inputs!$D$24+(Inputs!$D$80-Inputs!$D$24)*Inputs!$D$88</f>
        <v>911</v>
      </c>
      <c r="J3920" s="28">
        <f>Inputs!$D$24+(Inputs!$D$80-Inputs!$D$24)*Inputs!$D$89</f>
        <v>911</v>
      </c>
      <c r="K3920" s="28">
        <f>Inputs!$D$24+(Inputs!$D$80-Inputs!$D$24)*Inputs!$D$90</f>
        <v>911</v>
      </c>
      <c r="L3920" s="28">
        <f>Inputs!$D$24+(Inputs!$D$80-Inputs!$D$24)*Inputs!$D$91</f>
        <v>911</v>
      </c>
      <c r="M3920" s="28">
        <f>Inputs!$D$24+(Inputs!$D$80-Inputs!$D$24)*Inputs!$D$92</f>
        <v>911</v>
      </c>
    </row>
    <row r="3921" spans="1:13" ht="15" customHeight="1" x14ac:dyDescent="0.2">
      <c r="A3921" s="91"/>
      <c r="B3921" s="10" t="s">
        <v>891</v>
      </c>
      <c r="C3921" s="10" t="s">
        <v>199</v>
      </c>
      <c r="D3921" s="28">
        <f>Inputs!$D$24</f>
        <v>46</v>
      </c>
      <c r="E3921" s="28">
        <f t="shared" ref="E3921:M3921" si="850">D3920</f>
        <v>305.5</v>
      </c>
      <c r="F3921" s="28">
        <f t="shared" si="850"/>
        <v>651.5</v>
      </c>
      <c r="G3921" s="28">
        <f t="shared" si="850"/>
        <v>911</v>
      </c>
      <c r="H3921" s="28">
        <f t="shared" si="850"/>
        <v>911</v>
      </c>
      <c r="I3921" s="28">
        <f t="shared" si="850"/>
        <v>911</v>
      </c>
      <c r="J3921" s="28">
        <f t="shared" si="850"/>
        <v>911</v>
      </c>
      <c r="K3921" s="28">
        <f t="shared" si="850"/>
        <v>911</v>
      </c>
      <c r="L3921" s="28">
        <f t="shared" si="850"/>
        <v>911</v>
      </c>
      <c r="M3921" s="28">
        <f t="shared" si="850"/>
        <v>911</v>
      </c>
    </row>
    <row r="3922" spans="1:13" ht="15" customHeight="1" x14ac:dyDescent="0.2">
      <c r="B3922" s="10" t="s">
        <v>892</v>
      </c>
      <c r="C3922" s="10" t="s">
        <v>199</v>
      </c>
      <c r="D3922" s="28">
        <f>(D3921+D3920)*Inputs!$D$12</f>
        <v>175.75</v>
      </c>
      <c r="E3922" s="28">
        <f>(E3921+E3920)*Inputs!$D$12</f>
        <v>478.5</v>
      </c>
      <c r="F3922" s="28">
        <f>(F3921+F3920)*Inputs!$D$12</f>
        <v>781.25</v>
      </c>
      <c r="G3922" s="28">
        <f>(G3921+G3920)*Inputs!$D$12</f>
        <v>911</v>
      </c>
      <c r="H3922" s="28">
        <f>(H3921+H3920)*Inputs!$D$12</f>
        <v>911</v>
      </c>
      <c r="I3922" s="28">
        <f>(I3921+I3920)*Inputs!$D$12</f>
        <v>911</v>
      </c>
      <c r="J3922" s="28">
        <f>(J3921+J3920)*Inputs!$D$12</f>
        <v>911</v>
      </c>
      <c r="K3922" s="28">
        <f>(K3921+K3920)*Inputs!$D$12</f>
        <v>911</v>
      </c>
      <c r="L3922" s="28">
        <f>(L3921+L3920)*Inputs!$D$12</f>
        <v>911</v>
      </c>
      <c r="M3922" s="28">
        <f>(M3921+M3920)*Inputs!$D$12</f>
        <v>911</v>
      </c>
    </row>
    <row r="3923" spans="1:13" ht="15" customHeight="1" x14ac:dyDescent="0.2">
      <c r="B3923" s="10" t="s">
        <v>893</v>
      </c>
      <c r="C3923" s="10" t="s">
        <v>199</v>
      </c>
      <c r="D3923" s="28">
        <f t="shared" ref="D3923:M3923" si="851">D3920-D3921</f>
        <v>259.5</v>
      </c>
      <c r="E3923" s="28">
        <f t="shared" si="851"/>
        <v>346</v>
      </c>
      <c r="F3923" s="28">
        <f t="shared" si="851"/>
        <v>259.5</v>
      </c>
      <c r="G3923" s="28">
        <f t="shared" si="851"/>
        <v>0</v>
      </c>
      <c r="H3923" s="28">
        <f t="shared" si="851"/>
        <v>0</v>
      </c>
      <c r="I3923" s="28">
        <f t="shared" si="851"/>
        <v>0</v>
      </c>
      <c r="J3923" s="28">
        <f t="shared" si="851"/>
        <v>0</v>
      </c>
      <c r="K3923" s="28">
        <f t="shared" si="851"/>
        <v>0</v>
      </c>
      <c r="L3923" s="28">
        <f t="shared" si="851"/>
        <v>0</v>
      </c>
      <c r="M3923" s="28">
        <f t="shared" si="851"/>
        <v>0</v>
      </c>
    </row>
    <row r="3924" spans="1:13" ht="15" customHeight="1" x14ac:dyDescent="0.2">
      <c r="B3924" s="10" t="s">
        <v>894</v>
      </c>
      <c r="C3924" s="10" t="s">
        <v>199</v>
      </c>
      <c r="D3924" s="28">
        <f>IF(MOD(D3916,Inputs!$D$21)=Inputs!$D$6,Inputs!$D$24,Inputs!$D$6)+SUMPRODUCT(--(D3916&gt;$D$3916:$M$3916),--(MOD(D3916-$D$3916:$M$3916,Inputs!$D$21)=Inputs!$D$6),$D$3923:$M$3923)</f>
        <v>0</v>
      </c>
      <c r="E3924" s="28">
        <f>IF(MOD(E3916,Inputs!$D$21)=Inputs!$D$6,Inputs!$D$24,Inputs!$D$6)+SUMPRODUCT(--(E3916&gt;$D$3916:$M$3916),--(MOD(E3916-$D$3916:$M$3916,Inputs!$D$21)=Inputs!$D$6),$D$3923:$M$3923)</f>
        <v>0</v>
      </c>
      <c r="F3924" s="28">
        <f>IF(MOD(F3916,Inputs!$D$21)=Inputs!$D$6,Inputs!$D$24,Inputs!$D$6)+SUMPRODUCT(--(F3916&gt;$D$3916:$M$3916),--(MOD(F3916-$D$3916:$M$3916,Inputs!$D$21)=Inputs!$D$6),$D$3923:$M$3923)</f>
        <v>0</v>
      </c>
      <c r="G3924" s="28">
        <f>IF(MOD(G3916,Inputs!$D$21)=Inputs!$D$6,Inputs!$D$24,Inputs!$D$6)+SUMPRODUCT(--(G3916&gt;$D$3916:$M$3916),--(MOD(G3916-$D$3916:$M$3916,Inputs!$D$21)=Inputs!$D$6),$D$3923:$M$3923)</f>
        <v>46</v>
      </c>
      <c r="H3924" s="28">
        <f>IF(MOD(H3916,Inputs!$D$21)=Inputs!$D$6,Inputs!$D$24,Inputs!$D$6)+SUMPRODUCT(--(H3916&gt;$D$3916:$M$3916),--(MOD(H3916-$D$3916:$M$3916,Inputs!$D$21)=Inputs!$D$6),$D$3923:$M$3923)</f>
        <v>259.5</v>
      </c>
      <c r="I3924" s="28">
        <f>IF(MOD(I3916,Inputs!$D$21)=Inputs!$D$6,Inputs!$D$24,Inputs!$D$6)+SUMPRODUCT(--(I3916&gt;$D$3916:$M$3916),--(MOD(I3916-$D$3916:$M$3916,Inputs!$D$21)=Inputs!$D$6),$D$3923:$M$3923)</f>
        <v>346</v>
      </c>
      <c r="J3924" s="28">
        <f>IF(MOD(J3916,Inputs!$D$21)=Inputs!$D$6,Inputs!$D$24,Inputs!$D$6)+SUMPRODUCT(--(J3916&gt;$D$3916:$M$3916),--(MOD(J3916-$D$3916:$M$3916,Inputs!$D$21)=Inputs!$D$6),$D$3923:$M$3923)</f>
        <v>259.5</v>
      </c>
      <c r="K3924" s="28">
        <f>IF(MOD(K3916,Inputs!$D$21)=Inputs!$D$6,Inputs!$D$24,Inputs!$D$6)+SUMPRODUCT(--(K3916&gt;$D$3916:$M$3916),--(MOD(K3916-$D$3916:$M$3916,Inputs!$D$21)=Inputs!$D$6),$D$3923:$M$3923)</f>
        <v>46</v>
      </c>
      <c r="L3924" s="28">
        <f>IF(MOD(L3916,Inputs!$D$21)=Inputs!$D$6,Inputs!$D$24,Inputs!$D$6)+SUMPRODUCT(--(L3916&gt;$D$3916:$M$3916),--(MOD(L3916-$D$3916:$M$3916,Inputs!$D$21)=Inputs!$D$6),$D$3923:$M$3923)</f>
        <v>259.5</v>
      </c>
      <c r="M3924" s="28">
        <f>IF(MOD(M3916,Inputs!$D$21)=Inputs!$D$6,Inputs!$D$24,Inputs!$D$6)+SUMPRODUCT(--(M3916&gt;$D$3916:$M$3916),--(MOD(M3916-$D$3916:$M$3916,Inputs!$D$21)=Inputs!$D$6),$D$3923:$M$3923)</f>
        <v>346</v>
      </c>
    </row>
    <row r="3925" spans="1:13" ht="15" customHeight="1" x14ac:dyDescent="0.2">
      <c r="B3925" s="10" t="s">
        <v>895</v>
      </c>
      <c r="C3925" s="10" t="s">
        <v>896</v>
      </c>
      <c r="D3925" s="28">
        <f t="shared" ref="D3925:M3925" si="852">D3922*D3919</f>
        <v>125.58726899383984</v>
      </c>
      <c r="E3925" s="28">
        <f t="shared" si="852"/>
        <v>478.5</v>
      </c>
      <c r="F3925" s="28">
        <f t="shared" si="852"/>
        <v>781.25</v>
      </c>
      <c r="G3925" s="28">
        <f t="shared" si="852"/>
        <v>911</v>
      </c>
      <c r="H3925" s="28">
        <f t="shared" si="852"/>
        <v>911</v>
      </c>
      <c r="I3925" s="28">
        <f t="shared" si="852"/>
        <v>911</v>
      </c>
      <c r="J3925" s="28">
        <f t="shared" si="852"/>
        <v>911</v>
      </c>
      <c r="K3925" s="28">
        <f t="shared" si="852"/>
        <v>911</v>
      </c>
      <c r="L3925" s="28">
        <f t="shared" si="852"/>
        <v>911</v>
      </c>
      <c r="M3925" s="28">
        <f t="shared" si="852"/>
        <v>911</v>
      </c>
    </row>
    <row r="3926" spans="1:13" ht="15" customHeight="1" x14ac:dyDescent="0.2">
      <c r="B3926" s="10" t="s">
        <v>897</v>
      </c>
      <c r="C3926" s="10" t="s">
        <v>110</v>
      </c>
      <c r="D3926" s="16">
        <f>D3925*($D$3945/Inputs!$D$21+$D$3946/Inputs!$D$22)</f>
        <v>1816.9772859324419</v>
      </c>
      <c r="E3926" s="16">
        <f>E3925*($D$3945/Inputs!$D$21+$D$3946/Inputs!$D$22)</f>
        <v>6922.8643817497086</v>
      </c>
      <c r="F3926" s="16">
        <f>F3925*($D$3945/Inputs!$D$21+$D$3946/Inputs!$D$22)</f>
        <v>11303.0048030135</v>
      </c>
      <c r="G3926" s="16">
        <f>G3925*($D$3945/Inputs!$D$21+$D$3946/Inputs!$D$22)</f>
        <v>13180.207840697982</v>
      </c>
      <c r="H3926" s="16">
        <f>H3925*($D$3945/Inputs!$D$21+$D$3946/Inputs!$D$22)</f>
        <v>13180.207840697982</v>
      </c>
      <c r="I3926" s="16">
        <f>I3925*($D$3945/Inputs!$D$21+$D$3946/Inputs!$D$22)</f>
        <v>13180.207840697982</v>
      </c>
      <c r="J3926" s="16">
        <f>J3925*($D$3945/Inputs!$D$21+$D$3946/Inputs!$D$22)</f>
        <v>13180.207840697982</v>
      </c>
      <c r="K3926" s="16">
        <f>K3925*($D$3945/Inputs!$D$21+$D$3946/Inputs!$D$22)</f>
        <v>13180.207840697982</v>
      </c>
      <c r="L3926" s="16">
        <f>L3925*($D$3945/Inputs!$D$21+$D$3946/Inputs!$D$22)</f>
        <v>13180.207840697982</v>
      </c>
      <c r="M3926" s="16">
        <f>M3925*($D$3945/Inputs!$D$21+$D$3946/Inputs!$D$22)</f>
        <v>13180.207840697982</v>
      </c>
    </row>
    <row r="3927" spans="1:13" ht="15" customHeight="1" x14ac:dyDescent="0.2">
      <c r="B3927" s="10" t="s">
        <v>898</v>
      </c>
      <c r="C3927" s="10" t="s">
        <v>110</v>
      </c>
      <c r="D3927" s="16">
        <f t="shared" ref="D3927:M3927" si="853">D3923*($D$3945+$D$3946)</f>
        <v>15560.968620146154</v>
      </c>
      <c r="E3927" s="16">
        <f t="shared" si="853"/>
        <v>20747.95816019487</v>
      </c>
      <c r="F3927" s="16">
        <f t="shared" si="853"/>
        <v>15560.968620146154</v>
      </c>
      <c r="G3927" s="16">
        <f t="shared" si="853"/>
        <v>0</v>
      </c>
      <c r="H3927" s="16">
        <f t="shared" si="853"/>
        <v>0</v>
      </c>
      <c r="I3927" s="16">
        <f t="shared" si="853"/>
        <v>0</v>
      </c>
      <c r="J3927" s="16">
        <f t="shared" si="853"/>
        <v>0</v>
      </c>
      <c r="K3927" s="16">
        <f t="shared" si="853"/>
        <v>0</v>
      </c>
      <c r="L3927" s="16">
        <f t="shared" si="853"/>
        <v>0</v>
      </c>
      <c r="M3927" s="16">
        <f t="shared" si="853"/>
        <v>0</v>
      </c>
    </row>
    <row r="3928" spans="1:13" ht="15" customHeight="1" x14ac:dyDescent="0.2">
      <c r="B3928" s="10" t="s">
        <v>899</v>
      </c>
      <c r="C3928" s="10" t="s">
        <v>110</v>
      </c>
      <c r="D3928" s="16">
        <f t="shared" ref="D3928:M3928" si="854">D3924*$D$3945</f>
        <v>0</v>
      </c>
      <c r="E3928" s="16">
        <f t="shared" si="854"/>
        <v>0</v>
      </c>
      <c r="F3928" s="16">
        <f t="shared" si="854"/>
        <v>0</v>
      </c>
      <c r="G3928" s="16">
        <f t="shared" si="854"/>
        <v>2638.0048485671714</v>
      </c>
      <c r="H3928" s="16">
        <f t="shared" si="854"/>
        <v>14881.788221808281</v>
      </c>
      <c r="I3928" s="16">
        <f t="shared" si="854"/>
        <v>19842.384295744378</v>
      </c>
      <c r="J3928" s="16">
        <f t="shared" si="854"/>
        <v>14881.788221808281</v>
      </c>
      <c r="K3928" s="16">
        <f t="shared" si="854"/>
        <v>2638.0048485671714</v>
      </c>
      <c r="L3928" s="16">
        <f t="shared" si="854"/>
        <v>14881.788221808281</v>
      </c>
      <c r="M3928" s="16">
        <f t="shared" si="854"/>
        <v>19842.384295744378</v>
      </c>
    </row>
    <row r="3929" spans="1:13" ht="15" customHeight="1" x14ac:dyDescent="0.2">
      <c r="B3929" s="10" t="s">
        <v>900</v>
      </c>
      <c r="C3929" s="10" t="s">
        <v>199</v>
      </c>
      <c r="D3929" s="28">
        <f>D3923*Inputs!$D$23</f>
        <v>6.4875000000000007</v>
      </c>
      <c r="E3929" s="28">
        <f>E3923*Inputs!$D$23</f>
        <v>8.65</v>
      </c>
      <c r="F3929" s="28">
        <f>F3923*Inputs!$D$23</f>
        <v>6.4875000000000007</v>
      </c>
      <c r="G3929" s="28">
        <f>G3923*Inputs!$D$23</f>
        <v>0</v>
      </c>
      <c r="H3929" s="28">
        <f>H3923*Inputs!$D$23</f>
        <v>0</v>
      </c>
      <c r="I3929" s="28">
        <f>I3923*Inputs!$D$23</f>
        <v>0</v>
      </c>
      <c r="J3929" s="28">
        <f>J3923*Inputs!$D$23</f>
        <v>0</v>
      </c>
      <c r="K3929" s="28">
        <f>K3923*Inputs!$D$23</f>
        <v>0</v>
      </c>
      <c r="L3929" s="28">
        <f>L3923*Inputs!$D$23</f>
        <v>0</v>
      </c>
      <c r="M3929" s="28">
        <f>M3923*Inputs!$D$23</f>
        <v>0</v>
      </c>
    </row>
    <row r="3930" spans="1:13" ht="15" customHeight="1" x14ac:dyDescent="0.2">
      <c r="B3930" s="3" t="s">
        <v>901</v>
      </c>
      <c r="C3930" s="10" t="s">
        <v>896</v>
      </c>
      <c r="D3930" s="28">
        <f>(D3925*$D$3943*(Inputs!$D$7-Inputs!$D$19)-D3929)/(Inputs!$D$7+$D$3944)^D3918</f>
        <v>51.425798387720562</v>
      </c>
      <c r="E3930" s="28">
        <f>(E3925*$D$3943*(Inputs!$D$7-Inputs!$D$19)-E3929)/(Inputs!$D$7+$D$3944)^E3918</f>
        <v>191.73295281761204</v>
      </c>
      <c r="F3930" s="28">
        <f>(F3925*$D$3943*(Inputs!$D$7-Inputs!$D$19)-F3929)/(Inputs!$D$7+$D$3944)^F3918</f>
        <v>290.4976949096623</v>
      </c>
      <c r="G3930" s="28">
        <f>(G3925*$D$3943*(Inputs!$D$7-Inputs!$D$19)-G3929)/(Inputs!$D$7+$D$3944)^G3918</f>
        <v>313.27787474894069</v>
      </c>
      <c r="H3930" s="28">
        <f>(H3925*$D$3943*(Inputs!$D$7-Inputs!$D$19)-H3929)/(Inputs!$D$7+$D$3944)^H3918</f>
        <v>284.81664772119052</v>
      </c>
      <c r="I3930" s="28">
        <f>(I3925*$D$3943*(Inputs!$D$7-Inputs!$D$19)-I3929)/(Inputs!$D$7+$D$3944)^I3918</f>
        <v>258.87355641308392</v>
      </c>
      <c r="J3930" s="28">
        <f>(J3925*$D$3943*(Inputs!$D$7-Inputs!$D$19)-J3929)/(Inputs!$D$7+$D$3944)^J3918</f>
        <v>235.35494991571019</v>
      </c>
      <c r="K3930" s="28">
        <f>(K3925*$D$3943*(Inputs!$D$7-Inputs!$D$19)-K3929)/(Inputs!$D$7+$D$3944)^K3918</f>
        <v>213.97300372169974</v>
      </c>
      <c r="L3930" s="28">
        <f>(L3925*$D$3943*(Inputs!$D$7-Inputs!$D$19)-L3929)/(Inputs!$D$7+$D$3944)^L3918</f>
        <v>194.53360270554637</v>
      </c>
      <c r="M3930" s="28">
        <f>(M3925*$D$3943*(Inputs!$D$7-Inputs!$D$19)-M3929)/(Inputs!$D$7+$D$3944)^M3918</f>
        <v>176.81412226834496</v>
      </c>
    </row>
    <row r="3931" spans="1:13" ht="15" customHeight="1" x14ac:dyDescent="0.2">
      <c r="B3931" s="10" t="s">
        <v>902</v>
      </c>
      <c r="C3931" s="10" t="s">
        <v>110</v>
      </c>
      <c r="D3931" s="16">
        <f>(D3926*Inputs!$D$19-D3927-D3928)/(Inputs!$D$7+$D$3944)^D3918</f>
        <v>-14027.24269342025</v>
      </c>
      <c r="E3931" s="16">
        <f>(E3926*Inputs!$D$19-E3927-E3928)/(Inputs!$D$7+$D$3944)^E3918</f>
        <v>-15853.087323826181</v>
      </c>
      <c r="F3931" s="16">
        <f>(F3926*Inputs!$D$19-F3927-F3928)/(Inputs!$D$7+$D$3944)^F3918</f>
        <v>-9394.4767487293357</v>
      </c>
      <c r="G3931" s="16">
        <f>(G3926*Inputs!$D$19-G3927-G3928)/(Inputs!$D$7+$D$3944)^G3918</f>
        <v>923.61320322684639</v>
      </c>
      <c r="H3931" s="16">
        <f>(H3926*Inputs!$D$19-H3927-H3928)/(Inputs!$D$7+$D$3944)^H3918</f>
        <v>-6972.3744918015345</v>
      </c>
      <c r="I3931" s="16">
        <f>(I3926*Inputs!$D$19-I3927-I3928)/(Inputs!$D$7+$D$3944)^I3918</f>
        <v>-9214.0648467907959</v>
      </c>
      <c r="J3931" s="16">
        <f>(J3926*Inputs!$D$19-J3927-J3928)/(Inputs!$D$7+$D$3944)^J3918</f>
        <v>-5761.5411965591911</v>
      </c>
      <c r="K3931" s="16">
        <f>(K3926*Inputs!$D$19-K3927-K3928)/(Inputs!$D$7+$D$3944)^K3918</f>
        <v>630.8402453567694</v>
      </c>
      <c r="L3931" s="16">
        <f>(L3926*Inputs!$D$19-L3927-L3928)/(Inputs!$D$7+$D$3944)^L3918</f>
        <v>-4762.2255937446444</v>
      </c>
      <c r="M3931" s="16">
        <f>(M3926*Inputs!$D$19-M3927-M3928)/(Inputs!$D$7+$D$3944)^M3918</f>
        <v>-6293.3302689644106</v>
      </c>
    </row>
    <row r="3932" spans="1:13" ht="15" customHeight="1" x14ac:dyDescent="0.2">
      <c r="B3932" s="10" t="s">
        <v>903</v>
      </c>
      <c r="C3932" s="10" t="s">
        <v>110</v>
      </c>
      <c r="D3932" s="16">
        <f t="shared" ref="D3932:M3932" si="855">D3925*$D$3942</f>
        <v>4066.0092668072098</v>
      </c>
      <c r="E3932" s="16">
        <f t="shared" si="855"/>
        <v>15491.900172323059</v>
      </c>
      <c r="F3932" s="16">
        <f t="shared" si="855"/>
        <v>25293.724158050973</v>
      </c>
      <c r="G3932" s="16">
        <f t="shared" si="855"/>
        <v>29494.505866220079</v>
      </c>
      <c r="H3932" s="16">
        <f t="shared" si="855"/>
        <v>29494.505866220079</v>
      </c>
      <c r="I3932" s="16">
        <f t="shared" si="855"/>
        <v>29494.505866220079</v>
      </c>
      <c r="J3932" s="16">
        <f t="shared" si="855"/>
        <v>29494.505866220079</v>
      </c>
      <c r="K3932" s="16">
        <f t="shared" si="855"/>
        <v>29494.505866220079</v>
      </c>
      <c r="L3932" s="16">
        <f t="shared" si="855"/>
        <v>29494.505866220079</v>
      </c>
      <c r="M3932" s="16">
        <f t="shared" si="855"/>
        <v>29494.505866220079</v>
      </c>
    </row>
    <row r="3933" spans="1:13" ht="15" customHeight="1" x14ac:dyDescent="0.2">
      <c r="B3933" s="10" t="s">
        <v>904</v>
      </c>
      <c r="C3933" s="10" t="s">
        <v>110</v>
      </c>
      <c r="D3933" s="16">
        <f t="shared" ref="D3933:M3933" si="856">D3932*$D$3943</f>
        <v>2846.2064867650465</v>
      </c>
      <c r="E3933" s="16">
        <f t="shared" si="856"/>
        <v>10844.33012062614</v>
      </c>
      <c r="F3933" s="16">
        <f t="shared" si="856"/>
        <v>17705.606910635681</v>
      </c>
      <c r="G3933" s="16">
        <f t="shared" si="856"/>
        <v>20646.154106354054</v>
      </c>
      <c r="H3933" s="16">
        <f t="shared" si="856"/>
        <v>20646.154106354054</v>
      </c>
      <c r="I3933" s="16">
        <f t="shared" si="856"/>
        <v>20646.154106354054</v>
      </c>
      <c r="J3933" s="16">
        <f t="shared" si="856"/>
        <v>20646.154106354054</v>
      </c>
      <c r="K3933" s="16">
        <f t="shared" si="856"/>
        <v>20646.154106354054</v>
      </c>
      <c r="L3933" s="16">
        <f t="shared" si="856"/>
        <v>20646.154106354054</v>
      </c>
      <c r="M3933" s="16">
        <f t="shared" si="856"/>
        <v>20646.154106354054</v>
      </c>
    </row>
    <row r="3934" spans="1:13" ht="15" customHeight="1" x14ac:dyDescent="0.2">
      <c r="B3934" s="10" t="s">
        <v>905</v>
      </c>
      <c r="C3934" s="10" t="s">
        <v>110</v>
      </c>
      <c r="D3934" s="16">
        <f t="shared" ref="D3934:M3934" si="857">D3933-D3926</f>
        <v>1029.2292008326046</v>
      </c>
      <c r="E3934" s="16">
        <f t="shared" si="857"/>
        <v>3921.4657388764317</v>
      </c>
      <c r="F3934" s="16">
        <f t="shared" si="857"/>
        <v>6402.6021076221805</v>
      </c>
      <c r="G3934" s="16">
        <f t="shared" si="857"/>
        <v>7465.9462656560718</v>
      </c>
      <c r="H3934" s="16">
        <f t="shared" si="857"/>
        <v>7465.9462656560718</v>
      </c>
      <c r="I3934" s="16">
        <f t="shared" si="857"/>
        <v>7465.9462656560718</v>
      </c>
      <c r="J3934" s="16">
        <f t="shared" si="857"/>
        <v>7465.9462656560718</v>
      </c>
      <c r="K3934" s="16">
        <f t="shared" si="857"/>
        <v>7465.9462656560718</v>
      </c>
      <c r="L3934" s="16">
        <f t="shared" si="857"/>
        <v>7465.9462656560718</v>
      </c>
      <c r="M3934" s="16">
        <f t="shared" si="857"/>
        <v>7465.9462656560718</v>
      </c>
    </row>
    <row r="3935" spans="1:13" ht="15" customHeight="1" x14ac:dyDescent="0.2">
      <c r="B3935" s="10" t="s">
        <v>906</v>
      </c>
      <c r="C3935" s="10" t="s">
        <v>110</v>
      </c>
      <c r="D3935" s="16">
        <f>MAX(D3934,Inputs!$D$6)*Inputs!$D$19</f>
        <v>308.76876024978139</v>
      </c>
      <c r="E3935" s="16">
        <f>MAX(E3934,Inputs!$D$6)*Inputs!$D$19</f>
        <v>1176.4397216629295</v>
      </c>
      <c r="F3935" s="16">
        <f>MAX(F3934,Inputs!$D$6)*Inputs!$D$19</f>
        <v>1920.7806322866541</v>
      </c>
      <c r="G3935" s="16">
        <f>MAX(G3934,Inputs!$D$6)*Inputs!$D$19</f>
        <v>2239.7838796968213</v>
      </c>
      <c r="H3935" s="16">
        <f>MAX(H3934,Inputs!$D$6)*Inputs!$D$19</f>
        <v>2239.7838796968213</v>
      </c>
      <c r="I3935" s="16">
        <f>MAX(I3934,Inputs!$D$6)*Inputs!$D$19</f>
        <v>2239.7838796968213</v>
      </c>
      <c r="J3935" s="16">
        <f>MAX(J3934,Inputs!$D$6)*Inputs!$D$19</f>
        <v>2239.7838796968213</v>
      </c>
      <c r="K3935" s="16">
        <f>MAX(K3934,Inputs!$D$6)*Inputs!$D$19</f>
        <v>2239.7838796968213</v>
      </c>
      <c r="L3935" s="16">
        <f>MAX(L3934,Inputs!$D$6)*Inputs!$D$19</f>
        <v>2239.7838796968213</v>
      </c>
      <c r="M3935" s="16">
        <f>MAX(M3934,Inputs!$D$6)*Inputs!$D$19</f>
        <v>2239.7838796968213</v>
      </c>
    </row>
    <row r="3936" spans="1:13" ht="15" customHeight="1" x14ac:dyDescent="0.2">
      <c r="B3936" s="10" t="s">
        <v>907</v>
      </c>
      <c r="C3936" s="10" t="s">
        <v>110</v>
      </c>
      <c r="D3936" s="16">
        <f t="shared" ref="D3936:M3936" si="858">D3929*$D$3942</f>
        <v>210.03908540845529</v>
      </c>
      <c r="E3936" s="16">
        <f t="shared" si="858"/>
        <v>280.05211387794037</v>
      </c>
      <c r="F3936" s="16">
        <f t="shared" si="858"/>
        <v>210.03908540845529</v>
      </c>
      <c r="G3936" s="16">
        <f t="shared" si="858"/>
        <v>0</v>
      </c>
      <c r="H3936" s="16">
        <f t="shared" si="858"/>
        <v>0</v>
      </c>
      <c r="I3936" s="16">
        <f t="shared" si="858"/>
        <v>0</v>
      </c>
      <c r="J3936" s="16">
        <f t="shared" si="858"/>
        <v>0</v>
      </c>
      <c r="K3936" s="16">
        <f t="shared" si="858"/>
        <v>0</v>
      </c>
      <c r="L3936" s="16">
        <f t="shared" si="858"/>
        <v>0</v>
      </c>
      <c r="M3936" s="16">
        <f t="shared" si="858"/>
        <v>0</v>
      </c>
    </row>
    <row r="3937" spans="2:13" ht="15" customHeight="1" x14ac:dyDescent="0.2">
      <c r="B3937" s="10" t="s">
        <v>908</v>
      </c>
      <c r="C3937" s="10" t="s">
        <v>110</v>
      </c>
      <c r="D3937" s="16">
        <f t="shared" ref="D3937:M3937" si="859">D3933-D3935-D3927-D3928-D3936</f>
        <v>-13233.569979039343</v>
      </c>
      <c r="E3937" s="16">
        <f t="shared" si="859"/>
        <v>-11360.1198751096</v>
      </c>
      <c r="F3937" s="16">
        <f t="shared" si="859"/>
        <v>13.818572794417406</v>
      </c>
      <c r="G3937" s="16">
        <f t="shared" si="859"/>
        <v>15768.36537809006</v>
      </c>
      <c r="H3937" s="16">
        <f t="shared" si="859"/>
        <v>3524.5820048489513</v>
      </c>
      <c r="I3937" s="16">
        <f t="shared" si="859"/>
        <v>-1436.0140690871449</v>
      </c>
      <c r="J3937" s="16">
        <f t="shared" si="859"/>
        <v>3524.5820048489513</v>
      </c>
      <c r="K3937" s="16">
        <f t="shared" si="859"/>
        <v>15768.36537809006</v>
      </c>
      <c r="L3937" s="16">
        <f t="shared" si="859"/>
        <v>3524.5820048489513</v>
      </c>
      <c r="M3937" s="16">
        <f t="shared" si="859"/>
        <v>-1436.0140690871449</v>
      </c>
    </row>
    <row r="3938" spans="2:13" ht="15" customHeight="1" x14ac:dyDescent="0.2">
      <c r="B3938" s="10" t="s">
        <v>909</v>
      </c>
      <c r="C3938" s="10" t="s">
        <v>110</v>
      </c>
      <c r="D3938" s="16">
        <f>D3937/(Inputs!$D$7+$D$3944)^D3918</f>
        <v>-12362.28274586627</v>
      </c>
      <c r="E3938" s="16">
        <f>E3937/(Inputs!$D$7+$D$3944)^E3918</f>
        <v>-9645.547585487262</v>
      </c>
      <c r="F3938" s="16">
        <f>F3937/(Inputs!$D$7+$D$3944)^F3918</f>
        <v>10.667012671811937</v>
      </c>
      <c r="G3938" s="16">
        <f>G3937/(Inputs!$D$7+$D$3944)^G3918</f>
        <v>11066.287313588637</v>
      </c>
      <c r="H3938" s="16">
        <f>H3937/(Inputs!$D$7+$D$3944)^H3918</f>
        <v>2248.8398737415964</v>
      </c>
      <c r="I3938" s="16">
        <f>I3937/(Inputs!$D$7+$D$3944)^I3918</f>
        <v>-832.78314730126851</v>
      </c>
      <c r="J3938" s="16">
        <f>J3937/(Inputs!$D$7+$D$3944)^J3918</f>
        <v>1858.3028769126515</v>
      </c>
      <c r="K3938" s="16">
        <f>K3937/(Inputs!$D$7+$D$3944)^K3918</f>
        <v>7558.4231361168186</v>
      </c>
      <c r="L3938" s="16">
        <f>L3937/(Inputs!$D$7+$D$3944)^L3918</f>
        <v>1535.987892726997</v>
      </c>
      <c r="M3938" s="16">
        <f>M3937/(Inputs!$D$7+$D$3944)^M3918</f>
        <v>-568.8020950080379</v>
      </c>
    </row>
    <row r="3939" spans="2:13" ht="15" customHeight="1" x14ac:dyDescent="0.2">
      <c r="B3939" s="3" t="s">
        <v>910</v>
      </c>
      <c r="C3939" s="10" t="s">
        <v>896</v>
      </c>
      <c r="D3939" s="28">
        <f>(D3925*$D$3943-D3929)/(Inputs!$D$7+$D$3944)^D3918</f>
        <v>76.062727010823693</v>
      </c>
      <c r="E3939" s="28">
        <f>(E3925*$D$3943-E3929)/(Inputs!$D$7+$D$3944)^E3918</f>
        <v>277.05184555670269</v>
      </c>
      <c r="F3939" s="28">
        <f>(F3925*$D$3943-F3929)/(Inputs!$D$7+$D$3944)^F3918</f>
        <v>417.14295650832435</v>
      </c>
      <c r="G3939" s="28">
        <f>(G3925*$D$3943-G3929)/(Inputs!$D$7+$D$3944)^G3918</f>
        <v>447.53982106991532</v>
      </c>
      <c r="H3939" s="28">
        <f>(H3925*$D$3943-H3929)/(Inputs!$D$7+$D$3944)^H3918</f>
        <v>406.88092531598647</v>
      </c>
      <c r="I3939" s="28">
        <f>(I3925*$D$3943-I3929)/(Inputs!$D$7+$D$3944)^I3918</f>
        <v>369.81936630440561</v>
      </c>
      <c r="J3939" s="28">
        <f>(J3925*$D$3943-J3929)/(Inputs!$D$7+$D$3944)^J3918</f>
        <v>336.22135702244316</v>
      </c>
      <c r="K3939" s="28">
        <f>(K3925*$D$3943-K3929)/(Inputs!$D$7+$D$3944)^K3918</f>
        <v>305.67571960242822</v>
      </c>
      <c r="L3939" s="28">
        <f>(L3925*$D$3943-L3929)/(Inputs!$D$7+$D$3944)^L3918</f>
        <v>277.90514672220911</v>
      </c>
      <c r="M3939" s="28">
        <f>(M3925*$D$3943-M3929)/(Inputs!$D$7+$D$3944)^M3918</f>
        <v>252.59160324049282</v>
      </c>
    </row>
    <row r="3940" spans="2:13" ht="15" customHeight="1" x14ac:dyDescent="0.2">
      <c r="B3940" s="10" t="s">
        <v>911</v>
      </c>
      <c r="C3940" s="10" t="s">
        <v>110</v>
      </c>
      <c r="D3940" s="16">
        <f>(-D3927-D3928)/(Inputs!$D$7+$D$3944)^D3918</f>
        <v>-14536.447397527105</v>
      </c>
      <c r="E3940" s="16">
        <f>(-E3927-E3928)/(Inputs!$D$7+$D$3944)^E3918</f>
        <v>-17616.488200475756</v>
      </c>
      <c r="F3940" s="16">
        <f>(-F3927-F3928)/(Inputs!$D$7+$D$3944)^F3918</f>
        <v>-12012.025548964448</v>
      </c>
      <c r="G3940" s="16">
        <f>(-G3927-G3928)/(Inputs!$D$7+$D$3944)^G3918</f>
        <v>-1851.359915178487</v>
      </c>
      <c r="H3940" s="16">
        <f>(-H3927-H3928)/(Inputs!$D$7+$D$3944)^H3918</f>
        <v>-9495.2419037884629</v>
      </c>
      <c r="I3940" s="16">
        <f>(-I3927-I3928)/(Inputs!$D$7+$D$3944)^I3918</f>
        <v>-11507.131858586603</v>
      </c>
      <c r="J3940" s="16">
        <f>(-J3927-J3928)/(Inputs!$D$7+$D$3944)^J3918</f>
        <v>-7846.2835672839774</v>
      </c>
      <c r="K3940" s="16">
        <f>(-K3927-K3928)/(Inputs!$D$7+$D$3944)^K3918</f>
        <v>-1264.5037327904422</v>
      </c>
      <c r="L3940" s="16">
        <f>(-L3927-L3928)/(Inputs!$D$7+$D$3944)^L3918</f>
        <v>-6485.3779822337692</v>
      </c>
      <c r="M3940" s="16">
        <f>(-M3927-M3928)/(Inputs!$D$7+$D$3944)^M3918</f>
        <v>-7859.5258920747219</v>
      </c>
    </row>
    <row r="3941" spans="2:13" ht="15" customHeight="1" x14ac:dyDescent="0.2">
      <c r="B3941" s="10" t="s">
        <v>912</v>
      </c>
      <c r="C3941" s="10" t="s">
        <v>110</v>
      </c>
      <c r="D3941" s="16">
        <f>Prices!I9</f>
        <v>21850</v>
      </c>
    </row>
    <row r="3942" spans="2:13" ht="15" customHeight="1" x14ac:dyDescent="0.2">
      <c r="B3942" s="3" t="s">
        <v>913</v>
      </c>
      <c r="C3942" s="10" t="s">
        <v>914</v>
      </c>
      <c r="D3942" s="28">
        <f>IF(J3949&gt;=J3945,J3949,(D3941-J3948)/J3947)</f>
        <v>32.375966922305246</v>
      </c>
      <c r="G3942" s="99" t="s">
        <v>915</v>
      </c>
      <c r="H3942" s="91"/>
      <c r="I3942" s="91"/>
      <c r="J3942" s="28">
        <f>D3942*Inputs!$D$15</f>
        <v>22.595187315076831</v>
      </c>
      <c r="K3942" s="99" t="s">
        <v>916</v>
      </c>
      <c r="L3942" s="91"/>
      <c r="M3942" s="91"/>
    </row>
    <row r="3943" spans="2:13" ht="15" customHeight="1" x14ac:dyDescent="0.2">
      <c r="B3943" s="10" t="s">
        <v>917</v>
      </c>
      <c r="C3943" s="10" t="s">
        <v>104</v>
      </c>
      <c r="D3943" s="30">
        <f>Inputs!$D$143</f>
        <v>0.7</v>
      </c>
      <c r="G3943" s="99" t="s">
        <v>918</v>
      </c>
      <c r="H3943" s="91"/>
      <c r="I3943" s="91"/>
      <c r="J3943" s="28">
        <f>IF(-D3954/D3953&gt;=J3945,-D3954/D3953,-J3948/J3947)</f>
        <v>27.651390108132095</v>
      </c>
      <c r="K3943" s="99" t="s">
        <v>919</v>
      </c>
      <c r="L3943" s="91"/>
      <c r="M3943" s="91"/>
    </row>
    <row r="3944" spans="2:13" ht="15" customHeight="1" x14ac:dyDescent="0.2">
      <c r="B3944" s="10" t="s">
        <v>920</v>
      </c>
      <c r="C3944" s="10" t="s">
        <v>104</v>
      </c>
      <c r="D3944" s="30">
        <f>Inputs!$D$147</f>
        <v>0.1</v>
      </c>
      <c r="G3944" s="99" t="s">
        <v>918</v>
      </c>
      <c r="H3944" s="91"/>
      <c r="I3944" s="91"/>
      <c r="J3944" s="28">
        <f>J3943*Inputs!$D$15</f>
        <v>19.297905156465387</v>
      </c>
      <c r="K3944" s="99" t="s">
        <v>916</v>
      </c>
      <c r="L3944" s="91"/>
      <c r="M3944" s="91"/>
    </row>
    <row r="3945" spans="2:13" ht="15" customHeight="1" x14ac:dyDescent="0.2">
      <c r="B3945" s="3" t="s">
        <v>921</v>
      </c>
      <c r="C3945" s="10" t="s">
        <v>848</v>
      </c>
      <c r="D3945" s="28">
        <f>Capital!$D$13</f>
        <v>57.347931490590682</v>
      </c>
      <c r="G3945" s="99" t="s">
        <v>922</v>
      </c>
      <c r="H3945" s="91"/>
      <c r="I3945" s="91"/>
      <c r="J3945" s="28">
        <f>($D$3945/Inputs!$D$21+$D$3946/Inputs!$D$22)/$D$3943</f>
        <v>20.668351639796114</v>
      </c>
      <c r="K3945" s="99" t="s">
        <v>919</v>
      </c>
      <c r="L3945" s="91"/>
      <c r="M3945" s="91"/>
    </row>
    <row r="3946" spans="2:13" ht="15" customHeight="1" x14ac:dyDescent="0.2">
      <c r="B3946" s="3" t="s">
        <v>923</v>
      </c>
      <c r="C3946" s="10" t="s">
        <v>848</v>
      </c>
      <c r="D3946" s="28">
        <f>Capital!$D$14</f>
        <v>2.6172655041921802</v>
      </c>
    </row>
    <row r="3947" spans="2:13" ht="15" customHeight="1" x14ac:dyDescent="0.2">
      <c r="B3947" s="10" t="s">
        <v>924</v>
      </c>
      <c r="C3947" s="10" t="s">
        <v>896</v>
      </c>
      <c r="D3947" s="28">
        <f>(M3920*(Inputs!$D$7+Inputs!$D$20)*$D$3943*(Inputs!$D$7-Inputs!$D$19)-M3920*Inputs!$D$20*Inputs!$D$23)/($D$3944-Inputs!$D$20)/(Inputs!$D$7+$D$3944)^M3918</f>
        <v>2413.4526281049939</v>
      </c>
      <c r="G3947" s="92" t="s">
        <v>910</v>
      </c>
      <c r="H3947" s="91"/>
      <c r="I3947" s="91"/>
      <c r="J3947" s="28">
        <f>SUM(D3939:M3939)+(M3920*(Inputs!$D$7+Inputs!$D$20)*$D$3943-M3920*Inputs!$D$20*Inputs!$D$23)/($D$3944-Inputs!$D$20)/(Inputs!$D$7+$D$3944)^M3918</f>
        <v>6615.9696697447453</v>
      </c>
      <c r="K3947" s="99" t="s">
        <v>896</v>
      </c>
      <c r="L3947" s="91"/>
      <c r="M3947" s="91"/>
    </row>
    <row r="3948" spans="2:13" ht="15" customHeight="1" x14ac:dyDescent="0.2">
      <c r="B3948" s="10" t="s">
        <v>925</v>
      </c>
      <c r="C3948" s="10" t="s">
        <v>110</v>
      </c>
      <c r="D3948" s="16">
        <f>(D3951*Inputs!$D$19-D3951-D3952)/($D$3944-Inputs!$D$20)/(Inputs!$D$7+$D$3944)^M3918</f>
        <v>-57156.954988173631</v>
      </c>
      <c r="G3948" s="92" t="s">
        <v>926</v>
      </c>
      <c r="H3948" s="91"/>
      <c r="I3948" s="91"/>
      <c r="J3948" s="16">
        <f>SUM(D3940:M3940)-(D3951+D3952)/($D$3944-Inputs!$D$20)/(Inputs!$D$7+$D$3944)^M3918</f>
        <v>-169036.01450291832</v>
      </c>
      <c r="K3948" s="99" t="s">
        <v>110</v>
      </c>
      <c r="L3948" s="91"/>
      <c r="M3948" s="91"/>
    </row>
    <row r="3949" spans="2:13" ht="15" customHeight="1" x14ac:dyDescent="0.2">
      <c r="B3949" s="10" t="s">
        <v>927</v>
      </c>
      <c r="C3949" s="10" t="s">
        <v>928</v>
      </c>
      <c r="D3949" s="16">
        <f>(M3920*(Inputs!$D$7+Inputs!$D$20)*$D$3942*$D$3943-D3951)-MAX((M3920*(Inputs!$D$7+Inputs!$D$20)*$D$3942*$D$3943-D3951),Inputs!$D$6)*Inputs!$D$19-D3952-M3920*Inputs!$D$20*$D$3942*Inputs!$D$23</f>
        <v>3972.6750178856628</v>
      </c>
      <c r="G3949" s="99" t="s">
        <v>929</v>
      </c>
      <c r="H3949" s="91"/>
      <c r="I3949" s="91"/>
      <c r="J3949" s="28">
        <f>(D3941-D3954)/D3953</f>
        <v>32.375966922305246</v>
      </c>
      <c r="K3949" s="99" t="s">
        <v>919</v>
      </c>
      <c r="L3949" s="91"/>
      <c r="M3949" s="91"/>
    </row>
    <row r="3950" spans="2:13" ht="15" customHeight="1" x14ac:dyDescent="0.2">
      <c r="B3950" s="10" t="s">
        <v>930</v>
      </c>
      <c r="C3950" s="10" t="s">
        <v>110</v>
      </c>
      <c r="D3950" s="16">
        <f>D3949/($D$3944-Inputs!$D$20)</f>
        <v>52969.000238475499</v>
      </c>
      <c r="G3950" s="99" t="s">
        <v>931</v>
      </c>
      <c r="H3950" s="91"/>
      <c r="I3950" s="91"/>
      <c r="J3950" s="16">
        <f>MIN(D3934:M3934,(M3920*(Inputs!$D$7+Inputs!$D$20)*$D$3942*$D$3943-D3951))</f>
        <v>1029.2292008326046</v>
      </c>
      <c r="K3950" s="99" t="s">
        <v>110</v>
      </c>
      <c r="L3950" s="91"/>
      <c r="M3950" s="91"/>
    </row>
    <row r="3951" spans="2:13" ht="15" customHeight="1" x14ac:dyDescent="0.2">
      <c r="B3951" s="10" t="s">
        <v>932</v>
      </c>
      <c r="C3951" s="10" t="s">
        <v>928</v>
      </c>
      <c r="D3951" s="16">
        <f>M3920*(Inputs!$D$7+Inputs!$D$20)*($D$3945/Inputs!$D$21+$D$3946/Inputs!$D$22)</f>
        <v>13509.71303671543</v>
      </c>
      <c r="G3951" s="99" t="s">
        <v>933</v>
      </c>
      <c r="H3951" s="91"/>
      <c r="I3951" s="91"/>
      <c r="J3951" s="31" t="str">
        <f>IF(J3950&lt;Inputs!$D$6,"breached","satisfied")</f>
        <v>satisfied</v>
      </c>
      <c r="K3951" s="99" t="s">
        <v>934</v>
      </c>
      <c r="L3951" s="91"/>
      <c r="M3951" s="91"/>
    </row>
    <row r="3952" spans="2:13" ht="15" customHeight="1" x14ac:dyDescent="0.2">
      <c r="B3952" s="10" t="s">
        <v>935</v>
      </c>
      <c r="C3952" s="10" t="s">
        <v>928</v>
      </c>
      <c r="D3952" s="16">
        <f>M3920*Inputs!$D$20*($D$3945+$D$3946)</f>
        <v>1365.7073615561799</v>
      </c>
    </row>
    <row r="3953" spans="1:13" ht="15" customHeight="1" x14ac:dyDescent="0.2">
      <c r="B3953" s="10" t="s">
        <v>936</v>
      </c>
      <c r="C3953" s="10" t="s">
        <v>896</v>
      </c>
      <c r="D3953" s="28">
        <f>SUM(D3930:M3930)+D3947</f>
        <v>4624.7528317145052</v>
      </c>
      <c r="G3953" s="99" t="s">
        <v>937</v>
      </c>
      <c r="H3953" s="91"/>
      <c r="I3953" s="91"/>
      <c r="J3953" s="16">
        <f>D3955-D3941</f>
        <v>0</v>
      </c>
      <c r="K3953" s="99" t="s">
        <v>110</v>
      </c>
      <c r="L3953" s="91"/>
      <c r="M3953" s="91"/>
    </row>
    <row r="3954" spans="1:13" ht="15" customHeight="1" x14ac:dyDescent="0.2">
      <c r="B3954" s="10" t="s">
        <v>938</v>
      </c>
      <c r="C3954" s="10" t="s">
        <v>110</v>
      </c>
      <c r="D3954" s="16">
        <f>SUM(D3931:M3931)+D3948</f>
        <v>-127880.84470342637</v>
      </c>
    </row>
    <row r="3955" spans="1:13" ht="15" customHeight="1" x14ac:dyDescent="0.2">
      <c r="B3955" s="10" t="s">
        <v>939</v>
      </c>
      <c r="C3955" s="10" t="s">
        <v>110</v>
      </c>
      <c r="D3955" s="16">
        <f>SUM(D3938:M3938)+D3950/(Inputs!$D$7+$D$3944)^M3918</f>
        <v>21849.999999999978</v>
      </c>
    </row>
    <row r="3956" spans="1:13" ht="15" customHeight="1" x14ac:dyDescent="0.2">
      <c r="B3956" s="10" t="s">
        <v>940</v>
      </c>
      <c r="C3956" s="10" t="s">
        <v>104</v>
      </c>
      <c r="D3956" s="30">
        <f>IF(ABS(D3941)&gt;Inputs!$D$6,D3955/D3941-Inputs!$D$7,Inputs!$D$6)</f>
        <v>-9.9920072216264089E-16</v>
      </c>
    </row>
    <row r="3957" spans="1:13" ht="15" customHeight="1" x14ac:dyDescent="0.2">
      <c r="B3957" s="10" t="s">
        <v>941</v>
      </c>
      <c r="C3957" s="10" t="s">
        <v>104</v>
      </c>
      <c r="D3957" s="30">
        <f>IF(ABS(D3955)&gt;Inputs!$D$119,D3950/(Inputs!$D$7+$D$3944)^M3918/D3955,Inputs!$D$6)</f>
        <v>0.96022459807342453</v>
      </c>
    </row>
    <row r="3958" spans="1:13" ht="15" customHeight="1" x14ac:dyDescent="0.2">
      <c r="B3958" s="10" t="s">
        <v>942</v>
      </c>
      <c r="C3958" s="10" t="s">
        <v>943</v>
      </c>
      <c r="D3958" s="26">
        <f>$D$3942*Inputs!$D$8/Prices!$P$6/(Inputs!$D$26/Inputs!$D$25)/Inputs!$D$11/Inputs!$D$56</f>
        <v>5.8876679275438439</v>
      </c>
    </row>
    <row r="3962" spans="1:13" ht="15" customHeight="1" x14ac:dyDescent="0.2">
      <c r="A3962" s="104" t="s">
        <v>2251</v>
      </c>
      <c r="B3962" s="10" t="s">
        <v>886</v>
      </c>
      <c r="C3962" s="10" t="s">
        <v>107</v>
      </c>
      <c r="D3962" s="28">
        <f>Inputs!$D$60</f>
        <v>1</v>
      </c>
      <c r="E3962" s="28">
        <f>Inputs!$D$62</f>
        <v>2</v>
      </c>
      <c r="F3962" s="28">
        <f>Inputs!$D$64</f>
        <v>3</v>
      </c>
      <c r="G3962" s="28">
        <f>Inputs!$D$66</f>
        <v>4</v>
      </c>
      <c r="H3962" s="28">
        <f>Inputs!$D$68</f>
        <v>5</v>
      </c>
      <c r="I3962" s="28">
        <f>Inputs!$D$70</f>
        <v>6</v>
      </c>
      <c r="J3962" s="28">
        <f>Inputs!$D$72</f>
        <v>7</v>
      </c>
      <c r="K3962" s="28">
        <f>Inputs!$D$74</f>
        <v>8</v>
      </c>
      <c r="L3962" s="28">
        <f>Inputs!$D$76</f>
        <v>9</v>
      </c>
      <c r="M3962" s="28">
        <f>Inputs!$D$78</f>
        <v>10</v>
      </c>
    </row>
    <row r="3963" spans="1:13" ht="15" customHeight="1" x14ac:dyDescent="0.2">
      <c r="A3963" s="91"/>
      <c r="B3963" s="10" t="s">
        <v>887</v>
      </c>
      <c r="C3963" s="10" t="s">
        <v>161</v>
      </c>
      <c r="D3963" s="29">
        <f>Inputs!$D$61</f>
        <v>46568</v>
      </c>
      <c r="E3963" s="29">
        <f>Inputs!$D$63</f>
        <v>46934</v>
      </c>
      <c r="F3963" s="29">
        <f>Inputs!$D$65</f>
        <v>47299</v>
      </c>
      <c r="G3963" s="29">
        <f>Inputs!$D$67</f>
        <v>47664</v>
      </c>
      <c r="H3963" s="29">
        <f>Inputs!$D$69</f>
        <v>48029</v>
      </c>
      <c r="I3963" s="29">
        <f>Inputs!$D$71</f>
        <v>48395</v>
      </c>
      <c r="J3963" s="29">
        <f>Inputs!$D$73</f>
        <v>48760</v>
      </c>
      <c r="K3963" s="29">
        <f>Inputs!$D$75</f>
        <v>49125</v>
      </c>
      <c r="L3963" s="29">
        <f>Inputs!$D$77</f>
        <v>49490</v>
      </c>
      <c r="M3963" s="29">
        <f>Inputs!$D$79</f>
        <v>49856</v>
      </c>
    </row>
    <row r="3964" spans="1:13" ht="15" customHeight="1" x14ac:dyDescent="0.2">
      <c r="A3964" s="91"/>
      <c r="B3964" s="10" t="s">
        <v>888</v>
      </c>
      <c r="C3964" s="10" t="s">
        <v>107</v>
      </c>
      <c r="D3964" s="28">
        <f>(D3963-Inputs!$D$13)/Inputs!$D$10</f>
        <v>0.71457905544147848</v>
      </c>
      <c r="E3964" s="28">
        <f>(E3963-Inputs!$D$13)/Inputs!$D$10</f>
        <v>1.7166324435318274</v>
      </c>
      <c r="F3964" s="28">
        <f>(F3963-Inputs!$D$13)/Inputs!$D$10</f>
        <v>2.7159479808350446</v>
      </c>
      <c r="G3964" s="28">
        <f>(G3963-Inputs!$D$13)/Inputs!$D$10</f>
        <v>3.7152635181382614</v>
      </c>
      <c r="H3964" s="28">
        <f>(H3963-Inputs!$D$13)/Inputs!$D$10</f>
        <v>4.7145790554414786</v>
      </c>
      <c r="I3964" s="28">
        <f>(I3963-Inputs!$D$13)/Inputs!$D$10</f>
        <v>5.7166324435318279</v>
      </c>
      <c r="J3964" s="28">
        <f>(J3963-Inputs!$D$13)/Inputs!$D$10</f>
        <v>6.7159479808350442</v>
      </c>
      <c r="K3964" s="28">
        <f>(K3963-Inputs!$D$13)/Inputs!$D$10</f>
        <v>7.7152635181382614</v>
      </c>
      <c r="L3964" s="28">
        <f>(L3963-Inputs!$D$13)/Inputs!$D$10</f>
        <v>8.7145790554414777</v>
      </c>
      <c r="M3964" s="28">
        <f>(M3963-Inputs!$D$13)/Inputs!$D$10</f>
        <v>9.716632443531827</v>
      </c>
    </row>
    <row r="3965" spans="1:13" ht="15" customHeight="1" x14ac:dyDescent="0.2">
      <c r="A3965" s="91"/>
      <c r="B3965" s="10" t="s">
        <v>889</v>
      </c>
      <c r="C3965" s="10" t="s">
        <v>107</v>
      </c>
      <c r="D3965" s="28">
        <f>D3964</f>
        <v>0.71457905544147848</v>
      </c>
      <c r="E3965" s="28">
        <f>Inputs!$D$7</f>
        <v>1</v>
      </c>
      <c r="F3965" s="28">
        <f>Inputs!$D$7</f>
        <v>1</v>
      </c>
      <c r="G3965" s="28">
        <f>Inputs!$D$7</f>
        <v>1</v>
      </c>
      <c r="H3965" s="28">
        <f>Inputs!$D$7</f>
        <v>1</v>
      </c>
      <c r="I3965" s="28">
        <f>Inputs!$D$7</f>
        <v>1</v>
      </c>
      <c r="J3965" s="28">
        <f>Inputs!$D$7</f>
        <v>1</v>
      </c>
      <c r="K3965" s="28">
        <f>Inputs!$D$7</f>
        <v>1</v>
      </c>
      <c r="L3965" s="28">
        <f>Inputs!$D$7</f>
        <v>1</v>
      </c>
      <c r="M3965" s="28">
        <f>Inputs!$D$7</f>
        <v>1</v>
      </c>
    </row>
    <row r="3966" spans="1:13" ht="15" customHeight="1" x14ac:dyDescent="0.2">
      <c r="A3966" s="91"/>
      <c r="B3966" s="3" t="s">
        <v>890</v>
      </c>
      <c r="C3966" s="10" t="s">
        <v>199</v>
      </c>
      <c r="D3966" s="28">
        <f>Inputs!$D$24+(Inputs!$D$80-Inputs!$D$24)*Inputs!$D$83</f>
        <v>305.5</v>
      </c>
      <c r="E3966" s="28">
        <f>Inputs!$D$24+(Inputs!$D$80-Inputs!$D$24)*Inputs!$D$84</f>
        <v>651.5</v>
      </c>
      <c r="F3966" s="28">
        <f>Inputs!$D$24+(Inputs!$D$80-Inputs!$D$24)*Inputs!$D$85</f>
        <v>911</v>
      </c>
      <c r="G3966" s="28">
        <f>Inputs!$D$24+(Inputs!$D$80-Inputs!$D$24)*Inputs!$D$86</f>
        <v>911</v>
      </c>
      <c r="H3966" s="28">
        <f>Inputs!$D$24+(Inputs!$D$80-Inputs!$D$24)*Inputs!$D$87</f>
        <v>911</v>
      </c>
      <c r="I3966" s="28">
        <f>Inputs!$D$24+(Inputs!$D$80-Inputs!$D$24)*Inputs!$D$88</f>
        <v>911</v>
      </c>
      <c r="J3966" s="28">
        <f>Inputs!$D$24+(Inputs!$D$80-Inputs!$D$24)*Inputs!$D$89</f>
        <v>911</v>
      </c>
      <c r="K3966" s="28">
        <f>Inputs!$D$24+(Inputs!$D$80-Inputs!$D$24)*Inputs!$D$90</f>
        <v>911</v>
      </c>
      <c r="L3966" s="28">
        <f>Inputs!$D$24+(Inputs!$D$80-Inputs!$D$24)*Inputs!$D$91</f>
        <v>911</v>
      </c>
      <c r="M3966" s="28">
        <f>Inputs!$D$24+(Inputs!$D$80-Inputs!$D$24)*Inputs!$D$92</f>
        <v>911</v>
      </c>
    </row>
    <row r="3967" spans="1:13" ht="15" customHeight="1" x14ac:dyDescent="0.2">
      <c r="A3967" s="91"/>
      <c r="B3967" s="10" t="s">
        <v>891</v>
      </c>
      <c r="C3967" s="10" t="s">
        <v>199</v>
      </c>
      <c r="D3967" s="28">
        <f>Inputs!$D$24</f>
        <v>46</v>
      </c>
      <c r="E3967" s="28">
        <f t="shared" ref="E3967:M3967" si="860">D3966</f>
        <v>305.5</v>
      </c>
      <c r="F3967" s="28">
        <f t="shared" si="860"/>
        <v>651.5</v>
      </c>
      <c r="G3967" s="28">
        <f t="shared" si="860"/>
        <v>911</v>
      </c>
      <c r="H3967" s="28">
        <f t="shared" si="860"/>
        <v>911</v>
      </c>
      <c r="I3967" s="28">
        <f t="shared" si="860"/>
        <v>911</v>
      </c>
      <c r="J3967" s="28">
        <f t="shared" si="860"/>
        <v>911</v>
      </c>
      <c r="K3967" s="28">
        <f t="shared" si="860"/>
        <v>911</v>
      </c>
      <c r="L3967" s="28">
        <f t="shared" si="860"/>
        <v>911</v>
      </c>
      <c r="M3967" s="28">
        <f t="shared" si="860"/>
        <v>911</v>
      </c>
    </row>
    <row r="3968" spans="1:13" ht="15" customHeight="1" x14ac:dyDescent="0.2">
      <c r="B3968" s="10" t="s">
        <v>892</v>
      </c>
      <c r="C3968" s="10" t="s">
        <v>199</v>
      </c>
      <c r="D3968" s="28">
        <f>(D3967+D3966)*Inputs!$D$12</f>
        <v>175.75</v>
      </c>
      <c r="E3968" s="28">
        <f>(E3967+E3966)*Inputs!$D$12</f>
        <v>478.5</v>
      </c>
      <c r="F3968" s="28">
        <f>(F3967+F3966)*Inputs!$D$12</f>
        <v>781.25</v>
      </c>
      <c r="G3968" s="28">
        <f>(G3967+G3966)*Inputs!$D$12</f>
        <v>911</v>
      </c>
      <c r="H3968" s="28">
        <f>(H3967+H3966)*Inputs!$D$12</f>
        <v>911</v>
      </c>
      <c r="I3968" s="28">
        <f>(I3967+I3966)*Inputs!$D$12</f>
        <v>911</v>
      </c>
      <c r="J3968" s="28">
        <f>(J3967+J3966)*Inputs!$D$12</f>
        <v>911</v>
      </c>
      <c r="K3968" s="28">
        <f>(K3967+K3966)*Inputs!$D$12</f>
        <v>911</v>
      </c>
      <c r="L3968" s="28">
        <f>(L3967+L3966)*Inputs!$D$12</f>
        <v>911</v>
      </c>
      <c r="M3968" s="28">
        <f>(M3967+M3966)*Inputs!$D$12</f>
        <v>911</v>
      </c>
    </row>
    <row r="3969" spans="2:13" ht="15" customHeight="1" x14ac:dyDescent="0.2">
      <c r="B3969" s="10" t="s">
        <v>893</v>
      </c>
      <c r="C3969" s="10" t="s">
        <v>199</v>
      </c>
      <c r="D3969" s="28">
        <f t="shared" ref="D3969:M3969" si="861">D3966-D3967</f>
        <v>259.5</v>
      </c>
      <c r="E3969" s="28">
        <f t="shared" si="861"/>
        <v>346</v>
      </c>
      <c r="F3969" s="28">
        <f t="shared" si="861"/>
        <v>259.5</v>
      </c>
      <c r="G3969" s="28">
        <f t="shared" si="861"/>
        <v>0</v>
      </c>
      <c r="H3969" s="28">
        <f t="shared" si="861"/>
        <v>0</v>
      </c>
      <c r="I3969" s="28">
        <f t="shared" si="861"/>
        <v>0</v>
      </c>
      <c r="J3969" s="28">
        <f t="shared" si="861"/>
        <v>0</v>
      </c>
      <c r="K3969" s="28">
        <f t="shared" si="861"/>
        <v>0</v>
      </c>
      <c r="L3969" s="28">
        <f t="shared" si="861"/>
        <v>0</v>
      </c>
      <c r="M3969" s="28">
        <f t="shared" si="861"/>
        <v>0</v>
      </c>
    </row>
    <row r="3970" spans="2:13" ht="15" customHeight="1" x14ac:dyDescent="0.2">
      <c r="B3970" s="10" t="s">
        <v>894</v>
      </c>
      <c r="C3970" s="10" t="s">
        <v>199</v>
      </c>
      <c r="D3970" s="28">
        <f>IF(MOD(D3962,Inputs!$D$21)=Inputs!$D$6,Inputs!$D$24,Inputs!$D$6)+SUMPRODUCT(--(D3962&gt;$D$3962:$M$3962),--(MOD(D3962-$D$3962:$M$3962,Inputs!$D$21)=Inputs!$D$6),$D$3969:$M$3969)</f>
        <v>0</v>
      </c>
      <c r="E3970" s="28">
        <f>IF(MOD(E3962,Inputs!$D$21)=Inputs!$D$6,Inputs!$D$24,Inputs!$D$6)+SUMPRODUCT(--(E3962&gt;$D$3962:$M$3962),--(MOD(E3962-$D$3962:$M$3962,Inputs!$D$21)=Inputs!$D$6),$D$3969:$M$3969)</f>
        <v>0</v>
      </c>
      <c r="F3970" s="28">
        <f>IF(MOD(F3962,Inputs!$D$21)=Inputs!$D$6,Inputs!$D$24,Inputs!$D$6)+SUMPRODUCT(--(F3962&gt;$D$3962:$M$3962),--(MOD(F3962-$D$3962:$M$3962,Inputs!$D$21)=Inputs!$D$6),$D$3969:$M$3969)</f>
        <v>0</v>
      </c>
      <c r="G3970" s="28">
        <f>IF(MOD(G3962,Inputs!$D$21)=Inputs!$D$6,Inputs!$D$24,Inputs!$D$6)+SUMPRODUCT(--(G3962&gt;$D$3962:$M$3962),--(MOD(G3962-$D$3962:$M$3962,Inputs!$D$21)=Inputs!$D$6),$D$3969:$M$3969)</f>
        <v>46</v>
      </c>
      <c r="H3970" s="28">
        <f>IF(MOD(H3962,Inputs!$D$21)=Inputs!$D$6,Inputs!$D$24,Inputs!$D$6)+SUMPRODUCT(--(H3962&gt;$D$3962:$M$3962),--(MOD(H3962-$D$3962:$M$3962,Inputs!$D$21)=Inputs!$D$6),$D$3969:$M$3969)</f>
        <v>259.5</v>
      </c>
      <c r="I3970" s="28">
        <f>IF(MOD(I3962,Inputs!$D$21)=Inputs!$D$6,Inputs!$D$24,Inputs!$D$6)+SUMPRODUCT(--(I3962&gt;$D$3962:$M$3962),--(MOD(I3962-$D$3962:$M$3962,Inputs!$D$21)=Inputs!$D$6),$D$3969:$M$3969)</f>
        <v>346</v>
      </c>
      <c r="J3970" s="28">
        <f>IF(MOD(J3962,Inputs!$D$21)=Inputs!$D$6,Inputs!$D$24,Inputs!$D$6)+SUMPRODUCT(--(J3962&gt;$D$3962:$M$3962),--(MOD(J3962-$D$3962:$M$3962,Inputs!$D$21)=Inputs!$D$6),$D$3969:$M$3969)</f>
        <v>259.5</v>
      </c>
      <c r="K3970" s="28">
        <f>IF(MOD(K3962,Inputs!$D$21)=Inputs!$D$6,Inputs!$D$24,Inputs!$D$6)+SUMPRODUCT(--(K3962&gt;$D$3962:$M$3962),--(MOD(K3962-$D$3962:$M$3962,Inputs!$D$21)=Inputs!$D$6),$D$3969:$M$3969)</f>
        <v>46</v>
      </c>
      <c r="L3970" s="28">
        <f>IF(MOD(L3962,Inputs!$D$21)=Inputs!$D$6,Inputs!$D$24,Inputs!$D$6)+SUMPRODUCT(--(L3962&gt;$D$3962:$M$3962),--(MOD(L3962-$D$3962:$M$3962,Inputs!$D$21)=Inputs!$D$6),$D$3969:$M$3969)</f>
        <v>259.5</v>
      </c>
      <c r="M3970" s="28">
        <f>IF(MOD(M3962,Inputs!$D$21)=Inputs!$D$6,Inputs!$D$24,Inputs!$D$6)+SUMPRODUCT(--(M3962&gt;$D$3962:$M$3962),--(MOD(M3962-$D$3962:$M$3962,Inputs!$D$21)=Inputs!$D$6),$D$3969:$M$3969)</f>
        <v>346</v>
      </c>
    </row>
    <row r="3971" spans="2:13" ht="15" customHeight="1" x14ac:dyDescent="0.2">
      <c r="B3971" s="10" t="s">
        <v>895</v>
      </c>
      <c r="C3971" s="10" t="s">
        <v>896</v>
      </c>
      <c r="D3971" s="28">
        <f t="shared" ref="D3971:M3971" si="862">D3968*D3965</f>
        <v>125.58726899383984</v>
      </c>
      <c r="E3971" s="28">
        <f t="shared" si="862"/>
        <v>478.5</v>
      </c>
      <c r="F3971" s="28">
        <f t="shared" si="862"/>
        <v>781.25</v>
      </c>
      <c r="G3971" s="28">
        <f t="shared" si="862"/>
        <v>911</v>
      </c>
      <c r="H3971" s="28">
        <f t="shared" si="862"/>
        <v>911</v>
      </c>
      <c r="I3971" s="28">
        <f t="shared" si="862"/>
        <v>911</v>
      </c>
      <c r="J3971" s="28">
        <f t="shared" si="862"/>
        <v>911</v>
      </c>
      <c r="K3971" s="28">
        <f t="shared" si="862"/>
        <v>911</v>
      </c>
      <c r="L3971" s="28">
        <f t="shared" si="862"/>
        <v>911</v>
      </c>
      <c r="M3971" s="28">
        <f t="shared" si="862"/>
        <v>911</v>
      </c>
    </row>
    <row r="3972" spans="2:13" ht="15" customHeight="1" x14ac:dyDescent="0.2">
      <c r="B3972" s="10" t="s">
        <v>897</v>
      </c>
      <c r="C3972" s="10" t="s">
        <v>110</v>
      </c>
      <c r="D3972" s="16">
        <f>D3971*($D$3991/Inputs!$D$21+$D$3992/Inputs!$D$22)</f>
        <v>1816.9772859324419</v>
      </c>
      <c r="E3972" s="16">
        <f>E3971*($D$3991/Inputs!$D$21+$D$3992/Inputs!$D$22)</f>
        <v>6922.8643817497086</v>
      </c>
      <c r="F3972" s="16">
        <f>F3971*($D$3991/Inputs!$D$21+$D$3992/Inputs!$D$22)</f>
        <v>11303.0048030135</v>
      </c>
      <c r="G3972" s="16">
        <f>G3971*($D$3991/Inputs!$D$21+$D$3992/Inputs!$D$22)</f>
        <v>13180.207840697982</v>
      </c>
      <c r="H3972" s="16">
        <f>H3971*($D$3991/Inputs!$D$21+$D$3992/Inputs!$D$22)</f>
        <v>13180.207840697982</v>
      </c>
      <c r="I3972" s="16">
        <f>I3971*($D$3991/Inputs!$D$21+$D$3992/Inputs!$D$22)</f>
        <v>13180.207840697982</v>
      </c>
      <c r="J3972" s="16">
        <f>J3971*($D$3991/Inputs!$D$21+$D$3992/Inputs!$D$22)</f>
        <v>13180.207840697982</v>
      </c>
      <c r="K3972" s="16">
        <f>K3971*($D$3991/Inputs!$D$21+$D$3992/Inputs!$D$22)</f>
        <v>13180.207840697982</v>
      </c>
      <c r="L3972" s="16">
        <f>L3971*($D$3991/Inputs!$D$21+$D$3992/Inputs!$D$22)</f>
        <v>13180.207840697982</v>
      </c>
      <c r="M3972" s="16">
        <f>M3971*($D$3991/Inputs!$D$21+$D$3992/Inputs!$D$22)</f>
        <v>13180.207840697982</v>
      </c>
    </row>
    <row r="3973" spans="2:13" ht="15" customHeight="1" x14ac:dyDescent="0.2">
      <c r="B3973" s="10" t="s">
        <v>898</v>
      </c>
      <c r="C3973" s="10" t="s">
        <v>110</v>
      </c>
      <c r="D3973" s="16">
        <f t="shared" ref="D3973:M3973" si="863">D3969*($D$3991+$D$3992)</f>
        <v>15560.968620146154</v>
      </c>
      <c r="E3973" s="16">
        <f t="shared" si="863"/>
        <v>20747.95816019487</v>
      </c>
      <c r="F3973" s="16">
        <f t="shared" si="863"/>
        <v>15560.968620146154</v>
      </c>
      <c r="G3973" s="16">
        <f t="shared" si="863"/>
        <v>0</v>
      </c>
      <c r="H3973" s="16">
        <f t="shared" si="863"/>
        <v>0</v>
      </c>
      <c r="I3973" s="16">
        <f t="shared" si="863"/>
        <v>0</v>
      </c>
      <c r="J3973" s="16">
        <f t="shared" si="863"/>
        <v>0</v>
      </c>
      <c r="K3973" s="16">
        <f t="shared" si="863"/>
        <v>0</v>
      </c>
      <c r="L3973" s="16">
        <f t="shared" si="863"/>
        <v>0</v>
      </c>
      <c r="M3973" s="16">
        <f t="shared" si="863"/>
        <v>0</v>
      </c>
    </row>
    <row r="3974" spans="2:13" ht="15" customHeight="1" x14ac:dyDescent="0.2">
      <c r="B3974" s="10" t="s">
        <v>899</v>
      </c>
      <c r="C3974" s="10" t="s">
        <v>110</v>
      </c>
      <c r="D3974" s="16">
        <f t="shared" ref="D3974:M3974" si="864">D3970*$D$3991</f>
        <v>0</v>
      </c>
      <c r="E3974" s="16">
        <f t="shared" si="864"/>
        <v>0</v>
      </c>
      <c r="F3974" s="16">
        <f t="shared" si="864"/>
        <v>0</v>
      </c>
      <c r="G3974" s="16">
        <f t="shared" si="864"/>
        <v>2638.0048485671714</v>
      </c>
      <c r="H3974" s="16">
        <f t="shared" si="864"/>
        <v>14881.788221808281</v>
      </c>
      <c r="I3974" s="16">
        <f t="shared" si="864"/>
        <v>19842.384295744378</v>
      </c>
      <c r="J3974" s="16">
        <f t="shared" si="864"/>
        <v>14881.788221808281</v>
      </c>
      <c r="K3974" s="16">
        <f t="shared" si="864"/>
        <v>2638.0048485671714</v>
      </c>
      <c r="L3974" s="16">
        <f t="shared" si="864"/>
        <v>14881.788221808281</v>
      </c>
      <c r="M3974" s="16">
        <f t="shared" si="864"/>
        <v>19842.384295744378</v>
      </c>
    </row>
    <row r="3975" spans="2:13" ht="15" customHeight="1" x14ac:dyDescent="0.2">
      <c r="B3975" s="10" t="s">
        <v>900</v>
      </c>
      <c r="C3975" s="10" t="s">
        <v>199</v>
      </c>
      <c r="D3975" s="28">
        <f>D3969*Inputs!$D$23</f>
        <v>6.4875000000000007</v>
      </c>
      <c r="E3975" s="28">
        <f>E3969*Inputs!$D$23</f>
        <v>8.65</v>
      </c>
      <c r="F3975" s="28">
        <f>F3969*Inputs!$D$23</f>
        <v>6.4875000000000007</v>
      </c>
      <c r="G3975" s="28">
        <f>G3969*Inputs!$D$23</f>
        <v>0</v>
      </c>
      <c r="H3975" s="28">
        <f>H3969*Inputs!$D$23</f>
        <v>0</v>
      </c>
      <c r="I3975" s="28">
        <f>I3969*Inputs!$D$23</f>
        <v>0</v>
      </c>
      <c r="J3975" s="28">
        <f>J3969*Inputs!$D$23</f>
        <v>0</v>
      </c>
      <c r="K3975" s="28">
        <f>K3969*Inputs!$D$23</f>
        <v>0</v>
      </c>
      <c r="L3975" s="28">
        <f>L3969*Inputs!$D$23</f>
        <v>0</v>
      </c>
      <c r="M3975" s="28">
        <f>M3969*Inputs!$D$23</f>
        <v>0</v>
      </c>
    </row>
    <row r="3976" spans="2:13" ht="15" customHeight="1" x14ac:dyDescent="0.2">
      <c r="B3976" s="3" t="s">
        <v>901</v>
      </c>
      <c r="C3976" s="10" t="s">
        <v>896</v>
      </c>
      <c r="D3976" s="28">
        <f>(D3971*$D$3989*(Inputs!$D$7-Inputs!$D$19)-D3975)/(Inputs!$D$7+$D$3990)^D3964</f>
        <v>50.767902485879603</v>
      </c>
      <c r="E3976" s="28">
        <f>(E3971*$D$3989*(Inputs!$D$7-Inputs!$D$19)-E3975)/(Inputs!$D$7+$D$3990)^E3964</f>
        <v>185.89321240748276</v>
      </c>
      <c r="F3976" s="28">
        <f>(F3971*$D$3989*(Inputs!$D$7-Inputs!$D$19)-F3975)/(Inputs!$D$7+$D$3990)^F3964</f>
        <v>276.62376054161734</v>
      </c>
      <c r="G3976" s="28">
        <f>(G3971*$D$3989*(Inputs!$D$7-Inputs!$D$19)-G3975)/(Inputs!$D$7+$D$3990)^G3964</f>
        <v>292.99251988920633</v>
      </c>
      <c r="H3976" s="28">
        <f>(H3971*$D$3989*(Inputs!$D$7-Inputs!$D$19)-H3975)/(Inputs!$D$7+$D$3990)^H3964</f>
        <v>261.6207571276218</v>
      </c>
      <c r="I3976" s="28">
        <f>(I3971*$D$3989*(Inputs!$D$7-Inputs!$D$19)-I3975)/(Inputs!$D$7+$D$3990)^I3964</f>
        <v>233.53560984566982</v>
      </c>
      <c r="J3976" s="28">
        <f>(J3971*$D$3989*(Inputs!$D$7-Inputs!$D$19)-J3975)/(Inputs!$D$7+$D$3990)^J3964</f>
        <v>208.53011226084834</v>
      </c>
      <c r="K3976" s="28">
        <f>(K3971*$D$3989*(Inputs!$D$7-Inputs!$D$19)-K3975)/(Inputs!$D$7+$D$3990)^K3964</f>
        <v>186.20204322697762</v>
      </c>
      <c r="L3976" s="28">
        <f>(L3971*$D$3989*(Inputs!$D$7-Inputs!$D$19)-L3975)/(Inputs!$D$7+$D$3990)^L3964</f>
        <v>166.2647208405632</v>
      </c>
      <c r="M3976" s="28">
        <f>(M3971*$D$3989*(Inputs!$D$7-Inputs!$D$19)-M3975)/(Inputs!$D$7+$D$3990)^M3964</f>
        <v>148.41610200822046</v>
      </c>
    </row>
    <row r="3977" spans="2:13" ht="15" customHeight="1" x14ac:dyDescent="0.2">
      <c r="B3977" s="10" t="s">
        <v>902</v>
      </c>
      <c r="C3977" s="10" t="s">
        <v>110</v>
      </c>
      <c r="D3977" s="16">
        <f>(D3972*Inputs!$D$19-D3973-D3974)/(Inputs!$D$7+$D$3990)^D3964</f>
        <v>-13847.790632947557</v>
      </c>
      <c r="E3977" s="16">
        <f>(E3972*Inputs!$D$19-E3973-E3974)/(Inputs!$D$7+$D$3990)^E3964</f>
        <v>-15370.239105459035</v>
      </c>
      <c r="F3977" s="16">
        <f>(F3972*Inputs!$D$19-F3973-F3974)/(Inputs!$D$7+$D$3990)^F3964</f>
        <v>-8945.8041564234754</v>
      </c>
      <c r="G3977" s="16">
        <f>(G3972*Inputs!$D$19-G3973-G3974)/(Inputs!$D$7+$D$3990)^G3964</f>
        <v>863.80744262020482</v>
      </c>
      <c r="H3977" s="16">
        <f>(H3972*Inputs!$D$19-H3973-H3974)/(Inputs!$D$7+$D$3990)^H3964</f>
        <v>-6404.5339628745278</v>
      </c>
      <c r="I3977" s="16">
        <f>(I3972*Inputs!$D$19-I3973-I3974)/(Inputs!$D$7+$D$3990)^I3964</f>
        <v>-8312.2134333380691</v>
      </c>
      <c r="J3977" s="16">
        <f>(J3972*Inputs!$D$19-J3973-J3974)/(Inputs!$D$7+$D$3990)^J3964</f>
        <v>-5104.8632414329013</v>
      </c>
      <c r="K3977" s="16">
        <f>(K3972*Inputs!$D$19-K3973-K3974)/(Inputs!$D$7+$D$3990)^K3964</f>
        <v>548.96524604578394</v>
      </c>
      <c r="L3977" s="16">
        <f>(L3972*Inputs!$D$19-L3973-L3974)/(Inputs!$D$7+$D$3990)^L3964</f>
        <v>-4070.1971171644977</v>
      </c>
      <c r="M3977" s="16">
        <f>(M3972*Inputs!$D$19-M3973-M3974)/(Inputs!$D$7+$D$3990)^M3964</f>
        <v>-5282.5619084458349</v>
      </c>
    </row>
    <row r="3978" spans="2:13" ht="15" customHeight="1" x14ac:dyDescent="0.2">
      <c r="B3978" s="10" t="s">
        <v>903</v>
      </c>
      <c r="C3978" s="10" t="s">
        <v>110</v>
      </c>
      <c r="D3978" s="16">
        <f t="shared" ref="D3978:M3978" si="865">D3971*$D$3988</f>
        <v>4371.0476239201535</v>
      </c>
      <c r="E3978" s="16">
        <f t="shared" si="865"/>
        <v>16654.126686586245</v>
      </c>
      <c r="F3978" s="16">
        <f t="shared" si="865"/>
        <v>27191.298796019862</v>
      </c>
      <c r="G3978" s="16">
        <f t="shared" si="865"/>
        <v>31707.229700062842</v>
      </c>
      <c r="H3978" s="16">
        <f t="shared" si="865"/>
        <v>31707.229700062842</v>
      </c>
      <c r="I3978" s="16">
        <f t="shared" si="865"/>
        <v>31707.229700062842</v>
      </c>
      <c r="J3978" s="16">
        <f t="shared" si="865"/>
        <v>31707.229700062842</v>
      </c>
      <c r="K3978" s="16">
        <f t="shared" si="865"/>
        <v>31707.229700062842</v>
      </c>
      <c r="L3978" s="16">
        <f t="shared" si="865"/>
        <v>31707.229700062842</v>
      </c>
      <c r="M3978" s="16">
        <f t="shared" si="865"/>
        <v>31707.229700062842</v>
      </c>
    </row>
    <row r="3979" spans="2:13" ht="15" customHeight="1" x14ac:dyDescent="0.2">
      <c r="B3979" s="10" t="s">
        <v>904</v>
      </c>
      <c r="C3979" s="10" t="s">
        <v>110</v>
      </c>
      <c r="D3979" s="16">
        <f t="shared" ref="D3979:M3979" si="866">D3978*$D$3989</f>
        <v>3059.7333367441074</v>
      </c>
      <c r="E3979" s="16">
        <f t="shared" si="866"/>
        <v>11657.888680610371</v>
      </c>
      <c r="F3979" s="16">
        <f t="shared" si="866"/>
        <v>19033.909157213904</v>
      </c>
      <c r="G3979" s="16">
        <f t="shared" si="866"/>
        <v>22195.06079004399</v>
      </c>
      <c r="H3979" s="16">
        <f t="shared" si="866"/>
        <v>22195.06079004399</v>
      </c>
      <c r="I3979" s="16">
        <f t="shared" si="866"/>
        <v>22195.06079004399</v>
      </c>
      <c r="J3979" s="16">
        <f t="shared" si="866"/>
        <v>22195.06079004399</v>
      </c>
      <c r="K3979" s="16">
        <f t="shared" si="866"/>
        <v>22195.06079004399</v>
      </c>
      <c r="L3979" s="16">
        <f t="shared" si="866"/>
        <v>22195.06079004399</v>
      </c>
      <c r="M3979" s="16">
        <f t="shared" si="866"/>
        <v>22195.06079004399</v>
      </c>
    </row>
    <row r="3980" spans="2:13" ht="15" customHeight="1" x14ac:dyDescent="0.2">
      <c r="B3980" s="10" t="s">
        <v>905</v>
      </c>
      <c r="C3980" s="10" t="s">
        <v>110</v>
      </c>
      <c r="D3980" s="16">
        <f t="shared" ref="D3980:M3980" si="867">D3979-D3972</f>
        <v>1242.7560508116655</v>
      </c>
      <c r="E3980" s="16">
        <f t="shared" si="867"/>
        <v>4735.0242988606624</v>
      </c>
      <c r="F3980" s="16">
        <f t="shared" si="867"/>
        <v>7730.9043542004038</v>
      </c>
      <c r="G3980" s="16">
        <f t="shared" si="867"/>
        <v>9014.8529493460082</v>
      </c>
      <c r="H3980" s="16">
        <f t="shared" si="867"/>
        <v>9014.8529493460082</v>
      </c>
      <c r="I3980" s="16">
        <f t="shared" si="867"/>
        <v>9014.8529493460082</v>
      </c>
      <c r="J3980" s="16">
        <f t="shared" si="867"/>
        <v>9014.8529493460082</v>
      </c>
      <c r="K3980" s="16">
        <f t="shared" si="867"/>
        <v>9014.8529493460082</v>
      </c>
      <c r="L3980" s="16">
        <f t="shared" si="867"/>
        <v>9014.8529493460082</v>
      </c>
      <c r="M3980" s="16">
        <f t="shared" si="867"/>
        <v>9014.8529493460082</v>
      </c>
    </row>
    <row r="3981" spans="2:13" ht="15" customHeight="1" x14ac:dyDescent="0.2">
      <c r="B3981" s="10" t="s">
        <v>906</v>
      </c>
      <c r="C3981" s="10" t="s">
        <v>110</v>
      </c>
      <c r="D3981" s="16">
        <f>MAX(D3980,Inputs!$D$6)*Inputs!$D$19</f>
        <v>372.82681524349965</v>
      </c>
      <c r="E3981" s="16">
        <f>MAX(E3980,Inputs!$D$6)*Inputs!$D$19</f>
        <v>1420.5072896581987</v>
      </c>
      <c r="F3981" s="16">
        <f>MAX(F3980,Inputs!$D$6)*Inputs!$D$19</f>
        <v>2319.271306260121</v>
      </c>
      <c r="G3981" s="16">
        <f>MAX(G3980,Inputs!$D$6)*Inputs!$D$19</f>
        <v>2704.4558848038023</v>
      </c>
      <c r="H3981" s="16">
        <f>MAX(H3980,Inputs!$D$6)*Inputs!$D$19</f>
        <v>2704.4558848038023</v>
      </c>
      <c r="I3981" s="16">
        <f>MAX(I3980,Inputs!$D$6)*Inputs!$D$19</f>
        <v>2704.4558848038023</v>
      </c>
      <c r="J3981" s="16">
        <f>MAX(J3980,Inputs!$D$6)*Inputs!$D$19</f>
        <v>2704.4558848038023</v>
      </c>
      <c r="K3981" s="16">
        <f>MAX(K3980,Inputs!$D$6)*Inputs!$D$19</f>
        <v>2704.4558848038023</v>
      </c>
      <c r="L3981" s="16">
        <f>MAX(L3980,Inputs!$D$6)*Inputs!$D$19</f>
        <v>2704.4558848038023</v>
      </c>
      <c r="M3981" s="16">
        <f>MAX(M3980,Inputs!$D$6)*Inputs!$D$19</f>
        <v>2704.4558848038023</v>
      </c>
    </row>
    <row r="3982" spans="2:13" ht="15" customHeight="1" x14ac:dyDescent="0.2">
      <c r="B3982" s="10" t="s">
        <v>907</v>
      </c>
      <c r="C3982" s="10" t="s">
        <v>110</v>
      </c>
      <c r="D3982" s="16">
        <f t="shared" ref="D3982:M3982" si="868">D3975*$D$3988</f>
        <v>225.79654520214896</v>
      </c>
      <c r="E3982" s="16">
        <f t="shared" si="868"/>
        <v>301.06206026953197</v>
      </c>
      <c r="F3982" s="16">
        <f t="shared" si="868"/>
        <v>225.79654520214896</v>
      </c>
      <c r="G3982" s="16">
        <f t="shared" si="868"/>
        <v>0</v>
      </c>
      <c r="H3982" s="16">
        <f t="shared" si="868"/>
        <v>0</v>
      </c>
      <c r="I3982" s="16">
        <f t="shared" si="868"/>
        <v>0</v>
      </c>
      <c r="J3982" s="16">
        <f t="shared" si="868"/>
        <v>0</v>
      </c>
      <c r="K3982" s="16">
        <f t="shared" si="868"/>
        <v>0</v>
      </c>
      <c r="L3982" s="16">
        <f t="shared" si="868"/>
        <v>0</v>
      </c>
      <c r="M3982" s="16">
        <f t="shared" si="868"/>
        <v>0</v>
      </c>
    </row>
    <row r="3983" spans="2:13" ht="15" customHeight="1" x14ac:dyDescent="0.2">
      <c r="B3983" s="10" t="s">
        <v>908</v>
      </c>
      <c r="C3983" s="10" t="s">
        <v>110</v>
      </c>
      <c r="D3983" s="16">
        <f t="shared" ref="D3983:M3983" si="869">D3979-D3981-D3973-D3974-D3982</f>
        <v>-13099.858643847696</v>
      </c>
      <c r="E3983" s="16">
        <f t="shared" si="869"/>
        <v>-10811.638829512231</v>
      </c>
      <c r="F3983" s="16">
        <f t="shared" si="869"/>
        <v>927.87268560548</v>
      </c>
      <c r="G3983" s="16">
        <f t="shared" si="869"/>
        <v>16852.600056673014</v>
      </c>
      <c r="H3983" s="16">
        <f t="shared" si="869"/>
        <v>4608.8166834319054</v>
      </c>
      <c r="I3983" s="16">
        <f t="shared" si="869"/>
        <v>-351.77939050419081</v>
      </c>
      <c r="J3983" s="16">
        <f t="shared" si="869"/>
        <v>4608.8166834319054</v>
      </c>
      <c r="K3983" s="16">
        <f t="shared" si="869"/>
        <v>16852.600056673014</v>
      </c>
      <c r="L3983" s="16">
        <f t="shared" si="869"/>
        <v>4608.8166834319054</v>
      </c>
      <c r="M3983" s="16">
        <f t="shared" si="869"/>
        <v>-351.77939050419081</v>
      </c>
    </row>
    <row r="3984" spans="2:13" ht="15" customHeight="1" x14ac:dyDescent="0.2">
      <c r="B3984" s="10" t="s">
        <v>909</v>
      </c>
      <c r="C3984" s="10" t="s">
        <v>110</v>
      </c>
      <c r="D3984" s="16">
        <f>D3983/(Inputs!$D$7+$D$3990)^D3964</f>
        <v>-12080.820769599397</v>
      </c>
      <c r="E3984" s="16">
        <f>E3983/(Inputs!$D$7+$D$3990)^E3964</f>
        <v>-8900.2514155725075</v>
      </c>
      <c r="F3984" s="16">
        <f>F3983/(Inputs!$D$7+$D$3990)^F3964</f>
        <v>682.04778209270637</v>
      </c>
      <c r="G3984" s="16">
        <f>G3983/(Inputs!$D$7+$D$3990)^G3964</f>
        <v>11061.371798852144</v>
      </c>
      <c r="H3984" s="16">
        <f>H3983/(Inputs!$D$7+$D$3990)^H3964</f>
        <v>2701.1405053470507</v>
      </c>
      <c r="I3984" s="16">
        <f>I3983/(Inputs!$D$7+$D$3990)^I3964</f>
        <v>-184.03865340293072</v>
      </c>
      <c r="J3984" s="16">
        <f>J3983/(Inputs!$D$7+$D$3990)^J3964</f>
        <v>2152.9986343460341</v>
      </c>
      <c r="K3984" s="16">
        <f>K3983/(Inputs!$D$7+$D$3990)^K3964</f>
        <v>7029.7017501279033</v>
      </c>
      <c r="L3984" s="16">
        <f>L3983/(Inputs!$D$7+$D$3990)^L3964</f>
        <v>1716.623623459612</v>
      </c>
      <c r="M3984" s="16">
        <f>M3983/(Inputs!$D$7+$D$3990)^M3964</f>
        <v>-116.95989136284328</v>
      </c>
    </row>
    <row r="3985" spans="2:13" ht="15" customHeight="1" x14ac:dyDescent="0.2">
      <c r="B3985" s="3" t="s">
        <v>910</v>
      </c>
      <c r="C3985" s="10" t="s">
        <v>896</v>
      </c>
      <c r="D3985" s="28">
        <f>(D3971*$D$3989-D3975)/(Inputs!$D$7+$D$3990)^D3964</f>
        <v>75.089648168061032</v>
      </c>
      <c r="E3985" s="28">
        <f>(E3971*$D$3989-E3975)/(Inputs!$D$7+$D$3990)^E3964</f>
        <v>268.61348984151471</v>
      </c>
      <c r="F3985" s="28">
        <f>(F3971*$D$3989-F3975)/(Inputs!$D$7+$D$3990)^F3964</f>
        <v>397.22054713262008</v>
      </c>
      <c r="G3985" s="28">
        <f>(G3971*$D$3989-G3975)/(Inputs!$D$7+$D$3990)^G3964</f>
        <v>418.56074269886619</v>
      </c>
      <c r="H3985" s="28">
        <f>(H3971*$D$3989-H3975)/(Inputs!$D$7+$D$3990)^H3964</f>
        <v>373.7439387537454</v>
      </c>
      <c r="I3985" s="28">
        <f>(I3971*$D$3989-I3975)/(Inputs!$D$7+$D$3990)^I3964</f>
        <v>333.6222997795283</v>
      </c>
      <c r="J3985" s="28">
        <f>(J3971*$D$3989-J3975)/(Inputs!$D$7+$D$3990)^J3964</f>
        <v>297.90016037264053</v>
      </c>
      <c r="K3985" s="28">
        <f>(K3971*$D$3989-K3975)/(Inputs!$D$7+$D$3990)^K3964</f>
        <v>266.00291889568234</v>
      </c>
      <c r="L3985" s="28">
        <f>(L3971*$D$3989-L3975)/(Inputs!$D$7+$D$3990)^L3964</f>
        <v>237.52102977223316</v>
      </c>
      <c r="M3985" s="28">
        <f>(M3971*$D$3989-M3975)/(Inputs!$D$7+$D$3990)^M3964</f>
        <v>212.02300286888638</v>
      </c>
    </row>
    <row r="3986" spans="2:13" ht="15" customHeight="1" x14ac:dyDescent="0.2">
      <c r="B3986" s="10" t="s">
        <v>911</v>
      </c>
      <c r="C3986" s="10" t="s">
        <v>110</v>
      </c>
      <c r="D3986" s="16">
        <f>(-D3973-D3974)/(Inputs!$D$7+$D$3990)^D3964</f>
        <v>-14350.481025200577</v>
      </c>
      <c r="E3986" s="16">
        <f>(-E3973-E3974)/(Inputs!$D$7+$D$3990)^E3964</f>
        <v>-17079.930887207098</v>
      </c>
      <c r="F3986" s="16">
        <f>(-F3973-F3974)/(Inputs!$D$7+$D$3990)^F3964</f>
        <v>-11438.340948315768</v>
      </c>
      <c r="G3986" s="16">
        <f>(-G3973-G3974)/(Inputs!$D$7+$D$3990)^G3964</f>
        <v>-1731.4807411941122</v>
      </c>
      <c r="H3986" s="16">
        <f>(-H3973-H3974)/(Inputs!$D$7+$D$3990)^H3964</f>
        <v>-8721.9353076959778</v>
      </c>
      <c r="I3986" s="16">
        <f>(-I3973-I3974)/(Inputs!$D$7+$D$3990)^I3964</f>
        <v>-10380.8403353543</v>
      </c>
      <c r="J3986" s="16">
        <f>(-J3973-J3974)/(Inputs!$D$7+$D$3990)^J3964</f>
        <v>-6951.9948218729187</v>
      </c>
      <c r="K3986" s="16">
        <f>(-K3973-K3974)/(Inputs!$D$7+$D$3990)^K3964</f>
        <v>-1100.3873134386547</v>
      </c>
      <c r="L3986" s="16">
        <f>(-L3973-L3974)/(Inputs!$D$7+$D$3990)^L3964</f>
        <v>-5542.947566718196</v>
      </c>
      <c r="M3986" s="16">
        <f>(-M3973-M3974)/(Inputs!$D$7+$D$3990)^M3964</f>
        <v>-6597.2117021517279</v>
      </c>
    </row>
    <row r="3987" spans="2:13" ht="15" customHeight="1" x14ac:dyDescent="0.2">
      <c r="B3987" s="10" t="s">
        <v>912</v>
      </c>
      <c r="C3987" s="10" t="s">
        <v>110</v>
      </c>
      <c r="D3987" s="16">
        <f>Prices!I9</f>
        <v>21850</v>
      </c>
    </row>
    <row r="3988" spans="2:13" ht="15" customHeight="1" x14ac:dyDescent="0.2">
      <c r="B3988" s="3" t="s">
        <v>913</v>
      </c>
      <c r="C3988" s="10" t="s">
        <v>914</v>
      </c>
      <c r="D3988" s="28">
        <f>IF(J3995&gt;=J3991,J3995,(D3987-J3994)/J3993)</f>
        <v>34.804862458905426</v>
      </c>
      <c r="G3988" s="99" t="s">
        <v>915</v>
      </c>
      <c r="H3988" s="91"/>
      <c r="I3988" s="91"/>
      <c r="J3988" s="28">
        <f>D3988*Inputs!$D$15</f>
        <v>24.290313510070096</v>
      </c>
      <c r="K3988" s="99" t="s">
        <v>916</v>
      </c>
      <c r="L3988" s="91"/>
      <c r="M3988" s="91"/>
    </row>
    <row r="3989" spans="2:13" ht="15" customHeight="1" x14ac:dyDescent="0.2">
      <c r="B3989" s="10" t="s">
        <v>917</v>
      </c>
      <c r="C3989" s="10" t="s">
        <v>104</v>
      </c>
      <c r="D3989" s="30">
        <f>Inputs!$D$143</f>
        <v>0.7</v>
      </c>
      <c r="G3989" s="99" t="s">
        <v>918</v>
      </c>
      <c r="H3989" s="91"/>
      <c r="I3989" s="91"/>
      <c r="J3989" s="28">
        <f>IF(-D4000/D3999&gt;=J3991,-D4000/D3999,-J3994/J3993)</f>
        <v>28.75254216398438</v>
      </c>
      <c r="K3989" s="99" t="s">
        <v>919</v>
      </c>
      <c r="L3989" s="91"/>
      <c r="M3989" s="91"/>
    </row>
    <row r="3990" spans="2:13" ht="15" customHeight="1" x14ac:dyDescent="0.2">
      <c r="B3990" s="10" t="s">
        <v>920</v>
      </c>
      <c r="C3990" s="10" t="s">
        <v>104</v>
      </c>
      <c r="D3990" s="30">
        <f>Inputs!$D$148</f>
        <v>0.12</v>
      </c>
      <c r="G3990" s="99" t="s">
        <v>918</v>
      </c>
      <c r="H3990" s="91"/>
      <c r="I3990" s="91"/>
      <c r="J3990" s="28">
        <f>J3989*Inputs!$D$15</f>
        <v>20.066399176244698</v>
      </c>
      <c r="K3990" s="99" t="s">
        <v>916</v>
      </c>
      <c r="L3990" s="91"/>
      <c r="M3990" s="91"/>
    </row>
    <row r="3991" spans="2:13" ht="15" customHeight="1" x14ac:dyDescent="0.2">
      <c r="B3991" s="3" t="s">
        <v>921</v>
      </c>
      <c r="C3991" s="10" t="s">
        <v>848</v>
      </c>
      <c r="D3991" s="28">
        <f>Capital!$D$13</f>
        <v>57.347931490590682</v>
      </c>
      <c r="G3991" s="99" t="s">
        <v>922</v>
      </c>
      <c r="H3991" s="91"/>
      <c r="I3991" s="91"/>
      <c r="J3991" s="28">
        <f>($D$3991/Inputs!$D$21+$D$3992/Inputs!$D$22)/$D$3989</f>
        <v>20.668351639796114</v>
      </c>
      <c r="K3991" s="99" t="s">
        <v>919</v>
      </c>
      <c r="L3991" s="91"/>
      <c r="M3991" s="91"/>
    </row>
    <row r="3992" spans="2:13" ht="15" customHeight="1" x14ac:dyDescent="0.2">
      <c r="B3992" s="3" t="s">
        <v>923</v>
      </c>
      <c r="C3992" s="10" t="s">
        <v>848</v>
      </c>
      <c r="D3992" s="28">
        <f>Capital!$D$14</f>
        <v>2.6172655041921802</v>
      </c>
    </row>
    <row r="3993" spans="2:13" ht="15" customHeight="1" x14ac:dyDescent="0.2">
      <c r="B3993" s="10" t="s">
        <v>924</v>
      </c>
      <c r="C3993" s="10" t="s">
        <v>896</v>
      </c>
      <c r="D3993" s="28">
        <f>(M3966*(Inputs!$D$7+Inputs!$D$20)*$D$3989*(Inputs!$D$7-Inputs!$D$19)-M3966*Inputs!$D$20*Inputs!$D$23)/($D$3990-Inputs!$D$20)/(Inputs!$D$7+$D$3990)^M3964</f>
        <v>1599.3389295354154</v>
      </c>
      <c r="G3993" s="92" t="s">
        <v>910</v>
      </c>
      <c r="H3993" s="91"/>
      <c r="I3993" s="91"/>
      <c r="J3993" s="28">
        <f>SUM(D3985:M3985)+(M3966*(Inputs!$D$7+Inputs!$D$20)*$D$3989-M3966*Inputs!$D$20*Inputs!$D$23)/($D$3990-Inputs!$D$20)/(Inputs!$D$7+$D$3990)^M3964</f>
        <v>5165.9216907895361</v>
      </c>
      <c r="K3993" s="99" t="s">
        <v>896</v>
      </c>
      <c r="L3993" s="91"/>
      <c r="M3993" s="91"/>
    </row>
    <row r="3994" spans="2:13" ht="15" customHeight="1" x14ac:dyDescent="0.2">
      <c r="B3994" s="10" t="s">
        <v>925</v>
      </c>
      <c r="C3994" s="10" t="s">
        <v>110</v>
      </c>
      <c r="D3994" s="16">
        <f>(D3997*Inputs!$D$19-D3997-D3998)/($D$3990-Inputs!$D$20)/(Inputs!$D$7+$D$3990)^M3964</f>
        <v>-37876.58483194092</v>
      </c>
      <c r="G3994" s="92" t="s">
        <v>926</v>
      </c>
      <c r="H3994" s="91"/>
      <c r="I3994" s="91"/>
      <c r="J3994" s="16">
        <f>SUM(D3986:M3986)-(D3997+D3998)/($D$3990-Inputs!$D$20)/(Inputs!$D$7+$D$3990)^M3964</f>
        <v>-135956.51483423277</v>
      </c>
      <c r="K3994" s="99" t="s">
        <v>110</v>
      </c>
      <c r="L3994" s="91"/>
      <c r="M3994" s="91"/>
    </row>
    <row r="3995" spans="2:13" ht="15" customHeight="1" x14ac:dyDescent="0.2">
      <c r="B3995" s="10" t="s">
        <v>927</v>
      </c>
      <c r="C3995" s="10" t="s">
        <v>928</v>
      </c>
      <c r="D3995" s="16">
        <f>(M3966*(Inputs!$D$7+Inputs!$D$20)*$D$3988*$D$3989-D3997)-MAX((M3966*(Inputs!$D$7+Inputs!$D$20)*$D$3988*$D$3989-D3997),Inputs!$D$6)*Inputs!$D$19-D3998-M3966*Inputs!$D$20*$D$3988*Inputs!$D$23</f>
        <v>5082.6326110370383</v>
      </c>
      <c r="G3995" s="99" t="s">
        <v>929</v>
      </c>
      <c r="H3995" s="91"/>
      <c r="I3995" s="91"/>
      <c r="J3995" s="28">
        <f>(D3987-D4000)/D3999</f>
        <v>34.804862458905426</v>
      </c>
      <c r="K3995" s="99" t="s">
        <v>919</v>
      </c>
      <c r="L3995" s="91"/>
      <c r="M3995" s="91"/>
    </row>
    <row r="3996" spans="2:13" ht="15" customHeight="1" x14ac:dyDescent="0.2">
      <c r="B3996" s="10" t="s">
        <v>930</v>
      </c>
      <c r="C3996" s="10" t="s">
        <v>110</v>
      </c>
      <c r="D3996" s="16">
        <f>D3995/($D$3990-Inputs!$D$20)</f>
        <v>53501.395905653037</v>
      </c>
      <c r="G3996" s="99" t="s">
        <v>931</v>
      </c>
      <c r="H3996" s="91"/>
      <c r="I3996" s="91"/>
      <c r="J3996" s="16">
        <f>MIN(D3980:M3980,(M3966*(Inputs!$D$7+Inputs!$D$20)*$D$3988*$D$3989-D3997))</f>
        <v>1242.7560508116655</v>
      </c>
      <c r="K3996" s="99" t="s">
        <v>110</v>
      </c>
      <c r="L3996" s="91"/>
      <c r="M3996" s="91"/>
    </row>
    <row r="3997" spans="2:13" ht="15" customHeight="1" x14ac:dyDescent="0.2">
      <c r="B3997" s="10" t="s">
        <v>932</v>
      </c>
      <c r="C3997" s="10" t="s">
        <v>928</v>
      </c>
      <c r="D3997" s="16">
        <f>M3966*(Inputs!$D$7+Inputs!$D$20)*($D$3991/Inputs!$D$21+$D$3992/Inputs!$D$22)</f>
        <v>13509.71303671543</v>
      </c>
      <c r="G3997" s="99" t="s">
        <v>933</v>
      </c>
      <c r="H3997" s="91"/>
      <c r="I3997" s="91"/>
      <c r="J3997" s="31" t="str">
        <f>IF(J3996&lt;Inputs!$D$6,"breached","satisfied")</f>
        <v>satisfied</v>
      </c>
      <c r="K3997" s="99" t="s">
        <v>934</v>
      </c>
      <c r="L3997" s="91"/>
      <c r="M3997" s="91"/>
    </row>
    <row r="3998" spans="2:13" ht="15" customHeight="1" x14ac:dyDescent="0.2">
      <c r="B3998" s="10" t="s">
        <v>935</v>
      </c>
      <c r="C3998" s="10" t="s">
        <v>928</v>
      </c>
      <c r="D3998" s="16">
        <f>M3966*Inputs!$D$20*($D$3991+$D$3992)</f>
        <v>1365.7073615561799</v>
      </c>
    </row>
    <row r="3999" spans="2:13" ht="15" customHeight="1" x14ac:dyDescent="0.2">
      <c r="B3999" s="10" t="s">
        <v>936</v>
      </c>
      <c r="C3999" s="10" t="s">
        <v>896</v>
      </c>
      <c r="D3999" s="28">
        <f>SUM(D3976:M3976)+D3993</f>
        <v>3610.1856701695024</v>
      </c>
      <c r="G3999" s="99" t="s">
        <v>937</v>
      </c>
      <c r="H3999" s="91"/>
      <c r="I3999" s="91"/>
      <c r="J3999" s="16">
        <f>D4001-D3987</f>
        <v>0</v>
      </c>
      <c r="K3999" s="99" t="s">
        <v>110</v>
      </c>
      <c r="L3999" s="91"/>
      <c r="M3999" s="91"/>
    </row>
    <row r="4000" spans="2:13" ht="15" customHeight="1" x14ac:dyDescent="0.2">
      <c r="B4000" s="10" t="s">
        <v>938</v>
      </c>
      <c r="C4000" s="10" t="s">
        <v>110</v>
      </c>
      <c r="D4000" s="16">
        <f>SUM(D3977:M3977)+D3994</f>
        <v>-103802.01570136083</v>
      </c>
    </row>
    <row r="4001" spans="1:13" ht="15" customHeight="1" x14ac:dyDescent="0.2">
      <c r="B4001" s="10" t="s">
        <v>939</v>
      </c>
      <c r="C4001" s="10" t="s">
        <v>110</v>
      </c>
      <c r="D4001" s="16">
        <f>SUM(D3984:M3984)+D3996/(Inputs!$D$7+$D$3990)^M3964</f>
        <v>21850.000000000022</v>
      </c>
    </row>
    <row r="4002" spans="1:13" ht="15" customHeight="1" x14ac:dyDescent="0.2">
      <c r="B4002" s="10" t="s">
        <v>940</v>
      </c>
      <c r="C4002" s="10" t="s">
        <v>104</v>
      </c>
      <c r="D4002" s="30">
        <f>IF(ABS(D3987)&gt;Inputs!$D$6,D4001/D3987-Inputs!$D$7,Inputs!$D$6)</f>
        <v>8.8817841970012523E-16</v>
      </c>
    </row>
    <row r="4003" spans="1:13" ht="15" customHeight="1" x14ac:dyDescent="0.2">
      <c r="B4003" s="10" t="s">
        <v>941</v>
      </c>
      <c r="C4003" s="10" t="s">
        <v>104</v>
      </c>
      <c r="D4003" s="30">
        <f>IF(ABS(D4001)&gt;Inputs!$D$119,D3996/(Inputs!$D$7+$D$3990)^M3964/D4001,Inputs!$D$6)</f>
        <v>0.81410465152001055</v>
      </c>
    </row>
    <row r="4004" spans="1:13" ht="15" customHeight="1" x14ac:dyDescent="0.2">
      <c r="B4004" s="10" t="s">
        <v>942</v>
      </c>
      <c r="C4004" s="10" t="s">
        <v>943</v>
      </c>
      <c r="D4004" s="26">
        <f>$D$3988*Inputs!$D$8/Prices!$P$6/(Inputs!$D$26/Inputs!$D$25)/Inputs!$D$11/Inputs!$D$56</f>
        <v>6.3293699586990284</v>
      </c>
    </row>
    <row r="4008" spans="1:13" ht="15" customHeight="1" x14ac:dyDescent="0.2">
      <c r="A4008" s="104" t="s">
        <v>2252</v>
      </c>
      <c r="B4008" s="10" t="s">
        <v>886</v>
      </c>
      <c r="C4008" s="10" t="s">
        <v>107</v>
      </c>
      <c r="D4008" s="28">
        <f>Inputs!$D$60</f>
        <v>1</v>
      </c>
      <c r="E4008" s="28">
        <f>Inputs!$D$62</f>
        <v>2</v>
      </c>
      <c r="F4008" s="28">
        <f>Inputs!$D$64</f>
        <v>3</v>
      </c>
      <c r="G4008" s="28">
        <f>Inputs!$D$66</f>
        <v>4</v>
      </c>
      <c r="H4008" s="28">
        <f>Inputs!$D$68</f>
        <v>5</v>
      </c>
      <c r="I4008" s="28">
        <f>Inputs!$D$70</f>
        <v>6</v>
      </c>
      <c r="J4008" s="28">
        <f>Inputs!$D$72</f>
        <v>7</v>
      </c>
      <c r="K4008" s="28">
        <f>Inputs!$D$74</f>
        <v>8</v>
      </c>
      <c r="L4008" s="28">
        <f>Inputs!$D$76</f>
        <v>9</v>
      </c>
      <c r="M4008" s="28">
        <f>Inputs!$D$78</f>
        <v>10</v>
      </c>
    </row>
    <row r="4009" spans="1:13" ht="15" customHeight="1" x14ac:dyDescent="0.2">
      <c r="A4009" s="91"/>
      <c r="B4009" s="10" t="s">
        <v>887</v>
      </c>
      <c r="C4009" s="10" t="s">
        <v>161</v>
      </c>
      <c r="D4009" s="29">
        <f>Inputs!$D$61</f>
        <v>46568</v>
      </c>
      <c r="E4009" s="29">
        <f>Inputs!$D$63</f>
        <v>46934</v>
      </c>
      <c r="F4009" s="29">
        <f>Inputs!$D$65</f>
        <v>47299</v>
      </c>
      <c r="G4009" s="29">
        <f>Inputs!$D$67</f>
        <v>47664</v>
      </c>
      <c r="H4009" s="29">
        <f>Inputs!$D$69</f>
        <v>48029</v>
      </c>
      <c r="I4009" s="29">
        <f>Inputs!$D$71</f>
        <v>48395</v>
      </c>
      <c r="J4009" s="29">
        <f>Inputs!$D$73</f>
        <v>48760</v>
      </c>
      <c r="K4009" s="29">
        <f>Inputs!$D$75</f>
        <v>49125</v>
      </c>
      <c r="L4009" s="29">
        <f>Inputs!$D$77</f>
        <v>49490</v>
      </c>
      <c r="M4009" s="29">
        <f>Inputs!$D$79</f>
        <v>49856</v>
      </c>
    </row>
    <row r="4010" spans="1:13" ht="15" customHeight="1" x14ac:dyDescent="0.2">
      <c r="A4010" s="91"/>
      <c r="B4010" s="10" t="s">
        <v>888</v>
      </c>
      <c r="C4010" s="10" t="s">
        <v>107</v>
      </c>
      <c r="D4010" s="28">
        <f>(D4009-Inputs!$D$13)/Inputs!$D$10</f>
        <v>0.71457905544147848</v>
      </c>
      <c r="E4010" s="28">
        <f>(E4009-Inputs!$D$13)/Inputs!$D$10</f>
        <v>1.7166324435318274</v>
      </c>
      <c r="F4010" s="28">
        <f>(F4009-Inputs!$D$13)/Inputs!$D$10</f>
        <v>2.7159479808350446</v>
      </c>
      <c r="G4010" s="28">
        <f>(G4009-Inputs!$D$13)/Inputs!$D$10</f>
        <v>3.7152635181382614</v>
      </c>
      <c r="H4010" s="28">
        <f>(H4009-Inputs!$D$13)/Inputs!$D$10</f>
        <v>4.7145790554414786</v>
      </c>
      <c r="I4010" s="28">
        <f>(I4009-Inputs!$D$13)/Inputs!$D$10</f>
        <v>5.7166324435318279</v>
      </c>
      <c r="J4010" s="28">
        <f>(J4009-Inputs!$D$13)/Inputs!$D$10</f>
        <v>6.7159479808350442</v>
      </c>
      <c r="K4010" s="28">
        <f>(K4009-Inputs!$D$13)/Inputs!$D$10</f>
        <v>7.7152635181382614</v>
      </c>
      <c r="L4010" s="28">
        <f>(L4009-Inputs!$D$13)/Inputs!$D$10</f>
        <v>8.7145790554414777</v>
      </c>
      <c r="M4010" s="28">
        <f>(M4009-Inputs!$D$13)/Inputs!$D$10</f>
        <v>9.716632443531827</v>
      </c>
    </row>
    <row r="4011" spans="1:13" ht="15" customHeight="1" x14ac:dyDescent="0.2">
      <c r="A4011" s="91"/>
      <c r="B4011" s="10" t="s">
        <v>889</v>
      </c>
      <c r="C4011" s="10" t="s">
        <v>107</v>
      </c>
      <c r="D4011" s="28">
        <f>D4010</f>
        <v>0.71457905544147848</v>
      </c>
      <c r="E4011" s="28">
        <f>Inputs!$D$7</f>
        <v>1</v>
      </c>
      <c r="F4011" s="28">
        <f>Inputs!$D$7</f>
        <v>1</v>
      </c>
      <c r="G4011" s="28">
        <f>Inputs!$D$7</f>
        <v>1</v>
      </c>
      <c r="H4011" s="28">
        <f>Inputs!$D$7</f>
        <v>1</v>
      </c>
      <c r="I4011" s="28">
        <f>Inputs!$D$7</f>
        <v>1</v>
      </c>
      <c r="J4011" s="28">
        <f>Inputs!$D$7</f>
        <v>1</v>
      </c>
      <c r="K4011" s="28">
        <f>Inputs!$D$7</f>
        <v>1</v>
      </c>
      <c r="L4011" s="28">
        <f>Inputs!$D$7</f>
        <v>1</v>
      </c>
      <c r="M4011" s="28">
        <f>Inputs!$D$7</f>
        <v>1</v>
      </c>
    </row>
    <row r="4012" spans="1:13" ht="15" customHeight="1" x14ac:dyDescent="0.2">
      <c r="A4012" s="91"/>
      <c r="B4012" s="3" t="s">
        <v>890</v>
      </c>
      <c r="C4012" s="10" t="s">
        <v>199</v>
      </c>
      <c r="D4012" s="28">
        <f>Inputs!$D$24+(Inputs!$D$80-Inputs!$D$24)*Inputs!$D$83</f>
        <v>305.5</v>
      </c>
      <c r="E4012" s="28">
        <f>Inputs!$D$24+(Inputs!$D$80-Inputs!$D$24)*Inputs!$D$84</f>
        <v>651.5</v>
      </c>
      <c r="F4012" s="28">
        <f>Inputs!$D$24+(Inputs!$D$80-Inputs!$D$24)*Inputs!$D$85</f>
        <v>911</v>
      </c>
      <c r="G4012" s="28">
        <f>Inputs!$D$24+(Inputs!$D$80-Inputs!$D$24)*Inputs!$D$86</f>
        <v>911</v>
      </c>
      <c r="H4012" s="28">
        <f>Inputs!$D$24+(Inputs!$D$80-Inputs!$D$24)*Inputs!$D$87</f>
        <v>911</v>
      </c>
      <c r="I4012" s="28">
        <f>Inputs!$D$24+(Inputs!$D$80-Inputs!$D$24)*Inputs!$D$88</f>
        <v>911</v>
      </c>
      <c r="J4012" s="28">
        <f>Inputs!$D$24+(Inputs!$D$80-Inputs!$D$24)*Inputs!$D$89</f>
        <v>911</v>
      </c>
      <c r="K4012" s="28">
        <f>Inputs!$D$24+(Inputs!$D$80-Inputs!$D$24)*Inputs!$D$90</f>
        <v>911</v>
      </c>
      <c r="L4012" s="28">
        <f>Inputs!$D$24+(Inputs!$D$80-Inputs!$D$24)*Inputs!$D$91</f>
        <v>911</v>
      </c>
      <c r="M4012" s="28">
        <f>Inputs!$D$24+(Inputs!$D$80-Inputs!$D$24)*Inputs!$D$92</f>
        <v>911</v>
      </c>
    </row>
    <row r="4013" spans="1:13" ht="15" customHeight="1" x14ac:dyDescent="0.2">
      <c r="A4013" s="91"/>
      <c r="B4013" s="10" t="s">
        <v>891</v>
      </c>
      <c r="C4013" s="10" t="s">
        <v>199</v>
      </c>
      <c r="D4013" s="28">
        <f>Inputs!$D$24</f>
        <v>46</v>
      </c>
      <c r="E4013" s="28">
        <f t="shared" ref="E4013:M4013" si="870">D4012</f>
        <v>305.5</v>
      </c>
      <c r="F4013" s="28">
        <f t="shared" si="870"/>
        <v>651.5</v>
      </c>
      <c r="G4013" s="28">
        <f t="shared" si="870"/>
        <v>911</v>
      </c>
      <c r="H4013" s="28">
        <f t="shared" si="870"/>
        <v>911</v>
      </c>
      <c r="I4013" s="28">
        <f t="shared" si="870"/>
        <v>911</v>
      </c>
      <c r="J4013" s="28">
        <f t="shared" si="870"/>
        <v>911</v>
      </c>
      <c r="K4013" s="28">
        <f t="shared" si="870"/>
        <v>911</v>
      </c>
      <c r="L4013" s="28">
        <f t="shared" si="870"/>
        <v>911</v>
      </c>
      <c r="M4013" s="28">
        <f t="shared" si="870"/>
        <v>911</v>
      </c>
    </row>
    <row r="4014" spans="1:13" ht="15" customHeight="1" x14ac:dyDescent="0.2">
      <c r="B4014" s="10" t="s">
        <v>892</v>
      </c>
      <c r="C4014" s="10" t="s">
        <v>199</v>
      </c>
      <c r="D4014" s="28">
        <f>(D4013+D4012)*Inputs!$D$12</f>
        <v>175.75</v>
      </c>
      <c r="E4014" s="28">
        <f>(E4013+E4012)*Inputs!$D$12</f>
        <v>478.5</v>
      </c>
      <c r="F4014" s="28">
        <f>(F4013+F4012)*Inputs!$D$12</f>
        <v>781.25</v>
      </c>
      <c r="G4014" s="28">
        <f>(G4013+G4012)*Inputs!$D$12</f>
        <v>911</v>
      </c>
      <c r="H4014" s="28">
        <f>(H4013+H4012)*Inputs!$D$12</f>
        <v>911</v>
      </c>
      <c r="I4014" s="28">
        <f>(I4013+I4012)*Inputs!$D$12</f>
        <v>911</v>
      </c>
      <c r="J4014" s="28">
        <f>(J4013+J4012)*Inputs!$D$12</f>
        <v>911</v>
      </c>
      <c r="K4014" s="28">
        <f>(K4013+K4012)*Inputs!$D$12</f>
        <v>911</v>
      </c>
      <c r="L4014" s="28">
        <f>(L4013+L4012)*Inputs!$D$12</f>
        <v>911</v>
      </c>
      <c r="M4014" s="28">
        <f>(M4013+M4012)*Inputs!$D$12</f>
        <v>911</v>
      </c>
    </row>
    <row r="4015" spans="1:13" ht="15" customHeight="1" x14ac:dyDescent="0.2">
      <c r="B4015" s="10" t="s">
        <v>893</v>
      </c>
      <c r="C4015" s="10" t="s">
        <v>199</v>
      </c>
      <c r="D4015" s="28">
        <f t="shared" ref="D4015:M4015" si="871">D4012-D4013</f>
        <v>259.5</v>
      </c>
      <c r="E4015" s="28">
        <f t="shared" si="871"/>
        <v>346</v>
      </c>
      <c r="F4015" s="28">
        <f t="shared" si="871"/>
        <v>259.5</v>
      </c>
      <c r="G4015" s="28">
        <f t="shared" si="871"/>
        <v>0</v>
      </c>
      <c r="H4015" s="28">
        <f t="shared" si="871"/>
        <v>0</v>
      </c>
      <c r="I4015" s="28">
        <f t="shared" si="871"/>
        <v>0</v>
      </c>
      <c r="J4015" s="28">
        <f t="shared" si="871"/>
        <v>0</v>
      </c>
      <c r="K4015" s="28">
        <f t="shared" si="871"/>
        <v>0</v>
      </c>
      <c r="L4015" s="28">
        <f t="shared" si="871"/>
        <v>0</v>
      </c>
      <c r="M4015" s="28">
        <f t="shared" si="871"/>
        <v>0</v>
      </c>
    </row>
    <row r="4016" spans="1:13" ht="15" customHeight="1" x14ac:dyDescent="0.2">
      <c r="B4016" s="10" t="s">
        <v>894</v>
      </c>
      <c r="C4016" s="10" t="s">
        <v>199</v>
      </c>
      <c r="D4016" s="28">
        <f>IF(MOD(D4008,Inputs!$D$21)=Inputs!$D$6,Inputs!$D$24,Inputs!$D$6)+SUMPRODUCT(--(D4008&gt;$D$4008:$M$4008),--(MOD(D4008-$D$4008:$M$4008,Inputs!$D$21)=Inputs!$D$6),$D$4015:$M$4015)</f>
        <v>0</v>
      </c>
      <c r="E4016" s="28">
        <f>IF(MOD(E4008,Inputs!$D$21)=Inputs!$D$6,Inputs!$D$24,Inputs!$D$6)+SUMPRODUCT(--(E4008&gt;$D$4008:$M$4008),--(MOD(E4008-$D$4008:$M$4008,Inputs!$D$21)=Inputs!$D$6),$D$4015:$M$4015)</f>
        <v>0</v>
      </c>
      <c r="F4016" s="28">
        <f>IF(MOD(F4008,Inputs!$D$21)=Inputs!$D$6,Inputs!$D$24,Inputs!$D$6)+SUMPRODUCT(--(F4008&gt;$D$4008:$M$4008),--(MOD(F4008-$D$4008:$M$4008,Inputs!$D$21)=Inputs!$D$6),$D$4015:$M$4015)</f>
        <v>0</v>
      </c>
      <c r="G4016" s="28">
        <f>IF(MOD(G4008,Inputs!$D$21)=Inputs!$D$6,Inputs!$D$24,Inputs!$D$6)+SUMPRODUCT(--(G4008&gt;$D$4008:$M$4008),--(MOD(G4008-$D$4008:$M$4008,Inputs!$D$21)=Inputs!$D$6),$D$4015:$M$4015)</f>
        <v>46</v>
      </c>
      <c r="H4016" s="28">
        <f>IF(MOD(H4008,Inputs!$D$21)=Inputs!$D$6,Inputs!$D$24,Inputs!$D$6)+SUMPRODUCT(--(H4008&gt;$D$4008:$M$4008),--(MOD(H4008-$D$4008:$M$4008,Inputs!$D$21)=Inputs!$D$6),$D$4015:$M$4015)</f>
        <v>259.5</v>
      </c>
      <c r="I4016" s="28">
        <f>IF(MOD(I4008,Inputs!$D$21)=Inputs!$D$6,Inputs!$D$24,Inputs!$D$6)+SUMPRODUCT(--(I4008&gt;$D$4008:$M$4008),--(MOD(I4008-$D$4008:$M$4008,Inputs!$D$21)=Inputs!$D$6),$D$4015:$M$4015)</f>
        <v>346</v>
      </c>
      <c r="J4016" s="28">
        <f>IF(MOD(J4008,Inputs!$D$21)=Inputs!$D$6,Inputs!$D$24,Inputs!$D$6)+SUMPRODUCT(--(J4008&gt;$D$4008:$M$4008),--(MOD(J4008-$D$4008:$M$4008,Inputs!$D$21)=Inputs!$D$6),$D$4015:$M$4015)</f>
        <v>259.5</v>
      </c>
      <c r="K4016" s="28">
        <f>IF(MOD(K4008,Inputs!$D$21)=Inputs!$D$6,Inputs!$D$24,Inputs!$D$6)+SUMPRODUCT(--(K4008&gt;$D$4008:$M$4008),--(MOD(K4008-$D$4008:$M$4008,Inputs!$D$21)=Inputs!$D$6),$D$4015:$M$4015)</f>
        <v>46</v>
      </c>
      <c r="L4016" s="28">
        <f>IF(MOD(L4008,Inputs!$D$21)=Inputs!$D$6,Inputs!$D$24,Inputs!$D$6)+SUMPRODUCT(--(L4008&gt;$D$4008:$M$4008),--(MOD(L4008-$D$4008:$M$4008,Inputs!$D$21)=Inputs!$D$6),$D$4015:$M$4015)</f>
        <v>259.5</v>
      </c>
      <c r="M4016" s="28">
        <f>IF(MOD(M4008,Inputs!$D$21)=Inputs!$D$6,Inputs!$D$24,Inputs!$D$6)+SUMPRODUCT(--(M4008&gt;$D$4008:$M$4008),--(MOD(M4008-$D$4008:$M$4008,Inputs!$D$21)=Inputs!$D$6),$D$4015:$M$4015)</f>
        <v>346</v>
      </c>
    </row>
    <row r="4017" spans="2:13" ht="15" customHeight="1" x14ac:dyDescent="0.2">
      <c r="B4017" s="10" t="s">
        <v>895</v>
      </c>
      <c r="C4017" s="10" t="s">
        <v>896</v>
      </c>
      <c r="D4017" s="28">
        <f t="shared" ref="D4017:M4017" si="872">D4014*D4011</f>
        <v>125.58726899383984</v>
      </c>
      <c r="E4017" s="28">
        <f t="shared" si="872"/>
        <v>478.5</v>
      </c>
      <c r="F4017" s="28">
        <f t="shared" si="872"/>
        <v>781.25</v>
      </c>
      <c r="G4017" s="28">
        <f t="shared" si="872"/>
        <v>911</v>
      </c>
      <c r="H4017" s="28">
        <f t="shared" si="872"/>
        <v>911</v>
      </c>
      <c r="I4017" s="28">
        <f t="shared" si="872"/>
        <v>911</v>
      </c>
      <c r="J4017" s="28">
        <f t="shared" si="872"/>
        <v>911</v>
      </c>
      <c r="K4017" s="28">
        <f t="shared" si="872"/>
        <v>911</v>
      </c>
      <c r="L4017" s="28">
        <f t="shared" si="872"/>
        <v>911</v>
      </c>
      <c r="M4017" s="28">
        <f t="shared" si="872"/>
        <v>911</v>
      </c>
    </row>
    <row r="4018" spans="2:13" ht="15" customHeight="1" x14ac:dyDescent="0.2">
      <c r="B4018" s="10" t="s">
        <v>897</v>
      </c>
      <c r="C4018" s="10" t="s">
        <v>110</v>
      </c>
      <c r="D4018" s="16">
        <f>D4017*($D$4037/Inputs!$D$21+$D$4038/Inputs!$D$22)</f>
        <v>1816.9772859324419</v>
      </c>
      <c r="E4018" s="16">
        <f>E4017*($D$4037/Inputs!$D$21+$D$4038/Inputs!$D$22)</f>
        <v>6922.8643817497086</v>
      </c>
      <c r="F4018" s="16">
        <f>F4017*($D$4037/Inputs!$D$21+$D$4038/Inputs!$D$22)</f>
        <v>11303.0048030135</v>
      </c>
      <c r="G4018" s="16">
        <f>G4017*($D$4037/Inputs!$D$21+$D$4038/Inputs!$D$22)</f>
        <v>13180.207840697982</v>
      </c>
      <c r="H4018" s="16">
        <f>H4017*($D$4037/Inputs!$D$21+$D$4038/Inputs!$D$22)</f>
        <v>13180.207840697982</v>
      </c>
      <c r="I4018" s="16">
        <f>I4017*($D$4037/Inputs!$D$21+$D$4038/Inputs!$D$22)</f>
        <v>13180.207840697982</v>
      </c>
      <c r="J4018" s="16">
        <f>J4017*($D$4037/Inputs!$D$21+$D$4038/Inputs!$D$22)</f>
        <v>13180.207840697982</v>
      </c>
      <c r="K4018" s="16">
        <f>K4017*($D$4037/Inputs!$D$21+$D$4038/Inputs!$D$22)</f>
        <v>13180.207840697982</v>
      </c>
      <c r="L4018" s="16">
        <f>L4017*($D$4037/Inputs!$D$21+$D$4038/Inputs!$D$22)</f>
        <v>13180.207840697982</v>
      </c>
      <c r="M4018" s="16">
        <f>M4017*($D$4037/Inputs!$D$21+$D$4038/Inputs!$D$22)</f>
        <v>13180.207840697982</v>
      </c>
    </row>
    <row r="4019" spans="2:13" ht="15" customHeight="1" x14ac:dyDescent="0.2">
      <c r="B4019" s="10" t="s">
        <v>898</v>
      </c>
      <c r="C4019" s="10" t="s">
        <v>110</v>
      </c>
      <c r="D4019" s="16">
        <f t="shared" ref="D4019:M4019" si="873">D4015*($D$4037+$D$4038)</f>
        <v>15560.968620146154</v>
      </c>
      <c r="E4019" s="16">
        <f t="shared" si="873"/>
        <v>20747.95816019487</v>
      </c>
      <c r="F4019" s="16">
        <f t="shared" si="873"/>
        <v>15560.968620146154</v>
      </c>
      <c r="G4019" s="16">
        <f t="shared" si="873"/>
        <v>0</v>
      </c>
      <c r="H4019" s="16">
        <f t="shared" si="873"/>
        <v>0</v>
      </c>
      <c r="I4019" s="16">
        <f t="shared" si="873"/>
        <v>0</v>
      </c>
      <c r="J4019" s="16">
        <f t="shared" si="873"/>
        <v>0</v>
      </c>
      <c r="K4019" s="16">
        <f t="shared" si="873"/>
        <v>0</v>
      </c>
      <c r="L4019" s="16">
        <f t="shared" si="873"/>
        <v>0</v>
      </c>
      <c r="M4019" s="16">
        <f t="shared" si="873"/>
        <v>0</v>
      </c>
    </row>
    <row r="4020" spans="2:13" ht="15" customHeight="1" x14ac:dyDescent="0.2">
      <c r="B4020" s="10" t="s">
        <v>899</v>
      </c>
      <c r="C4020" s="10" t="s">
        <v>110</v>
      </c>
      <c r="D4020" s="16">
        <f t="shared" ref="D4020:M4020" si="874">D4016*$D$4037</f>
        <v>0</v>
      </c>
      <c r="E4020" s="16">
        <f t="shared" si="874"/>
        <v>0</v>
      </c>
      <c r="F4020" s="16">
        <f t="shared" si="874"/>
        <v>0</v>
      </c>
      <c r="G4020" s="16">
        <f t="shared" si="874"/>
        <v>2638.0048485671714</v>
      </c>
      <c r="H4020" s="16">
        <f t="shared" si="874"/>
        <v>14881.788221808281</v>
      </c>
      <c r="I4020" s="16">
        <f t="shared" si="874"/>
        <v>19842.384295744378</v>
      </c>
      <c r="J4020" s="16">
        <f t="shared" si="874"/>
        <v>14881.788221808281</v>
      </c>
      <c r="K4020" s="16">
        <f t="shared" si="874"/>
        <v>2638.0048485671714</v>
      </c>
      <c r="L4020" s="16">
        <f t="shared" si="874"/>
        <v>14881.788221808281</v>
      </c>
      <c r="M4020" s="16">
        <f t="shared" si="874"/>
        <v>19842.384295744378</v>
      </c>
    </row>
    <row r="4021" spans="2:13" ht="15" customHeight="1" x14ac:dyDescent="0.2">
      <c r="B4021" s="10" t="s">
        <v>900</v>
      </c>
      <c r="C4021" s="10" t="s">
        <v>199</v>
      </c>
      <c r="D4021" s="28">
        <f>D4015*Inputs!$D$23</f>
        <v>6.4875000000000007</v>
      </c>
      <c r="E4021" s="28">
        <f>E4015*Inputs!$D$23</f>
        <v>8.65</v>
      </c>
      <c r="F4021" s="28">
        <f>F4015*Inputs!$D$23</f>
        <v>6.4875000000000007</v>
      </c>
      <c r="G4021" s="28">
        <f>G4015*Inputs!$D$23</f>
        <v>0</v>
      </c>
      <c r="H4021" s="28">
        <f>H4015*Inputs!$D$23</f>
        <v>0</v>
      </c>
      <c r="I4021" s="28">
        <f>I4015*Inputs!$D$23</f>
        <v>0</v>
      </c>
      <c r="J4021" s="28">
        <f>J4015*Inputs!$D$23</f>
        <v>0</v>
      </c>
      <c r="K4021" s="28">
        <f>K4015*Inputs!$D$23</f>
        <v>0</v>
      </c>
      <c r="L4021" s="28">
        <f>L4015*Inputs!$D$23</f>
        <v>0</v>
      </c>
      <c r="M4021" s="28">
        <f>M4015*Inputs!$D$23</f>
        <v>0</v>
      </c>
    </row>
    <row r="4022" spans="2:13" ht="15" customHeight="1" x14ac:dyDescent="0.2">
      <c r="B4022" s="3" t="s">
        <v>901</v>
      </c>
      <c r="C4022" s="10" t="s">
        <v>896</v>
      </c>
      <c r="D4022" s="28">
        <f>(D4017*$D$4035*(Inputs!$D$7-Inputs!$D$19)-D4021)/(Inputs!$D$7+$D$4036)^D4010</f>
        <v>50.12984638682326</v>
      </c>
      <c r="E4022" s="28">
        <f>(E4017*$D$4035*(Inputs!$D$7-Inputs!$D$19)-E4021)/(Inputs!$D$7+$D$4036)^E4010</f>
        <v>180.33003750737836</v>
      </c>
      <c r="F4022" s="28">
        <f>(F4017*$D$4035*(Inputs!$D$7-Inputs!$D$19)-F4021)/(Inputs!$D$7+$D$4036)^F4010</f>
        <v>263.64069887024272</v>
      </c>
      <c r="G4022" s="28">
        <f>(G4017*$D$4035*(Inputs!$D$7-Inputs!$D$19)-G4021)/(Inputs!$D$7+$D$4036)^G4010</f>
        <v>274.34556179747091</v>
      </c>
      <c r="H4022" s="28">
        <f>(H4017*$D$4035*(Inputs!$D$7-Inputs!$D$19)-H4021)/(Inputs!$D$7+$D$4036)^H4010</f>
        <v>240.67558534790513</v>
      </c>
      <c r="I4022" s="28">
        <f>(I4017*$D$4035*(Inputs!$D$7-Inputs!$D$19)-I4021)/(Inputs!$D$7+$D$4036)^I4010</f>
        <v>211.0621402114879</v>
      </c>
      <c r="J4022" s="28">
        <f>(J4017*$D$4035*(Inputs!$D$7-Inputs!$D$19)-J4021)/(Inputs!$D$7+$D$4036)^J4010</f>
        <v>185.1588332880761</v>
      </c>
      <c r="K4022" s="28">
        <f>(K4017*$D$4035*(Inputs!$D$7-Inputs!$D$19)-K4021)/(Inputs!$D$7+$D$4036)^K4010</f>
        <v>162.43459632432703</v>
      </c>
      <c r="L4022" s="28">
        <f>(L4017*$D$4035*(Inputs!$D$7-Inputs!$D$19)-L4021)/(Inputs!$D$7+$D$4036)^L4010</f>
        <v>142.49926732902043</v>
      </c>
      <c r="M4022" s="28">
        <f>(M4017*$D$4035*(Inputs!$D$7-Inputs!$D$19)-M4021)/(Inputs!$D$7+$D$4036)^M4010</f>
        <v>124.96573051876359</v>
      </c>
    </row>
    <row r="4023" spans="2:13" ht="15" customHeight="1" x14ac:dyDescent="0.2">
      <c r="B4023" s="10" t="s">
        <v>902</v>
      </c>
      <c r="C4023" s="10" t="s">
        <v>110</v>
      </c>
      <c r="D4023" s="16">
        <f>(D4018*Inputs!$D$19-D4019-D4020)/(Inputs!$D$7+$D$4036)^D4010</f>
        <v>-13673.750208995338</v>
      </c>
      <c r="E4023" s="16">
        <f>(E4018*Inputs!$D$19-E4019-E4020)/(Inputs!$D$7+$D$4036)^E4010</f>
        <v>-14910.258198718562</v>
      </c>
      <c r="F4023" s="16">
        <f>(F4018*Inputs!$D$19-F4019-F4020)/(Inputs!$D$7+$D$4036)^F4010</f>
        <v>-8525.9417164238148</v>
      </c>
      <c r="G4023" s="16">
        <f>(G4018*Inputs!$D$19-G4019-G4020)/(Inputs!$D$7+$D$4036)^G4010</f>
        <v>808.83204192410847</v>
      </c>
      <c r="H4023" s="16">
        <f>(H4018*Inputs!$D$19-H4019-H4020)/(Inputs!$D$7+$D$4036)^H4010</f>
        <v>-5891.7915280072548</v>
      </c>
      <c r="I4023" s="16">
        <f>(I4018*Inputs!$D$19-I4019-I4020)/(Inputs!$D$7+$D$4036)^I4010</f>
        <v>-7512.3171078465948</v>
      </c>
      <c r="J4023" s="16">
        <f>(J4018*Inputs!$D$19-J4019-J4020)/(Inputs!$D$7+$D$4036)^J4010</f>
        <v>-4532.7291662153211</v>
      </c>
      <c r="K4023" s="16">
        <f>(K4018*Inputs!$D$19-K4019-K4020)/(Inputs!$D$7+$D$4036)^K4010</f>
        <v>478.89349972832292</v>
      </c>
      <c r="L4023" s="16">
        <f>(L4018*Inputs!$D$19-L4019-L4020)/(Inputs!$D$7+$D$4036)^L4010</f>
        <v>-3488.413562109869</v>
      </c>
      <c r="M4023" s="16">
        <f>(M4018*Inputs!$D$19-M4019-M4020)/(Inputs!$D$7+$D$4036)^M4010</f>
        <v>-4447.8947969066312</v>
      </c>
    </row>
    <row r="4024" spans="2:13" ht="15" customHeight="1" x14ac:dyDescent="0.2">
      <c r="B4024" s="10" t="s">
        <v>903</v>
      </c>
      <c r="C4024" s="10" t="s">
        <v>110</v>
      </c>
      <c r="D4024" s="16">
        <f t="shared" ref="D4024:M4024" si="875">D4017*$D$4034</f>
        <v>4681.9494869068303</v>
      </c>
      <c r="E4024" s="16">
        <f t="shared" si="875"/>
        <v>17838.693742076735</v>
      </c>
      <c r="F4024" s="16">
        <f t="shared" si="875"/>
        <v>29125.348978051097</v>
      </c>
      <c r="G4024" s="16">
        <f t="shared" si="875"/>
        <v>33962.486936325826</v>
      </c>
      <c r="H4024" s="16">
        <f t="shared" si="875"/>
        <v>33962.486936325826</v>
      </c>
      <c r="I4024" s="16">
        <f t="shared" si="875"/>
        <v>33962.486936325826</v>
      </c>
      <c r="J4024" s="16">
        <f t="shared" si="875"/>
        <v>33962.486936325826</v>
      </c>
      <c r="K4024" s="16">
        <f t="shared" si="875"/>
        <v>33962.486936325826</v>
      </c>
      <c r="L4024" s="16">
        <f t="shared" si="875"/>
        <v>33962.486936325826</v>
      </c>
      <c r="M4024" s="16">
        <f t="shared" si="875"/>
        <v>33962.486936325826</v>
      </c>
    </row>
    <row r="4025" spans="2:13" ht="15" customHeight="1" x14ac:dyDescent="0.2">
      <c r="B4025" s="10" t="s">
        <v>904</v>
      </c>
      <c r="C4025" s="10" t="s">
        <v>110</v>
      </c>
      <c r="D4025" s="16">
        <f t="shared" ref="D4025:M4025" si="876">D4024*$D$4035</f>
        <v>3277.3646408347809</v>
      </c>
      <c r="E4025" s="16">
        <f t="shared" si="876"/>
        <v>12487.085619453714</v>
      </c>
      <c r="F4025" s="16">
        <f t="shared" si="876"/>
        <v>20387.744284635766</v>
      </c>
      <c r="G4025" s="16">
        <f t="shared" si="876"/>
        <v>23773.740855428077</v>
      </c>
      <c r="H4025" s="16">
        <f t="shared" si="876"/>
        <v>23773.740855428077</v>
      </c>
      <c r="I4025" s="16">
        <f t="shared" si="876"/>
        <v>23773.740855428077</v>
      </c>
      <c r="J4025" s="16">
        <f t="shared" si="876"/>
        <v>23773.740855428077</v>
      </c>
      <c r="K4025" s="16">
        <f t="shared" si="876"/>
        <v>23773.740855428077</v>
      </c>
      <c r="L4025" s="16">
        <f t="shared" si="876"/>
        <v>23773.740855428077</v>
      </c>
      <c r="M4025" s="16">
        <f t="shared" si="876"/>
        <v>23773.740855428077</v>
      </c>
    </row>
    <row r="4026" spans="2:13" ht="15" customHeight="1" x14ac:dyDescent="0.2">
      <c r="B4026" s="10" t="s">
        <v>905</v>
      </c>
      <c r="C4026" s="10" t="s">
        <v>110</v>
      </c>
      <c r="D4026" s="16">
        <f t="shared" ref="D4026:M4026" si="877">D4025-D4018</f>
        <v>1460.387354902339</v>
      </c>
      <c r="E4026" s="16">
        <f t="shared" si="877"/>
        <v>5564.221237704005</v>
      </c>
      <c r="F4026" s="16">
        <f t="shared" si="877"/>
        <v>9084.7394816222659</v>
      </c>
      <c r="G4026" s="16">
        <f t="shared" si="877"/>
        <v>10593.533014730096</v>
      </c>
      <c r="H4026" s="16">
        <f t="shared" si="877"/>
        <v>10593.533014730096</v>
      </c>
      <c r="I4026" s="16">
        <f t="shared" si="877"/>
        <v>10593.533014730096</v>
      </c>
      <c r="J4026" s="16">
        <f t="shared" si="877"/>
        <v>10593.533014730096</v>
      </c>
      <c r="K4026" s="16">
        <f t="shared" si="877"/>
        <v>10593.533014730096</v>
      </c>
      <c r="L4026" s="16">
        <f t="shared" si="877"/>
        <v>10593.533014730096</v>
      </c>
      <c r="M4026" s="16">
        <f t="shared" si="877"/>
        <v>10593.533014730096</v>
      </c>
    </row>
    <row r="4027" spans="2:13" ht="15" customHeight="1" x14ac:dyDescent="0.2">
      <c r="B4027" s="10" t="s">
        <v>906</v>
      </c>
      <c r="C4027" s="10" t="s">
        <v>110</v>
      </c>
      <c r="D4027" s="16">
        <f>MAX(D4026,Inputs!$D$6)*Inputs!$D$19</f>
        <v>438.11620647070168</v>
      </c>
      <c r="E4027" s="16">
        <f>MAX(E4026,Inputs!$D$6)*Inputs!$D$19</f>
        <v>1669.2663713112015</v>
      </c>
      <c r="F4027" s="16">
        <f>MAX(F4026,Inputs!$D$6)*Inputs!$D$19</f>
        <v>2725.4218444866797</v>
      </c>
      <c r="G4027" s="16">
        <f>MAX(G4026,Inputs!$D$6)*Inputs!$D$19</f>
        <v>3178.0599044190285</v>
      </c>
      <c r="H4027" s="16">
        <f>MAX(H4026,Inputs!$D$6)*Inputs!$D$19</f>
        <v>3178.0599044190285</v>
      </c>
      <c r="I4027" s="16">
        <f>MAX(I4026,Inputs!$D$6)*Inputs!$D$19</f>
        <v>3178.0599044190285</v>
      </c>
      <c r="J4027" s="16">
        <f>MAX(J4026,Inputs!$D$6)*Inputs!$D$19</f>
        <v>3178.0599044190285</v>
      </c>
      <c r="K4027" s="16">
        <f>MAX(K4026,Inputs!$D$6)*Inputs!$D$19</f>
        <v>3178.0599044190285</v>
      </c>
      <c r="L4027" s="16">
        <f>MAX(L4026,Inputs!$D$6)*Inputs!$D$19</f>
        <v>3178.0599044190285</v>
      </c>
      <c r="M4027" s="16">
        <f>MAX(M4026,Inputs!$D$6)*Inputs!$D$19</f>
        <v>3178.0599044190285</v>
      </c>
    </row>
    <row r="4028" spans="2:13" ht="15" customHeight="1" x14ac:dyDescent="0.2">
      <c r="B4028" s="10" t="s">
        <v>907</v>
      </c>
      <c r="C4028" s="10" t="s">
        <v>110</v>
      </c>
      <c r="D4028" s="16">
        <f t="shared" ref="D4028:M4028" si="878">D4021*$D$4034</f>
        <v>241.85689791373633</v>
      </c>
      <c r="E4028" s="16">
        <f t="shared" si="878"/>
        <v>322.47586388498178</v>
      </c>
      <c r="F4028" s="16">
        <f t="shared" si="878"/>
        <v>241.85689791373633</v>
      </c>
      <c r="G4028" s="16">
        <f t="shared" si="878"/>
        <v>0</v>
      </c>
      <c r="H4028" s="16">
        <f t="shared" si="878"/>
        <v>0</v>
      </c>
      <c r="I4028" s="16">
        <f t="shared" si="878"/>
        <v>0</v>
      </c>
      <c r="J4028" s="16">
        <f t="shared" si="878"/>
        <v>0</v>
      </c>
      <c r="K4028" s="16">
        <f t="shared" si="878"/>
        <v>0</v>
      </c>
      <c r="L4028" s="16">
        <f t="shared" si="878"/>
        <v>0</v>
      </c>
      <c r="M4028" s="16">
        <f t="shared" si="878"/>
        <v>0</v>
      </c>
    </row>
    <row r="4029" spans="2:13" ht="15" customHeight="1" x14ac:dyDescent="0.2">
      <c r="B4029" s="10" t="s">
        <v>908</v>
      </c>
      <c r="C4029" s="10" t="s">
        <v>110</v>
      </c>
      <c r="D4029" s="16">
        <f t="shared" ref="D4029:M4029" si="879">D4025-D4027-D4019-D4020-D4028</f>
        <v>-12963.577083695811</v>
      </c>
      <c r="E4029" s="16">
        <f t="shared" si="879"/>
        <v>-10252.61477593734</v>
      </c>
      <c r="F4029" s="16">
        <f t="shared" si="879"/>
        <v>1859.4969220891981</v>
      </c>
      <c r="G4029" s="16">
        <f t="shared" si="879"/>
        <v>17957.676102441877</v>
      </c>
      <c r="H4029" s="16">
        <f t="shared" si="879"/>
        <v>5713.8927292007684</v>
      </c>
      <c r="I4029" s="16">
        <f t="shared" si="879"/>
        <v>753.29665526467215</v>
      </c>
      <c r="J4029" s="16">
        <f t="shared" si="879"/>
        <v>5713.8927292007684</v>
      </c>
      <c r="K4029" s="16">
        <f t="shared" si="879"/>
        <v>17957.676102441877</v>
      </c>
      <c r="L4029" s="16">
        <f t="shared" si="879"/>
        <v>5713.8927292007684</v>
      </c>
      <c r="M4029" s="16">
        <f t="shared" si="879"/>
        <v>753.29665526467215</v>
      </c>
    </row>
    <row r="4030" spans="2:13" ht="15" customHeight="1" x14ac:dyDescent="0.2">
      <c r="B4030" s="10" t="s">
        <v>909</v>
      </c>
      <c r="C4030" s="10" t="s">
        <v>110</v>
      </c>
      <c r="D4030" s="16">
        <f>D4029/(Inputs!$D$7+$D$4036)^D4010</f>
        <v>-11804.887143097967</v>
      </c>
      <c r="E4030" s="16">
        <f>E4029/(Inputs!$D$7+$D$4036)^E4010</f>
        <v>-8187.4738484754434</v>
      </c>
      <c r="F4030" s="16">
        <f>F4029/(Inputs!$D$7+$D$4036)^F4010</f>
        <v>1302.7013036249557</v>
      </c>
      <c r="G4030" s="16">
        <f>G4029/(Inputs!$D$7+$D$4036)^G4010</f>
        <v>11036.557133675564</v>
      </c>
      <c r="H4030" s="16">
        <f>H4029/(Inputs!$D$7+$D$4036)^H4010</f>
        <v>3080.7018015984549</v>
      </c>
      <c r="I4030" s="16">
        <f>I4029/(Inputs!$D$7+$D$4036)^I4010</f>
        <v>356.17375898724686</v>
      </c>
      <c r="J4030" s="16">
        <f>J4029/(Inputs!$D$7+$D$4036)^J4010</f>
        <v>2370.0748477162019</v>
      </c>
      <c r="K4030" s="16">
        <f>K4029/(Inputs!$D$7+$D$4036)^K4010</f>
        <v>6534.5278089185722</v>
      </c>
      <c r="L4030" s="16">
        <f>L4029/(Inputs!$D$7+$D$4036)^L4010</f>
        <v>1824.0227771852562</v>
      </c>
      <c r="M4030" s="16">
        <f>M4029/(Inputs!$D$7+$D$4036)^M4010</f>
        <v>210.88345801315216</v>
      </c>
    </row>
    <row r="4031" spans="2:13" ht="15" customHeight="1" x14ac:dyDescent="0.2">
      <c r="B4031" s="3" t="s">
        <v>910</v>
      </c>
      <c r="C4031" s="10" t="s">
        <v>896</v>
      </c>
      <c r="D4031" s="28">
        <f>(D4017*$D$4035-D4021)/(Inputs!$D$7+$D$4036)^D4010</f>
        <v>74.145913925683146</v>
      </c>
      <c r="E4031" s="28">
        <f>(E4017*$D$4035-E4021)/(Inputs!$D$7+$D$4036)^E4010</f>
        <v>260.57476801212306</v>
      </c>
      <c r="F4031" s="28">
        <f>(F4017*$D$4035-F4021)/(Inputs!$D$7+$D$4036)^F4010</f>
        <v>378.5773949664341</v>
      </c>
      <c r="G4031" s="28">
        <f>(G4017*$D$4035-G4021)/(Inputs!$D$7+$D$4036)^G4010</f>
        <v>391.92223113924416</v>
      </c>
      <c r="H4031" s="28">
        <f>(H4017*$D$4035-H4021)/(Inputs!$D$7+$D$4036)^H4010</f>
        <v>343.82226478272167</v>
      </c>
      <c r="I4031" s="28">
        <f>(I4017*$D$4035-I4021)/(Inputs!$D$7+$D$4036)^I4010</f>
        <v>301.51734315926848</v>
      </c>
      <c r="J4031" s="28">
        <f>(J4017*$D$4035-J4021)/(Inputs!$D$7+$D$4036)^J4010</f>
        <v>264.51261898296588</v>
      </c>
      <c r="K4031" s="28">
        <f>(K4017*$D$4035-K4021)/(Inputs!$D$7+$D$4036)^K4010</f>
        <v>232.04942332046721</v>
      </c>
      <c r="L4031" s="28">
        <f>(L4017*$D$4035-L4021)/(Inputs!$D$7+$D$4036)^L4010</f>
        <v>203.57038189860063</v>
      </c>
      <c r="M4031" s="28">
        <f>(M4017*$D$4035-M4021)/(Inputs!$D$7+$D$4036)^M4010</f>
        <v>178.52247216966228</v>
      </c>
    </row>
    <row r="4032" spans="2:13" ht="15" customHeight="1" x14ac:dyDescent="0.2">
      <c r="B4032" s="10" t="s">
        <v>911</v>
      </c>
      <c r="C4032" s="10" t="s">
        <v>110</v>
      </c>
      <c r="D4032" s="16">
        <f>(-D4019-D4020)/(Inputs!$D$7+$D$4036)^D4010</f>
        <v>-14170.122737893587</v>
      </c>
      <c r="E4032" s="16">
        <f>(-E4019-E4020)/(Inputs!$D$7+$D$4036)^E4010</f>
        <v>-16568.784506031301</v>
      </c>
      <c r="F4032" s="16">
        <f>(-F4019-F4020)/(Inputs!$D$7+$D$4036)^F4010</f>
        <v>-10901.493767656277</v>
      </c>
      <c r="G4032" s="16">
        <f>(-G4019-G4020)/(Inputs!$D$7+$D$4036)^G4010</f>
        <v>-1621.2839046676961</v>
      </c>
      <c r="H4032" s="16">
        <f>(-H4019-H4020)/(Inputs!$D$7+$D$4036)^H4010</f>
        <v>-8023.6633690433682</v>
      </c>
      <c r="I4032" s="16">
        <f>(-I4019-I4020)/(Inputs!$D$7+$D$4036)^I4010</f>
        <v>-9381.8770500204446</v>
      </c>
      <c r="J4032" s="16">
        <f>(-J4019-J4020)/(Inputs!$D$7+$D$4036)^J4010</f>
        <v>-6172.8411129063252</v>
      </c>
      <c r="K4032" s="16">
        <f>(-K4019-K4020)/(Inputs!$D$7+$D$4036)^K4010</f>
        <v>-959.93022397147342</v>
      </c>
      <c r="L4032" s="16">
        <f>(-L4019-L4020)/(Inputs!$D$7+$D$4036)^L4010</f>
        <v>-4750.6528330682277</v>
      </c>
      <c r="M4032" s="16">
        <f>(-M4019-M4020)/(Inputs!$D$7+$D$4036)^M4010</f>
        <v>-5554.82436602912</v>
      </c>
    </row>
    <row r="4033" spans="2:13" ht="15" customHeight="1" x14ac:dyDescent="0.2">
      <c r="B4033" s="10" t="s">
        <v>912</v>
      </c>
      <c r="C4033" s="10" t="s">
        <v>110</v>
      </c>
      <c r="D4033" s="16">
        <f>Prices!I9</f>
        <v>21850</v>
      </c>
    </row>
    <row r="4034" spans="2:13" ht="15" customHeight="1" x14ac:dyDescent="0.2">
      <c r="B4034" s="3" t="s">
        <v>913</v>
      </c>
      <c r="C4034" s="10" t="s">
        <v>914</v>
      </c>
      <c r="D4034" s="28">
        <f>IF(J4041&gt;=J4037,J4041,(D4033-J4040)/J4039)</f>
        <v>37.280446691905404</v>
      </c>
      <c r="G4034" s="99" t="s">
        <v>915</v>
      </c>
      <c r="H4034" s="91"/>
      <c r="I4034" s="91"/>
      <c r="J4034" s="28">
        <f>D4034*Inputs!$D$15</f>
        <v>26.018023746280779</v>
      </c>
      <c r="K4034" s="99" t="s">
        <v>916</v>
      </c>
      <c r="L4034" s="91"/>
      <c r="M4034" s="91"/>
    </row>
    <row r="4035" spans="2:13" ht="15" customHeight="1" x14ac:dyDescent="0.2">
      <c r="B4035" s="10" t="s">
        <v>917</v>
      </c>
      <c r="C4035" s="10" t="s">
        <v>104</v>
      </c>
      <c r="D4035" s="30">
        <f>Inputs!$D$143</f>
        <v>0.7</v>
      </c>
      <c r="G4035" s="99" t="s">
        <v>918</v>
      </c>
      <c r="H4035" s="91"/>
      <c r="I4035" s="91"/>
      <c r="J4035" s="28">
        <f>IF(-D4046/D4045&gt;=J4037,-D4046/D4045,-J4040/J4039)</f>
        <v>29.867840579129748</v>
      </c>
      <c r="K4035" s="99" t="s">
        <v>919</v>
      </c>
      <c r="L4035" s="91"/>
      <c r="M4035" s="91"/>
    </row>
    <row r="4036" spans="2:13" ht="15" customHeight="1" x14ac:dyDescent="0.2">
      <c r="B4036" s="10" t="s">
        <v>920</v>
      </c>
      <c r="C4036" s="10" t="s">
        <v>104</v>
      </c>
      <c r="D4036" s="30">
        <f>Inputs!$D$149</f>
        <v>0.14000000000000001</v>
      </c>
      <c r="G4036" s="99" t="s">
        <v>918</v>
      </c>
      <c r="H4036" s="91"/>
      <c r="I4036" s="91"/>
      <c r="J4036" s="28">
        <f>J4035*Inputs!$D$15</f>
        <v>20.84476594017465</v>
      </c>
      <c r="K4036" s="99" t="s">
        <v>916</v>
      </c>
      <c r="L4036" s="91"/>
      <c r="M4036" s="91"/>
    </row>
    <row r="4037" spans="2:13" ht="15" customHeight="1" x14ac:dyDescent="0.2">
      <c r="B4037" s="3" t="s">
        <v>921</v>
      </c>
      <c r="C4037" s="10" t="s">
        <v>848</v>
      </c>
      <c r="D4037" s="28">
        <f>Capital!$D$13</f>
        <v>57.347931490590682</v>
      </c>
      <c r="G4037" s="99" t="s">
        <v>922</v>
      </c>
      <c r="H4037" s="91"/>
      <c r="I4037" s="91"/>
      <c r="J4037" s="28">
        <f>($D$4037/Inputs!$D$21+$D$4038/Inputs!$D$22)/$D$4035</f>
        <v>20.668351639796114</v>
      </c>
      <c r="K4037" s="99" t="s">
        <v>919</v>
      </c>
      <c r="L4037" s="91"/>
      <c r="M4037" s="91"/>
    </row>
    <row r="4038" spans="2:13" ht="15" customHeight="1" x14ac:dyDescent="0.2">
      <c r="B4038" s="3" t="s">
        <v>923</v>
      </c>
      <c r="C4038" s="10" t="s">
        <v>848</v>
      </c>
      <c r="D4038" s="28">
        <f>Capital!$D$14</f>
        <v>2.6172655041921802</v>
      </c>
    </row>
    <row r="4039" spans="2:13" ht="15" customHeight="1" x14ac:dyDescent="0.2">
      <c r="B4039" s="10" t="s">
        <v>924</v>
      </c>
      <c r="C4039" s="10" t="s">
        <v>896</v>
      </c>
      <c r="D4039" s="28">
        <f>(M4012*(Inputs!$D$7+Inputs!$D$20)*$D$4035*(Inputs!$D$7-Inputs!$D$19)-M4012*Inputs!$D$20*Inputs!$D$23)/($D$4036-Inputs!$D$20)/(Inputs!$D$7+$D$4036)^M4010</f>
        <v>1112.4389453677863</v>
      </c>
      <c r="G4039" s="92" t="s">
        <v>910</v>
      </c>
      <c r="H4039" s="91"/>
      <c r="I4039" s="91"/>
      <c r="J4039" s="28">
        <f>SUM(D4031:M4031)+(M4012*(Inputs!$D$7+Inputs!$D$20)*$D$4035-M4012*Inputs!$D$20*Inputs!$D$23)/($D$4036-Inputs!$D$20)/(Inputs!$D$7+$D$4036)^M4010</f>
        <v>4219.0073246134016</v>
      </c>
      <c r="K4039" s="99" t="s">
        <v>896</v>
      </c>
      <c r="L4039" s="91"/>
      <c r="M4039" s="91"/>
    </row>
    <row r="4040" spans="2:13" ht="15" customHeight="1" x14ac:dyDescent="0.2">
      <c r="B4040" s="10" t="s">
        <v>925</v>
      </c>
      <c r="C4040" s="10" t="s">
        <v>110</v>
      </c>
      <c r="D4040" s="16">
        <f>(D4043*Inputs!$D$19-D4043-D4044)/($D$4036-Inputs!$D$20)/(Inputs!$D$7+$D$4036)^M4010</f>
        <v>-26345.502698929216</v>
      </c>
      <c r="G4040" s="92" t="s">
        <v>926</v>
      </c>
      <c r="H4040" s="91"/>
      <c r="I4040" s="91"/>
      <c r="J4040" s="16">
        <f>SUM(D4032:M4032)-(D4043+D4044)/($D$4036-Inputs!$D$20)/(Inputs!$D$7+$D$4036)^M4010</f>
        <v>-114317.08794717836</v>
      </c>
      <c r="K4040" s="99" t="s">
        <v>110</v>
      </c>
      <c r="L4040" s="91"/>
      <c r="M4040" s="91"/>
    </row>
    <row r="4041" spans="2:13" ht="15" customHeight="1" x14ac:dyDescent="0.2">
      <c r="B4041" s="10" t="s">
        <v>927</v>
      </c>
      <c r="C4041" s="10" t="s">
        <v>928</v>
      </c>
      <c r="D4041" s="16">
        <f>(M4012*(Inputs!$D$7+Inputs!$D$20)*$D$4034*$D$4035-D4043)-MAX((M4012*(Inputs!$D$7+Inputs!$D$20)*$D$4034*$D$4035-D4043),Inputs!$D$6)*Inputs!$D$19-D4044-M4012*Inputs!$D$20*$D$4034*Inputs!$D$23</f>
        <v>6213.9260221774557</v>
      </c>
      <c r="G4041" s="99" t="s">
        <v>929</v>
      </c>
      <c r="H4041" s="91"/>
      <c r="I4041" s="91"/>
      <c r="J4041" s="28">
        <f>(D4033-D4046)/D4045</f>
        <v>37.280446691905404</v>
      </c>
      <c r="K4041" s="99" t="s">
        <v>919</v>
      </c>
      <c r="L4041" s="91"/>
      <c r="M4041" s="91"/>
    </row>
    <row r="4042" spans="2:13" ht="15" customHeight="1" x14ac:dyDescent="0.2">
      <c r="B4042" s="10" t="s">
        <v>930</v>
      </c>
      <c r="C4042" s="10" t="s">
        <v>110</v>
      </c>
      <c r="D4042" s="16">
        <f>D4041/($D$4036-Inputs!$D$20)</f>
        <v>54034.139323282216</v>
      </c>
      <c r="G4042" s="99" t="s">
        <v>931</v>
      </c>
      <c r="H4042" s="91"/>
      <c r="I4042" s="91"/>
      <c r="J4042" s="16">
        <f>MIN(D4026:M4026,(M4012*(Inputs!$D$7+Inputs!$D$20)*$D$4034*$D$4035-D4043))</f>
        <v>1460.387354902339</v>
      </c>
      <c r="K4042" s="99" t="s">
        <v>110</v>
      </c>
      <c r="L4042" s="91"/>
      <c r="M4042" s="91"/>
    </row>
    <row r="4043" spans="2:13" ht="15" customHeight="1" x14ac:dyDescent="0.2">
      <c r="B4043" s="10" t="s">
        <v>932</v>
      </c>
      <c r="C4043" s="10" t="s">
        <v>928</v>
      </c>
      <c r="D4043" s="16">
        <f>M4012*(Inputs!$D$7+Inputs!$D$20)*($D$4037/Inputs!$D$21+$D$4038/Inputs!$D$22)</f>
        <v>13509.71303671543</v>
      </c>
      <c r="G4043" s="99" t="s">
        <v>933</v>
      </c>
      <c r="H4043" s="91"/>
      <c r="I4043" s="91"/>
      <c r="J4043" s="31" t="str">
        <f>IF(J4042&lt;Inputs!$D$6,"breached","satisfied")</f>
        <v>satisfied</v>
      </c>
      <c r="K4043" s="99" t="s">
        <v>934</v>
      </c>
      <c r="L4043" s="91"/>
      <c r="M4043" s="91"/>
    </row>
    <row r="4044" spans="2:13" ht="15" customHeight="1" x14ac:dyDescent="0.2">
      <c r="B4044" s="10" t="s">
        <v>935</v>
      </c>
      <c r="C4044" s="10" t="s">
        <v>928</v>
      </c>
      <c r="D4044" s="16">
        <f>M4012*Inputs!$D$20*($D$4037+$D$4038)</f>
        <v>1365.7073615561799</v>
      </c>
    </row>
    <row r="4045" spans="2:13" ht="15" customHeight="1" x14ac:dyDescent="0.2">
      <c r="B4045" s="10" t="s">
        <v>936</v>
      </c>
      <c r="C4045" s="10" t="s">
        <v>896</v>
      </c>
      <c r="D4045" s="28">
        <f>SUM(D4022:M4022)+D4039</f>
        <v>2947.681242949282</v>
      </c>
      <c r="G4045" s="99" t="s">
        <v>937</v>
      </c>
      <c r="H4045" s="91"/>
      <c r="I4045" s="91"/>
      <c r="J4045" s="16">
        <f>D4047-D4033</f>
        <v>0</v>
      </c>
      <c r="K4045" s="99" t="s">
        <v>110</v>
      </c>
      <c r="L4045" s="91"/>
      <c r="M4045" s="91"/>
    </row>
    <row r="4046" spans="2:13" ht="15" customHeight="1" x14ac:dyDescent="0.2">
      <c r="B4046" s="10" t="s">
        <v>938</v>
      </c>
      <c r="C4046" s="10" t="s">
        <v>110</v>
      </c>
      <c r="D4046" s="16">
        <f>SUM(D4023:M4023)+D4040</f>
        <v>-88040.873442500175</v>
      </c>
    </row>
    <row r="4047" spans="2:13" ht="15" customHeight="1" x14ac:dyDescent="0.2">
      <c r="B4047" s="10" t="s">
        <v>939</v>
      </c>
      <c r="C4047" s="10" t="s">
        <v>110</v>
      </c>
      <c r="D4047" s="16">
        <f>SUM(D4030:M4030)+D4042/(Inputs!$D$7+$D$4036)^M4010</f>
        <v>21850.000000000007</v>
      </c>
    </row>
    <row r="4048" spans="2:13" ht="15" customHeight="1" x14ac:dyDescent="0.2">
      <c r="B4048" s="10" t="s">
        <v>940</v>
      </c>
      <c r="C4048" s="10" t="s">
        <v>104</v>
      </c>
      <c r="D4048" s="30">
        <f>IF(ABS(D4033)&gt;Inputs!$D$6,D4047/D4033-Inputs!$D$7,Inputs!$D$6)</f>
        <v>2.2204460492503131E-16</v>
      </c>
    </row>
    <row r="4049" spans="1:13" ht="15" customHeight="1" x14ac:dyDescent="0.2">
      <c r="B4049" s="10" t="s">
        <v>941</v>
      </c>
      <c r="C4049" s="10" t="s">
        <v>104</v>
      </c>
      <c r="D4049" s="30">
        <f>IF(ABS(D4047)&gt;Inputs!$D$119,D4042/(Inputs!$D$7+$D$4036)^M4010/D4047,Inputs!$D$6)</f>
        <v>0.69229831129766628</v>
      </c>
    </row>
    <row r="4050" spans="1:13" ht="15" customHeight="1" x14ac:dyDescent="0.2">
      <c r="B4050" s="10" t="s">
        <v>942</v>
      </c>
      <c r="C4050" s="10" t="s">
        <v>943</v>
      </c>
      <c r="D4050" s="26">
        <f>$D$4034*Inputs!$D$8/Prices!$P$6/(Inputs!$D$26/Inputs!$D$25)/Inputs!$D$11/Inputs!$D$56</f>
        <v>6.779562471112472</v>
      </c>
    </row>
    <row r="4054" spans="1:13" ht="15" customHeight="1" x14ac:dyDescent="0.2">
      <c r="A4054" s="104" t="s">
        <v>2253</v>
      </c>
      <c r="B4054" s="10" t="s">
        <v>886</v>
      </c>
      <c r="C4054" s="10" t="s">
        <v>107</v>
      </c>
      <c r="D4054" s="28">
        <f>Inputs!$D$60</f>
        <v>1</v>
      </c>
      <c r="E4054" s="28">
        <f>Inputs!$D$62</f>
        <v>2</v>
      </c>
      <c r="F4054" s="28">
        <f>Inputs!$D$64</f>
        <v>3</v>
      </c>
      <c r="G4054" s="28">
        <f>Inputs!$D$66</f>
        <v>4</v>
      </c>
      <c r="H4054" s="28">
        <f>Inputs!$D$68</f>
        <v>5</v>
      </c>
      <c r="I4054" s="28">
        <f>Inputs!$D$70</f>
        <v>6</v>
      </c>
      <c r="J4054" s="28">
        <f>Inputs!$D$72</f>
        <v>7</v>
      </c>
      <c r="K4054" s="28">
        <f>Inputs!$D$74</f>
        <v>8</v>
      </c>
      <c r="L4054" s="28">
        <f>Inputs!$D$76</f>
        <v>9</v>
      </c>
      <c r="M4054" s="28">
        <f>Inputs!$D$78</f>
        <v>10</v>
      </c>
    </row>
    <row r="4055" spans="1:13" ht="15" customHeight="1" x14ac:dyDescent="0.2">
      <c r="A4055" s="91"/>
      <c r="B4055" s="10" t="s">
        <v>887</v>
      </c>
      <c r="C4055" s="10" t="s">
        <v>161</v>
      </c>
      <c r="D4055" s="29">
        <f>Inputs!$D$61</f>
        <v>46568</v>
      </c>
      <c r="E4055" s="29">
        <f>Inputs!$D$63</f>
        <v>46934</v>
      </c>
      <c r="F4055" s="29">
        <f>Inputs!$D$65</f>
        <v>47299</v>
      </c>
      <c r="G4055" s="29">
        <f>Inputs!$D$67</f>
        <v>47664</v>
      </c>
      <c r="H4055" s="29">
        <f>Inputs!$D$69</f>
        <v>48029</v>
      </c>
      <c r="I4055" s="29">
        <f>Inputs!$D$71</f>
        <v>48395</v>
      </c>
      <c r="J4055" s="29">
        <f>Inputs!$D$73</f>
        <v>48760</v>
      </c>
      <c r="K4055" s="29">
        <f>Inputs!$D$75</f>
        <v>49125</v>
      </c>
      <c r="L4055" s="29">
        <f>Inputs!$D$77</f>
        <v>49490</v>
      </c>
      <c r="M4055" s="29">
        <f>Inputs!$D$79</f>
        <v>49856</v>
      </c>
    </row>
    <row r="4056" spans="1:13" ht="15" customHeight="1" x14ac:dyDescent="0.2">
      <c r="A4056" s="91"/>
      <c r="B4056" s="10" t="s">
        <v>888</v>
      </c>
      <c r="C4056" s="10" t="s">
        <v>107</v>
      </c>
      <c r="D4056" s="28">
        <f>(D4055-Inputs!$D$13)/Inputs!$D$10</f>
        <v>0.71457905544147848</v>
      </c>
      <c r="E4056" s="28">
        <f>(E4055-Inputs!$D$13)/Inputs!$D$10</f>
        <v>1.7166324435318274</v>
      </c>
      <c r="F4056" s="28">
        <f>(F4055-Inputs!$D$13)/Inputs!$D$10</f>
        <v>2.7159479808350446</v>
      </c>
      <c r="G4056" s="28">
        <f>(G4055-Inputs!$D$13)/Inputs!$D$10</f>
        <v>3.7152635181382614</v>
      </c>
      <c r="H4056" s="28">
        <f>(H4055-Inputs!$D$13)/Inputs!$D$10</f>
        <v>4.7145790554414786</v>
      </c>
      <c r="I4056" s="28">
        <f>(I4055-Inputs!$D$13)/Inputs!$D$10</f>
        <v>5.7166324435318279</v>
      </c>
      <c r="J4056" s="28">
        <f>(J4055-Inputs!$D$13)/Inputs!$D$10</f>
        <v>6.7159479808350442</v>
      </c>
      <c r="K4056" s="28">
        <f>(K4055-Inputs!$D$13)/Inputs!$D$10</f>
        <v>7.7152635181382614</v>
      </c>
      <c r="L4056" s="28">
        <f>(L4055-Inputs!$D$13)/Inputs!$D$10</f>
        <v>8.7145790554414777</v>
      </c>
      <c r="M4056" s="28">
        <f>(M4055-Inputs!$D$13)/Inputs!$D$10</f>
        <v>9.716632443531827</v>
      </c>
    </row>
    <row r="4057" spans="1:13" ht="15" customHeight="1" x14ac:dyDescent="0.2">
      <c r="A4057" s="91"/>
      <c r="B4057" s="10" t="s">
        <v>889</v>
      </c>
      <c r="C4057" s="10" t="s">
        <v>107</v>
      </c>
      <c r="D4057" s="28">
        <f>D4056</f>
        <v>0.71457905544147848</v>
      </c>
      <c r="E4057" s="28">
        <f>Inputs!$D$7</f>
        <v>1</v>
      </c>
      <c r="F4057" s="28">
        <f>Inputs!$D$7</f>
        <v>1</v>
      </c>
      <c r="G4057" s="28">
        <f>Inputs!$D$7</f>
        <v>1</v>
      </c>
      <c r="H4057" s="28">
        <f>Inputs!$D$7</f>
        <v>1</v>
      </c>
      <c r="I4057" s="28">
        <f>Inputs!$D$7</f>
        <v>1</v>
      </c>
      <c r="J4057" s="28">
        <f>Inputs!$D$7</f>
        <v>1</v>
      </c>
      <c r="K4057" s="28">
        <f>Inputs!$D$7</f>
        <v>1</v>
      </c>
      <c r="L4057" s="28">
        <f>Inputs!$D$7</f>
        <v>1</v>
      </c>
      <c r="M4057" s="28">
        <f>Inputs!$D$7</f>
        <v>1</v>
      </c>
    </row>
    <row r="4058" spans="1:13" ht="15" customHeight="1" x14ac:dyDescent="0.2">
      <c r="A4058" s="91"/>
      <c r="B4058" s="3" t="s">
        <v>890</v>
      </c>
      <c r="C4058" s="10" t="s">
        <v>199</v>
      </c>
      <c r="D4058" s="28">
        <f>Inputs!$D$24+(Inputs!$D$80-Inputs!$D$24)*Inputs!$D$83</f>
        <v>305.5</v>
      </c>
      <c r="E4058" s="28">
        <f>Inputs!$D$24+(Inputs!$D$80-Inputs!$D$24)*Inputs!$D$84</f>
        <v>651.5</v>
      </c>
      <c r="F4058" s="28">
        <f>Inputs!$D$24+(Inputs!$D$80-Inputs!$D$24)*Inputs!$D$85</f>
        <v>911</v>
      </c>
      <c r="G4058" s="28">
        <f>Inputs!$D$24+(Inputs!$D$80-Inputs!$D$24)*Inputs!$D$86</f>
        <v>911</v>
      </c>
      <c r="H4058" s="28">
        <f>Inputs!$D$24+(Inputs!$D$80-Inputs!$D$24)*Inputs!$D$87</f>
        <v>911</v>
      </c>
      <c r="I4058" s="28">
        <f>Inputs!$D$24+(Inputs!$D$80-Inputs!$D$24)*Inputs!$D$88</f>
        <v>911</v>
      </c>
      <c r="J4058" s="28">
        <f>Inputs!$D$24+(Inputs!$D$80-Inputs!$D$24)*Inputs!$D$89</f>
        <v>911</v>
      </c>
      <c r="K4058" s="28">
        <f>Inputs!$D$24+(Inputs!$D$80-Inputs!$D$24)*Inputs!$D$90</f>
        <v>911</v>
      </c>
      <c r="L4058" s="28">
        <f>Inputs!$D$24+(Inputs!$D$80-Inputs!$D$24)*Inputs!$D$91</f>
        <v>911</v>
      </c>
      <c r="M4058" s="28">
        <f>Inputs!$D$24+(Inputs!$D$80-Inputs!$D$24)*Inputs!$D$92</f>
        <v>911</v>
      </c>
    </row>
    <row r="4059" spans="1:13" ht="15" customHeight="1" x14ac:dyDescent="0.2">
      <c r="A4059" s="91"/>
      <c r="B4059" s="10" t="s">
        <v>891</v>
      </c>
      <c r="C4059" s="10" t="s">
        <v>199</v>
      </c>
      <c r="D4059" s="28">
        <f>Inputs!$D$24</f>
        <v>46</v>
      </c>
      <c r="E4059" s="28">
        <f t="shared" ref="E4059:M4059" si="880">D4058</f>
        <v>305.5</v>
      </c>
      <c r="F4059" s="28">
        <f t="shared" si="880"/>
        <v>651.5</v>
      </c>
      <c r="G4059" s="28">
        <f t="shared" si="880"/>
        <v>911</v>
      </c>
      <c r="H4059" s="28">
        <f t="shared" si="880"/>
        <v>911</v>
      </c>
      <c r="I4059" s="28">
        <f t="shared" si="880"/>
        <v>911</v>
      </c>
      <c r="J4059" s="28">
        <f t="shared" si="880"/>
        <v>911</v>
      </c>
      <c r="K4059" s="28">
        <f t="shared" si="880"/>
        <v>911</v>
      </c>
      <c r="L4059" s="28">
        <f t="shared" si="880"/>
        <v>911</v>
      </c>
      <c r="M4059" s="28">
        <f t="shared" si="880"/>
        <v>911</v>
      </c>
    </row>
    <row r="4060" spans="1:13" ht="15" customHeight="1" x14ac:dyDescent="0.2">
      <c r="B4060" s="10" t="s">
        <v>892</v>
      </c>
      <c r="C4060" s="10" t="s">
        <v>199</v>
      </c>
      <c r="D4060" s="28">
        <f>(D4059+D4058)*Inputs!$D$12</f>
        <v>175.75</v>
      </c>
      <c r="E4060" s="28">
        <f>(E4059+E4058)*Inputs!$D$12</f>
        <v>478.5</v>
      </c>
      <c r="F4060" s="28">
        <f>(F4059+F4058)*Inputs!$D$12</f>
        <v>781.25</v>
      </c>
      <c r="G4060" s="28">
        <f>(G4059+G4058)*Inputs!$D$12</f>
        <v>911</v>
      </c>
      <c r="H4060" s="28">
        <f>(H4059+H4058)*Inputs!$D$12</f>
        <v>911</v>
      </c>
      <c r="I4060" s="28">
        <f>(I4059+I4058)*Inputs!$D$12</f>
        <v>911</v>
      </c>
      <c r="J4060" s="28">
        <f>(J4059+J4058)*Inputs!$D$12</f>
        <v>911</v>
      </c>
      <c r="K4060" s="28">
        <f>(K4059+K4058)*Inputs!$D$12</f>
        <v>911</v>
      </c>
      <c r="L4060" s="28">
        <f>(L4059+L4058)*Inputs!$D$12</f>
        <v>911</v>
      </c>
      <c r="M4060" s="28">
        <f>(M4059+M4058)*Inputs!$D$12</f>
        <v>911</v>
      </c>
    </row>
    <row r="4061" spans="1:13" ht="15" customHeight="1" x14ac:dyDescent="0.2">
      <c r="B4061" s="10" t="s">
        <v>893</v>
      </c>
      <c r="C4061" s="10" t="s">
        <v>199</v>
      </c>
      <c r="D4061" s="28">
        <f t="shared" ref="D4061:M4061" si="881">D4058-D4059</f>
        <v>259.5</v>
      </c>
      <c r="E4061" s="28">
        <f t="shared" si="881"/>
        <v>346</v>
      </c>
      <c r="F4061" s="28">
        <f t="shared" si="881"/>
        <v>259.5</v>
      </c>
      <c r="G4061" s="28">
        <f t="shared" si="881"/>
        <v>0</v>
      </c>
      <c r="H4061" s="28">
        <f t="shared" si="881"/>
        <v>0</v>
      </c>
      <c r="I4061" s="28">
        <f t="shared" si="881"/>
        <v>0</v>
      </c>
      <c r="J4061" s="28">
        <f t="shared" si="881"/>
        <v>0</v>
      </c>
      <c r="K4061" s="28">
        <f t="shared" si="881"/>
        <v>0</v>
      </c>
      <c r="L4061" s="28">
        <f t="shared" si="881"/>
        <v>0</v>
      </c>
      <c r="M4061" s="28">
        <f t="shared" si="881"/>
        <v>0</v>
      </c>
    </row>
    <row r="4062" spans="1:13" ht="15" customHeight="1" x14ac:dyDescent="0.2">
      <c r="B4062" s="10" t="s">
        <v>894</v>
      </c>
      <c r="C4062" s="10" t="s">
        <v>199</v>
      </c>
      <c r="D4062" s="28">
        <f>IF(MOD(D4054,Inputs!$D$21)=Inputs!$D$6,Inputs!$D$24,Inputs!$D$6)+SUMPRODUCT(--(D4054&gt;$D$4054:$M$4054),--(MOD(D4054-$D$4054:$M$4054,Inputs!$D$21)=Inputs!$D$6),$D$4061:$M$4061)</f>
        <v>0</v>
      </c>
      <c r="E4062" s="28">
        <f>IF(MOD(E4054,Inputs!$D$21)=Inputs!$D$6,Inputs!$D$24,Inputs!$D$6)+SUMPRODUCT(--(E4054&gt;$D$4054:$M$4054),--(MOD(E4054-$D$4054:$M$4054,Inputs!$D$21)=Inputs!$D$6),$D$4061:$M$4061)</f>
        <v>0</v>
      </c>
      <c r="F4062" s="28">
        <f>IF(MOD(F4054,Inputs!$D$21)=Inputs!$D$6,Inputs!$D$24,Inputs!$D$6)+SUMPRODUCT(--(F4054&gt;$D$4054:$M$4054),--(MOD(F4054-$D$4054:$M$4054,Inputs!$D$21)=Inputs!$D$6),$D$4061:$M$4061)</f>
        <v>0</v>
      </c>
      <c r="G4062" s="28">
        <f>IF(MOD(G4054,Inputs!$D$21)=Inputs!$D$6,Inputs!$D$24,Inputs!$D$6)+SUMPRODUCT(--(G4054&gt;$D$4054:$M$4054),--(MOD(G4054-$D$4054:$M$4054,Inputs!$D$21)=Inputs!$D$6),$D$4061:$M$4061)</f>
        <v>46</v>
      </c>
      <c r="H4062" s="28">
        <f>IF(MOD(H4054,Inputs!$D$21)=Inputs!$D$6,Inputs!$D$24,Inputs!$D$6)+SUMPRODUCT(--(H4054&gt;$D$4054:$M$4054),--(MOD(H4054-$D$4054:$M$4054,Inputs!$D$21)=Inputs!$D$6),$D$4061:$M$4061)</f>
        <v>259.5</v>
      </c>
      <c r="I4062" s="28">
        <f>IF(MOD(I4054,Inputs!$D$21)=Inputs!$D$6,Inputs!$D$24,Inputs!$D$6)+SUMPRODUCT(--(I4054&gt;$D$4054:$M$4054),--(MOD(I4054-$D$4054:$M$4054,Inputs!$D$21)=Inputs!$D$6),$D$4061:$M$4061)</f>
        <v>346</v>
      </c>
      <c r="J4062" s="28">
        <f>IF(MOD(J4054,Inputs!$D$21)=Inputs!$D$6,Inputs!$D$24,Inputs!$D$6)+SUMPRODUCT(--(J4054&gt;$D$4054:$M$4054),--(MOD(J4054-$D$4054:$M$4054,Inputs!$D$21)=Inputs!$D$6),$D$4061:$M$4061)</f>
        <v>259.5</v>
      </c>
      <c r="K4062" s="28">
        <f>IF(MOD(K4054,Inputs!$D$21)=Inputs!$D$6,Inputs!$D$24,Inputs!$D$6)+SUMPRODUCT(--(K4054&gt;$D$4054:$M$4054),--(MOD(K4054-$D$4054:$M$4054,Inputs!$D$21)=Inputs!$D$6),$D$4061:$M$4061)</f>
        <v>46</v>
      </c>
      <c r="L4062" s="28">
        <f>IF(MOD(L4054,Inputs!$D$21)=Inputs!$D$6,Inputs!$D$24,Inputs!$D$6)+SUMPRODUCT(--(L4054&gt;$D$4054:$M$4054),--(MOD(L4054-$D$4054:$M$4054,Inputs!$D$21)=Inputs!$D$6),$D$4061:$M$4061)</f>
        <v>259.5</v>
      </c>
      <c r="M4062" s="28">
        <f>IF(MOD(M4054,Inputs!$D$21)=Inputs!$D$6,Inputs!$D$24,Inputs!$D$6)+SUMPRODUCT(--(M4054&gt;$D$4054:$M$4054),--(MOD(M4054-$D$4054:$M$4054,Inputs!$D$21)=Inputs!$D$6),$D$4061:$M$4061)</f>
        <v>346</v>
      </c>
    </row>
    <row r="4063" spans="1:13" ht="15" customHeight="1" x14ac:dyDescent="0.2">
      <c r="B4063" s="10" t="s">
        <v>895</v>
      </c>
      <c r="C4063" s="10" t="s">
        <v>896</v>
      </c>
      <c r="D4063" s="28">
        <f t="shared" ref="D4063:M4063" si="882">D4060*D4057</f>
        <v>125.58726899383984</v>
      </c>
      <c r="E4063" s="28">
        <f t="shared" si="882"/>
        <v>478.5</v>
      </c>
      <c r="F4063" s="28">
        <f t="shared" si="882"/>
        <v>781.25</v>
      </c>
      <c r="G4063" s="28">
        <f t="shared" si="882"/>
        <v>911</v>
      </c>
      <c r="H4063" s="28">
        <f t="shared" si="882"/>
        <v>911</v>
      </c>
      <c r="I4063" s="28">
        <f t="shared" si="882"/>
        <v>911</v>
      </c>
      <c r="J4063" s="28">
        <f t="shared" si="882"/>
        <v>911</v>
      </c>
      <c r="K4063" s="28">
        <f t="shared" si="882"/>
        <v>911</v>
      </c>
      <c r="L4063" s="28">
        <f t="shared" si="882"/>
        <v>911</v>
      </c>
      <c r="M4063" s="28">
        <f t="shared" si="882"/>
        <v>911</v>
      </c>
    </row>
    <row r="4064" spans="1:13" ht="15" customHeight="1" x14ac:dyDescent="0.2">
      <c r="B4064" s="10" t="s">
        <v>897</v>
      </c>
      <c r="C4064" s="10" t="s">
        <v>110</v>
      </c>
      <c r="D4064" s="16">
        <f>D4063*($D$4083/Inputs!$D$21+$D$4084/Inputs!$D$22)</f>
        <v>1816.9772859324419</v>
      </c>
      <c r="E4064" s="16">
        <f>E4063*($D$4083/Inputs!$D$21+$D$4084/Inputs!$D$22)</f>
        <v>6922.8643817497086</v>
      </c>
      <c r="F4064" s="16">
        <f>F4063*($D$4083/Inputs!$D$21+$D$4084/Inputs!$D$22)</f>
        <v>11303.0048030135</v>
      </c>
      <c r="G4064" s="16">
        <f>G4063*($D$4083/Inputs!$D$21+$D$4084/Inputs!$D$22)</f>
        <v>13180.207840697982</v>
      </c>
      <c r="H4064" s="16">
        <f>H4063*($D$4083/Inputs!$D$21+$D$4084/Inputs!$D$22)</f>
        <v>13180.207840697982</v>
      </c>
      <c r="I4064" s="16">
        <f>I4063*($D$4083/Inputs!$D$21+$D$4084/Inputs!$D$22)</f>
        <v>13180.207840697982</v>
      </c>
      <c r="J4064" s="16">
        <f>J4063*($D$4083/Inputs!$D$21+$D$4084/Inputs!$D$22)</f>
        <v>13180.207840697982</v>
      </c>
      <c r="K4064" s="16">
        <f>K4063*($D$4083/Inputs!$D$21+$D$4084/Inputs!$D$22)</f>
        <v>13180.207840697982</v>
      </c>
      <c r="L4064" s="16">
        <f>L4063*($D$4083/Inputs!$D$21+$D$4084/Inputs!$D$22)</f>
        <v>13180.207840697982</v>
      </c>
      <c r="M4064" s="16">
        <f>M4063*($D$4083/Inputs!$D$21+$D$4084/Inputs!$D$22)</f>
        <v>13180.207840697982</v>
      </c>
    </row>
    <row r="4065" spans="2:13" ht="15" customHeight="1" x14ac:dyDescent="0.2">
      <c r="B4065" s="10" t="s">
        <v>898</v>
      </c>
      <c r="C4065" s="10" t="s">
        <v>110</v>
      </c>
      <c r="D4065" s="16">
        <f t="shared" ref="D4065:M4065" si="883">D4061*($D$4083+$D$4084)</f>
        <v>15560.968620146154</v>
      </c>
      <c r="E4065" s="16">
        <f t="shared" si="883"/>
        <v>20747.95816019487</v>
      </c>
      <c r="F4065" s="16">
        <f t="shared" si="883"/>
        <v>15560.968620146154</v>
      </c>
      <c r="G4065" s="16">
        <f t="shared" si="883"/>
        <v>0</v>
      </c>
      <c r="H4065" s="16">
        <f t="shared" si="883"/>
        <v>0</v>
      </c>
      <c r="I4065" s="16">
        <f t="shared" si="883"/>
        <v>0</v>
      </c>
      <c r="J4065" s="16">
        <f t="shared" si="883"/>
        <v>0</v>
      </c>
      <c r="K4065" s="16">
        <f t="shared" si="883"/>
        <v>0</v>
      </c>
      <c r="L4065" s="16">
        <f t="shared" si="883"/>
        <v>0</v>
      </c>
      <c r="M4065" s="16">
        <f t="shared" si="883"/>
        <v>0</v>
      </c>
    </row>
    <row r="4066" spans="2:13" ht="15" customHeight="1" x14ac:dyDescent="0.2">
      <c r="B4066" s="10" t="s">
        <v>899</v>
      </c>
      <c r="C4066" s="10" t="s">
        <v>110</v>
      </c>
      <c r="D4066" s="16">
        <f t="shared" ref="D4066:M4066" si="884">D4062*$D$4083</f>
        <v>0</v>
      </c>
      <c r="E4066" s="16">
        <f t="shared" si="884"/>
        <v>0</v>
      </c>
      <c r="F4066" s="16">
        <f t="shared" si="884"/>
        <v>0</v>
      </c>
      <c r="G4066" s="16">
        <f t="shared" si="884"/>
        <v>2638.0048485671714</v>
      </c>
      <c r="H4066" s="16">
        <f t="shared" si="884"/>
        <v>14881.788221808281</v>
      </c>
      <c r="I4066" s="16">
        <f t="shared" si="884"/>
        <v>19842.384295744378</v>
      </c>
      <c r="J4066" s="16">
        <f t="shared" si="884"/>
        <v>14881.788221808281</v>
      </c>
      <c r="K4066" s="16">
        <f t="shared" si="884"/>
        <v>2638.0048485671714</v>
      </c>
      <c r="L4066" s="16">
        <f t="shared" si="884"/>
        <v>14881.788221808281</v>
      </c>
      <c r="M4066" s="16">
        <f t="shared" si="884"/>
        <v>19842.384295744378</v>
      </c>
    </row>
    <row r="4067" spans="2:13" ht="15" customHeight="1" x14ac:dyDescent="0.2">
      <c r="B4067" s="10" t="s">
        <v>900</v>
      </c>
      <c r="C4067" s="10" t="s">
        <v>199</v>
      </c>
      <c r="D4067" s="28">
        <f>D4061*Inputs!$D$23</f>
        <v>6.4875000000000007</v>
      </c>
      <c r="E4067" s="28">
        <f>E4061*Inputs!$D$23</f>
        <v>8.65</v>
      </c>
      <c r="F4067" s="28">
        <f>F4061*Inputs!$D$23</f>
        <v>6.4875000000000007</v>
      </c>
      <c r="G4067" s="28">
        <f>G4061*Inputs!$D$23</f>
        <v>0</v>
      </c>
      <c r="H4067" s="28">
        <f>H4061*Inputs!$D$23</f>
        <v>0</v>
      </c>
      <c r="I4067" s="28">
        <f>I4061*Inputs!$D$23</f>
        <v>0</v>
      </c>
      <c r="J4067" s="28">
        <f>J4061*Inputs!$D$23</f>
        <v>0</v>
      </c>
      <c r="K4067" s="28">
        <f>K4061*Inputs!$D$23</f>
        <v>0</v>
      </c>
      <c r="L4067" s="28">
        <f>L4061*Inputs!$D$23</f>
        <v>0</v>
      </c>
      <c r="M4067" s="28">
        <f>M4061*Inputs!$D$23</f>
        <v>0</v>
      </c>
    </row>
    <row r="4068" spans="2:13" ht="15" customHeight="1" x14ac:dyDescent="0.2">
      <c r="B4068" s="3" t="s">
        <v>901</v>
      </c>
      <c r="C4068" s="10" t="s">
        <v>896</v>
      </c>
      <c r="D4068" s="28">
        <f>(D4063*$D$4081*(Inputs!$D$7-Inputs!$D$19)-D4067)/(Inputs!$D$7+$D$4082)^D4056</f>
        <v>60.425226480059429</v>
      </c>
      <c r="E4068" s="28">
        <f>(E4063*$D$4081*(Inputs!$D$7-Inputs!$D$19)-E4067)/(Inputs!$D$7+$D$4082)^E4056</f>
        <v>227.21811997251743</v>
      </c>
      <c r="F4068" s="28">
        <f>(F4063*$D$4081*(Inputs!$D$7-Inputs!$D$19)-F4067)/(Inputs!$D$7+$D$4082)^F4056</f>
        <v>349.7137307705558</v>
      </c>
      <c r="G4068" s="28">
        <f>(G4063*$D$4081*(Inputs!$D$7-Inputs!$D$19)-G4067)/(Inputs!$D$7+$D$4082)^G4056</f>
        <v>383.29075536375893</v>
      </c>
      <c r="H4068" s="28">
        <f>(H4063*$D$4081*(Inputs!$D$7-Inputs!$D$19)-H4067)/(Inputs!$D$7+$D$4082)^H4056</f>
        <v>354.91754304446511</v>
      </c>
      <c r="I4068" s="28">
        <f>(I4063*$D$4081*(Inputs!$D$7-Inputs!$D$19)-I4067)/(Inputs!$D$7+$D$4082)^I4056</f>
        <v>328.5754255023262</v>
      </c>
      <c r="J4068" s="28">
        <f>(J4063*$D$4081*(Inputs!$D$7-Inputs!$D$19)-J4067)/(Inputs!$D$7+$D$4082)^J4056</f>
        <v>304.25253177160698</v>
      </c>
      <c r="K4068" s="28">
        <f>(K4063*$D$4081*(Inputs!$D$7-Inputs!$D$19)-K4067)/(Inputs!$D$7+$D$4082)^K4056</f>
        <v>281.73014749326506</v>
      </c>
      <c r="L4068" s="28">
        <f>(L4063*$D$4081*(Inputs!$D$7-Inputs!$D$19)-L4067)/(Inputs!$D$7+$D$4082)^L4056</f>
        <v>260.87498941885201</v>
      </c>
      <c r="M4068" s="28">
        <f>(M4063*$D$4081*(Inputs!$D$7-Inputs!$D$19)-M4067)/(Inputs!$D$7+$D$4082)^M4056</f>
        <v>241.51274663950682</v>
      </c>
    </row>
    <row r="4069" spans="2:13" ht="15" customHeight="1" x14ac:dyDescent="0.2">
      <c r="B4069" s="10" t="s">
        <v>902</v>
      </c>
      <c r="C4069" s="10" t="s">
        <v>110</v>
      </c>
      <c r="D4069" s="16">
        <f>(D4064*Inputs!$D$19-D4065-D4066)/(Inputs!$D$7+$D$4082)^D4056</f>
        <v>-14212.377724210151</v>
      </c>
      <c r="E4069" s="16">
        <f>(E4064*Inputs!$D$19-E4065-E4066)/(Inputs!$D$7+$D$4082)^E4056</f>
        <v>-16360.387094728963</v>
      </c>
      <c r="F4069" s="16">
        <f>(F4064*Inputs!$D$19-F4065-F4066)/(Inputs!$D$7+$D$4082)^F4056</f>
        <v>-9874.5154652847668</v>
      </c>
      <c r="G4069" s="16">
        <f>(G4064*Inputs!$D$19-G4065-G4066)/(Inputs!$D$7+$D$4082)^G4056</f>
        <v>988.77347238742834</v>
      </c>
      <c r="H4069" s="16">
        <f>(H4064*Inputs!$D$19-H4065-H4066)/(Inputs!$D$7+$D$4082)^H4056</f>
        <v>-7602.4024163036647</v>
      </c>
      <c r="I4069" s="16">
        <f>(I4064*Inputs!$D$19-I4065-I4066)/(Inputs!$D$7+$D$4082)^I4056</f>
        <v>-10233.087939303265</v>
      </c>
      <c r="J4069" s="16">
        <f>(J4064*Inputs!$D$19-J4065-J4066)/(Inputs!$D$7+$D$4082)^J4056</f>
        <v>-6517.1480757635773</v>
      </c>
      <c r="K4069" s="16">
        <f>(K4064*Inputs!$D$19-K4065-K4066)/(Inputs!$D$7+$D$4082)^K4056</f>
        <v>726.77801985796941</v>
      </c>
      <c r="L4069" s="16">
        <f>(L4064*Inputs!$D$19-L4065-L4066)/(Inputs!$D$7+$D$4082)^L4056</f>
        <v>-5587.9927289550824</v>
      </c>
      <c r="M4069" s="16">
        <f>(M4064*Inputs!$D$19-M4065-M4066)/(Inputs!$D$7+$D$4082)^M4056</f>
        <v>-7521.6251216792398</v>
      </c>
    </row>
    <row r="4070" spans="2:13" ht="15" customHeight="1" x14ac:dyDescent="0.2">
      <c r="B4070" s="10" t="s">
        <v>903</v>
      </c>
      <c r="C4070" s="10" t="s">
        <v>110</v>
      </c>
      <c r="D4070" s="16">
        <f t="shared" ref="D4070:M4070" si="885">D4063*$D$4080</f>
        <v>3294.4861477165691</v>
      </c>
      <c r="E4070" s="16">
        <f t="shared" si="885"/>
        <v>12552.320265517539</v>
      </c>
      <c r="F4070" s="16">
        <f t="shared" si="885"/>
        <v>20494.253307075396</v>
      </c>
      <c r="G4070" s="16">
        <f t="shared" si="885"/>
        <v>23897.938896314477</v>
      </c>
      <c r="H4070" s="16">
        <f t="shared" si="885"/>
        <v>23897.938896314477</v>
      </c>
      <c r="I4070" s="16">
        <f t="shared" si="885"/>
        <v>23897.938896314477</v>
      </c>
      <c r="J4070" s="16">
        <f t="shared" si="885"/>
        <v>23897.938896314477</v>
      </c>
      <c r="K4070" s="16">
        <f t="shared" si="885"/>
        <v>23897.938896314477</v>
      </c>
      <c r="L4070" s="16">
        <f t="shared" si="885"/>
        <v>23897.938896314477</v>
      </c>
      <c r="M4070" s="16">
        <f t="shared" si="885"/>
        <v>23897.938896314477</v>
      </c>
    </row>
    <row r="4071" spans="2:13" ht="15" customHeight="1" x14ac:dyDescent="0.2">
      <c r="B4071" s="10" t="s">
        <v>904</v>
      </c>
      <c r="C4071" s="10" t="s">
        <v>110</v>
      </c>
      <c r="D4071" s="16">
        <f t="shared" ref="D4071:M4071" si="886">D4070*$D$4081</f>
        <v>2635.5889181732555</v>
      </c>
      <c r="E4071" s="16">
        <f t="shared" si="886"/>
        <v>10041.856212414032</v>
      </c>
      <c r="F4071" s="16">
        <f t="shared" si="886"/>
        <v>16395.402645660317</v>
      </c>
      <c r="G4071" s="16">
        <f t="shared" si="886"/>
        <v>19118.351117051581</v>
      </c>
      <c r="H4071" s="16">
        <f t="shared" si="886"/>
        <v>19118.351117051581</v>
      </c>
      <c r="I4071" s="16">
        <f t="shared" si="886"/>
        <v>19118.351117051581</v>
      </c>
      <c r="J4071" s="16">
        <f t="shared" si="886"/>
        <v>19118.351117051581</v>
      </c>
      <c r="K4071" s="16">
        <f t="shared" si="886"/>
        <v>19118.351117051581</v>
      </c>
      <c r="L4071" s="16">
        <f t="shared" si="886"/>
        <v>19118.351117051581</v>
      </c>
      <c r="M4071" s="16">
        <f t="shared" si="886"/>
        <v>19118.351117051581</v>
      </c>
    </row>
    <row r="4072" spans="2:13" ht="15" customHeight="1" x14ac:dyDescent="0.2">
      <c r="B4072" s="10" t="s">
        <v>905</v>
      </c>
      <c r="C4072" s="10" t="s">
        <v>110</v>
      </c>
      <c r="D4072" s="16">
        <f t="shared" ref="D4072:M4072" si="887">D4071-D4064</f>
        <v>818.61163224081361</v>
      </c>
      <c r="E4072" s="16">
        <f t="shared" si="887"/>
        <v>3118.9918306643231</v>
      </c>
      <c r="F4072" s="16">
        <f t="shared" si="887"/>
        <v>5092.3978426468166</v>
      </c>
      <c r="G4072" s="16">
        <f t="shared" si="887"/>
        <v>5938.1432763535995</v>
      </c>
      <c r="H4072" s="16">
        <f t="shared" si="887"/>
        <v>5938.1432763535995</v>
      </c>
      <c r="I4072" s="16">
        <f t="shared" si="887"/>
        <v>5938.1432763535995</v>
      </c>
      <c r="J4072" s="16">
        <f t="shared" si="887"/>
        <v>5938.1432763535995</v>
      </c>
      <c r="K4072" s="16">
        <f t="shared" si="887"/>
        <v>5938.1432763535995</v>
      </c>
      <c r="L4072" s="16">
        <f t="shared" si="887"/>
        <v>5938.1432763535995</v>
      </c>
      <c r="M4072" s="16">
        <f t="shared" si="887"/>
        <v>5938.1432763535995</v>
      </c>
    </row>
    <row r="4073" spans="2:13" ht="15" customHeight="1" x14ac:dyDescent="0.2">
      <c r="B4073" s="10" t="s">
        <v>906</v>
      </c>
      <c r="C4073" s="10" t="s">
        <v>110</v>
      </c>
      <c r="D4073" s="16">
        <f>MAX(D4072,Inputs!$D$6)*Inputs!$D$19</f>
        <v>245.58348967224407</v>
      </c>
      <c r="E4073" s="16">
        <f>MAX(E4072,Inputs!$D$6)*Inputs!$D$19</f>
        <v>935.69754919929687</v>
      </c>
      <c r="F4073" s="16">
        <f>MAX(F4072,Inputs!$D$6)*Inputs!$D$19</f>
        <v>1527.7193527940449</v>
      </c>
      <c r="G4073" s="16">
        <f>MAX(G4072,Inputs!$D$6)*Inputs!$D$19</f>
        <v>1781.4429829060798</v>
      </c>
      <c r="H4073" s="16">
        <f>MAX(H4072,Inputs!$D$6)*Inputs!$D$19</f>
        <v>1781.4429829060798</v>
      </c>
      <c r="I4073" s="16">
        <f>MAX(I4072,Inputs!$D$6)*Inputs!$D$19</f>
        <v>1781.4429829060798</v>
      </c>
      <c r="J4073" s="16">
        <f>MAX(J4072,Inputs!$D$6)*Inputs!$D$19</f>
        <v>1781.4429829060798</v>
      </c>
      <c r="K4073" s="16">
        <f>MAX(K4072,Inputs!$D$6)*Inputs!$D$19</f>
        <v>1781.4429829060798</v>
      </c>
      <c r="L4073" s="16">
        <f>MAX(L4072,Inputs!$D$6)*Inputs!$D$19</f>
        <v>1781.4429829060798</v>
      </c>
      <c r="M4073" s="16">
        <f>MAX(M4072,Inputs!$D$6)*Inputs!$D$19</f>
        <v>1781.4429829060798</v>
      </c>
    </row>
    <row r="4074" spans="2:13" ht="15" customHeight="1" x14ac:dyDescent="0.2">
      <c r="B4074" s="10" t="s">
        <v>907</v>
      </c>
      <c r="C4074" s="10" t="s">
        <v>110</v>
      </c>
      <c r="D4074" s="16">
        <f t="shared" ref="D4074:M4074" si="888">D4067*$D$4080</f>
        <v>170.18427946195411</v>
      </c>
      <c r="E4074" s="16">
        <f t="shared" si="888"/>
        <v>226.91237261593881</v>
      </c>
      <c r="F4074" s="16">
        <f t="shared" si="888"/>
        <v>170.18427946195411</v>
      </c>
      <c r="G4074" s="16">
        <f t="shared" si="888"/>
        <v>0</v>
      </c>
      <c r="H4074" s="16">
        <f t="shared" si="888"/>
        <v>0</v>
      </c>
      <c r="I4074" s="16">
        <f t="shared" si="888"/>
        <v>0</v>
      </c>
      <c r="J4074" s="16">
        <f t="shared" si="888"/>
        <v>0</v>
      </c>
      <c r="K4074" s="16">
        <f t="shared" si="888"/>
        <v>0</v>
      </c>
      <c r="L4074" s="16">
        <f t="shared" si="888"/>
        <v>0</v>
      </c>
      <c r="M4074" s="16">
        <f t="shared" si="888"/>
        <v>0</v>
      </c>
    </row>
    <row r="4075" spans="2:13" ht="15" customHeight="1" x14ac:dyDescent="0.2">
      <c r="B4075" s="10" t="s">
        <v>908</v>
      </c>
      <c r="C4075" s="10" t="s">
        <v>110</v>
      </c>
      <c r="D4075" s="16">
        <f t="shared" ref="D4075:M4075" si="889">D4071-D4073-D4065-D4066-D4074</f>
        <v>-13341.147471107095</v>
      </c>
      <c r="E4075" s="16">
        <f t="shared" si="889"/>
        <v>-11868.711869596074</v>
      </c>
      <c r="F4075" s="16">
        <f t="shared" si="889"/>
        <v>-863.46960674183617</v>
      </c>
      <c r="G4075" s="16">
        <f t="shared" si="889"/>
        <v>14698.90328557833</v>
      </c>
      <c r="H4075" s="16">
        <f t="shared" si="889"/>
        <v>2455.1199123372207</v>
      </c>
      <c r="I4075" s="16">
        <f t="shared" si="889"/>
        <v>-2505.4761615988755</v>
      </c>
      <c r="J4075" s="16">
        <f t="shared" si="889"/>
        <v>2455.1199123372207</v>
      </c>
      <c r="K4075" s="16">
        <f t="shared" si="889"/>
        <v>14698.90328557833</v>
      </c>
      <c r="L4075" s="16">
        <f t="shared" si="889"/>
        <v>2455.1199123372207</v>
      </c>
      <c r="M4075" s="16">
        <f t="shared" si="889"/>
        <v>-2505.4761615988755</v>
      </c>
    </row>
    <row r="4076" spans="2:13" ht="15" customHeight="1" x14ac:dyDescent="0.2">
      <c r="B4076" s="10" t="s">
        <v>909</v>
      </c>
      <c r="C4076" s="10" t="s">
        <v>110</v>
      </c>
      <c r="D4076" s="16">
        <f>D4075/(Inputs!$D$7+$D$4082)^D4056</f>
        <v>-12627.264255256887</v>
      </c>
      <c r="E4076" s="16">
        <f>E4075/(Inputs!$D$7+$D$4082)^E4056</f>
        <v>-10399.854990185964</v>
      </c>
      <c r="F4076" s="16">
        <f>F4075/(Inputs!$D$7+$D$4082)^F4056</f>
        <v>-700.59958256587038</v>
      </c>
      <c r="G4076" s="16">
        <f>G4075/(Inputs!$D$7+$D$4082)^G4056</f>
        <v>11043.50349566441</v>
      </c>
      <c r="H4076" s="16">
        <f>H4075/(Inputs!$D$7+$D$4082)^H4056</f>
        <v>1708.0232224523068</v>
      </c>
      <c r="I4076" s="16">
        <f>I4075/(Inputs!$D$7+$D$4082)^I4056</f>
        <v>-1613.685698375579</v>
      </c>
      <c r="J4076" s="16">
        <f>J4075/(Inputs!$D$7+$D$4082)^J4056</f>
        <v>1464.2003472077097</v>
      </c>
      <c r="K4076" s="16">
        <f>K4075/(Inputs!$D$7+$D$4082)^K4056</f>
        <v>8117.3047487753274</v>
      </c>
      <c r="L4076" s="16">
        <f>L4075/(Inputs!$D$7+$D$4082)^L4056</f>
        <v>1255.4480577720426</v>
      </c>
      <c r="M4076" s="16">
        <f>M4075/(Inputs!$D$7+$D$4082)^M4056</f>
        <v>-1186.1071613367437</v>
      </c>
    </row>
    <row r="4077" spans="2:13" ht="15" customHeight="1" x14ac:dyDescent="0.2">
      <c r="B4077" s="3" t="s">
        <v>910</v>
      </c>
      <c r="C4077" s="10" t="s">
        <v>896</v>
      </c>
      <c r="D4077" s="28">
        <f>(D4063*$D$4081-D4067)/(Inputs!$D$7+$D$4082)^D4056</f>
        <v>88.953332676903344</v>
      </c>
      <c r="E4077" s="28">
        <f>(E4063*$D$4081-E4067)/(Inputs!$D$7+$D$4082)^E4056</f>
        <v>327.84566575804018</v>
      </c>
      <c r="F4077" s="28">
        <f>(F4063*$D$4081-F4067)/(Inputs!$D$7+$D$4082)^F4056</f>
        <v>501.8469624505633</v>
      </c>
      <c r="G4077" s="28">
        <f>(G4063*$D$4081-G4067)/(Inputs!$D$7+$D$4082)^G4056</f>
        <v>547.55822194822701</v>
      </c>
      <c r="H4077" s="28">
        <f>(H4063*$D$4081-H4067)/(Inputs!$D$7+$D$4082)^H4056</f>
        <v>507.02506149209302</v>
      </c>
      <c r="I4077" s="28">
        <f>(I4063*$D$4081-I4067)/(Inputs!$D$7+$D$4082)^I4056</f>
        <v>469.39346500332312</v>
      </c>
      <c r="J4077" s="28">
        <f>(J4063*$D$4081-J4067)/(Inputs!$D$7+$D$4082)^J4056</f>
        <v>434.64647395943854</v>
      </c>
      <c r="K4077" s="28">
        <f>(K4063*$D$4081-K4067)/(Inputs!$D$7+$D$4082)^K4056</f>
        <v>402.47163927609296</v>
      </c>
      <c r="L4077" s="28">
        <f>(L4063*$D$4081-L4067)/(Inputs!$D$7+$D$4082)^L4056</f>
        <v>372.67855631264575</v>
      </c>
      <c r="M4077" s="28">
        <f>(M4063*$D$4081-M4067)/(Inputs!$D$7+$D$4082)^M4056</f>
        <v>345.01820948500972</v>
      </c>
    </row>
    <row r="4078" spans="2:13" ht="15" customHeight="1" x14ac:dyDescent="0.2">
      <c r="B4078" s="10" t="s">
        <v>911</v>
      </c>
      <c r="C4078" s="10" t="s">
        <v>110</v>
      </c>
      <c r="D4078" s="16">
        <f>(-D4065-D4066)/(Inputs!$D$7+$D$4082)^D4056</f>
        <v>-14728.303038392241</v>
      </c>
      <c r="E4078" s="16">
        <f>(-E4065-E4066)/(Inputs!$D$7+$D$4082)^E4056</f>
        <v>-18180.216908055725</v>
      </c>
      <c r="F4078" s="16">
        <f>(-F4065-F4066)/(Inputs!$D$7+$D$4082)^F4056</f>
        <v>-12625.815702688111</v>
      </c>
      <c r="G4078" s="16">
        <f>(-G4065-G4066)/(Inputs!$D$7+$D$4082)^G4056</f>
        <v>-1981.9720696655354</v>
      </c>
      <c r="H4078" s="16">
        <f>(-H4065-H4066)/(Inputs!$D$7+$D$4082)^H4056</f>
        <v>-10353.237634844469</v>
      </c>
      <c r="I4078" s="16">
        <f>(-I4065-I4066)/(Inputs!$D$7+$D$4082)^I4056</f>
        <v>-12779.755102232404</v>
      </c>
      <c r="J4078" s="16">
        <f>(-J4065-J4066)/(Inputs!$D$7+$D$4082)^J4056</f>
        <v>-8875.2974434962562</v>
      </c>
      <c r="K4078" s="16">
        <f>(-K4065-K4066)/(Inputs!$D$7+$D$4082)^K4056</f>
        <v>-1456.8086386129401</v>
      </c>
      <c r="L4078" s="16">
        <f>(-L4065-L4066)/(Inputs!$D$7+$D$4082)^L4056</f>
        <v>-7609.9387347064285</v>
      </c>
      <c r="M4078" s="16">
        <f>(-M4065-M4066)/(Inputs!$D$7+$D$4082)^M4056</f>
        <v>-9393.5015115686074</v>
      </c>
    </row>
    <row r="4079" spans="2:13" ht="15" customHeight="1" x14ac:dyDescent="0.2">
      <c r="B4079" s="10" t="s">
        <v>912</v>
      </c>
      <c r="C4079" s="10" t="s">
        <v>110</v>
      </c>
      <c r="D4079" s="16">
        <f>Prices!I9</f>
        <v>21850</v>
      </c>
    </row>
    <row r="4080" spans="2:13" ht="15" customHeight="1" x14ac:dyDescent="0.2">
      <c r="B4080" s="3" t="s">
        <v>913</v>
      </c>
      <c r="C4080" s="10" t="s">
        <v>914</v>
      </c>
      <c r="D4080" s="28">
        <f>IF(J4087&gt;=J4083,J4087,(D4079-J4086)/J4085)</f>
        <v>26.232644233056508</v>
      </c>
      <c r="G4080" s="99" t="s">
        <v>915</v>
      </c>
      <c r="H4080" s="91"/>
      <c r="I4080" s="91"/>
      <c r="J4080" s="28">
        <f>D4080*Inputs!$D$15</f>
        <v>18.307762410250135</v>
      </c>
      <c r="K4080" s="99" t="s">
        <v>916</v>
      </c>
      <c r="L4080" s="91"/>
      <c r="M4080" s="91"/>
    </row>
    <row r="4081" spans="2:13" ht="15" customHeight="1" x14ac:dyDescent="0.2">
      <c r="B4081" s="10" t="s">
        <v>917</v>
      </c>
      <c r="C4081" s="10" t="s">
        <v>104</v>
      </c>
      <c r="D4081" s="30">
        <f>Inputs!$D$144</f>
        <v>0.8</v>
      </c>
      <c r="G4081" s="99" t="s">
        <v>918</v>
      </c>
      <c r="H4081" s="91"/>
      <c r="I4081" s="91"/>
      <c r="J4081" s="28">
        <f>IF(-D4092/D4091&gt;=J4083,-D4092/D4091,-J4086/J4085)</f>
        <v>23.234783111121249</v>
      </c>
      <c r="K4081" s="99" t="s">
        <v>919</v>
      </c>
      <c r="L4081" s="91"/>
      <c r="M4081" s="91"/>
    </row>
    <row r="4082" spans="2:13" ht="15" customHeight="1" x14ac:dyDescent="0.2">
      <c r="B4082" s="10" t="s">
        <v>920</v>
      </c>
      <c r="C4082" s="10" t="s">
        <v>104</v>
      </c>
      <c r="D4082" s="30">
        <f>Inputs!$D$146</f>
        <v>0.08</v>
      </c>
      <c r="G4082" s="99" t="s">
        <v>918</v>
      </c>
      <c r="H4082" s="91"/>
      <c r="I4082" s="91"/>
      <c r="J4082" s="28">
        <f>J4081*Inputs!$D$15</f>
        <v>16.21555513325152</v>
      </c>
      <c r="K4082" s="99" t="s">
        <v>916</v>
      </c>
      <c r="L4082" s="91"/>
      <c r="M4082" s="91"/>
    </row>
    <row r="4083" spans="2:13" ht="15" customHeight="1" x14ac:dyDescent="0.2">
      <c r="B4083" s="3" t="s">
        <v>921</v>
      </c>
      <c r="C4083" s="10" t="s">
        <v>848</v>
      </c>
      <c r="D4083" s="28">
        <f>Capital!$D$13</f>
        <v>57.347931490590682</v>
      </c>
      <c r="G4083" s="99" t="s">
        <v>922</v>
      </c>
      <c r="H4083" s="91"/>
      <c r="I4083" s="91"/>
      <c r="J4083" s="28">
        <f>($D$4083/Inputs!$D$21+$D$4084/Inputs!$D$22)/$D$4081</f>
        <v>18.084807684821598</v>
      </c>
      <c r="K4083" s="99" t="s">
        <v>919</v>
      </c>
      <c r="L4083" s="91"/>
      <c r="M4083" s="91"/>
    </row>
    <row r="4084" spans="2:13" ht="15" customHeight="1" x14ac:dyDescent="0.2">
      <c r="B4084" s="3" t="s">
        <v>923</v>
      </c>
      <c r="C4084" s="10" t="s">
        <v>848</v>
      </c>
      <c r="D4084" s="28">
        <f>Capital!$D$14</f>
        <v>2.6172655041921802</v>
      </c>
    </row>
    <row r="4085" spans="2:13" ht="15" customHeight="1" x14ac:dyDescent="0.2">
      <c r="B4085" s="10" t="s">
        <v>924</v>
      </c>
      <c r="C4085" s="10" t="s">
        <v>896</v>
      </c>
      <c r="D4085" s="28">
        <f>(M4058*(Inputs!$D$7+Inputs!$D$20)*$D$4081*(Inputs!$D$7-Inputs!$D$19)-M4058*Inputs!$D$20*Inputs!$D$23)/($D$4082-Inputs!$D$20)/(Inputs!$D$7+$D$4082)^M4056</f>
        <v>4496.0185423515322</v>
      </c>
      <c r="G4085" s="92" t="s">
        <v>910</v>
      </c>
      <c r="H4085" s="91"/>
      <c r="I4085" s="91"/>
      <c r="J4085" s="28">
        <f>SUM(D4077:M4077)+(M4058*(Inputs!$D$7+Inputs!$D$20)*$D$4081-M4058*Inputs!$D$20*Inputs!$D$23)/($D$4082-Inputs!$D$20)/(Inputs!$D$7+$D$4082)^M4056</f>
        <v>10422.421574652788</v>
      </c>
      <c r="K4085" s="99" t="s">
        <v>896</v>
      </c>
      <c r="L4085" s="91"/>
      <c r="M4085" s="91"/>
    </row>
    <row r="4086" spans="2:13" ht="15" customHeight="1" x14ac:dyDescent="0.2">
      <c r="B4086" s="10" t="s">
        <v>925</v>
      </c>
      <c r="C4086" s="10" t="s">
        <v>110</v>
      </c>
      <c r="D4086" s="16">
        <f>(D4089*Inputs!$D$19-D4089-D4090)/($D$4082-Inputs!$D$20)/(Inputs!$D$7+$D$4082)^M4056</f>
        <v>-93153.423070883771</v>
      </c>
      <c r="G4086" s="92" t="s">
        <v>926</v>
      </c>
      <c r="H4086" s="91"/>
      <c r="I4086" s="91"/>
      <c r="J4086" s="16">
        <f>SUM(D4078:M4078)-(D4089+D4090)/($D$4082-Inputs!$D$20)/(Inputs!$D$7+$D$4082)^M4056</f>
        <v>-226023.23893944838</v>
      </c>
      <c r="K4086" s="99" t="s">
        <v>110</v>
      </c>
      <c r="L4086" s="91"/>
      <c r="M4086" s="91"/>
    </row>
    <row r="4087" spans="2:13" ht="15" customHeight="1" x14ac:dyDescent="0.2">
      <c r="B4087" s="10" t="s">
        <v>927</v>
      </c>
      <c r="C4087" s="10" t="s">
        <v>928</v>
      </c>
      <c r="D4087" s="16">
        <f>(M4058*(Inputs!$D$7+Inputs!$D$20)*$D$4080*$D$4081-D4089)-MAX((M4058*(Inputs!$D$7+Inputs!$D$20)*$D$4080*$D$4081-D4089),Inputs!$D$6)*Inputs!$D$19-D4090-M4058*Inputs!$D$20*$D$4080*Inputs!$D$23</f>
        <v>2879.9742274173332</v>
      </c>
      <c r="G4087" s="99" t="s">
        <v>929</v>
      </c>
      <c r="H4087" s="91"/>
      <c r="I4087" s="91"/>
      <c r="J4087" s="28">
        <f>(D4079-D4092)/D4091</f>
        <v>26.232644233056508</v>
      </c>
      <c r="K4087" s="99" t="s">
        <v>919</v>
      </c>
      <c r="L4087" s="91"/>
      <c r="M4087" s="91"/>
    </row>
    <row r="4088" spans="2:13" ht="15" customHeight="1" x14ac:dyDescent="0.2">
      <c r="B4088" s="10" t="s">
        <v>930</v>
      </c>
      <c r="C4088" s="10" t="s">
        <v>110</v>
      </c>
      <c r="D4088" s="16">
        <f>D4087/($D$4082-Inputs!$D$20)</f>
        <v>52363.167771224238</v>
      </c>
      <c r="G4088" s="99" t="s">
        <v>931</v>
      </c>
      <c r="H4088" s="91"/>
      <c r="I4088" s="91"/>
      <c r="J4088" s="16">
        <f>MIN(D4072:M4072,(M4058*(Inputs!$D$7+Inputs!$D$20)*$D$4080*$D$4081-D4089))</f>
        <v>818.61163224081361</v>
      </c>
      <c r="K4088" s="99" t="s">
        <v>110</v>
      </c>
      <c r="L4088" s="91"/>
      <c r="M4088" s="91"/>
    </row>
    <row r="4089" spans="2:13" ht="15" customHeight="1" x14ac:dyDescent="0.2">
      <c r="B4089" s="10" t="s">
        <v>932</v>
      </c>
      <c r="C4089" s="10" t="s">
        <v>928</v>
      </c>
      <c r="D4089" s="16">
        <f>M4058*(Inputs!$D$7+Inputs!$D$20)*($D$4083/Inputs!$D$21+$D$4084/Inputs!$D$22)</f>
        <v>13509.71303671543</v>
      </c>
      <c r="G4089" s="99" t="s">
        <v>933</v>
      </c>
      <c r="H4089" s="91"/>
      <c r="I4089" s="91"/>
      <c r="J4089" s="31" t="str">
        <f>IF(J4088&lt;Inputs!$D$6,"breached","satisfied")</f>
        <v>satisfied</v>
      </c>
      <c r="K4089" s="99" t="s">
        <v>934</v>
      </c>
      <c r="L4089" s="91"/>
      <c r="M4089" s="91"/>
    </row>
    <row r="4090" spans="2:13" ht="15" customHeight="1" x14ac:dyDescent="0.2">
      <c r="B4090" s="10" t="s">
        <v>935</v>
      </c>
      <c r="C4090" s="10" t="s">
        <v>928</v>
      </c>
      <c r="D4090" s="16">
        <f>M4058*Inputs!$D$20*($D$4083+$D$4084)</f>
        <v>1365.7073615561799</v>
      </c>
    </row>
    <row r="4091" spans="2:13" ht="15" customHeight="1" x14ac:dyDescent="0.2">
      <c r="B4091" s="10" t="s">
        <v>936</v>
      </c>
      <c r="C4091" s="10" t="s">
        <v>896</v>
      </c>
      <c r="D4091" s="28">
        <f>SUM(D4068:M4068)+D4085</f>
        <v>7288.5297588084459</v>
      </c>
      <c r="G4091" s="99" t="s">
        <v>937</v>
      </c>
      <c r="H4091" s="91"/>
      <c r="I4091" s="91"/>
      <c r="J4091" s="16">
        <f>D4093-D4079</f>
        <v>0</v>
      </c>
      <c r="K4091" s="99" t="s">
        <v>110</v>
      </c>
      <c r="L4091" s="91"/>
      <c r="M4091" s="91"/>
    </row>
    <row r="4092" spans="2:13" ht="15" customHeight="1" x14ac:dyDescent="0.2">
      <c r="B4092" s="10" t="s">
        <v>938</v>
      </c>
      <c r="C4092" s="10" t="s">
        <v>110</v>
      </c>
      <c r="D4092" s="16">
        <f>SUM(D4069:M4069)+D4086</f>
        <v>-169347.40814486711</v>
      </c>
    </row>
    <row r="4093" spans="2:13" ht="15" customHeight="1" x14ac:dyDescent="0.2">
      <c r="B4093" s="10" t="s">
        <v>939</v>
      </c>
      <c r="C4093" s="10" t="s">
        <v>110</v>
      </c>
      <c r="D4093" s="16">
        <f>SUM(D4076:M4076)+D4088/(Inputs!$D$7+$D$4082)^M4056</f>
        <v>21850.000000000025</v>
      </c>
    </row>
    <row r="4094" spans="2:13" ht="15" customHeight="1" x14ac:dyDescent="0.2">
      <c r="B4094" s="10" t="s">
        <v>940</v>
      </c>
      <c r="C4094" s="10" t="s">
        <v>104</v>
      </c>
      <c r="D4094" s="30">
        <f>IF(ABS(D4079)&gt;Inputs!$D$6,D4093/D4079-Inputs!$D$7,Inputs!$D$6)</f>
        <v>1.1102230246251565E-15</v>
      </c>
    </row>
    <row r="4095" spans="2:13" ht="15" customHeight="1" x14ac:dyDescent="0.2">
      <c r="B4095" s="10" t="s">
        <v>941</v>
      </c>
      <c r="C4095" s="10" t="s">
        <v>104</v>
      </c>
      <c r="D4095" s="30">
        <f>IF(ABS(D4093)&gt;Inputs!$D$119,D4088/(Inputs!$D$7+$D$4082)^M4056/D4093,Inputs!$D$6)</f>
        <v>1.1345094652562586</v>
      </c>
    </row>
    <row r="4096" spans="2:13" ht="15" customHeight="1" x14ac:dyDescent="0.2">
      <c r="B4096" s="10" t="s">
        <v>942</v>
      </c>
      <c r="C4096" s="10" t="s">
        <v>943</v>
      </c>
      <c r="D4096" s="26">
        <f>$D$4080*Inputs!$D$8/Prices!$P$6/(Inputs!$D$26/Inputs!$D$25)/Inputs!$D$11/Inputs!$D$56</f>
        <v>4.7704860360240824</v>
      </c>
    </row>
    <row r="4100" spans="1:13" ht="15" customHeight="1" x14ac:dyDescent="0.2">
      <c r="A4100" s="104" t="s">
        <v>2254</v>
      </c>
      <c r="B4100" s="10" t="s">
        <v>886</v>
      </c>
      <c r="C4100" s="10" t="s">
        <v>107</v>
      </c>
      <c r="D4100" s="28">
        <f>Inputs!$D$60</f>
        <v>1</v>
      </c>
      <c r="E4100" s="28">
        <f>Inputs!$D$62</f>
        <v>2</v>
      </c>
      <c r="F4100" s="28">
        <f>Inputs!$D$64</f>
        <v>3</v>
      </c>
      <c r="G4100" s="28">
        <f>Inputs!$D$66</f>
        <v>4</v>
      </c>
      <c r="H4100" s="28">
        <f>Inputs!$D$68</f>
        <v>5</v>
      </c>
      <c r="I4100" s="28">
        <f>Inputs!$D$70</f>
        <v>6</v>
      </c>
      <c r="J4100" s="28">
        <f>Inputs!$D$72</f>
        <v>7</v>
      </c>
      <c r="K4100" s="28">
        <f>Inputs!$D$74</f>
        <v>8</v>
      </c>
      <c r="L4100" s="28">
        <f>Inputs!$D$76</f>
        <v>9</v>
      </c>
      <c r="M4100" s="28">
        <f>Inputs!$D$78</f>
        <v>10</v>
      </c>
    </row>
    <row r="4101" spans="1:13" ht="15" customHeight="1" x14ac:dyDescent="0.2">
      <c r="A4101" s="91"/>
      <c r="B4101" s="10" t="s">
        <v>887</v>
      </c>
      <c r="C4101" s="10" t="s">
        <v>161</v>
      </c>
      <c r="D4101" s="29">
        <f>Inputs!$D$61</f>
        <v>46568</v>
      </c>
      <c r="E4101" s="29">
        <f>Inputs!$D$63</f>
        <v>46934</v>
      </c>
      <c r="F4101" s="29">
        <f>Inputs!$D$65</f>
        <v>47299</v>
      </c>
      <c r="G4101" s="29">
        <f>Inputs!$D$67</f>
        <v>47664</v>
      </c>
      <c r="H4101" s="29">
        <f>Inputs!$D$69</f>
        <v>48029</v>
      </c>
      <c r="I4101" s="29">
        <f>Inputs!$D$71</f>
        <v>48395</v>
      </c>
      <c r="J4101" s="29">
        <f>Inputs!$D$73</f>
        <v>48760</v>
      </c>
      <c r="K4101" s="29">
        <f>Inputs!$D$75</f>
        <v>49125</v>
      </c>
      <c r="L4101" s="29">
        <f>Inputs!$D$77</f>
        <v>49490</v>
      </c>
      <c r="M4101" s="29">
        <f>Inputs!$D$79</f>
        <v>49856</v>
      </c>
    </row>
    <row r="4102" spans="1:13" ht="15" customHeight="1" x14ac:dyDescent="0.2">
      <c r="A4102" s="91"/>
      <c r="B4102" s="10" t="s">
        <v>888</v>
      </c>
      <c r="C4102" s="10" t="s">
        <v>107</v>
      </c>
      <c r="D4102" s="28">
        <f>(D4101-Inputs!$D$13)/Inputs!$D$10</f>
        <v>0.71457905544147848</v>
      </c>
      <c r="E4102" s="28">
        <f>(E4101-Inputs!$D$13)/Inputs!$D$10</f>
        <v>1.7166324435318274</v>
      </c>
      <c r="F4102" s="28">
        <f>(F4101-Inputs!$D$13)/Inputs!$D$10</f>
        <v>2.7159479808350446</v>
      </c>
      <c r="G4102" s="28">
        <f>(G4101-Inputs!$D$13)/Inputs!$D$10</f>
        <v>3.7152635181382614</v>
      </c>
      <c r="H4102" s="28">
        <f>(H4101-Inputs!$D$13)/Inputs!$D$10</f>
        <v>4.7145790554414786</v>
      </c>
      <c r="I4102" s="28">
        <f>(I4101-Inputs!$D$13)/Inputs!$D$10</f>
        <v>5.7166324435318279</v>
      </c>
      <c r="J4102" s="28">
        <f>(J4101-Inputs!$D$13)/Inputs!$D$10</f>
        <v>6.7159479808350442</v>
      </c>
      <c r="K4102" s="28">
        <f>(K4101-Inputs!$D$13)/Inputs!$D$10</f>
        <v>7.7152635181382614</v>
      </c>
      <c r="L4102" s="28">
        <f>(L4101-Inputs!$D$13)/Inputs!$D$10</f>
        <v>8.7145790554414777</v>
      </c>
      <c r="M4102" s="28">
        <f>(M4101-Inputs!$D$13)/Inputs!$D$10</f>
        <v>9.716632443531827</v>
      </c>
    </row>
    <row r="4103" spans="1:13" ht="15" customHeight="1" x14ac:dyDescent="0.2">
      <c r="A4103" s="91"/>
      <c r="B4103" s="10" t="s">
        <v>889</v>
      </c>
      <c r="C4103" s="10" t="s">
        <v>107</v>
      </c>
      <c r="D4103" s="28">
        <f>D4102</f>
        <v>0.71457905544147848</v>
      </c>
      <c r="E4103" s="28">
        <f>Inputs!$D$7</f>
        <v>1</v>
      </c>
      <c r="F4103" s="28">
        <f>Inputs!$D$7</f>
        <v>1</v>
      </c>
      <c r="G4103" s="28">
        <f>Inputs!$D$7</f>
        <v>1</v>
      </c>
      <c r="H4103" s="28">
        <f>Inputs!$D$7</f>
        <v>1</v>
      </c>
      <c r="I4103" s="28">
        <f>Inputs!$D$7</f>
        <v>1</v>
      </c>
      <c r="J4103" s="28">
        <f>Inputs!$D$7</f>
        <v>1</v>
      </c>
      <c r="K4103" s="28">
        <f>Inputs!$D$7</f>
        <v>1</v>
      </c>
      <c r="L4103" s="28">
        <f>Inputs!$D$7</f>
        <v>1</v>
      </c>
      <c r="M4103" s="28">
        <f>Inputs!$D$7</f>
        <v>1</v>
      </c>
    </row>
    <row r="4104" spans="1:13" ht="15" customHeight="1" x14ac:dyDescent="0.2">
      <c r="A4104" s="91"/>
      <c r="B4104" s="3" t="s">
        <v>890</v>
      </c>
      <c r="C4104" s="10" t="s">
        <v>199</v>
      </c>
      <c r="D4104" s="28">
        <f>Inputs!$D$24+(Inputs!$D$80-Inputs!$D$24)*Inputs!$D$83</f>
        <v>305.5</v>
      </c>
      <c r="E4104" s="28">
        <f>Inputs!$D$24+(Inputs!$D$80-Inputs!$D$24)*Inputs!$D$84</f>
        <v>651.5</v>
      </c>
      <c r="F4104" s="28">
        <f>Inputs!$D$24+(Inputs!$D$80-Inputs!$D$24)*Inputs!$D$85</f>
        <v>911</v>
      </c>
      <c r="G4104" s="28">
        <f>Inputs!$D$24+(Inputs!$D$80-Inputs!$D$24)*Inputs!$D$86</f>
        <v>911</v>
      </c>
      <c r="H4104" s="28">
        <f>Inputs!$D$24+(Inputs!$D$80-Inputs!$D$24)*Inputs!$D$87</f>
        <v>911</v>
      </c>
      <c r="I4104" s="28">
        <f>Inputs!$D$24+(Inputs!$D$80-Inputs!$D$24)*Inputs!$D$88</f>
        <v>911</v>
      </c>
      <c r="J4104" s="28">
        <f>Inputs!$D$24+(Inputs!$D$80-Inputs!$D$24)*Inputs!$D$89</f>
        <v>911</v>
      </c>
      <c r="K4104" s="28">
        <f>Inputs!$D$24+(Inputs!$D$80-Inputs!$D$24)*Inputs!$D$90</f>
        <v>911</v>
      </c>
      <c r="L4104" s="28">
        <f>Inputs!$D$24+(Inputs!$D$80-Inputs!$D$24)*Inputs!$D$91</f>
        <v>911</v>
      </c>
      <c r="M4104" s="28">
        <f>Inputs!$D$24+(Inputs!$D$80-Inputs!$D$24)*Inputs!$D$92</f>
        <v>911</v>
      </c>
    </row>
    <row r="4105" spans="1:13" ht="15" customHeight="1" x14ac:dyDescent="0.2">
      <c r="A4105" s="91"/>
      <c r="B4105" s="10" t="s">
        <v>891</v>
      </c>
      <c r="C4105" s="10" t="s">
        <v>199</v>
      </c>
      <c r="D4105" s="28">
        <f>Inputs!$D$24</f>
        <v>46</v>
      </c>
      <c r="E4105" s="28">
        <f t="shared" ref="E4105:M4105" si="890">D4104</f>
        <v>305.5</v>
      </c>
      <c r="F4105" s="28">
        <f t="shared" si="890"/>
        <v>651.5</v>
      </c>
      <c r="G4105" s="28">
        <f t="shared" si="890"/>
        <v>911</v>
      </c>
      <c r="H4105" s="28">
        <f t="shared" si="890"/>
        <v>911</v>
      </c>
      <c r="I4105" s="28">
        <f t="shared" si="890"/>
        <v>911</v>
      </c>
      <c r="J4105" s="28">
        <f t="shared" si="890"/>
        <v>911</v>
      </c>
      <c r="K4105" s="28">
        <f t="shared" si="890"/>
        <v>911</v>
      </c>
      <c r="L4105" s="28">
        <f t="shared" si="890"/>
        <v>911</v>
      </c>
      <c r="M4105" s="28">
        <f t="shared" si="890"/>
        <v>911</v>
      </c>
    </row>
    <row r="4106" spans="1:13" ht="15" customHeight="1" x14ac:dyDescent="0.2">
      <c r="B4106" s="10" t="s">
        <v>892</v>
      </c>
      <c r="C4106" s="10" t="s">
        <v>199</v>
      </c>
      <c r="D4106" s="28">
        <f>(D4105+D4104)*Inputs!$D$12</f>
        <v>175.75</v>
      </c>
      <c r="E4106" s="28">
        <f>(E4105+E4104)*Inputs!$D$12</f>
        <v>478.5</v>
      </c>
      <c r="F4106" s="28">
        <f>(F4105+F4104)*Inputs!$D$12</f>
        <v>781.25</v>
      </c>
      <c r="G4106" s="28">
        <f>(G4105+G4104)*Inputs!$D$12</f>
        <v>911</v>
      </c>
      <c r="H4106" s="28">
        <f>(H4105+H4104)*Inputs!$D$12</f>
        <v>911</v>
      </c>
      <c r="I4106" s="28">
        <f>(I4105+I4104)*Inputs!$D$12</f>
        <v>911</v>
      </c>
      <c r="J4106" s="28">
        <f>(J4105+J4104)*Inputs!$D$12</f>
        <v>911</v>
      </c>
      <c r="K4106" s="28">
        <f>(K4105+K4104)*Inputs!$D$12</f>
        <v>911</v>
      </c>
      <c r="L4106" s="28">
        <f>(L4105+L4104)*Inputs!$D$12</f>
        <v>911</v>
      </c>
      <c r="M4106" s="28">
        <f>(M4105+M4104)*Inputs!$D$12</f>
        <v>911</v>
      </c>
    </row>
    <row r="4107" spans="1:13" ht="15" customHeight="1" x14ac:dyDescent="0.2">
      <c r="B4107" s="10" t="s">
        <v>893</v>
      </c>
      <c r="C4107" s="10" t="s">
        <v>199</v>
      </c>
      <c r="D4107" s="28">
        <f t="shared" ref="D4107:M4107" si="891">D4104-D4105</f>
        <v>259.5</v>
      </c>
      <c r="E4107" s="28">
        <f t="shared" si="891"/>
        <v>346</v>
      </c>
      <c r="F4107" s="28">
        <f t="shared" si="891"/>
        <v>259.5</v>
      </c>
      <c r="G4107" s="28">
        <f t="shared" si="891"/>
        <v>0</v>
      </c>
      <c r="H4107" s="28">
        <f t="shared" si="891"/>
        <v>0</v>
      </c>
      <c r="I4107" s="28">
        <f t="shared" si="891"/>
        <v>0</v>
      </c>
      <c r="J4107" s="28">
        <f t="shared" si="891"/>
        <v>0</v>
      </c>
      <c r="K4107" s="28">
        <f t="shared" si="891"/>
        <v>0</v>
      </c>
      <c r="L4107" s="28">
        <f t="shared" si="891"/>
        <v>0</v>
      </c>
      <c r="M4107" s="28">
        <f t="shared" si="891"/>
        <v>0</v>
      </c>
    </row>
    <row r="4108" spans="1:13" ht="15" customHeight="1" x14ac:dyDescent="0.2">
      <c r="B4108" s="10" t="s">
        <v>894</v>
      </c>
      <c r="C4108" s="10" t="s">
        <v>199</v>
      </c>
      <c r="D4108" s="28">
        <f>IF(MOD(D4100,Inputs!$D$21)=Inputs!$D$6,Inputs!$D$24,Inputs!$D$6)+SUMPRODUCT(--(D4100&gt;$D$4100:$M$4100),--(MOD(D4100-$D$4100:$M$4100,Inputs!$D$21)=Inputs!$D$6),$D$4107:$M$4107)</f>
        <v>0</v>
      </c>
      <c r="E4108" s="28">
        <f>IF(MOD(E4100,Inputs!$D$21)=Inputs!$D$6,Inputs!$D$24,Inputs!$D$6)+SUMPRODUCT(--(E4100&gt;$D$4100:$M$4100),--(MOD(E4100-$D$4100:$M$4100,Inputs!$D$21)=Inputs!$D$6),$D$4107:$M$4107)</f>
        <v>0</v>
      </c>
      <c r="F4108" s="28">
        <f>IF(MOD(F4100,Inputs!$D$21)=Inputs!$D$6,Inputs!$D$24,Inputs!$D$6)+SUMPRODUCT(--(F4100&gt;$D$4100:$M$4100),--(MOD(F4100-$D$4100:$M$4100,Inputs!$D$21)=Inputs!$D$6),$D$4107:$M$4107)</f>
        <v>0</v>
      </c>
      <c r="G4108" s="28">
        <f>IF(MOD(G4100,Inputs!$D$21)=Inputs!$D$6,Inputs!$D$24,Inputs!$D$6)+SUMPRODUCT(--(G4100&gt;$D$4100:$M$4100),--(MOD(G4100-$D$4100:$M$4100,Inputs!$D$21)=Inputs!$D$6),$D$4107:$M$4107)</f>
        <v>46</v>
      </c>
      <c r="H4108" s="28">
        <f>IF(MOD(H4100,Inputs!$D$21)=Inputs!$D$6,Inputs!$D$24,Inputs!$D$6)+SUMPRODUCT(--(H4100&gt;$D$4100:$M$4100),--(MOD(H4100-$D$4100:$M$4100,Inputs!$D$21)=Inputs!$D$6),$D$4107:$M$4107)</f>
        <v>259.5</v>
      </c>
      <c r="I4108" s="28">
        <f>IF(MOD(I4100,Inputs!$D$21)=Inputs!$D$6,Inputs!$D$24,Inputs!$D$6)+SUMPRODUCT(--(I4100&gt;$D$4100:$M$4100),--(MOD(I4100-$D$4100:$M$4100,Inputs!$D$21)=Inputs!$D$6),$D$4107:$M$4107)</f>
        <v>346</v>
      </c>
      <c r="J4108" s="28">
        <f>IF(MOD(J4100,Inputs!$D$21)=Inputs!$D$6,Inputs!$D$24,Inputs!$D$6)+SUMPRODUCT(--(J4100&gt;$D$4100:$M$4100),--(MOD(J4100-$D$4100:$M$4100,Inputs!$D$21)=Inputs!$D$6),$D$4107:$M$4107)</f>
        <v>259.5</v>
      </c>
      <c r="K4108" s="28">
        <f>IF(MOD(K4100,Inputs!$D$21)=Inputs!$D$6,Inputs!$D$24,Inputs!$D$6)+SUMPRODUCT(--(K4100&gt;$D$4100:$M$4100),--(MOD(K4100-$D$4100:$M$4100,Inputs!$D$21)=Inputs!$D$6),$D$4107:$M$4107)</f>
        <v>46</v>
      </c>
      <c r="L4108" s="28">
        <f>IF(MOD(L4100,Inputs!$D$21)=Inputs!$D$6,Inputs!$D$24,Inputs!$D$6)+SUMPRODUCT(--(L4100&gt;$D$4100:$M$4100),--(MOD(L4100-$D$4100:$M$4100,Inputs!$D$21)=Inputs!$D$6),$D$4107:$M$4107)</f>
        <v>259.5</v>
      </c>
      <c r="M4108" s="28">
        <f>IF(MOD(M4100,Inputs!$D$21)=Inputs!$D$6,Inputs!$D$24,Inputs!$D$6)+SUMPRODUCT(--(M4100&gt;$D$4100:$M$4100),--(MOD(M4100-$D$4100:$M$4100,Inputs!$D$21)=Inputs!$D$6),$D$4107:$M$4107)</f>
        <v>346</v>
      </c>
    </row>
    <row r="4109" spans="1:13" ht="15" customHeight="1" x14ac:dyDescent="0.2">
      <c r="B4109" s="10" t="s">
        <v>895</v>
      </c>
      <c r="C4109" s="10" t="s">
        <v>896</v>
      </c>
      <c r="D4109" s="28">
        <f t="shared" ref="D4109:M4109" si="892">D4106*D4103</f>
        <v>125.58726899383984</v>
      </c>
      <c r="E4109" s="28">
        <f t="shared" si="892"/>
        <v>478.5</v>
      </c>
      <c r="F4109" s="28">
        <f t="shared" si="892"/>
        <v>781.25</v>
      </c>
      <c r="G4109" s="28">
        <f t="shared" si="892"/>
        <v>911</v>
      </c>
      <c r="H4109" s="28">
        <f t="shared" si="892"/>
        <v>911</v>
      </c>
      <c r="I4109" s="28">
        <f t="shared" si="892"/>
        <v>911</v>
      </c>
      <c r="J4109" s="28">
        <f t="shared" si="892"/>
        <v>911</v>
      </c>
      <c r="K4109" s="28">
        <f t="shared" si="892"/>
        <v>911</v>
      </c>
      <c r="L4109" s="28">
        <f t="shared" si="892"/>
        <v>911</v>
      </c>
      <c r="M4109" s="28">
        <f t="shared" si="892"/>
        <v>911</v>
      </c>
    </row>
    <row r="4110" spans="1:13" ht="15" customHeight="1" x14ac:dyDescent="0.2">
      <c r="B4110" s="10" t="s">
        <v>897</v>
      </c>
      <c r="C4110" s="10" t="s">
        <v>110</v>
      </c>
      <c r="D4110" s="16">
        <f>D4109*($D$4129/Inputs!$D$21+$D$4130/Inputs!$D$22)</f>
        <v>1816.9772859324419</v>
      </c>
      <c r="E4110" s="16">
        <f>E4109*($D$4129/Inputs!$D$21+$D$4130/Inputs!$D$22)</f>
        <v>6922.8643817497086</v>
      </c>
      <c r="F4110" s="16">
        <f>F4109*($D$4129/Inputs!$D$21+$D$4130/Inputs!$D$22)</f>
        <v>11303.0048030135</v>
      </c>
      <c r="G4110" s="16">
        <f>G4109*($D$4129/Inputs!$D$21+$D$4130/Inputs!$D$22)</f>
        <v>13180.207840697982</v>
      </c>
      <c r="H4110" s="16">
        <f>H4109*($D$4129/Inputs!$D$21+$D$4130/Inputs!$D$22)</f>
        <v>13180.207840697982</v>
      </c>
      <c r="I4110" s="16">
        <f>I4109*($D$4129/Inputs!$D$21+$D$4130/Inputs!$D$22)</f>
        <v>13180.207840697982</v>
      </c>
      <c r="J4110" s="16">
        <f>J4109*($D$4129/Inputs!$D$21+$D$4130/Inputs!$D$22)</f>
        <v>13180.207840697982</v>
      </c>
      <c r="K4110" s="16">
        <f>K4109*($D$4129/Inputs!$D$21+$D$4130/Inputs!$D$22)</f>
        <v>13180.207840697982</v>
      </c>
      <c r="L4110" s="16">
        <f>L4109*($D$4129/Inputs!$D$21+$D$4130/Inputs!$D$22)</f>
        <v>13180.207840697982</v>
      </c>
      <c r="M4110" s="16">
        <f>M4109*($D$4129/Inputs!$D$21+$D$4130/Inputs!$D$22)</f>
        <v>13180.207840697982</v>
      </c>
    </row>
    <row r="4111" spans="1:13" ht="15" customHeight="1" x14ac:dyDescent="0.2">
      <c r="B4111" s="10" t="s">
        <v>898</v>
      </c>
      <c r="C4111" s="10" t="s">
        <v>110</v>
      </c>
      <c r="D4111" s="16">
        <f t="shared" ref="D4111:M4111" si="893">D4107*($D$4129+$D$4130)</f>
        <v>15560.968620146154</v>
      </c>
      <c r="E4111" s="16">
        <f t="shared" si="893"/>
        <v>20747.95816019487</v>
      </c>
      <c r="F4111" s="16">
        <f t="shared" si="893"/>
        <v>15560.968620146154</v>
      </c>
      <c r="G4111" s="16">
        <f t="shared" si="893"/>
        <v>0</v>
      </c>
      <c r="H4111" s="16">
        <f t="shared" si="893"/>
        <v>0</v>
      </c>
      <c r="I4111" s="16">
        <f t="shared" si="893"/>
        <v>0</v>
      </c>
      <c r="J4111" s="16">
        <f t="shared" si="893"/>
        <v>0</v>
      </c>
      <c r="K4111" s="16">
        <f t="shared" si="893"/>
        <v>0</v>
      </c>
      <c r="L4111" s="16">
        <f t="shared" si="893"/>
        <v>0</v>
      </c>
      <c r="M4111" s="16">
        <f t="shared" si="893"/>
        <v>0</v>
      </c>
    </row>
    <row r="4112" spans="1:13" ht="15" customHeight="1" x14ac:dyDescent="0.2">
      <c r="B4112" s="10" t="s">
        <v>899</v>
      </c>
      <c r="C4112" s="10" t="s">
        <v>110</v>
      </c>
      <c r="D4112" s="16">
        <f t="shared" ref="D4112:M4112" si="894">D4108*$D$4129</f>
        <v>0</v>
      </c>
      <c r="E4112" s="16">
        <f t="shared" si="894"/>
        <v>0</v>
      </c>
      <c r="F4112" s="16">
        <f t="shared" si="894"/>
        <v>0</v>
      </c>
      <c r="G4112" s="16">
        <f t="shared" si="894"/>
        <v>2638.0048485671714</v>
      </c>
      <c r="H4112" s="16">
        <f t="shared" si="894"/>
        <v>14881.788221808281</v>
      </c>
      <c r="I4112" s="16">
        <f t="shared" si="894"/>
        <v>19842.384295744378</v>
      </c>
      <c r="J4112" s="16">
        <f t="shared" si="894"/>
        <v>14881.788221808281</v>
      </c>
      <c r="K4112" s="16">
        <f t="shared" si="894"/>
        <v>2638.0048485671714</v>
      </c>
      <c r="L4112" s="16">
        <f t="shared" si="894"/>
        <v>14881.788221808281</v>
      </c>
      <c r="M4112" s="16">
        <f t="shared" si="894"/>
        <v>19842.384295744378</v>
      </c>
    </row>
    <row r="4113" spans="2:13" ht="15" customHeight="1" x14ac:dyDescent="0.2">
      <c r="B4113" s="10" t="s">
        <v>900</v>
      </c>
      <c r="C4113" s="10" t="s">
        <v>199</v>
      </c>
      <c r="D4113" s="28">
        <f>D4107*Inputs!$D$23</f>
        <v>6.4875000000000007</v>
      </c>
      <c r="E4113" s="28">
        <f>E4107*Inputs!$D$23</f>
        <v>8.65</v>
      </c>
      <c r="F4113" s="28">
        <f>F4107*Inputs!$D$23</f>
        <v>6.4875000000000007</v>
      </c>
      <c r="G4113" s="28">
        <f>G4107*Inputs!$D$23</f>
        <v>0</v>
      </c>
      <c r="H4113" s="28">
        <f>H4107*Inputs!$D$23</f>
        <v>0</v>
      </c>
      <c r="I4113" s="28">
        <f>I4107*Inputs!$D$23</f>
        <v>0</v>
      </c>
      <c r="J4113" s="28">
        <f>J4107*Inputs!$D$23</f>
        <v>0</v>
      </c>
      <c r="K4113" s="28">
        <f>K4107*Inputs!$D$23</f>
        <v>0</v>
      </c>
      <c r="L4113" s="28">
        <f>L4107*Inputs!$D$23</f>
        <v>0</v>
      </c>
      <c r="M4113" s="28">
        <f>M4107*Inputs!$D$23</f>
        <v>0</v>
      </c>
    </row>
    <row r="4114" spans="2:13" ht="15" customHeight="1" x14ac:dyDescent="0.2">
      <c r="B4114" s="3" t="s">
        <v>901</v>
      </c>
      <c r="C4114" s="10" t="s">
        <v>896</v>
      </c>
      <c r="D4114" s="28">
        <f>(D4109*$D$4127*(Inputs!$D$7-Inputs!$D$19)-D4113)/(Inputs!$D$7+$D$4128)^D4102</f>
        <v>59.638107928754934</v>
      </c>
      <c r="E4114" s="28">
        <f>(E4109*$D$4127*(Inputs!$D$7-Inputs!$D$19)-E4113)/(Inputs!$D$7+$D$4128)^E4102</f>
        <v>220.17258373064229</v>
      </c>
      <c r="F4114" s="28">
        <f>(F4109*$D$4127*(Inputs!$D$7-Inputs!$D$19)-F4113)/(Inputs!$D$7+$D$4128)^F4102</f>
        <v>332.71278210921628</v>
      </c>
      <c r="G4114" s="28">
        <f>(G4109*$D$4127*(Inputs!$D$7-Inputs!$D$19)-G4113)/(Inputs!$D$7+$D$4128)^G4102</f>
        <v>358.03185685593229</v>
      </c>
      <c r="H4114" s="28">
        <f>(H4109*$D$4127*(Inputs!$D$7-Inputs!$D$19)-H4113)/(Inputs!$D$7+$D$4128)^H4102</f>
        <v>325.50474025278925</v>
      </c>
      <c r="I4114" s="28">
        <f>(I4109*$D$4127*(Inputs!$D$7-Inputs!$D$19)-I4113)/(Inputs!$D$7+$D$4128)^I4102</f>
        <v>295.85549304352458</v>
      </c>
      <c r="J4114" s="28">
        <f>(J4109*$D$4127*(Inputs!$D$7-Inputs!$D$19)-J4113)/(Inputs!$D$7+$D$4128)^J4102</f>
        <v>268.97708561795457</v>
      </c>
      <c r="K4114" s="28">
        <f>(K4109*$D$4127*(Inputs!$D$7-Inputs!$D$19)-K4113)/(Inputs!$D$7+$D$4128)^K4102</f>
        <v>244.54057568194261</v>
      </c>
      <c r="L4114" s="28">
        <f>(L4109*$D$4127*(Inputs!$D$7-Inputs!$D$19)-L4113)/(Inputs!$D$7+$D$4128)^L4102</f>
        <v>222.32411737776735</v>
      </c>
      <c r="M4114" s="28">
        <f>(M4109*$D$4127*(Inputs!$D$7-Inputs!$D$19)-M4113)/(Inputs!$D$7+$D$4128)^M4102</f>
        <v>202.07328259239429</v>
      </c>
    </row>
    <row r="4115" spans="2:13" ht="15" customHeight="1" x14ac:dyDescent="0.2">
      <c r="B4115" s="10" t="s">
        <v>902</v>
      </c>
      <c r="C4115" s="10" t="s">
        <v>110</v>
      </c>
      <c r="D4115" s="16">
        <f>(D4110*Inputs!$D$19-D4111-D4112)/(Inputs!$D$7+$D$4128)^D4102</f>
        <v>-14027.24269342025</v>
      </c>
      <c r="E4115" s="16">
        <f>(E4110*Inputs!$D$19-E4111-E4112)/(Inputs!$D$7+$D$4128)^E4102</f>
        <v>-15853.087323826181</v>
      </c>
      <c r="F4115" s="16">
        <f>(F4110*Inputs!$D$19-F4111-F4112)/(Inputs!$D$7+$D$4128)^F4102</f>
        <v>-9394.4767487293357</v>
      </c>
      <c r="G4115" s="16">
        <f>(G4110*Inputs!$D$19-G4111-G4112)/(Inputs!$D$7+$D$4128)^G4102</f>
        <v>923.61320322684639</v>
      </c>
      <c r="H4115" s="16">
        <f>(H4110*Inputs!$D$19-H4111-H4112)/(Inputs!$D$7+$D$4128)^H4102</f>
        <v>-6972.3744918015345</v>
      </c>
      <c r="I4115" s="16">
        <f>(I4110*Inputs!$D$19-I4111-I4112)/(Inputs!$D$7+$D$4128)^I4102</f>
        <v>-9214.0648467907959</v>
      </c>
      <c r="J4115" s="16">
        <f>(J4110*Inputs!$D$19-J4111-J4112)/(Inputs!$D$7+$D$4128)^J4102</f>
        <v>-5761.5411965591911</v>
      </c>
      <c r="K4115" s="16">
        <f>(K4110*Inputs!$D$19-K4111-K4112)/(Inputs!$D$7+$D$4128)^K4102</f>
        <v>630.8402453567694</v>
      </c>
      <c r="L4115" s="16">
        <f>(L4110*Inputs!$D$19-L4111-L4112)/(Inputs!$D$7+$D$4128)^L4102</f>
        <v>-4762.2255937446444</v>
      </c>
      <c r="M4115" s="16">
        <f>(M4110*Inputs!$D$19-M4111-M4112)/(Inputs!$D$7+$D$4128)^M4102</f>
        <v>-6293.3302689644106</v>
      </c>
    </row>
    <row r="4116" spans="2:13" ht="15" customHeight="1" x14ac:dyDescent="0.2">
      <c r="B4116" s="10" t="s">
        <v>903</v>
      </c>
      <c r="C4116" s="10" t="s">
        <v>110</v>
      </c>
      <c r="D4116" s="16">
        <f t="shared" ref="D4116:M4116" si="895">D4109*$D$4126</f>
        <v>3555.6995568469524</v>
      </c>
      <c r="E4116" s="16">
        <f t="shared" si="895"/>
        <v>13547.569364174342</v>
      </c>
      <c r="F4116" s="16">
        <f t="shared" si="895"/>
        <v>22119.202854255389</v>
      </c>
      <c r="G4116" s="16">
        <f t="shared" si="895"/>
        <v>25792.760064290127</v>
      </c>
      <c r="H4116" s="16">
        <f t="shared" si="895"/>
        <v>25792.760064290127</v>
      </c>
      <c r="I4116" s="16">
        <f t="shared" si="895"/>
        <v>25792.760064290127</v>
      </c>
      <c r="J4116" s="16">
        <f t="shared" si="895"/>
        <v>25792.760064290127</v>
      </c>
      <c r="K4116" s="16">
        <f t="shared" si="895"/>
        <v>25792.760064290127</v>
      </c>
      <c r="L4116" s="16">
        <f t="shared" si="895"/>
        <v>25792.760064290127</v>
      </c>
      <c r="M4116" s="16">
        <f t="shared" si="895"/>
        <v>25792.760064290127</v>
      </c>
    </row>
    <row r="4117" spans="2:13" ht="15" customHeight="1" x14ac:dyDescent="0.2">
      <c r="B4117" s="10" t="s">
        <v>904</v>
      </c>
      <c r="C4117" s="10" t="s">
        <v>110</v>
      </c>
      <c r="D4117" s="16">
        <f t="shared" ref="D4117:M4117" si="896">D4116*$D$4127</f>
        <v>2844.5596454775623</v>
      </c>
      <c r="E4117" s="16">
        <f t="shared" si="896"/>
        <v>10838.055491339474</v>
      </c>
      <c r="F4117" s="16">
        <f t="shared" si="896"/>
        <v>17695.362283404313</v>
      </c>
      <c r="G4117" s="16">
        <f t="shared" si="896"/>
        <v>20634.208051432102</v>
      </c>
      <c r="H4117" s="16">
        <f t="shared" si="896"/>
        <v>20634.208051432102</v>
      </c>
      <c r="I4117" s="16">
        <f t="shared" si="896"/>
        <v>20634.208051432102</v>
      </c>
      <c r="J4117" s="16">
        <f t="shared" si="896"/>
        <v>20634.208051432102</v>
      </c>
      <c r="K4117" s="16">
        <f t="shared" si="896"/>
        <v>20634.208051432102</v>
      </c>
      <c r="L4117" s="16">
        <f t="shared" si="896"/>
        <v>20634.208051432102</v>
      </c>
      <c r="M4117" s="16">
        <f t="shared" si="896"/>
        <v>20634.208051432102</v>
      </c>
    </row>
    <row r="4118" spans="2:13" ht="15" customHeight="1" x14ac:dyDescent="0.2">
      <c r="B4118" s="10" t="s">
        <v>905</v>
      </c>
      <c r="C4118" s="10" t="s">
        <v>110</v>
      </c>
      <c r="D4118" s="16">
        <f t="shared" ref="D4118:M4118" si="897">D4117-D4110</f>
        <v>1027.5823595451204</v>
      </c>
      <c r="E4118" s="16">
        <f t="shared" si="897"/>
        <v>3915.1911095897649</v>
      </c>
      <c r="F4118" s="16">
        <f t="shared" si="897"/>
        <v>6392.3574803908123</v>
      </c>
      <c r="G4118" s="16">
        <f t="shared" si="897"/>
        <v>7454.0002107341206</v>
      </c>
      <c r="H4118" s="16">
        <f t="shared" si="897"/>
        <v>7454.0002107341206</v>
      </c>
      <c r="I4118" s="16">
        <f t="shared" si="897"/>
        <v>7454.0002107341206</v>
      </c>
      <c r="J4118" s="16">
        <f t="shared" si="897"/>
        <v>7454.0002107341206</v>
      </c>
      <c r="K4118" s="16">
        <f t="shared" si="897"/>
        <v>7454.0002107341206</v>
      </c>
      <c r="L4118" s="16">
        <f t="shared" si="897"/>
        <v>7454.0002107341206</v>
      </c>
      <c r="M4118" s="16">
        <f t="shared" si="897"/>
        <v>7454.0002107341206</v>
      </c>
    </row>
    <row r="4119" spans="2:13" ht="15" customHeight="1" x14ac:dyDescent="0.2">
      <c r="B4119" s="10" t="s">
        <v>906</v>
      </c>
      <c r="C4119" s="10" t="s">
        <v>110</v>
      </c>
      <c r="D4119" s="16">
        <f>MAX(D4118,Inputs!$D$6)*Inputs!$D$19</f>
        <v>308.27470786353609</v>
      </c>
      <c r="E4119" s="16">
        <f>MAX(E4118,Inputs!$D$6)*Inputs!$D$19</f>
        <v>1174.5573328769294</v>
      </c>
      <c r="F4119" s="16">
        <f>MAX(F4118,Inputs!$D$6)*Inputs!$D$19</f>
        <v>1917.7072441172436</v>
      </c>
      <c r="G4119" s="16">
        <f>MAX(G4118,Inputs!$D$6)*Inputs!$D$19</f>
        <v>2236.2000632202362</v>
      </c>
      <c r="H4119" s="16">
        <f>MAX(H4118,Inputs!$D$6)*Inputs!$D$19</f>
        <v>2236.2000632202362</v>
      </c>
      <c r="I4119" s="16">
        <f>MAX(I4118,Inputs!$D$6)*Inputs!$D$19</f>
        <v>2236.2000632202362</v>
      </c>
      <c r="J4119" s="16">
        <f>MAX(J4118,Inputs!$D$6)*Inputs!$D$19</f>
        <v>2236.2000632202362</v>
      </c>
      <c r="K4119" s="16">
        <f>MAX(K4118,Inputs!$D$6)*Inputs!$D$19</f>
        <v>2236.2000632202362</v>
      </c>
      <c r="L4119" s="16">
        <f>MAX(L4118,Inputs!$D$6)*Inputs!$D$19</f>
        <v>2236.2000632202362</v>
      </c>
      <c r="M4119" s="16">
        <f>MAX(M4118,Inputs!$D$6)*Inputs!$D$19</f>
        <v>2236.2000632202362</v>
      </c>
    </row>
    <row r="4120" spans="2:13" ht="15" customHeight="1" x14ac:dyDescent="0.2">
      <c r="B4120" s="10" t="s">
        <v>907</v>
      </c>
      <c r="C4120" s="10" t="s">
        <v>110</v>
      </c>
      <c r="D4120" s="16">
        <f t="shared" ref="D4120:M4120" si="898">D4113*$D$4126</f>
        <v>183.67786050173677</v>
      </c>
      <c r="E4120" s="16">
        <f t="shared" si="898"/>
        <v>244.9038140023157</v>
      </c>
      <c r="F4120" s="16">
        <f t="shared" si="898"/>
        <v>183.67786050173677</v>
      </c>
      <c r="G4120" s="16">
        <f t="shared" si="898"/>
        <v>0</v>
      </c>
      <c r="H4120" s="16">
        <f t="shared" si="898"/>
        <v>0</v>
      </c>
      <c r="I4120" s="16">
        <f t="shared" si="898"/>
        <v>0</v>
      </c>
      <c r="J4120" s="16">
        <f t="shared" si="898"/>
        <v>0</v>
      </c>
      <c r="K4120" s="16">
        <f t="shared" si="898"/>
        <v>0</v>
      </c>
      <c r="L4120" s="16">
        <f t="shared" si="898"/>
        <v>0</v>
      </c>
      <c r="M4120" s="16">
        <f t="shared" si="898"/>
        <v>0</v>
      </c>
    </row>
    <row r="4121" spans="2:13" ht="15" customHeight="1" x14ac:dyDescent="0.2">
      <c r="B4121" s="10" t="s">
        <v>908</v>
      </c>
      <c r="C4121" s="10" t="s">
        <v>110</v>
      </c>
      <c r="D4121" s="16">
        <f t="shared" ref="D4121:M4121" si="899">D4117-D4119-D4111-D4112-D4120</f>
        <v>-13208.361543033865</v>
      </c>
      <c r="E4121" s="16">
        <f t="shared" si="899"/>
        <v>-11329.363815734641</v>
      </c>
      <c r="F4121" s="16">
        <f t="shared" si="899"/>
        <v>33.008558639178176</v>
      </c>
      <c r="G4121" s="16">
        <f t="shared" si="899"/>
        <v>15760.003139644694</v>
      </c>
      <c r="H4121" s="16">
        <f t="shared" si="899"/>
        <v>3516.2197664035848</v>
      </c>
      <c r="I4121" s="16">
        <f t="shared" si="899"/>
        <v>-1444.3763075325114</v>
      </c>
      <c r="J4121" s="16">
        <f t="shared" si="899"/>
        <v>3516.2197664035848</v>
      </c>
      <c r="K4121" s="16">
        <f t="shared" si="899"/>
        <v>15760.003139644694</v>
      </c>
      <c r="L4121" s="16">
        <f t="shared" si="899"/>
        <v>3516.2197664035848</v>
      </c>
      <c r="M4121" s="16">
        <f t="shared" si="899"/>
        <v>-1444.3763075325114</v>
      </c>
    </row>
    <row r="4122" spans="2:13" ht="15" customHeight="1" x14ac:dyDescent="0.2">
      <c r="B4122" s="10" t="s">
        <v>909</v>
      </c>
      <c r="C4122" s="10" t="s">
        <v>110</v>
      </c>
      <c r="D4122" s="16">
        <f>D4121/(Inputs!$D$7+$D$4128)^D4102</f>
        <v>-12338.734012306515</v>
      </c>
      <c r="E4122" s="16">
        <f>E4121/(Inputs!$D$7+$D$4128)^E4102</f>
        <v>-9619.4335094471644</v>
      </c>
      <c r="F4122" s="16">
        <f>F4121/(Inputs!$D$7+$D$4128)^F4102</f>
        <v>25.480396457773679</v>
      </c>
      <c r="G4122" s="16">
        <f>G4121/(Inputs!$D$7+$D$4128)^G4102</f>
        <v>11060.418668931929</v>
      </c>
      <c r="H4122" s="16">
        <f>H4121/(Inputs!$D$7+$D$4128)^H4102</f>
        <v>2243.5043941801041</v>
      </c>
      <c r="I4122" s="16">
        <f>I4121/(Inputs!$D$7+$D$4128)^I4102</f>
        <v>-837.63263408620151</v>
      </c>
      <c r="J4122" s="16">
        <f>J4121/(Inputs!$D$7+$D$4128)^J4102</f>
        <v>1853.8939649511549</v>
      </c>
      <c r="K4122" s="16">
        <f>K4121/(Inputs!$D$7+$D$4128)^K4102</f>
        <v>7554.41477285153</v>
      </c>
      <c r="L4122" s="16">
        <f>L4121/(Inputs!$D$7+$D$4128)^L4102</f>
        <v>1532.3436883956724</v>
      </c>
      <c r="M4122" s="16">
        <f>M4121/(Inputs!$D$7+$D$4128)^M4102</f>
        <v>-572.11435973376229</v>
      </c>
    </row>
    <row r="4123" spans="2:13" ht="15" customHeight="1" x14ac:dyDescent="0.2">
      <c r="B4123" s="3" t="s">
        <v>910</v>
      </c>
      <c r="C4123" s="10" t="s">
        <v>896</v>
      </c>
      <c r="D4123" s="28">
        <f>(D4109*$D$4127-D4113)/(Inputs!$D$7+$D$4128)^D4102</f>
        <v>87.794597783729941</v>
      </c>
      <c r="E4123" s="28">
        <f>(E4109*$D$4127-E4113)/(Inputs!$D$7+$D$4128)^E4102</f>
        <v>317.67988971817448</v>
      </c>
      <c r="F4123" s="28">
        <f>(F4109*$D$4127-F4113)/(Inputs!$D$7+$D$4128)^F4102</f>
        <v>477.45022393625862</v>
      </c>
      <c r="G4123" s="28">
        <f>(G4109*$D$4127-G4113)/(Inputs!$D$7+$D$4128)^G4102</f>
        <v>511.4740812227605</v>
      </c>
      <c r="H4123" s="28">
        <f>(H4109*$D$4127-H4113)/(Inputs!$D$7+$D$4128)^H4102</f>
        <v>465.00677178969892</v>
      </c>
      <c r="I4123" s="28">
        <f>(I4109*$D$4127-I4113)/(Inputs!$D$7+$D$4128)^I4102</f>
        <v>422.6507043478922</v>
      </c>
      <c r="J4123" s="28">
        <f>(J4109*$D$4127-J4113)/(Inputs!$D$7+$D$4128)^J4102</f>
        <v>384.25297945422085</v>
      </c>
      <c r="K4123" s="28">
        <f>(K4109*$D$4127-K4113)/(Inputs!$D$7+$D$4128)^K4102</f>
        <v>349.34367954563231</v>
      </c>
      <c r="L4123" s="28">
        <f>(L4109*$D$4127-L4113)/(Inputs!$D$7+$D$4128)^L4102</f>
        <v>317.60588196823909</v>
      </c>
      <c r="M4123" s="28">
        <f>(M4109*$D$4127-M4113)/(Inputs!$D$7+$D$4128)^M4102</f>
        <v>288.6761179891347</v>
      </c>
    </row>
    <row r="4124" spans="2:13" ht="15" customHeight="1" x14ac:dyDescent="0.2">
      <c r="B4124" s="10" t="s">
        <v>911</v>
      </c>
      <c r="C4124" s="10" t="s">
        <v>110</v>
      </c>
      <c r="D4124" s="16">
        <f>(-D4111-D4112)/(Inputs!$D$7+$D$4128)^D4102</f>
        <v>-14536.447397527105</v>
      </c>
      <c r="E4124" s="16">
        <f>(-E4111-E4112)/(Inputs!$D$7+$D$4128)^E4102</f>
        <v>-17616.488200475756</v>
      </c>
      <c r="F4124" s="16">
        <f>(-F4111-F4112)/(Inputs!$D$7+$D$4128)^F4102</f>
        <v>-12012.025548964448</v>
      </c>
      <c r="G4124" s="16">
        <f>(-G4111-G4112)/(Inputs!$D$7+$D$4128)^G4102</f>
        <v>-1851.359915178487</v>
      </c>
      <c r="H4124" s="16">
        <f>(-H4111-H4112)/(Inputs!$D$7+$D$4128)^H4102</f>
        <v>-9495.2419037884629</v>
      </c>
      <c r="I4124" s="16">
        <f>(-I4111-I4112)/(Inputs!$D$7+$D$4128)^I4102</f>
        <v>-11507.131858586603</v>
      </c>
      <c r="J4124" s="16">
        <f>(-J4111-J4112)/(Inputs!$D$7+$D$4128)^J4102</f>
        <v>-7846.2835672839774</v>
      </c>
      <c r="K4124" s="16">
        <f>(-K4111-K4112)/(Inputs!$D$7+$D$4128)^K4102</f>
        <v>-1264.5037327904422</v>
      </c>
      <c r="L4124" s="16">
        <f>(-L4111-L4112)/(Inputs!$D$7+$D$4128)^L4102</f>
        <v>-6485.3779822337692</v>
      </c>
      <c r="M4124" s="16">
        <f>(-M4111-M4112)/(Inputs!$D$7+$D$4128)^M4102</f>
        <v>-7859.5258920747219</v>
      </c>
    </row>
    <row r="4125" spans="2:13" ht="15" customHeight="1" x14ac:dyDescent="0.2">
      <c r="B4125" s="10" t="s">
        <v>912</v>
      </c>
      <c r="C4125" s="10" t="s">
        <v>110</v>
      </c>
      <c r="D4125" s="16">
        <f>Prices!I9</f>
        <v>21850</v>
      </c>
    </row>
    <row r="4126" spans="2:13" ht="15" customHeight="1" x14ac:dyDescent="0.2">
      <c r="B4126" s="3" t="s">
        <v>913</v>
      </c>
      <c r="C4126" s="10" t="s">
        <v>914</v>
      </c>
      <c r="D4126" s="28">
        <f>IF(J4133&gt;=J4129,J4133,(D4125-J4132)/J4131)</f>
        <v>28.3125796534469</v>
      </c>
      <c r="G4126" s="99" t="s">
        <v>915</v>
      </c>
      <c r="H4126" s="91"/>
      <c r="I4126" s="91"/>
      <c r="J4126" s="28">
        <f>D4126*Inputs!$D$15</f>
        <v>19.759349340140592</v>
      </c>
      <c r="K4126" s="99" t="s">
        <v>916</v>
      </c>
      <c r="L4126" s="91"/>
      <c r="M4126" s="91"/>
    </row>
    <row r="4127" spans="2:13" ht="15" customHeight="1" x14ac:dyDescent="0.2">
      <c r="B4127" s="10" t="s">
        <v>917</v>
      </c>
      <c r="C4127" s="10" t="s">
        <v>104</v>
      </c>
      <c r="D4127" s="30">
        <f>Inputs!$D$144</f>
        <v>0.8</v>
      </c>
      <c r="G4127" s="99" t="s">
        <v>918</v>
      </c>
      <c r="H4127" s="91"/>
      <c r="I4127" s="91"/>
      <c r="J4127" s="28">
        <f>IF(-D4138/D4137&gt;=J4129,-D4138/D4137,-J4132/J4131)</f>
        <v>24.180966914247158</v>
      </c>
      <c r="K4127" s="99" t="s">
        <v>919</v>
      </c>
      <c r="L4127" s="91"/>
      <c r="M4127" s="91"/>
    </row>
    <row r="4128" spans="2:13" ht="15" customHeight="1" x14ac:dyDescent="0.2">
      <c r="B4128" s="10" t="s">
        <v>920</v>
      </c>
      <c r="C4128" s="10" t="s">
        <v>104</v>
      </c>
      <c r="D4128" s="30">
        <f>Inputs!$D$147</f>
        <v>0.1</v>
      </c>
      <c r="G4128" s="99" t="s">
        <v>918</v>
      </c>
      <c r="H4128" s="91"/>
      <c r="I4128" s="91"/>
      <c r="J4128" s="28">
        <f>J4127*Inputs!$D$15</f>
        <v>16.875896809453092</v>
      </c>
      <c r="K4128" s="99" t="s">
        <v>916</v>
      </c>
      <c r="L4128" s="91"/>
      <c r="M4128" s="91"/>
    </row>
    <row r="4129" spans="2:13" ht="15" customHeight="1" x14ac:dyDescent="0.2">
      <c r="B4129" s="3" t="s">
        <v>921</v>
      </c>
      <c r="C4129" s="10" t="s">
        <v>848</v>
      </c>
      <c r="D4129" s="28">
        <f>Capital!$D$13</f>
        <v>57.347931490590682</v>
      </c>
      <c r="G4129" s="99" t="s">
        <v>922</v>
      </c>
      <c r="H4129" s="91"/>
      <c r="I4129" s="91"/>
      <c r="J4129" s="28">
        <f>($D$4129/Inputs!$D$21+$D$4130/Inputs!$D$22)/$D$4127</f>
        <v>18.084807684821598</v>
      </c>
      <c r="K4129" s="99" t="s">
        <v>919</v>
      </c>
      <c r="L4129" s="91"/>
      <c r="M4129" s="91"/>
    </row>
    <row r="4130" spans="2:13" ht="15" customHeight="1" x14ac:dyDescent="0.2">
      <c r="B4130" s="3" t="s">
        <v>923</v>
      </c>
      <c r="C4130" s="10" t="s">
        <v>848</v>
      </c>
      <c r="D4130" s="28">
        <f>Capital!$D$14</f>
        <v>2.6172655041921802</v>
      </c>
    </row>
    <row r="4131" spans="2:13" ht="15" customHeight="1" x14ac:dyDescent="0.2">
      <c r="B4131" s="10" t="s">
        <v>924</v>
      </c>
      <c r="C4131" s="10" t="s">
        <v>896</v>
      </c>
      <c r="D4131" s="28">
        <f>(M4104*(Inputs!$D$7+Inputs!$D$20)*$D$4127*(Inputs!$D$7-Inputs!$D$19)-M4104*Inputs!$D$20*Inputs!$D$23)/($D$4128-Inputs!$D$20)/(Inputs!$D$7+$D$4128)^M4102</f>
        <v>2758.661152533668</v>
      </c>
      <c r="G4131" s="92" t="s">
        <v>910</v>
      </c>
      <c r="H4131" s="91"/>
      <c r="I4131" s="91"/>
      <c r="J4131" s="28">
        <f>SUM(D4123:M4123)+(M4104*(Inputs!$D$7+Inputs!$D$20)*$D$4127-M4104*Inputs!$D$20*Inputs!$D$23)/($D$4128-Inputs!$D$20)/(Inputs!$D$7+$D$4128)^M4102</f>
        <v>7564.1681640448605</v>
      </c>
      <c r="K4131" s="99" t="s">
        <v>896</v>
      </c>
      <c r="L4131" s="91"/>
      <c r="M4131" s="91"/>
    </row>
    <row r="4132" spans="2:13" ht="15" customHeight="1" x14ac:dyDescent="0.2">
      <c r="B4132" s="10" t="s">
        <v>925</v>
      </c>
      <c r="C4132" s="10" t="s">
        <v>110</v>
      </c>
      <c r="D4132" s="16">
        <f>(D4135*Inputs!$D$19-D4135-D4136)/($D$4128-Inputs!$D$20)/(Inputs!$D$7+$D$4128)^M4102</f>
        <v>-57156.954988173631</v>
      </c>
      <c r="G4132" s="92" t="s">
        <v>926</v>
      </c>
      <c r="H4132" s="91"/>
      <c r="I4132" s="91"/>
      <c r="J4132" s="16">
        <f>SUM(D4124:M4124)-(D4135+D4136)/($D$4128-Inputs!$D$20)/(Inputs!$D$7+$D$4128)^M4102</f>
        <v>-169036.01450291832</v>
      </c>
      <c r="K4132" s="99" t="s">
        <v>110</v>
      </c>
      <c r="L4132" s="91"/>
      <c r="M4132" s="91"/>
    </row>
    <row r="4133" spans="2:13" ht="15" customHeight="1" x14ac:dyDescent="0.2">
      <c r="B4133" s="10" t="s">
        <v>927</v>
      </c>
      <c r="C4133" s="10" t="s">
        <v>928</v>
      </c>
      <c r="D4133" s="16">
        <f>(M4104*(Inputs!$D$7+Inputs!$D$20)*$D$4126*$D$4127-D4135)-MAX((M4104*(Inputs!$D$7+Inputs!$D$20)*$D$4126*$D$4127-D4135),Inputs!$D$6)*Inputs!$D$19-D4136-M4104*Inputs!$D$20*$D$4126*Inputs!$D$23</f>
        <v>3966.4173146053686</v>
      </c>
      <c r="G4133" s="99" t="s">
        <v>929</v>
      </c>
      <c r="H4133" s="91"/>
      <c r="I4133" s="91"/>
      <c r="J4133" s="28">
        <f>(D4125-D4138)/D4137</f>
        <v>28.3125796534469</v>
      </c>
      <c r="K4133" s="99" t="s">
        <v>919</v>
      </c>
      <c r="L4133" s="91"/>
      <c r="M4133" s="91"/>
    </row>
    <row r="4134" spans="2:13" ht="15" customHeight="1" x14ac:dyDescent="0.2">
      <c r="B4134" s="10" t="s">
        <v>930</v>
      </c>
      <c r="C4134" s="10" t="s">
        <v>110</v>
      </c>
      <c r="D4134" s="16">
        <f>D4133/($D$4128-Inputs!$D$20)</f>
        <v>52885.564194738239</v>
      </c>
      <c r="G4134" s="99" t="s">
        <v>931</v>
      </c>
      <c r="H4134" s="91"/>
      <c r="I4134" s="91"/>
      <c r="J4134" s="16">
        <f>MIN(D4118:M4118,(M4104*(Inputs!$D$7+Inputs!$D$20)*$D$4126*$D$4127-D4135))</f>
        <v>1027.5823595451204</v>
      </c>
      <c r="K4134" s="99" t="s">
        <v>110</v>
      </c>
      <c r="L4134" s="91"/>
      <c r="M4134" s="91"/>
    </row>
    <row r="4135" spans="2:13" ht="15" customHeight="1" x14ac:dyDescent="0.2">
      <c r="B4135" s="10" t="s">
        <v>932</v>
      </c>
      <c r="C4135" s="10" t="s">
        <v>928</v>
      </c>
      <c r="D4135" s="16">
        <f>M4104*(Inputs!$D$7+Inputs!$D$20)*($D$4129/Inputs!$D$21+$D$4130/Inputs!$D$22)</f>
        <v>13509.71303671543</v>
      </c>
      <c r="G4135" s="99" t="s">
        <v>933</v>
      </c>
      <c r="H4135" s="91"/>
      <c r="I4135" s="91"/>
      <c r="J4135" s="31" t="str">
        <f>IF(J4134&lt;Inputs!$D$6,"breached","satisfied")</f>
        <v>satisfied</v>
      </c>
      <c r="K4135" s="99" t="s">
        <v>934</v>
      </c>
      <c r="L4135" s="91"/>
      <c r="M4135" s="91"/>
    </row>
    <row r="4136" spans="2:13" ht="15" customHeight="1" x14ac:dyDescent="0.2">
      <c r="B4136" s="10" t="s">
        <v>935</v>
      </c>
      <c r="C4136" s="10" t="s">
        <v>928</v>
      </c>
      <c r="D4136" s="16">
        <f>M4104*Inputs!$D$20*($D$4129+$D$4130)</f>
        <v>1365.7073615561799</v>
      </c>
    </row>
    <row r="4137" spans="2:13" ht="15" customHeight="1" x14ac:dyDescent="0.2">
      <c r="B4137" s="10" t="s">
        <v>936</v>
      </c>
      <c r="C4137" s="10" t="s">
        <v>896</v>
      </c>
      <c r="D4137" s="28">
        <f>SUM(D4114:M4114)+D4131</f>
        <v>5288.4917777245864</v>
      </c>
      <c r="G4137" s="99" t="s">
        <v>937</v>
      </c>
      <c r="H4137" s="91"/>
      <c r="I4137" s="91"/>
      <c r="J4137" s="16">
        <f>D4139-D4125</f>
        <v>-2.9103830456733704E-11</v>
      </c>
      <c r="K4137" s="99" t="s">
        <v>110</v>
      </c>
      <c r="L4137" s="91"/>
      <c r="M4137" s="91"/>
    </row>
    <row r="4138" spans="2:13" ht="15" customHeight="1" x14ac:dyDescent="0.2">
      <c r="B4138" s="10" t="s">
        <v>938</v>
      </c>
      <c r="C4138" s="10" t="s">
        <v>110</v>
      </c>
      <c r="D4138" s="16">
        <f>SUM(D4115:M4115)+D4132</f>
        <v>-127880.84470342637</v>
      </c>
    </row>
    <row r="4139" spans="2:13" ht="15" customHeight="1" x14ac:dyDescent="0.2">
      <c r="B4139" s="10" t="s">
        <v>939</v>
      </c>
      <c r="C4139" s="10" t="s">
        <v>110</v>
      </c>
      <c r="D4139" s="16">
        <f>SUM(D4122:M4122)+D4134/(Inputs!$D$7+$D$4128)^M4102</f>
        <v>21849.999999999971</v>
      </c>
    </row>
    <row r="4140" spans="2:13" ht="15" customHeight="1" x14ac:dyDescent="0.2">
      <c r="B4140" s="10" t="s">
        <v>940</v>
      </c>
      <c r="C4140" s="10" t="s">
        <v>104</v>
      </c>
      <c r="D4140" s="30">
        <f>IF(ABS(D4125)&gt;Inputs!$D$6,D4139/D4125-Inputs!$D$7,Inputs!$D$6)</f>
        <v>-1.3322676295501878E-15</v>
      </c>
    </row>
    <row r="4141" spans="2:13" ht="15" customHeight="1" x14ac:dyDescent="0.2">
      <c r="B4141" s="10" t="s">
        <v>941</v>
      </c>
      <c r="C4141" s="10" t="s">
        <v>104</v>
      </c>
      <c r="D4141" s="30">
        <f>IF(ABS(D4139)&gt;Inputs!$D$119,D4134/(Inputs!$D$7+$D$4128)^M4102/D4139,Inputs!$D$6)</f>
        <v>0.95871206543732168</v>
      </c>
    </row>
    <row r="4142" spans="2:13" ht="15" customHeight="1" x14ac:dyDescent="0.2">
      <c r="B4142" s="10" t="s">
        <v>942</v>
      </c>
      <c r="C4142" s="10" t="s">
        <v>943</v>
      </c>
      <c r="D4142" s="26">
        <f>$D$4126*Inputs!$D$8/Prices!$P$6/(Inputs!$D$26/Inputs!$D$25)/Inputs!$D$11/Inputs!$D$56</f>
        <v>5.1487286100723688</v>
      </c>
    </row>
    <row r="4146" spans="1:13" ht="15" customHeight="1" x14ac:dyDescent="0.2">
      <c r="A4146" s="104" t="s">
        <v>2255</v>
      </c>
      <c r="B4146" s="10" t="s">
        <v>886</v>
      </c>
      <c r="C4146" s="10" t="s">
        <v>107</v>
      </c>
      <c r="D4146" s="28">
        <f>Inputs!$D$60</f>
        <v>1</v>
      </c>
      <c r="E4146" s="28">
        <f>Inputs!$D$62</f>
        <v>2</v>
      </c>
      <c r="F4146" s="28">
        <f>Inputs!$D$64</f>
        <v>3</v>
      </c>
      <c r="G4146" s="28">
        <f>Inputs!$D$66</f>
        <v>4</v>
      </c>
      <c r="H4146" s="28">
        <f>Inputs!$D$68</f>
        <v>5</v>
      </c>
      <c r="I4146" s="28">
        <f>Inputs!$D$70</f>
        <v>6</v>
      </c>
      <c r="J4146" s="28">
        <f>Inputs!$D$72</f>
        <v>7</v>
      </c>
      <c r="K4146" s="28">
        <f>Inputs!$D$74</f>
        <v>8</v>
      </c>
      <c r="L4146" s="28">
        <f>Inputs!$D$76</f>
        <v>9</v>
      </c>
      <c r="M4146" s="28">
        <f>Inputs!$D$78</f>
        <v>10</v>
      </c>
    </row>
    <row r="4147" spans="1:13" ht="15" customHeight="1" x14ac:dyDescent="0.2">
      <c r="A4147" s="91"/>
      <c r="B4147" s="10" t="s">
        <v>887</v>
      </c>
      <c r="C4147" s="10" t="s">
        <v>161</v>
      </c>
      <c r="D4147" s="29">
        <f>Inputs!$D$61</f>
        <v>46568</v>
      </c>
      <c r="E4147" s="29">
        <f>Inputs!$D$63</f>
        <v>46934</v>
      </c>
      <c r="F4147" s="29">
        <f>Inputs!$D$65</f>
        <v>47299</v>
      </c>
      <c r="G4147" s="29">
        <f>Inputs!$D$67</f>
        <v>47664</v>
      </c>
      <c r="H4147" s="29">
        <f>Inputs!$D$69</f>
        <v>48029</v>
      </c>
      <c r="I4147" s="29">
        <f>Inputs!$D$71</f>
        <v>48395</v>
      </c>
      <c r="J4147" s="29">
        <f>Inputs!$D$73</f>
        <v>48760</v>
      </c>
      <c r="K4147" s="29">
        <f>Inputs!$D$75</f>
        <v>49125</v>
      </c>
      <c r="L4147" s="29">
        <f>Inputs!$D$77</f>
        <v>49490</v>
      </c>
      <c r="M4147" s="29">
        <f>Inputs!$D$79</f>
        <v>49856</v>
      </c>
    </row>
    <row r="4148" spans="1:13" ht="15" customHeight="1" x14ac:dyDescent="0.2">
      <c r="A4148" s="91"/>
      <c r="B4148" s="10" t="s">
        <v>888</v>
      </c>
      <c r="C4148" s="10" t="s">
        <v>107</v>
      </c>
      <c r="D4148" s="28">
        <f>(D4147-Inputs!$D$13)/Inputs!$D$10</f>
        <v>0.71457905544147848</v>
      </c>
      <c r="E4148" s="28">
        <f>(E4147-Inputs!$D$13)/Inputs!$D$10</f>
        <v>1.7166324435318274</v>
      </c>
      <c r="F4148" s="28">
        <f>(F4147-Inputs!$D$13)/Inputs!$D$10</f>
        <v>2.7159479808350446</v>
      </c>
      <c r="G4148" s="28">
        <f>(G4147-Inputs!$D$13)/Inputs!$D$10</f>
        <v>3.7152635181382614</v>
      </c>
      <c r="H4148" s="28">
        <f>(H4147-Inputs!$D$13)/Inputs!$D$10</f>
        <v>4.7145790554414786</v>
      </c>
      <c r="I4148" s="28">
        <f>(I4147-Inputs!$D$13)/Inputs!$D$10</f>
        <v>5.7166324435318279</v>
      </c>
      <c r="J4148" s="28">
        <f>(J4147-Inputs!$D$13)/Inputs!$D$10</f>
        <v>6.7159479808350442</v>
      </c>
      <c r="K4148" s="28">
        <f>(K4147-Inputs!$D$13)/Inputs!$D$10</f>
        <v>7.7152635181382614</v>
      </c>
      <c r="L4148" s="28">
        <f>(L4147-Inputs!$D$13)/Inputs!$D$10</f>
        <v>8.7145790554414777</v>
      </c>
      <c r="M4148" s="28">
        <f>(M4147-Inputs!$D$13)/Inputs!$D$10</f>
        <v>9.716632443531827</v>
      </c>
    </row>
    <row r="4149" spans="1:13" ht="15" customHeight="1" x14ac:dyDescent="0.2">
      <c r="A4149" s="91"/>
      <c r="B4149" s="10" t="s">
        <v>889</v>
      </c>
      <c r="C4149" s="10" t="s">
        <v>107</v>
      </c>
      <c r="D4149" s="28">
        <f>D4148</f>
        <v>0.71457905544147848</v>
      </c>
      <c r="E4149" s="28">
        <f>Inputs!$D$7</f>
        <v>1</v>
      </c>
      <c r="F4149" s="28">
        <f>Inputs!$D$7</f>
        <v>1</v>
      </c>
      <c r="G4149" s="28">
        <f>Inputs!$D$7</f>
        <v>1</v>
      </c>
      <c r="H4149" s="28">
        <f>Inputs!$D$7</f>
        <v>1</v>
      </c>
      <c r="I4149" s="28">
        <f>Inputs!$D$7</f>
        <v>1</v>
      </c>
      <c r="J4149" s="28">
        <f>Inputs!$D$7</f>
        <v>1</v>
      </c>
      <c r="K4149" s="28">
        <f>Inputs!$D$7</f>
        <v>1</v>
      </c>
      <c r="L4149" s="28">
        <f>Inputs!$D$7</f>
        <v>1</v>
      </c>
      <c r="M4149" s="28">
        <f>Inputs!$D$7</f>
        <v>1</v>
      </c>
    </row>
    <row r="4150" spans="1:13" ht="15" customHeight="1" x14ac:dyDescent="0.2">
      <c r="A4150" s="91"/>
      <c r="B4150" s="3" t="s">
        <v>890</v>
      </c>
      <c r="C4150" s="10" t="s">
        <v>199</v>
      </c>
      <c r="D4150" s="28">
        <f>Inputs!$D$24+(Inputs!$D$80-Inputs!$D$24)*Inputs!$D$83</f>
        <v>305.5</v>
      </c>
      <c r="E4150" s="28">
        <f>Inputs!$D$24+(Inputs!$D$80-Inputs!$D$24)*Inputs!$D$84</f>
        <v>651.5</v>
      </c>
      <c r="F4150" s="28">
        <f>Inputs!$D$24+(Inputs!$D$80-Inputs!$D$24)*Inputs!$D$85</f>
        <v>911</v>
      </c>
      <c r="G4150" s="28">
        <f>Inputs!$D$24+(Inputs!$D$80-Inputs!$D$24)*Inputs!$D$86</f>
        <v>911</v>
      </c>
      <c r="H4150" s="28">
        <f>Inputs!$D$24+(Inputs!$D$80-Inputs!$D$24)*Inputs!$D$87</f>
        <v>911</v>
      </c>
      <c r="I4150" s="28">
        <f>Inputs!$D$24+(Inputs!$D$80-Inputs!$D$24)*Inputs!$D$88</f>
        <v>911</v>
      </c>
      <c r="J4150" s="28">
        <f>Inputs!$D$24+(Inputs!$D$80-Inputs!$D$24)*Inputs!$D$89</f>
        <v>911</v>
      </c>
      <c r="K4150" s="28">
        <f>Inputs!$D$24+(Inputs!$D$80-Inputs!$D$24)*Inputs!$D$90</f>
        <v>911</v>
      </c>
      <c r="L4150" s="28">
        <f>Inputs!$D$24+(Inputs!$D$80-Inputs!$D$24)*Inputs!$D$91</f>
        <v>911</v>
      </c>
      <c r="M4150" s="28">
        <f>Inputs!$D$24+(Inputs!$D$80-Inputs!$D$24)*Inputs!$D$92</f>
        <v>911</v>
      </c>
    </row>
    <row r="4151" spans="1:13" ht="15" customHeight="1" x14ac:dyDescent="0.2">
      <c r="A4151" s="91"/>
      <c r="B4151" s="10" t="s">
        <v>891</v>
      </c>
      <c r="C4151" s="10" t="s">
        <v>199</v>
      </c>
      <c r="D4151" s="28">
        <f>Inputs!$D$24</f>
        <v>46</v>
      </c>
      <c r="E4151" s="28">
        <f t="shared" ref="E4151:M4151" si="900">D4150</f>
        <v>305.5</v>
      </c>
      <c r="F4151" s="28">
        <f t="shared" si="900"/>
        <v>651.5</v>
      </c>
      <c r="G4151" s="28">
        <f t="shared" si="900"/>
        <v>911</v>
      </c>
      <c r="H4151" s="28">
        <f t="shared" si="900"/>
        <v>911</v>
      </c>
      <c r="I4151" s="28">
        <f t="shared" si="900"/>
        <v>911</v>
      </c>
      <c r="J4151" s="28">
        <f t="shared" si="900"/>
        <v>911</v>
      </c>
      <c r="K4151" s="28">
        <f t="shared" si="900"/>
        <v>911</v>
      </c>
      <c r="L4151" s="28">
        <f t="shared" si="900"/>
        <v>911</v>
      </c>
      <c r="M4151" s="28">
        <f t="shared" si="900"/>
        <v>911</v>
      </c>
    </row>
    <row r="4152" spans="1:13" ht="15" customHeight="1" x14ac:dyDescent="0.2">
      <c r="B4152" s="10" t="s">
        <v>892</v>
      </c>
      <c r="C4152" s="10" t="s">
        <v>199</v>
      </c>
      <c r="D4152" s="28">
        <f>(D4151+D4150)*Inputs!$D$12</f>
        <v>175.75</v>
      </c>
      <c r="E4152" s="28">
        <f>(E4151+E4150)*Inputs!$D$12</f>
        <v>478.5</v>
      </c>
      <c r="F4152" s="28">
        <f>(F4151+F4150)*Inputs!$D$12</f>
        <v>781.25</v>
      </c>
      <c r="G4152" s="28">
        <f>(G4151+G4150)*Inputs!$D$12</f>
        <v>911</v>
      </c>
      <c r="H4152" s="28">
        <f>(H4151+H4150)*Inputs!$D$12</f>
        <v>911</v>
      </c>
      <c r="I4152" s="28">
        <f>(I4151+I4150)*Inputs!$D$12</f>
        <v>911</v>
      </c>
      <c r="J4152" s="28">
        <f>(J4151+J4150)*Inputs!$D$12</f>
        <v>911</v>
      </c>
      <c r="K4152" s="28">
        <f>(K4151+K4150)*Inputs!$D$12</f>
        <v>911</v>
      </c>
      <c r="L4152" s="28">
        <f>(L4151+L4150)*Inputs!$D$12</f>
        <v>911</v>
      </c>
      <c r="M4152" s="28">
        <f>(M4151+M4150)*Inputs!$D$12</f>
        <v>911</v>
      </c>
    </row>
    <row r="4153" spans="1:13" ht="15" customHeight="1" x14ac:dyDescent="0.2">
      <c r="B4153" s="10" t="s">
        <v>893</v>
      </c>
      <c r="C4153" s="10" t="s">
        <v>199</v>
      </c>
      <c r="D4153" s="28">
        <f t="shared" ref="D4153:M4153" si="901">D4150-D4151</f>
        <v>259.5</v>
      </c>
      <c r="E4153" s="28">
        <f t="shared" si="901"/>
        <v>346</v>
      </c>
      <c r="F4153" s="28">
        <f t="shared" si="901"/>
        <v>259.5</v>
      </c>
      <c r="G4153" s="28">
        <f t="shared" si="901"/>
        <v>0</v>
      </c>
      <c r="H4153" s="28">
        <f t="shared" si="901"/>
        <v>0</v>
      </c>
      <c r="I4153" s="28">
        <f t="shared" si="901"/>
        <v>0</v>
      </c>
      <c r="J4153" s="28">
        <f t="shared" si="901"/>
        <v>0</v>
      </c>
      <c r="K4153" s="28">
        <f t="shared" si="901"/>
        <v>0</v>
      </c>
      <c r="L4153" s="28">
        <f t="shared" si="901"/>
        <v>0</v>
      </c>
      <c r="M4153" s="28">
        <f t="shared" si="901"/>
        <v>0</v>
      </c>
    </row>
    <row r="4154" spans="1:13" ht="15" customHeight="1" x14ac:dyDescent="0.2">
      <c r="B4154" s="10" t="s">
        <v>894</v>
      </c>
      <c r="C4154" s="10" t="s">
        <v>199</v>
      </c>
      <c r="D4154" s="28">
        <f>IF(MOD(D4146,Inputs!$D$21)=Inputs!$D$6,Inputs!$D$24,Inputs!$D$6)+SUMPRODUCT(--(D4146&gt;$D$4146:$M$4146),--(MOD(D4146-$D$4146:$M$4146,Inputs!$D$21)=Inputs!$D$6),$D$4153:$M$4153)</f>
        <v>0</v>
      </c>
      <c r="E4154" s="28">
        <f>IF(MOD(E4146,Inputs!$D$21)=Inputs!$D$6,Inputs!$D$24,Inputs!$D$6)+SUMPRODUCT(--(E4146&gt;$D$4146:$M$4146),--(MOD(E4146-$D$4146:$M$4146,Inputs!$D$21)=Inputs!$D$6),$D$4153:$M$4153)</f>
        <v>0</v>
      </c>
      <c r="F4154" s="28">
        <f>IF(MOD(F4146,Inputs!$D$21)=Inputs!$D$6,Inputs!$D$24,Inputs!$D$6)+SUMPRODUCT(--(F4146&gt;$D$4146:$M$4146),--(MOD(F4146-$D$4146:$M$4146,Inputs!$D$21)=Inputs!$D$6),$D$4153:$M$4153)</f>
        <v>0</v>
      </c>
      <c r="G4154" s="28">
        <f>IF(MOD(G4146,Inputs!$D$21)=Inputs!$D$6,Inputs!$D$24,Inputs!$D$6)+SUMPRODUCT(--(G4146&gt;$D$4146:$M$4146),--(MOD(G4146-$D$4146:$M$4146,Inputs!$D$21)=Inputs!$D$6),$D$4153:$M$4153)</f>
        <v>46</v>
      </c>
      <c r="H4154" s="28">
        <f>IF(MOD(H4146,Inputs!$D$21)=Inputs!$D$6,Inputs!$D$24,Inputs!$D$6)+SUMPRODUCT(--(H4146&gt;$D$4146:$M$4146),--(MOD(H4146-$D$4146:$M$4146,Inputs!$D$21)=Inputs!$D$6),$D$4153:$M$4153)</f>
        <v>259.5</v>
      </c>
      <c r="I4154" s="28">
        <f>IF(MOD(I4146,Inputs!$D$21)=Inputs!$D$6,Inputs!$D$24,Inputs!$D$6)+SUMPRODUCT(--(I4146&gt;$D$4146:$M$4146),--(MOD(I4146-$D$4146:$M$4146,Inputs!$D$21)=Inputs!$D$6),$D$4153:$M$4153)</f>
        <v>346</v>
      </c>
      <c r="J4154" s="28">
        <f>IF(MOD(J4146,Inputs!$D$21)=Inputs!$D$6,Inputs!$D$24,Inputs!$D$6)+SUMPRODUCT(--(J4146&gt;$D$4146:$M$4146),--(MOD(J4146-$D$4146:$M$4146,Inputs!$D$21)=Inputs!$D$6),$D$4153:$M$4153)</f>
        <v>259.5</v>
      </c>
      <c r="K4154" s="28">
        <f>IF(MOD(K4146,Inputs!$D$21)=Inputs!$D$6,Inputs!$D$24,Inputs!$D$6)+SUMPRODUCT(--(K4146&gt;$D$4146:$M$4146),--(MOD(K4146-$D$4146:$M$4146,Inputs!$D$21)=Inputs!$D$6),$D$4153:$M$4153)</f>
        <v>46</v>
      </c>
      <c r="L4154" s="28">
        <f>IF(MOD(L4146,Inputs!$D$21)=Inputs!$D$6,Inputs!$D$24,Inputs!$D$6)+SUMPRODUCT(--(L4146&gt;$D$4146:$M$4146),--(MOD(L4146-$D$4146:$M$4146,Inputs!$D$21)=Inputs!$D$6),$D$4153:$M$4153)</f>
        <v>259.5</v>
      </c>
      <c r="M4154" s="28">
        <f>IF(MOD(M4146,Inputs!$D$21)=Inputs!$D$6,Inputs!$D$24,Inputs!$D$6)+SUMPRODUCT(--(M4146&gt;$D$4146:$M$4146),--(MOD(M4146-$D$4146:$M$4146,Inputs!$D$21)=Inputs!$D$6),$D$4153:$M$4153)</f>
        <v>346</v>
      </c>
    </row>
    <row r="4155" spans="1:13" ht="15" customHeight="1" x14ac:dyDescent="0.2">
      <c r="B4155" s="10" t="s">
        <v>895</v>
      </c>
      <c r="C4155" s="10" t="s">
        <v>896</v>
      </c>
      <c r="D4155" s="28">
        <f t="shared" ref="D4155:M4155" si="902">D4152*D4149</f>
        <v>125.58726899383984</v>
      </c>
      <c r="E4155" s="28">
        <f t="shared" si="902"/>
        <v>478.5</v>
      </c>
      <c r="F4155" s="28">
        <f t="shared" si="902"/>
        <v>781.25</v>
      </c>
      <c r="G4155" s="28">
        <f t="shared" si="902"/>
        <v>911</v>
      </c>
      <c r="H4155" s="28">
        <f t="shared" si="902"/>
        <v>911</v>
      </c>
      <c r="I4155" s="28">
        <f t="shared" si="902"/>
        <v>911</v>
      </c>
      <c r="J4155" s="28">
        <f t="shared" si="902"/>
        <v>911</v>
      </c>
      <c r="K4155" s="28">
        <f t="shared" si="902"/>
        <v>911</v>
      </c>
      <c r="L4155" s="28">
        <f t="shared" si="902"/>
        <v>911</v>
      </c>
      <c r="M4155" s="28">
        <f t="shared" si="902"/>
        <v>911</v>
      </c>
    </row>
    <row r="4156" spans="1:13" ht="15" customHeight="1" x14ac:dyDescent="0.2">
      <c r="B4156" s="10" t="s">
        <v>897</v>
      </c>
      <c r="C4156" s="10" t="s">
        <v>110</v>
      </c>
      <c r="D4156" s="16">
        <f>D4155*($D$4175/Inputs!$D$21+$D$4176/Inputs!$D$22)</f>
        <v>1816.9772859324419</v>
      </c>
      <c r="E4156" s="16">
        <f>E4155*($D$4175/Inputs!$D$21+$D$4176/Inputs!$D$22)</f>
        <v>6922.8643817497086</v>
      </c>
      <c r="F4156" s="16">
        <f>F4155*($D$4175/Inputs!$D$21+$D$4176/Inputs!$D$22)</f>
        <v>11303.0048030135</v>
      </c>
      <c r="G4156" s="16">
        <f>G4155*($D$4175/Inputs!$D$21+$D$4176/Inputs!$D$22)</f>
        <v>13180.207840697982</v>
      </c>
      <c r="H4156" s="16">
        <f>H4155*($D$4175/Inputs!$D$21+$D$4176/Inputs!$D$22)</f>
        <v>13180.207840697982</v>
      </c>
      <c r="I4156" s="16">
        <f>I4155*($D$4175/Inputs!$D$21+$D$4176/Inputs!$D$22)</f>
        <v>13180.207840697982</v>
      </c>
      <c r="J4156" s="16">
        <f>J4155*($D$4175/Inputs!$D$21+$D$4176/Inputs!$D$22)</f>
        <v>13180.207840697982</v>
      </c>
      <c r="K4156" s="16">
        <f>K4155*($D$4175/Inputs!$D$21+$D$4176/Inputs!$D$22)</f>
        <v>13180.207840697982</v>
      </c>
      <c r="L4156" s="16">
        <f>L4155*($D$4175/Inputs!$D$21+$D$4176/Inputs!$D$22)</f>
        <v>13180.207840697982</v>
      </c>
      <c r="M4156" s="16">
        <f>M4155*($D$4175/Inputs!$D$21+$D$4176/Inputs!$D$22)</f>
        <v>13180.207840697982</v>
      </c>
    </row>
    <row r="4157" spans="1:13" ht="15" customHeight="1" x14ac:dyDescent="0.2">
      <c r="B4157" s="10" t="s">
        <v>898</v>
      </c>
      <c r="C4157" s="10" t="s">
        <v>110</v>
      </c>
      <c r="D4157" s="16">
        <f t="shared" ref="D4157:M4157" si="903">D4153*($D$4175+$D$4176)</f>
        <v>15560.968620146154</v>
      </c>
      <c r="E4157" s="16">
        <f t="shared" si="903"/>
        <v>20747.95816019487</v>
      </c>
      <c r="F4157" s="16">
        <f t="shared" si="903"/>
        <v>15560.968620146154</v>
      </c>
      <c r="G4157" s="16">
        <f t="shared" si="903"/>
        <v>0</v>
      </c>
      <c r="H4157" s="16">
        <f t="shared" si="903"/>
        <v>0</v>
      </c>
      <c r="I4157" s="16">
        <f t="shared" si="903"/>
        <v>0</v>
      </c>
      <c r="J4157" s="16">
        <f t="shared" si="903"/>
        <v>0</v>
      </c>
      <c r="K4157" s="16">
        <f t="shared" si="903"/>
        <v>0</v>
      </c>
      <c r="L4157" s="16">
        <f t="shared" si="903"/>
        <v>0</v>
      </c>
      <c r="M4157" s="16">
        <f t="shared" si="903"/>
        <v>0</v>
      </c>
    </row>
    <row r="4158" spans="1:13" ht="15" customHeight="1" x14ac:dyDescent="0.2">
      <c r="B4158" s="10" t="s">
        <v>899</v>
      </c>
      <c r="C4158" s="10" t="s">
        <v>110</v>
      </c>
      <c r="D4158" s="16">
        <f t="shared" ref="D4158:M4158" si="904">D4154*$D$4175</f>
        <v>0</v>
      </c>
      <c r="E4158" s="16">
        <f t="shared" si="904"/>
        <v>0</v>
      </c>
      <c r="F4158" s="16">
        <f t="shared" si="904"/>
        <v>0</v>
      </c>
      <c r="G4158" s="16">
        <f t="shared" si="904"/>
        <v>2638.0048485671714</v>
      </c>
      <c r="H4158" s="16">
        <f t="shared" si="904"/>
        <v>14881.788221808281</v>
      </c>
      <c r="I4158" s="16">
        <f t="shared" si="904"/>
        <v>19842.384295744378</v>
      </c>
      <c r="J4158" s="16">
        <f t="shared" si="904"/>
        <v>14881.788221808281</v>
      </c>
      <c r="K4158" s="16">
        <f t="shared" si="904"/>
        <v>2638.0048485671714</v>
      </c>
      <c r="L4158" s="16">
        <f t="shared" si="904"/>
        <v>14881.788221808281</v>
      </c>
      <c r="M4158" s="16">
        <f t="shared" si="904"/>
        <v>19842.384295744378</v>
      </c>
    </row>
    <row r="4159" spans="1:13" ht="15" customHeight="1" x14ac:dyDescent="0.2">
      <c r="B4159" s="10" t="s">
        <v>900</v>
      </c>
      <c r="C4159" s="10" t="s">
        <v>199</v>
      </c>
      <c r="D4159" s="28">
        <f>D4153*Inputs!$D$23</f>
        <v>6.4875000000000007</v>
      </c>
      <c r="E4159" s="28">
        <f>E4153*Inputs!$D$23</f>
        <v>8.65</v>
      </c>
      <c r="F4159" s="28">
        <f>F4153*Inputs!$D$23</f>
        <v>6.4875000000000007</v>
      </c>
      <c r="G4159" s="28">
        <f>G4153*Inputs!$D$23</f>
        <v>0</v>
      </c>
      <c r="H4159" s="28">
        <f>H4153*Inputs!$D$23</f>
        <v>0</v>
      </c>
      <c r="I4159" s="28">
        <f>I4153*Inputs!$D$23</f>
        <v>0</v>
      </c>
      <c r="J4159" s="28">
        <f>J4153*Inputs!$D$23</f>
        <v>0</v>
      </c>
      <c r="K4159" s="28">
        <f>K4153*Inputs!$D$23</f>
        <v>0</v>
      </c>
      <c r="L4159" s="28">
        <f>L4153*Inputs!$D$23</f>
        <v>0</v>
      </c>
      <c r="M4159" s="28">
        <f>M4153*Inputs!$D$23</f>
        <v>0</v>
      </c>
    </row>
    <row r="4160" spans="1:13" ht="15" customHeight="1" x14ac:dyDescent="0.2">
      <c r="B4160" s="3" t="s">
        <v>901</v>
      </c>
      <c r="C4160" s="10" t="s">
        <v>896</v>
      </c>
      <c r="D4160" s="28">
        <f>(D4155*$D$4173*(Inputs!$D$7-Inputs!$D$19)-D4159)/(Inputs!$D$7+$D$4174)^D4148</f>
        <v>58.875151046606746</v>
      </c>
      <c r="E4160" s="28">
        <f>(E4155*$D$4173*(Inputs!$D$7-Inputs!$D$19)-E4159)/(Inputs!$D$7+$D$4174)^E4148</f>
        <v>213.46663821882674</v>
      </c>
      <c r="F4160" s="28">
        <f>(F4155*$D$4173*(Inputs!$D$7-Inputs!$D$19)-F4159)/(Inputs!$D$7+$D$4174)^F4148</f>
        <v>316.8226894052849</v>
      </c>
      <c r="G4160" s="28">
        <f>(G4155*$D$4173*(Inputs!$D$7-Inputs!$D$19)-G4159)/(Inputs!$D$7+$D$4174)^G4148</f>
        <v>334.84859415909301</v>
      </c>
      <c r="H4160" s="28">
        <f>(H4155*$D$4173*(Inputs!$D$7-Inputs!$D$19)-H4159)/(Inputs!$D$7+$D$4174)^H4148</f>
        <v>298.99515100299641</v>
      </c>
      <c r="I4160" s="28">
        <f>(I4155*$D$4173*(Inputs!$D$7-Inputs!$D$19)-I4159)/(Inputs!$D$7+$D$4174)^I4148</f>
        <v>266.89783982362269</v>
      </c>
      <c r="J4160" s="28">
        <f>(J4155*$D$4173*(Inputs!$D$7-Inputs!$D$19)-J4159)/(Inputs!$D$7+$D$4174)^J4148</f>
        <v>238.32012829811245</v>
      </c>
      <c r="K4160" s="28">
        <f>(K4155*$D$4173*(Inputs!$D$7-Inputs!$D$19)-K4159)/(Inputs!$D$7+$D$4174)^K4148</f>
        <v>212.80233511654592</v>
      </c>
      <c r="L4160" s="28">
        <f>(L4155*$D$4173*(Inputs!$D$7-Inputs!$D$19)-L4159)/(Inputs!$D$7+$D$4174)^L4148</f>
        <v>190.01682381778656</v>
      </c>
      <c r="M4160" s="28">
        <f>(M4155*$D$4173*(Inputs!$D$7-Inputs!$D$19)-M4159)/(Inputs!$D$7+$D$4174)^M4148</f>
        <v>169.61840229510915</v>
      </c>
    </row>
    <row r="4161" spans="2:13" ht="15" customHeight="1" x14ac:dyDescent="0.2">
      <c r="B4161" s="10" t="s">
        <v>902</v>
      </c>
      <c r="C4161" s="10" t="s">
        <v>110</v>
      </c>
      <c r="D4161" s="16">
        <f>(D4156*Inputs!$D$19-D4157-D4158)/(Inputs!$D$7+$D$4174)^D4148</f>
        <v>-13847.790632947557</v>
      </c>
      <c r="E4161" s="16">
        <f>(E4156*Inputs!$D$19-E4157-E4158)/(Inputs!$D$7+$D$4174)^E4148</f>
        <v>-15370.239105459035</v>
      </c>
      <c r="F4161" s="16">
        <f>(F4156*Inputs!$D$19-F4157-F4158)/(Inputs!$D$7+$D$4174)^F4148</f>
        <v>-8945.8041564234754</v>
      </c>
      <c r="G4161" s="16">
        <f>(G4156*Inputs!$D$19-G4157-G4158)/(Inputs!$D$7+$D$4174)^G4148</f>
        <v>863.80744262020482</v>
      </c>
      <c r="H4161" s="16">
        <f>(H4156*Inputs!$D$19-H4157-H4158)/(Inputs!$D$7+$D$4174)^H4148</f>
        <v>-6404.5339628745278</v>
      </c>
      <c r="I4161" s="16">
        <f>(I4156*Inputs!$D$19-I4157-I4158)/(Inputs!$D$7+$D$4174)^I4148</f>
        <v>-8312.2134333380691</v>
      </c>
      <c r="J4161" s="16">
        <f>(J4156*Inputs!$D$19-J4157-J4158)/(Inputs!$D$7+$D$4174)^J4148</f>
        <v>-5104.8632414329013</v>
      </c>
      <c r="K4161" s="16">
        <f>(K4156*Inputs!$D$19-K4157-K4158)/(Inputs!$D$7+$D$4174)^K4148</f>
        <v>548.96524604578394</v>
      </c>
      <c r="L4161" s="16">
        <f>(L4156*Inputs!$D$19-L4157-L4158)/(Inputs!$D$7+$D$4174)^L4148</f>
        <v>-4070.1971171644977</v>
      </c>
      <c r="M4161" s="16">
        <f>(M4156*Inputs!$D$19-M4157-M4158)/(Inputs!$D$7+$D$4174)^M4148</f>
        <v>-5282.5619084458349</v>
      </c>
    </row>
    <row r="4162" spans="2:13" ht="15" customHeight="1" x14ac:dyDescent="0.2">
      <c r="B4162" s="10" t="s">
        <v>903</v>
      </c>
      <c r="C4162" s="10" t="s">
        <v>110</v>
      </c>
      <c r="D4162" s="16">
        <f t="shared" ref="D4162:M4162" si="905">D4155*$D$4172</f>
        <v>3822.0378258079718</v>
      </c>
      <c r="E4162" s="16">
        <f t="shared" si="905"/>
        <v>14562.344689084854</v>
      </c>
      <c r="F4162" s="16">
        <f t="shared" si="905"/>
        <v>23776.032995501657</v>
      </c>
      <c r="G4162" s="16">
        <f t="shared" si="905"/>
        <v>27724.756555394571</v>
      </c>
      <c r="H4162" s="16">
        <f t="shared" si="905"/>
        <v>27724.756555394571</v>
      </c>
      <c r="I4162" s="16">
        <f t="shared" si="905"/>
        <v>27724.756555394571</v>
      </c>
      <c r="J4162" s="16">
        <f t="shared" si="905"/>
        <v>27724.756555394571</v>
      </c>
      <c r="K4162" s="16">
        <f t="shared" si="905"/>
        <v>27724.756555394571</v>
      </c>
      <c r="L4162" s="16">
        <f t="shared" si="905"/>
        <v>27724.756555394571</v>
      </c>
      <c r="M4162" s="16">
        <f t="shared" si="905"/>
        <v>27724.756555394571</v>
      </c>
    </row>
    <row r="4163" spans="2:13" ht="15" customHeight="1" x14ac:dyDescent="0.2">
      <c r="B4163" s="10" t="s">
        <v>904</v>
      </c>
      <c r="C4163" s="10" t="s">
        <v>110</v>
      </c>
      <c r="D4163" s="16">
        <f t="shared" ref="D4163:M4163" si="906">D4162*$D$4173</f>
        <v>3057.6302606463778</v>
      </c>
      <c r="E4163" s="16">
        <f t="shared" si="906"/>
        <v>11649.875751267884</v>
      </c>
      <c r="F4163" s="16">
        <f t="shared" si="906"/>
        <v>19020.826396401328</v>
      </c>
      <c r="G4163" s="16">
        <f t="shared" si="906"/>
        <v>22179.805244315659</v>
      </c>
      <c r="H4163" s="16">
        <f t="shared" si="906"/>
        <v>22179.805244315659</v>
      </c>
      <c r="I4163" s="16">
        <f t="shared" si="906"/>
        <v>22179.805244315659</v>
      </c>
      <c r="J4163" s="16">
        <f t="shared" si="906"/>
        <v>22179.805244315659</v>
      </c>
      <c r="K4163" s="16">
        <f t="shared" si="906"/>
        <v>22179.805244315659</v>
      </c>
      <c r="L4163" s="16">
        <f t="shared" si="906"/>
        <v>22179.805244315659</v>
      </c>
      <c r="M4163" s="16">
        <f t="shared" si="906"/>
        <v>22179.805244315659</v>
      </c>
    </row>
    <row r="4164" spans="2:13" ht="15" customHeight="1" x14ac:dyDescent="0.2">
      <c r="B4164" s="10" t="s">
        <v>905</v>
      </c>
      <c r="C4164" s="10" t="s">
        <v>110</v>
      </c>
      <c r="D4164" s="16">
        <f t="shared" ref="D4164:M4164" si="907">D4163-D4156</f>
        <v>1240.6529747139359</v>
      </c>
      <c r="E4164" s="16">
        <f t="shared" si="907"/>
        <v>4727.0113695181753</v>
      </c>
      <c r="F4164" s="16">
        <f t="shared" si="907"/>
        <v>7717.8215933878273</v>
      </c>
      <c r="G4164" s="16">
        <f t="shared" si="907"/>
        <v>8999.5974036176776</v>
      </c>
      <c r="H4164" s="16">
        <f t="shared" si="907"/>
        <v>8999.5974036176776</v>
      </c>
      <c r="I4164" s="16">
        <f t="shared" si="907"/>
        <v>8999.5974036176776</v>
      </c>
      <c r="J4164" s="16">
        <f t="shared" si="907"/>
        <v>8999.5974036176776</v>
      </c>
      <c r="K4164" s="16">
        <f t="shared" si="907"/>
        <v>8999.5974036176776</v>
      </c>
      <c r="L4164" s="16">
        <f t="shared" si="907"/>
        <v>8999.5974036176776</v>
      </c>
      <c r="M4164" s="16">
        <f t="shared" si="907"/>
        <v>8999.5974036176776</v>
      </c>
    </row>
    <row r="4165" spans="2:13" ht="15" customHeight="1" x14ac:dyDescent="0.2">
      <c r="B4165" s="10" t="s">
        <v>906</v>
      </c>
      <c r="C4165" s="10" t="s">
        <v>110</v>
      </c>
      <c r="D4165" s="16">
        <f>MAX(D4164,Inputs!$D$6)*Inputs!$D$19</f>
        <v>372.19589241418078</v>
      </c>
      <c r="E4165" s="16">
        <f>MAX(E4164,Inputs!$D$6)*Inputs!$D$19</f>
        <v>1418.1034108554525</v>
      </c>
      <c r="F4165" s="16">
        <f>MAX(F4164,Inputs!$D$6)*Inputs!$D$19</f>
        <v>2315.3464780163481</v>
      </c>
      <c r="G4165" s="16">
        <f>MAX(G4164,Inputs!$D$6)*Inputs!$D$19</f>
        <v>2699.879221085303</v>
      </c>
      <c r="H4165" s="16">
        <f>MAX(H4164,Inputs!$D$6)*Inputs!$D$19</f>
        <v>2699.879221085303</v>
      </c>
      <c r="I4165" s="16">
        <f>MAX(I4164,Inputs!$D$6)*Inputs!$D$19</f>
        <v>2699.879221085303</v>
      </c>
      <c r="J4165" s="16">
        <f>MAX(J4164,Inputs!$D$6)*Inputs!$D$19</f>
        <v>2699.879221085303</v>
      </c>
      <c r="K4165" s="16">
        <f>MAX(K4164,Inputs!$D$6)*Inputs!$D$19</f>
        <v>2699.879221085303</v>
      </c>
      <c r="L4165" s="16">
        <f>MAX(L4164,Inputs!$D$6)*Inputs!$D$19</f>
        <v>2699.879221085303</v>
      </c>
      <c r="M4165" s="16">
        <f>MAX(M4164,Inputs!$D$6)*Inputs!$D$19</f>
        <v>2699.879221085303</v>
      </c>
    </row>
    <row r="4166" spans="2:13" ht="15" customHeight="1" x14ac:dyDescent="0.2">
      <c r="B4166" s="10" t="s">
        <v>907</v>
      </c>
      <c r="C4166" s="10" t="s">
        <v>110</v>
      </c>
      <c r="D4166" s="16">
        <f t="shared" ref="D4166:M4166" si="908">D4159*$D$4172</f>
        <v>197.43617799464576</v>
      </c>
      <c r="E4166" s="16">
        <f t="shared" si="908"/>
        <v>263.24823732619433</v>
      </c>
      <c r="F4166" s="16">
        <f t="shared" si="908"/>
        <v>197.43617799464576</v>
      </c>
      <c r="G4166" s="16">
        <f t="shared" si="908"/>
        <v>0</v>
      </c>
      <c r="H4166" s="16">
        <f t="shared" si="908"/>
        <v>0</v>
      </c>
      <c r="I4166" s="16">
        <f t="shared" si="908"/>
        <v>0</v>
      </c>
      <c r="J4166" s="16">
        <f t="shared" si="908"/>
        <v>0</v>
      </c>
      <c r="K4166" s="16">
        <f t="shared" si="908"/>
        <v>0</v>
      </c>
      <c r="L4166" s="16">
        <f t="shared" si="908"/>
        <v>0</v>
      </c>
      <c r="M4166" s="16">
        <f t="shared" si="908"/>
        <v>0</v>
      </c>
    </row>
    <row r="4167" spans="2:13" ht="15" customHeight="1" x14ac:dyDescent="0.2">
      <c r="B4167" s="10" t="s">
        <v>908</v>
      </c>
      <c r="C4167" s="10" t="s">
        <v>110</v>
      </c>
      <c r="D4167" s="16">
        <f t="shared" ref="D4167:M4167" si="909">D4163-D4165-D4157-D4158-D4166</f>
        <v>-13072.970429908602</v>
      </c>
      <c r="E4167" s="16">
        <f t="shared" si="909"/>
        <v>-10779.434057108632</v>
      </c>
      <c r="F4167" s="16">
        <f t="shared" si="909"/>
        <v>947.07512024417974</v>
      </c>
      <c r="G4167" s="16">
        <f t="shared" si="909"/>
        <v>16841.921174663185</v>
      </c>
      <c r="H4167" s="16">
        <f t="shared" si="909"/>
        <v>4598.1378014220754</v>
      </c>
      <c r="I4167" s="16">
        <f t="shared" si="909"/>
        <v>-362.45827251402079</v>
      </c>
      <c r="J4167" s="16">
        <f t="shared" si="909"/>
        <v>4598.1378014220754</v>
      </c>
      <c r="K4167" s="16">
        <f t="shared" si="909"/>
        <v>16841.921174663185</v>
      </c>
      <c r="L4167" s="16">
        <f t="shared" si="909"/>
        <v>4598.1378014220754</v>
      </c>
      <c r="M4167" s="16">
        <f t="shared" si="909"/>
        <v>-362.45827251402079</v>
      </c>
    </row>
    <row r="4168" spans="2:13" ht="15" customHeight="1" x14ac:dyDescent="0.2">
      <c r="B4168" s="10" t="s">
        <v>909</v>
      </c>
      <c r="C4168" s="10" t="s">
        <v>110</v>
      </c>
      <c r="D4168" s="16">
        <f>D4167/(Inputs!$D$7+$D$4174)^D4148</f>
        <v>-12056.024189556498</v>
      </c>
      <c r="E4168" s="16">
        <f>E4167/(Inputs!$D$7+$D$4174)^E4148</f>
        <v>-8873.7401182850954</v>
      </c>
      <c r="F4168" s="16">
        <f>F4167/(Inputs!$D$7+$D$4174)^F4148</f>
        <v>696.16284136676927</v>
      </c>
      <c r="G4168" s="16">
        <f>G4167/(Inputs!$D$7+$D$4174)^G4148</f>
        <v>11054.362608346846</v>
      </c>
      <c r="H4168" s="16">
        <f>H4167/(Inputs!$D$7+$D$4174)^H4148</f>
        <v>2694.8818140755434</v>
      </c>
      <c r="I4168" s="16">
        <f>I4167/(Inputs!$D$7+$D$4174)^I4148</f>
        <v>-189.62547036261978</v>
      </c>
      <c r="J4168" s="16">
        <f>J4167/(Inputs!$D$7+$D$4174)^J4148</f>
        <v>2148.0100179694796</v>
      </c>
      <c r="K4168" s="16">
        <f>K4167/(Inputs!$D$7+$D$4174)^K4148</f>
        <v>7025.2472828468035</v>
      </c>
      <c r="L4168" s="16">
        <f>L4167/(Inputs!$D$7+$D$4174)^L4148</f>
        <v>1712.6461120094145</v>
      </c>
      <c r="M4168" s="16">
        <f>M4167/(Inputs!$D$7+$D$4174)^M4148</f>
        <v>-120.5104145414644</v>
      </c>
    </row>
    <row r="4169" spans="2:13" ht="15" customHeight="1" x14ac:dyDescent="0.2">
      <c r="B4169" s="3" t="s">
        <v>910</v>
      </c>
      <c r="C4169" s="10" t="s">
        <v>896</v>
      </c>
      <c r="D4169" s="28">
        <f>(D4155*$D$4173-D4159)/(Inputs!$D$7+$D$4174)^D4148</f>
        <v>86.671431826242667</v>
      </c>
      <c r="E4169" s="28">
        <f>(E4155*$D$4173-E4159)/(Inputs!$D$7+$D$4174)^E4148</f>
        <v>308.00409814343465</v>
      </c>
      <c r="F4169" s="28">
        <f>(F4155*$D$4173-F4159)/(Inputs!$D$7+$D$4174)^F4148</f>
        <v>454.64758836643091</v>
      </c>
      <c r="G4169" s="28">
        <f>(G4155*$D$4173-G4159)/(Inputs!$D$7+$D$4174)^G4148</f>
        <v>478.35513451299005</v>
      </c>
      <c r="H4169" s="28">
        <f>(H4155*$D$4173-H4159)/(Inputs!$D$7+$D$4174)^H4148</f>
        <v>427.13593000428057</v>
      </c>
      <c r="I4169" s="28">
        <f>(I4155*$D$4173-I4159)/(Inputs!$D$7+$D$4174)^I4148</f>
        <v>381.28262831946103</v>
      </c>
      <c r="J4169" s="28">
        <f>(J4155*$D$4173-J4159)/(Inputs!$D$7+$D$4174)^J4148</f>
        <v>340.45732614016066</v>
      </c>
      <c r="K4169" s="28">
        <f>(K4155*$D$4173-K4159)/(Inputs!$D$7+$D$4174)^K4148</f>
        <v>304.0033358807799</v>
      </c>
      <c r="L4169" s="28">
        <f>(L4155*$D$4173-L4159)/(Inputs!$D$7+$D$4174)^L4148</f>
        <v>271.45260545398082</v>
      </c>
      <c r="M4169" s="28">
        <f>(M4155*$D$4173-M4159)/(Inputs!$D$7+$D$4174)^M4148</f>
        <v>242.31200327872736</v>
      </c>
    </row>
    <row r="4170" spans="2:13" ht="15" customHeight="1" x14ac:dyDescent="0.2">
      <c r="B4170" s="10" t="s">
        <v>911</v>
      </c>
      <c r="C4170" s="10" t="s">
        <v>110</v>
      </c>
      <c r="D4170" s="16">
        <f>(-D4157-D4158)/(Inputs!$D$7+$D$4174)^D4148</f>
        <v>-14350.481025200577</v>
      </c>
      <c r="E4170" s="16">
        <f>(-E4157-E4158)/(Inputs!$D$7+$D$4174)^E4148</f>
        <v>-17079.930887207098</v>
      </c>
      <c r="F4170" s="16">
        <f>(-F4157-F4158)/(Inputs!$D$7+$D$4174)^F4148</f>
        <v>-11438.340948315768</v>
      </c>
      <c r="G4170" s="16">
        <f>(-G4157-G4158)/(Inputs!$D$7+$D$4174)^G4148</f>
        <v>-1731.4807411941122</v>
      </c>
      <c r="H4170" s="16">
        <f>(-H4157-H4158)/(Inputs!$D$7+$D$4174)^H4148</f>
        <v>-8721.9353076959778</v>
      </c>
      <c r="I4170" s="16">
        <f>(-I4157-I4158)/(Inputs!$D$7+$D$4174)^I4148</f>
        <v>-10380.8403353543</v>
      </c>
      <c r="J4170" s="16">
        <f>(-J4157-J4158)/(Inputs!$D$7+$D$4174)^J4148</f>
        <v>-6951.9948218729187</v>
      </c>
      <c r="K4170" s="16">
        <f>(-K4157-K4158)/(Inputs!$D$7+$D$4174)^K4148</f>
        <v>-1100.3873134386547</v>
      </c>
      <c r="L4170" s="16">
        <f>(-L4157-L4158)/(Inputs!$D$7+$D$4174)^L4148</f>
        <v>-5542.947566718196</v>
      </c>
      <c r="M4170" s="16">
        <f>(-M4157-M4158)/(Inputs!$D$7+$D$4174)^M4148</f>
        <v>-6597.2117021517279</v>
      </c>
    </row>
    <row r="4171" spans="2:13" ht="15" customHeight="1" x14ac:dyDescent="0.2">
      <c r="B4171" s="10" t="s">
        <v>912</v>
      </c>
      <c r="C4171" s="10" t="s">
        <v>110</v>
      </c>
      <c r="D4171" s="16">
        <f>Prices!I9</f>
        <v>21850</v>
      </c>
    </row>
    <row r="4172" spans="2:13" ht="15" customHeight="1" x14ac:dyDescent="0.2">
      <c r="B4172" s="3" t="s">
        <v>913</v>
      </c>
      <c r="C4172" s="10" t="s">
        <v>914</v>
      </c>
      <c r="D4172" s="28">
        <f>IF(J4179&gt;=J4175,J4179,(D4171-J4178)/J4177)</f>
        <v>30.433322234242119</v>
      </c>
      <c r="G4172" s="99" t="s">
        <v>915</v>
      </c>
      <c r="H4172" s="91"/>
      <c r="I4172" s="91"/>
      <c r="J4172" s="28">
        <f>D4172*Inputs!$D$15</f>
        <v>21.239415587277573</v>
      </c>
      <c r="K4172" s="99" t="s">
        <v>916</v>
      </c>
      <c r="L4172" s="91"/>
      <c r="M4172" s="91"/>
    </row>
    <row r="4173" spans="2:13" ht="15" customHeight="1" x14ac:dyDescent="0.2">
      <c r="B4173" s="10" t="s">
        <v>917</v>
      </c>
      <c r="C4173" s="10" t="s">
        <v>104</v>
      </c>
      <c r="D4173" s="30">
        <f>Inputs!$D$144</f>
        <v>0.8</v>
      </c>
      <c r="G4173" s="99" t="s">
        <v>918</v>
      </c>
      <c r="H4173" s="91"/>
      <c r="I4173" s="91"/>
      <c r="J4173" s="28">
        <f>IF(-D4184/D4183&gt;=J4175,-D4184/D4183,-J4178/J4177)</f>
        <v>25.141181976033842</v>
      </c>
      <c r="K4173" s="99" t="s">
        <v>919</v>
      </c>
      <c r="L4173" s="91"/>
      <c r="M4173" s="91"/>
    </row>
    <row r="4174" spans="2:13" ht="15" customHeight="1" x14ac:dyDescent="0.2">
      <c r="B4174" s="10" t="s">
        <v>920</v>
      </c>
      <c r="C4174" s="10" t="s">
        <v>104</v>
      </c>
      <c r="D4174" s="30">
        <f>Inputs!$D$148</f>
        <v>0.12</v>
      </c>
      <c r="G4174" s="99" t="s">
        <v>918</v>
      </c>
      <c r="H4174" s="91"/>
      <c r="I4174" s="91"/>
      <c r="J4174" s="28">
        <f>J4173*Inputs!$D$15</f>
        <v>17.546030901074019</v>
      </c>
      <c r="K4174" s="99" t="s">
        <v>916</v>
      </c>
      <c r="L4174" s="91"/>
      <c r="M4174" s="91"/>
    </row>
    <row r="4175" spans="2:13" ht="15" customHeight="1" x14ac:dyDescent="0.2">
      <c r="B4175" s="3" t="s">
        <v>921</v>
      </c>
      <c r="C4175" s="10" t="s">
        <v>848</v>
      </c>
      <c r="D4175" s="28">
        <f>Capital!$D$13</f>
        <v>57.347931490590682</v>
      </c>
      <c r="G4175" s="99" t="s">
        <v>922</v>
      </c>
      <c r="H4175" s="91"/>
      <c r="I4175" s="91"/>
      <c r="J4175" s="28">
        <f>($D$4175/Inputs!$D$21+$D$4176/Inputs!$D$22)/$D$4173</f>
        <v>18.084807684821598</v>
      </c>
      <c r="K4175" s="99" t="s">
        <v>919</v>
      </c>
      <c r="L4175" s="91"/>
      <c r="M4175" s="91"/>
    </row>
    <row r="4176" spans="2:13" ht="15" customHeight="1" x14ac:dyDescent="0.2">
      <c r="B4176" s="3" t="s">
        <v>923</v>
      </c>
      <c r="C4176" s="10" t="s">
        <v>848</v>
      </c>
      <c r="D4176" s="28">
        <f>Capital!$D$14</f>
        <v>2.6172655041921802</v>
      </c>
    </row>
    <row r="4177" spans="1:13" ht="15" customHeight="1" x14ac:dyDescent="0.2">
      <c r="B4177" s="10" t="s">
        <v>924</v>
      </c>
      <c r="C4177" s="10" t="s">
        <v>896</v>
      </c>
      <c r="D4177" s="28">
        <f>(M4150*(Inputs!$D$7+Inputs!$D$20)*$D$4173*(Inputs!$D$7-Inputs!$D$19)-M4150*Inputs!$D$20*Inputs!$D$23)/($D$4174-Inputs!$D$20)/(Inputs!$D$7+$D$4174)^M4148</f>
        <v>1828.1005905255297</v>
      </c>
      <c r="G4177" s="92" t="s">
        <v>910</v>
      </c>
      <c r="H4177" s="91"/>
      <c r="I4177" s="91"/>
      <c r="J4177" s="28">
        <f>SUM(D4169:M4169)+(M4150*(Inputs!$D$7+Inputs!$D$20)*$D$4173-M4150*Inputs!$D$20*Inputs!$D$23)/($D$4174-Inputs!$D$20)/(Inputs!$D$7+$D$4174)^M4148</f>
        <v>5906.7483672752678</v>
      </c>
      <c r="K4177" s="99" t="s">
        <v>896</v>
      </c>
      <c r="L4177" s="91"/>
      <c r="M4177" s="91"/>
    </row>
    <row r="4178" spans="1:13" ht="15" customHeight="1" x14ac:dyDescent="0.2">
      <c r="B4178" s="10" t="s">
        <v>925</v>
      </c>
      <c r="C4178" s="10" t="s">
        <v>110</v>
      </c>
      <c r="D4178" s="16">
        <f>(D4181*Inputs!$D$19-D4181-D4182)/($D$4174-Inputs!$D$20)/(Inputs!$D$7+$D$4174)^M4148</f>
        <v>-37876.58483194092</v>
      </c>
      <c r="G4178" s="92" t="s">
        <v>926</v>
      </c>
      <c r="H4178" s="91"/>
      <c r="I4178" s="91"/>
      <c r="J4178" s="16">
        <f>SUM(D4170:M4170)-(D4181+D4182)/($D$4174-Inputs!$D$20)/(Inputs!$D$7+$D$4174)^M4148</f>
        <v>-135956.51483423277</v>
      </c>
      <c r="K4178" s="99" t="s">
        <v>110</v>
      </c>
      <c r="L4178" s="91"/>
      <c r="M4178" s="91"/>
    </row>
    <row r="4179" spans="1:13" ht="15" customHeight="1" x14ac:dyDescent="0.2">
      <c r="B4179" s="10" t="s">
        <v>927</v>
      </c>
      <c r="C4179" s="10" t="s">
        <v>928</v>
      </c>
      <c r="D4179" s="16">
        <f>(M4150*(Inputs!$D$7+Inputs!$D$20)*$D$4172*$D$4173-D4181)-MAX((M4150*(Inputs!$D$7+Inputs!$D$20)*$D$4172*$D$4173-D4181),Inputs!$D$6)*Inputs!$D$19-D4182-M4150*Inputs!$D$20*$D$4172*Inputs!$D$23</f>
        <v>5074.1758026923808</v>
      </c>
      <c r="G4179" s="99" t="s">
        <v>929</v>
      </c>
      <c r="H4179" s="91"/>
      <c r="I4179" s="91"/>
      <c r="J4179" s="28">
        <f>(D4171-D4184)/D4183</f>
        <v>30.433322234242119</v>
      </c>
      <c r="K4179" s="99" t="s">
        <v>919</v>
      </c>
      <c r="L4179" s="91"/>
      <c r="M4179" s="91"/>
    </row>
    <row r="4180" spans="1:13" ht="15" customHeight="1" x14ac:dyDescent="0.2">
      <c r="B4180" s="10" t="s">
        <v>930</v>
      </c>
      <c r="C4180" s="10" t="s">
        <v>110</v>
      </c>
      <c r="D4180" s="16">
        <f>D4179/($D$4174-Inputs!$D$20)</f>
        <v>53412.376870446111</v>
      </c>
      <c r="G4180" s="99" t="s">
        <v>931</v>
      </c>
      <c r="H4180" s="91"/>
      <c r="I4180" s="91"/>
      <c r="J4180" s="16">
        <f>MIN(D4164:M4164,(M4150*(Inputs!$D$7+Inputs!$D$20)*$D$4172*$D$4173-D4181))</f>
        <v>1240.6529747139359</v>
      </c>
      <c r="K4180" s="99" t="s">
        <v>110</v>
      </c>
      <c r="L4180" s="91"/>
      <c r="M4180" s="91"/>
    </row>
    <row r="4181" spans="1:13" ht="15" customHeight="1" x14ac:dyDescent="0.2">
      <c r="B4181" s="10" t="s">
        <v>932</v>
      </c>
      <c r="C4181" s="10" t="s">
        <v>928</v>
      </c>
      <c r="D4181" s="16">
        <f>M4150*(Inputs!$D$7+Inputs!$D$20)*($D$4175/Inputs!$D$21+$D$4176/Inputs!$D$22)</f>
        <v>13509.71303671543</v>
      </c>
      <c r="G4181" s="99" t="s">
        <v>933</v>
      </c>
      <c r="H4181" s="91"/>
      <c r="I4181" s="91"/>
      <c r="J4181" s="31" t="str">
        <f>IF(J4180&lt;Inputs!$D$6,"breached","satisfied")</f>
        <v>satisfied</v>
      </c>
      <c r="K4181" s="99" t="s">
        <v>934</v>
      </c>
      <c r="L4181" s="91"/>
      <c r="M4181" s="91"/>
    </row>
    <row r="4182" spans="1:13" ht="15" customHeight="1" x14ac:dyDescent="0.2">
      <c r="B4182" s="10" t="s">
        <v>935</v>
      </c>
      <c r="C4182" s="10" t="s">
        <v>928</v>
      </c>
      <c r="D4182" s="16">
        <f>M4150*Inputs!$D$20*($D$4175+$D$4176)</f>
        <v>1365.7073615561799</v>
      </c>
    </row>
    <row r="4183" spans="1:13" ht="15" customHeight="1" x14ac:dyDescent="0.2">
      <c r="B4183" s="10" t="s">
        <v>936</v>
      </c>
      <c r="C4183" s="10" t="s">
        <v>896</v>
      </c>
      <c r="D4183" s="28">
        <f>SUM(D4160:M4160)+D4177</f>
        <v>4128.7643437095139</v>
      </c>
      <c r="G4183" s="99" t="s">
        <v>937</v>
      </c>
      <c r="H4183" s="91"/>
      <c r="I4183" s="91"/>
      <c r="J4183" s="16">
        <f>D4185-D4171</f>
        <v>0</v>
      </c>
      <c r="K4183" s="99" t="s">
        <v>110</v>
      </c>
      <c r="L4183" s="91"/>
      <c r="M4183" s="91"/>
    </row>
    <row r="4184" spans="1:13" ht="15" customHeight="1" x14ac:dyDescent="0.2">
      <c r="B4184" s="10" t="s">
        <v>938</v>
      </c>
      <c r="C4184" s="10" t="s">
        <v>110</v>
      </c>
      <c r="D4184" s="16">
        <f>SUM(D4161:M4161)+D4178</f>
        <v>-103802.01570136083</v>
      </c>
    </row>
    <row r="4185" spans="1:13" ht="15" customHeight="1" x14ac:dyDescent="0.2">
      <c r="B4185" s="10" t="s">
        <v>939</v>
      </c>
      <c r="C4185" s="10" t="s">
        <v>110</v>
      </c>
      <c r="D4185" s="16">
        <f>SUM(D4168:M4168)+D4180/(Inputs!$D$7+$D$4174)^M4148</f>
        <v>21850.000000000022</v>
      </c>
    </row>
    <row r="4186" spans="1:13" ht="15" customHeight="1" x14ac:dyDescent="0.2">
      <c r="B4186" s="10" t="s">
        <v>940</v>
      </c>
      <c r="C4186" s="10" t="s">
        <v>104</v>
      </c>
      <c r="D4186" s="30">
        <f>IF(ABS(D4171)&gt;Inputs!$D$6,D4185/D4171-Inputs!$D$7,Inputs!$D$6)</f>
        <v>8.8817841970012523E-16</v>
      </c>
    </row>
    <row r="4187" spans="1:13" ht="15" customHeight="1" x14ac:dyDescent="0.2">
      <c r="B4187" s="10" t="s">
        <v>941</v>
      </c>
      <c r="C4187" s="10" t="s">
        <v>104</v>
      </c>
      <c r="D4187" s="30">
        <f>IF(ABS(D4185)&gt;Inputs!$D$119,D4180/(Inputs!$D$7+$D$4174)^M4148/D4185,Inputs!$D$6)</f>
        <v>0.81275009227143369</v>
      </c>
    </row>
    <row r="4188" spans="1:13" ht="15" customHeight="1" x14ac:dyDescent="0.2">
      <c r="B4188" s="10" t="s">
        <v>942</v>
      </c>
      <c r="C4188" s="10" t="s">
        <v>943</v>
      </c>
      <c r="D4188" s="26">
        <f>$D$4172*Inputs!$D$8/Prices!$P$6/(Inputs!$D$26/Inputs!$D$25)/Inputs!$D$11/Inputs!$D$56</f>
        <v>5.5343920901929353</v>
      </c>
    </row>
    <row r="4192" spans="1:13" ht="15" customHeight="1" x14ac:dyDescent="0.2">
      <c r="A4192" s="104" t="s">
        <v>2256</v>
      </c>
      <c r="B4192" s="10" t="s">
        <v>886</v>
      </c>
      <c r="C4192" s="10" t="s">
        <v>107</v>
      </c>
      <c r="D4192" s="28">
        <f>Inputs!$D$60</f>
        <v>1</v>
      </c>
      <c r="E4192" s="28">
        <f>Inputs!$D$62</f>
        <v>2</v>
      </c>
      <c r="F4192" s="28">
        <f>Inputs!$D$64</f>
        <v>3</v>
      </c>
      <c r="G4192" s="28">
        <f>Inputs!$D$66</f>
        <v>4</v>
      </c>
      <c r="H4192" s="28">
        <f>Inputs!$D$68</f>
        <v>5</v>
      </c>
      <c r="I4192" s="28">
        <f>Inputs!$D$70</f>
        <v>6</v>
      </c>
      <c r="J4192" s="28">
        <f>Inputs!$D$72</f>
        <v>7</v>
      </c>
      <c r="K4192" s="28">
        <f>Inputs!$D$74</f>
        <v>8</v>
      </c>
      <c r="L4192" s="28">
        <f>Inputs!$D$76</f>
        <v>9</v>
      </c>
      <c r="M4192" s="28">
        <f>Inputs!$D$78</f>
        <v>10</v>
      </c>
    </row>
    <row r="4193" spans="1:13" ht="15" customHeight="1" x14ac:dyDescent="0.2">
      <c r="A4193" s="91"/>
      <c r="B4193" s="10" t="s">
        <v>887</v>
      </c>
      <c r="C4193" s="10" t="s">
        <v>161</v>
      </c>
      <c r="D4193" s="29">
        <f>Inputs!$D$61</f>
        <v>46568</v>
      </c>
      <c r="E4193" s="29">
        <f>Inputs!$D$63</f>
        <v>46934</v>
      </c>
      <c r="F4193" s="29">
        <f>Inputs!$D$65</f>
        <v>47299</v>
      </c>
      <c r="G4193" s="29">
        <f>Inputs!$D$67</f>
        <v>47664</v>
      </c>
      <c r="H4193" s="29">
        <f>Inputs!$D$69</f>
        <v>48029</v>
      </c>
      <c r="I4193" s="29">
        <f>Inputs!$D$71</f>
        <v>48395</v>
      </c>
      <c r="J4193" s="29">
        <f>Inputs!$D$73</f>
        <v>48760</v>
      </c>
      <c r="K4193" s="29">
        <f>Inputs!$D$75</f>
        <v>49125</v>
      </c>
      <c r="L4193" s="29">
        <f>Inputs!$D$77</f>
        <v>49490</v>
      </c>
      <c r="M4193" s="29">
        <f>Inputs!$D$79</f>
        <v>49856</v>
      </c>
    </row>
    <row r="4194" spans="1:13" ht="15" customHeight="1" x14ac:dyDescent="0.2">
      <c r="A4194" s="91"/>
      <c r="B4194" s="10" t="s">
        <v>888</v>
      </c>
      <c r="C4194" s="10" t="s">
        <v>107</v>
      </c>
      <c r="D4194" s="28">
        <f>(D4193-Inputs!$D$13)/Inputs!$D$10</f>
        <v>0.71457905544147848</v>
      </c>
      <c r="E4194" s="28">
        <f>(E4193-Inputs!$D$13)/Inputs!$D$10</f>
        <v>1.7166324435318274</v>
      </c>
      <c r="F4194" s="28">
        <f>(F4193-Inputs!$D$13)/Inputs!$D$10</f>
        <v>2.7159479808350446</v>
      </c>
      <c r="G4194" s="28">
        <f>(G4193-Inputs!$D$13)/Inputs!$D$10</f>
        <v>3.7152635181382614</v>
      </c>
      <c r="H4194" s="28">
        <f>(H4193-Inputs!$D$13)/Inputs!$D$10</f>
        <v>4.7145790554414786</v>
      </c>
      <c r="I4194" s="28">
        <f>(I4193-Inputs!$D$13)/Inputs!$D$10</f>
        <v>5.7166324435318279</v>
      </c>
      <c r="J4194" s="28">
        <f>(J4193-Inputs!$D$13)/Inputs!$D$10</f>
        <v>6.7159479808350442</v>
      </c>
      <c r="K4194" s="28">
        <f>(K4193-Inputs!$D$13)/Inputs!$D$10</f>
        <v>7.7152635181382614</v>
      </c>
      <c r="L4194" s="28">
        <f>(L4193-Inputs!$D$13)/Inputs!$D$10</f>
        <v>8.7145790554414777</v>
      </c>
      <c r="M4194" s="28">
        <f>(M4193-Inputs!$D$13)/Inputs!$D$10</f>
        <v>9.716632443531827</v>
      </c>
    </row>
    <row r="4195" spans="1:13" ht="15" customHeight="1" x14ac:dyDescent="0.2">
      <c r="A4195" s="91"/>
      <c r="B4195" s="10" t="s">
        <v>889</v>
      </c>
      <c r="C4195" s="10" t="s">
        <v>107</v>
      </c>
      <c r="D4195" s="28">
        <f>D4194</f>
        <v>0.71457905544147848</v>
      </c>
      <c r="E4195" s="28">
        <f>Inputs!$D$7</f>
        <v>1</v>
      </c>
      <c r="F4195" s="28">
        <f>Inputs!$D$7</f>
        <v>1</v>
      </c>
      <c r="G4195" s="28">
        <f>Inputs!$D$7</f>
        <v>1</v>
      </c>
      <c r="H4195" s="28">
        <f>Inputs!$D$7</f>
        <v>1</v>
      </c>
      <c r="I4195" s="28">
        <f>Inputs!$D$7</f>
        <v>1</v>
      </c>
      <c r="J4195" s="28">
        <f>Inputs!$D$7</f>
        <v>1</v>
      </c>
      <c r="K4195" s="28">
        <f>Inputs!$D$7</f>
        <v>1</v>
      </c>
      <c r="L4195" s="28">
        <f>Inputs!$D$7</f>
        <v>1</v>
      </c>
      <c r="M4195" s="28">
        <f>Inputs!$D$7</f>
        <v>1</v>
      </c>
    </row>
    <row r="4196" spans="1:13" ht="15" customHeight="1" x14ac:dyDescent="0.2">
      <c r="A4196" s="91"/>
      <c r="B4196" s="3" t="s">
        <v>890</v>
      </c>
      <c r="C4196" s="10" t="s">
        <v>199</v>
      </c>
      <c r="D4196" s="28">
        <f>Inputs!$D$24+(Inputs!$D$80-Inputs!$D$24)*Inputs!$D$83</f>
        <v>305.5</v>
      </c>
      <c r="E4196" s="28">
        <f>Inputs!$D$24+(Inputs!$D$80-Inputs!$D$24)*Inputs!$D$84</f>
        <v>651.5</v>
      </c>
      <c r="F4196" s="28">
        <f>Inputs!$D$24+(Inputs!$D$80-Inputs!$D$24)*Inputs!$D$85</f>
        <v>911</v>
      </c>
      <c r="G4196" s="28">
        <f>Inputs!$D$24+(Inputs!$D$80-Inputs!$D$24)*Inputs!$D$86</f>
        <v>911</v>
      </c>
      <c r="H4196" s="28">
        <f>Inputs!$D$24+(Inputs!$D$80-Inputs!$D$24)*Inputs!$D$87</f>
        <v>911</v>
      </c>
      <c r="I4196" s="28">
        <f>Inputs!$D$24+(Inputs!$D$80-Inputs!$D$24)*Inputs!$D$88</f>
        <v>911</v>
      </c>
      <c r="J4196" s="28">
        <f>Inputs!$D$24+(Inputs!$D$80-Inputs!$D$24)*Inputs!$D$89</f>
        <v>911</v>
      </c>
      <c r="K4196" s="28">
        <f>Inputs!$D$24+(Inputs!$D$80-Inputs!$D$24)*Inputs!$D$90</f>
        <v>911</v>
      </c>
      <c r="L4196" s="28">
        <f>Inputs!$D$24+(Inputs!$D$80-Inputs!$D$24)*Inputs!$D$91</f>
        <v>911</v>
      </c>
      <c r="M4196" s="28">
        <f>Inputs!$D$24+(Inputs!$D$80-Inputs!$D$24)*Inputs!$D$92</f>
        <v>911</v>
      </c>
    </row>
    <row r="4197" spans="1:13" ht="15" customHeight="1" x14ac:dyDescent="0.2">
      <c r="A4197" s="91"/>
      <c r="B4197" s="10" t="s">
        <v>891</v>
      </c>
      <c r="C4197" s="10" t="s">
        <v>199</v>
      </c>
      <c r="D4197" s="28">
        <f>Inputs!$D$24</f>
        <v>46</v>
      </c>
      <c r="E4197" s="28">
        <f t="shared" ref="E4197:M4197" si="910">D4196</f>
        <v>305.5</v>
      </c>
      <c r="F4197" s="28">
        <f t="shared" si="910"/>
        <v>651.5</v>
      </c>
      <c r="G4197" s="28">
        <f t="shared" si="910"/>
        <v>911</v>
      </c>
      <c r="H4197" s="28">
        <f t="shared" si="910"/>
        <v>911</v>
      </c>
      <c r="I4197" s="28">
        <f t="shared" si="910"/>
        <v>911</v>
      </c>
      <c r="J4197" s="28">
        <f t="shared" si="910"/>
        <v>911</v>
      </c>
      <c r="K4197" s="28">
        <f t="shared" si="910"/>
        <v>911</v>
      </c>
      <c r="L4197" s="28">
        <f t="shared" si="910"/>
        <v>911</v>
      </c>
      <c r="M4197" s="28">
        <f t="shared" si="910"/>
        <v>911</v>
      </c>
    </row>
    <row r="4198" spans="1:13" ht="15" customHeight="1" x14ac:dyDescent="0.2">
      <c r="B4198" s="10" t="s">
        <v>892</v>
      </c>
      <c r="C4198" s="10" t="s">
        <v>199</v>
      </c>
      <c r="D4198" s="28">
        <f>(D4197+D4196)*Inputs!$D$12</f>
        <v>175.75</v>
      </c>
      <c r="E4198" s="28">
        <f>(E4197+E4196)*Inputs!$D$12</f>
        <v>478.5</v>
      </c>
      <c r="F4198" s="28">
        <f>(F4197+F4196)*Inputs!$D$12</f>
        <v>781.25</v>
      </c>
      <c r="G4198" s="28">
        <f>(G4197+G4196)*Inputs!$D$12</f>
        <v>911</v>
      </c>
      <c r="H4198" s="28">
        <f>(H4197+H4196)*Inputs!$D$12</f>
        <v>911</v>
      </c>
      <c r="I4198" s="28">
        <f>(I4197+I4196)*Inputs!$D$12</f>
        <v>911</v>
      </c>
      <c r="J4198" s="28">
        <f>(J4197+J4196)*Inputs!$D$12</f>
        <v>911</v>
      </c>
      <c r="K4198" s="28">
        <f>(K4197+K4196)*Inputs!$D$12</f>
        <v>911</v>
      </c>
      <c r="L4198" s="28">
        <f>(L4197+L4196)*Inputs!$D$12</f>
        <v>911</v>
      </c>
      <c r="M4198" s="28">
        <f>(M4197+M4196)*Inputs!$D$12</f>
        <v>911</v>
      </c>
    </row>
    <row r="4199" spans="1:13" ht="15" customHeight="1" x14ac:dyDescent="0.2">
      <c r="B4199" s="10" t="s">
        <v>893</v>
      </c>
      <c r="C4199" s="10" t="s">
        <v>199</v>
      </c>
      <c r="D4199" s="28">
        <f t="shared" ref="D4199:M4199" si="911">D4196-D4197</f>
        <v>259.5</v>
      </c>
      <c r="E4199" s="28">
        <f t="shared" si="911"/>
        <v>346</v>
      </c>
      <c r="F4199" s="28">
        <f t="shared" si="911"/>
        <v>259.5</v>
      </c>
      <c r="G4199" s="28">
        <f t="shared" si="911"/>
        <v>0</v>
      </c>
      <c r="H4199" s="28">
        <f t="shared" si="911"/>
        <v>0</v>
      </c>
      <c r="I4199" s="28">
        <f t="shared" si="911"/>
        <v>0</v>
      </c>
      <c r="J4199" s="28">
        <f t="shared" si="911"/>
        <v>0</v>
      </c>
      <c r="K4199" s="28">
        <f t="shared" si="911"/>
        <v>0</v>
      </c>
      <c r="L4199" s="28">
        <f t="shared" si="911"/>
        <v>0</v>
      </c>
      <c r="M4199" s="28">
        <f t="shared" si="911"/>
        <v>0</v>
      </c>
    </row>
    <row r="4200" spans="1:13" ht="15" customHeight="1" x14ac:dyDescent="0.2">
      <c r="B4200" s="10" t="s">
        <v>894</v>
      </c>
      <c r="C4200" s="10" t="s">
        <v>199</v>
      </c>
      <c r="D4200" s="28">
        <f>IF(MOD(D4192,Inputs!$D$21)=Inputs!$D$6,Inputs!$D$24,Inputs!$D$6)+SUMPRODUCT(--(D4192&gt;$D$4192:$M$4192),--(MOD(D4192-$D$4192:$M$4192,Inputs!$D$21)=Inputs!$D$6),$D$4199:$M$4199)</f>
        <v>0</v>
      </c>
      <c r="E4200" s="28">
        <f>IF(MOD(E4192,Inputs!$D$21)=Inputs!$D$6,Inputs!$D$24,Inputs!$D$6)+SUMPRODUCT(--(E4192&gt;$D$4192:$M$4192),--(MOD(E4192-$D$4192:$M$4192,Inputs!$D$21)=Inputs!$D$6),$D$4199:$M$4199)</f>
        <v>0</v>
      </c>
      <c r="F4200" s="28">
        <f>IF(MOD(F4192,Inputs!$D$21)=Inputs!$D$6,Inputs!$D$24,Inputs!$D$6)+SUMPRODUCT(--(F4192&gt;$D$4192:$M$4192),--(MOD(F4192-$D$4192:$M$4192,Inputs!$D$21)=Inputs!$D$6),$D$4199:$M$4199)</f>
        <v>0</v>
      </c>
      <c r="G4200" s="28">
        <f>IF(MOD(G4192,Inputs!$D$21)=Inputs!$D$6,Inputs!$D$24,Inputs!$D$6)+SUMPRODUCT(--(G4192&gt;$D$4192:$M$4192),--(MOD(G4192-$D$4192:$M$4192,Inputs!$D$21)=Inputs!$D$6),$D$4199:$M$4199)</f>
        <v>46</v>
      </c>
      <c r="H4200" s="28">
        <f>IF(MOD(H4192,Inputs!$D$21)=Inputs!$D$6,Inputs!$D$24,Inputs!$D$6)+SUMPRODUCT(--(H4192&gt;$D$4192:$M$4192),--(MOD(H4192-$D$4192:$M$4192,Inputs!$D$21)=Inputs!$D$6),$D$4199:$M$4199)</f>
        <v>259.5</v>
      </c>
      <c r="I4200" s="28">
        <f>IF(MOD(I4192,Inputs!$D$21)=Inputs!$D$6,Inputs!$D$24,Inputs!$D$6)+SUMPRODUCT(--(I4192&gt;$D$4192:$M$4192),--(MOD(I4192-$D$4192:$M$4192,Inputs!$D$21)=Inputs!$D$6),$D$4199:$M$4199)</f>
        <v>346</v>
      </c>
      <c r="J4200" s="28">
        <f>IF(MOD(J4192,Inputs!$D$21)=Inputs!$D$6,Inputs!$D$24,Inputs!$D$6)+SUMPRODUCT(--(J4192&gt;$D$4192:$M$4192),--(MOD(J4192-$D$4192:$M$4192,Inputs!$D$21)=Inputs!$D$6),$D$4199:$M$4199)</f>
        <v>259.5</v>
      </c>
      <c r="K4200" s="28">
        <f>IF(MOD(K4192,Inputs!$D$21)=Inputs!$D$6,Inputs!$D$24,Inputs!$D$6)+SUMPRODUCT(--(K4192&gt;$D$4192:$M$4192),--(MOD(K4192-$D$4192:$M$4192,Inputs!$D$21)=Inputs!$D$6),$D$4199:$M$4199)</f>
        <v>46</v>
      </c>
      <c r="L4200" s="28">
        <f>IF(MOD(L4192,Inputs!$D$21)=Inputs!$D$6,Inputs!$D$24,Inputs!$D$6)+SUMPRODUCT(--(L4192&gt;$D$4192:$M$4192),--(MOD(L4192-$D$4192:$M$4192,Inputs!$D$21)=Inputs!$D$6),$D$4199:$M$4199)</f>
        <v>259.5</v>
      </c>
      <c r="M4200" s="28">
        <f>IF(MOD(M4192,Inputs!$D$21)=Inputs!$D$6,Inputs!$D$24,Inputs!$D$6)+SUMPRODUCT(--(M4192&gt;$D$4192:$M$4192),--(MOD(M4192-$D$4192:$M$4192,Inputs!$D$21)=Inputs!$D$6),$D$4199:$M$4199)</f>
        <v>346</v>
      </c>
    </row>
    <row r="4201" spans="1:13" ht="15" customHeight="1" x14ac:dyDescent="0.2">
      <c r="B4201" s="10" t="s">
        <v>895</v>
      </c>
      <c r="C4201" s="10" t="s">
        <v>896</v>
      </c>
      <c r="D4201" s="28">
        <f t="shared" ref="D4201:M4201" si="912">D4198*D4195</f>
        <v>125.58726899383984</v>
      </c>
      <c r="E4201" s="28">
        <f t="shared" si="912"/>
        <v>478.5</v>
      </c>
      <c r="F4201" s="28">
        <f t="shared" si="912"/>
        <v>781.25</v>
      </c>
      <c r="G4201" s="28">
        <f t="shared" si="912"/>
        <v>911</v>
      </c>
      <c r="H4201" s="28">
        <f t="shared" si="912"/>
        <v>911</v>
      </c>
      <c r="I4201" s="28">
        <f t="shared" si="912"/>
        <v>911</v>
      </c>
      <c r="J4201" s="28">
        <f t="shared" si="912"/>
        <v>911</v>
      </c>
      <c r="K4201" s="28">
        <f t="shared" si="912"/>
        <v>911</v>
      </c>
      <c r="L4201" s="28">
        <f t="shared" si="912"/>
        <v>911</v>
      </c>
      <c r="M4201" s="28">
        <f t="shared" si="912"/>
        <v>911</v>
      </c>
    </row>
    <row r="4202" spans="1:13" ht="15" customHeight="1" x14ac:dyDescent="0.2">
      <c r="B4202" s="10" t="s">
        <v>897</v>
      </c>
      <c r="C4202" s="10" t="s">
        <v>110</v>
      </c>
      <c r="D4202" s="16">
        <f>D4201*($D$4221/Inputs!$D$21+$D$4222/Inputs!$D$22)</f>
        <v>1816.9772859324419</v>
      </c>
      <c r="E4202" s="16">
        <f>E4201*($D$4221/Inputs!$D$21+$D$4222/Inputs!$D$22)</f>
        <v>6922.8643817497086</v>
      </c>
      <c r="F4202" s="16">
        <f>F4201*($D$4221/Inputs!$D$21+$D$4222/Inputs!$D$22)</f>
        <v>11303.0048030135</v>
      </c>
      <c r="G4202" s="16">
        <f>G4201*($D$4221/Inputs!$D$21+$D$4222/Inputs!$D$22)</f>
        <v>13180.207840697982</v>
      </c>
      <c r="H4202" s="16">
        <f>H4201*($D$4221/Inputs!$D$21+$D$4222/Inputs!$D$22)</f>
        <v>13180.207840697982</v>
      </c>
      <c r="I4202" s="16">
        <f>I4201*($D$4221/Inputs!$D$21+$D$4222/Inputs!$D$22)</f>
        <v>13180.207840697982</v>
      </c>
      <c r="J4202" s="16">
        <f>J4201*($D$4221/Inputs!$D$21+$D$4222/Inputs!$D$22)</f>
        <v>13180.207840697982</v>
      </c>
      <c r="K4202" s="16">
        <f>K4201*($D$4221/Inputs!$D$21+$D$4222/Inputs!$D$22)</f>
        <v>13180.207840697982</v>
      </c>
      <c r="L4202" s="16">
        <f>L4201*($D$4221/Inputs!$D$21+$D$4222/Inputs!$D$22)</f>
        <v>13180.207840697982</v>
      </c>
      <c r="M4202" s="16">
        <f>M4201*($D$4221/Inputs!$D$21+$D$4222/Inputs!$D$22)</f>
        <v>13180.207840697982</v>
      </c>
    </row>
    <row r="4203" spans="1:13" ht="15" customHeight="1" x14ac:dyDescent="0.2">
      <c r="B4203" s="10" t="s">
        <v>898</v>
      </c>
      <c r="C4203" s="10" t="s">
        <v>110</v>
      </c>
      <c r="D4203" s="16">
        <f t="shared" ref="D4203:M4203" si="913">D4199*($D$4221+$D$4222)</f>
        <v>15560.968620146154</v>
      </c>
      <c r="E4203" s="16">
        <f t="shared" si="913"/>
        <v>20747.95816019487</v>
      </c>
      <c r="F4203" s="16">
        <f t="shared" si="913"/>
        <v>15560.968620146154</v>
      </c>
      <c r="G4203" s="16">
        <f t="shared" si="913"/>
        <v>0</v>
      </c>
      <c r="H4203" s="16">
        <f t="shared" si="913"/>
        <v>0</v>
      </c>
      <c r="I4203" s="16">
        <f t="shared" si="913"/>
        <v>0</v>
      </c>
      <c r="J4203" s="16">
        <f t="shared" si="913"/>
        <v>0</v>
      </c>
      <c r="K4203" s="16">
        <f t="shared" si="913"/>
        <v>0</v>
      </c>
      <c r="L4203" s="16">
        <f t="shared" si="913"/>
        <v>0</v>
      </c>
      <c r="M4203" s="16">
        <f t="shared" si="913"/>
        <v>0</v>
      </c>
    </row>
    <row r="4204" spans="1:13" ht="15" customHeight="1" x14ac:dyDescent="0.2">
      <c r="B4204" s="10" t="s">
        <v>899</v>
      </c>
      <c r="C4204" s="10" t="s">
        <v>110</v>
      </c>
      <c r="D4204" s="16">
        <f t="shared" ref="D4204:M4204" si="914">D4200*$D$4221</f>
        <v>0</v>
      </c>
      <c r="E4204" s="16">
        <f t="shared" si="914"/>
        <v>0</v>
      </c>
      <c r="F4204" s="16">
        <f t="shared" si="914"/>
        <v>0</v>
      </c>
      <c r="G4204" s="16">
        <f t="shared" si="914"/>
        <v>2638.0048485671714</v>
      </c>
      <c r="H4204" s="16">
        <f t="shared" si="914"/>
        <v>14881.788221808281</v>
      </c>
      <c r="I4204" s="16">
        <f t="shared" si="914"/>
        <v>19842.384295744378</v>
      </c>
      <c r="J4204" s="16">
        <f t="shared" si="914"/>
        <v>14881.788221808281</v>
      </c>
      <c r="K4204" s="16">
        <f t="shared" si="914"/>
        <v>2638.0048485671714</v>
      </c>
      <c r="L4204" s="16">
        <f t="shared" si="914"/>
        <v>14881.788221808281</v>
      </c>
      <c r="M4204" s="16">
        <f t="shared" si="914"/>
        <v>19842.384295744378</v>
      </c>
    </row>
    <row r="4205" spans="1:13" ht="15" customHeight="1" x14ac:dyDescent="0.2">
      <c r="B4205" s="10" t="s">
        <v>900</v>
      </c>
      <c r="C4205" s="10" t="s">
        <v>199</v>
      </c>
      <c r="D4205" s="28">
        <f>D4199*Inputs!$D$23</f>
        <v>6.4875000000000007</v>
      </c>
      <c r="E4205" s="28">
        <f>E4199*Inputs!$D$23</f>
        <v>8.65</v>
      </c>
      <c r="F4205" s="28">
        <f>F4199*Inputs!$D$23</f>
        <v>6.4875000000000007</v>
      </c>
      <c r="G4205" s="28">
        <f>G4199*Inputs!$D$23</f>
        <v>0</v>
      </c>
      <c r="H4205" s="28">
        <f>H4199*Inputs!$D$23</f>
        <v>0</v>
      </c>
      <c r="I4205" s="28">
        <f>I4199*Inputs!$D$23</f>
        <v>0</v>
      </c>
      <c r="J4205" s="28">
        <f>J4199*Inputs!$D$23</f>
        <v>0</v>
      </c>
      <c r="K4205" s="28">
        <f>K4199*Inputs!$D$23</f>
        <v>0</v>
      </c>
      <c r="L4205" s="28">
        <f>L4199*Inputs!$D$23</f>
        <v>0</v>
      </c>
      <c r="M4205" s="28">
        <f>M4199*Inputs!$D$23</f>
        <v>0</v>
      </c>
    </row>
    <row r="4206" spans="1:13" ht="15" customHeight="1" x14ac:dyDescent="0.2">
      <c r="B4206" s="3" t="s">
        <v>901</v>
      </c>
      <c r="C4206" s="10" t="s">
        <v>896</v>
      </c>
      <c r="D4206" s="28">
        <f>(D4201*$D$4219*(Inputs!$D$7-Inputs!$D$19)-D4205)/(Inputs!$D$7+$D$4220)^D4194</f>
        <v>58.135202233109887</v>
      </c>
      <c r="E4206" s="28">
        <f>(E4201*$D$4219*(Inputs!$D$7-Inputs!$D$19)-E4205)/(Inputs!$D$7+$D$4220)^E4194</f>
        <v>207.07828100895995</v>
      </c>
      <c r="F4206" s="28">
        <f>(F4201*$D$4219*(Inputs!$D$7-Inputs!$D$19)-F4205)/(Inputs!$D$7+$D$4220)^F4194</f>
        <v>301.95293090230649</v>
      </c>
      <c r="G4206" s="28">
        <f>(G4201*$D$4219*(Inputs!$D$7-Inputs!$D$19)-G4205)/(Inputs!$D$7+$D$4220)^G4194</f>
        <v>313.53778491139536</v>
      </c>
      <c r="H4206" s="28">
        <f>(H4201*$D$4219*(Inputs!$D$7-Inputs!$D$19)-H4205)/(Inputs!$D$7+$D$4220)^H4194</f>
        <v>275.05781182617739</v>
      </c>
      <c r="I4206" s="28">
        <f>(I4201*$D$4219*(Inputs!$D$7-Inputs!$D$19)-I4205)/(Inputs!$D$7+$D$4220)^I4194</f>
        <v>241.21387452741479</v>
      </c>
      <c r="J4206" s="28">
        <f>(J4201*$D$4219*(Inputs!$D$7-Inputs!$D$19)-J4205)/(Inputs!$D$7+$D$4220)^J4194</f>
        <v>211.61009518637272</v>
      </c>
      <c r="K4206" s="28">
        <f>(K4201*$D$4219*(Inputs!$D$7-Inputs!$D$19)-K4205)/(Inputs!$D$7+$D$4220)^K4194</f>
        <v>185.63953865637379</v>
      </c>
      <c r="L4206" s="28">
        <f>(L4201*$D$4219*(Inputs!$D$7-Inputs!$D$19)-L4205)/(Inputs!$D$7+$D$4220)^L4194</f>
        <v>162.85630551888053</v>
      </c>
      <c r="M4206" s="28">
        <f>(M4201*$D$4219*(Inputs!$D$7-Inputs!$D$19)-M4205)/(Inputs!$D$7+$D$4220)^M4194</f>
        <v>142.81797773572984</v>
      </c>
    </row>
    <row r="4207" spans="1:13" ht="15" customHeight="1" x14ac:dyDescent="0.2">
      <c r="B4207" s="10" t="s">
        <v>902</v>
      </c>
      <c r="C4207" s="10" t="s">
        <v>110</v>
      </c>
      <c r="D4207" s="16">
        <f>(D4202*Inputs!$D$19-D4203-D4204)/(Inputs!$D$7+$D$4220)^D4194</f>
        <v>-13673.750208995338</v>
      </c>
      <c r="E4207" s="16">
        <f>(E4202*Inputs!$D$19-E4203-E4204)/(Inputs!$D$7+$D$4220)^E4194</f>
        <v>-14910.258198718562</v>
      </c>
      <c r="F4207" s="16">
        <f>(F4202*Inputs!$D$19-F4203-F4204)/(Inputs!$D$7+$D$4220)^F4194</f>
        <v>-8525.9417164238148</v>
      </c>
      <c r="G4207" s="16">
        <f>(G4202*Inputs!$D$19-G4203-G4204)/(Inputs!$D$7+$D$4220)^G4194</f>
        <v>808.83204192410847</v>
      </c>
      <c r="H4207" s="16">
        <f>(H4202*Inputs!$D$19-H4203-H4204)/(Inputs!$D$7+$D$4220)^H4194</f>
        <v>-5891.7915280072548</v>
      </c>
      <c r="I4207" s="16">
        <f>(I4202*Inputs!$D$19-I4203-I4204)/(Inputs!$D$7+$D$4220)^I4194</f>
        <v>-7512.3171078465948</v>
      </c>
      <c r="J4207" s="16">
        <f>(J4202*Inputs!$D$19-J4203-J4204)/(Inputs!$D$7+$D$4220)^J4194</f>
        <v>-4532.7291662153211</v>
      </c>
      <c r="K4207" s="16">
        <f>(K4202*Inputs!$D$19-K4203-K4204)/(Inputs!$D$7+$D$4220)^K4194</f>
        <v>478.89349972832292</v>
      </c>
      <c r="L4207" s="16">
        <f>(L4202*Inputs!$D$19-L4203-L4204)/(Inputs!$D$7+$D$4220)^L4194</f>
        <v>-3488.413562109869</v>
      </c>
      <c r="M4207" s="16">
        <f>(M4202*Inputs!$D$19-M4203-M4204)/(Inputs!$D$7+$D$4220)^M4194</f>
        <v>-4447.8947969066312</v>
      </c>
    </row>
    <row r="4208" spans="1:13" ht="15" customHeight="1" x14ac:dyDescent="0.2">
      <c r="B4208" s="10" t="s">
        <v>903</v>
      </c>
      <c r="C4208" s="10" t="s">
        <v>110</v>
      </c>
      <c r="D4208" s="16">
        <f t="shared" ref="D4208:M4208" si="915">D4201*$D$4218</f>
        <v>4093.4516756489966</v>
      </c>
      <c r="E4208" s="16">
        <f t="shared" si="915"/>
        <v>15596.458482540309</v>
      </c>
      <c r="F4208" s="16">
        <f t="shared" si="915"/>
        <v>25464.437177606302</v>
      </c>
      <c r="G4208" s="16">
        <f t="shared" si="915"/>
        <v>29693.570904063159</v>
      </c>
      <c r="H4208" s="16">
        <f t="shared" si="915"/>
        <v>29693.570904063159</v>
      </c>
      <c r="I4208" s="16">
        <f t="shared" si="915"/>
        <v>29693.570904063159</v>
      </c>
      <c r="J4208" s="16">
        <f t="shared" si="915"/>
        <v>29693.570904063159</v>
      </c>
      <c r="K4208" s="16">
        <f t="shared" si="915"/>
        <v>29693.570904063159</v>
      </c>
      <c r="L4208" s="16">
        <f t="shared" si="915"/>
        <v>29693.570904063159</v>
      </c>
      <c r="M4208" s="16">
        <f t="shared" si="915"/>
        <v>29693.570904063159</v>
      </c>
    </row>
    <row r="4209" spans="2:13" ht="15" customHeight="1" x14ac:dyDescent="0.2">
      <c r="B4209" s="10" t="s">
        <v>904</v>
      </c>
      <c r="C4209" s="10" t="s">
        <v>110</v>
      </c>
      <c r="D4209" s="16">
        <f t="shared" ref="D4209:M4209" si="916">D4208*$D$4219</f>
        <v>3274.7613405191973</v>
      </c>
      <c r="E4209" s="16">
        <f t="shared" si="916"/>
        <v>12477.166786032249</v>
      </c>
      <c r="F4209" s="16">
        <f t="shared" si="916"/>
        <v>20371.549742085044</v>
      </c>
      <c r="G4209" s="16">
        <f t="shared" si="916"/>
        <v>23754.85672325053</v>
      </c>
      <c r="H4209" s="16">
        <f t="shared" si="916"/>
        <v>23754.85672325053</v>
      </c>
      <c r="I4209" s="16">
        <f t="shared" si="916"/>
        <v>23754.85672325053</v>
      </c>
      <c r="J4209" s="16">
        <f t="shared" si="916"/>
        <v>23754.85672325053</v>
      </c>
      <c r="K4209" s="16">
        <f t="shared" si="916"/>
        <v>23754.85672325053</v>
      </c>
      <c r="L4209" s="16">
        <f t="shared" si="916"/>
        <v>23754.85672325053</v>
      </c>
      <c r="M4209" s="16">
        <f t="shared" si="916"/>
        <v>23754.85672325053</v>
      </c>
    </row>
    <row r="4210" spans="2:13" ht="15" customHeight="1" x14ac:dyDescent="0.2">
      <c r="B4210" s="10" t="s">
        <v>905</v>
      </c>
      <c r="C4210" s="10" t="s">
        <v>110</v>
      </c>
      <c r="D4210" s="16">
        <f t="shared" ref="D4210:M4210" si="917">D4209-D4202</f>
        <v>1457.7840545867555</v>
      </c>
      <c r="E4210" s="16">
        <f t="shared" si="917"/>
        <v>5554.30240428254</v>
      </c>
      <c r="F4210" s="16">
        <f t="shared" si="917"/>
        <v>9068.5449390715439</v>
      </c>
      <c r="G4210" s="16">
        <f t="shared" si="917"/>
        <v>10574.648882552548</v>
      </c>
      <c r="H4210" s="16">
        <f t="shared" si="917"/>
        <v>10574.648882552548</v>
      </c>
      <c r="I4210" s="16">
        <f t="shared" si="917"/>
        <v>10574.648882552548</v>
      </c>
      <c r="J4210" s="16">
        <f t="shared" si="917"/>
        <v>10574.648882552548</v>
      </c>
      <c r="K4210" s="16">
        <f t="shared" si="917"/>
        <v>10574.648882552548</v>
      </c>
      <c r="L4210" s="16">
        <f t="shared" si="917"/>
        <v>10574.648882552548</v>
      </c>
      <c r="M4210" s="16">
        <f t="shared" si="917"/>
        <v>10574.648882552548</v>
      </c>
    </row>
    <row r="4211" spans="2:13" ht="15" customHeight="1" x14ac:dyDescent="0.2">
      <c r="B4211" s="10" t="s">
        <v>906</v>
      </c>
      <c r="C4211" s="10" t="s">
        <v>110</v>
      </c>
      <c r="D4211" s="16">
        <f>MAX(D4210,Inputs!$D$6)*Inputs!$D$19</f>
        <v>437.33521637602661</v>
      </c>
      <c r="E4211" s="16">
        <f>MAX(E4210,Inputs!$D$6)*Inputs!$D$19</f>
        <v>1666.290721284762</v>
      </c>
      <c r="F4211" s="16">
        <f>MAX(F4210,Inputs!$D$6)*Inputs!$D$19</f>
        <v>2720.5634817214632</v>
      </c>
      <c r="G4211" s="16">
        <f>MAX(G4210,Inputs!$D$6)*Inputs!$D$19</f>
        <v>3172.3946647657644</v>
      </c>
      <c r="H4211" s="16">
        <f>MAX(H4210,Inputs!$D$6)*Inputs!$D$19</f>
        <v>3172.3946647657644</v>
      </c>
      <c r="I4211" s="16">
        <f>MAX(I4210,Inputs!$D$6)*Inputs!$D$19</f>
        <v>3172.3946647657644</v>
      </c>
      <c r="J4211" s="16">
        <f>MAX(J4210,Inputs!$D$6)*Inputs!$D$19</f>
        <v>3172.3946647657644</v>
      </c>
      <c r="K4211" s="16">
        <f>MAX(K4210,Inputs!$D$6)*Inputs!$D$19</f>
        <v>3172.3946647657644</v>
      </c>
      <c r="L4211" s="16">
        <f>MAX(L4210,Inputs!$D$6)*Inputs!$D$19</f>
        <v>3172.3946647657644</v>
      </c>
      <c r="M4211" s="16">
        <f>MAX(M4210,Inputs!$D$6)*Inputs!$D$19</f>
        <v>3172.3946647657644</v>
      </c>
    </row>
    <row r="4212" spans="2:13" ht="15" customHeight="1" x14ac:dyDescent="0.2">
      <c r="B4212" s="10" t="s">
        <v>907</v>
      </c>
      <c r="C4212" s="10" t="s">
        <v>110</v>
      </c>
      <c r="D4212" s="16">
        <f t="shared" ref="D4212:M4212" si="918">D4205*$D$4218</f>
        <v>211.45668632284276</v>
      </c>
      <c r="E4212" s="16">
        <f t="shared" si="918"/>
        <v>281.94224843045697</v>
      </c>
      <c r="F4212" s="16">
        <f t="shared" si="918"/>
        <v>211.45668632284276</v>
      </c>
      <c r="G4212" s="16">
        <f t="shared" si="918"/>
        <v>0</v>
      </c>
      <c r="H4212" s="16">
        <f t="shared" si="918"/>
        <v>0</v>
      </c>
      <c r="I4212" s="16">
        <f t="shared" si="918"/>
        <v>0</v>
      </c>
      <c r="J4212" s="16">
        <f t="shared" si="918"/>
        <v>0</v>
      </c>
      <c r="K4212" s="16">
        <f t="shared" si="918"/>
        <v>0</v>
      </c>
      <c r="L4212" s="16">
        <f t="shared" si="918"/>
        <v>0</v>
      </c>
      <c r="M4212" s="16">
        <f t="shared" si="918"/>
        <v>0</v>
      </c>
    </row>
    <row r="4213" spans="2:13" ht="15" customHeight="1" x14ac:dyDescent="0.2">
      <c r="B4213" s="10" t="s">
        <v>908</v>
      </c>
      <c r="C4213" s="10" t="s">
        <v>110</v>
      </c>
      <c r="D4213" s="16">
        <f t="shared" ref="D4213:M4213" si="919">D4209-D4211-D4203-D4204-D4212</f>
        <v>-12934.999182325826</v>
      </c>
      <c r="E4213" s="16">
        <f t="shared" si="919"/>
        <v>-10219.024343877842</v>
      </c>
      <c r="F4213" s="16">
        <f t="shared" si="919"/>
        <v>1878.5609538945846</v>
      </c>
      <c r="G4213" s="16">
        <f t="shared" si="919"/>
        <v>17944.457209917593</v>
      </c>
      <c r="H4213" s="16">
        <f t="shared" si="919"/>
        <v>5700.6738366764839</v>
      </c>
      <c r="I4213" s="16">
        <f t="shared" si="919"/>
        <v>740.0777627403877</v>
      </c>
      <c r="J4213" s="16">
        <f t="shared" si="919"/>
        <v>5700.6738366764839</v>
      </c>
      <c r="K4213" s="16">
        <f t="shared" si="919"/>
        <v>17944.457209917593</v>
      </c>
      <c r="L4213" s="16">
        <f t="shared" si="919"/>
        <v>5700.6738366764839</v>
      </c>
      <c r="M4213" s="16">
        <f t="shared" si="919"/>
        <v>740.0777627403877</v>
      </c>
    </row>
    <row r="4214" spans="2:13" ht="15" customHeight="1" x14ac:dyDescent="0.2">
      <c r="B4214" s="10" t="s">
        <v>909</v>
      </c>
      <c r="C4214" s="10" t="s">
        <v>110</v>
      </c>
      <c r="D4214" s="16">
        <f>D4213/(Inputs!$D$7+$D$4220)^D4194</f>
        <v>-11778.863546502584</v>
      </c>
      <c r="E4214" s="16">
        <f>E4213/(Inputs!$D$7+$D$4220)^E4194</f>
        <v>-8160.6493953913778</v>
      </c>
      <c r="F4214" s="16">
        <f>F4213/(Inputs!$D$7+$D$4220)^F4194</f>
        <v>1316.0569262077145</v>
      </c>
      <c r="G4214" s="16">
        <f>G4213/(Inputs!$D$7+$D$4220)^G4194</f>
        <v>11028.432972077151</v>
      </c>
      <c r="H4214" s="16">
        <f>H4213/(Inputs!$D$7+$D$4220)^H4194</f>
        <v>3073.5747048984099</v>
      </c>
      <c r="I4214" s="16">
        <f>I4213/(Inputs!$D$7+$D$4220)^I4194</f>
        <v>349.92360161947181</v>
      </c>
      <c r="J4214" s="16">
        <f>J4213/(Inputs!$D$7+$D$4220)^J4194</f>
        <v>2364.591761811148</v>
      </c>
      <c r="K4214" s="16">
        <f>K4213/(Inputs!$D$7+$D$4220)^K4194</f>
        <v>6529.7176530659835</v>
      </c>
      <c r="L4214" s="16">
        <f>L4213/(Inputs!$D$7+$D$4220)^L4194</f>
        <v>1819.8029637942493</v>
      </c>
      <c r="M4214" s="16">
        <f>M4213/(Inputs!$D$7+$D$4220)^M4194</f>
        <v>207.18286310523254</v>
      </c>
    </row>
    <row r="4215" spans="2:13" ht="15" customHeight="1" x14ac:dyDescent="0.2">
      <c r="B4215" s="3" t="s">
        <v>910</v>
      </c>
      <c r="C4215" s="10" t="s">
        <v>896</v>
      </c>
      <c r="D4215" s="28">
        <f>(D4201*$D$4219-D4205)/(Inputs!$D$7+$D$4220)^D4194</f>
        <v>85.582136563235466</v>
      </c>
      <c r="E4215" s="28">
        <f>(E4201*$D$4219-E4205)/(Inputs!$D$7+$D$4220)^E4194</f>
        <v>298.78654444295387</v>
      </c>
      <c r="F4215" s="28">
        <f>(F4201*$D$4219-F4205)/(Inputs!$D$7+$D$4220)^F4194</f>
        <v>433.3091550122395</v>
      </c>
      <c r="G4215" s="28">
        <f>(G4201*$D$4219-G4205)/(Inputs!$D$7+$D$4220)^G4194</f>
        <v>447.91112130199338</v>
      </c>
      <c r="H4215" s="28">
        <f>(H4201*$D$4219-H4205)/(Inputs!$D$7+$D$4220)^H4194</f>
        <v>392.93973118025337</v>
      </c>
      <c r="I4215" s="28">
        <f>(I4201*$D$4219-I4205)/(Inputs!$D$7+$D$4220)^I4194</f>
        <v>344.59124932487828</v>
      </c>
      <c r="J4215" s="28">
        <f>(J4201*$D$4219-J4205)/(Inputs!$D$7+$D$4220)^J4194</f>
        <v>302.3001359805325</v>
      </c>
      <c r="K4215" s="28">
        <f>(K4201*$D$4219-K4205)/(Inputs!$D$7+$D$4220)^K4194</f>
        <v>265.19934093767688</v>
      </c>
      <c r="L4215" s="28">
        <f>(L4201*$D$4219-L4205)/(Inputs!$D$7+$D$4220)^L4194</f>
        <v>232.65186502697219</v>
      </c>
      <c r="M4215" s="28">
        <f>(M4201*$D$4219-M4205)/(Inputs!$D$7+$D$4220)^M4194</f>
        <v>204.02568247961406</v>
      </c>
    </row>
    <row r="4216" spans="2:13" ht="15" customHeight="1" x14ac:dyDescent="0.2">
      <c r="B4216" s="10" t="s">
        <v>911</v>
      </c>
      <c r="C4216" s="10" t="s">
        <v>110</v>
      </c>
      <c r="D4216" s="16">
        <f>(-D4203-D4204)/(Inputs!$D$7+$D$4220)^D4194</f>
        <v>-14170.122737893587</v>
      </c>
      <c r="E4216" s="16">
        <f>(-E4203-E4204)/(Inputs!$D$7+$D$4220)^E4194</f>
        <v>-16568.784506031301</v>
      </c>
      <c r="F4216" s="16">
        <f>(-F4203-F4204)/(Inputs!$D$7+$D$4220)^F4194</f>
        <v>-10901.493767656277</v>
      </c>
      <c r="G4216" s="16">
        <f>(-G4203-G4204)/(Inputs!$D$7+$D$4220)^G4194</f>
        <v>-1621.2839046676961</v>
      </c>
      <c r="H4216" s="16">
        <f>(-H4203-H4204)/(Inputs!$D$7+$D$4220)^H4194</f>
        <v>-8023.6633690433682</v>
      </c>
      <c r="I4216" s="16">
        <f>(-I4203-I4204)/(Inputs!$D$7+$D$4220)^I4194</f>
        <v>-9381.8770500204446</v>
      </c>
      <c r="J4216" s="16">
        <f>(-J4203-J4204)/(Inputs!$D$7+$D$4220)^J4194</f>
        <v>-6172.8411129063252</v>
      </c>
      <c r="K4216" s="16">
        <f>(-K4203-K4204)/(Inputs!$D$7+$D$4220)^K4194</f>
        <v>-959.93022397147342</v>
      </c>
      <c r="L4216" s="16">
        <f>(-L4203-L4204)/(Inputs!$D$7+$D$4220)^L4194</f>
        <v>-4750.6528330682277</v>
      </c>
      <c r="M4216" s="16">
        <f>(-M4203-M4204)/(Inputs!$D$7+$D$4220)^M4194</f>
        <v>-5554.82436602912</v>
      </c>
    </row>
    <row r="4217" spans="2:13" ht="15" customHeight="1" x14ac:dyDescent="0.2">
      <c r="B4217" s="10" t="s">
        <v>912</v>
      </c>
      <c r="C4217" s="10" t="s">
        <v>110</v>
      </c>
      <c r="D4217" s="16">
        <f>Prices!I9</f>
        <v>21850</v>
      </c>
    </row>
    <row r="4218" spans="2:13" ht="15" customHeight="1" x14ac:dyDescent="0.2">
      <c r="B4218" s="3" t="s">
        <v>913</v>
      </c>
      <c r="C4218" s="10" t="s">
        <v>914</v>
      </c>
      <c r="D4218" s="28">
        <f>IF(J4225&gt;=J4221,J4225,(D4217-J4224)/J4223)</f>
        <v>32.594479587336068</v>
      </c>
      <c r="G4218" s="99" t="s">
        <v>915</v>
      </c>
      <c r="H4218" s="91"/>
      <c r="I4218" s="91"/>
      <c r="J4218" s="28">
        <f>D4218*Inputs!$D$15</f>
        <v>22.74768730400184</v>
      </c>
      <c r="K4218" s="99" t="s">
        <v>916</v>
      </c>
      <c r="L4218" s="91"/>
      <c r="M4218" s="91"/>
    </row>
    <row r="4219" spans="2:13" ht="15" customHeight="1" x14ac:dyDescent="0.2">
      <c r="B4219" s="10" t="s">
        <v>917</v>
      </c>
      <c r="C4219" s="10" t="s">
        <v>104</v>
      </c>
      <c r="D4219" s="30">
        <f>Inputs!$D$144</f>
        <v>0.8</v>
      </c>
      <c r="G4219" s="99" t="s">
        <v>918</v>
      </c>
      <c r="H4219" s="91"/>
      <c r="I4219" s="91"/>
      <c r="J4219" s="28">
        <f>IF(-D4230/D4229&gt;=J4221,-D4230/D4229,-J4224/J4223)</f>
        <v>26.113601269848285</v>
      </c>
      <c r="K4219" s="99" t="s">
        <v>919</v>
      </c>
      <c r="L4219" s="91"/>
      <c r="M4219" s="91"/>
    </row>
    <row r="4220" spans="2:13" ht="15" customHeight="1" x14ac:dyDescent="0.2">
      <c r="B4220" s="10" t="s">
        <v>920</v>
      </c>
      <c r="C4220" s="10" t="s">
        <v>104</v>
      </c>
      <c r="D4220" s="30">
        <f>Inputs!$D$149</f>
        <v>0.14000000000000001</v>
      </c>
      <c r="G4220" s="99" t="s">
        <v>918</v>
      </c>
      <c r="H4220" s="91"/>
      <c r="I4220" s="91"/>
      <c r="J4220" s="28">
        <f>J4219*Inputs!$D$15</f>
        <v>18.224682326227118</v>
      </c>
      <c r="K4220" s="99" t="s">
        <v>916</v>
      </c>
      <c r="L4220" s="91"/>
      <c r="M4220" s="91"/>
    </row>
    <row r="4221" spans="2:13" ht="15" customHeight="1" x14ac:dyDescent="0.2">
      <c r="B4221" s="3" t="s">
        <v>921</v>
      </c>
      <c r="C4221" s="10" t="s">
        <v>848</v>
      </c>
      <c r="D4221" s="28">
        <f>Capital!$D$13</f>
        <v>57.347931490590682</v>
      </c>
      <c r="G4221" s="99" t="s">
        <v>922</v>
      </c>
      <c r="H4221" s="91"/>
      <c r="I4221" s="91"/>
      <c r="J4221" s="28">
        <f>($D$4221/Inputs!$D$21+$D$4222/Inputs!$D$22)/$D$4219</f>
        <v>18.084807684821598</v>
      </c>
      <c r="K4221" s="99" t="s">
        <v>919</v>
      </c>
      <c r="L4221" s="91"/>
      <c r="M4221" s="91"/>
    </row>
    <row r="4222" spans="2:13" ht="15" customHeight="1" x14ac:dyDescent="0.2">
      <c r="B4222" s="3" t="s">
        <v>923</v>
      </c>
      <c r="C4222" s="10" t="s">
        <v>848</v>
      </c>
      <c r="D4222" s="28">
        <f>Capital!$D$14</f>
        <v>2.6172655041921802</v>
      </c>
    </row>
    <row r="4223" spans="2:13" ht="15" customHeight="1" x14ac:dyDescent="0.2">
      <c r="B4223" s="10" t="s">
        <v>924</v>
      </c>
      <c r="C4223" s="10" t="s">
        <v>896</v>
      </c>
      <c r="D4223" s="28">
        <f>(M4196*(Inputs!$D$7+Inputs!$D$20)*$D$4219*(Inputs!$D$7-Inputs!$D$19)-M4196*Inputs!$D$20*Inputs!$D$23)/($D$4220-Inputs!$D$20)/(Inputs!$D$7+$D$4220)^M4194</f>
        <v>1271.5568009972683</v>
      </c>
      <c r="G4223" s="92" t="s">
        <v>910</v>
      </c>
      <c r="H4223" s="91"/>
      <c r="I4223" s="91"/>
      <c r="J4223" s="28">
        <f>SUM(D4215:M4215)+(M4196*(Inputs!$D$7+Inputs!$D$20)*$D$4219-M4196*Inputs!$D$20*Inputs!$D$23)/($D$4220-Inputs!$D$20)/(Inputs!$D$7+$D$4220)^M4194</f>
        <v>4824.400696834412</v>
      </c>
      <c r="K4223" s="99" t="s">
        <v>896</v>
      </c>
      <c r="L4223" s="91"/>
      <c r="M4223" s="91"/>
    </row>
    <row r="4224" spans="2:13" ht="15" customHeight="1" x14ac:dyDescent="0.2">
      <c r="B4224" s="10" t="s">
        <v>925</v>
      </c>
      <c r="C4224" s="10" t="s">
        <v>110</v>
      </c>
      <c r="D4224" s="16">
        <f>(D4227*Inputs!$D$19-D4227-D4228)/($D$4220-Inputs!$D$20)/(Inputs!$D$7+$D$4220)^M4194</f>
        <v>-26345.502698929216</v>
      </c>
      <c r="G4224" s="92" t="s">
        <v>926</v>
      </c>
      <c r="H4224" s="91"/>
      <c r="I4224" s="91"/>
      <c r="J4224" s="16">
        <f>SUM(D4216:M4216)-(D4227+D4228)/($D$4220-Inputs!$D$20)/(Inputs!$D$7+$D$4220)^M4194</f>
        <v>-114317.08794717836</v>
      </c>
      <c r="K4224" s="99" t="s">
        <v>110</v>
      </c>
      <c r="L4224" s="91"/>
      <c r="M4224" s="91"/>
    </row>
    <row r="4225" spans="1:13" ht="15" customHeight="1" x14ac:dyDescent="0.2">
      <c r="B4225" s="10" t="s">
        <v>927</v>
      </c>
      <c r="C4225" s="10" t="s">
        <v>928</v>
      </c>
      <c r="D4225" s="16">
        <f>(M4196*(Inputs!$D$7+Inputs!$D$20)*$D$4218*$D$4219-D4227)-MAX((M4196*(Inputs!$D$7+Inputs!$D$20)*$D$4218*$D$4219-D4227),Inputs!$D$6)*Inputs!$D$19-D4228-M4196*Inputs!$D$20*$D$4218*Inputs!$D$23</f>
        <v>6203.0447298602312</v>
      </c>
      <c r="G4225" s="99" t="s">
        <v>929</v>
      </c>
      <c r="H4225" s="91"/>
      <c r="I4225" s="91"/>
      <c r="J4225" s="28">
        <f>(D4217-D4230)/D4229</f>
        <v>32.594479587336068</v>
      </c>
      <c r="K4225" s="99" t="s">
        <v>919</v>
      </c>
      <c r="L4225" s="91"/>
      <c r="M4225" s="91"/>
    </row>
    <row r="4226" spans="1:13" ht="15" customHeight="1" x14ac:dyDescent="0.2">
      <c r="B4226" s="10" t="s">
        <v>930</v>
      </c>
      <c r="C4226" s="10" t="s">
        <v>110</v>
      </c>
      <c r="D4226" s="16">
        <f>D4225/($D$4220-Inputs!$D$20)</f>
        <v>53939.519390088957</v>
      </c>
      <c r="G4226" s="99" t="s">
        <v>931</v>
      </c>
      <c r="H4226" s="91"/>
      <c r="I4226" s="91"/>
      <c r="J4226" s="16">
        <f>MIN(D4210:M4210,(M4196*(Inputs!$D$7+Inputs!$D$20)*$D$4218*$D$4219-D4227))</f>
        <v>1457.7840545867555</v>
      </c>
      <c r="K4226" s="99" t="s">
        <v>110</v>
      </c>
      <c r="L4226" s="91"/>
      <c r="M4226" s="91"/>
    </row>
    <row r="4227" spans="1:13" ht="15" customHeight="1" x14ac:dyDescent="0.2">
      <c r="B4227" s="10" t="s">
        <v>932</v>
      </c>
      <c r="C4227" s="10" t="s">
        <v>928</v>
      </c>
      <c r="D4227" s="16">
        <f>M4196*(Inputs!$D$7+Inputs!$D$20)*($D$4221/Inputs!$D$21+$D$4222/Inputs!$D$22)</f>
        <v>13509.71303671543</v>
      </c>
      <c r="G4227" s="99" t="s">
        <v>933</v>
      </c>
      <c r="H4227" s="91"/>
      <c r="I4227" s="91"/>
      <c r="J4227" s="31" t="str">
        <f>IF(J4226&lt;Inputs!$D$6,"breached","satisfied")</f>
        <v>satisfied</v>
      </c>
      <c r="K4227" s="99" t="s">
        <v>934</v>
      </c>
      <c r="L4227" s="91"/>
      <c r="M4227" s="91"/>
    </row>
    <row r="4228" spans="1:13" ht="15" customHeight="1" x14ac:dyDescent="0.2">
      <c r="B4228" s="10" t="s">
        <v>935</v>
      </c>
      <c r="C4228" s="10" t="s">
        <v>928</v>
      </c>
      <c r="D4228" s="16">
        <f>M4196*Inputs!$D$20*($D$4221+$D$4222)</f>
        <v>1365.7073615561799</v>
      </c>
    </row>
    <row r="4229" spans="1:13" ht="15" customHeight="1" x14ac:dyDescent="0.2">
      <c r="B4229" s="10" t="s">
        <v>936</v>
      </c>
      <c r="C4229" s="10" t="s">
        <v>896</v>
      </c>
      <c r="D4229" s="28">
        <f>SUM(D4206:M4206)+D4223</f>
        <v>3371.4566035039898</v>
      </c>
      <c r="G4229" s="99" t="s">
        <v>937</v>
      </c>
      <c r="H4229" s="91"/>
      <c r="I4229" s="91"/>
      <c r="J4229" s="16">
        <f>D4231-D4217</f>
        <v>0</v>
      </c>
      <c r="K4229" s="99" t="s">
        <v>110</v>
      </c>
      <c r="L4229" s="91"/>
      <c r="M4229" s="91"/>
    </row>
    <row r="4230" spans="1:13" ht="15" customHeight="1" x14ac:dyDescent="0.2">
      <c r="B4230" s="10" t="s">
        <v>938</v>
      </c>
      <c r="C4230" s="10" t="s">
        <v>110</v>
      </c>
      <c r="D4230" s="16">
        <f>SUM(D4207:M4207)+D4224</f>
        <v>-88040.873442500175</v>
      </c>
    </row>
    <row r="4231" spans="1:13" ht="15" customHeight="1" x14ac:dyDescent="0.2">
      <c r="B4231" s="10" t="s">
        <v>939</v>
      </c>
      <c r="C4231" s="10" t="s">
        <v>110</v>
      </c>
      <c r="D4231" s="16">
        <f>SUM(D4214:M4214)+D4226/(Inputs!$D$7+$D$4220)^M4194</f>
        <v>21849.999999999993</v>
      </c>
    </row>
    <row r="4232" spans="1:13" ht="15" customHeight="1" x14ac:dyDescent="0.2">
      <c r="B4232" s="10" t="s">
        <v>940</v>
      </c>
      <c r="C4232" s="10" t="s">
        <v>104</v>
      </c>
      <c r="D4232" s="30">
        <f>IF(ABS(D4217)&gt;Inputs!$D$6,D4231/D4217-Inputs!$D$7,Inputs!$D$6)</f>
        <v>-3.3306690738754696E-16</v>
      </c>
    </row>
    <row r="4233" spans="1:13" ht="15" customHeight="1" x14ac:dyDescent="0.2">
      <c r="B4233" s="10" t="s">
        <v>941</v>
      </c>
      <c r="C4233" s="10" t="s">
        <v>104</v>
      </c>
      <c r="D4233" s="30">
        <f>IF(ABS(D4231)&gt;Inputs!$D$119,D4226/(Inputs!$D$7+$D$4220)^M4194/D4231,Inputs!$D$6)</f>
        <v>0.69108601809220127</v>
      </c>
    </row>
    <row r="4234" spans="1:13" ht="15" customHeight="1" x14ac:dyDescent="0.2">
      <c r="B4234" s="10" t="s">
        <v>942</v>
      </c>
      <c r="C4234" s="10" t="s">
        <v>943</v>
      </c>
      <c r="D4234" s="26">
        <f>$D$4218*Inputs!$D$8/Prices!$P$6/(Inputs!$D$26/Inputs!$D$25)/Inputs!$D$11/Inputs!$D$56</f>
        <v>5.9274051194167994</v>
      </c>
    </row>
    <row r="4238" spans="1:13" ht="15" customHeight="1" x14ac:dyDescent="0.2">
      <c r="A4238" s="104" t="s">
        <v>2257</v>
      </c>
      <c r="B4238" s="10" t="s">
        <v>886</v>
      </c>
      <c r="C4238" s="10" t="s">
        <v>107</v>
      </c>
      <c r="D4238" s="28">
        <f>Inputs!$D$60</f>
        <v>1</v>
      </c>
      <c r="E4238" s="28">
        <f>Inputs!$D$62</f>
        <v>2</v>
      </c>
      <c r="F4238" s="28">
        <f>Inputs!$D$64</f>
        <v>3</v>
      </c>
      <c r="G4238" s="28">
        <f>Inputs!$D$66</f>
        <v>4</v>
      </c>
      <c r="H4238" s="28">
        <f>Inputs!$D$68</f>
        <v>5</v>
      </c>
      <c r="I4238" s="28">
        <f>Inputs!$D$70</f>
        <v>6</v>
      </c>
      <c r="J4238" s="28">
        <f>Inputs!$D$72</f>
        <v>7</v>
      </c>
      <c r="K4238" s="28">
        <f>Inputs!$D$74</f>
        <v>8</v>
      </c>
      <c r="L4238" s="28">
        <f>Inputs!$D$76</f>
        <v>9</v>
      </c>
      <c r="M4238" s="28">
        <f>Inputs!$D$78</f>
        <v>10</v>
      </c>
    </row>
    <row r="4239" spans="1:13" ht="15" customHeight="1" x14ac:dyDescent="0.2">
      <c r="A4239" s="91"/>
      <c r="B4239" s="10" t="s">
        <v>887</v>
      </c>
      <c r="C4239" s="10" t="s">
        <v>161</v>
      </c>
      <c r="D4239" s="29">
        <f>Inputs!$D$61</f>
        <v>46568</v>
      </c>
      <c r="E4239" s="29">
        <f>Inputs!$D$63</f>
        <v>46934</v>
      </c>
      <c r="F4239" s="29">
        <f>Inputs!$D$65</f>
        <v>47299</v>
      </c>
      <c r="G4239" s="29">
        <f>Inputs!$D$67</f>
        <v>47664</v>
      </c>
      <c r="H4239" s="29">
        <f>Inputs!$D$69</f>
        <v>48029</v>
      </c>
      <c r="I4239" s="29">
        <f>Inputs!$D$71</f>
        <v>48395</v>
      </c>
      <c r="J4239" s="29">
        <f>Inputs!$D$73</f>
        <v>48760</v>
      </c>
      <c r="K4239" s="29">
        <f>Inputs!$D$75</f>
        <v>49125</v>
      </c>
      <c r="L4239" s="29">
        <f>Inputs!$D$77</f>
        <v>49490</v>
      </c>
      <c r="M4239" s="29">
        <f>Inputs!$D$79</f>
        <v>49856</v>
      </c>
    </row>
    <row r="4240" spans="1:13" ht="15" customHeight="1" x14ac:dyDescent="0.2">
      <c r="A4240" s="91"/>
      <c r="B4240" s="10" t="s">
        <v>888</v>
      </c>
      <c r="C4240" s="10" t="s">
        <v>107</v>
      </c>
      <c r="D4240" s="28">
        <f>(D4239-Inputs!$D$13)/Inputs!$D$10</f>
        <v>0.71457905544147848</v>
      </c>
      <c r="E4240" s="28">
        <f>(E4239-Inputs!$D$13)/Inputs!$D$10</f>
        <v>1.7166324435318274</v>
      </c>
      <c r="F4240" s="28">
        <f>(F4239-Inputs!$D$13)/Inputs!$D$10</f>
        <v>2.7159479808350446</v>
      </c>
      <c r="G4240" s="28">
        <f>(G4239-Inputs!$D$13)/Inputs!$D$10</f>
        <v>3.7152635181382614</v>
      </c>
      <c r="H4240" s="28">
        <f>(H4239-Inputs!$D$13)/Inputs!$D$10</f>
        <v>4.7145790554414786</v>
      </c>
      <c r="I4240" s="28">
        <f>(I4239-Inputs!$D$13)/Inputs!$D$10</f>
        <v>5.7166324435318279</v>
      </c>
      <c r="J4240" s="28">
        <f>(J4239-Inputs!$D$13)/Inputs!$D$10</f>
        <v>6.7159479808350442</v>
      </c>
      <c r="K4240" s="28">
        <f>(K4239-Inputs!$D$13)/Inputs!$D$10</f>
        <v>7.7152635181382614</v>
      </c>
      <c r="L4240" s="28">
        <f>(L4239-Inputs!$D$13)/Inputs!$D$10</f>
        <v>8.7145790554414777</v>
      </c>
      <c r="M4240" s="28">
        <f>(M4239-Inputs!$D$13)/Inputs!$D$10</f>
        <v>9.716632443531827</v>
      </c>
    </row>
    <row r="4241" spans="1:13" ht="15" customHeight="1" x14ac:dyDescent="0.2">
      <c r="A4241" s="91"/>
      <c r="B4241" s="10" t="s">
        <v>889</v>
      </c>
      <c r="C4241" s="10" t="s">
        <v>107</v>
      </c>
      <c r="D4241" s="28">
        <f>D4240</f>
        <v>0.71457905544147848</v>
      </c>
      <c r="E4241" s="28">
        <f>Inputs!$D$7</f>
        <v>1</v>
      </c>
      <c r="F4241" s="28">
        <f>Inputs!$D$7</f>
        <v>1</v>
      </c>
      <c r="G4241" s="28">
        <f>Inputs!$D$7</f>
        <v>1</v>
      </c>
      <c r="H4241" s="28">
        <f>Inputs!$D$7</f>
        <v>1</v>
      </c>
      <c r="I4241" s="28">
        <f>Inputs!$D$7</f>
        <v>1</v>
      </c>
      <c r="J4241" s="28">
        <f>Inputs!$D$7</f>
        <v>1</v>
      </c>
      <c r="K4241" s="28">
        <f>Inputs!$D$7</f>
        <v>1</v>
      </c>
      <c r="L4241" s="28">
        <f>Inputs!$D$7</f>
        <v>1</v>
      </c>
      <c r="M4241" s="28">
        <f>Inputs!$D$7</f>
        <v>1</v>
      </c>
    </row>
    <row r="4242" spans="1:13" ht="15" customHeight="1" x14ac:dyDescent="0.2">
      <c r="A4242" s="91"/>
      <c r="B4242" s="3" t="s">
        <v>890</v>
      </c>
      <c r="C4242" s="10" t="s">
        <v>199</v>
      </c>
      <c r="D4242" s="28">
        <f>Inputs!$D$24+(Inputs!$D$80-Inputs!$D$24)*Inputs!$D$83</f>
        <v>305.5</v>
      </c>
      <c r="E4242" s="28">
        <f>Inputs!$D$24+(Inputs!$D$80-Inputs!$D$24)*Inputs!$D$84</f>
        <v>651.5</v>
      </c>
      <c r="F4242" s="28">
        <f>Inputs!$D$24+(Inputs!$D$80-Inputs!$D$24)*Inputs!$D$85</f>
        <v>911</v>
      </c>
      <c r="G4242" s="28">
        <f>Inputs!$D$24+(Inputs!$D$80-Inputs!$D$24)*Inputs!$D$86</f>
        <v>911</v>
      </c>
      <c r="H4242" s="28">
        <f>Inputs!$D$24+(Inputs!$D$80-Inputs!$D$24)*Inputs!$D$87</f>
        <v>911</v>
      </c>
      <c r="I4242" s="28">
        <f>Inputs!$D$24+(Inputs!$D$80-Inputs!$D$24)*Inputs!$D$88</f>
        <v>911</v>
      </c>
      <c r="J4242" s="28">
        <f>Inputs!$D$24+(Inputs!$D$80-Inputs!$D$24)*Inputs!$D$89</f>
        <v>911</v>
      </c>
      <c r="K4242" s="28">
        <f>Inputs!$D$24+(Inputs!$D$80-Inputs!$D$24)*Inputs!$D$90</f>
        <v>911</v>
      </c>
      <c r="L4242" s="28">
        <f>Inputs!$D$24+(Inputs!$D$80-Inputs!$D$24)*Inputs!$D$91</f>
        <v>911</v>
      </c>
      <c r="M4242" s="28">
        <f>Inputs!$D$24+(Inputs!$D$80-Inputs!$D$24)*Inputs!$D$92</f>
        <v>911</v>
      </c>
    </row>
    <row r="4243" spans="1:13" ht="15" customHeight="1" x14ac:dyDescent="0.2">
      <c r="A4243" s="91"/>
      <c r="B4243" s="10" t="s">
        <v>891</v>
      </c>
      <c r="C4243" s="10" t="s">
        <v>199</v>
      </c>
      <c r="D4243" s="28">
        <f>Inputs!$D$24</f>
        <v>46</v>
      </c>
      <c r="E4243" s="28">
        <f t="shared" ref="E4243:M4243" si="920">D4242</f>
        <v>305.5</v>
      </c>
      <c r="F4243" s="28">
        <f t="shared" si="920"/>
        <v>651.5</v>
      </c>
      <c r="G4243" s="28">
        <f t="shared" si="920"/>
        <v>911</v>
      </c>
      <c r="H4243" s="28">
        <f t="shared" si="920"/>
        <v>911</v>
      </c>
      <c r="I4243" s="28">
        <f t="shared" si="920"/>
        <v>911</v>
      </c>
      <c r="J4243" s="28">
        <f t="shared" si="920"/>
        <v>911</v>
      </c>
      <c r="K4243" s="28">
        <f t="shared" si="920"/>
        <v>911</v>
      </c>
      <c r="L4243" s="28">
        <f t="shared" si="920"/>
        <v>911</v>
      </c>
      <c r="M4243" s="28">
        <f t="shared" si="920"/>
        <v>911</v>
      </c>
    </row>
    <row r="4244" spans="1:13" ht="15" customHeight="1" x14ac:dyDescent="0.2">
      <c r="B4244" s="10" t="s">
        <v>892</v>
      </c>
      <c r="C4244" s="10" t="s">
        <v>199</v>
      </c>
      <c r="D4244" s="28">
        <f>(D4243+D4242)*Inputs!$D$12</f>
        <v>175.75</v>
      </c>
      <c r="E4244" s="28">
        <f>(E4243+E4242)*Inputs!$D$12</f>
        <v>478.5</v>
      </c>
      <c r="F4244" s="28">
        <f>(F4243+F4242)*Inputs!$D$12</f>
        <v>781.25</v>
      </c>
      <c r="G4244" s="28">
        <f>(G4243+G4242)*Inputs!$D$12</f>
        <v>911</v>
      </c>
      <c r="H4244" s="28">
        <f>(H4243+H4242)*Inputs!$D$12</f>
        <v>911</v>
      </c>
      <c r="I4244" s="28">
        <f>(I4243+I4242)*Inputs!$D$12</f>
        <v>911</v>
      </c>
      <c r="J4244" s="28">
        <f>(J4243+J4242)*Inputs!$D$12</f>
        <v>911</v>
      </c>
      <c r="K4244" s="28">
        <f>(K4243+K4242)*Inputs!$D$12</f>
        <v>911</v>
      </c>
      <c r="L4244" s="28">
        <f>(L4243+L4242)*Inputs!$D$12</f>
        <v>911</v>
      </c>
      <c r="M4244" s="28">
        <f>(M4243+M4242)*Inputs!$D$12</f>
        <v>911</v>
      </c>
    </row>
    <row r="4245" spans="1:13" ht="15" customHeight="1" x14ac:dyDescent="0.2">
      <c r="B4245" s="10" t="s">
        <v>893</v>
      </c>
      <c r="C4245" s="10" t="s">
        <v>199</v>
      </c>
      <c r="D4245" s="28">
        <f t="shared" ref="D4245:M4245" si="921">D4242-D4243</f>
        <v>259.5</v>
      </c>
      <c r="E4245" s="28">
        <f t="shared" si="921"/>
        <v>346</v>
      </c>
      <c r="F4245" s="28">
        <f t="shared" si="921"/>
        <v>259.5</v>
      </c>
      <c r="G4245" s="28">
        <f t="shared" si="921"/>
        <v>0</v>
      </c>
      <c r="H4245" s="28">
        <f t="shared" si="921"/>
        <v>0</v>
      </c>
      <c r="I4245" s="28">
        <f t="shared" si="921"/>
        <v>0</v>
      </c>
      <c r="J4245" s="28">
        <f t="shared" si="921"/>
        <v>0</v>
      </c>
      <c r="K4245" s="28">
        <f t="shared" si="921"/>
        <v>0</v>
      </c>
      <c r="L4245" s="28">
        <f t="shared" si="921"/>
        <v>0</v>
      </c>
      <c r="M4245" s="28">
        <f t="shared" si="921"/>
        <v>0</v>
      </c>
    </row>
    <row r="4246" spans="1:13" ht="15" customHeight="1" x14ac:dyDescent="0.2">
      <c r="B4246" s="10" t="s">
        <v>894</v>
      </c>
      <c r="C4246" s="10" t="s">
        <v>199</v>
      </c>
      <c r="D4246" s="28">
        <f>IF(MOD(D4238,Inputs!$D$21)=Inputs!$D$6,Inputs!$D$24,Inputs!$D$6)+SUMPRODUCT(--(D4238&gt;$D$4238:$M$4238),--(MOD(D4238-$D$4238:$M$4238,Inputs!$D$21)=Inputs!$D$6),$D$4245:$M$4245)</f>
        <v>0</v>
      </c>
      <c r="E4246" s="28">
        <f>IF(MOD(E4238,Inputs!$D$21)=Inputs!$D$6,Inputs!$D$24,Inputs!$D$6)+SUMPRODUCT(--(E4238&gt;$D$4238:$M$4238),--(MOD(E4238-$D$4238:$M$4238,Inputs!$D$21)=Inputs!$D$6),$D$4245:$M$4245)</f>
        <v>0</v>
      </c>
      <c r="F4246" s="28">
        <f>IF(MOD(F4238,Inputs!$D$21)=Inputs!$D$6,Inputs!$D$24,Inputs!$D$6)+SUMPRODUCT(--(F4238&gt;$D$4238:$M$4238),--(MOD(F4238-$D$4238:$M$4238,Inputs!$D$21)=Inputs!$D$6),$D$4245:$M$4245)</f>
        <v>0</v>
      </c>
      <c r="G4246" s="28">
        <f>IF(MOD(G4238,Inputs!$D$21)=Inputs!$D$6,Inputs!$D$24,Inputs!$D$6)+SUMPRODUCT(--(G4238&gt;$D$4238:$M$4238),--(MOD(G4238-$D$4238:$M$4238,Inputs!$D$21)=Inputs!$D$6),$D$4245:$M$4245)</f>
        <v>46</v>
      </c>
      <c r="H4246" s="28">
        <f>IF(MOD(H4238,Inputs!$D$21)=Inputs!$D$6,Inputs!$D$24,Inputs!$D$6)+SUMPRODUCT(--(H4238&gt;$D$4238:$M$4238),--(MOD(H4238-$D$4238:$M$4238,Inputs!$D$21)=Inputs!$D$6),$D$4245:$M$4245)</f>
        <v>259.5</v>
      </c>
      <c r="I4246" s="28">
        <f>IF(MOD(I4238,Inputs!$D$21)=Inputs!$D$6,Inputs!$D$24,Inputs!$D$6)+SUMPRODUCT(--(I4238&gt;$D$4238:$M$4238),--(MOD(I4238-$D$4238:$M$4238,Inputs!$D$21)=Inputs!$D$6),$D$4245:$M$4245)</f>
        <v>346</v>
      </c>
      <c r="J4246" s="28">
        <f>IF(MOD(J4238,Inputs!$D$21)=Inputs!$D$6,Inputs!$D$24,Inputs!$D$6)+SUMPRODUCT(--(J4238&gt;$D$4238:$M$4238),--(MOD(J4238-$D$4238:$M$4238,Inputs!$D$21)=Inputs!$D$6),$D$4245:$M$4245)</f>
        <v>259.5</v>
      </c>
      <c r="K4246" s="28">
        <f>IF(MOD(K4238,Inputs!$D$21)=Inputs!$D$6,Inputs!$D$24,Inputs!$D$6)+SUMPRODUCT(--(K4238&gt;$D$4238:$M$4238),--(MOD(K4238-$D$4238:$M$4238,Inputs!$D$21)=Inputs!$D$6),$D$4245:$M$4245)</f>
        <v>46</v>
      </c>
      <c r="L4246" s="28">
        <f>IF(MOD(L4238,Inputs!$D$21)=Inputs!$D$6,Inputs!$D$24,Inputs!$D$6)+SUMPRODUCT(--(L4238&gt;$D$4238:$M$4238),--(MOD(L4238-$D$4238:$M$4238,Inputs!$D$21)=Inputs!$D$6),$D$4245:$M$4245)</f>
        <v>259.5</v>
      </c>
      <c r="M4246" s="28">
        <f>IF(MOD(M4238,Inputs!$D$21)=Inputs!$D$6,Inputs!$D$24,Inputs!$D$6)+SUMPRODUCT(--(M4238&gt;$D$4238:$M$4238),--(MOD(M4238-$D$4238:$M$4238,Inputs!$D$21)=Inputs!$D$6),$D$4245:$M$4245)</f>
        <v>346</v>
      </c>
    </row>
    <row r="4247" spans="1:13" ht="15" customHeight="1" x14ac:dyDescent="0.2">
      <c r="B4247" s="10" t="s">
        <v>895</v>
      </c>
      <c r="C4247" s="10" t="s">
        <v>896</v>
      </c>
      <c r="D4247" s="28">
        <f t="shared" ref="D4247:M4247" si="922">D4244*D4241</f>
        <v>125.58726899383984</v>
      </c>
      <c r="E4247" s="28">
        <f t="shared" si="922"/>
        <v>478.5</v>
      </c>
      <c r="F4247" s="28">
        <f t="shared" si="922"/>
        <v>781.25</v>
      </c>
      <c r="G4247" s="28">
        <f t="shared" si="922"/>
        <v>911</v>
      </c>
      <c r="H4247" s="28">
        <f t="shared" si="922"/>
        <v>911</v>
      </c>
      <c r="I4247" s="28">
        <f t="shared" si="922"/>
        <v>911</v>
      </c>
      <c r="J4247" s="28">
        <f t="shared" si="922"/>
        <v>911</v>
      </c>
      <c r="K4247" s="28">
        <f t="shared" si="922"/>
        <v>911</v>
      </c>
      <c r="L4247" s="28">
        <f t="shared" si="922"/>
        <v>911</v>
      </c>
      <c r="M4247" s="28">
        <f t="shared" si="922"/>
        <v>911</v>
      </c>
    </row>
    <row r="4248" spans="1:13" ht="15" customHeight="1" x14ac:dyDescent="0.2">
      <c r="B4248" s="10" t="s">
        <v>897</v>
      </c>
      <c r="C4248" s="10" t="s">
        <v>110</v>
      </c>
      <c r="D4248" s="16">
        <f>D4247*($D$4267/Inputs!$D$21+$D$4268/Inputs!$D$22)</f>
        <v>1816.9772859324419</v>
      </c>
      <c r="E4248" s="16">
        <f>E4247*($D$4267/Inputs!$D$21+$D$4268/Inputs!$D$22)</f>
        <v>6922.8643817497086</v>
      </c>
      <c r="F4248" s="16">
        <f>F4247*($D$4267/Inputs!$D$21+$D$4268/Inputs!$D$22)</f>
        <v>11303.0048030135</v>
      </c>
      <c r="G4248" s="16">
        <f>G4247*($D$4267/Inputs!$D$21+$D$4268/Inputs!$D$22)</f>
        <v>13180.207840697982</v>
      </c>
      <c r="H4248" s="16">
        <f>H4247*($D$4267/Inputs!$D$21+$D$4268/Inputs!$D$22)</f>
        <v>13180.207840697982</v>
      </c>
      <c r="I4248" s="16">
        <f>I4247*($D$4267/Inputs!$D$21+$D$4268/Inputs!$D$22)</f>
        <v>13180.207840697982</v>
      </c>
      <c r="J4248" s="16">
        <f>J4247*($D$4267/Inputs!$D$21+$D$4268/Inputs!$D$22)</f>
        <v>13180.207840697982</v>
      </c>
      <c r="K4248" s="16">
        <f>K4247*($D$4267/Inputs!$D$21+$D$4268/Inputs!$D$22)</f>
        <v>13180.207840697982</v>
      </c>
      <c r="L4248" s="16">
        <f>L4247*($D$4267/Inputs!$D$21+$D$4268/Inputs!$D$22)</f>
        <v>13180.207840697982</v>
      </c>
      <c r="M4248" s="16">
        <f>M4247*($D$4267/Inputs!$D$21+$D$4268/Inputs!$D$22)</f>
        <v>13180.207840697982</v>
      </c>
    </row>
    <row r="4249" spans="1:13" ht="15" customHeight="1" x14ac:dyDescent="0.2">
      <c r="B4249" s="10" t="s">
        <v>898</v>
      </c>
      <c r="C4249" s="10" t="s">
        <v>110</v>
      </c>
      <c r="D4249" s="16">
        <f t="shared" ref="D4249:M4249" si="923">D4245*($D$4267+$D$4268)</f>
        <v>15560.968620146154</v>
      </c>
      <c r="E4249" s="16">
        <f t="shared" si="923"/>
        <v>20747.95816019487</v>
      </c>
      <c r="F4249" s="16">
        <f t="shared" si="923"/>
        <v>15560.968620146154</v>
      </c>
      <c r="G4249" s="16">
        <f t="shared" si="923"/>
        <v>0</v>
      </c>
      <c r="H4249" s="16">
        <f t="shared" si="923"/>
        <v>0</v>
      </c>
      <c r="I4249" s="16">
        <f t="shared" si="923"/>
        <v>0</v>
      </c>
      <c r="J4249" s="16">
        <f t="shared" si="923"/>
        <v>0</v>
      </c>
      <c r="K4249" s="16">
        <f t="shared" si="923"/>
        <v>0</v>
      </c>
      <c r="L4249" s="16">
        <f t="shared" si="923"/>
        <v>0</v>
      </c>
      <c r="M4249" s="16">
        <f t="shared" si="923"/>
        <v>0</v>
      </c>
    </row>
    <row r="4250" spans="1:13" ht="15" customHeight="1" x14ac:dyDescent="0.2">
      <c r="B4250" s="10" t="s">
        <v>899</v>
      </c>
      <c r="C4250" s="10" t="s">
        <v>110</v>
      </c>
      <c r="D4250" s="16">
        <f t="shared" ref="D4250:M4250" si="924">D4246*$D$4267</f>
        <v>0</v>
      </c>
      <c r="E4250" s="16">
        <f t="shared" si="924"/>
        <v>0</v>
      </c>
      <c r="F4250" s="16">
        <f t="shared" si="924"/>
        <v>0</v>
      </c>
      <c r="G4250" s="16">
        <f t="shared" si="924"/>
        <v>2638.0048485671714</v>
      </c>
      <c r="H4250" s="16">
        <f t="shared" si="924"/>
        <v>14881.788221808281</v>
      </c>
      <c r="I4250" s="16">
        <f t="shared" si="924"/>
        <v>19842.384295744378</v>
      </c>
      <c r="J4250" s="16">
        <f t="shared" si="924"/>
        <v>14881.788221808281</v>
      </c>
      <c r="K4250" s="16">
        <f t="shared" si="924"/>
        <v>2638.0048485671714</v>
      </c>
      <c r="L4250" s="16">
        <f t="shared" si="924"/>
        <v>14881.788221808281</v>
      </c>
      <c r="M4250" s="16">
        <f t="shared" si="924"/>
        <v>19842.384295744378</v>
      </c>
    </row>
    <row r="4251" spans="1:13" ht="15" customHeight="1" x14ac:dyDescent="0.2">
      <c r="B4251" s="10" t="s">
        <v>900</v>
      </c>
      <c r="C4251" s="10" t="s">
        <v>199</v>
      </c>
      <c r="D4251" s="28">
        <f>D4245*Inputs!$D$23</f>
        <v>6.4875000000000007</v>
      </c>
      <c r="E4251" s="28">
        <f>E4245*Inputs!$D$23</f>
        <v>8.65</v>
      </c>
      <c r="F4251" s="28">
        <f>F4245*Inputs!$D$23</f>
        <v>6.4875000000000007</v>
      </c>
      <c r="G4251" s="28">
        <f>G4245*Inputs!$D$23</f>
        <v>0</v>
      </c>
      <c r="H4251" s="28">
        <f>H4245*Inputs!$D$23</f>
        <v>0</v>
      </c>
      <c r="I4251" s="28">
        <f>I4245*Inputs!$D$23</f>
        <v>0</v>
      </c>
      <c r="J4251" s="28">
        <f>J4245*Inputs!$D$23</f>
        <v>0</v>
      </c>
      <c r="K4251" s="28">
        <f>K4245*Inputs!$D$23</f>
        <v>0</v>
      </c>
      <c r="L4251" s="28">
        <f>L4245*Inputs!$D$23</f>
        <v>0</v>
      </c>
      <c r="M4251" s="28">
        <f>M4245*Inputs!$D$23</f>
        <v>0</v>
      </c>
    </row>
    <row r="4252" spans="1:13" ht="15" customHeight="1" x14ac:dyDescent="0.2">
      <c r="B4252" s="3" t="s">
        <v>901</v>
      </c>
      <c r="C4252" s="10" t="s">
        <v>896</v>
      </c>
      <c r="D4252" s="28">
        <f>(D4247*$D$4265*(Inputs!$D$7-Inputs!$D$19)-D4251)/(Inputs!$D$7+$D$4266)^D4240</f>
        <v>69.577993884880186</v>
      </c>
      <c r="E4252" s="28">
        <f>(E4247*$D$4265*(Inputs!$D$7-Inputs!$D$19)-E4251)/(Inputs!$D$7+$D$4266)^E4240</f>
        <v>259.5027909120393</v>
      </c>
      <c r="F4252" s="28">
        <f>(F4247*$D$4265*(Inputs!$D$7-Inputs!$D$19)-F4251)/(Inputs!$D$7+$D$4266)^F4240</f>
        <v>398.52314260122478</v>
      </c>
      <c r="G4252" s="28">
        <f>(G4247*$D$4265*(Inputs!$D$7-Inputs!$D$19)-G4251)/(Inputs!$D$7+$D$4266)^G4240</f>
        <v>435.99323422627566</v>
      </c>
      <c r="H4252" s="28">
        <f>(H4247*$D$4265*(Inputs!$D$7-Inputs!$D$19)-H4251)/(Inputs!$D$7+$D$4266)^H4240</f>
        <v>403.71870521307892</v>
      </c>
      <c r="I4252" s="28">
        <f>(I4247*$D$4265*(Inputs!$D$7-Inputs!$D$19)-I4251)/(Inputs!$D$7+$D$4266)^I4240</f>
        <v>373.75454650889594</v>
      </c>
      <c r="J4252" s="28">
        <f>(J4247*$D$4265*(Inputs!$D$7-Inputs!$D$19)-J4251)/(Inputs!$D$7+$D$4266)^J4240</f>
        <v>346.08725489020287</v>
      </c>
      <c r="K4252" s="28">
        <f>(K4247*$D$4265*(Inputs!$D$7-Inputs!$D$19)-K4251)/(Inputs!$D$7+$D$4266)^K4240</f>
        <v>320.46804277358893</v>
      </c>
      <c r="L4252" s="28">
        <f>(L4247*$D$4265*(Inputs!$D$7-Inputs!$D$19)-L4251)/(Inputs!$D$7+$D$4266)^L4240</f>
        <v>296.74530046394409</v>
      </c>
      <c r="M4252" s="28">
        <f>(M4247*$D$4265*(Inputs!$D$7-Inputs!$D$19)-M4251)/(Inputs!$D$7+$D$4266)^M4240</f>
        <v>274.72074930243895</v>
      </c>
    </row>
    <row r="4253" spans="1:13" ht="15" customHeight="1" x14ac:dyDescent="0.2">
      <c r="B4253" s="10" t="s">
        <v>902</v>
      </c>
      <c r="C4253" s="10" t="s">
        <v>110</v>
      </c>
      <c r="D4253" s="16">
        <f>(D4248*Inputs!$D$19-D4249-D4250)/(Inputs!$D$7+$D$4266)^D4240</f>
        <v>-14212.377724210151</v>
      </c>
      <c r="E4253" s="16">
        <f>(E4248*Inputs!$D$19-E4249-E4250)/(Inputs!$D$7+$D$4266)^E4240</f>
        <v>-16360.387094728963</v>
      </c>
      <c r="F4253" s="16">
        <f>(F4248*Inputs!$D$19-F4249-F4250)/(Inputs!$D$7+$D$4266)^F4240</f>
        <v>-9874.5154652847668</v>
      </c>
      <c r="G4253" s="16">
        <f>(G4248*Inputs!$D$19-G4249-G4250)/(Inputs!$D$7+$D$4266)^G4240</f>
        <v>988.77347238742834</v>
      </c>
      <c r="H4253" s="16">
        <f>(H4248*Inputs!$D$19-H4249-H4250)/(Inputs!$D$7+$D$4266)^H4240</f>
        <v>-7602.4024163036647</v>
      </c>
      <c r="I4253" s="16">
        <f>(I4248*Inputs!$D$19-I4249-I4250)/(Inputs!$D$7+$D$4266)^I4240</f>
        <v>-10233.087939303265</v>
      </c>
      <c r="J4253" s="16">
        <f>(J4248*Inputs!$D$19-J4249-J4250)/(Inputs!$D$7+$D$4266)^J4240</f>
        <v>-6517.1480757635773</v>
      </c>
      <c r="K4253" s="16">
        <f>(K4248*Inputs!$D$19-K4249-K4250)/(Inputs!$D$7+$D$4266)^K4240</f>
        <v>726.77801985796941</v>
      </c>
      <c r="L4253" s="16">
        <f>(L4248*Inputs!$D$19-L4249-L4250)/(Inputs!$D$7+$D$4266)^L4240</f>
        <v>-5587.9927289550824</v>
      </c>
      <c r="M4253" s="16">
        <f>(M4248*Inputs!$D$19-M4249-M4250)/(Inputs!$D$7+$D$4266)^M4240</f>
        <v>-7521.6251216792398</v>
      </c>
    </row>
    <row r="4254" spans="1:13" ht="15" customHeight="1" x14ac:dyDescent="0.2">
      <c r="B4254" s="10" t="s">
        <v>903</v>
      </c>
      <c r="C4254" s="10" t="s">
        <v>110</v>
      </c>
      <c r="D4254" s="16">
        <f t="shared" ref="D4254:M4254" si="925">D4247*$D$4264</f>
        <v>2895.1047486196621</v>
      </c>
      <c r="E4254" s="16">
        <f t="shared" si="925"/>
        <v>11030.637367251444</v>
      </c>
      <c r="F4254" s="16">
        <f t="shared" si="925"/>
        <v>18009.791939739163</v>
      </c>
      <c r="G4254" s="16">
        <f t="shared" si="925"/>
        <v>21000.858185091045</v>
      </c>
      <c r="H4254" s="16">
        <f t="shared" si="925"/>
        <v>21000.858185091045</v>
      </c>
      <c r="I4254" s="16">
        <f t="shared" si="925"/>
        <v>21000.858185091045</v>
      </c>
      <c r="J4254" s="16">
        <f t="shared" si="925"/>
        <v>21000.858185091045</v>
      </c>
      <c r="K4254" s="16">
        <f t="shared" si="925"/>
        <v>21000.858185091045</v>
      </c>
      <c r="L4254" s="16">
        <f t="shared" si="925"/>
        <v>21000.858185091045</v>
      </c>
      <c r="M4254" s="16">
        <f t="shared" si="925"/>
        <v>21000.858185091045</v>
      </c>
    </row>
    <row r="4255" spans="1:13" ht="15" customHeight="1" x14ac:dyDescent="0.2">
      <c r="B4255" s="10" t="s">
        <v>904</v>
      </c>
      <c r="C4255" s="10" t="s">
        <v>110</v>
      </c>
      <c r="D4255" s="16">
        <f t="shared" ref="D4255:M4255" si="926">D4254*$D$4265</f>
        <v>2634.5453212438924</v>
      </c>
      <c r="E4255" s="16">
        <f t="shared" si="926"/>
        <v>10037.880004198814</v>
      </c>
      <c r="F4255" s="16">
        <f t="shared" si="926"/>
        <v>16388.910665162639</v>
      </c>
      <c r="G4255" s="16">
        <f t="shared" si="926"/>
        <v>19110.78094843285</v>
      </c>
      <c r="H4255" s="16">
        <f t="shared" si="926"/>
        <v>19110.78094843285</v>
      </c>
      <c r="I4255" s="16">
        <f t="shared" si="926"/>
        <v>19110.78094843285</v>
      </c>
      <c r="J4255" s="16">
        <f t="shared" si="926"/>
        <v>19110.78094843285</v>
      </c>
      <c r="K4255" s="16">
        <f t="shared" si="926"/>
        <v>19110.78094843285</v>
      </c>
      <c r="L4255" s="16">
        <f t="shared" si="926"/>
        <v>19110.78094843285</v>
      </c>
      <c r="M4255" s="16">
        <f t="shared" si="926"/>
        <v>19110.78094843285</v>
      </c>
    </row>
    <row r="4256" spans="1:13" ht="15" customHeight="1" x14ac:dyDescent="0.2">
      <c r="B4256" s="10" t="s">
        <v>905</v>
      </c>
      <c r="C4256" s="10" t="s">
        <v>110</v>
      </c>
      <c r="D4256" s="16">
        <f t="shared" ref="D4256:M4256" si="927">D4255-D4248</f>
        <v>817.56803531145056</v>
      </c>
      <c r="E4256" s="16">
        <f t="shared" si="927"/>
        <v>3115.0156224491056</v>
      </c>
      <c r="F4256" s="16">
        <f t="shared" si="927"/>
        <v>5085.9058621491386</v>
      </c>
      <c r="G4256" s="16">
        <f t="shared" si="927"/>
        <v>5930.5731077348682</v>
      </c>
      <c r="H4256" s="16">
        <f t="shared" si="927"/>
        <v>5930.5731077348682</v>
      </c>
      <c r="I4256" s="16">
        <f t="shared" si="927"/>
        <v>5930.5731077348682</v>
      </c>
      <c r="J4256" s="16">
        <f t="shared" si="927"/>
        <v>5930.5731077348682</v>
      </c>
      <c r="K4256" s="16">
        <f t="shared" si="927"/>
        <v>5930.5731077348682</v>
      </c>
      <c r="L4256" s="16">
        <f t="shared" si="927"/>
        <v>5930.5731077348682</v>
      </c>
      <c r="M4256" s="16">
        <f t="shared" si="927"/>
        <v>5930.5731077348682</v>
      </c>
    </row>
    <row r="4257" spans="2:13" ht="15" customHeight="1" x14ac:dyDescent="0.2">
      <c r="B4257" s="10" t="s">
        <v>906</v>
      </c>
      <c r="C4257" s="10" t="s">
        <v>110</v>
      </c>
      <c r="D4257" s="16">
        <f>MAX(D4256,Inputs!$D$6)*Inputs!$D$19</f>
        <v>245.27041059343514</v>
      </c>
      <c r="E4257" s="16">
        <f>MAX(E4256,Inputs!$D$6)*Inputs!$D$19</f>
        <v>934.50468673473165</v>
      </c>
      <c r="F4257" s="16">
        <f>MAX(F4256,Inputs!$D$6)*Inputs!$D$19</f>
        <v>1525.7717586447416</v>
      </c>
      <c r="G4257" s="16">
        <f>MAX(G4256,Inputs!$D$6)*Inputs!$D$19</f>
        <v>1779.1719323204604</v>
      </c>
      <c r="H4257" s="16">
        <f>MAX(H4256,Inputs!$D$6)*Inputs!$D$19</f>
        <v>1779.1719323204604</v>
      </c>
      <c r="I4257" s="16">
        <f>MAX(I4256,Inputs!$D$6)*Inputs!$D$19</f>
        <v>1779.1719323204604</v>
      </c>
      <c r="J4257" s="16">
        <f>MAX(J4256,Inputs!$D$6)*Inputs!$D$19</f>
        <v>1779.1719323204604</v>
      </c>
      <c r="K4257" s="16">
        <f>MAX(K4256,Inputs!$D$6)*Inputs!$D$19</f>
        <v>1779.1719323204604</v>
      </c>
      <c r="L4257" s="16">
        <f>MAX(L4256,Inputs!$D$6)*Inputs!$D$19</f>
        <v>1779.1719323204604</v>
      </c>
      <c r="M4257" s="16">
        <f>MAX(M4256,Inputs!$D$6)*Inputs!$D$19</f>
        <v>1779.1719323204604</v>
      </c>
    </row>
    <row r="4258" spans="2:13" ht="15" customHeight="1" x14ac:dyDescent="0.2">
      <c r="B4258" s="10" t="s">
        <v>907</v>
      </c>
      <c r="C4258" s="10" t="s">
        <v>110</v>
      </c>
      <c r="D4258" s="16">
        <f t="shared" ref="D4258:M4258" si="928">D4251*$D$4264</f>
        <v>149.55331226759404</v>
      </c>
      <c r="E4258" s="16">
        <f t="shared" si="928"/>
        <v>199.40441635679204</v>
      </c>
      <c r="F4258" s="16">
        <f t="shared" si="928"/>
        <v>149.55331226759404</v>
      </c>
      <c r="G4258" s="16">
        <f t="shared" si="928"/>
        <v>0</v>
      </c>
      <c r="H4258" s="16">
        <f t="shared" si="928"/>
        <v>0</v>
      </c>
      <c r="I4258" s="16">
        <f t="shared" si="928"/>
        <v>0</v>
      </c>
      <c r="J4258" s="16">
        <f t="shared" si="928"/>
        <v>0</v>
      </c>
      <c r="K4258" s="16">
        <f t="shared" si="928"/>
        <v>0</v>
      </c>
      <c r="L4258" s="16">
        <f t="shared" si="928"/>
        <v>0</v>
      </c>
      <c r="M4258" s="16">
        <f t="shared" si="928"/>
        <v>0</v>
      </c>
    </row>
    <row r="4259" spans="2:13" ht="15" customHeight="1" x14ac:dyDescent="0.2">
      <c r="B4259" s="10" t="s">
        <v>908</v>
      </c>
      <c r="C4259" s="10" t="s">
        <v>110</v>
      </c>
      <c r="D4259" s="16">
        <f t="shared" ref="D4259:M4259" si="929">D4255-D4257-D4249-D4250-D4258</f>
        <v>-13321.247021763289</v>
      </c>
      <c r="E4259" s="16">
        <f t="shared" si="929"/>
        <v>-11843.98725908758</v>
      </c>
      <c r="F4259" s="16">
        <f t="shared" si="929"/>
        <v>-847.38302589585032</v>
      </c>
      <c r="G4259" s="16">
        <f t="shared" si="929"/>
        <v>14693.604167545218</v>
      </c>
      <c r="H4259" s="16">
        <f t="shared" si="929"/>
        <v>2449.8207943041089</v>
      </c>
      <c r="I4259" s="16">
        <f t="shared" si="929"/>
        <v>-2510.7752796319874</v>
      </c>
      <c r="J4259" s="16">
        <f t="shared" si="929"/>
        <v>2449.8207943041089</v>
      </c>
      <c r="K4259" s="16">
        <f t="shared" si="929"/>
        <v>14693.604167545218</v>
      </c>
      <c r="L4259" s="16">
        <f t="shared" si="929"/>
        <v>2449.8207943041089</v>
      </c>
      <c r="M4259" s="16">
        <f t="shared" si="929"/>
        <v>-2510.7752796319874</v>
      </c>
    </row>
    <row r="4260" spans="2:13" ht="15" customHeight="1" x14ac:dyDescent="0.2">
      <c r="B4260" s="10" t="s">
        <v>909</v>
      </c>
      <c r="C4260" s="10" t="s">
        <v>110</v>
      </c>
      <c r="D4260" s="16">
        <f>D4259/(Inputs!$D$7+$D$4266)^D4240</f>
        <v>-12608.428676592697</v>
      </c>
      <c r="E4260" s="16">
        <f>E4259/(Inputs!$D$7+$D$4266)^E4240</f>
        <v>-10378.190266431413</v>
      </c>
      <c r="F4260" s="16">
        <f>F4259/(Inputs!$D$7+$D$4266)^F4240</f>
        <v>-687.54729706836883</v>
      </c>
      <c r="G4260" s="16">
        <f>G4259/(Inputs!$D$7+$D$4266)^G4240</f>
        <v>11039.522189890391</v>
      </c>
      <c r="H4260" s="16">
        <f>H4259/(Inputs!$D$7+$D$4266)^H4240</f>
        <v>1704.3366340239418</v>
      </c>
      <c r="I4260" s="16">
        <f>I4259/(Inputs!$D$7+$D$4266)^I4240</f>
        <v>-1617.0986667825823</v>
      </c>
      <c r="J4260" s="16">
        <f>J4259/(Inputs!$D$7+$D$4266)^J4240</f>
        <v>1461.0400248035014</v>
      </c>
      <c r="K4260" s="16">
        <f>K4259/(Inputs!$D$7+$D$4266)^K4240</f>
        <v>8114.3783701783132</v>
      </c>
      <c r="L4260" s="16">
        <f>L4259/(Inputs!$D$7+$D$4266)^L4240</f>
        <v>1252.7383052222203</v>
      </c>
      <c r="M4260" s="16">
        <f>M4259/(Inputs!$D$7+$D$4266)^M4240</f>
        <v>-1188.6157950025424</v>
      </c>
    </row>
    <row r="4261" spans="2:13" ht="15" customHeight="1" x14ac:dyDescent="0.2">
      <c r="B4261" s="3" t="s">
        <v>910</v>
      </c>
      <c r="C4261" s="10" t="s">
        <v>896</v>
      </c>
      <c r="D4261" s="28">
        <f>(D4247*$D$4265-D4251)/(Inputs!$D$7+$D$4266)^D4240</f>
        <v>102.02871468379014</v>
      </c>
      <c r="E4261" s="28">
        <f>(E4247*$D$4265-E4251)/(Inputs!$D$7+$D$4266)^E4240</f>
        <v>373.96662424307141</v>
      </c>
      <c r="F4261" s="28">
        <f>(F4247*$D$4265-F4251)/(Inputs!$D$7+$D$4266)^F4240</f>
        <v>571.57469363723339</v>
      </c>
      <c r="G4261" s="28">
        <f>(G4247*$D$4265-G4251)/(Inputs!$D$7+$D$4266)^G4240</f>
        <v>622.84747746610822</v>
      </c>
      <c r="H4261" s="28">
        <f>(H4247*$D$4265-H4251)/(Inputs!$D$7+$D$4266)^H4240</f>
        <v>576.7410074472557</v>
      </c>
      <c r="I4261" s="28">
        <f>(I4247*$D$4265-I4251)/(Inputs!$D$7+$D$4266)^I4240</f>
        <v>533.93506644128001</v>
      </c>
      <c r="J4261" s="28">
        <f>(J4247*$D$4265-J4251)/(Inputs!$D$7+$D$4266)^J4240</f>
        <v>494.41036412886126</v>
      </c>
      <c r="K4261" s="28">
        <f>(K4247*$D$4265-K4251)/(Inputs!$D$7+$D$4266)^K4240</f>
        <v>457.81148967655571</v>
      </c>
      <c r="L4261" s="28">
        <f>(L4247*$D$4265-L4251)/(Inputs!$D$7+$D$4266)^L4240</f>
        <v>423.92185780563449</v>
      </c>
      <c r="M4261" s="28">
        <f>(M4247*$D$4265-M4251)/(Inputs!$D$7+$D$4266)^M4240</f>
        <v>392.45821328919851</v>
      </c>
    </row>
    <row r="4262" spans="2:13" ht="15" customHeight="1" x14ac:dyDescent="0.2">
      <c r="B4262" s="10" t="s">
        <v>911</v>
      </c>
      <c r="C4262" s="10" t="s">
        <v>110</v>
      </c>
      <c r="D4262" s="16">
        <f>(-D4249-D4250)/(Inputs!$D$7+$D$4266)^D4240</f>
        <v>-14728.303038392241</v>
      </c>
      <c r="E4262" s="16">
        <f>(-E4249-E4250)/(Inputs!$D$7+$D$4266)^E4240</f>
        <v>-18180.216908055725</v>
      </c>
      <c r="F4262" s="16">
        <f>(-F4249-F4250)/(Inputs!$D$7+$D$4266)^F4240</f>
        <v>-12625.815702688111</v>
      </c>
      <c r="G4262" s="16">
        <f>(-G4249-G4250)/(Inputs!$D$7+$D$4266)^G4240</f>
        <v>-1981.9720696655354</v>
      </c>
      <c r="H4262" s="16">
        <f>(-H4249-H4250)/(Inputs!$D$7+$D$4266)^H4240</f>
        <v>-10353.237634844469</v>
      </c>
      <c r="I4262" s="16">
        <f>(-I4249-I4250)/(Inputs!$D$7+$D$4266)^I4240</f>
        <v>-12779.755102232404</v>
      </c>
      <c r="J4262" s="16">
        <f>(-J4249-J4250)/(Inputs!$D$7+$D$4266)^J4240</f>
        <v>-8875.2974434962562</v>
      </c>
      <c r="K4262" s="16">
        <f>(-K4249-K4250)/(Inputs!$D$7+$D$4266)^K4240</f>
        <v>-1456.8086386129401</v>
      </c>
      <c r="L4262" s="16">
        <f>(-L4249-L4250)/(Inputs!$D$7+$D$4266)^L4240</f>
        <v>-7609.9387347064285</v>
      </c>
      <c r="M4262" s="16">
        <f>(-M4249-M4250)/(Inputs!$D$7+$D$4266)^M4240</f>
        <v>-9393.5015115686074</v>
      </c>
    </row>
    <row r="4263" spans="2:13" ht="15" customHeight="1" x14ac:dyDescent="0.2">
      <c r="B4263" s="10" t="s">
        <v>912</v>
      </c>
      <c r="C4263" s="10" t="s">
        <v>110</v>
      </c>
      <c r="D4263" s="16">
        <f>Prices!I9</f>
        <v>21850</v>
      </c>
    </row>
    <row r="4264" spans="2:13" ht="15" customHeight="1" x14ac:dyDescent="0.2">
      <c r="B4264" s="3" t="s">
        <v>913</v>
      </c>
      <c r="C4264" s="10" t="s">
        <v>914</v>
      </c>
      <c r="D4264" s="28">
        <f>IF(J4271&gt;=J4267,J4271,(D4263-J4270)/J4269)</f>
        <v>23.05253368286613</v>
      </c>
      <c r="G4264" s="99" t="s">
        <v>915</v>
      </c>
      <c r="H4264" s="91"/>
      <c r="I4264" s="91"/>
      <c r="J4264" s="28">
        <f>D4264*Inputs!$D$15</f>
        <v>16.08836325727227</v>
      </c>
      <c r="K4264" s="99" t="s">
        <v>916</v>
      </c>
      <c r="L4264" s="91"/>
      <c r="M4264" s="91"/>
    </row>
    <row r="4265" spans="2:13" ht="15" customHeight="1" x14ac:dyDescent="0.2">
      <c r="B4265" s="10" t="s">
        <v>917</v>
      </c>
      <c r="C4265" s="10" t="s">
        <v>104</v>
      </c>
      <c r="D4265" s="30">
        <f>Inputs!$D$145</f>
        <v>0.91</v>
      </c>
      <c r="G4265" s="99" t="s">
        <v>918</v>
      </c>
      <c r="H4265" s="91"/>
      <c r="I4265" s="91"/>
      <c r="J4265" s="28">
        <f>IF(-D4276/D4275&gt;=J4267,-D4276/D4275,-J4270/J4269)</f>
        <v>20.418094932582541</v>
      </c>
      <c r="K4265" s="99" t="s">
        <v>919</v>
      </c>
      <c r="L4265" s="91"/>
      <c r="M4265" s="91"/>
    </row>
    <row r="4266" spans="2:13" ht="15" customHeight="1" x14ac:dyDescent="0.2">
      <c r="B4266" s="10" t="s">
        <v>920</v>
      </c>
      <c r="C4266" s="10" t="s">
        <v>104</v>
      </c>
      <c r="D4266" s="30">
        <f>Inputs!$D$146</f>
        <v>0.08</v>
      </c>
      <c r="G4266" s="99" t="s">
        <v>918</v>
      </c>
      <c r="H4266" s="91"/>
      <c r="I4266" s="91"/>
      <c r="J4266" s="28">
        <f>J4265*Inputs!$D$15</f>
        <v>14.249788453449355</v>
      </c>
      <c r="K4266" s="99" t="s">
        <v>916</v>
      </c>
      <c r="L4266" s="91"/>
      <c r="M4266" s="91"/>
    </row>
    <row r="4267" spans="2:13" ht="15" customHeight="1" x14ac:dyDescent="0.2">
      <c r="B4267" s="3" t="s">
        <v>921</v>
      </c>
      <c r="C4267" s="10" t="s">
        <v>848</v>
      </c>
      <c r="D4267" s="28">
        <f>Capital!$D$13</f>
        <v>57.347931490590682</v>
      </c>
      <c r="G4267" s="99" t="s">
        <v>922</v>
      </c>
      <c r="H4267" s="91"/>
      <c r="I4267" s="91"/>
      <c r="J4267" s="28">
        <f>($D$4267/Inputs!$D$21+$D$4268/Inputs!$D$22)/$D$4265</f>
        <v>15.898732030612395</v>
      </c>
      <c r="K4267" s="99" t="s">
        <v>919</v>
      </c>
      <c r="L4267" s="91"/>
      <c r="M4267" s="91"/>
    </row>
    <row r="4268" spans="2:13" ht="15" customHeight="1" x14ac:dyDescent="0.2">
      <c r="B4268" s="3" t="s">
        <v>923</v>
      </c>
      <c r="C4268" s="10" t="s">
        <v>848</v>
      </c>
      <c r="D4268" s="28">
        <f>Capital!$D$14</f>
        <v>2.6172655041921802</v>
      </c>
    </row>
    <row r="4269" spans="2:13" ht="15" customHeight="1" x14ac:dyDescent="0.2">
      <c r="B4269" s="10" t="s">
        <v>924</v>
      </c>
      <c r="C4269" s="10" t="s">
        <v>896</v>
      </c>
      <c r="D4269" s="28">
        <f>(M4242*(Inputs!$D$7+Inputs!$D$20)*$D$4265*(Inputs!$D$7-Inputs!$D$19)-M4242*Inputs!$D$20*Inputs!$D$23)/($D$4266-Inputs!$D$20)/(Inputs!$D$7+$D$4266)^M4240</f>
        <v>5114.8949556152684</v>
      </c>
      <c r="G4269" s="92" t="s">
        <v>910</v>
      </c>
      <c r="H4269" s="91"/>
      <c r="I4269" s="91"/>
      <c r="J4269" s="28">
        <f>SUM(D4261:M4261)+(M4242*(Inputs!$D$7+Inputs!$D$20)*$D$4265-M4242*Inputs!$D$20*Inputs!$D$23)/($D$4266-Inputs!$D$20)/(Inputs!$D$7+$D$4266)^M4240</f>
        <v>11858.788656914776</v>
      </c>
      <c r="K4269" s="99" t="s">
        <v>896</v>
      </c>
      <c r="L4269" s="91"/>
      <c r="M4269" s="91"/>
    </row>
    <row r="4270" spans="2:13" ht="15" customHeight="1" x14ac:dyDescent="0.2">
      <c r="B4270" s="10" t="s">
        <v>925</v>
      </c>
      <c r="C4270" s="10" t="s">
        <v>110</v>
      </c>
      <c r="D4270" s="16">
        <f>(D4273*Inputs!$D$19-D4273-D4274)/($D$4266-Inputs!$D$20)/(Inputs!$D$7+$D$4266)^M4240</f>
        <v>-93153.423070883771</v>
      </c>
      <c r="G4270" s="92" t="s">
        <v>926</v>
      </c>
      <c r="H4270" s="91"/>
      <c r="I4270" s="91"/>
      <c r="J4270" s="16">
        <f>SUM(D4262:M4262)-(D4273+D4274)/($D$4266-Inputs!$D$20)/(Inputs!$D$7+$D$4266)^M4240</f>
        <v>-226023.23893944838</v>
      </c>
      <c r="K4270" s="99" t="s">
        <v>110</v>
      </c>
      <c r="L4270" s="91"/>
      <c r="M4270" s="91"/>
    </row>
    <row r="4271" spans="2:13" ht="15" customHeight="1" x14ac:dyDescent="0.2">
      <c r="B4271" s="10" t="s">
        <v>927</v>
      </c>
      <c r="C4271" s="10" t="s">
        <v>928</v>
      </c>
      <c r="D4271" s="16">
        <f>(M4242*(Inputs!$D$7+Inputs!$D$20)*$D$4264*$D$4265-D4273)-MAX((M4242*(Inputs!$D$7+Inputs!$D$20)*$D$4264*$D$4265-D4273),Inputs!$D$6)*Inputs!$D$19-D4274-M4242*Inputs!$D$20*$D$4264*Inputs!$D$23</f>
        <v>2876.3533068779066</v>
      </c>
      <c r="G4271" s="99" t="s">
        <v>929</v>
      </c>
      <c r="H4271" s="91"/>
      <c r="I4271" s="91"/>
      <c r="J4271" s="28">
        <f>(D4263-D4276)/D4275</f>
        <v>23.05253368286613</v>
      </c>
      <c r="K4271" s="99" t="s">
        <v>919</v>
      </c>
      <c r="L4271" s="91"/>
      <c r="M4271" s="91"/>
    </row>
    <row r="4272" spans="2:13" ht="15" customHeight="1" x14ac:dyDescent="0.2">
      <c r="B4272" s="10" t="s">
        <v>930</v>
      </c>
      <c r="C4272" s="10" t="s">
        <v>110</v>
      </c>
      <c r="D4272" s="16">
        <f>D4271/($D$4266-Inputs!$D$20)</f>
        <v>52297.332852325577</v>
      </c>
      <c r="G4272" s="99" t="s">
        <v>931</v>
      </c>
      <c r="H4272" s="91"/>
      <c r="I4272" s="91"/>
      <c r="J4272" s="16">
        <f>MIN(D4256:M4256,(M4242*(Inputs!$D$7+Inputs!$D$20)*$D$4264*$D$4265-D4273))</f>
        <v>817.56803531145056</v>
      </c>
      <c r="K4272" s="99" t="s">
        <v>110</v>
      </c>
      <c r="L4272" s="91"/>
      <c r="M4272" s="91"/>
    </row>
    <row r="4273" spans="1:13" ht="15" customHeight="1" x14ac:dyDescent="0.2">
      <c r="B4273" s="10" t="s">
        <v>932</v>
      </c>
      <c r="C4273" s="10" t="s">
        <v>928</v>
      </c>
      <c r="D4273" s="16">
        <f>M4242*(Inputs!$D$7+Inputs!$D$20)*($D$4267/Inputs!$D$21+$D$4268/Inputs!$D$22)</f>
        <v>13509.71303671543</v>
      </c>
      <c r="G4273" s="99" t="s">
        <v>933</v>
      </c>
      <c r="H4273" s="91"/>
      <c r="I4273" s="91"/>
      <c r="J4273" s="31" t="str">
        <f>IF(J4272&lt;Inputs!$D$6,"breached","satisfied")</f>
        <v>satisfied</v>
      </c>
      <c r="K4273" s="99" t="s">
        <v>934</v>
      </c>
      <c r="L4273" s="91"/>
      <c r="M4273" s="91"/>
    </row>
    <row r="4274" spans="1:13" ht="15" customHeight="1" x14ac:dyDescent="0.2">
      <c r="B4274" s="10" t="s">
        <v>935</v>
      </c>
      <c r="C4274" s="10" t="s">
        <v>928</v>
      </c>
      <c r="D4274" s="16">
        <f>M4242*Inputs!$D$20*($D$4267+$D$4268)</f>
        <v>1365.7073615561799</v>
      </c>
    </row>
    <row r="4275" spans="1:13" ht="15" customHeight="1" x14ac:dyDescent="0.2">
      <c r="B4275" s="10" t="s">
        <v>936</v>
      </c>
      <c r="C4275" s="10" t="s">
        <v>896</v>
      </c>
      <c r="D4275" s="28">
        <f>SUM(D4252:M4252)+D4269</f>
        <v>8293.9867163918389</v>
      </c>
      <c r="G4275" s="99" t="s">
        <v>937</v>
      </c>
      <c r="H4275" s="91"/>
      <c r="I4275" s="91"/>
      <c r="J4275" s="16">
        <f>D4277-D4263</f>
        <v>0</v>
      </c>
      <c r="K4275" s="99" t="s">
        <v>110</v>
      </c>
      <c r="L4275" s="91"/>
      <c r="M4275" s="91"/>
    </row>
    <row r="4276" spans="1:13" ht="15" customHeight="1" x14ac:dyDescent="0.2">
      <c r="B4276" s="10" t="s">
        <v>938</v>
      </c>
      <c r="C4276" s="10" t="s">
        <v>110</v>
      </c>
      <c r="D4276" s="16">
        <f>SUM(D4253:M4253)+D4270</f>
        <v>-169347.40814486711</v>
      </c>
    </row>
    <row r="4277" spans="1:13" ht="15" customHeight="1" x14ac:dyDescent="0.2">
      <c r="B4277" s="10" t="s">
        <v>939</v>
      </c>
      <c r="C4277" s="10" t="s">
        <v>110</v>
      </c>
      <c r="D4277" s="16">
        <f>SUM(D4260:M4260)+D4272/(Inputs!$D$7+$D$4266)^M4240</f>
        <v>21850.000000000022</v>
      </c>
    </row>
    <row r="4278" spans="1:13" ht="15" customHeight="1" x14ac:dyDescent="0.2">
      <c r="B4278" s="10" t="s">
        <v>940</v>
      </c>
      <c r="C4278" s="10" t="s">
        <v>104</v>
      </c>
      <c r="D4278" s="30">
        <f>IF(ABS(D4263)&gt;Inputs!$D$6,D4277/D4263-Inputs!$D$7,Inputs!$D$6)</f>
        <v>8.8817841970012523E-16</v>
      </c>
    </row>
    <row r="4279" spans="1:13" ht="15" customHeight="1" x14ac:dyDescent="0.2">
      <c r="B4279" s="10" t="s">
        <v>941</v>
      </c>
      <c r="C4279" s="10" t="s">
        <v>104</v>
      </c>
      <c r="D4279" s="30">
        <f>IF(ABS(D4277)&gt;Inputs!$D$119,D4272/(Inputs!$D$7+$D$4266)^M4240/D4277,Inputs!$D$6)</f>
        <v>1.13308307449699</v>
      </c>
    </row>
    <row r="4280" spans="1:13" ht="15" customHeight="1" x14ac:dyDescent="0.2">
      <c r="B4280" s="10" t="s">
        <v>942</v>
      </c>
      <c r="C4280" s="10" t="s">
        <v>943</v>
      </c>
      <c r="D4280" s="26">
        <f>$D$4264*Inputs!$D$8/Prices!$P$6/(Inputs!$D$26/Inputs!$D$25)/Inputs!$D$11/Inputs!$D$56</f>
        <v>4.1921732728151397</v>
      </c>
    </row>
    <row r="4284" spans="1:13" ht="15" customHeight="1" x14ac:dyDescent="0.2">
      <c r="A4284" s="104" t="s">
        <v>2258</v>
      </c>
      <c r="B4284" s="10" t="s">
        <v>886</v>
      </c>
      <c r="C4284" s="10" t="s">
        <v>107</v>
      </c>
      <c r="D4284" s="28">
        <f>Inputs!$D$60</f>
        <v>1</v>
      </c>
      <c r="E4284" s="28">
        <f>Inputs!$D$62</f>
        <v>2</v>
      </c>
      <c r="F4284" s="28">
        <f>Inputs!$D$64</f>
        <v>3</v>
      </c>
      <c r="G4284" s="28">
        <f>Inputs!$D$66</f>
        <v>4</v>
      </c>
      <c r="H4284" s="28">
        <f>Inputs!$D$68</f>
        <v>5</v>
      </c>
      <c r="I4284" s="28">
        <f>Inputs!$D$70</f>
        <v>6</v>
      </c>
      <c r="J4284" s="28">
        <f>Inputs!$D$72</f>
        <v>7</v>
      </c>
      <c r="K4284" s="28">
        <f>Inputs!$D$74</f>
        <v>8</v>
      </c>
      <c r="L4284" s="28">
        <f>Inputs!$D$76</f>
        <v>9</v>
      </c>
      <c r="M4284" s="28">
        <f>Inputs!$D$78</f>
        <v>10</v>
      </c>
    </row>
    <row r="4285" spans="1:13" ht="15" customHeight="1" x14ac:dyDescent="0.2">
      <c r="A4285" s="91"/>
      <c r="B4285" s="10" t="s">
        <v>887</v>
      </c>
      <c r="C4285" s="10" t="s">
        <v>161</v>
      </c>
      <c r="D4285" s="29">
        <f>Inputs!$D$61</f>
        <v>46568</v>
      </c>
      <c r="E4285" s="29">
        <f>Inputs!$D$63</f>
        <v>46934</v>
      </c>
      <c r="F4285" s="29">
        <f>Inputs!$D$65</f>
        <v>47299</v>
      </c>
      <c r="G4285" s="29">
        <f>Inputs!$D$67</f>
        <v>47664</v>
      </c>
      <c r="H4285" s="29">
        <f>Inputs!$D$69</f>
        <v>48029</v>
      </c>
      <c r="I4285" s="29">
        <f>Inputs!$D$71</f>
        <v>48395</v>
      </c>
      <c r="J4285" s="29">
        <f>Inputs!$D$73</f>
        <v>48760</v>
      </c>
      <c r="K4285" s="29">
        <f>Inputs!$D$75</f>
        <v>49125</v>
      </c>
      <c r="L4285" s="29">
        <f>Inputs!$D$77</f>
        <v>49490</v>
      </c>
      <c r="M4285" s="29">
        <f>Inputs!$D$79</f>
        <v>49856</v>
      </c>
    </row>
    <row r="4286" spans="1:13" ht="15" customHeight="1" x14ac:dyDescent="0.2">
      <c r="A4286" s="91"/>
      <c r="B4286" s="10" t="s">
        <v>888</v>
      </c>
      <c r="C4286" s="10" t="s">
        <v>107</v>
      </c>
      <c r="D4286" s="28">
        <f>(D4285-Inputs!$D$13)/Inputs!$D$10</f>
        <v>0.71457905544147848</v>
      </c>
      <c r="E4286" s="28">
        <f>(E4285-Inputs!$D$13)/Inputs!$D$10</f>
        <v>1.7166324435318274</v>
      </c>
      <c r="F4286" s="28">
        <f>(F4285-Inputs!$D$13)/Inputs!$D$10</f>
        <v>2.7159479808350446</v>
      </c>
      <c r="G4286" s="28">
        <f>(G4285-Inputs!$D$13)/Inputs!$D$10</f>
        <v>3.7152635181382614</v>
      </c>
      <c r="H4286" s="28">
        <f>(H4285-Inputs!$D$13)/Inputs!$D$10</f>
        <v>4.7145790554414786</v>
      </c>
      <c r="I4286" s="28">
        <f>(I4285-Inputs!$D$13)/Inputs!$D$10</f>
        <v>5.7166324435318279</v>
      </c>
      <c r="J4286" s="28">
        <f>(J4285-Inputs!$D$13)/Inputs!$D$10</f>
        <v>6.7159479808350442</v>
      </c>
      <c r="K4286" s="28">
        <f>(K4285-Inputs!$D$13)/Inputs!$D$10</f>
        <v>7.7152635181382614</v>
      </c>
      <c r="L4286" s="28">
        <f>(L4285-Inputs!$D$13)/Inputs!$D$10</f>
        <v>8.7145790554414777</v>
      </c>
      <c r="M4286" s="28">
        <f>(M4285-Inputs!$D$13)/Inputs!$D$10</f>
        <v>9.716632443531827</v>
      </c>
    </row>
    <row r="4287" spans="1:13" ht="15" customHeight="1" x14ac:dyDescent="0.2">
      <c r="A4287" s="91"/>
      <c r="B4287" s="10" t="s">
        <v>889</v>
      </c>
      <c r="C4287" s="10" t="s">
        <v>107</v>
      </c>
      <c r="D4287" s="28">
        <f>D4286</f>
        <v>0.71457905544147848</v>
      </c>
      <c r="E4287" s="28">
        <f>Inputs!$D$7</f>
        <v>1</v>
      </c>
      <c r="F4287" s="28">
        <f>Inputs!$D$7</f>
        <v>1</v>
      </c>
      <c r="G4287" s="28">
        <f>Inputs!$D$7</f>
        <v>1</v>
      </c>
      <c r="H4287" s="28">
        <f>Inputs!$D$7</f>
        <v>1</v>
      </c>
      <c r="I4287" s="28">
        <f>Inputs!$D$7</f>
        <v>1</v>
      </c>
      <c r="J4287" s="28">
        <f>Inputs!$D$7</f>
        <v>1</v>
      </c>
      <c r="K4287" s="28">
        <f>Inputs!$D$7</f>
        <v>1</v>
      </c>
      <c r="L4287" s="28">
        <f>Inputs!$D$7</f>
        <v>1</v>
      </c>
      <c r="M4287" s="28">
        <f>Inputs!$D$7</f>
        <v>1</v>
      </c>
    </row>
    <row r="4288" spans="1:13" ht="15" customHeight="1" x14ac:dyDescent="0.2">
      <c r="A4288" s="91"/>
      <c r="B4288" s="3" t="s">
        <v>890</v>
      </c>
      <c r="C4288" s="10" t="s">
        <v>199</v>
      </c>
      <c r="D4288" s="28">
        <f>Inputs!$D$24+(Inputs!$D$80-Inputs!$D$24)*Inputs!$D$83</f>
        <v>305.5</v>
      </c>
      <c r="E4288" s="28">
        <f>Inputs!$D$24+(Inputs!$D$80-Inputs!$D$24)*Inputs!$D$84</f>
        <v>651.5</v>
      </c>
      <c r="F4288" s="28">
        <f>Inputs!$D$24+(Inputs!$D$80-Inputs!$D$24)*Inputs!$D$85</f>
        <v>911</v>
      </c>
      <c r="G4288" s="28">
        <f>Inputs!$D$24+(Inputs!$D$80-Inputs!$D$24)*Inputs!$D$86</f>
        <v>911</v>
      </c>
      <c r="H4288" s="28">
        <f>Inputs!$D$24+(Inputs!$D$80-Inputs!$D$24)*Inputs!$D$87</f>
        <v>911</v>
      </c>
      <c r="I4288" s="28">
        <f>Inputs!$D$24+(Inputs!$D$80-Inputs!$D$24)*Inputs!$D$88</f>
        <v>911</v>
      </c>
      <c r="J4288" s="28">
        <f>Inputs!$D$24+(Inputs!$D$80-Inputs!$D$24)*Inputs!$D$89</f>
        <v>911</v>
      </c>
      <c r="K4288" s="28">
        <f>Inputs!$D$24+(Inputs!$D$80-Inputs!$D$24)*Inputs!$D$90</f>
        <v>911</v>
      </c>
      <c r="L4288" s="28">
        <f>Inputs!$D$24+(Inputs!$D$80-Inputs!$D$24)*Inputs!$D$91</f>
        <v>911</v>
      </c>
      <c r="M4288" s="28">
        <f>Inputs!$D$24+(Inputs!$D$80-Inputs!$D$24)*Inputs!$D$92</f>
        <v>911</v>
      </c>
    </row>
    <row r="4289" spans="1:13" ht="15" customHeight="1" x14ac:dyDescent="0.2">
      <c r="A4289" s="91"/>
      <c r="B4289" s="10" t="s">
        <v>891</v>
      </c>
      <c r="C4289" s="10" t="s">
        <v>199</v>
      </c>
      <c r="D4289" s="28">
        <f>Inputs!$D$24</f>
        <v>46</v>
      </c>
      <c r="E4289" s="28">
        <f t="shared" ref="E4289:M4289" si="930">D4288</f>
        <v>305.5</v>
      </c>
      <c r="F4289" s="28">
        <f t="shared" si="930"/>
        <v>651.5</v>
      </c>
      <c r="G4289" s="28">
        <f t="shared" si="930"/>
        <v>911</v>
      </c>
      <c r="H4289" s="28">
        <f t="shared" si="930"/>
        <v>911</v>
      </c>
      <c r="I4289" s="28">
        <f t="shared" si="930"/>
        <v>911</v>
      </c>
      <c r="J4289" s="28">
        <f t="shared" si="930"/>
        <v>911</v>
      </c>
      <c r="K4289" s="28">
        <f t="shared" si="930"/>
        <v>911</v>
      </c>
      <c r="L4289" s="28">
        <f t="shared" si="930"/>
        <v>911</v>
      </c>
      <c r="M4289" s="28">
        <f t="shared" si="930"/>
        <v>911</v>
      </c>
    </row>
    <row r="4290" spans="1:13" ht="15" customHeight="1" x14ac:dyDescent="0.2">
      <c r="B4290" s="10" t="s">
        <v>892</v>
      </c>
      <c r="C4290" s="10" t="s">
        <v>199</v>
      </c>
      <c r="D4290" s="28">
        <f>(D4289+D4288)*Inputs!$D$12</f>
        <v>175.75</v>
      </c>
      <c r="E4290" s="28">
        <f>(E4289+E4288)*Inputs!$D$12</f>
        <v>478.5</v>
      </c>
      <c r="F4290" s="28">
        <f>(F4289+F4288)*Inputs!$D$12</f>
        <v>781.25</v>
      </c>
      <c r="G4290" s="28">
        <f>(G4289+G4288)*Inputs!$D$12</f>
        <v>911</v>
      </c>
      <c r="H4290" s="28">
        <f>(H4289+H4288)*Inputs!$D$12</f>
        <v>911</v>
      </c>
      <c r="I4290" s="28">
        <f>(I4289+I4288)*Inputs!$D$12</f>
        <v>911</v>
      </c>
      <c r="J4290" s="28">
        <f>(J4289+J4288)*Inputs!$D$12</f>
        <v>911</v>
      </c>
      <c r="K4290" s="28">
        <f>(K4289+K4288)*Inputs!$D$12</f>
        <v>911</v>
      </c>
      <c r="L4290" s="28">
        <f>(L4289+L4288)*Inputs!$D$12</f>
        <v>911</v>
      </c>
      <c r="M4290" s="28">
        <f>(M4289+M4288)*Inputs!$D$12</f>
        <v>911</v>
      </c>
    </row>
    <row r="4291" spans="1:13" ht="15" customHeight="1" x14ac:dyDescent="0.2">
      <c r="B4291" s="10" t="s">
        <v>893</v>
      </c>
      <c r="C4291" s="10" t="s">
        <v>199</v>
      </c>
      <c r="D4291" s="28">
        <f t="shared" ref="D4291:M4291" si="931">D4288-D4289</f>
        <v>259.5</v>
      </c>
      <c r="E4291" s="28">
        <f t="shared" si="931"/>
        <v>346</v>
      </c>
      <c r="F4291" s="28">
        <f t="shared" si="931"/>
        <v>259.5</v>
      </c>
      <c r="G4291" s="28">
        <f t="shared" si="931"/>
        <v>0</v>
      </c>
      <c r="H4291" s="28">
        <f t="shared" si="931"/>
        <v>0</v>
      </c>
      <c r="I4291" s="28">
        <f t="shared" si="931"/>
        <v>0</v>
      </c>
      <c r="J4291" s="28">
        <f t="shared" si="931"/>
        <v>0</v>
      </c>
      <c r="K4291" s="28">
        <f t="shared" si="931"/>
        <v>0</v>
      </c>
      <c r="L4291" s="28">
        <f t="shared" si="931"/>
        <v>0</v>
      </c>
      <c r="M4291" s="28">
        <f t="shared" si="931"/>
        <v>0</v>
      </c>
    </row>
    <row r="4292" spans="1:13" ht="15" customHeight="1" x14ac:dyDescent="0.2">
      <c r="B4292" s="10" t="s">
        <v>894</v>
      </c>
      <c r="C4292" s="10" t="s">
        <v>199</v>
      </c>
      <c r="D4292" s="28">
        <f>IF(MOD(D4284,Inputs!$D$21)=Inputs!$D$6,Inputs!$D$24,Inputs!$D$6)+SUMPRODUCT(--(D4284&gt;$D$4284:$M$4284),--(MOD(D4284-$D$4284:$M$4284,Inputs!$D$21)=Inputs!$D$6),$D$4291:$M$4291)</f>
        <v>0</v>
      </c>
      <c r="E4292" s="28">
        <f>IF(MOD(E4284,Inputs!$D$21)=Inputs!$D$6,Inputs!$D$24,Inputs!$D$6)+SUMPRODUCT(--(E4284&gt;$D$4284:$M$4284),--(MOD(E4284-$D$4284:$M$4284,Inputs!$D$21)=Inputs!$D$6),$D$4291:$M$4291)</f>
        <v>0</v>
      </c>
      <c r="F4292" s="28">
        <f>IF(MOD(F4284,Inputs!$D$21)=Inputs!$D$6,Inputs!$D$24,Inputs!$D$6)+SUMPRODUCT(--(F4284&gt;$D$4284:$M$4284),--(MOD(F4284-$D$4284:$M$4284,Inputs!$D$21)=Inputs!$D$6),$D$4291:$M$4291)</f>
        <v>0</v>
      </c>
      <c r="G4292" s="28">
        <f>IF(MOD(G4284,Inputs!$D$21)=Inputs!$D$6,Inputs!$D$24,Inputs!$D$6)+SUMPRODUCT(--(G4284&gt;$D$4284:$M$4284),--(MOD(G4284-$D$4284:$M$4284,Inputs!$D$21)=Inputs!$D$6),$D$4291:$M$4291)</f>
        <v>46</v>
      </c>
      <c r="H4292" s="28">
        <f>IF(MOD(H4284,Inputs!$D$21)=Inputs!$D$6,Inputs!$D$24,Inputs!$D$6)+SUMPRODUCT(--(H4284&gt;$D$4284:$M$4284),--(MOD(H4284-$D$4284:$M$4284,Inputs!$D$21)=Inputs!$D$6),$D$4291:$M$4291)</f>
        <v>259.5</v>
      </c>
      <c r="I4292" s="28">
        <f>IF(MOD(I4284,Inputs!$D$21)=Inputs!$D$6,Inputs!$D$24,Inputs!$D$6)+SUMPRODUCT(--(I4284&gt;$D$4284:$M$4284),--(MOD(I4284-$D$4284:$M$4284,Inputs!$D$21)=Inputs!$D$6),$D$4291:$M$4291)</f>
        <v>346</v>
      </c>
      <c r="J4292" s="28">
        <f>IF(MOD(J4284,Inputs!$D$21)=Inputs!$D$6,Inputs!$D$24,Inputs!$D$6)+SUMPRODUCT(--(J4284&gt;$D$4284:$M$4284),--(MOD(J4284-$D$4284:$M$4284,Inputs!$D$21)=Inputs!$D$6),$D$4291:$M$4291)</f>
        <v>259.5</v>
      </c>
      <c r="K4292" s="28">
        <f>IF(MOD(K4284,Inputs!$D$21)=Inputs!$D$6,Inputs!$D$24,Inputs!$D$6)+SUMPRODUCT(--(K4284&gt;$D$4284:$M$4284),--(MOD(K4284-$D$4284:$M$4284,Inputs!$D$21)=Inputs!$D$6),$D$4291:$M$4291)</f>
        <v>46</v>
      </c>
      <c r="L4292" s="28">
        <f>IF(MOD(L4284,Inputs!$D$21)=Inputs!$D$6,Inputs!$D$24,Inputs!$D$6)+SUMPRODUCT(--(L4284&gt;$D$4284:$M$4284),--(MOD(L4284-$D$4284:$M$4284,Inputs!$D$21)=Inputs!$D$6),$D$4291:$M$4291)</f>
        <v>259.5</v>
      </c>
      <c r="M4292" s="28">
        <f>IF(MOD(M4284,Inputs!$D$21)=Inputs!$D$6,Inputs!$D$24,Inputs!$D$6)+SUMPRODUCT(--(M4284&gt;$D$4284:$M$4284),--(MOD(M4284-$D$4284:$M$4284,Inputs!$D$21)=Inputs!$D$6),$D$4291:$M$4291)</f>
        <v>346</v>
      </c>
    </row>
    <row r="4293" spans="1:13" ht="15" customHeight="1" x14ac:dyDescent="0.2">
      <c r="B4293" s="10" t="s">
        <v>895</v>
      </c>
      <c r="C4293" s="10" t="s">
        <v>896</v>
      </c>
      <c r="D4293" s="28">
        <f t="shared" ref="D4293:M4293" si="932">D4290*D4287</f>
        <v>125.58726899383984</v>
      </c>
      <c r="E4293" s="28">
        <f t="shared" si="932"/>
        <v>478.5</v>
      </c>
      <c r="F4293" s="28">
        <f t="shared" si="932"/>
        <v>781.25</v>
      </c>
      <c r="G4293" s="28">
        <f t="shared" si="932"/>
        <v>911</v>
      </c>
      <c r="H4293" s="28">
        <f t="shared" si="932"/>
        <v>911</v>
      </c>
      <c r="I4293" s="28">
        <f t="shared" si="932"/>
        <v>911</v>
      </c>
      <c r="J4293" s="28">
        <f t="shared" si="932"/>
        <v>911</v>
      </c>
      <c r="K4293" s="28">
        <f t="shared" si="932"/>
        <v>911</v>
      </c>
      <c r="L4293" s="28">
        <f t="shared" si="932"/>
        <v>911</v>
      </c>
      <c r="M4293" s="28">
        <f t="shared" si="932"/>
        <v>911</v>
      </c>
    </row>
    <row r="4294" spans="1:13" ht="15" customHeight="1" x14ac:dyDescent="0.2">
      <c r="B4294" s="10" t="s">
        <v>897</v>
      </c>
      <c r="C4294" s="10" t="s">
        <v>110</v>
      </c>
      <c r="D4294" s="16">
        <f>D4293*($D$4313/Inputs!$D$21+$D$4314/Inputs!$D$22)</f>
        <v>1816.9772859324419</v>
      </c>
      <c r="E4294" s="16">
        <f>E4293*($D$4313/Inputs!$D$21+$D$4314/Inputs!$D$22)</f>
        <v>6922.8643817497086</v>
      </c>
      <c r="F4294" s="16">
        <f>F4293*($D$4313/Inputs!$D$21+$D$4314/Inputs!$D$22)</f>
        <v>11303.0048030135</v>
      </c>
      <c r="G4294" s="16">
        <f>G4293*($D$4313/Inputs!$D$21+$D$4314/Inputs!$D$22)</f>
        <v>13180.207840697982</v>
      </c>
      <c r="H4294" s="16">
        <f>H4293*($D$4313/Inputs!$D$21+$D$4314/Inputs!$D$22)</f>
        <v>13180.207840697982</v>
      </c>
      <c r="I4294" s="16">
        <f>I4293*($D$4313/Inputs!$D$21+$D$4314/Inputs!$D$22)</f>
        <v>13180.207840697982</v>
      </c>
      <c r="J4294" s="16">
        <f>J4293*($D$4313/Inputs!$D$21+$D$4314/Inputs!$D$22)</f>
        <v>13180.207840697982</v>
      </c>
      <c r="K4294" s="16">
        <f>K4293*($D$4313/Inputs!$D$21+$D$4314/Inputs!$D$22)</f>
        <v>13180.207840697982</v>
      </c>
      <c r="L4294" s="16">
        <f>L4293*($D$4313/Inputs!$D$21+$D$4314/Inputs!$D$22)</f>
        <v>13180.207840697982</v>
      </c>
      <c r="M4294" s="16">
        <f>M4293*($D$4313/Inputs!$D$21+$D$4314/Inputs!$D$22)</f>
        <v>13180.207840697982</v>
      </c>
    </row>
    <row r="4295" spans="1:13" ht="15" customHeight="1" x14ac:dyDescent="0.2">
      <c r="B4295" s="10" t="s">
        <v>898</v>
      </c>
      <c r="C4295" s="10" t="s">
        <v>110</v>
      </c>
      <c r="D4295" s="16">
        <f t="shared" ref="D4295:M4295" si="933">D4291*($D$4313+$D$4314)</f>
        <v>15560.968620146154</v>
      </c>
      <c r="E4295" s="16">
        <f t="shared" si="933"/>
        <v>20747.95816019487</v>
      </c>
      <c r="F4295" s="16">
        <f t="shared" si="933"/>
        <v>15560.968620146154</v>
      </c>
      <c r="G4295" s="16">
        <f t="shared" si="933"/>
        <v>0</v>
      </c>
      <c r="H4295" s="16">
        <f t="shared" si="933"/>
        <v>0</v>
      </c>
      <c r="I4295" s="16">
        <f t="shared" si="933"/>
        <v>0</v>
      </c>
      <c r="J4295" s="16">
        <f t="shared" si="933"/>
        <v>0</v>
      </c>
      <c r="K4295" s="16">
        <f t="shared" si="933"/>
        <v>0</v>
      </c>
      <c r="L4295" s="16">
        <f t="shared" si="933"/>
        <v>0</v>
      </c>
      <c r="M4295" s="16">
        <f t="shared" si="933"/>
        <v>0</v>
      </c>
    </row>
    <row r="4296" spans="1:13" ht="15" customHeight="1" x14ac:dyDescent="0.2">
      <c r="B4296" s="10" t="s">
        <v>899</v>
      </c>
      <c r="C4296" s="10" t="s">
        <v>110</v>
      </c>
      <c r="D4296" s="16">
        <f t="shared" ref="D4296:M4296" si="934">D4292*$D$4313</f>
        <v>0</v>
      </c>
      <c r="E4296" s="16">
        <f t="shared" si="934"/>
        <v>0</v>
      </c>
      <c r="F4296" s="16">
        <f t="shared" si="934"/>
        <v>0</v>
      </c>
      <c r="G4296" s="16">
        <f t="shared" si="934"/>
        <v>2638.0048485671714</v>
      </c>
      <c r="H4296" s="16">
        <f t="shared" si="934"/>
        <v>14881.788221808281</v>
      </c>
      <c r="I4296" s="16">
        <f t="shared" si="934"/>
        <v>19842.384295744378</v>
      </c>
      <c r="J4296" s="16">
        <f t="shared" si="934"/>
        <v>14881.788221808281</v>
      </c>
      <c r="K4296" s="16">
        <f t="shared" si="934"/>
        <v>2638.0048485671714</v>
      </c>
      <c r="L4296" s="16">
        <f t="shared" si="934"/>
        <v>14881.788221808281</v>
      </c>
      <c r="M4296" s="16">
        <f t="shared" si="934"/>
        <v>19842.384295744378</v>
      </c>
    </row>
    <row r="4297" spans="1:13" ht="15" customHeight="1" x14ac:dyDescent="0.2">
      <c r="B4297" s="10" t="s">
        <v>900</v>
      </c>
      <c r="C4297" s="10" t="s">
        <v>199</v>
      </c>
      <c r="D4297" s="28">
        <f>D4291*Inputs!$D$23</f>
        <v>6.4875000000000007</v>
      </c>
      <c r="E4297" s="28">
        <f>E4291*Inputs!$D$23</f>
        <v>8.65</v>
      </c>
      <c r="F4297" s="28">
        <f>F4291*Inputs!$D$23</f>
        <v>6.4875000000000007</v>
      </c>
      <c r="G4297" s="28">
        <f>G4291*Inputs!$D$23</f>
        <v>0</v>
      </c>
      <c r="H4297" s="28">
        <f>H4291*Inputs!$D$23</f>
        <v>0</v>
      </c>
      <c r="I4297" s="28">
        <f>I4291*Inputs!$D$23</f>
        <v>0</v>
      </c>
      <c r="J4297" s="28">
        <f>J4291*Inputs!$D$23</f>
        <v>0</v>
      </c>
      <c r="K4297" s="28">
        <f>K4291*Inputs!$D$23</f>
        <v>0</v>
      </c>
      <c r="L4297" s="28">
        <f>L4291*Inputs!$D$23</f>
        <v>0</v>
      </c>
      <c r="M4297" s="28">
        <f>M4291*Inputs!$D$23</f>
        <v>0</v>
      </c>
    </row>
    <row r="4298" spans="1:13" ht="15" customHeight="1" x14ac:dyDescent="0.2">
      <c r="B4298" s="3" t="s">
        <v>901</v>
      </c>
      <c r="C4298" s="10" t="s">
        <v>896</v>
      </c>
      <c r="D4298" s="28">
        <f>(D4293*$D$4311*(Inputs!$D$7-Inputs!$D$19)-D4297)/(Inputs!$D$7+$D$4312)^D4286</f>
        <v>68.671648423892748</v>
      </c>
      <c r="E4298" s="28">
        <f>(E4293*$D$4311*(Inputs!$D$7-Inputs!$D$19)-E4297)/(Inputs!$D$7+$D$4312)^E4286</f>
        <v>251.45617773497551</v>
      </c>
      <c r="F4298" s="28">
        <f>(F4293*$D$4311*(Inputs!$D$7-Inputs!$D$19)-F4297)/(Inputs!$D$7+$D$4312)^F4286</f>
        <v>379.14937802872566</v>
      </c>
      <c r="G4298" s="28">
        <f>(G4293*$D$4311*(Inputs!$D$7-Inputs!$D$19)-G4297)/(Inputs!$D$7+$D$4312)^G4286</f>
        <v>407.26123717362293</v>
      </c>
      <c r="H4298" s="28">
        <f>(H4293*$D$4311*(Inputs!$D$7-Inputs!$D$19)-H4297)/(Inputs!$D$7+$D$4312)^H4286</f>
        <v>370.26164203754769</v>
      </c>
      <c r="I4298" s="28">
        <f>(I4293*$D$4311*(Inputs!$D$7-Inputs!$D$19)-I4297)/(Inputs!$D$7+$D$4312)^I4286</f>
        <v>336.5356233370091</v>
      </c>
      <c r="J4298" s="28">
        <f>(J4293*$D$4311*(Inputs!$D$7-Inputs!$D$19)-J4297)/(Inputs!$D$7+$D$4312)^J4286</f>
        <v>305.96143489042328</v>
      </c>
      <c r="K4298" s="28">
        <f>(K4293*$D$4311*(Inputs!$D$7-Inputs!$D$19)-K4297)/(Inputs!$D$7+$D$4312)^K4286</f>
        <v>278.16490483820968</v>
      </c>
      <c r="L4298" s="28">
        <f>(L4293*$D$4311*(Inputs!$D$7-Inputs!$D$19)-L4297)/(Inputs!$D$7+$D$4312)^L4286</f>
        <v>252.89368351721029</v>
      </c>
      <c r="M4298" s="28">
        <f>(M4293*$D$4311*(Inputs!$D$7-Inputs!$D$19)-M4297)/(Inputs!$D$7+$D$4312)^M4286</f>
        <v>229.85835894884846</v>
      </c>
    </row>
    <row r="4299" spans="1:13" ht="15" customHeight="1" x14ac:dyDescent="0.2">
      <c r="B4299" s="10" t="s">
        <v>902</v>
      </c>
      <c r="C4299" s="10" t="s">
        <v>110</v>
      </c>
      <c r="D4299" s="16">
        <f>(D4294*Inputs!$D$19-D4295-D4296)/(Inputs!$D$7+$D$4312)^D4286</f>
        <v>-14027.24269342025</v>
      </c>
      <c r="E4299" s="16">
        <f>(E4294*Inputs!$D$19-E4295-E4296)/(Inputs!$D$7+$D$4312)^E4286</f>
        <v>-15853.087323826181</v>
      </c>
      <c r="F4299" s="16">
        <f>(F4294*Inputs!$D$19-F4295-F4296)/(Inputs!$D$7+$D$4312)^F4286</f>
        <v>-9394.4767487293357</v>
      </c>
      <c r="G4299" s="16">
        <f>(G4294*Inputs!$D$19-G4295-G4296)/(Inputs!$D$7+$D$4312)^G4286</f>
        <v>923.61320322684639</v>
      </c>
      <c r="H4299" s="16">
        <f>(H4294*Inputs!$D$19-H4295-H4296)/(Inputs!$D$7+$D$4312)^H4286</f>
        <v>-6972.3744918015345</v>
      </c>
      <c r="I4299" s="16">
        <f>(I4294*Inputs!$D$19-I4295-I4296)/(Inputs!$D$7+$D$4312)^I4286</f>
        <v>-9214.0648467907959</v>
      </c>
      <c r="J4299" s="16">
        <f>(J4294*Inputs!$D$19-J4295-J4296)/(Inputs!$D$7+$D$4312)^J4286</f>
        <v>-5761.5411965591911</v>
      </c>
      <c r="K4299" s="16">
        <f>(K4294*Inputs!$D$19-K4295-K4296)/(Inputs!$D$7+$D$4312)^K4286</f>
        <v>630.8402453567694</v>
      </c>
      <c r="L4299" s="16">
        <f>(L4294*Inputs!$D$19-L4295-L4296)/(Inputs!$D$7+$D$4312)^L4286</f>
        <v>-4762.2255937446444</v>
      </c>
      <c r="M4299" s="16">
        <f>(M4294*Inputs!$D$19-M4295-M4296)/(Inputs!$D$7+$D$4312)^M4286</f>
        <v>-6293.3302689644106</v>
      </c>
    </row>
    <row r="4300" spans="1:13" ht="15" customHeight="1" x14ac:dyDescent="0.2">
      <c r="B4300" s="10" t="s">
        <v>903</v>
      </c>
      <c r="C4300" s="10" t="s">
        <v>110</v>
      </c>
      <c r="D4300" s="16">
        <f t="shared" ref="D4300:M4300" si="935">D4293*$D$4310</f>
        <v>3124.3600573390081</v>
      </c>
      <c r="E4300" s="16">
        <f t="shared" si="935"/>
        <v>11904.122921170032</v>
      </c>
      <c r="F4300" s="16">
        <f t="shared" si="935"/>
        <v>19435.93737129381</v>
      </c>
      <c r="G4300" s="16">
        <f t="shared" si="935"/>
        <v>22663.857849918288</v>
      </c>
      <c r="H4300" s="16">
        <f t="shared" si="935"/>
        <v>22663.857849918288</v>
      </c>
      <c r="I4300" s="16">
        <f t="shared" si="935"/>
        <v>22663.857849918288</v>
      </c>
      <c r="J4300" s="16">
        <f t="shared" si="935"/>
        <v>22663.857849918288</v>
      </c>
      <c r="K4300" s="16">
        <f t="shared" si="935"/>
        <v>22663.857849918288</v>
      </c>
      <c r="L4300" s="16">
        <f t="shared" si="935"/>
        <v>22663.857849918288</v>
      </c>
      <c r="M4300" s="16">
        <f t="shared" si="935"/>
        <v>22663.857849918288</v>
      </c>
    </row>
    <row r="4301" spans="1:13" ht="15" customHeight="1" x14ac:dyDescent="0.2">
      <c r="B4301" s="10" t="s">
        <v>904</v>
      </c>
      <c r="C4301" s="10" t="s">
        <v>110</v>
      </c>
      <c r="D4301" s="16">
        <f t="shared" ref="D4301:M4301" si="936">D4300*$D$4311</f>
        <v>2843.1676521784975</v>
      </c>
      <c r="E4301" s="16">
        <f t="shared" si="936"/>
        <v>10832.75185826473</v>
      </c>
      <c r="F4301" s="16">
        <f t="shared" si="936"/>
        <v>17686.703007877368</v>
      </c>
      <c r="G4301" s="16">
        <f t="shared" si="936"/>
        <v>20624.110643425644</v>
      </c>
      <c r="H4301" s="16">
        <f t="shared" si="936"/>
        <v>20624.110643425644</v>
      </c>
      <c r="I4301" s="16">
        <f t="shared" si="936"/>
        <v>20624.110643425644</v>
      </c>
      <c r="J4301" s="16">
        <f t="shared" si="936"/>
        <v>20624.110643425644</v>
      </c>
      <c r="K4301" s="16">
        <f t="shared" si="936"/>
        <v>20624.110643425644</v>
      </c>
      <c r="L4301" s="16">
        <f t="shared" si="936"/>
        <v>20624.110643425644</v>
      </c>
      <c r="M4301" s="16">
        <f t="shared" si="936"/>
        <v>20624.110643425644</v>
      </c>
    </row>
    <row r="4302" spans="1:13" ht="15" customHeight="1" x14ac:dyDescent="0.2">
      <c r="B4302" s="10" t="s">
        <v>905</v>
      </c>
      <c r="C4302" s="10" t="s">
        <v>110</v>
      </c>
      <c r="D4302" s="16">
        <f t="shared" ref="D4302:M4302" si="937">D4301-D4294</f>
        <v>1026.1903662460556</v>
      </c>
      <c r="E4302" s="16">
        <f t="shared" si="937"/>
        <v>3909.8874765150213</v>
      </c>
      <c r="F4302" s="16">
        <f t="shared" si="937"/>
        <v>6383.6982048638674</v>
      </c>
      <c r="G4302" s="16">
        <f t="shared" si="937"/>
        <v>7443.9028027276618</v>
      </c>
      <c r="H4302" s="16">
        <f t="shared" si="937"/>
        <v>7443.9028027276618</v>
      </c>
      <c r="I4302" s="16">
        <f t="shared" si="937"/>
        <v>7443.9028027276618</v>
      </c>
      <c r="J4302" s="16">
        <f t="shared" si="937"/>
        <v>7443.9028027276618</v>
      </c>
      <c r="K4302" s="16">
        <f t="shared" si="937"/>
        <v>7443.9028027276618</v>
      </c>
      <c r="L4302" s="16">
        <f t="shared" si="937"/>
        <v>7443.9028027276618</v>
      </c>
      <c r="M4302" s="16">
        <f t="shared" si="937"/>
        <v>7443.9028027276618</v>
      </c>
    </row>
    <row r="4303" spans="1:13" ht="15" customHeight="1" x14ac:dyDescent="0.2">
      <c r="B4303" s="10" t="s">
        <v>906</v>
      </c>
      <c r="C4303" s="10" t="s">
        <v>110</v>
      </c>
      <c r="D4303" s="16">
        <f>MAX(D4302,Inputs!$D$6)*Inputs!$D$19</f>
        <v>307.85710987381668</v>
      </c>
      <c r="E4303" s="16">
        <f>MAX(E4302,Inputs!$D$6)*Inputs!$D$19</f>
        <v>1172.9662429545062</v>
      </c>
      <c r="F4303" s="16">
        <f>MAX(F4302,Inputs!$D$6)*Inputs!$D$19</f>
        <v>1915.1094614591602</v>
      </c>
      <c r="G4303" s="16">
        <f>MAX(G4302,Inputs!$D$6)*Inputs!$D$19</f>
        <v>2233.1708408182985</v>
      </c>
      <c r="H4303" s="16">
        <f>MAX(H4302,Inputs!$D$6)*Inputs!$D$19</f>
        <v>2233.1708408182985</v>
      </c>
      <c r="I4303" s="16">
        <f>MAX(I4302,Inputs!$D$6)*Inputs!$D$19</f>
        <v>2233.1708408182985</v>
      </c>
      <c r="J4303" s="16">
        <f>MAX(J4302,Inputs!$D$6)*Inputs!$D$19</f>
        <v>2233.1708408182985</v>
      </c>
      <c r="K4303" s="16">
        <f>MAX(K4302,Inputs!$D$6)*Inputs!$D$19</f>
        <v>2233.1708408182985</v>
      </c>
      <c r="L4303" s="16">
        <f>MAX(L4302,Inputs!$D$6)*Inputs!$D$19</f>
        <v>2233.1708408182985</v>
      </c>
      <c r="M4303" s="16">
        <f>MAX(M4302,Inputs!$D$6)*Inputs!$D$19</f>
        <v>2233.1708408182985</v>
      </c>
    </row>
    <row r="4304" spans="1:13" ht="15" customHeight="1" x14ac:dyDescent="0.2">
      <c r="B4304" s="10" t="s">
        <v>907</v>
      </c>
      <c r="C4304" s="10" t="s">
        <v>110</v>
      </c>
      <c r="D4304" s="16">
        <f t="shared" ref="D4304:M4304" si="938">D4297*$D$4310</f>
        <v>161.39602393122382</v>
      </c>
      <c r="E4304" s="16">
        <f t="shared" si="938"/>
        <v>215.19469857496506</v>
      </c>
      <c r="F4304" s="16">
        <f t="shared" si="938"/>
        <v>161.39602393122382</v>
      </c>
      <c r="G4304" s="16">
        <f t="shared" si="938"/>
        <v>0</v>
      </c>
      <c r="H4304" s="16">
        <f t="shared" si="938"/>
        <v>0</v>
      </c>
      <c r="I4304" s="16">
        <f t="shared" si="938"/>
        <v>0</v>
      </c>
      <c r="J4304" s="16">
        <f t="shared" si="938"/>
        <v>0</v>
      </c>
      <c r="K4304" s="16">
        <f t="shared" si="938"/>
        <v>0</v>
      </c>
      <c r="L4304" s="16">
        <f t="shared" si="938"/>
        <v>0</v>
      </c>
      <c r="M4304" s="16">
        <f t="shared" si="938"/>
        <v>0</v>
      </c>
    </row>
    <row r="4305" spans="2:13" ht="15" customHeight="1" x14ac:dyDescent="0.2">
      <c r="B4305" s="10" t="s">
        <v>908</v>
      </c>
      <c r="C4305" s="10" t="s">
        <v>110</v>
      </c>
      <c r="D4305" s="16">
        <f t="shared" ref="D4305:M4305" si="939">D4301-D4303-D4295-D4296-D4304</f>
        <v>-13187.054101772696</v>
      </c>
      <c r="E4305" s="16">
        <f t="shared" si="939"/>
        <v>-11303.367243459612</v>
      </c>
      <c r="F4305" s="16">
        <f t="shared" si="939"/>
        <v>49.228902340830103</v>
      </c>
      <c r="G4305" s="16">
        <f t="shared" si="939"/>
        <v>15752.934954040174</v>
      </c>
      <c r="H4305" s="16">
        <f t="shared" si="939"/>
        <v>3509.1515807990654</v>
      </c>
      <c r="I4305" s="16">
        <f t="shared" si="939"/>
        <v>-1451.4444931370308</v>
      </c>
      <c r="J4305" s="16">
        <f t="shared" si="939"/>
        <v>3509.1515807990654</v>
      </c>
      <c r="K4305" s="16">
        <f t="shared" si="939"/>
        <v>15752.934954040174</v>
      </c>
      <c r="L4305" s="16">
        <f t="shared" si="939"/>
        <v>3509.1515807990654</v>
      </c>
      <c r="M4305" s="16">
        <f t="shared" si="939"/>
        <v>-1451.4444931370308</v>
      </c>
    </row>
    <row r="4306" spans="2:13" ht="15" customHeight="1" x14ac:dyDescent="0.2">
      <c r="B4306" s="10" t="s">
        <v>909</v>
      </c>
      <c r="C4306" s="10" t="s">
        <v>110</v>
      </c>
      <c r="D4306" s="16">
        <f>D4305/(Inputs!$D$7+$D$4312)^D4286</f>
        <v>-12318.829435243882</v>
      </c>
      <c r="E4306" s="16">
        <f>E4305/(Inputs!$D$7+$D$4312)^E4286</f>
        <v>-9597.3605755613389</v>
      </c>
      <c r="F4306" s="16">
        <f>F4305/(Inputs!$D$7+$D$4312)^F4286</f>
        <v>38.001415406746894</v>
      </c>
      <c r="G4306" s="16">
        <f>G4305/(Inputs!$D$7+$D$4312)^G4286</f>
        <v>11055.458194538427</v>
      </c>
      <c r="H4306" s="16">
        <f>H4305/(Inputs!$D$7+$D$4312)^H4286</f>
        <v>2238.9945778102251</v>
      </c>
      <c r="I4306" s="16">
        <f>I4305/(Inputs!$D$7+$D$4312)^I4286</f>
        <v>-841.73166485487843</v>
      </c>
      <c r="J4306" s="16">
        <f>J4305/(Inputs!$D$7+$D$4312)^J4286</f>
        <v>1850.1673302394754</v>
      </c>
      <c r="K4306" s="16">
        <f>K4305/(Inputs!$D$7+$D$4312)^K4286</f>
        <v>7551.0267020957745</v>
      </c>
      <c r="L4306" s="16">
        <f>L4305/(Inputs!$D$7+$D$4312)^L4286</f>
        <v>1529.2634231338191</v>
      </c>
      <c r="M4306" s="16">
        <f>M4305/(Inputs!$D$7+$D$4312)^M4286</f>
        <v>-574.91405290272405</v>
      </c>
    </row>
    <row r="4307" spans="2:13" ht="15" customHeight="1" x14ac:dyDescent="0.2">
      <c r="B4307" s="3" t="s">
        <v>910</v>
      </c>
      <c r="C4307" s="10" t="s">
        <v>896</v>
      </c>
      <c r="D4307" s="28">
        <f>(D4293*$D$4311-D4297)/(Inputs!$D$7+$D$4312)^D4286</f>
        <v>100.69965563392681</v>
      </c>
      <c r="E4307" s="28">
        <f>(E4293*$D$4311-E4297)/(Inputs!$D$7+$D$4312)^E4286</f>
        <v>362.37073829579333</v>
      </c>
      <c r="F4307" s="28">
        <f>(F4293*$D$4311-F4297)/(Inputs!$D$7+$D$4312)^F4286</f>
        <v>543.78821810698628</v>
      </c>
      <c r="G4307" s="28">
        <f>(G4293*$D$4311-G4297)/(Inputs!$D$7+$D$4312)^G4286</f>
        <v>581.80176739088995</v>
      </c>
      <c r="H4307" s="28">
        <f>(H4293*$D$4311-H4297)/(Inputs!$D$7+$D$4312)^H4286</f>
        <v>528.94520291078243</v>
      </c>
      <c r="I4307" s="28">
        <f>(I4293*$D$4311-I4297)/(Inputs!$D$7+$D$4312)^I4286</f>
        <v>480.76517619572735</v>
      </c>
      <c r="J4307" s="28">
        <f>(J4293*$D$4311-J4297)/(Inputs!$D$7+$D$4312)^J4286</f>
        <v>437.08776412917615</v>
      </c>
      <c r="K4307" s="28">
        <f>(K4293*$D$4311-K4297)/(Inputs!$D$7+$D$4312)^K4286</f>
        <v>397.37843548315675</v>
      </c>
      <c r="L4307" s="28">
        <f>(L4293*$D$4311-L4297)/(Inputs!$D$7+$D$4312)^L4286</f>
        <v>361.27669073887188</v>
      </c>
      <c r="M4307" s="28">
        <f>(M4293*$D$4311-M4297)/(Inputs!$D$7+$D$4312)^M4286</f>
        <v>328.3690842126407</v>
      </c>
    </row>
    <row r="4308" spans="2:13" ht="15" customHeight="1" x14ac:dyDescent="0.2">
      <c r="B4308" s="10" t="s">
        <v>911</v>
      </c>
      <c r="C4308" s="10" t="s">
        <v>110</v>
      </c>
      <c r="D4308" s="16">
        <f>(-D4295-D4296)/(Inputs!$D$7+$D$4312)^D4286</f>
        <v>-14536.447397527105</v>
      </c>
      <c r="E4308" s="16">
        <f>(-E4295-E4296)/(Inputs!$D$7+$D$4312)^E4286</f>
        <v>-17616.488200475756</v>
      </c>
      <c r="F4308" s="16">
        <f>(-F4295-F4296)/(Inputs!$D$7+$D$4312)^F4286</f>
        <v>-12012.025548964448</v>
      </c>
      <c r="G4308" s="16">
        <f>(-G4295-G4296)/(Inputs!$D$7+$D$4312)^G4286</f>
        <v>-1851.359915178487</v>
      </c>
      <c r="H4308" s="16">
        <f>(-H4295-H4296)/(Inputs!$D$7+$D$4312)^H4286</f>
        <v>-9495.2419037884629</v>
      </c>
      <c r="I4308" s="16">
        <f>(-I4295-I4296)/(Inputs!$D$7+$D$4312)^I4286</f>
        <v>-11507.131858586603</v>
      </c>
      <c r="J4308" s="16">
        <f>(-J4295-J4296)/(Inputs!$D$7+$D$4312)^J4286</f>
        <v>-7846.2835672839774</v>
      </c>
      <c r="K4308" s="16">
        <f>(-K4295-K4296)/(Inputs!$D$7+$D$4312)^K4286</f>
        <v>-1264.5037327904422</v>
      </c>
      <c r="L4308" s="16">
        <f>(-L4295-L4296)/(Inputs!$D$7+$D$4312)^L4286</f>
        <v>-6485.3779822337692</v>
      </c>
      <c r="M4308" s="16">
        <f>(-M4295-M4296)/(Inputs!$D$7+$D$4312)^M4286</f>
        <v>-7859.5258920747219</v>
      </c>
    </row>
    <row r="4309" spans="2:13" ht="15" customHeight="1" x14ac:dyDescent="0.2">
      <c r="B4309" s="10" t="s">
        <v>912</v>
      </c>
      <c r="C4309" s="10" t="s">
        <v>110</v>
      </c>
      <c r="D4309" s="16">
        <f>Prices!I9</f>
        <v>21850</v>
      </c>
    </row>
    <row r="4310" spans="2:13" ht="15" customHeight="1" x14ac:dyDescent="0.2">
      <c r="B4310" s="3" t="s">
        <v>913</v>
      </c>
      <c r="C4310" s="10" t="s">
        <v>914</v>
      </c>
      <c r="D4310" s="28">
        <f>IF(J4317&gt;=J4313,J4317,(D4309-J4316)/J4315)</f>
        <v>24.877999835256077</v>
      </c>
      <c r="G4310" s="99" t="s">
        <v>915</v>
      </c>
      <c r="H4310" s="91"/>
      <c r="I4310" s="91"/>
      <c r="J4310" s="28">
        <f>D4310*Inputs!$D$15</f>
        <v>17.362356085025215</v>
      </c>
      <c r="K4310" s="99" t="s">
        <v>916</v>
      </c>
      <c r="L4310" s="91"/>
      <c r="M4310" s="91"/>
    </row>
    <row r="4311" spans="2:13" ht="15" customHeight="1" x14ac:dyDescent="0.2">
      <c r="B4311" s="10" t="s">
        <v>917</v>
      </c>
      <c r="C4311" s="10" t="s">
        <v>104</v>
      </c>
      <c r="D4311" s="30">
        <f>Inputs!$D$145</f>
        <v>0.91</v>
      </c>
      <c r="G4311" s="99" t="s">
        <v>918</v>
      </c>
      <c r="H4311" s="91"/>
      <c r="I4311" s="91"/>
      <c r="J4311" s="28">
        <f>IF(-D4322/D4321&gt;=J4313,-D4322/D4321,-J4316/J4315)</f>
        <v>21.247590232765496</v>
      </c>
      <c r="K4311" s="99" t="s">
        <v>919</v>
      </c>
      <c r="L4311" s="91"/>
      <c r="M4311" s="91"/>
    </row>
    <row r="4312" spans="2:13" ht="15" customHeight="1" x14ac:dyDescent="0.2">
      <c r="B4312" s="10" t="s">
        <v>920</v>
      </c>
      <c r="C4312" s="10" t="s">
        <v>104</v>
      </c>
      <c r="D4312" s="30">
        <f>Inputs!$D$147</f>
        <v>0.1</v>
      </c>
      <c r="G4312" s="99" t="s">
        <v>918</v>
      </c>
      <c r="H4312" s="91"/>
      <c r="I4312" s="91"/>
      <c r="J4312" s="28">
        <f>J4311*Inputs!$D$15</f>
        <v>14.82869322344704</v>
      </c>
      <c r="K4312" s="99" t="s">
        <v>916</v>
      </c>
      <c r="L4312" s="91"/>
      <c r="M4312" s="91"/>
    </row>
    <row r="4313" spans="2:13" ht="15" customHeight="1" x14ac:dyDescent="0.2">
      <c r="B4313" s="3" t="s">
        <v>921</v>
      </c>
      <c r="C4313" s="10" t="s">
        <v>848</v>
      </c>
      <c r="D4313" s="28">
        <f>Capital!$D$13</f>
        <v>57.347931490590682</v>
      </c>
      <c r="G4313" s="99" t="s">
        <v>922</v>
      </c>
      <c r="H4313" s="91"/>
      <c r="I4313" s="91"/>
      <c r="J4313" s="28">
        <f>($D$4313/Inputs!$D$21+$D$4314/Inputs!$D$22)/$D$4311</f>
        <v>15.898732030612395</v>
      </c>
      <c r="K4313" s="99" t="s">
        <v>919</v>
      </c>
      <c r="L4313" s="91"/>
      <c r="M4313" s="91"/>
    </row>
    <row r="4314" spans="2:13" ht="15" customHeight="1" x14ac:dyDescent="0.2">
      <c r="B4314" s="3" t="s">
        <v>923</v>
      </c>
      <c r="C4314" s="10" t="s">
        <v>848</v>
      </c>
      <c r="D4314" s="28">
        <f>Capital!$D$14</f>
        <v>2.6172655041921802</v>
      </c>
    </row>
    <row r="4315" spans="2:13" ht="15" customHeight="1" x14ac:dyDescent="0.2">
      <c r="B4315" s="10" t="s">
        <v>924</v>
      </c>
      <c r="C4315" s="10" t="s">
        <v>896</v>
      </c>
      <c r="D4315" s="28">
        <f>(M4288*(Inputs!$D$7+Inputs!$D$20)*$D$4311*(Inputs!$D$7-Inputs!$D$19)-M4288*Inputs!$D$20*Inputs!$D$23)/($D$4312-Inputs!$D$20)/(Inputs!$D$7+$D$4312)^M4286</f>
        <v>3138.3905294052083</v>
      </c>
      <c r="G4315" s="92" t="s">
        <v>910</v>
      </c>
      <c r="H4315" s="91"/>
      <c r="I4315" s="91"/>
      <c r="J4315" s="28">
        <f>SUM(D4307:M4307)+(M4288*(Inputs!$D$7+Inputs!$D$20)*$D$4311-M4288*Inputs!$D$20*Inputs!$D$23)/($D$4312-Inputs!$D$20)/(Inputs!$D$7+$D$4312)^M4286</f>
        <v>8607.1865077749862</v>
      </c>
      <c r="K4315" s="99" t="s">
        <v>896</v>
      </c>
      <c r="L4315" s="91"/>
      <c r="M4315" s="91"/>
    </row>
    <row r="4316" spans="2:13" ht="15" customHeight="1" x14ac:dyDescent="0.2">
      <c r="B4316" s="10" t="s">
        <v>925</v>
      </c>
      <c r="C4316" s="10" t="s">
        <v>110</v>
      </c>
      <c r="D4316" s="16">
        <f>(D4319*Inputs!$D$19-D4319-D4320)/($D$4312-Inputs!$D$20)/(Inputs!$D$7+$D$4312)^M4286</f>
        <v>-57156.954988173631</v>
      </c>
      <c r="G4316" s="92" t="s">
        <v>926</v>
      </c>
      <c r="H4316" s="91"/>
      <c r="I4316" s="91"/>
      <c r="J4316" s="16">
        <f>SUM(D4308:M4308)-(D4319+D4320)/($D$4312-Inputs!$D$20)/(Inputs!$D$7+$D$4312)^M4286</f>
        <v>-169036.01450291832</v>
      </c>
      <c r="K4316" s="99" t="s">
        <v>110</v>
      </c>
      <c r="L4316" s="91"/>
      <c r="M4316" s="91"/>
    </row>
    <row r="4317" spans="2:13" ht="15" customHeight="1" x14ac:dyDescent="0.2">
      <c r="B4317" s="10" t="s">
        <v>927</v>
      </c>
      <c r="C4317" s="10" t="s">
        <v>928</v>
      </c>
      <c r="D4317" s="16">
        <f>(M4288*(Inputs!$D$7+Inputs!$D$20)*$D$4310*$D$4311-D4319)-MAX((M4288*(Inputs!$D$7+Inputs!$D$20)*$D$4310*$D$4311-D4319),Inputs!$D$6)*Inputs!$D$19-D4320-M4288*Inputs!$D$20*$D$4310*Inputs!$D$23</f>
        <v>3961.1279882447179</v>
      </c>
      <c r="G4317" s="99" t="s">
        <v>929</v>
      </c>
      <c r="H4317" s="91"/>
      <c r="I4317" s="91"/>
      <c r="J4317" s="28">
        <f>(D4309-D4322)/D4321</f>
        <v>24.877999835256077</v>
      </c>
      <c r="K4317" s="99" t="s">
        <v>919</v>
      </c>
      <c r="L4317" s="91"/>
      <c r="M4317" s="91"/>
    </row>
    <row r="4318" spans="2:13" ht="15" customHeight="1" x14ac:dyDescent="0.2">
      <c r="B4318" s="10" t="s">
        <v>930</v>
      </c>
      <c r="C4318" s="10" t="s">
        <v>110</v>
      </c>
      <c r="D4318" s="16">
        <f>D4317/($D$4312-Inputs!$D$20)</f>
        <v>52815.039843262901</v>
      </c>
      <c r="G4318" s="99" t="s">
        <v>931</v>
      </c>
      <c r="H4318" s="91"/>
      <c r="I4318" s="91"/>
      <c r="J4318" s="16">
        <f>MIN(D4302:M4302,(M4288*(Inputs!$D$7+Inputs!$D$20)*$D$4310*$D$4311-D4319))</f>
        <v>1026.1903662460556</v>
      </c>
      <c r="K4318" s="99" t="s">
        <v>110</v>
      </c>
      <c r="L4318" s="91"/>
      <c r="M4318" s="91"/>
    </row>
    <row r="4319" spans="2:13" ht="15" customHeight="1" x14ac:dyDescent="0.2">
      <c r="B4319" s="10" t="s">
        <v>932</v>
      </c>
      <c r="C4319" s="10" t="s">
        <v>928</v>
      </c>
      <c r="D4319" s="16">
        <f>M4288*(Inputs!$D$7+Inputs!$D$20)*($D$4313/Inputs!$D$21+$D$4314/Inputs!$D$22)</f>
        <v>13509.71303671543</v>
      </c>
      <c r="G4319" s="99" t="s">
        <v>933</v>
      </c>
      <c r="H4319" s="91"/>
      <c r="I4319" s="91"/>
      <c r="J4319" s="31" t="str">
        <f>IF(J4318&lt;Inputs!$D$6,"breached","satisfied")</f>
        <v>satisfied</v>
      </c>
      <c r="K4319" s="99" t="s">
        <v>934</v>
      </c>
      <c r="L4319" s="91"/>
      <c r="M4319" s="91"/>
    </row>
    <row r="4320" spans="2:13" ht="15" customHeight="1" x14ac:dyDescent="0.2">
      <c r="B4320" s="10" t="s">
        <v>935</v>
      </c>
      <c r="C4320" s="10" t="s">
        <v>928</v>
      </c>
      <c r="D4320" s="16">
        <f>M4288*Inputs!$D$20*($D$4313+$D$4314)</f>
        <v>1365.7073615561799</v>
      </c>
    </row>
    <row r="4321" spans="1:13" ht="15" customHeight="1" x14ac:dyDescent="0.2">
      <c r="B4321" s="10" t="s">
        <v>936</v>
      </c>
      <c r="C4321" s="10" t="s">
        <v>896</v>
      </c>
      <c r="D4321" s="28">
        <f>SUM(D4298:M4298)+D4315</f>
        <v>6018.6046183356739</v>
      </c>
      <c r="G4321" s="99" t="s">
        <v>937</v>
      </c>
      <c r="H4321" s="91"/>
      <c r="I4321" s="91"/>
      <c r="J4321" s="16">
        <f>D4323-D4309</f>
        <v>0</v>
      </c>
      <c r="K4321" s="99" t="s">
        <v>110</v>
      </c>
      <c r="L4321" s="91"/>
      <c r="M4321" s="91"/>
    </row>
    <row r="4322" spans="1:13" ht="15" customHeight="1" x14ac:dyDescent="0.2">
      <c r="B4322" s="10" t="s">
        <v>938</v>
      </c>
      <c r="C4322" s="10" t="s">
        <v>110</v>
      </c>
      <c r="D4322" s="16">
        <f>SUM(D4299:M4299)+D4316</f>
        <v>-127880.84470342637</v>
      </c>
    </row>
    <row r="4323" spans="1:13" ht="15" customHeight="1" x14ac:dyDescent="0.2">
      <c r="B4323" s="10" t="s">
        <v>939</v>
      </c>
      <c r="C4323" s="10" t="s">
        <v>110</v>
      </c>
      <c r="D4323" s="16">
        <f>SUM(D4306:M4306)+D4318/(Inputs!$D$7+$D$4312)^M4286</f>
        <v>21850.000000000022</v>
      </c>
    </row>
    <row r="4324" spans="1:13" ht="15" customHeight="1" x14ac:dyDescent="0.2">
      <c r="B4324" s="10" t="s">
        <v>940</v>
      </c>
      <c r="C4324" s="10" t="s">
        <v>104</v>
      </c>
      <c r="D4324" s="30">
        <f>IF(ABS(D4309)&gt;Inputs!$D$6,D4323/D4309-Inputs!$D$7,Inputs!$D$6)</f>
        <v>8.8817841970012523E-16</v>
      </c>
    </row>
    <row r="4325" spans="1:13" ht="15" customHeight="1" x14ac:dyDescent="0.2">
      <c r="B4325" s="10" t="s">
        <v>941</v>
      </c>
      <c r="C4325" s="10" t="s">
        <v>104</v>
      </c>
      <c r="D4325" s="30">
        <f>IF(ABS(D4323)&gt;Inputs!$D$119,D4318/(Inputs!$D$7+$D$4312)^M4286/D4323,Inputs!$D$6)</f>
        <v>0.95743359658299121</v>
      </c>
    </row>
    <row r="4326" spans="1:13" ht="15" customHeight="1" x14ac:dyDescent="0.2">
      <c r="B4326" s="10" t="s">
        <v>942</v>
      </c>
      <c r="C4326" s="10" t="s">
        <v>943</v>
      </c>
      <c r="D4326" s="26">
        <f>$D$4310*Inputs!$D$8/Prices!$P$6/(Inputs!$D$26/Inputs!$D$25)/Inputs!$D$11/Inputs!$D$56</f>
        <v>4.524139837521461</v>
      </c>
    </row>
    <row r="4330" spans="1:13" ht="15" customHeight="1" x14ac:dyDescent="0.2">
      <c r="A4330" s="104" t="s">
        <v>2259</v>
      </c>
      <c r="B4330" s="10" t="s">
        <v>886</v>
      </c>
      <c r="C4330" s="10" t="s">
        <v>107</v>
      </c>
      <c r="D4330" s="28">
        <f>Inputs!$D$60</f>
        <v>1</v>
      </c>
      <c r="E4330" s="28">
        <f>Inputs!$D$62</f>
        <v>2</v>
      </c>
      <c r="F4330" s="28">
        <f>Inputs!$D$64</f>
        <v>3</v>
      </c>
      <c r="G4330" s="28">
        <f>Inputs!$D$66</f>
        <v>4</v>
      </c>
      <c r="H4330" s="28">
        <f>Inputs!$D$68</f>
        <v>5</v>
      </c>
      <c r="I4330" s="28">
        <f>Inputs!$D$70</f>
        <v>6</v>
      </c>
      <c r="J4330" s="28">
        <f>Inputs!$D$72</f>
        <v>7</v>
      </c>
      <c r="K4330" s="28">
        <f>Inputs!$D$74</f>
        <v>8</v>
      </c>
      <c r="L4330" s="28">
        <f>Inputs!$D$76</f>
        <v>9</v>
      </c>
      <c r="M4330" s="28">
        <f>Inputs!$D$78</f>
        <v>10</v>
      </c>
    </row>
    <row r="4331" spans="1:13" ht="15" customHeight="1" x14ac:dyDescent="0.2">
      <c r="A4331" s="91"/>
      <c r="B4331" s="10" t="s">
        <v>887</v>
      </c>
      <c r="C4331" s="10" t="s">
        <v>161</v>
      </c>
      <c r="D4331" s="29">
        <f>Inputs!$D$61</f>
        <v>46568</v>
      </c>
      <c r="E4331" s="29">
        <f>Inputs!$D$63</f>
        <v>46934</v>
      </c>
      <c r="F4331" s="29">
        <f>Inputs!$D$65</f>
        <v>47299</v>
      </c>
      <c r="G4331" s="29">
        <f>Inputs!$D$67</f>
        <v>47664</v>
      </c>
      <c r="H4331" s="29">
        <f>Inputs!$D$69</f>
        <v>48029</v>
      </c>
      <c r="I4331" s="29">
        <f>Inputs!$D$71</f>
        <v>48395</v>
      </c>
      <c r="J4331" s="29">
        <f>Inputs!$D$73</f>
        <v>48760</v>
      </c>
      <c r="K4331" s="29">
        <f>Inputs!$D$75</f>
        <v>49125</v>
      </c>
      <c r="L4331" s="29">
        <f>Inputs!$D$77</f>
        <v>49490</v>
      </c>
      <c r="M4331" s="29">
        <f>Inputs!$D$79</f>
        <v>49856</v>
      </c>
    </row>
    <row r="4332" spans="1:13" ht="15" customHeight="1" x14ac:dyDescent="0.2">
      <c r="A4332" s="91"/>
      <c r="B4332" s="10" t="s">
        <v>888</v>
      </c>
      <c r="C4332" s="10" t="s">
        <v>107</v>
      </c>
      <c r="D4332" s="28">
        <f>(D4331-Inputs!$D$13)/Inputs!$D$10</f>
        <v>0.71457905544147848</v>
      </c>
      <c r="E4332" s="28">
        <f>(E4331-Inputs!$D$13)/Inputs!$D$10</f>
        <v>1.7166324435318274</v>
      </c>
      <c r="F4332" s="28">
        <f>(F4331-Inputs!$D$13)/Inputs!$D$10</f>
        <v>2.7159479808350446</v>
      </c>
      <c r="G4332" s="28">
        <f>(G4331-Inputs!$D$13)/Inputs!$D$10</f>
        <v>3.7152635181382614</v>
      </c>
      <c r="H4332" s="28">
        <f>(H4331-Inputs!$D$13)/Inputs!$D$10</f>
        <v>4.7145790554414786</v>
      </c>
      <c r="I4332" s="28">
        <f>(I4331-Inputs!$D$13)/Inputs!$D$10</f>
        <v>5.7166324435318279</v>
      </c>
      <c r="J4332" s="28">
        <f>(J4331-Inputs!$D$13)/Inputs!$D$10</f>
        <v>6.7159479808350442</v>
      </c>
      <c r="K4332" s="28">
        <f>(K4331-Inputs!$D$13)/Inputs!$D$10</f>
        <v>7.7152635181382614</v>
      </c>
      <c r="L4332" s="28">
        <f>(L4331-Inputs!$D$13)/Inputs!$D$10</f>
        <v>8.7145790554414777</v>
      </c>
      <c r="M4332" s="28">
        <f>(M4331-Inputs!$D$13)/Inputs!$D$10</f>
        <v>9.716632443531827</v>
      </c>
    </row>
    <row r="4333" spans="1:13" ht="15" customHeight="1" x14ac:dyDescent="0.2">
      <c r="A4333" s="91"/>
      <c r="B4333" s="10" t="s">
        <v>889</v>
      </c>
      <c r="C4333" s="10" t="s">
        <v>107</v>
      </c>
      <c r="D4333" s="28">
        <f>D4332</f>
        <v>0.71457905544147848</v>
      </c>
      <c r="E4333" s="28">
        <f>Inputs!$D$7</f>
        <v>1</v>
      </c>
      <c r="F4333" s="28">
        <f>Inputs!$D$7</f>
        <v>1</v>
      </c>
      <c r="G4333" s="28">
        <f>Inputs!$D$7</f>
        <v>1</v>
      </c>
      <c r="H4333" s="28">
        <f>Inputs!$D$7</f>
        <v>1</v>
      </c>
      <c r="I4333" s="28">
        <f>Inputs!$D$7</f>
        <v>1</v>
      </c>
      <c r="J4333" s="28">
        <f>Inputs!$D$7</f>
        <v>1</v>
      </c>
      <c r="K4333" s="28">
        <f>Inputs!$D$7</f>
        <v>1</v>
      </c>
      <c r="L4333" s="28">
        <f>Inputs!$D$7</f>
        <v>1</v>
      </c>
      <c r="M4333" s="28">
        <f>Inputs!$D$7</f>
        <v>1</v>
      </c>
    </row>
    <row r="4334" spans="1:13" ht="15" customHeight="1" x14ac:dyDescent="0.2">
      <c r="A4334" s="91"/>
      <c r="B4334" s="3" t="s">
        <v>890</v>
      </c>
      <c r="C4334" s="10" t="s">
        <v>199</v>
      </c>
      <c r="D4334" s="28">
        <f>Inputs!$D$24+(Inputs!$D$80-Inputs!$D$24)*Inputs!$D$83</f>
        <v>305.5</v>
      </c>
      <c r="E4334" s="28">
        <f>Inputs!$D$24+(Inputs!$D$80-Inputs!$D$24)*Inputs!$D$84</f>
        <v>651.5</v>
      </c>
      <c r="F4334" s="28">
        <f>Inputs!$D$24+(Inputs!$D$80-Inputs!$D$24)*Inputs!$D$85</f>
        <v>911</v>
      </c>
      <c r="G4334" s="28">
        <f>Inputs!$D$24+(Inputs!$D$80-Inputs!$D$24)*Inputs!$D$86</f>
        <v>911</v>
      </c>
      <c r="H4334" s="28">
        <f>Inputs!$D$24+(Inputs!$D$80-Inputs!$D$24)*Inputs!$D$87</f>
        <v>911</v>
      </c>
      <c r="I4334" s="28">
        <f>Inputs!$D$24+(Inputs!$D$80-Inputs!$D$24)*Inputs!$D$88</f>
        <v>911</v>
      </c>
      <c r="J4334" s="28">
        <f>Inputs!$D$24+(Inputs!$D$80-Inputs!$D$24)*Inputs!$D$89</f>
        <v>911</v>
      </c>
      <c r="K4334" s="28">
        <f>Inputs!$D$24+(Inputs!$D$80-Inputs!$D$24)*Inputs!$D$90</f>
        <v>911</v>
      </c>
      <c r="L4334" s="28">
        <f>Inputs!$D$24+(Inputs!$D$80-Inputs!$D$24)*Inputs!$D$91</f>
        <v>911</v>
      </c>
      <c r="M4334" s="28">
        <f>Inputs!$D$24+(Inputs!$D$80-Inputs!$D$24)*Inputs!$D$92</f>
        <v>911</v>
      </c>
    </row>
    <row r="4335" spans="1:13" ht="15" customHeight="1" x14ac:dyDescent="0.2">
      <c r="A4335" s="91"/>
      <c r="B4335" s="10" t="s">
        <v>891</v>
      </c>
      <c r="C4335" s="10" t="s">
        <v>199</v>
      </c>
      <c r="D4335" s="28">
        <f>Inputs!$D$24</f>
        <v>46</v>
      </c>
      <c r="E4335" s="28">
        <f t="shared" ref="E4335:M4335" si="940">D4334</f>
        <v>305.5</v>
      </c>
      <c r="F4335" s="28">
        <f t="shared" si="940"/>
        <v>651.5</v>
      </c>
      <c r="G4335" s="28">
        <f t="shared" si="940"/>
        <v>911</v>
      </c>
      <c r="H4335" s="28">
        <f t="shared" si="940"/>
        <v>911</v>
      </c>
      <c r="I4335" s="28">
        <f t="shared" si="940"/>
        <v>911</v>
      </c>
      <c r="J4335" s="28">
        <f t="shared" si="940"/>
        <v>911</v>
      </c>
      <c r="K4335" s="28">
        <f t="shared" si="940"/>
        <v>911</v>
      </c>
      <c r="L4335" s="28">
        <f t="shared" si="940"/>
        <v>911</v>
      </c>
      <c r="M4335" s="28">
        <f t="shared" si="940"/>
        <v>911</v>
      </c>
    </row>
    <row r="4336" spans="1:13" ht="15" customHeight="1" x14ac:dyDescent="0.2">
      <c r="B4336" s="10" t="s">
        <v>892</v>
      </c>
      <c r="C4336" s="10" t="s">
        <v>199</v>
      </c>
      <c r="D4336" s="28">
        <f>(D4335+D4334)*Inputs!$D$12</f>
        <v>175.75</v>
      </c>
      <c r="E4336" s="28">
        <f>(E4335+E4334)*Inputs!$D$12</f>
        <v>478.5</v>
      </c>
      <c r="F4336" s="28">
        <f>(F4335+F4334)*Inputs!$D$12</f>
        <v>781.25</v>
      </c>
      <c r="G4336" s="28">
        <f>(G4335+G4334)*Inputs!$D$12</f>
        <v>911</v>
      </c>
      <c r="H4336" s="28">
        <f>(H4335+H4334)*Inputs!$D$12</f>
        <v>911</v>
      </c>
      <c r="I4336" s="28">
        <f>(I4335+I4334)*Inputs!$D$12</f>
        <v>911</v>
      </c>
      <c r="J4336" s="28">
        <f>(J4335+J4334)*Inputs!$D$12</f>
        <v>911</v>
      </c>
      <c r="K4336" s="28">
        <f>(K4335+K4334)*Inputs!$D$12</f>
        <v>911</v>
      </c>
      <c r="L4336" s="28">
        <f>(L4335+L4334)*Inputs!$D$12</f>
        <v>911</v>
      </c>
      <c r="M4336" s="28">
        <f>(M4335+M4334)*Inputs!$D$12</f>
        <v>911</v>
      </c>
    </row>
    <row r="4337" spans="2:13" ht="15" customHeight="1" x14ac:dyDescent="0.2">
      <c r="B4337" s="10" t="s">
        <v>893</v>
      </c>
      <c r="C4337" s="10" t="s">
        <v>199</v>
      </c>
      <c r="D4337" s="28">
        <f t="shared" ref="D4337:M4337" si="941">D4334-D4335</f>
        <v>259.5</v>
      </c>
      <c r="E4337" s="28">
        <f t="shared" si="941"/>
        <v>346</v>
      </c>
      <c r="F4337" s="28">
        <f t="shared" si="941"/>
        <v>259.5</v>
      </c>
      <c r="G4337" s="28">
        <f t="shared" si="941"/>
        <v>0</v>
      </c>
      <c r="H4337" s="28">
        <f t="shared" si="941"/>
        <v>0</v>
      </c>
      <c r="I4337" s="28">
        <f t="shared" si="941"/>
        <v>0</v>
      </c>
      <c r="J4337" s="28">
        <f t="shared" si="941"/>
        <v>0</v>
      </c>
      <c r="K4337" s="28">
        <f t="shared" si="941"/>
        <v>0</v>
      </c>
      <c r="L4337" s="28">
        <f t="shared" si="941"/>
        <v>0</v>
      </c>
      <c r="M4337" s="28">
        <f t="shared" si="941"/>
        <v>0</v>
      </c>
    </row>
    <row r="4338" spans="2:13" ht="15" customHeight="1" x14ac:dyDescent="0.2">
      <c r="B4338" s="10" t="s">
        <v>894</v>
      </c>
      <c r="C4338" s="10" t="s">
        <v>199</v>
      </c>
      <c r="D4338" s="28">
        <f>IF(MOD(D4330,Inputs!$D$21)=Inputs!$D$6,Inputs!$D$24,Inputs!$D$6)+SUMPRODUCT(--(D4330&gt;$D$4330:$M$4330),--(MOD(D4330-$D$4330:$M$4330,Inputs!$D$21)=Inputs!$D$6),$D$4337:$M$4337)</f>
        <v>0</v>
      </c>
      <c r="E4338" s="28">
        <f>IF(MOD(E4330,Inputs!$D$21)=Inputs!$D$6,Inputs!$D$24,Inputs!$D$6)+SUMPRODUCT(--(E4330&gt;$D$4330:$M$4330),--(MOD(E4330-$D$4330:$M$4330,Inputs!$D$21)=Inputs!$D$6),$D$4337:$M$4337)</f>
        <v>0</v>
      </c>
      <c r="F4338" s="28">
        <f>IF(MOD(F4330,Inputs!$D$21)=Inputs!$D$6,Inputs!$D$24,Inputs!$D$6)+SUMPRODUCT(--(F4330&gt;$D$4330:$M$4330),--(MOD(F4330-$D$4330:$M$4330,Inputs!$D$21)=Inputs!$D$6),$D$4337:$M$4337)</f>
        <v>0</v>
      </c>
      <c r="G4338" s="28">
        <f>IF(MOD(G4330,Inputs!$D$21)=Inputs!$D$6,Inputs!$D$24,Inputs!$D$6)+SUMPRODUCT(--(G4330&gt;$D$4330:$M$4330),--(MOD(G4330-$D$4330:$M$4330,Inputs!$D$21)=Inputs!$D$6),$D$4337:$M$4337)</f>
        <v>46</v>
      </c>
      <c r="H4338" s="28">
        <f>IF(MOD(H4330,Inputs!$D$21)=Inputs!$D$6,Inputs!$D$24,Inputs!$D$6)+SUMPRODUCT(--(H4330&gt;$D$4330:$M$4330),--(MOD(H4330-$D$4330:$M$4330,Inputs!$D$21)=Inputs!$D$6),$D$4337:$M$4337)</f>
        <v>259.5</v>
      </c>
      <c r="I4338" s="28">
        <f>IF(MOD(I4330,Inputs!$D$21)=Inputs!$D$6,Inputs!$D$24,Inputs!$D$6)+SUMPRODUCT(--(I4330&gt;$D$4330:$M$4330),--(MOD(I4330-$D$4330:$M$4330,Inputs!$D$21)=Inputs!$D$6),$D$4337:$M$4337)</f>
        <v>346</v>
      </c>
      <c r="J4338" s="28">
        <f>IF(MOD(J4330,Inputs!$D$21)=Inputs!$D$6,Inputs!$D$24,Inputs!$D$6)+SUMPRODUCT(--(J4330&gt;$D$4330:$M$4330),--(MOD(J4330-$D$4330:$M$4330,Inputs!$D$21)=Inputs!$D$6),$D$4337:$M$4337)</f>
        <v>259.5</v>
      </c>
      <c r="K4338" s="28">
        <f>IF(MOD(K4330,Inputs!$D$21)=Inputs!$D$6,Inputs!$D$24,Inputs!$D$6)+SUMPRODUCT(--(K4330&gt;$D$4330:$M$4330),--(MOD(K4330-$D$4330:$M$4330,Inputs!$D$21)=Inputs!$D$6),$D$4337:$M$4337)</f>
        <v>46</v>
      </c>
      <c r="L4338" s="28">
        <f>IF(MOD(L4330,Inputs!$D$21)=Inputs!$D$6,Inputs!$D$24,Inputs!$D$6)+SUMPRODUCT(--(L4330&gt;$D$4330:$M$4330),--(MOD(L4330-$D$4330:$M$4330,Inputs!$D$21)=Inputs!$D$6),$D$4337:$M$4337)</f>
        <v>259.5</v>
      </c>
      <c r="M4338" s="28">
        <f>IF(MOD(M4330,Inputs!$D$21)=Inputs!$D$6,Inputs!$D$24,Inputs!$D$6)+SUMPRODUCT(--(M4330&gt;$D$4330:$M$4330),--(MOD(M4330-$D$4330:$M$4330,Inputs!$D$21)=Inputs!$D$6),$D$4337:$M$4337)</f>
        <v>346</v>
      </c>
    </row>
    <row r="4339" spans="2:13" ht="15" customHeight="1" x14ac:dyDescent="0.2">
      <c r="B4339" s="10" t="s">
        <v>895</v>
      </c>
      <c r="C4339" s="10" t="s">
        <v>896</v>
      </c>
      <c r="D4339" s="28">
        <f t="shared" ref="D4339:M4339" si="942">D4336*D4333</f>
        <v>125.58726899383984</v>
      </c>
      <c r="E4339" s="28">
        <f t="shared" si="942"/>
        <v>478.5</v>
      </c>
      <c r="F4339" s="28">
        <f t="shared" si="942"/>
        <v>781.25</v>
      </c>
      <c r="G4339" s="28">
        <f t="shared" si="942"/>
        <v>911</v>
      </c>
      <c r="H4339" s="28">
        <f t="shared" si="942"/>
        <v>911</v>
      </c>
      <c r="I4339" s="28">
        <f t="shared" si="942"/>
        <v>911</v>
      </c>
      <c r="J4339" s="28">
        <f t="shared" si="942"/>
        <v>911</v>
      </c>
      <c r="K4339" s="28">
        <f t="shared" si="942"/>
        <v>911</v>
      </c>
      <c r="L4339" s="28">
        <f t="shared" si="942"/>
        <v>911</v>
      </c>
      <c r="M4339" s="28">
        <f t="shared" si="942"/>
        <v>911</v>
      </c>
    </row>
    <row r="4340" spans="2:13" ht="15" customHeight="1" x14ac:dyDescent="0.2">
      <c r="B4340" s="10" t="s">
        <v>897</v>
      </c>
      <c r="C4340" s="10" t="s">
        <v>110</v>
      </c>
      <c r="D4340" s="16">
        <f>D4339*($D$4359/Inputs!$D$21+$D$4360/Inputs!$D$22)</f>
        <v>1816.9772859324419</v>
      </c>
      <c r="E4340" s="16">
        <f>E4339*($D$4359/Inputs!$D$21+$D$4360/Inputs!$D$22)</f>
        <v>6922.8643817497086</v>
      </c>
      <c r="F4340" s="16">
        <f>F4339*($D$4359/Inputs!$D$21+$D$4360/Inputs!$D$22)</f>
        <v>11303.0048030135</v>
      </c>
      <c r="G4340" s="16">
        <f>G4339*($D$4359/Inputs!$D$21+$D$4360/Inputs!$D$22)</f>
        <v>13180.207840697982</v>
      </c>
      <c r="H4340" s="16">
        <f>H4339*($D$4359/Inputs!$D$21+$D$4360/Inputs!$D$22)</f>
        <v>13180.207840697982</v>
      </c>
      <c r="I4340" s="16">
        <f>I4339*($D$4359/Inputs!$D$21+$D$4360/Inputs!$D$22)</f>
        <v>13180.207840697982</v>
      </c>
      <c r="J4340" s="16">
        <f>J4339*($D$4359/Inputs!$D$21+$D$4360/Inputs!$D$22)</f>
        <v>13180.207840697982</v>
      </c>
      <c r="K4340" s="16">
        <f>K4339*($D$4359/Inputs!$D$21+$D$4360/Inputs!$D$22)</f>
        <v>13180.207840697982</v>
      </c>
      <c r="L4340" s="16">
        <f>L4339*($D$4359/Inputs!$D$21+$D$4360/Inputs!$D$22)</f>
        <v>13180.207840697982</v>
      </c>
      <c r="M4340" s="16">
        <f>M4339*($D$4359/Inputs!$D$21+$D$4360/Inputs!$D$22)</f>
        <v>13180.207840697982</v>
      </c>
    </row>
    <row r="4341" spans="2:13" ht="15" customHeight="1" x14ac:dyDescent="0.2">
      <c r="B4341" s="10" t="s">
        <v>898</v>
      </c>
      <c r="C4341" s="10" t="s">
        <v>110</v>
      </c>
      <c r="D4341" s="16">
        <f t="shared" ref="D4341:M4341" si="943">D4337*($D$4359+$D$4360)</f>
        <v>15560.968620146154</v>
      </c>
      <c r="E4341" s="16">
        <f t="shared" si="943"/>
        <v>20747.95816019487</v>
      </c>
      <c r="F4341" s="16">
        <f t="shared" si="943"/>
        <v>15560.968620146154</v>
      </c>
      <c r="G4341" s="16">
        <f t="shared" si="943"/>
        <v>0</v>
      </c>
      <c r="H4341" s="16">
        <f t="shared" si="943"/>
        <v>0</v>
      </c>
      <c r="I4341" s="16">
        <f t="shared" si="943"/>
        <v>0</v>
      </c>
      <c r="J4341" s="16">
        <f t="shared" si="943"/>
        <v>0</v>
      </c>
      <c r="K4341" s="16">
        <f t="shared" si="943"/>
        <v>0</v>
      </c>
      <c r="L4341" s="16">
        <f t="shared" si="943"/>
        <v>0</v>
      </c>
      <c r="M4341" s="16">
        <f t="shared" si="943"/>
        <v>0</v>
      </c>
    </row>
    <row r="4342" spans="2:13" ht="15" customHeight="1" x14ac:dyDescent="0.2">
      <c r="B4342" s="10" t="s">
        <v>899</v>
      </c>
      <c r="C4342" s="10" t="s">
        <v>110</v>
      </c>
      <c r="D4342" s="16">
        <f t="shared" ref="D4342:M4342" si="944">D4338*$D$4359</f>
        <v>0</v>
      </c>
      <c r="E4342" s="16">
        <f t="shared" si="944"/>
        <v>0</v>
      </c>
      <c r="F4342" s="16">
        <f t="shared" si="944"/>
        <v>0</v>
      </c>
      <c r="G4342" s="16">
        <f t="shared" si="944"/>
        <v>2638.0048485671714</v>
      </c>
      <c r="H4342" s="16">
        <f t="shared" si="944"/>
        <v>14881.788221808281</v>
      </c>
      <c r="I4342" s="16">
        <f t="shared" si="944"/>
        <v>19842.384295744378</v>
      </c>
      <c r="J4342" s="16">
        <f t="shared" si="944"/>
        <v>14881.788221808281</v>
      </c>
      <c r="K4342" s="16">
        <f t="shared" si="944"/>
        <v>2638.0048485671714</v>
      </c>
      <c r="L4342" s="16">
        <f t="shared" si="944"/>
        <v>14881.788221808281</v>
      </c>
      <c r="M4342" s="16">
        <f t="shared" si="944"/>
        <v>19842.384295744378</v>
      </c>
    </row>
    <row r="4343" spans="2:13" ht="15" customHeight="1" x14ac:dyDescent="0.2">
      <c r="B4343" s="10" t="s">
        <v>900</v>
      </c>
      <c r="C4343" s="10" t="s">
        <v>199</v>
      </c>
      <c r="D4343" s="28">
        <f>D4337*Inputs!$D$23</f>
        <v>6.4875000000000007</v>
      </c>
      <c r="E4343" s="28">
        <f>E4337*Inputs!$D$23</f>
        <v>8.65</v>
      </c>
      <c r="F4343" s="28">
        <f>F4337*Inputs!$D$23</f>
        <v>6.4875000000000007</v>
      </c>
      <c r="G4343" s="28">
        <f>G4337*Inputs!$D$23</f>
        <v>0</v>
      </c>
      <c r="H4343" s="28">
        <f>H4337*Inputs!$D$23</f>
        <v>0</v>
      </c>
      <c r="I4343" s="28">
        <f>I4337*Inputs!$D$23</f>
        <v>0</v>
      </c>
      <c r="J4343" s="28">
        <f>J4337*Inputs!$D$23</f>
        <v>0</v>
      </c>
      <c r="K4343" s="28">
        <f>K4337*Inputs!$D$23</f>
        <v>0</v>
      </c>
      <c r="L4343" s="28">
        <f>L4337*Inputs!$D$23</f>
        <v>0</v>
      </c>
      <c r="M4343" s="28">
        <f>M4337*Inputs!$D$23</f>
        <v>0</v>
      </c>
    </row>
    <row r="4344" spans="2:13" ht="15" customHeight="1" x14ac:dyDescent="0.2">
      <c r="B4344" s="3" t="s">
        <v>901</v>
      </c>
      <c r="C4344" s="10" t="s">
        <v>896</v>
      </c>
      <c r="D4344" s="28">
        <f>(D4339*$D$4357*(Inputs!$D$7-Inputs!$D$19)-D4343)/(Inputs!$D$7+$D$4358)^D4332</f>
        <v>67.793124463406599</v>
      </c>
      <c r="E4344" s="28">
        <f>(E4339*$D$4357*(Inputs!$D$7-Inputs!$D$19)-E4343)/(Inputs!$D$7+$D$4358)^E4332</f>
        <v>243.79740661130509</v>
      </c>
      <c r="F4344" s="28">
        <f>(F4339*$D$4357*(Inputs!$D$7-Inputs!$D$19)-F4343)/(Inputs!$D$7+$D$4358)^F4332</f>
        <v>361.0415111553192</v>
      </c>
      <c r="G4344" s="28">
        <f>(G4339*$D$4357*(Inputs!$D$7-Inputs!$D$19)-G4343)/(Inputs!$D$7+$D$4358)^G4332</f>
        <v>380.89027585596818</v>
      </c>
      <c r="H4344" s="28">
        <f>(H4339*$D$4357*(Inputs!$D$7-Inputs!$D$19)-H4343)/(Inputs!$D$7+$D$4358)^H4332</f>
        <v>340.1069842659083</v>
      </c>
      <c r="I4344" s="28">
        <f>(I4339*$D$4357*(Inputs!$D$7-Inputs!$D$19)-I4343)/(Inputs!$D$7+$D$4358)^I4332</f>
        <v>303.59629279937076</v>
      </c>
      <c r="J4344" s="28">
        <f>(J4339*$D$4357*(Inputs!$D$7-Inputs!$D$19)-J4343)/(Inputs!$D$7+$D$4358)^J4332</f>
        <v>271.08914593910282</v>
      </c>
      <c r="K4344" s="28">
        <f>(K4339*$D$4357*(Inputs!$D$7-Inputs!$D$19)-K4343)/(Inputs!$D$7+$D$4358)^K4332</f>
        <v>242.06265619507093</v>
      </c>
      <c r="L4344" s="28">
        <f>(L4339*$D$4357*(Inputs!$D$7-Inputs!$D$19)-L4343)/(Inputs!$D$7+$D$4358)^L4332</f>
        <v>216.14413709273217</v>
      </c>
      <c r="M4344" s="28">
        <f>(M4339*$D$4357*(Inputs!$D$7-Inputs!$D$19)-M4343)/(Inputs!$D$7+$D$4358)^M4332</f>
        <v>192.94093261068662</v>
      </c>
    </row>
    <row r="4345" spans="2:13" ht="15" customHeight="1" x14ac:dyDescent="0.2">
      <c r="B4345" s="10" t="s">
        <v>902</v>
      </c>
      <c r="C4345" s="10" t="s">
        <v>110</v>
      </c>
      <c r="D4345" s="16">
        <f>(D4340*Inputs!$D$19-D4341-D4342)/(Inputs!$D$7+$D$4358)^D4332</f>
        <v>-13847.790632947557</v>
      </c>
      <c r="E4345" s="16">
        <f>(E4340*Inputs!$D$19-E4341-E4342)/(Inputs!$D$7+$D$4358)^E4332</f>
        <v>-15370.239105459035</v>
      </c>
      <c r="F4345" s="16">
        <f>(F4340*Inputs!$D$19-F4341-F4342)/(Inputs!$D$7+$D$4358)^F4332</f>
        <v>-8945.8041564234754</v>
      </c>
      <c r="G4345" s="16">
        <f>(G4340*Inputs!$D$19-G4341-G4342)/(Inputs!$D$7+$D$4358)^G4332</f>
        <v>863.80744262020482</v>
      </c>
      <c r="H4345" s="16">
        <f>(H4340*Inputs!$D$19-H4341-H4342)/(Inputs!$D$7+$D$4358)^H4332</f>
        <v>-6404.5339628745278</v>
      </c>
      <c r="I4345" s="16">
        <f>(I4340*Inputs!$D$19-I4341-I4342)/(Inputs!$D$7+$D$4358)^I4332</f>
        <v>-8312.2134333380691</v>
      </c>
      <c r="J4345" s="16">
        <f>(J4340*Inputs!$D$19-J4341-J4342)/(Inputs!$D$7+$D$4358)^J4332</f>
        <v>-5104.8632414329013</v>
      </c>
      <c r="K4345" s="16">
        <f>(K4340*Inputs!$D$19-K4341-K4342)/(Inputs!$D$7+$D$4358)^K4332</f>
        <v>548.96524604578394</v>
      </c>
      <c r="L4345" s="16">
        <f>(L4340*Inputs!$D$19-L4341-L4342)/(Inputs!$D$7+$D$4358)^L4332</f>
        <v>-4070.1971171644977</v>
      </c>
      <c r="M4345" s="16">
        <f>(M4340*Inputs!$D$19-M4341-M4342)/(Inputs!$D$7+$D$4358)^M4332</f>
        <v>-5282.5619084458349</v>
      </c>
    </row>
    <row r="4346" spans="2:13" ht="15" customHeight="1" x14ac:dyDescent="0.2">
      <c r="B4346" s="10" t="s">
        <v>903</v>
      </c>
      <c r="C4346" s="10" t="s">
        <v>110</v>
      </c>
      <c r="D4346" s="16">
        <f t="shared" ref="D4346:M4346" si="945">D4339*$D$4356</f>
        <v>3358.080210447607</v>
      </c>
      <c r="E4346" s="16">
        <f t="shared" si="945"/>
        <v>12794.619976790775</v>
      </c>
      <c r="F4346" s="16">
        <f t="shared" si="945"/>
        <v>20889.857590110332</v>
      </c>
      <c r="G4346" s="16">
        <f t="shared" si="945"/>
        <v>24359.245138675855</v>
      </c>
      <c r="H4346" s="16">
        <f t="shared" si="945"/>
        <v>24359.245138675855</v>
      </c>
      <c r="I4346" s="16">
        <f t="shared" si="945"/>
        <v>24359.245138675855</v>
      </c>
      <c r="J4346" s="16">
        <f t="shared" si="945"/>
        <v>24359.245138675855</v>
      </c>
      <c r="K4346" s="16">
        <f t="shared" si="945"/>
        <v>24359.245138675855</v>
      </c>
      <c r="L4346" s="16">
        <f t="shared" si="945"/>
        <v>24359.245138675855</v>
      </c>
      <c r="M4346" s="16">
        <f t="shared" si="945"/>
        <v>24359.245138675855</v>
      </c>
    </row>
    <row r="4347" spans="2:13" ht="15" customHeight="1" x14ac:dyDescent="0.2">
      <c r="B4347" s="10" t="s">
        <v>904</v>
      </c>
      <c r="C4347" s="10" t="s">
        <v>110</v>
      </c>
      <c r="D4347" s="16">
        <f t="shared" ref="D4347:M4347" si="946">D4346*$D$4357</f>
        <v>3055.8529915073223</v>
      </c>
      <c r="E4347" s="16">
        <f t="shared" si="946"/>
        <v>11643.104178879605</v>
      </c>
      <c r="F4347" s="16">
        <f t="shared" si="946"/>
        <v>19009.770407000404</v>
      </c>
      <c r="G4347" s="16">
        <f t="shared" si="946"/>
        <v>22166.913076195029</v>
      </c>
      <c r="H4347" s="16">
        <f t="shared" si="946"/>
        <v>22166.913076195029</v>
      </c>
      <c r="I4347" s="16">
        <f t="shared" si="946"/>
        <v>22166.913076195029</v>
      </c>
      <c r="J4347" s="16">
        <f t="shared" si="946"/>
        <v>22166.913076195029</v>
      </c>
      <c r="K4347" s="16">
        <f t="shared" si="946"/>
        <v>22166.913076195029</v>
      </c>
      <c r="L4347" s="16">
        <f t="shared" si="946"/>
        <v>22166.913076195029</v>
      </c>
      <c r="M4347" s="16">
        <f t="shared" si="946"/>
        <v>22166.913076195029</v>
      </c>
    </row>
    <row r="4348" spans="2:13" ht="15" customHeight="1" x14ac:dyDescent="0.2">
      <c r="B4348" s="10" t="s">
        <v>905</v>
      </c>
      <c r="C4348" s="10" t="s">
        <v>110</v>
      </c>
      <c r="D4348" s="16">
        <f t="shared" ref="D4348:M4348" si="947">D4347-D4340</f>
        <v>1238.8757055748804</v>
      </c>
      <c r="E4348" s="16">
        <f t="shared" si="947"/>
        <v>4720.239797129896</v>
      </c>
      <c r="F4348" s="16">
        <f t="shared" si="947"/>
        <v>7706.7656039869034</v>
      </c>
      <c r="G4348" s="16">
        <f t="shared" si="947"/>
        <v>8986.7052354970474</v>
      </c>
      <c r="H4348" s="16">
        <f t="shared" si="947"/>
        <v>8986.7052354970474</v>
      </c>
      <c r="I4348" s="16">
        <f t="shared" si="947"/>
        <v>8986.7052354970474</v>
      </c>
      <c r="J4348" s="16">
        <f t="shared" si="947"/>
        <v>8986.7052354970474</v>
      </c>
      <c r="K4348" s="16">
        <f t="shared" si="947"/>
        <v>8986.7052354970474</v>
      </c>
      <c r="L4348" s="16">
        <f t="shared" si="947"/>
        <v>8986.7052354970474</v>
      </c>
      <c r="M4348" s="16">
        <f t="shared" si="947"/>
        <v>8986.7052354970474</v>
      </c>
    </row>
    <row r="4349" spans="2:13" ht="15" customHeight="1" x14ac:dyDescent="0.2">
      <c r="B4349" s="10" t="s">
        <v>906</v>
      </c>
      <c r="C4349" s="10" t="s">
        <v>110</v>
      </c>
      <c r="D4349" s="16">
        <f>MAX(D4348,Inputs!$D$6)*Inputs!$D$19</f>
        <v>371.66271167246413</v>
      </c>
      <c r="E4349" s="16">
        <f>MAX(E4348,Inputs!$D$6)*Inputs!$D$19</f>
        <v>1416.0719391389687</v>
      </c>
      <c r="F4349" s="16">
        <f>MAX(F4348,Inputs!$D$6)*Inputs!$D$19</f>
        <v>2312.0296811960711</v>
      </c>
      <c r="G4349" s="16">
        <f>MAX(G4348,Inputs!$D$6)*Inputs!$D$19</f>
        <v>2696.0115706491142</v>
      </c>
      <c r="H4349" s="16">
        <f>MAX(H4348,Inputs!$D$6)*Inputs!$D$19</f>
        <v>2696.0115706491142</v>
      </c>
      <c r="I4349" s="16">
        <f>MAX(I4348,Inputs!$D$6)*Inputs!$D$19</f>
        <v>2696.0115706491142</v>
      </c>
      <c r="J4349" s="16">
        <f>MAX(J4348,Inputs!$D$6)*Inputs!$D$19</f>
        <v>2696.0115706491142</v>
      </c>
      <c r="K4349" s="16">
        <f>MAX(K4348,Inputs!$D$6)*Inputs!$D$19</f>
        <v>2696.0115706491142</v>
      </c>
      <c r="L4349" s="16">
        <f>MAX(L4348,Inputs!$D$6)*Inputs!$D$19</f>
        <v>2696.0115706491142</v>
      </c>
      <c r="M4349" s="16">
        <f>MAX(M4348,Inputs!$D$6)*Inputs!$D$19</f>
        <v>2696.0115706491142</v>
      </c>
    </row>
    <row r="4350" spans="2:13" ht="15" customHeight="1" x14ac:dyDescent="0.2">
      <c r="B4350" s="10" t="s">
        <v>907</v>
      </c>
      <c r="C4350" s="10" t="s">
        <v>110</v>
      </c>
      <c r="D4350" s="16">
        <f t="shared" ref="D4350:M4350" si="948">D4343*$D$4356</f>
        <v>173.4693774282762</v>
      </c>
      <c r="E4350" s="16">
        <f t="shared" si="948"/>
        <v>231.2925032377016</v>
      </c>
      <c r="F4350" s="16">
        <f t="shared" si="948"/>
        <v>173.4693774282762</v>
      </c>
      <c r="G4350" s="16">
        <f t="shared" si="948"/>
        <v>0</v>
      </c>
      <c r="H4350" s="16">
        <f t="shared" si="948"/>
        <v>0</v>
      </c>
      <c r="I4350" s="16">
        <f t="shared" si="948"/>
        <v>0</v>
      </c>
      <c r="J4350" s="16">
        <f t="shared" si="948"/>
        <v>0</v>
      </c>
      <c r="K4350" s="16">
        <f t="shared" si="948"/>
        <v>0</v>
      </c>
      <c r="L4350" s="16">
        <f t="shared" si="948"/>
        <v>0</v>
      </c>
      <c r="M4350" s="16">
        <f t="shared" si="948"/>
        <v>0</v>
      </c>
    </row>
    <row r="4351" spans="2:13" ht="15" customHeight="1" x14ac:dyDescent="0.2">
      <c r="B4351" s="10" t="s">
        <v>908</v>
      </c>
      <c r="C4351" s="10" t="s">
        <v>110</v>
      </c>
      <c r="D4351" s="16">
        <f t="shared" ref="D4351:M4351" si="949">D4347-D4349-D4341-D4342-D4350</f>
        <v>-13050.247717739572</v>
      </c>
      <c r="E4351" s="16">
        <f t="shared" si="949"/>
        <v>-10752.218423691937</v>
      </c>
      <c r="F4351" s="16">
        <f t="shared" si="949"/>
        <v>963.3027282299015</v>
      </c>
      <c r="G4351" s="16">
        <f t="shared" si="949"/>
        <v>16832.896656978744</v>
      </c>
      <c r="H4351" s="16">
        <f t="shared" si="949"/>
        <v>4589.1132837376354</v>
      </c>
      <c r="I4351" s="16">
        <f t="shared" si="949"/>
        <v>-371.48279019846086</v>
      </c>
      <c r="J4351" s="16">
        <f t="shared" si="949"/>
        <v>4589.1132837376354</v>
      </c>
      <c r="K4351" s="16">
        <f t="shared" si="949"/>
        <v>16832.896656978744</v>
      </c>
      <c r="L4351" s="16">
        <f t="shared" si="949"/>
        <v>4589.1132837376354</v>
      </c>
      <c r="M4351" s="16">
        <f t="shared" si="949"/>
        <v>-371.48279019846086</v>
      </c>
    </row>
    <row r="4352" spans="2:13" ht="15" customHeight="1" x14ac:dyDescent="0.2">
      <c r="B4352" s="10" t="s">
        <v>909</v>
      </c>
      <c r="C4352" s="10" t="s">
        <v>110</v>
      </c>
      <c r="D4352" s="16">
        <f>D4351/(Inputs!$D$7+$D$4358)^D4332</f>
        <v>-12035.069076942198</v>
      </c>
      <c r="E4352" s="16">
        <f>E4351/(Inputs!$D$7+$D$4358)^E4332</f>
        <v>-8851.3359311251024</v>
      </c>
      <c r="F4352" s="16">
        <f>F4351/(Inputs!$D$7+$D$4358)^F4332</f>
        <v>708.09120633217287</v>
      </c>
      <c r="G4352" s="16">
        <f>G4351/(Inputs!$D$7+$D$4358)^G4332</f>
        <v>11048.439276334148</v>
      </c>
      <c r="H4352" s="16">
        <f>H4351/(Inputs!$D$7+$D$4358)^H4332</f>
        <v>2689.5927145228766</v>
      </c>
      <c r="I4352" s="16">
        <f>I4351/(Inputs!$D$7+$D$4358)^I4332</f>
        <v>-194.34678186377067</v>
      </c>
      <c r="J4352" s="16">
        <f>J4351/(Inputs!$D$7+$D$4358)^J4332</f>
        <v>2143.7942342694946</v>
      </c>
      <c r="K4352" s="16">
        <f>K4351/(Inputs!$D$7+$D$4358)^K4332</f>
        <v>7021.4828982683393</v>
      </c>
      <c r="L4352" s="16">
        <f>L4351/(Inputs!$D$7+$D$4358)^L4332</f>
        <v>1709.2847936252119</v>
      </c>
      <c r="M4352" s="16">
        <f>M4351/(Inputs!$D$7+$D$4358)^M4332</f>
        <v>-123.51089335422644</v>
      </c>
    </row>
    <row r="4353" spans="2:13" ht="15" customHeight="1" x14ac:dyDescent="0.2">
      <c r="B4353" s="3" t="s">
        <v>910</v>
      </c>
      <c r="C4353" s="10" t="s">
        <v>896</v>
      </c>
      <c r="D4353" s="28">
        <f>(D4339*$D$4357-D4343)/(Inputs!$D$7+$D$4358)^D4332</f>
        <v>99.411393850242476</v>
      </c>
      <c r="E4353" s="28">
        <f>(E4339*$D$4357-E4343)/(Inputs!$D$7+$D$4358)^E4332</f>
        <v>351.33376727554656</v>
      </c>
      <c r="F4353" s="28">
        <f>(F4339*$D$4357-F4343)/(Inputs!$D$7+$D$4358)^F4332</f>
        <v>517.81733372362282</v>
      </c>
      <c r="G4353" s="28">
        <f>(G4339*$D$4357-G4343)/(Inputs!$D$7+$D$4358)^G4332</f>
        <v>544.12896550852611</v>
      </c>
      <c r="H4353" s="28">
        <f>(H4339*$D$4357-H4343)/(Inputs!$D$7+$D$4358)^H4332</f>
        <v>485.86712037986911</v>
      </c>
      <c r="I4353" s="28">
        <f>(I4339*$D$4357-I4343)/(Inputs!$D$7+$D$4358)^I4332</f>
        <v>433.70898971338687</v>
      </c>
      <c r="J4353" s="28">
        <f>(J4339*$D$4357-J4343)/(Inputs!$D$7+$D$4358)^J4332</f>
        <v>387.27020848443271</v>
      </c>
      <c r="K4353" s="28">
        <f>(K4339*$D$4357-K4343)/(Inputs!$D$7+$D$4358)^K4332</f>
        <v>345.80379456438709</v>
      </c>
      <c r="L4353" s="28">
        <f>(L4339*$D$4357-L4343)/(Inputs!$D$7+$D$4358)^L4332</f>
        <v>308.77733870390313</v>
      </c>
      <c r="M4353" s="28">
        <f>(M4339*$D$4357-M4343)/(Inputs!$D$7+$D$4358)^M4332</f>
        <v>275.62990372955232</v>
      </c>
    </row>
    <row r="4354" spans="2:13" ht="15" customHeight="1" x14ac:dyDescent="0.2">
      <c r="B4354" s="10" t="s">
        <v>911</v>
      </c>
      <c r="C4354" s="10" t="s">
        <v>110</v>
      </c>
      <c r="D4354" s="16">
        <f>(-D4341-D4342)/(Inputs!$D$7+$D$4358)^D4332</f>
        <v>-14350.481025200577</v>
      </c>
      <c r="E4354" s="16">
        <f>(-E4341-E4342)/(Inputs!$D$7+$D$4358)^E4332</f>
        <v>-17079.930887207098</v>
      </c>
      <c r="F4354" s="16">
        <f>(-F4341-F4342)/(Inputs!$D$7+$D$4358)^F4332</f>
        <v>-11438.340948315768</v>
      </c>
      <c r="G4354" s="16">
        <f>(-G4341-G4342)/(Inputs!$D$7+$D$4358)^G4332</f>
        <v>-1731.4807411941122</v>
      </c>
      <c r="H4354" s="16">
        <f>(-H4341-H4342)/(Inputs!$D$7+$D$4358)^H4332</f>
        <v>-8721.9353076959778</v>
      </c>
      <c r="I4354" s="16">
        <f>(-I4341-I4342)/(Inputs!$D$7+$D$4358)^I4332</f>
        <v>-10380.8403353543</v>
      </c>
      <c r="J4354" s="16">
        <f>(-J4341-J4342)/(Inputs!$D$7+$D$4358)^J4332</f>
        <v>-6951.9948218729187</v>
      </c>
      <c r="K4354" s="16">
        <f>(-K4341-K4342)/(Inputs!$D$7+$D$4358)^K4332</f>
        <v>-1100.3873134386547</v>
      </c>
      <c r="L4354" s="16">
        <f>(-L4341-L4342)/(Inputs!$D$7+$D$4358)^L4332</f>
        <v>-5542.947566718196</v>
      </c>
      <c r="M4354" s="16">
        <f>(-M4341-M4342)/(Inputs!$D$7+$D$4358)^M4332</f>
        <v>-6597.2117021517279</v>
      </c>
    </row>
    <row r="4355" spans="2:13" ht="15" customHeight="1" x14ac:dyDescent="0.2">
      <c r="B4355" s="10" t="s">
        <v>912</v>
      </c>
      <c r="C4355" s="10" t="s">
        <v>110</v>
      </c>
      <c r="D4355" s="16">
        <f>Prices!I9</f>
        <v>21850</v>
      </c>
    </row>
    <row r="4356" spans="2:13" ht="15" customHeight="1" x14ac:dyDescent="0.2">
      <c r="B4356" s="3" t="s">
        <v>913</v>
      </c>
      <c r="C4356" s="10" t="s">
        <v>914</v>
      </c>
      <c r="D4356" s="28">
        <f>IF(J4363&gt;=J4359,J4363,(D4355-J4362)/J4361)</f>
        <v>26.739017715341223</v>
      </c>
      <c r="G4356" s="99" t="s">
        <v>915</v>
      </c>
      <c r="H4356" s="91"/>
      <c r="I4356" s="91"/>
      <c r="J4356" s="28">
        <f>D4356*Inputs!$D$15</f>
        <v>18.661160463536639</v>
      </c>
      <c r="K4356" s="99" t="s">
        <v>916</v>
      </c>
      <c r="L4356" s="91"/>
      <c r="M4356" s="91"/>
    </row>
    <row r="4357" spans="2:13" ht="15" customHeight="1" x14ac:dyDescent="0.2">
      <c r="B4357" s="10" t="s">
        <v>917</v>
      </c>
      <c r="C4357" s="10" t="s">
        <v>104</v>
      </c>
      <c r="D4357" s="30">
        <f>Inputs!$D$145</f>
        <v>0.91</v>
      </c>
      <c r="G4357" s="99" t="s">
        <v>918</v>
      </c>
      <c r="H4357" s="91"/>
      <c r="I4357" s="91"/>
      <c r="J4357" s="28">
        <f>IF(-D4368/D4367&gt;=J4359,-D4368/D4367,-J4362/J4361)</f>
        <v>22.089290977420866</v>
      </c>
      <c r="K4357" s="99" t="s">
        <v>919</v>
      </c>
      <c r="L4357" s="91"/>
      <c r="M4357" s="91"/>
    </row>
    <row r="4358" spans="2:13" ht="15" customHeight="1" x14ac:dyDescent="0.2">
      <c r="B4358" s="10" t="s">
        <v>920</v>
      </c>
      <c r="C4358" s="10" t="s">
        <v>104</v>
      </c>
      <c r="D4358" s="30">
        <f>Inputs!$D$148</f>
        <v>0.12</v>
      </c>
      <c r="G4358" s="99" t="s">
        <v>918</v>
      </c>
      <c r="H4358" s="91"/>
      <c r="I4358" s="91"/>
      <c r="J4358" s="28">
        <f>J4357*Inputs!$D$15</f>
        <v>15.416116173142022</v>
      </c>
      <c r="K4358" s="99" t="s">
        <v>916</v>
      </c>
      <c r="L4358" s="91"/>
      <c r="M4358" s="91"/>
    </row>
    <row r="4359" spans="2:13" ht="15" customHeight="1" x14ac:dyDescent="0.2">
      <c r="B4359" s="3" t="s">
        <v>921</v>
      </c>
      <c r="C4359" s="10" t="s">
        <v>848</v>
      </c>
      <c r="D4359" s="28">
        <f>Capital!$D$13</f>
        <v>57.347931490590682</v>
      </c>
      <c r="G4359" s="99" t="s">
        <v>922</v>
      </c>
      <c r="H4359" s="91"/>
      <c r="I4359" s="91"/>
      <c r="J4359" s="28">
        <f>($D$4359/Inputs!$D$21+$D$4360/Inputs!$D$22)/$D$4357</f>
        <v>15.898732030612395</v>
      </c>
      <c r="K4359" s="99" t="s">
        <v>919</v>
      </c>
      <c r="L4359" s="91"/>
      <c r="M4359" s="91"/>
    </row>
    <row r="4360" spans="2:13" ht="15" customHeight="1" x14ac:dyDescent="0.2">
      <c r="B4360" s="3" t="s">
        <v>923</v>
      </c>
      <c r="C4360" s="10" t="s">
        <v>848</v>
      </c>
      <c r="D4360" s="28">
        <f>Capital!$D$14</f>
        <v>2.6172655041921802</v>
      </c>
    </row>
    <row r="4361" spans="2:13" ht="15" customHeight="1" x14ac:dyDescent="0.2">
      <c r="B4361" s="10" t="s">
        <v>924</v>
      </c>
      <c r="C4361" s="10" t="s">
        <v>896</v>
      </c>
      <c r="D4361" s="28">
        <f>(M4334*(Inputs!$D$7+Inputs!$D$20)*$D$4357*(Inputs!$D$7-Inputs!$D$19)-M4334*Inputs!$D$20*Inputs!$D$23)/($D$4358-Inputs!$D$20)/(Inputs!$D$7+$D$4358)^M4332</f>
        <v>2079.7384176146556</v>
      </c>
      <c r="G4361" s="92" t="s">
        <v>910</v>
      </c>
      <c r="H4361" s="91"/>
      <c r="I4361" s="91"/>
      <c r="J4361" s="28">
        <f>SUM(D4353:M4353)+(M4334*(Inputs!$D$7+Inputs!$D$20)*$D$4357-M4334*Inputs!$D$20*Inputs!$D$23)/($D$4358-Inputs!$D$20)/(Inputs!$D$7+$D$4358)^M4332</f>
        <v>6721.6577114095699</v>
      </c>
      <c r="K4361" s="99" t="s">
        <v>896</v>
      </c>
      <c r="L4361" s="91"/>
      <c r="M4361" s="91"/>
    </row>
    <row r="4362" spans="2:13" ht="15" customHeight="1" x14ac:dyDescent="0.2">
      <c r="B4362" s="10" t="s">
        <v>925</v>
      </c>
      <c r="C4362" s="10" t="s">
        <v>110</v>
      </c>
      <c r="D4362" s="16">
        <f>(D4365*Inputs!$D$19-D4365-D4366)/($D$4358-Inputs!$D$20)/(Inputs!$D$7+$D$4358)^M4332</f>
        <v>-37876.58483194092</v>
      </c>
      <c r="G4362" s="92" t="s">
        <v>926</v>
      </c>
      <c r="H4362" s="91"/>
      <c r="I4362" s="91"/>
      <c r="J4362" s="16">
        <f>SUM(D4354:M4354)-(D4365+D4366)/($D$4358-Inputs!$D$20)/(Inputs!$D$7+$D$4358)^M4332</f>
        <v>-135956.51483423277</v>
      </c>
      <c r="K4362" s="99" t="s">
        <v>110</v>
      </c>
      <c r="L4362" s="91"/>
      <c r="M4362" s="91"/>
    </row>
    <row r="4363" spans="2:13" ht="15" customHeight="1" x14ac:dyDescent="0.2">
      <c r="B4363" s="10" t="s">
        <v>927</v>
      </c>
      <c r="C4363" s="10" t="s">
        <v>928</v>
      </c>
      <c r="D4363" s="16">
        <f>(M4334*(Inputs!$D$7+Inputs!$D$20)*$D$4356*$D$4357-D4365)-MAX((M4334*(Inputs!$D$7+Inputs!$D$20)*$D$4356*$D$4357-D4365),Inputs!$D$6)*Inputs!$D$19-D4366-M4334*Inputs!$D$20*$D$4356*Inputs!$D$23</f>
        <v>5067.0291167012783</v>
      </c>
      <c r="G4363" s="99" t="s">
        <v>929</v>
      </c>
      <c r="H4363" s="91"/>
      <c r="I4363" s="91"/>
      <c r="J4363" s="28">
        <f>(D4355-D4368)/D4367</f>
        <v>26.739017715341223</v>
      </c>
      <c r="K4363" s="99" t="s">
        <v>919</v>
      </c>
      <c r="L4363" s="91"/>
      <c r="M4363" s="91"/>
    </row>
    <row r="4364" spans="2:13" ht="15" customHeight="1" x14ac:dyDescent="0.2">
      <c r="B4364" s="10" t="s">
        <v>930</v>
      </c>
      <c r="C4364" s="10" t="s">
        <v>110</v>
      </c>
      <c r="D4364" s="16">
        <f>D4363/($D$4358-Inputs!$D$20)</f>
        <v>53337.148596855557</v>
      </c>
      <c r="G4364" s="99" t="s">
        <v>931</v>
      </c>
      <c r="H4364" s="91"/>
      <c r="I4364" s="91"/>
      <c r="J4364" s="16">
        <f>MIN(D4348:M4348,(M4334*(Inputs!$D$7+Inputs!$D$20)*$D$4356*$D$4357-D4365))</f>
        <v>1238.8757055748804</v>
      </c>
      <c r="K4364" s="99" t="s">
        <v>110</v>
      </c>
      <c r="L4364" s="91"/>
      <c r="M4364" s="91"/>
    </row>
    <row r="4365" spans="2:13" ht="15" customHeight="1" x14ac:dyDescent="0.2">
      <c r="B4365" s="10" t="s">
        <v>932</v>
      </c>
      <c r="C4365" s="10" t="s">
        <v>928</v>
      </c>
      <c r="D4365" s="16">
        <f>M4334*(Inputs!$D$7+Inputs!$D$20)*($D$4359/Inputs!$D$21+$D$4360/Inputs!$D$22)</f>
        <v>13509.71303671543</v>
      </c>
      <c r="G4365" s="99" t="s">
        <v>933</v>
      </c>
      <c r="H4365" s="91"/>
      <c r="I4365" s="91"/>
      <c r="J4365" s="31" t="str">
        <f>IF(J4364&lt;Inputs!$D$6,"breached","satisfied")</f>
        <v>satisfied</v>
      </c>
      <c r="K4365" s="99" t="s">
        <v>934</v>
      </c>
      <c r="L4365" s="91"/>
      <c r="M4365" s="91"/>
    </row>
    <row r="4366" spans="2:13" ht="15" customHeight="1" x14ac:dyDescent="0.2">
      <c r="B4366" s="10" t="s">
        <v>935</v>
      </c>
      <c r="C4366" s="10" t="s">
        <v>928</v>
      </c>
      <c r="D4366" s="16">
        <f>M4334*Inputs!$D$20*($D$4359+$D$4360)</f>
        <v>1365.7073615561799</v>
      </c>
    </row>
    <row r="4367" spans="2:13" ht="15" customHeight="1" x14ac:dyDescent="0.2">
      <c r="B4367" s="10" t="s">
        <v>936</v>
      </c>
      <c r="C4367" s="10" t="s">
        <v>896</v>
      </c>
      <c r="D4367" s="28">
        <f>SUM(D4344:M4344)+D4361</f>
        <v>4699.200884603526</v>
      </c>
      <c r="G4367" s="99" t="s">
        <v>937</v>
      </c>
      <c r="H4367" s="91"/>
      <c r="I4367" s="91"/>
      <c r="J4367" s="16">
        <f>D4369-D4355</f>
        <v>2.9103830456733704E-11</v>
      </c>
      <c r="K4367" s="99" t="s">
        <v>110</v>
      </c>
      <c r="L4367" s="91"/>
      <c r="M4367" s="91"/>
    </row>
    <row r="4368" spans="2:13" ht="15" customHeight="1" x14ac:dyDescent="0.2">
      <c r="B4368" s="10" t="s">
        <v>938</v>
      </c>
      <c r="C4368" s="10" t="s">
        <v>110</v>
      </c>
      <c r="D4368" s="16">
        <f>SUM(D4345:M4345)+D4362</f>
        <v>-103802.01570136083</v>
      </c>
    </row>
    <row r="4369" spans="1:13" ht="15" customHeight="1" x14ac:dyDescent="0.2">
      <c r="B4369" s="10" t="s">
        <v>939</v>
      </c>
      <c r="C4369" s="10" t="s">
        <v>110</v>
      </c>
      <c r="D4369" s="16">
        <f>SUM(D4352:M4352)+D4364/(Inputs!$D$7+$D$4358)^M4332</f>
        <v>21850.000000000029</v>
      </c>
    </row>
    <row r="4370" spans="1:13" ht="15" customHeight="1" x14ac:dyDescent="0.2">
      <c r="B4370" s="10" t="s">
        <v>940</v>
      </c>
      <c r="C4370" s="10" t="s">
        <v>104</v>
      </c>
      <c r="D4370" s="30">
        <f>IF(ABS(D4355)&gt;Inputs!$D$6,D4369/D4355-Inputs!$D$7,Inputs!$D$6)</f>
        <v>1.3322676295501878E-15</v>
      </c>
    </row>
    <row r="4371" spans="1:13" ht="15" customHeight="1" x14ac:dyDescent="0.2">
      <c r="B4371" s="10" t="s">
        <v>941</v>
      </c>
      <c r="C4371" s="10" t="s">
        <v>104</v>
      </c>
      <c r="D4371" s="30">
        <f>IF(ABS(D4369)&gt;Inputs!$D$119,D4364/(Inputs!$D$7+$D$4358)^M4332/D4369,Inputs!$D$6)</f>
        <v>0.81160538031730234</v>
      </c>
    </row>
    <row r="4372" spans="1:13" ht="15" customHeight="1" x14ac:dyDescent="0.2">
      <c r="B4372" s="10" t="s">
        <v>942</v>
      </c>
      <c r="C4372" s="10" t="s">
        <v>943</v>
      </c>
      <c r="D4372" s="26">
        <f>$D$4356*Inputs!$D$8/Prices!$P$6/(Inputs!$D$26/Inputs!$D$25)/Inputs!$D$11/Inputs!$D$56</f>
        <v>4.8625715918983206</v>
      </c>
    </row>
    <row r="4376" spans="1:13" ht="15" customHeight="1" x14ac:dyDescent="0.2">
      <c r="A4376" s="104" t="s">
        <v>2260</v>
      </c>
      <c r="B4376" s="10" t="s">
        <v>886</v>
      </c>
      <c r="C4376" s="10" t="s">
        <v>107</v>
      </c>
      <c r="D4376" s="28">
        <f>Inputs!$D$60</f>
        <v>1</v>
      </c>
      <c r="E4376" s="28">
        <f>Inputs!$D$62</f>
        <v>2</v>
      </c>
      <c r="F4376" s="28">
        <f>Inputs!$D$64</f>
        <v>3</v>
      </c>
      <c r="G4376" s="28">
        <f>Inputs!$D$66</f>
        <v>4</v>
      </c>
      <c r="H4376" s="28">
        <f>Inputs!$D$68</f>
        <v>5</v>
      </c>
      <c r="I4376" s="28">
        <f>Inputs!$D$70</f>
        <v>6</v>
      </c>
      <c r="J4376" s="28">
        <f>Inputs!$D$72</f>
        <v>7</v>
      </c>
      <c r="K4376" s="28">
        <f>Inputs!$D$74</f>
        <v>8</v>
      </c>
      <c r="L4376" s="28">
        <f>Inputs!$D$76</f>
        <v>9</v>
      </c>
      <c r="M4376" s="28">
        <f>Inputs!$D$78</f>
        <v>10</v>
      </c>
    </row>
    <row r="4377" spans="1:13" ht="15" customHeight="1" x14ac:dyDescent="0.2">
      <c r="A4377" s="91"/>
      <c r="B4377" s="10" t="s">
        <v>887</v>
      </c>
      <c r="C4377" s="10" t="s">
        <v>161</v>
      </c>
      <c r="D4377" s="29">
        <f>Inputs!$D$61</f>
        <v>46568</v>
      </c>
      <c r="E4377" s="29">
        <f>Inputs!$D$63</f>
        <v>46934</v>
      </c>
      <c r="F4377" s="29">
        <f>Inputs!$D$65</f>
        <v>47299</v>
      </c>
      <c r="G4377" s="29">
        <f>Inputs!$D$67</f>
        <v>47664</v>
      </c>
      <c r="H4377" s="29">
        <f>Inputs!$D$69</f>
        <v>48029</v>
      </c>
      <c r="I4377" s="29">
        <f>Inputs!$D$71</f>
        <v>48395</v>
      </c>
      <c r="J4377" s="29">
        <f>Inputs!$D$73</f>
        <v>48760</v>
      </c>
      <c r="K4377" s="29">
        <f>Inputs!$D$75</f>
        <v>49125</v>
      </c>
      <c r="L4377" s="29">
        <f>Inputs!$D$77</f>
        <v>49490</v>
      </c>
      <c r="M4377" s="29">
        <f>Inputs!$D$79</f>
        <v>49856</v>
      </c>
    </row>
    <row r="4378" spans="1:13" ht="15" customHeight="1" x14ac:dyDescent="0.2">
      <c r="A4378" s="91"/>
      <c r="B4378" s="10" t="s">
        <v>888</v>
      </c>
      <c r="C4378" s="10" t="s">
        <v>107</v>
      </c>
      <c r="D4378" s="28">
        <f>(D4377-Inputs!$D$13)/Inputs!$D$10</f>
        <v>0.71457905544147848</v>
      </c>
      <c r="E4378" s="28">
        <f>(E4377-Inputs!$D$13)/Inputs!$D$10</f>
        <v>1.7166324435318274</v>
      </c>
      <c r="F4378" s="28">
        <f>(F4377-Inputs!$D$13)/Inputs!$D$10</f>
        <v>2.7159479808350446</v>
      </c>
      <c r="G4378" s="28">
        <f>(G4377-Inputs!$D$13)/Inputs!$D$10</f>
        <v>3.7152635181382614</v>
      </c>
      <c r="H4378" s="28">
        <f>(H4377-Inputs!$D$13)/Inputs!$D$10</f>
        <v>4.7145790554414786</v>
      </c>
      <c r="I4378" s="28">
        <f>(I4377-Inputs!$D$13)/Inputs!$D$10</f>
        <v>5.7166324435318279</v>
      </c>
      <c r="J4378" s="28">
        <f>(J4377-Inputs!$D$13)/Inputs!$D$10</f>
        <v>6.7159479808350442</v>
      </c>
      <c r="K4378" s="28">
        <f>(K4377-Inputs!$D$13)/Inputs!$D$10</f>
        <v>7.7152635181382614</v>
      </c>
      <c r="L4378" s="28">
        <f>(L4377-Inputs!$D$13)/Inputs!$D$10</f>
        <v>8.7145790554414777</v>
      </c>
      <c r="M4378" s="28">
        <f>(M4377-Inputs!$D$13)/Inputs!$D$10</f>
        <v>9.716632443531827</v>
      </c>
    </row>
    <row r="4379" spans="1:13" ht="15" customHeight="1" x14ac:dyDescent="0.2">
      <c r="A4379" s="91"/>
      <c r="B4379" s="10" t="s">
        <v>889</v>
      </c>
      <c r="C4379" s="10" t="s">
        <v>107</v>
      </c>
      <c r="D4379" s="28">
        <f>D4378</f>
        <v>0.71457905544147848</v>
      </c>
      <c r="E4379" s="28">
        <f>Inputs!$D$7</f>
        <v>1</v>
      </c>
      <c r="F4379" s="28">
        <f>Inputs!$D$7</f>
        <v>1</v>
      </c>
      <c r="G4379" s="28">
        <f>Inputs!$D$7</f>
        <v>1</v>
      </c>
      <c r="H4379" s="28">
        <f>Inputs!$D$7</f>
        <v>1</v>
      </c>
      <c r="I4379" s="28">
        <f>Inputs!$D$7</f>
        <v>1</v>
      </c>
      <c r="J4379" s="28">
        <f>Inputs!$D$7</f>
        <v>1</v>
      </c>
      <c r="K4379" s="28">
        <f>Inputs!$D$7</f>
        <v>1</v>
      </c>
      <c r="L4379" s="28">
        <f>Inputs!$D$7</f>
        <v>1</v>
      </c>
      <c r="M4379" s="28">
        <f>Inputs!$D$7</f>
        <v>1</v>
      </c>
    </row>
    <row r="4380" spans="1:13" ht="15" customHeight="1" x14ac:dyDescent="0.2">
      <c r="A4380" s="91"/>
      <c r="B4380" s="3" t="s">
        <v>890</v>
      </c>
      <c r="C4380" s="10" t="s">
        <v>199</v>
      </c>
      <c r="D4380" s="28">
        <f>Inputs!$D$24+(Inputs!$D$80-Inputs!$D$24)*Inputs!$D$83</f>
        <v>305.5</v>
      </c>
      <c r="E4380" s="28">
        <f>Inputs!$D$24+(Inputs!$D$80-Inputs!$D$24)*Inputs!$D$84</f>
        <v>651.5</v>
      </c>
      <c r="F4380" s="28">
        <f>Inputs!$D$24+(Inputs!$D$80-Inputs!$D$24)*Inputs!$D$85</f>
        <v>911</v>
      </c>
      <c r="G4380" s="28">
        <f>Inputs!$D$24+(Inputs!$D$80-Inputs!$D$24)*Inputs!$D$86</f>
        <v>911</v>
      </c>
      <c r="H4380" s="28">
        <f>Inputs!$D$24+(Inputs!$D$80-Inputs!$D$24)*Inputs!$D$87</f>
        <v>911</v>
      </c>
      <c r="I4380" s="28">
        <f>Inputs!$D$24+(Inputs!$D$80-Inputs!$D$24)*Inputs!$D$88</f>
        <v>911</v>
      </c>
      <c r="J4380" s="28">
        <f>Inputs!$D$24+(Inputs!$D$80-Inputs!$D$24)*Inputs!$D$89</f>
        <v>911</v>
      </c>
      <c r="K4380" s="28">
        <f>Inputs!$D$24+(Inputs!$D$80-Inputs!$D$24)*Inputs!$D$90</f>
        <v>911</v>
      </c>
      <c r="L4380" s="28">
        <f>Inputs!$D$24+(Inputs!$D$80-Inputs!$D$24)*Inputs!$D$91</f>
        <v>911</v>
      </c>
      <c r="M4380" s="28">
        <f>Inputs!$D$24+(Inputs!$D$80-Inputs!$D$24)*Inputs!$D$92</f>
        <v>911</v>
      </c>
    </row>
    <row r="4381" spans="1:13" ht="15" customHeight="1" x14ac:dyDescent="0.2">
      <c r="A4381" s="91"/>
      <c r="B4381" s="10" t="s">
        <v>891</v>
      </c>
      <c r="C4381" s="10" t="s">
        <v>199</v>
      </c>
      <c r="D4381" s="28">
        <f>Inputs!$D$24</f>
        <v>46</v>
      </c>
      <c r="E4381" s="28">
        <f t="shared" ref="E4381:M4381" si="950">D4380</f>
        <v>305.5</v>
      </c>
      <c r="F4381" s="28">
        <f t="shared" si="950"/>
        <v>651.5</v>
      </c>
      <c r="G4381" s="28">
        <f t="shared" si="950"/>
        <v>911</v>
      </c>
      <c r="H4381" s="28">
        <f t="shared" si="950"/>
        <v>911</v>
      </c>
      <c r="I4381" s="28">
        <f t="shared" si="950"/>
        <v>911</v>
      </c>
      <c r="J4381" s="28">
        <f t="shared" si="950"/>
        <v>911</v>
      </c>
      <c r="K4381" s="28">
        <f t="shared" si="950"/>
        <v>911</v>
      </c>
      <c r="L4381" s="28">
        <f t="shared" si="950"/>
        <v>911</v>
      </c>
      <c r="M4381" s="28">
        <f t="shared" si="950"/>
        <v>911</v>
      </c>
    </row>
    <row r="4382" spans="1:13" ht="15" customHeight="1" x14ac:dyDescent="0.2">
      <c r="B4382" s="10" t="s">
        <v>892</v>
      </c>
      <c r="C4382" s="10" t="s">
        <v>199</v>
      </c>
      <c r="D4382" s="28">
        <f>(D4381+D4380)*Inputs!$D$12</f>
        <v>175.75</v>
      </c>
      <c r="E4382" s="28">
        <f>(E4381+E4380)*Inputs!$D$12</f>
        <v>478.5</v>
      </c>
      <c r="F4382" s="28">
        <f>(F4381+F4380)*Inputs!$D$12</f>
        <v>781.25</v>
      </c>
      <c r="G4382" s="28">
        <f>(G4381+G4380)*Inputs!$D$12</f>
        <v>911</v>
      </c>
      <c r="H4382" s="28">
        <f>(H4381+H4380)*Inputs!$D$12</f>
        <v>911</v>
      </c>
      <c r="I4382" s="28">
        <f>(I4381+I4380)*Inputs!$D$12</f>
        <v>911</v>
      </c>
      <c r="J4382" s="28">
        <f>(J4381+J4380)*Inputs!$D$12</f>
        <v>911</v>
      </c>
      <c r="K4382" s="28">
        <f>(K4381+K4380)*Inputs!$D$12</f>
        <v>911</v>
      </c>
      <c r="L4382" s="28">
        <f>(L4381+L4380)*Inputs!$D$12</f>
        <v>911</v>
      </c>
      <c r="M4382" s="28">
        <f>(M4381+M4380)*Inputs!$D$12</f>
        <v>911</v>
      </c>
    </row>
    <row r="4383" spans="1:13" ht="15" customHeight="1" x14ac:dyDescent="0.2">
      <c r="B4383" s="10" t="s">
        <v>893</v>
      </c>
      <c r="C4383" s="10" t="s">
        <v>199</v>
      </c>
      <c r="D4383" s="28">
        <f t="shared" ref="D4383:M4383" si="951">D4380-D4381</f>
        <v>259.5</v>
      </c>
      <c r="E4383" s="28">
        <f t="shared" si="951"/>
        <v>346</v>
      </c>
      <c r="F4383" s="28">
        <f t="shared" si="951"/>
        <v>259.5</v>
      </c>
      <c r="G4383" s="28">
        <f t="shared" si="951"/>
        <v>0</v>
      </c>
      <c r="H4383" s="28">
        <f t="shared" si="951"/>
        <v>0</v>
      </c>
      <c r="I4383" s="28">
        <f t="shared" si="951"/>
        <v>0</v>
      </c>
      <c r="J4383" s="28">
        <f t="shared" si="951"/>
        <v>0</v>
      </c>
      <c r="K4383" s="28">
        <f t="shared" si="951"/>
        <v>0</v>
      </c>
      <c r="L4383" s="28">
        <f t="shared" si="951"/>
        <v>0</v>
      </c>
      <c r="M4383" s="28">
        <f t="shared" si="951"/>
        <v>0</v>
      </c>
    </row>
    <row r="4384" spans="1:13" ht="15" customHeight="1" x14ac:dyDescent="0.2">
      <c r="B4384" s="10" t="s">
        <v>894</v>
      </c>
      <c r="C4384" s="10" t="s">
        <v>199</v>
      </c>
      <c r="D4384" s="28">
        <f>IF(MOD(D4376,Inputs!$D$21)=Inputs!$D$6,Inputs!$D$24,Inputs!$D$6)+SUMPRODUCT(--(D4376&gt;$D$4376:$M$4376),--(MOD(D4376-$D$4376:$M$4376,Inputs!$D$21)=Inputs!$D$6),$D$4383:$M$4383)</f>
        <v>0</v>
      </c>
      <c r="E4384" s="28">
        <f>IF(MOD(E4376,Inputs!$D$21)=Inputs!$D$6,Inputs!$D$24,Inputs!$D$6)+SUMPRODUCT(--(E4376&gt;$D$4376:$M$4376),--(MOD(E4376-$D$4376:$M$4376,Inputs!$D$21)=Inputs!$D$6),$D$4383:$M$4383)</f>
        <v>0</v>
      </c>
      <c r="F4384" s="28">
        <f>IF(MOD(F4376,Inputs!$D$21)=Inputs!$D$6,Inputs!$D$24,Inputs!$D$6)+SUMPRODUCT(--(F4376&gt;$D$4376:$M$4376),--(MOD(F4376-$D$4376:$M$4376,Inputs!$D$21)=Inputs!$D$6),$D$4383:$M$4383)</f>
        <v>0</v>
      </c>
      <c r="G4384" s="28">
        <f>IF(MOD(G4376,Inputs!$D$21)=Inputs!$D$6,Inputs!$D$24,Inputs!$D$6)+SUMPRODUCT(--(G4376&gt;$D$4376:$M$4376),--(MOD(G4376-$D$4376:$M$4376,Inputs!$D$21)=Inputs!$D$6),$D$4383:$M$4383)</f>
        <v>46</v>
      </c>
      <c r="H4384" s="28">
        <f>IF(MOD(H4376,Inputs!$D$21)=Inputs!$D$6,Inputs!$D$24,Inputs!$D$6)+SUMPRODUCT(--(H4376&gt;$D$4376:$M$4376),--(MOD(H4376-$D$4376:$M$4376,Inputs!$D$21)=Inputs!$D$6),$D$4383:$M$4383)</f>
        <v>259.5</v>
      </c>
      <c r="I4384" s="28">
        <f>IF(MOD(I4376,Inputs!$D$21)=Inputs!$D$6,Inputs!$D$24,Inputs!$D$6)+SUMPRODUCT(--(I4376&gt;$D$4376:$M$4376),--(MOD(I4376-$D$4376:$M$4376,Inputs!$D$21)=Inputs!$D$6),$D$4383:$M$4383)</f>
        <v>346</v>
      </c>
      <c r="J4384" s="28">
        <f>IF(MOD(J4376,Inputs!$D$21)=Inputs!$D$6,Inputs!$D$24,Inputs!$D$6)+SUMPRODUCT(--(J4376&gt;$D$4376:$M$4376),--(MOD(J4376-$D$4376:$M$4376,Inputs!$D$21)=Inputs!$D$6),$D$4383:$M$4383)</f>
        <v>259.5</v>
      </c>
      <c r="K4384" s="28">
        <f>IF(MOD(K4376,Inputs!$D$21)=Inputs!$D$6,Inputs!$D$24,Inputs!$D$6)+SUMPRODUCT(--(K4376&gt;$D$4376:$M$4376),--(MOD(K4376-$D$4376:$M$4376,Inputs!$D$21)=Inputs!$D$6),$D$4383:$M$4383)</f>
        <v>46</v>
      </c>
      <c r="L4384" s="28">
        <f>IF(MOD(L4376,Inputs!$D$21)=Inputs!$D$6,Inputs!$D$24,Inputs!$D$6)+SUMPRODUCT(--(L4376&gt;$D$4376:$M$4376),--(MOD(L4376-$D$4376:$M$4376,Inputs!$D$21)=Inputs!$D$6),$D$4383:$M$4383)</f>
        <v>259.5</v>
      </c>
      <c r="M4384" s="28">
        <f>IF(MOD(M4376,Inputs!$D$21)=Inputs!$D$6,Inputs!$D$24,Inputs!$D$6)+SUMPRODUCT(--(M4376&gt;$D$4376:$M$4376),--(MOD(M4376-$D$4376:$M$4376,Inputs!$D$21)=Inputs!$D$6),$D$4383:$M$4383)</f>
        <v>346</v>
      </c>
    </row>
    <row r="4385" spans="2:13" ht="15" customHeight="1" x14ac:dyDescent="0.2">
      <c r="B4385" s="10" t="s">
        <v>895</v>
      </c>
      <c r="C4385" s="10" t="s">
        <v>896</v>
      </c>
      <c r="D4385" s="28">
        <f t="shared" ref="D4385:M4385" si="952">D4382*D4379</f>
        <v>125.58726899383984</v>
      </c>
      <c r="E4385" s="28">
        <f t="shared" si="952"/>
        <v>478.5</v>
      </c>
      <c r="F4385" s="28">
        <f t="shared" si="952"/>
        <v>781.25</v>
      </c>
      <c r="G4385" s="28">
        <f t="shared" si="952"/>
        <v>911</v>
      </c>
      <c r="H4385" s="28">
        <f t="shared" si="952"/>
        <v>911</v>
      </c>
      <c r="I4385" s="28">
        <f t="shared" si="952"/>
        <v>911</v>
      </c>
      <c r="J4385" s="28">
        <f t="shared" si="952"/>
        <v>911</v>
      </c>
      <c r="K4385" s="28">
        <f t="shared" si="952"/>
        <v>911</v>
      </c>
      <c r="L4385" s="28">
        <f t="shared" si="952"/>
        <v>911</v>
      </c>
      <c r="M4385" s="28">
        <f t="shared" si="952"/>
        <v>911</v>
      </c>
    </row>
    <row r="4386" spans="2:13" ht="15" customHeight="1" x14ac:dyDescent="0.2">
      <c r="B4386" s="10" t="s">
        <v>897</v>
      </c>
      <c r="C4386" s="10" t="s">
        <v>110</v>
      </c>
      <c r="D4386" s="16">
        <f>D4385*($D$4405/Inputs!$D$21+$D$4406/Inputs!$D$22)</f>
        <v>1816.9772859324419</v>
      </c>
      <c r="E4386" s="16">
        <f>E4385*($D$4405/Inputs!$D$21+$D$4406/Inputs!$D$22)</f>
        <v>6922.8643817497086</v>
      </c>
      <c r="F4386" s="16">
        <f>F4385*($D$4405/Inputs!$D$21+$D$4406/Inputs!$D$22)</f>
        <v>11303.0048030135</v>
      </c>
      <c r="G4386" s="16">
        <f>G4385*($D$4405/Inputs!$D$21+$D$4406/Inputs!$D$22)</f>
        <v>13180.207840697982</v>
      </c>
      <c r="H4386" s="16">
        <f>H4385*($D$4405/Inputs!$D$21+$D$4406/Inputs!$D$22)</f>
        <v>13180.207840697982</v>
      </c>
      <c r="I4386" s="16">
        <f>I4385*($D$4405/Inputs!$D$21+$D$4406/Inputs!$D$22)</f>
        <v>13180.207840697982</v>
      </c>
      <c r="J4386" s="16">
        <f>J4385*($D$4405/Inputs!$D$21+$D$4406/Inputs!$D$22)</f>
        <v>13180.207840697982</v>
      </c>
      <c r="K4386" s="16">
        <f>K4385*($D$4405/Inputs!$D$21+$D$4406/Inputs!$D$22)</f>
        <v>13180.207840697982</v>
      </c>
      <c r="L4386" s="16">
        <f>L4385*($D$4405/Inputs!$D$21+$D$4406/Inputs!$D$22)</f>
        <v>13180.207840697982</v>
      </c>
      <c r="M4386" s="16">
        <f>M4385*($D$4405/Inputs!$D$21+$D$4406/Inputs!$D$22)</f>
        <v>13180.207840697982</v>
      </c>
    </row>
    <row r="4387" spans="2:13" ht="15" customHeight="1" x14ac:dyDescent="0.2">
      <c r="B4387" s="10" t="s">
        <v>898</v>
      </c>
      <c r="C4387" s="10" t="s">
        <v>110</v>
      </c>
      <c r="D4387" s="16">
        <f t="shared" ref="D4387:M4387" si="953">D4383*($D$4405+$D$4406)</f>
        <v>15560.968620146154</v>
      </c>
      <c r="E4387" s="16">
        <f t="shared" si="953"/>
        <v>20747.95816019487</v>
      </c>
      <c r="F4387" s="16">
        <f t="shared" si="953"/>
        <v>15560.968620146154</v>
      </c>
      <c r="G4387" s="16">
        <f t="shared" si="953"/>
        <v>0</v>
      </c>
      <c r="H4387" s="16">
        <f t="shared" si="953"/>
        <v>0</v>
      </c>
      <c r="I4387" s="16">
        <f t="shared" si="953"/>
        <v>0</v>
      </c>
      <c r="J4387" s="16">
        <f t="shared" si="953"/>
        <v>0</v>
      </c>
      <c r="K4387" s="16">
        <f t="shared" si="953"/>
        <v>0</v>
      </c>
      <c r="L4387" s="16">
        <f t="shared" si="953"/>
        <v>0</v>
      </c>
      <c r="M4387" s="16">
        <f t="shared" si="953"/>
        <v>0</v>
      </c>
    </row>
    <row r="4388" spans="2:13" ht="15" customHeight="1" x14ac:dyDescent="0.2">
      <c r="B4388" s="10" t="s">
        <v>899</v>
      </c>
      <c r="C4388" s="10" t="s">
        <v>110</v>
      </c>
      <c r="D4388" s="16">
        <f t="shared" ref="D4388:M4388" si="954">D4384*$D$4405</f>
        <v>0</v>
      </c>
      <c r="E4388" s="16">
        <f t="shared" si="954"/>
        <v>0</v>
      </c>
      <c r="F4388" s="16">
        <f t="shared" si="954"/>
        <v>0</v>
      </c>
      <c r="G4388" s="16">
        <f t="shared" si="954"/>
        <v>2638.0048485671714</v>
      </c>
      <c r="H4388" s="16">
        <f t="shared" si="954"/>
        <v>14881.788221808281</v>
      </c>
      <c r="I4388" s="16">
        <f t="shared" si="954"/>
        <v>19842.384295744378</v>
      </c>
      <c r="J4388" s="16">
        <f t="shared" si="954"/>
        <v>14881.788221808281</v>
      </c>
      <c r="K4388" s="16">
        <f t="shared" si="954"/>
        <v>2638.0048485671714</v>
      </c>
      <c r="L4388" s="16">
        <f t="shared" si="954"/>
        <v>14881.788221808281</v>
      </c>
      <c r="M4388" s="16">
        <f t="shared" si="954"/>
        <v>19842.384295744378</v>
      </c>
    </row>
    <row r="4389" spans="2:13" ht="15" customHeight="1" x14ac:dyDescent="0.2">
      <c r="B4389" s="10" t="s">
        <v>900</v>
      </c>
      <c r="C4389" s="10" t="s">
        <v>199</v>
      </c>
      <c r="D4389" s="28">
        <f>D4383*Inputs!$D$23</f>
        <v>6.4875000000000007</v>
      </c>
      <c r="E4389" s="28">
        <f>E4383*Inputs!$D$23</f>
        <v>8.65</v>
      </c>
      <c r="F4389" s="28">
        <f>F4383*Inputs!$D$23</f>
        <v>6.4875000000000007</v>
      </c>
      <c r="G4389" s="28">
        <f>G4383*Inputs!$D$23</f>
        <v>0</v>
      </c>
      <c r="H4389" s="28">
        <f>H4383*Inputs!$D$23</f>
        <v>0</v>
      </c>
      <c r="I4389" s="28">
        <f>I4383*Inputs!$D$23</f>
        <v>0</v>
      </c>
      <c r="J4389" s="28">
        <f>J4383*Inputs!$D$23</f>
        <v>0</v>
      </c>
      <c r="K4389" s="28">
        <f>K4383*Inputs!$D$23</f>
        <v>0</v>
      </c>
      <c r="L4389" s="28">
        <f>L4383*Inputs!$D$23</f>
        <v>0</v>
      </c>
      <c r="M4389" s="28">
        <f>M4383*Inputs!$D$23</f>
        <v>0</v>
      </c>
    </row>
    <row r="4390" spans="2:13" ht="15" customHeight="1" x14ac:dyDescent="0.2">
      <c r="B4390" s="3" t="s">
        <v>901</v>
      </c>
      <c r="C4390" s="10" t="s">
        <v>896</v>
      </c>
      <c r="D4390" s="28">
        <f>(D4385*$D$4403*(Inputs!$D$7-Inputs!$D$19)-D4389)/(Inputs!$D$7+$D$4404)^D4378</f>
        <v>66.941093664025175</v>
      </c>
      <c r="E4390" s="28">
        <f>(E4385*$D$4403*(Inputs!$D$7-Inputs!$D$19)-E4389)/(Inputs!$D$7+$D$4404)^E4378</f>
        <v>236.50134886069964</v>
      </c>
      <c r="F4390" s="28">
        <f>(F4385*$D$4403*(Inputs!$D$7-Inputs!$D$19)-F4389)/(Inputs!$D$7+$D$4404)^F4378</f>
        <v>344.09638613757659</v>
      </c>
      <c r="G4390" s="28">
        <f>(G4385*$D$4403*(Inputs!$D$7-Inputs!$D$19)-G4389)/(Inputs!$D$7+$D$4404)^G4378</f>
        <v>356.64923033671215</v>
      </c>
      <c r="H4390" s="28">
        <f>(H4385*$D$4403*(Inputs!$D$7-Inputs!$D$19)-H4389)/(Inputs!$D$7+$D$4404)^H4378</f>
        <v>312.87826095227666</v>
      </c>
      <c r="I4390" s="28">
        <f>(I4385*$D$4403*(Inputs!$D$7-Inputs!$D$19)-I4389)/(Inputs!$D$7+$D$4404)^I4378</f>
        <v>274.38078227493429</v>
      </c>
      <c r="J4390" s="28">
        <f>(J4385*$D$4403*(Inputs!$D$7-Inputs!$D$19)-J4389)/(Inputs!$D$7+$D$4404)^J4378</f>
        <v>240.70648327449891</v>
      </c>
      <c r="K4390" s="28">
        <f>(K4385*$D$4403*(Inputs!$D$7-Inputs!$D$19)-K4389)/(Inputs!$D$7+$D$4404)^K4378</f>
        <v>211.16497522162516</v>
      </c>
      <c r="L4390" s="28">
        <f>(L4385*$D$4403*(Inputs!$D$7-Inputs!$D$19)-L4389)/(Inputs!$D$7+$D$4404)^L4378</f>
        <v>185.24904752772656</v>
      </c>
      <c r="M4390" s="28">
        <f>(M4385*$D$4403*(Inputs!$D$7-Inputs!$D$19)-M4389)/(Inputs!$D$7+$D$4404)^M4378</f>
        <v>162.45544967439267</v>
      </c>
    </row>
    <row r="4391" spans="2:13" ht="15" customHeight="1" x14ac:dyDescent="0.2">
      <c r="B4391" s="10" t="s">
        <v>902</v>
      </c>
      <c r="C4391" s="10" t="s">
        <v>110</v>
      </c>
      <c r="D4391" s="16">
        <f>(D4386*Inputs!$D$19-D4387-D4388)/(Inputs!$D$7+$D$4404)^D4378</f>
        <v>-13673.750208995338</v>
      </c>
      <c r="E4391" s="16">
        <f>(E4386*Inputs!$D$19-E4387-E4388)/(Inputs!$D$7+$D$4404)^E4378</f>
        <v>-14910.258198718562</v>
      </c>
      <c r="F4391" s="16">
        <f>(F4386*Inputs!$D$19-F4387-F4388)/(Inputs!$D$7+$D$4404)^F4378</f>
        <v>-8525.9417164238148</v>
      </c>
      <c r="G4391" s="16">
        <f>(G4386*Inputs!$D$19-G4387-G4388)/(Inputs!$D$7+$D$4404)^G4378</f>
        <v>808.83204192410847</v>
      </c>
      <c r="H4391" s="16">
        <f>(H4386*Inputs!$D$19-H4387-H4388)/(Inputs!$D$7+$D$4404)^H4378</f>
        <v>-5891.7915280072548</v>
      </c>
      <c r="I4391" s="16">
        <f>(I4386*Inputs!$D$19-I4387-I4388)/(Inputs!$D$7+$D$4404)^I4378</f>
        <v>-7512.3171078465948</v>
      </c>
      <c r="J4391" s="16">
        <f>(J4386*Inputs!$D$19-J4387-J4388)/(Inputs!$D$7+$D$4404)^J4378</f>
        <v>-4532.7291662153211</v>
      </c>
      <c r="K4391" s="16">
        <f>(K4386*Inputs!$D$19-K4387-K4388)/(Inputs!$D$7+$D$4404)^K4378</f>
        <v>478.89349972832292</v>
      </c>
      <c r="L4391" s="16">
        <f>(L4386*Inputs!$D$19-L4387-L4388)/(Inputs!$D$7+$D$4404)^L4378</f>
        <v>-3488.413562109869</v>
      </c>
      <c r="M4391" s="16">
        <f>(M4386*Inputs!$D$19-M4387-M4388)/(Inputs!$D$7+$D$4404)^M4378</f>
        <v>-4447.8947969066312</v>
      </c>
    </row>
    <row r="4392" spans="2:13" ht="15" customHeight="1" x14ac:dyDescent="0.2">
      <c r="B4392" s="10" t="s">
        <v>903</v>
      </c>
      <c r="C4392" s="10" t="s">
        <v>110</v>
      </c>
      <c r="D4392" s="16">
        <f t="shared" ref="D4392:M4392" si="955">D4385*$D$4402</f>
        <v>3596.2217319351321</v>
      </c>
      <c r="E4392" s="16">
        <f t="shared" si="955"/>
        <v>13701.962886185278</v>
      </c>
      <c r="F4392" s="16">
        <f t="shared" si="955"/>
        <v>22371.282141760184</v>
      </c>
      <c r="G4392" s="16">
        <f t="shared" si="955"/>
        <v>26086.704679863717</v>
      </c>
      <c r="H4392" s="16">
        <f t="shared" si="955"/>
        <v>26086.704679863717</v>
      </c>
      <c r="I4392" s="16">
        <f t="shared" si="955"/>
        <v>26086.704679863717</v>
      </c>
      <c r="J4392" s="16">
        <f t="shared" si="955"/>
        <v>26086.704679863717</v>
      </c>
      <c r="K4392" s="16">
        <f t="shared" si="955"/>
        <v>26086.704679863717</v>
      </c>
      <c r="L4392" s="16">
        <f t="shared" si="955"/>
        <v>26086.704679863717</v>
      </c>
      <c r="M4392" s="16">
        <f t="shared" si="955"/>
        <v>26086.704679863717</v>
      </c>
    </row>
    <row r="4393" spans="2:13" ht="15" customHeight="1" x14ac:dyDescent="0.2">
      <c r="B4393" s="10" t="s">
        <v>904</v>
      </c>
      <c r="C4393" s="10" t="s">
        <v>110</v>
      </c>
      <c r="D4393" s="16">
        <f t="shared" ref="D4393:M4393" si="956">D4392*$D$4403</f>
        <v>3272.5617760609703</v>
      </c>
      <c r="E4393" s="16">
        <f t="shared" si="956"/>
        <v>12468.786226428603</v>
      </c>
      <c r="F4393" s="16">
        <f t="shared" si="956"/>
        <v>20357.866749001769</v>
      </c>
      <c r="G4393" s="16">
        <f t="shared" si="956"/>
        <v>23738.901258675982</v>
      </c>
      <c r="H4393" s="16">
        <f t="shared" si="956"/>
        <v>23738.901258675982</v>
      </c>
      <c r="I4393" s="16">
        <f t="shared" si="956"/>
        <v>23738.901258675982</v>
      </c>
      <c r="J4393" s="16">
        <f t="shared" si="956"/>
        <v>23738.901258675982</v>
      </c>
      <c r="K4393" s="16">
        <f t="shared" si="956"/>
        <v>23738.901258675982</v>
      </c>
      <c r="L4393" s="16">
        <f t="shared" si="956"/>
        <v>23738.901258675982</v>
      </c>
      <c r="M4393" s="16">
        <f t="shared" si="956"/>
        <v>23738.901258675982</v>
      </c>
    </row>
    <row r="4394" spans="2:13" ht="15" customHeight="1" x14ac:dyDescent="0.2">
      <c r="B4394" s="10" t="s">
        <v>905</v>
      </c>
      <c r="C4394" s="10" t="s">
        <v>110</v>
      </c>
      <c r="D4394" s="16">
        <f t="shared" ref="D4394:M4394" si="957">D4393-D4386</f>
        <v>1455.5844901285284</v>
      </c>
      <c r="E4394" s="16">
        <f t="shared" si="957"/>
        <v>5545.9218446788946</v>
      </c>
      <c r="F4394" s="16">
        <f t="shared" si="957"/>
        <v>9054.8619459882684</v>
      </c>
      <c r="G4394" s="16">
        <f t="shared" si="957"/>
        <v>10558.693417978</v>
      </c>
      <c r="H4394" s="16">
        <f t="shared" si="957"/>
        <v>10558.693417978</v>
      </c>
      <c r="I4394" s="16">
        <f t="shared" si="957"/>
        <v>10558.693417978</v>
      </c>
      <c r="J4394" s="16">
        <f t="shared" si="957"/>
        <v>10558.693417978</v>
      </c>
      <c r="K4394" s="16">
        <f t="shared" si="957"/>
        <v>10558.693417978</v>
      </c>
      <c r="L4394" s="16">
        <f t="shared" si="957"/>
        <v>10558.693417978</v>
      </c>
      <c r="M4394" s="16">
        <f t="shared" si="957"/>
        <v>10558.693417978</v>
      </c>
    </row>
    <row r="4395" spans="2:13" ht="15" customHeight="1" x14ac:dyDescent="0.2">
      <c r="B4395" s="10" t="s">
        <v>906</v>
      </c>
      <c r="C4395" s="10" t="s">
        <v>110</v>
      </c>
      <c r="D4395" s="16">
        <f>MAX(D4394,Inputs!$D$6)*Inputs!$D$19</f>
        <v>436.67534703855853</v>
      </c>
      <c r="E4395" s="16">
        <f>MAX(E4394,Inputs!$D$6)*Inputs!$D$19</f>
        <v>1663.7765534036682</v>
      </c>
      <c r="F4395" s="16">
        <f>MAX(F4394,Inputs!$D$6)*Inputs!$D$19</f>
        <v>2716.4585837964805</v>
      </c>
      <c r="G4395" s="16">
        <f>MAX(G4394,Inputs!$D$6)*Inputs!$D$19</f>
        <v>3167.6080253934001</v>
      </c>
      <c r="H4395" s="16">
        <f>MAX(H4394,Inputs!$D$6)*Inputs!$D$19</f>
        <v>3167.6080253934001</v>
      </c>
      <c r="I4395" s="16">
        <f>MAX(I4394,Inputs!$D$6)*Inputs!$D$19</f>
        <v>3167.6080253934001</v>
      </c>
      <c r="J4395" s="16">
        <f>MAX(J4394,Inputs!$D$6)*Inputs!$D$19</f>
        <v>3167.6080253934001</v>
      </c>
      <c r="K4395" s="16">
        <f>MAX(K4394,Inputs!$D$6)*Inputs!$D$19</f>
        <v>3167.6080253934001</v>
      </c>
      <c r="L4395" s="16">
        <f>MAX(L4394,Inputs!$D$6)*Inputs!$D$19</f>
        <v>3167.6080253934001</v>
      </c>
      <c r="M4395" s="16">
        <f>MAX(M4394,Inputs!$D$6)*Inputs!$D$19</f>
        <v>3167.6080253934001</v>
      </c>
    </row>
    <row r="4396" spans="2:13" ht="15" customHeight="1" x14ac:dyDescent="0.2">
      <c r="B4396" s="10" t="s">
        <v>907</v>
      </c>
      <c r="C4396" s="10" t="s">
        <v>110</v>
      </c>
      <c r="D4396" s="16">
        <f t="shared" ref="D4396:M4396" si="958">D4389*$D$4402</f>
        <v>185.7711269051766</v>
      </c>
      <c r="E4396" s="16">
        <f t="shared" si="958"/>
        <v>247.69483587356876</v>
      </c>
      <c r="F4396" s="16">
        <f t="shared" si="958"/>
        <v>185.7711269051766</v>
      </c>
      <c r="G4396" s="16">
        <f t="shared" si="958"/>
        <v>0</v>
      </c>
      <c r="H4396" s="16">
        <f t="shared" si="958"/>
        <v>0</v>
      </c>
      <c r="I4396" s="16">
        <f t="shared" si="958"/>
        <v>0</v>
      </c>
      <c r="J4396" s="16">
        <f t="shared" si="958"/>
        <v>0</v>
      </c>
      <c r="K4396" s="16">
        <f t="shared" si="958"/>
        <v>0</v>
      </c>
      <c r="L4396" s="16">
        <f t="shared" si="958"/>
        <v>0</v>
      </c>
      <c r="M4396" s="16">
        <f t="shared" si="958"/>
        <v>0</v>
      </c>
    </row>
    <row r="4397" spans="2:13" ht="15" customHeight="1" x14ac:dyDescent="0.2">
      <c r="B4397" s="10" t="s">
        <v>908</v>
      </c>
      <c r="C4397" s="10" t="s">
        <v>110</v>
      </c>
      <c r="D4397" s="16">
        <f t="shared" ref="D4397:M4397" si="959">D4393-D4395-D4387-D4388-D4396</f>
        <v>-12910.853318028918</v>
      </c>
      <c r="E4397" s="16">
        <f t="shared" si="959"/>
        <v>-10190.643323043503</v>
      </c>
      <c r="F4397" s="16">
        <f t="shared" si="959"/>
        <v>1894.6684181539581</v>
      </c>
      <c r="G4397" s="16">
        <f t="shared" si="959"/>
        <v>17933.288384715408</v>
      </c>
      <c r="H4397" s="16">
        <f t="shared" si="959"/>
        <v>5689.505011474299</v>
      </c>
      <c r="I4397" s="16">
        <f t="shared" si="959"/>
        <v>728.90893753820274</v>
      </c>
      <c r="J4397" s="16">
        <f t="shared" si="959"/>
        <v>5689.505011474299</v>
      </c>
      <c r="K4397" s="16">
        <f t="shared" si="959"/>
        <v>17933.288384715408</v>
      </c>
      <c r="L4397" s="16">
        <f t="shared" si="959"/>
        <v>5689.505011474299</v>
      </c>
      <c r="M4397" s="16">
        <f t="shared" si="959"/>
        <v>728.90893753820274</v>
      </c>
    </row>
    <row r="4398" spans="2:13" ht="15" customHeight="1" x14ac:dyDescent="0.2">
      <c r="B4398" s="10" t="s">
        <v>909</v>
      </c>
      <c r="C4398" s="10" t="s">
        <v>110</v>
      </c>
      <c r="D4398" s="16">
        <f>D4397/(Inputs!$D$7+$D$4404)^D4378</f>
        <v>-11756.875849653383</v>
      </c>
      <c r="E4398" s="16">
        <f>E4397/(Inputs!$D$7+$D$4404)^E4378</f>
        <v>-8137.98504381352</v>
      </c>
      <c r="F4398" s="16">
        <f>F4397/(Inputs!$D$7+$D$4404)^F4378</f>
        <v>1327.3412765282317</v>
      </c>
      <c r="G4398" s="16">
        <f>G4397/(Inputs!$D$7+$D$4404)^G4378</f>
        <v>11021.56875552949</v>
      </c>
      <c r="H4398" s="16">
        <f>H4397/(Inputs!$D$7+$D$4404)^H4378</f>
        <v>3067.5529222796586</v>
      </c>
      <c r="I4398" s="16">
        <f>I4397/(Inputs!$D$7+$D$4404)^I4378</f>
        <v>344.64275717667255</v>
      </c>
      <c r="J4398" s="16">
        <f>J4397/(Inputs!$D$7+$D$4404)^J4378</f>
        <v>2359.9590266610885</v>
      </c>
      <c r="K4398" s="16">
        <f>K4397/(Inputs!$D$7+$D$4404)^K4378</f>
        <v>6525.6534858285149</v>
      </c>
      <c r="L4398" s="16">
        <f>L4397/(Inputs!$D$7+$D$4404)^L4378</f>
        <v>1816.2375850710762</v>
      </c>
      <c r="M4398" s="16">
        <f>M4397/(Inputs!$D$7+$D$4404)^M4378</f>
        <v>204.05617926279115</v>
      </c>
    </row>
    <row r="4399" spans="2:13" ht="15" customHeight="1" x14ac:dyDescent="0.2">
      <c r="B4399" s="3" t="s">
        <v>910</v>
      </c>
      <c r="C4399" s="10" t="s">
        <v>896</v>
      </c>
      <c r="D4399" s="28">
        <f>(D4385*$D$4403-D4389)/(Inputs!$D$7+$D$4404)^D4378</f>
        <v>98.161981464543032</v>
      </c>
      <c r="E4399" s="28">
        <f>(E4385*$D$4403-E4389)/(Inputs!$D$7+$D$4404)^E4378</f>
        <v>340.81949851686772</v>
      </c>
      <c r="F4399" s="28">
        <f>(F4385*$D$4403-F4389)/(Inputs!$D$7+$D$4404)^F4378</f>
        <v>493.51409106262543</v>
      </c>
      <c r="G4399" s="28">
        <f>(G4385*$D$4403-G4389)/(Inputs!$D$7+$D$4404)^G4378</f>
        <v>509.49890048101742</v>
      </c>
      <c r="H4399" s="28">
        <f>(H4385*$D$4403-H4389)/(Inputs!$D$7+$D$4404)^H4378</f>
        <v>446.96894421753819</v>
      </c>
      <c r="I4399" s="28">
        <f>(I4385*$D$4403-I4389)/(Inputs!$D$7+$D$4404)^I4378</f>
        <v>391.97254610704903</v>
      </c>
      <c r="J4399" s="28">
        <f>(J4385*$D$4403-J4389)/(Inputs!$D$7+$D$4404)^J4378</f>
        <v>343.86640467785566</v>
      </c>
      <c r="K4399" s="28">
        <f>(K4385*$D$4403-K4389)/(Inputs!$D$7+$D$4404)^K4378</f>
        <v>301.66425031660742</v>
      </c>
      <c r="L4399" s="28">
        <f>(L4385*$D$4403-L4389)/(Inputs!$D$7+$D$4404)^L4378</f>
        <v>264.64149646818083</v>
      </c>
      <c r="M4399" s="28">
        <f>(M4385*$D$4403-M4389)/(Inputs!$D$7+$D$4404)^M4378</f>
        <v>232.07921382056099</v>
      </c>
    </row>
    <row r="4400" spans="2:13" ht="15" customHeight="1" x14ac:dyDescent="0.2">
      <c r="B4400" s="10" t="s">
        <v>911</v>
      </c>
      <c r="C4400" s="10" t="s">
        <v>110</v>
      </c>
      <c r="D4400" s="16">
        <f>(-D4387-D4388)/(Inputs!$D$7+$D$4404)^D4378</f>
        <v>-14170.122737893587</v>
      </c>
      <c r="E4400" s="16">
        <f>(-E4387-E4388)/(Inputs!$D$7+$D$4404)^E4378</f>
        <v>-16568.784506031301</v>
      </c>
      <c r="F4400" s="16">
        <f>(-F4387-F4388)/(Inputs!$D$7+$D$4404)^F4378</f>
        <v>-10901.493767656277</v>
      </c>
      <c r="G4400" s="16">
        <f>(-G4387-G4388)/(Inputs!$D$7+$D$4404)^G4378</f>
        <v>-1621.2839046676961</v>
      </c>
      <c r="H4400" s="16">
        <f>(-H4387-H4388)/(Inputs!$D$7+$D$4404)^H4378</f>
        <v>-8023.6633690433682</v>
      </c>
      <c r="I4400" s="16">
        <f>(-I4387-I4388)/(Inputs!$D$7+$D$4404)^I4378</f>
        <v>-9381.8770500204446</v>
      </c>
      <c r="J4400" s="16">
        <f>(-J4387-J4388)/(Inputs!$D$7+$D$4404)^J4378</f>
        <v>-6172.8411129063252</v>
      </c>
      <c r="K4400" s="16">
        <f>(-K4387-K4388)/(Inputs!$D$7+$D$4404)^K4378</f>
        <v>-959.93022397147342</v>
      </c>
      <c r="L4400" s="16">
        <f>(-L4387-L4388)/(Inputs!$D$7+$D$4404)^L4378</f>
        <v>-4750.6528330682277</v>
      </c>
      <c r="M4400" s="16">
        <f>(-M4387-M4388)/(Inputs!$D$7+$D$4404)^M4378</f>
        <v>-5554.82436602912</v>
      </c>
    </row>
    <row r="4401" spans="2:13" ht="15" customHeight="1" x14ac:dyDescent="0.2">
      <c r="B4401" s="10" t="s">
        <v>912</v>
      </c>
      <c r="C4401" s="10" t="s">
        <v>110</v>
      </c>
      <c r="D4401" s="16">
        <f>Prices!I9</f>
        <v>21850</v>
      </c>
    </row>
    <row r="4402" spans="2:13" ht="15" customHeight="1" x14ac:dyDescent="0.2">
      <c r="B4402" s="3" t="s">
        <v>913</v>
      </c>
      <c r="C4402" s="10" t="s">
        <v>914</v>
      </c>
      <c r="D4402" s="28">
        <f>IF(J4409&gt;=J4405,J4409,(D4401-J4408)/J4407)</f>
        <v>28.635241141453037</v>
      </c>
      <c r="G4402" s="99" t="s">
        <v>915</v>
      </c>
      <c r="H4402" s="91"/>
      <c r="I4402" s="91"/>
      <c r="J4402" s="28">
        <f>D4402*Inputs!$D$15</f>
        <v>19.984534792620074</v>
      </c>
      <c r="K4402" s="99" t="s">
        <v>916</v>
      </c>
      <c r="L4402" s="91"/>
      <c r="M4402" s="91"/>
    </row>
    <row r="4403" spans="2:13" ht="15" customHeight="1" x14ac:dyDescent="0.2">
      <c r="B4403" s="10" t="s">
        <v>917</v>
      </c>
      <c r="C4403" s="10" t="s">
        <v>104</v>
      </c>
      <c r="D4403" s="30">
        <f>Inputs!$D$145</f>
        <v>0.91</v>
      </c>
      <c r="G4403" s="99" t="s">
        <v>918</v>
      </c>
      <c r="H4403" s="91"/>
      <c r="I4403" s="91"/>
      <c r="J4403" s="28">
        <f>IF(-D4414/D4413&gt;=J4405,-D4414/D4413,-J4408/J4407)</f>
        <v>22.941592530423179</v>
      </c>
      <c r="K4403" s="99" t="s">
        <v>919</v>
      </c>
      <c r="L4403" s="91"/>
      <c r="M4403" s="91"/>
    </row>
    <row r="4404" spans="2:13" ht="15" customHeight="1" x14ac:dyDescent="0.2">
      <c r="B4404" s="10" t="s">
        <v>920</v>
      </c>
      <c r="C4404" s="10" t="s">
        <v>104</v>
      </c>
      <c r="D4404" s="30">
        <f>Inputs!$D$149</f>
        <v>0.14000000000000001</v>
      </c>
      <c r="G4404" s="99" t="s">
        <v>918</v>
      </c>
      <c r="H4404" s="91"/>
      <c r="I4404" s="91"/>
      <c r="J4404" s="28">
        <f>J4403*Inputs!$D$15</f>
        <v>16.010937426982338</v>
      </c>
      <c r="K4404" s="99" t="s">
        <v>916</v>
      </c>
      <c r="L4404" s="91"/>
      <c r="M4404" s="91"/>
    </row>
    <row r="4405" spans="2:13" ht="15" customHeight="1" x14ac:dyDescent="0.2">
      <c r="B4405" s="3" t="s">
        <v>921</v>
      </c>
      <c r="C4405" s="10" t="s">
        <v>848</v>
      </c>
      <c r="D4405" s="28">
        <f>Capital!$D$13</f>
        <v>57.347931490590682</v>
      </c>
      <c r="G4405" s="99" t="s">
        <v>922</v>
      </c>
      <c r="H4405" s="91"/>
      <c r="I4405" s="91"/>
      <c r="J4405" s="28">
        <f>($D$4405/Inputs!$D$21+$D$4406/Inputs!$D$22)/$D$4403</f>
        <v>15.898732030612395</v>
      </c>
      <c r="K4405" s="99" t="s">
        <v>919</v>
      </c>
      <c r="L4405" s="91"/>
      <c r="M4405" s="91"/>
    </row>
    <row r="4406" spans="2:13" ht="15" customHeight="1" x14ac:dyDescent="0.2">
      <c r="B4406" s="3" t="s">
        <v>923</v>
      </c>
      <c r="C4406" s="10" t="s">
        <v>848</v>
      </c>
      <c r="D4406" s="28">
        <f>Capital!$D$14</f>
        <v>2.6172655041921802</v>
      </c>
    </row>
    <row r="4407" spans="2:13" ht="15" customHeight="1" x14ac:dyDescent="0.2">
      <c r="B4407" s="10" t="s">
        <v>924</v>
      </c>
      <c r="C4407" s="10" t="s">
        <v>896</v>
      </c>
      <c r="D4407" s="28">
        <f>(M4380*(Inputs!$D$7+Inputs!$D$20)*$D$4403*(Inputs!$D$7-Inputs!$D$19)-M4380*Inputs!$D$20*Inputs!$D$23)/($D$4404-Inputs!$D$20)/(Inputs!$D$7+$D$4404)^M4378</f>
        <v>1446.5864421896979</v>
      </c>
      <c r="G4407" s="92" t="s">
        <v>910</v>
      </c>
      <c r="H4407" s="91"/>
      <c r="I4407" s="91"/>
      <c r="J4407" s="28">
        <f>SUM(D4399:M4399)+(M4380*(Inputs!$D$7+Inputs!$D$20)*$D$4403-M4380*Inputs!$D$20*Inputs!$D$23)/($D$4404-Inputs!$D$20)/(Inputs!$D$7+$D$4404)^M4378</f>
        <v>5490.3334062775211</v>
      </c>
      <c r="K4407" s="99" t="s">
        <v>896</v>
      </c>
      <c r="L4407" s="91"/>
      <c r="M4407" s="91"/>
    </row>
    <row r="4408" spans="2:13" ht="15" customHeight="1" x14ac:dyDescent="0.2">
      <c r="B4408" s="10" t="s">
        <v>925</v>
      </c>
      <c r="C4408" s="10" t="s">
        <v>110</v>
      </c>
      <c r="D4408" s="16">
        <f>(D4411*Inputs!$D$19-D4411-D4412)/($D$4404-Inputs!$D$20)/(Inputs!$D$7+$D$4404)^M4378</f>
        <v>-26345.502698929216</v>
      </c>
      <c r="G4408" s="92" t="s">
        <v>926</v>
      </c>
      <c r="H4408" s="91"/>
      <c r="I4408" s="91"/>
      <c r="J4408" s="16">
        <f>SUM(D4400:M4400)-(D4411+D4412)/($D$4404-Inputs!$D$20)/(Inputs!$D$7+$D$4404)^M4378</f>
        <v>-114317.08794717836</v>
      </c>
      <c r="K4408" s="99" t="s">
        <v>110</v>
      </c>
      <c r="L4408" s="91"/>
      <c r="M4408" s="91"/>
    </row>
    <row r="4409" spans="2:13" ht="15" customHeight="1" x14ac:dyDescent="0.2">
      <c r="B4409" s="10" t="s">
        <v>927</v>
      </c>
      <c r="C4409" s="10" t="s">
        <v>928</v>
      </c>
      <c r="D4409" s="16">
        <f>(M4380*(Inputs!$D$7+Inputs!$D$20)*$D$4402*$D$4403-D4411)-MAX((M4380*(Inputs!$D$7+Inputs!$D$20)*$D$4402*$D$4403-D4411),Inputs!$D$6)*Inputs!$D$19-D4412-M4380*Inputs!$D$20*$D$4402*Inputs!$D$23</f>
        <v>6193.8509754181196</v>
      </c>
      <c r="G4409" s="99" t="s">
        <v>929</v>
      </c>
      <c r="H4409" s="91"/>
      <c r="I4409" s="91"/>
      <c r="J4409" s="28">
        <f>(D4401-D4414)/D4413</f>
        <v>28.635241141453037</v>
      </c>
      <c r="K4409" s="99" t="s">
        <v>919</v>
      </c>
      <c r="L4409" s="91"/>
      <c r="M4409" s="91"/>
    </row>
    <row r="4410" spans="2:13" ht="15" customHeight="1" x14ac:dyDescent="0.2">
      <c r="B4410" s="10" t="s">
        <v>930</v>
      </c>
      <c r="C4410" s="10" t="s">
        <v>110</v>
      </c>
      <c r="D4410" s="16">
        <f>D4409/($D$4404-Inputs!$D$20)</f>
        <v>53859.57369928799</v>
      </c>
      <c r="G4410" s="99" t="s">
        <v>931</v>
      </c>
      <c r="H4410" s="91"/>
      <c r="I4410" s="91"/>
      <c r="J4410" s="16">
        <f>MIN(D4394:M4394,(M4380*(Inputs!$D$7+Inputs!$D$20)*$D$4402*$D$4403-D4411))</f>
        <v>1455.5844901285284</v>
      </c>
      <c r="K4410" s="99" t="s">
        <v>110</v>
      </c>
      <c r="L4410" s="91"/>
      <c r="M4410" s="91"/>
    </row>
    <row r="4411" spans="2:13" ht="15" customHeight="1" x14ac:dyDescent="0.2">
      <c r="B4411" s="10" t="s">
        <v>932</v>
      </c>
      <c r="C4411" s="10" t="s">
        <v>928</v>
      </c>
      <c r="D4411" s="16">
        <f>M4380*(Inputs!$D$7+Inputs!$D$20)*($D$4405/Inputs!$D$21+$D$4406/Inputs!$D$22)</f>
        <v>13509.71303671543</v>
      </c>
      <c r="G4411" s="99" t="s">
        <v>933</v>
      </c>
      <c r="H4411" s="91"/>
      <c r="I4411" s="91"/>
      <c r="J4411" s="31" t="str">
        <f>IF(J4410&lt;Inputs!$D$6,"breached","satisfied")</f>
        <v>satisfied</v>
      </c>
      <c r="K4411" s="99" t="s">
        <v>934</v>
      </c>
      <c r="L4411" s="91"/>
      <c r="M4411" s="91"/>
    </row>
    <row r="4412" spans="2:13" ht="15" customHeight="1" x14ac:dyDescent="0.2">
      <c r="B4412" s="10" t="s">
        <v>935</v>
      </c>
      <c r="C4412" s="10" t="s">
        <v>928</v>
      </c>
      <c r="D4412" s="16">
        <f>M4380*Inputs!$D$20*($D$4405+$D$4406)</f>
        <v>1365.7073615561799</v>
      </c>
    </row>
    <row r="4413" spans="2:13" ht="15" customHeight="1" x14ac:dyDescent="0.2">
      <c r="B4413" s="10" t="s">
        <v>936</v>
      </c>
      <c r="C4413" s="10" t="s">
        <v>896</v>
      </c>
      <c r="D4413" s="28">
        <f>SUM(D4390:M4390)+D4407</f>
        <v>3837.6095001141657</v>
      </c>
      <c r="G4413" s="99" t="s">
        <v>937</v>
      </c>
      <c r="H4413" s="91"/>
      <c r="I4413" s="91"/>
      <c r="J4413" s="16">
        <f>D4415-D4401</f>
        <v>0</v>
      </c>
      <c r="K4413" s="99" t="s">
        <v>110</v>
      </c>
      <c r="L4413" s="91"/>
      <c r="M4413" s="91"/>
    </row>
    <row r="4414" spans="2:13" ht="15" customHeight="1" x14ac:dyDescent="0.2">
      <c r="B4414" s="10" t="s">
        <v>938</v>
      </c>
      <c r="C4414" s="10" t="s">
        <v>110</v>
      </c>
      <c r="D4414" s="16">
        <f>SUM(D4391:M4391)+D4408</f>
        <v>-88040.873442500175</v>
      </c>
    </row>
    <row r="4415" spans="2:13" ht="15" customHeight="1" x14ac:dyDescent="0.2">
      <c r="B4415" s="10" t="s">
        <v>939</v>
      </c>
      <c r="C4415" s="10" t="s">
        <v>110</v>
      </c>
      <c r="D4415" s="16">
        <f>SUM(D4398:M4398)+D4410/(Inputs!$D$7+$D$4404)^M4378</f>
        <v>21850.000000000015</v>
      </c>
    </row>
    <row r="4416" spans="2:13" ht="15" customHeight="1" x14ac:dyDescent="0.2">
      <c r="B4416" s="10" t="s">
        <v>940</v>
      </c>
      <c r="C4416" s="10" t="s">
        <v>104</v>
      </c>
      <c r="D4416" s="30">
        <f>IF(ABS(D4401)&gt;Inputs!$D$6,D4415/D4401-Inputs!$D$7,Inputs!$D$6)</f>
        <v>6.6613381477509392E-16</v>
      </c>
    </row>
    <row r="4417" spans="2:4" ht="15" customHeight="1" x14ac:dyDescent="0.2">
      <c r="B4417" s="10" t="s">
        <v>941</v>
      </c>
      <c r="C4417" s="10" t="s">
        <v>104</v>
      </c>
      <c r="D4417" s="30">
        <f>IF(ABS(D4415)&gt;Inputs!$D$119,D4410/(Inputs!$D$7+$D$4404)^M4378/D4415,Inputs!$D$6)</f>
        <v>0.69006173478853028</v>
      </c>
    </row>
    <row r="4418" spans="2:4" ht="15" customHeight="1" x14ac:dyDescent="0.2">
      <c r="B4418" s="10" t="s">
        <v>942</v>
      </c>
      <c r="C4418" s="10" t="s">
        <v>943</v>
      </c>
      <c r="D4418" s="26">
        <f>$D$4402*Inputs!$D$8/Prices!$P$6/(Inputs!$D$26/Inputs!$D$25)/Inputs!$D$11/Inputs!$D$56</f>
        <v>5.2074055817577616</v>
      </c>
    </row>
  </sheetData>
  <mergeCells count="2018">
    <mergeCell ref="G4359:I4359"/>
    <mergeCell ref="K3120:M3120"/>
    <mergeCell ref="G3625:I3625"/>
    <mergeCell ref="K907:M907"/>
    <mergeCell ref="G3896:I3896"/>
    <mergeCell ref="G3171:I3171"/>
    <mergeCell ref="K906:M906"/>
    <mergeCell ref="G4361:I4361"/>
    <mergeCell ref="K4175:M4175"/>
    <mergeCell ref="G3627:I3627"/>
    <mergeCell ref="K1511:M1511"/>
    <mergeCell ref="K3631:M3631"/>
    <mergeCell ref="K908:M908"/>
    <mergeCell ref="K4183:M4183"/>
    <mergeCell ref="K4177:M4177"/>
    <mergeCell ref="K3720:M3720"/>
    <mergeCell ref="K1506:M1506"/>
    <mergeCell ref="K4089:M4089"/>
    <mergeCell ref="K4229:M4229"/>
    <mergeCell ref="K2430:M2430"/>
    <mergeCell ref="G2153:I2153"/>
    <mergeCell ref="G3206:I3206"/>
    <mergeCell ref="G3028:I3028"/>
    <mergeCell ref="G906:I906"/>
    <mergeCell ref="G4175:I4175"/>
    <mergeCell ref="K999:M999"/>
    <mergeCell ref="G3948:I3948"/>
    <mergeCell ref="K3899:M3899"/>
    <mergeCell ref="K173:M173"/>
    <mergeCell ref="K3807:M3807"/>
    <mergeCell ref="G3945:I3945"/>
    <mergeCell ref="K1653:M1653"/>
    <mergeCell ref="K3344:M3344"/>
    <mergeCell ref="G1099:I1099"/>
    <mergeCell ref="K1234:M1234"/>
    <mergeCell ref="G1826:I1826"/>
    <mergeCell ref="G2610:I2610"/>
    <mergeCell ref="G823:I823"/>
    <mergeCell ref="K3346:M3346"/>
    <mergeCell ref="K219:M219"/>
    <mergeCell ref="G538:I538"/>
    <mergeCell ref="K546:M546"/>
    <mergeCell ref="G770:I770"/>
    <mergeCell ref="K592:M592"/>
    <mergeCell ref="G3667:I3667"/>
    <mergeCell ref="K587:M587"/>
    <mergeCell ref="G454:I454"/>
    <mergeCell ref="K1458:M1458"/>
    <mergeCell ref="G3669:I3669"/>
    <mergeCell ref="G2197:I2197"/>
    <mergeCell ref="G3169:I3169"/>
    <mergeCell ref="G2110:I2110"/>
    <mergeCell ref="K4405:M4405"/>
    <mergeCell ref="K1559:M1559"/>
    <mergeCell ref="A1110:A1115"/>
    <mergeCell ref="G825:I825"/>
    <mergeCell ref="G2155:I2155"/>
    <mergeCell ref="K4407:M4407"/>
    <mergeCell ref="A2628:A2633"/>
    <mergeCell ref="K3347:M3347"/>
    <mergeCell ref="G3996:I3996"/>
    <mergeCell ref="G2937:I2937"/>
    <mergeCell ref="K3947:M3947"/>
    <mergeCell ref="G1423:I1423"/>
    <mergeCell ref="G2516:I2516"/>
    <mergeCell ref="K3949:M3949"/>
    <mergeCell ref="K2338:M2338"/>
    <mergeCell ref="G2938:I2938"/>
    <mergeCell ref="K4135:M4135"/>
    <mergeCell ref="K1735:M1735"/>
    <mergeCell ref="K2333:M2333"/>
    <mergeCell ref="A1708:A1713"/>
    <mergeCell ref="G1143:I1143"/>
    <mergeCell ref="G2656:I2656"/>
    <mergeCell ref="G3263:I3263"/>
    <mergeCell ref="G1191:I1191"/>
    <mergeCell ref="A2904:A2909"/>
    <mergeCell ref="G4362:I4362"/>
    <mergeCell ref="G909:I909"/>
    <mergeCell ref="K3763:M3763"/>
    <mergeCell ref="K2291:M2291"/>
    <mergeCell ref="G3211:I3211"/>
    <mergeCell ref="K1644:M1644"/>
    <mergeCell ref="G2608:I2608"/>
    <mergeCell ref="G83:I83"/>
    <mergeCell ref="G1136:I1136"/>
    <mergeCell ref="G2527:I2527"/>
    <mergeCell ref="K1603:M1603"/>
    <mergeCell ref="K544:M544"/>
    <mergeCell ref="G3717:I3717"/>
    <mergeCell ref="G1049:I1049"/>
    <mergeCell ref="K2059:M2059"/>
    <mergeCell ref="K1000:M1000"/>
    <mergeCell ref="G2195:I2195"/>
    <mergeCell ref="G408:I408"/>
    <mergeCell ref="K1605:M1605"/>
    <mergeCell ref="G4357:I4357"/>
    <mergeCell ref="K871:M871"/>
    <mergeCell ref="K2061:M2061"/>
    <mergeCell ref="K3391:M3391"/>
    <mergeCell ref="K2017:M2017"/>
    <mergeCell ref="K1604:M1604"/>
    <mergeCell ref="K1598:M1598"/>
    <mergeCell ref="K4179:M4179"/>
    <mergeCell ref="K4173:M4173"/>
    <mergeCell ref="K3445:M3445"/>
    <mergeCell ref="K2386:M2386"/>
    <mergeCell ref="K2659:M2659"/>
    <mergeCell ref="K4172:M4172"/>
    <mergeCell ref="G3439:I3439"/>
    <mergeCell ref="G2982:I2982"/>
    <mergeCell ref="K3447:M3447"/>
    <mergeCell ref="K4174:M4174"/>
    <mergeCell ref="G768:I768"/>
    <mergeCell ref="G2984:I2984"/>
    <mergeCell ref="G3307:I3307"/>
    <mergeCell ref="A4376:A4381"/>
    <mergeCell ref="G2609:I2609"/>
    <mergeCell ref="G912:I912"/>
    <mergeCell ref="G1550:I1550"/>
    <mergeCell ref="G178:I178"/>
    <mergeCell ref="G449:I449"/>
    <mergeCell ref="K1975:M1975"/>
    <mergeCell ref="G1421:I1421"/>
    <mergeCell ref="K4218:M4218"/>
    <mergeCell ref="G2611:I2611"/>
    <mergeCell ref="K2431:M2431"/>
    <mergeCell ref="K1372:M1372"/>
    <mergeCell ref="K2425:M2425"/>
    <mergeCell ref="K4220:M4220"/>
    <mergeCell ref="K2433:M2433"/>
    <mergeCell ref="K2427:M2427"/>
    <mergeCell ref="K1699:M1699"/>
    <mergeCell ref="K1970:M1970"/>
    <mergeCell ref="G3809:I3809"/>
    <mergeCell ref="G1139:I1139"/>
    <mergeCell ref="K3488:M3488"/>
    <mergeCell ref="G3811:I3811"/>
    <mergeCell ref="K3260:M3260"/>
    <mergeCell ref="K4313:M4313"/>
    <mergeCell ref="K3254:M3254"/>
    <mergeCell ref="K1467:M1467"/>
    <mergeCell ref="K2797:M2797"/>
    <mergeCell ref="A1018:A1023"/>
    <mergeCell ref="K3769:M3769"/>
    <mergeCell ref="K4315:M4315"/>
    <mergeCell ref="K3858:M3858"/>
    <mergeCell ref="K2799:M2799"/>
    <mergeCell ref="G79:I79"/>
    <mergeCell ref="G3077:I3077"/>
    <mergeCell ref="G1561:I1561"/>
    <mergeCell ref="G1597:I1597"/>
    <mergeCell ref="G3079:I3079"/>
    <mergeCell ref="K2057:M2057"/>
    <mergeCell ref="K360:M360"/>
    <mergeCell ref="K2567:M2567"/>
    <mergeCell ref="G4321:I4321"/>
    <mergeCell ref="K2655:M2655"/>
    <mergeCell ref="K1596:M1596"/>
    <mergeCell ref="A2030:A2035"/>
    <mergeCell ref="K1414:M1414"/>
    <mergeCell ref="G2978:I2978"/>
    <mergeCell ref="G1281:I1281"/>
    <mergeCell ref="G862:I862"/>
    <mergeCell ref="G547:I547"/>
    <mergeCell ref="K2657:M2657"/>
    <mergeCell ref="G1274:I1274"/>
    <mergeCell ref="G2246:I2246"/>
    <mergeCell ref="K684:M684"/>
    <mergeCell ref="G1187:I1187"/>
    <mergeCell ref="G2335:I2335"/>
    <mergeCell ref="G1276:I1276"/>
    <mergeCell ref="G4035:I4035"/>
    <mergeCell ref="K3855:M3855"/>
    <mergeCell ref="G2248:I2248"/>
    <mergeCell ref="G3438:I3438"/>
    <mergeCell ref="G1791:I1791"/>
    <mergeCell ref="K2199:M2199"/>
    <mergeCell ref="G4034:I4034"/>
    <mergeCell ref="G3309:I3309"/>
    <mergeCell ref="G181:I181"/>
    <mergeCell ref="A3778:A3783"/>
    <mergeCell ref="G1967:I1967"/>
    <mergeCell ref="G908:I908"/>
    <mergeCell ref="G4177:I4177"/>
    <mergeCell ref="G1504:I1504"/>
    <mergeCell ref="K3997:M3997"/>
    <mergeCell ref="G779:I779"/>
    <mergeCell ref="K730:M730"/>
    <mergeCell ref="K1783:M1783"/>
    <mergeCell ref="K311:M311"/>
    <mergeCell ref="G4089:I4089"/>
    <mergeCell ref="K267:M267"/>
    <mergeCell ref="K2429:M2429"/>
    <mergeCell ref="K3482:M3482"/>
    <mergeCell ref="K1328:M1328"/>
    <mergeCell ref="K269:M269"/>
    <mergeCell ref="G1233:I1233"/>
    <mergeCell ref="G2292:I2292"/>
    <mergeCell ref="G3805:I3805"/>
    <mergeCell ref="K725:M725"/>
    <mergeCell ref="G1689:I1689"/>
    <mergeCell ref="K3484:M3484"/>
    <mergeCell ref="K1697:M1697"/>
    <mergeCell ref="A1248:A1253"/>
    <mergeCell ref="G3807:I3807"/>
    <mergeCell ref="G4080:I4080"/>
    <mergeCell ref="G2293:I2293"/>
    <mergeCell ref="G1234:I1234"/>
    <mergeCell ref="G2287:I2287"/>
    <mergeCell ref="G3075:I3075"/>
    <mergeCell ref="K1513:M1513"/>
    <mergeCell ref="G4405:I4405"/>
    <mergeCell ref="K3166:M3166"/>
    <mergeCell ref="G1559:I1559"/>
    <mergeCell ref="G4407:I4407"/>
    <mergeCell ref="K4273:M4273"/>
    <mergeCell ref="K3626:M3626"/>
    <mergeCell ref="G3530:I3530"/>
    <mergeCell ref="A1846:A1851"/>
    <mergeCell ref="G1919:I1919"/>
    <mergeCell ref="G222:I222"/>
    <mergeCell ref="G4135:I4135"/>
    <mergeCell ref="G1735:I1735"/>
    <mergeCell ref="G3401:I3401"/>
    <mergeCell ref="K769:M769"/>
    <mergeCell ref="K3352:M3352"/>
    <mergeCell ref="G4128:I4128"/>
    <mergeCell ref="K1741:M1741"/>
    <mergeCell ref="K682:M682"/>
    <mergeCell ref="K1138:M1138"/>
    <mergeCell ref="G2333:I2333"/>
    <mergeCell ref="G861:I861"/>
    <mergeCell ref="G546:I546"/>
    <mergeCell ref="K681:M681"/>
    <mergeCell ref="K4312:M4312"/>
    <mergeCell ref="K3995:M3995"/>
    <mergeCell ref="G3447:I3447"/>
    <mergeCell ref="A1156:A1161"/>
    <mergeCell ref="G1047:I1047"/>
    <mergeCell ref="G584:I584"/>
    <mergeCell ref="A1754:A1759"/>
    <mergeCell ref="K1782:M1782"/>
    <mergeCell ref="G2746:I2746"/>
    <mergeCell ref="K37:M37"/>
    <mergeCell ref="K3950:M3950"/>
    <mergeCell ref="K1743:M1743"/>
    <mergeCell ref="K2470:M2470"/>
    <mergeCell ref="K683:M683"/>
    <mergeCell ref="K1736:M1736"/>
    <mergeCell ref="G1603:I1603"/>
    <mergeCell ref="K3258:M3258"/>
    <mergeCell ref="G2059:I2059"/>
    <mergeCell ref="G362:I362"/>
    <mergeCell ref="G1000:I1000"/>
    <mergeCell ref="K4311:M4311"/>
    <mergeCell ref="A3686:A3691"/>
    <mergeCell ref="G1605:I1605"/>
    <mergeCell ref="G871:I871"/>
    <mergeCell ref="G3120:I3120"/>
    <mergeCell ref="G2061:I2061"/>
    <mergeCell ref="G3114:I3114"/>
    <mergeCell ref="K822:M822"/>
    <mergeCell ref="G1327:I1327"/>
    <mergeCell ref="G1598:I1598"/>
    <mergeCell ref="A4284:A4289"/>
    <mergeCell ref="G3122:I3122"/>
    <mergeCell ref="G3445:I3445"/>
    <mergeCell ref="K1883:M1883"/>
    <mergeCell ref="G3116:I3116"/>
    <mergeCell ref="K2936:M2936"/>
    <mergeCell ref="G1329:I1329"/>
    <mergeCell ref="G2659:I2659"/>
    <mergeCell ref="G4172:I4172"/>
    <mergeCell ref="K823:M823"/>
    <mergeCell ref="K4039:M4039"/>
    <mergeCell ref="A3916:A3921"/>
    <mergeCell ref="G592:I592"/>
    <mergeCell ref="G1230:I1230"/>
    <mergeCell ref="K2568:M2568"/>
    <mergeCell ref="K1509:M1509"/>
    <mergeCell ref="K2839:M2839"/>
    <mergeCell ref="G3344:I3344"/>
    <mergeCell ref="K1052:M1052"/>
    <mergeCell ref="K2105:M2105"/>
    <mergeCell ref="G498:I498"/>
    <mergeCell ref="G587:I587"/>
    <mergeCell ref="K2113:M2113"/>
    <mergeCell ref="G3346:I3346"/>
    <mergeCell ref="K2107:M2107"/>
    <mergeCell ref="K4356:M4356"/>
    <mergeCell ref="K1650:M1650"/>
    <mergeCell ref="K1510:M1510"/>
    <mergeCell ref="K2563:M2563"/>
    <mergeCell ref="G2430:I2430"/>
    <mergeCell ref="G4313:I4313"/>
    <mergeCell ref="G4269:I4269"/>
    <mergeCell ref="A4146:A4151"/>
    <mergeCell ref="A1616:A1621"/>
    <mergeCell ref="K2340:M2340"/>
    <mergeCell ref="G860:I860"/>
    <mergeCell ref="G2663:I2663"/>
    <mergeCell ref="G1929:I1929"/>
    <mergeCell ref="G868:I868"/>
    <mergeCell ref="G2665:I2665"/>
    <mergeCell ref="G3261:I3261"/>
    <mergeCell ref="G3620:I3620"/>
    <mergeCell ref="K2058:M2058"/>
    <mergeCell ref="G314:I314"/>
    <mergeCell ref="G2886:I2886"/>
    <mergeCell ref="K2565:M2565"/>
    <mergeCell ref="K2108:M2108"/>
    <mergeCell ref="K1049:M1049"/>
    <mergeCell ref="G3947:I3947"/>
    <mergeCell ref="G4218:I4218"/>
    <mergeCell ref="G2431:I2431"/>
    <mergeCell ref="G2425:I2425"/>
    <mergeCell ref="G3397:I3397"/>
    <mergeCell ref="G3943:I3943"/>
    <mergeCell ref="G2433:I2433"/>
    <mergeCell ref="G2156:I2156"/>
    <mergeCell ref="G2427:I2427"/>
    <mergeCell ref="K2247:M2247"/>
    <mergeCell ref="G1699:I1699"/>
    <mergeCell ref="K2935:M2935"/>
    <mergeCell ref="G3855:I3855"/>
    <mergeCell ref="G1745:I1745"/>
    <mergeCell ref="K2937:M2937"/>
    <mergeCell ref="G3260:I3260"/>
    <mergeCell ref="G3254:I3254"/>
    <mergeCell ref="K3306:M3306"/>
    <mergeCell ref="G451:I451"/>
    <mergeCell ref="K2703:M2703"/>
    <mergeCell ref="K2246:M2246"/>
    <mergeCell ref="K4086:M4086"/>
    <mergeCell ref="G3990:I3990"/>
    <mergeCell ref="G3393:I3393"/>
    <mergeCell ref="K2154:M2154"/>
    <mergeCell ref="G448:I448"/>
    <mergeCell ref="G3345:I3345"/>
    <mergeCell ref="K4409:M4409"/>
    <mergeCell ref="K3350:M3350"/>
    <mergeCell ref="K33:M33"/>
    <mergeCell ref="G3488:I3488"/>
    <mergeCell ref="K4411:M4411"/>
    <mergeCell ref="K35:M35"/>
    <mergeCell ref="K3677:M3677"/>
    <mergeCell ref="K3948:M3948"/>
    <mergeCell ref="K4404:M4404"/>
    <mergeCell ref="A2168:A2173"/>
    <mergeCell ref="K1734:M1734"/>
    <mergeCell ref="G1419:I1419"/>
    <mergeCell ref="G360:I360"/>
    <mergeCell ref="G2057:I2057"/>
    <mergeCell ref="G3539:I3539"/>
    <mergeCell ref="G1412:I1412"/>
    <mergeCell ref="K1879:M1879"/>
    <mergeCell ref="G1325:I1325"/>
    <mergeCell ref="G2017:I2017"/>
    <mergeCell ref="G2655:I2655"/>
    <mergeCell ref="K359:M359"/>
    <mergeCell ref="G4173:I4173"/>
    <mergeCell ref="K1881:M1881"/>
    <mergeCell ref="G2657:I2657"/>
    <mergeCell ref="K1147:M1147"/>
    <mergeCell ref="K2477:M2477"/>
    <mergeCell ref="K3667:M3667"/>
    <mergeCell ref="K1874:M1874"/>
    <mergeCell ref="A4008:A4013"/>
    <mergeCell ref="G684:I684"/>
    <mergeCell ref="K2479:M2479"/>
    <mergeCell ref="K3392:M3392"/>
    <mergeCell ref="A98:A103"/>
    <mergeCell ref="G1467:I1467"/>
    <mergeCell ref="K1602:M1602"/>
    <mergeCell ref="G3253:I3253"/>
    <mergeCell ref="G4315:I4315"/>
    <mergeCell ref="A1478:A1483"/>
    <mergeCell ref="G3255:I3255"/>
    <mergeCell ref="K868:M868"/>
    <mergeCell ref="K405:M405"/>
    <mergeCell ref="G1369:I1369"/>
    <mergeCell ref="K2202:M2202"/>
    <mergeCell ref="G1458:I1458"/>
    <mergeCell ref="K3077:M3077"/>
    <mergeCell ref="K407:M407"/>
    <mergeCell ref="G1371:I1371"/>
    <mergeCell ref="G730:I730"/>
    <mergeCell ref="G311:I311"/>
    <mergeCell ref="K2706:M2706"/>
    <mergeCell ref="G3482:I3482"/>
    <mergeCell ref="K1920:M1920"/>
    <mergeCell ref="G1372:I1372"/>
    <mergeCell ref="K133:M133"/>
    <mergeCell ref="A2536:A2541"/>
    <mergeCell ref="K860:M860"/>
    <mergeCell ref="K2981:M2981"/>
    <mergeCell ref="G3484:I3484"/>
    <mergeCell ref="G1697:I1697"/>
    <mergeCell ref="K135:M135"/>
    <mergeCell ref="K1188:M1188"/>
    <mergeCell ref="K731:M731"/>
    <mergeCell ref="K2701:M2701"/>
    <mergeCell ref="G1511:I1511"/>
    <mergeCell ref="K4367:M4367"/>
    <mergeCell ref="A3226:A3231"/>
    <mergeCell ref="K3764:M3764"/>
    <mergeCell ref="G4271:I4271"/>
    <mergeCell ref="G4273:I4273"/>
    <mergeCell ref="K4362:M4362"/>
    <mergeCell ref="G1051:I1051"/>
    <mergeCell ref="G3810:I3810"/>
    <mergeCell ref="G3213:I3213"/>
    <mergeCell ref="K3027:M3027"/>
    <mergeCell ref="K820:M820"/>
    <mergeCell ref="G1596:I1596"/>
    <mergeCell ref="K1966:M1966"/>
    <mergeCell ref="K357:M357"/>
    <mergeCell ref="G2471:I2471"/>
    <mergeCell ref="K909:M909"/>
    <mergeCell ref="K3029:M3029"/>
    <mergeCell ref="G769:I769"/>
    <mergeCell ref="K815:M815"/>
    <mergeCell ref="G1741:I1741"/>
    <mergeCell ref="G682:I682"/>
    <mergeCell ref="A3824:A3829"/>
    <mergeCell ref="G500:I500"/>
    <mergeCell ref="G1138:I1138"/>
    <mergeCell ref="G681:I681"/>
    <mergeCell ref="A1294:A1299"/>
    <mergeCell ref="G3997:I3997"/>
    <mergeCell ref="A1892:A1897"/>
    <mergeCell ref="G1789:I1789"/>
    <mergeCell ref="K861:M861"/>
    <mergeCell ref="G1878:I1878"/>
    <mergeCell ref="G4356:I4356"/>
    <mergeCell ref="G37:I37"/>
    <mergeCell ref="G1743:I1743"/>
    <mergeCell ref="K2747:M2747"/>
    <mergeCell ref="G2199:I2199"/>
    <mergeCell ref="K960:M960"/>
    <mergeCell ref="G1098:I1098"/>
    <mergeCell ref="G1736:I1736"/>
    <mergeCell ref="G4319:I4319"/>
    <mergeCell ref="K497:M497"/>
    <mergeCell ref="G4311:I4311"/>
    <mergeCell ref="K2021:M2021"/>
    <mergeCell ref="K2292:M2292"/>
    <mergeCell ref="G2797:I2797"/>
    <mergeCell ref="K1558:M1558"/>
    <mergeCell ref="K499:M499"/>
    <mergeCell ref="K955:M955"/>
    <mergeCell ref="K4133:M4133"/>
    <mergeCell ref="K2661:M2661"/>
    <mergeCell ref="K3714:M3714"/>
    <mergeCell ref="K2619:M2619"/>
    <mergeCell ref="G4312:I4312"/>
    <mergeCell ref="K3073:M3073"/>
    <mergeCell ref="K957:M957"/>
    <mergeCell ref="G1883:I1883"/>
    <mergeCell ref="K2287:M2287"/>
    <mergeCell ref="G2936:I2936"/>
    <mergeCell ref="G1280:I1280"/>
    <mergeCell ref="K4134:M4134"/>
    <mergeCell ref="K3075:M3075"/>
    <mergeCell ref="G4039:I4039"/>
    <mergeCell ref="K217:M217"/>
    <mergeCell ref="G3582:I3582"/>
    <mergeCell ref="A3732:A3737"/>
    <mergeCell ref="K1187:M1187"/>
    <mergeCell ref="G3166:I3166"/>
    <mergeCell ref="G2107:I2107"/>
    <mergeCell ref="G1510:I1510"/>
    <mergeCell ref="G2563:I2563"/>
    <mergeCell ref="G409:I409"/>
    <mergeCell ref="G2565:I2565"/>
    <mergeCell ref="K2385:M2385"/>
    <mergeCell ref="K1326:M1326"/>
    <mergeCell ref="K3575:M3575"/>
    <mergeCell ref="K2516:M2516"/>
    <mergeCell ref="K869:M869"/>
    <mergeCell ref="G3626:I3626"/>
    <mergeCell ref="K2387:M2387"/>
    <mergeCell ref="K3025:M3025"/>
    <mergeCell ref="K3114:M3114"/>
    <mergeCell ref="K1327:M1327"/>
    <mergeCell ref="K3116:M3116"/>
    <mergeCell ref="K409:M409"/>
    <mergeCell ref="A3640:A3645"/>
    <mergeCell ref="G2286:I2286"/>
    <mergeCell ref="G1829:I1829"/>
    <mergeCell ref="G3258:I3258"/>
    <mergeCell ref="K1233:M1233"/>
    <mergeCell ref="G3528:I3528"/>
    <mergeCell ref="G1831:I1831"/>
    <mergeCell ref="G2884:I2884"/>
    <mergeCell ref="G1097:I1097"/>
    <mergeCell ref="G4409:I4409"/>
    <mergeCell ref="K1329:M1329"/>
    <mergeCell ref="G33:I33"/>
    <mergeCell ref="G2705:I2705"/>
    <mergeCell ref="G4411:I4411"/>
    <mergeCell ref="K589:M589"/>
    <mergeCell ref="G35:I35"/>
    <mergeCell ref="G3677:I3677"/>
    <mergeCell ref="G4404:I4404"/>
    <mergeCell ref="G2793:I2793"/>
    <mergeCell ref="G1096:I1096"/>
    <mergeCell ref="K172:M172"/>
    <mergeCell ref="K1231:M1231"/>
    <mergeCell ref="K584:M584"/>
    <mergeCell ref="K4226:M4226"/>
    <mergeCell ref="K2019:M2019"/>
    <mergeCell ref="K2746:M2746"/>
    <mergeCell ref="K2012:M2012"/>
    <mergeCell ref="K953:M953"/>
    <mergeCell ref="G822:I822"/>
    <mergeCell ref="K2617:M2617"/>
    <mergeCell ref="G359:I359"/>
    <mergeCell ref="G1147:I1147"/>
    <mergeCell ref="G3390:I3390"/>
    <mergeCell ref="G1874:I1874"/>
    <mergeCell ref="G3995:I3995"/>
    <mergeCell ref="K2159:M2159"/>
    <mergeCell ref="G3392:I3392"/>
    <mergeCell ref="G2935:I2935"/>
    <mergeCell ref="K1696:M1696"/>
    <mergeCell ref="K3395:M3395"/>
    <mergeCell ref="G3721:I3721"/>
    <mergeCell ref="A2674:A2679"/>
    <mergeCell ref="K998:M998"/>
    <mergeCell ref="G3622:I3622"/>
    <mergeCell ref="K273:M273"/>
    <mergeCell ref="K1780:M1780"/>
    <mergeCell ref="G1649:I1649"/>
    <mergeCell ref="G590:I590"/>
    <mergeCell ref="G1920:I1920"/>
    <mergeCell ref="K3444:M3444"/>
    <mergeCell ref="G133:I133"/>
    <mergeCell ref="K2841:M2841"/>
    <mergeCell ref="K2384:M2384"/>
    <mergeCell ref="K1325:M1325"/>
    <mergeCell ref="G135:I135"/>
    <mergeCell ref="G2247:I2247"/>
    <mergeCell ref="G1188:I1188"/>
    <mergeCell ref="G731:I731"/>
    <mergeCell ref="G2701:I2701"/>
    <mergeCell ref="K1139:M1139"/>
    <mergeCell ref="G591:I591"/>
    <mergeCell ref="G3350:I3350"/>
    <mergeCell ref="K2111:M2111"/>
    <mergeCell ref="A144:A149"/>
    <mergeCell ref="G2703:I2703"/>
    <mergeCell ref="G1189:I1189"/>
    <mergeCell ref="K2709:M2709"/>
    <mergeCell ref="K3165:M3165"/>
    <mergeCell ref="K3436:M3436"/>
    <mergeCell ref="K2711:M2711"/>
    <mergeCell ref="A466:A471"/>
    <mergeCell ref="A3042:A3047"/>
    <mergeCell ref="G267:I267"/>
    <mergeCell ref="K39:M39"/>
    <mergeCell ref="K1369:M1369"/>
    <mergeCell ref="G815:I815"/>
    <mergeCell ref="K635:M635"/>
    <mergeCell ref="K1371:M1371"/>
    <mergeCell ref="K637:M637"/>
    <mergeCell ref="K1827:M1827"/>
    <mergeCell ref="K3396:M3396"/>
    <mergeCell ref="K181:M181"/>
    <mergeCell ref="G1466:I1466"/>
    <mergeCell ref="G407:I407"/>
    <mergeCell ref="K3576:M3576"/>
    <mergeCell ref="G39:I39"/>
    <mergeCell ref="K127:M127"/>
    <mergeCell ref="K178:M178"/>
    <mergeCell ref="G87:I87"/>
    <mergeCell ref="G89:I89"/>
    <mergeCell ref="G3305:I3305"/>
    <mergeCell ref="G3576:I3576"/>
    <mergeCell ref="K263:M263"/>
    <mergeCell ref="K265:M265"/>
    <mergeCell ref="K271:M271"/>
    <mergeCell ref="K2977:M2977"/>
    <mergeCell ref="K1918:M1918"/>
    <mergeCell ref="G1880:I1880"/>
    <mergeCell ref="K1190:M1190"/>
    <mergeCell ref="K131:M131"/>
    <mergeCell ref="K1184:M1184"/>
    <mergeCell ref="K3399:M3399"/>
    <mergeCell ref="G2568:I2568"/>
    <mergeCell ref="G1509:I1509"/>
    <mergeCell ref="K3401:M3401"/>
    <mergeCell ref="G4317:I4317"/>
    <mergeCell ref="K3213:M3213"/>
    <mergeCell ref="K355:M355"/>
    <mergeCell ref="G955:I955"/>
    <mergeCell ref="G2661:I2661"/>
    <mergeCell ref="K2481:M2481"/>
    <mergeCell ref="G3076:I3076"/>
    <mergeCell ref="G3714:I3714"/>
    <mergeCell ref="K1837:M1837"/>
    <mergeCell ref="G2619:I2619"/>
    <mergeCell ref="G2016:I2016"/>
    <mergeCell ref="G957:I957"/>
    <mergeCell ref="K777:M777"/>
    <mergeCell ref="K3536:M3536"/>
    <mergeCell ref="G3259:I3259"/>
    <mergeCell ref="G4134:I4134"/>
    <mergeCell ref="K2056:M2056"/>
    <mergeCell ref="G2018:I2018"/>
    <mergeCell ref="G3715:I3715"/>
    <mergeCell ref="K2476:M2476"/>
    <mergeCell ref="K779:M779"/>
    <mergeCell ref="G1645:I1645"/>
    <mergeCell ref="K3994:M3994"/>
    <mergeCell ref="K4224:M4224"/>
    <mergeCell ref="G1328:I1328"/>
    <mergeCell ref="K3167:M3167"/>
    <mergeCell ref="K1651:M1651"/>
    <mergeCell ref="G3490:I3490"/>
    <mergeCell ref="G3027:I3027"/>
    <mergeCell ref="G820:I820"/>
    <mergeCell ref="G4088:I4088"/>
    <mergeCell ref="G1881:I1881"/>
    <mergeCell ref="A236:A241"/>
    <mergeCell ref="G1647:I1647"/>
    <mergeCell ref="G2977:I2977"/>
    <mergeCell ref="G1190:I1190"/>
    <mergeCell ref="K3539:M3539"/>
    <mergeCell ref="G2243:I2243"/>
    <mergeCell ref="A3870:A3875"/>
    <mergeCell ref="G3856:I3856"/>
    <mergeCell ref="G676:I676"/>
    <mergeCell ref="G2245:I2245"/>
    <mergeCell ref="K2196:M2196"/>
    <mergeCell ref="G1642:I1642"/>
    <mergeCell ref="A2812:A2817"/>
    <mergeCell ref="G126:I126"/>
    <mergeCell ref="G4086:I4086"/>
    <mergeCell ref="G641:I641"/>
    <mergeCell ref="G1279:I1279"/>
    <mergeCell ref="G2338:I2338"/>
    <mergeCell ref="G543:I543"/>
    <mergeCell ref="G2803:I2803"/>
    <mergeCell ref="G3399:I3399"/>
    <mergeCell ref="G2340:I2340"/>
    <mergeCell ref="K1101:M1101"/>
    <mergeCell ref="K1137:M1137"/>
    <mergeCell ref="A742:A747"/>
    <mergeCell ref="G2111:I2111"/>
    <mergeCell ref="K2849:M2849"/>
    <mergeCell ref="G2200:I2200"/>
    <mergeCell ref="G960:I960"/>
    <mergeCell ref="G497:I497"/>
    <mergeCell ref="K1095:M1095"/>
    <mergeCell ref="G2021:I2021"/>
    <mergeCell ref="A3:M3"/>
    <mergeCell ref="K2067:M2067"/>
    <mergeCell ref="K411:M411"/>
    <mergeCell ref="K1464:M1464"/>
    <mergeCell ref="K2794:M2794"/>
    <mergeCell ref="K2654:M2654"/>
    <mergeCell ref="K1007:M1007"/>
    <mergeCell ref="G1787:I1787"/>
    <mergeCell ref="K3897:M3897"/>
    <mergeCell ref="K3163:M3163"/>
    <mergeCell ref="K1009:M1009"/>
    <mergeCell ref="K3252:M3252"/>
    <mergeCell ref="K1465:M1465"/>
    <mergeCell ref="K406:M406"/>
    <mergeCell ref="G2385:I2385"/>
    <mergeCell ref="G1326:I1326"/>
    <mergeCell ref="G3575:I3575"/>
    <mergeCell ref="G1782:I1782"/>
    <mergeCell ref="G2387:I2387"/>
    <mergeCell ref="G3577:I3577"/>
    <mergeCell ref="G173:I173"/>
    <mergeCell ref="K2524:M2524"/>
    <mergeCell ref="K2847:M2847"/>
    <mergeCell ref="K124:M124"/>
    <mergeCell ref="K3303:M3303"/>
    <mergeCell ref="K310:M310"/>
    <mergeCell ref="G2113:I2113"/>
    <mergeCell ref="G41:I41"/>
    <mergeCell ref="G43:I43"/>
    <mergeCell ref="K503:M503"/>
    <mergeCell ref="G1918:I1918"/>
    <mergeCell ref="K679:M679"/>
    <mergeCell ref="K4365:M4365"/>
    <mergeCell ref="K722:M722"/>
    <mergeCell ref="K4364:M4364"/>
    <mergeCell ref="K3305:M3305"/>
    <mergeCell ref="G170:I170"/>
    <mergeCell ref="K1694:M1694"/>
    <mergeCell ref="A2122:A2127"/>
    <mergeCell ref="G3070:I3070"/>
    <mergeCell ref="G1231:I1231"/>
    <mergeCell ref="G172:I172"/>
    <mergeCell ref="A2858:A2863"/>
    <mergeCell ref="K1053:M1053"/>
    <mergeCell ref="G499:I499"/>
    <mergeCell ref="G2012:I2012"/>
    <mergeCell ref="G953:I953"/>
    <mergeCell ref="K773:M773"/>
    <mergeCell ref="K3621:M3621"/>
    <mergeCell ref="K2562:M2562"/>
    <mergeCell ref="G3073:I3073"/>
    <mergeCell ref="K452:M452"/>
    <mergeCell ref="K775:M775"/>
    <mergeCell ref="G1828:I1828"/>
    <mergeCell ref="K3623:M3623"/>
    <mergeCell ref="K2889:M2889"/>
    <mergeCell ref="K1417:M1417"/>
    <mergeCell ref="G2159:I2159"/>
    <mergeCell ref="G3212:I3212"/>
    <mergeCell ref="K3535:M3535"/>
    <mergeCell ref="G639:I639"/>
    <mergeCell ref="G3398:I3398"/>
    <mergeCell ref="K3349:M3349"/>
    <mergeCell ref="G2795:I2795"/>
    <mergeCell ref="A4192:A4197"/>
    <mergeCell ref="G728:I728"/>
    <mergeCell ref="G999:I999"/>
    <mergeCell ref="G2058:I2058"/>
    <mergeCell ref="K819:M819"/>
    <mergeCell ref="G271:I271"/>
    <mergeCell ref="K2523:M2523"/>
    <mergeCell ref="G265:I265"/>
    <mergeCell ref="G998:I998"/>
    <mergeCell ref="G3899:I3899"/>
    <mergeCell ref="G273:I273"/>
    <mergeCell ref="K87:M87"/>
    <mergeCell ref="G869:I869"/>
    <mergeCell ref="K1277:M1277"/>
    <mergeCell ref="K218:M218"/>
    <mergeCell ref="G1780:I1780"/>
    <mergeCell ref="K814:M814"/>
    <mergeCell ref="K2249:M2249"/>
    <mergeCell ref="G3025:I3025"/>
    <mergeCell ref="K1786:M1786"/>
    <mergeCell ref="K89:M89"/>
    <mergeCell ref="G2841:I2841"/>
    <mergeCell ref="K1279:M1279"/>
    <mergeCell ref="K2976:M2976"/>
    <mergeCell ref="K2332:M2332"/>
    <mergeCell ref="K545:M545"/>
    <mergeCell ref="K1875:M1875"/>
    <mergeCell ref="G268:I268"/>
    <mergeCell ref="K1788:M1788"/>
    <mergeCell ref="K4037:M4037"/>
    <mergeCell ref="K3574:M3574"/>
    <mergeCell ref="K3537:M3537"/>
    <mergeCell ref="K317:M317"/>
    <mergeCell ref="K1507:M1507"/>
    <mergeCell ref="K448:M448"/>
    <mergeCell ref="K1044:M1044"/>
    <mergeCell ref="K4042:M4042"/>
    <mergeCell ref="K319:M319"/>
    <mergeCell ref="K1046:M1046"/>
    <mergeCell ref="G1695:I1695"/>
    <mergeCell ref="K3812:M3812"/>
    <mergeCell ref="G3535:I3535"/>
    <mergeCell ref="K1973:M1973"/>
    <mergeCell ref="G3304:I3304"/>
    <mergeCell ref="G2847:I2847"/>
    <mergeCell ref="G1788:I1788"/>
    <mergeCell ref="G4037:I4037"/>
    <mergeCell ref="K2798:M2798"/>
    <mergeCell ref="G3574:I3574"/>
    <mergeCell ref="G2849:I2849"/>
    <mergeCell ref="K3859:M3859"/>
    <mergeCell ref="K2800:M2800"/>
    <mergeCell ref="K3853:M3853"/>
    <mergeCell ref="K2478:M2478"/>
    <mergeCell ref="G2015:I2015"/>
    <mergeCell ref="G1558:I1558"/>
    <mergeCell ref="K3397:M3397"/>
    <mergeCell ref="G2748:I2748"/>
    <mergeCell ref="G1418:I1418"/>
    <mergeCell ref="K3856:M3856"/>
    <mergeCell ref="G2105:I2105"/>
    <mergeCell ref="K3805:M3805"/>
    <mergeCell ref="K4036:M4036"/>
    <mergeCell ref="G365:I365"/>
    <mergeCell ref="K913:M913"/>
    <mergeCell ref="K2243:M2243"/>
    <mergeCell ref="G1053:I1053"/>
    <mergeCell ref="K3761:M3761"/>
    <mergeCell ref="G2475:I2475"/>
    <mergeCell ref="K1642:M1642"/>
    <mergeCell ref="G3621:I3621"/>
    <mergeCell ref="G452:I452"/>
    <mergeCell ref="K3487:M3487"/>
    <mergeCell ref="G3623:I3623"/>
    <mergeCell ref="K1971:M1971"/>
    <mergeCell ref="G2889:I2889"/>
    <mergeCell ref="G2476:I2476"/>
    <mergeCell ref="G1417:I1417"/>
    <mergeCell ref="K3024:M3024"/>
    <mergeCell ref="G4225:I4225"/>
    <mergeCell ref="K1789:M1789"/>
    <mergeCell ref="G2709:I2709"/>
    <mergeCell ref="G3165:I3165"/>
    <mergeCell ref="G495:I495"/>
    <mergeCell ref="G2711:I2711"/>
    <mergeCell ref="K446:M446"/>
    <mergeCell ref="K3721:M3721"/>
    <mergeCell ref="G3167:I3167"/>
    <mergeCell ref="G4181:I4181"/>
    <mergeCell ref="K4181:M4181"/>
    <mergeCell ref="A2950:A2955"/>
    <mergeCell ref="G264:I264"/>
    <mergeCell ref="K2757:M2757"/>
    <mergeCell ref="K84:M84"/>
    <mergeCell ref="G78:I78"/>
    <mergeCell ref="K2932:M2932"/>
    <mergeCell ref="K1873:M1873"/>
    <mergeCell ref="K86:M86"/>
    <mergeCell ref="G80:I80"/>
    <mergeCell ref="G2524:I2524"/>
    <mergeCell ref="G4365:I4365"/>
    <mergeCell ref="K130:M130"/>
    <mergeCell ref="G722:I722"/>
    <mergeCell ref="G4364:I4364"/>
    <mergeCell ref="K132:M132"/>
    <mergeCell ref="K1645:M1645"/>
    <mergeCell ref="K125:M125"/>
    <mergeCell ref="K2708:M2708"/>
    <mergeCell ref="K1647:M1647"/>
    <mergeCell ref="K3759:M3759"/>
    <mergeCell ref="K2700:M2700"/>
    <mergeCell ref="K590:M590"/>
    <mergeCell ref="G635:I635"/>
    <mergeCell ref="G1696:I1696"/>
    <mergeCell ref="G637:I637"/>
    <mergeCell ref="G1827:I1827"/>
    <mergeCell ref="G1093:I1093"/>
    <mergeCell ref="K1649:M1649"/>
    <mergeCell ref="K2702:M2702"/>
    <mergeCell ref="K1643:M1643"/>
    <mergeCell ref="G1095:I1095"/>
    <mergeCell ref="K915:M915"/>
    <mergeCell ref="A6:A11"/>
    <mergeCell ref="G4310:I4310"/>
    <mergeCell ref="G411:I411"/>
    <mergeCell ref="G1464:I1464"/>
    <mergeCell ref="G2794:I2794"/>
    <mergeCell ref="G2654:I2654"/>
    <mergeCell ref="G1007:I1007"/>
    <mergeCell ref="G1045:I1045"/>
    <mergeCell ref="G2525:I2525"/>
    <mergeCell ref="K1601:M1601"/>
    <mergeCell ref="K2660:M2660"/>
    <mergeCell ref="G3163:I3163"/>
    <mergeCell ref="K227:M227"/>
    <mergeCell ref="K867:M867"/>
    <mergeCell ref="G3252:I3252"/>
    <mergeCell ref="K2013:M2013"/>
    <mergeCell ref="G1465:I1465"/>
    <mergeCell ref="G406:I406"/>
    <mergeCell ref="G4224:I4224"/>
    <mergeCell ref="K2662:M2662"/>
    <mergeCell ref="K2985:M2985"/>
    <mergeCell ref="K1926:M1926"/>
    <mergeCell ref="K3074:M3074"/>
    <mergeCell ref="G2251:I2251"/>
    <mergeCell ref="K2987:M2987"/>
    <mergeCell ref="K4040:M4040"/>
    <mergeCell ref="G308:I308"/>
    <mergeCell ref="G3583:I3583"/>
    <mergeCell ref="K3585:M3585"/>
    <mergeCell ref="G3303:I3303"/>
    <mergeCell ref="A2996:A3001"/>
    <mergeCell ref="G310:I310"/>
    <mergeCell ref="K4410:M4410"/>
    <mergeCell ref="G2617:I2617"/>
    <mergeCell ref="A512:A517"/>
    <mergeCell ref="G2196:I2196"/>
    <mergeCell ref="G1137:I1137"/>
    <mergeCell ref="G1557:I1557"/>
    <mergeCell ref="K354:M354"/>
    <mergeCell ref="A3272:A3277"/>
    <mergeCell ref="K1415:M1415"/>
    <mergeCell ref="K356:M356"/>
    <mergeCell ref="K952:M952"/>
    <mergeCell ref="K1688:M1688"/>
    <mergeCell ref="K3070:M3070"/>
    <mergeCell ref="K954:M954"/>
    <mergeCell ref="A3088:A3093"/>
    <mergeCell ref="G1277:I1277"/>
    <mergeCell ref="K3712:M3712"/>
    <mergeCell ref="K1285:M1285"/>
    <mergeCell ref="K2015:M2015"/>
    <mergeCell ref="G2249:I2249"/>
    <mergeCell ref="G1786:I1786"/>
    <mergeCell ref="G2976:I2976"/>
    <mergeCell ref="G3391:I3391"/>
    <mergeCell ref="G2332:I2332"/>
    <mergeCell ref="G545:I545"/>
    <mergeCell ref="G1875:I1875"/>
    <mergeCell ref="K4403:M4403"/>
    <mergeCell ref="G777:I777"/>
    <mergeCell ref="K2616:M2616"/>
    <mergeCell ref="G3536:I3536"/>
    <mergeCell ref="A374:A379"/>
    <mergeCell ref="G3115:I3115"/>
    <mergeCell ref="A558:A563"/>
    <mergeCell ref="K2793:M2793"/>
    <mergeCell ref="K586:M586"/>
    <mergeCell ref="K1182:M1182"/>
    <mergeCell ref="K3398:M3398"/>
    <mergeCell ref="G446:I446"/>
    <mergeCell ref="K2795:M2795"/>
    <mergeCell ref="G2384:I2384"/>
    <mergeCell ref="G1507:I1507"/>
    <mergeCell ref="A3134:A3139"/>
    <mergeCell ref="G773:I773"/>
    <mergeCell ref="G1044:I1044"/>
    <mergeCell ref="G4042:I4042"/>
    <mergeCell ref="K3483:M3483"/>
    <mergeCell ref="G2386:I2386"/>
    <mergeCell ref="G2562:I2562"/>
    <mergeCell ref="K270:M270"/>
    <mergeCell ref="K1323:M1323"/>
    <mergeCell ref="G775:I775"/>
    <mergeCell ref="G1046:I1046"/>
    <mergeCell ref="K3022:M3022"/>
    <mergeCell ref="K1235:M1235"/>
    <mergeCell ref="K1787:M1787"/>
    <mergeCell ref="K728:M728"/>
    <mergeCell ref="K1781:M1781"/>
    <mergeCell ref="K493:M493"/>
    <mergeCell ref="G3713:I3713"/>
    <mergeCell ref="K3125:M3125"/>
    <mergeCell ref="G867:I867"/>
    <mergeCell ref="K1093:M1093"/>
    <mergeCell ref="K3852:M3852"/>
    <mergeCell ref="G2662:I2662"/>
    <mergeCell ref="G4403:I4403"/>
    <mergeCell ref="G2616:I2616"/>
    <mergeCell ref="K1377:M1377"/>
    <mergeCell ref="K3620:M3620"/>
    <mergeCell ref="K2895:M2895"/>
    <mergeCell ref="K4225:M4225"/>
    <mergeCell ref="G819:I819"/>
    <mergeCell ref="K3491:M3491"/>
    <mergeCell ref="K2432:M2432"/>
    <mergeCell ref="K3622:M3622"/>
    <mergeCell ref="G2202:I2202"/>
    <mergeCell ref="K2337:M2337"/>
    <mergeCell ref="K963:M963"/>
    <mergeCell ref="K3212:M3212"/>
    <mergeCell ref="K2153:M2153"/>
    <mergeCell ref="K3850:M3850"/>
    <mergeCell ref="G2660:I2660"/>
    <mergeCell ref="G4265:I4265"/>
    <mergeCell ref="G2478:I2478"/>
    <mergeCell ref="K1239:M1239"/>
    <mergeCell ref="G3349:I3349"/>
    <mergeCell ref="K4087:M4087"/>
    <mergeCell ref="G3994:I3994"/>
    <mergeCell ref="G3537:I3537"/>
    <mergeCell ref="K2334:M2334"/>
    <mergeCell ref="K1275:M1275"/>
    <mergeCell ref="G4367:I4367"/>
    <mergeCell ref="K2615:M2615"/>
    <mergeCell ref="K3945:M3945"/>
    <mergeCell ref="K917:M917"/>
    <mergeCell ref="K1555:M1555"/>
    <mergeCell ref="G1837:I1837"/>
    <mergeCell ref="K3123:M3123"/>
    <mergeCell ref="K2064:M2064"/>
    <mergeCell ref="K4083:M4083"/>
    <mergeCell ref="K1237:M1237"/>
    <mergeCell ref="K3023:M3023"/>
    <mergeCell ref="G1975:I1975"/>
    <mergeCell ref="G503:I503"/>
    <mergeCell ref="K4085:M4085"/>
    <mergeCell ref="G2702:I2702"/>
    <mergeCell ref="G915:I915"/>
    <mergeCell ref="G3674:I3674"/>
    <mergeCell ref="G2615:I2615"/>
    <mergeCell ref="K3625:M3625"/>
    <mergeCell ref="G3763:I3763"/>
    <mergeCell ref="G917:I917"/>
    <mergeCell ref="G1555:I1555"/>
    <mergeCell ref="G4272:I4272"/>
    <mergeCell ref="K636:M636"/>
    <mergeCell ref="G4227:I4227"/>
    <mergeCell ref="G4226:I4226"/>
    <mergeCell ref="K4272:M4272"/>
    <mergeCell ref="K4265:M4265"/>
    <mergeCell ref="K4271:M4271"/>
    <mergeCell ref="K1648:M1648"/>
    <mergeCell ref="G1926:I1926"/>
    <mergeCell ref="G216:I216"/>
    <mergeCell ref="K2011:M2011"/>
    <mergeCell ref="A1386:A1391"/>
    <mergeCell ref="K4227:M4227"/>
    <mergeCell ref="K3493:M3493"/>
    <mergeCell ref="G2334:I2334"/>
    <mergeCell ref="G1275:I1275"/>
    <mergeCell ref="G218:I218"/>
    <mergeCell ref="K38:M38"/>
    <mergeCell ref="G541:I541"/>
    <mergeCell ref="G84:I84"/>
    <mergeCell ref="G814:I814"/>
    <mergeCell ref="A1984:A1989"/>
    <mergeCell ref="G3353:I3353"/>
    <mergeCell ref="G1602:I1602"/>
    <mergeCell ref="K678:M678"/>
    <mergeCell ref="G1873:I1873"/>
    <mergeCell ref="K363:M363"/>
    <mergeCell ref="G2932:I2932"/>
    <mergeCell ref="G86:I86"/>
    <mergeCell ref="K1090:M1090"/>
    <mergeCell ref="K3211:M3211"/>
    <mergeCell ref="K1739:M1739"/>
    <mergeCell ref="K365:M365"/>
    <mergeCell ref="K1695:M1695"/>
    <mergeCell ref="G1141:I1141"/>
    <mergeCell ref="K961:M961"/>
    <mergeCell ref="K2151:M2151"/>
    <mergeCell ref="K1092:M1092"/>
    <mergeCell ref="K3851:M3851"/>
    <mergeCell ref="K1412:M1412"/>
    <mergeCell ref="K3533:M3533"/>
    <mergeCell ref="G3074:I3074"/>
    <mergeCell ref="G2987:I2987"/>
    <mergeCell ref="G4040:I4040"/>
    <mergeCell ref="K1418:M1418"/>
    <mergeCell ref="G3585:I3585"/>
    <mergeCell ref="G130:I130"/>
    <mergeCell ref="K2838:M2838"/>
    <mergeCell ref="K1322:M1322"/>
    <mergeCell ref="G1009:I1009"/>
    <mergeCell ref="G132:I132"/>
    <mergeCell ref="A3456:A3461"/>
    <mergeCell ref="G125:I125"/>
    <mergeCell ref="G3767:I3767"/>
    <mergeCell ref="G2708:I2708"/>
    <mergeCell ref="A4054:A4059"/>
    <mergeCell ref="K2564:M2564"/>
    <mergeCell ref="G2700:I2700"/>
    <mergeCell ref="G3759:I3759"/>
    <mergeCell ref="G913:I913"/>
    <mergeCell ref="G1643:I1643"/>
    <mergeCell ref="G1966:I1966"/>
    <mergeCell ref="G127:I127"/>
    <mergeCell ref="G3769:I3769"/>
    <mergeCell ref="G3761:I3761"/>
    <mergeCell ref="K3896:M3896"/>
    <mergeCell ref="K2522:M2522"/>
    <mergeCell ref="K2109:M2109"/>
    <mergeCell ref="K1050:M1050"/>
    <mergeCell ref="K2103:M2103"/>
    <mergeCell ref="K316:M316"/>
    <mergeCell ref="G2103:I2103"/>
    <mergeCell ref="G316:I316"/>
    <mergeCell ref="K4310:M4310"/>
    <mergeCell ref="G2297:I2297"/>
    <mergeCell ref="K2104:M2104"/>
    <mergeCell ref="K1045:M1045"/>
    <mergeCell ref="G3024:I3024"/>
    <mergeCell ref="K34:M34"/>
    <mergeCell ref="G2755:I2755"/>
    <mergeCell ref="A650:A655"/>
    <mergeCell ref="G1239:I1239"/>
    <mergeCell ref="G2429:I2429"/>
    <mergeCell ref="K1366:M1366"/>
    <mergeCell ref="G636:I636"/>
    <mergeCell ref="G2757:I2757"/>
    <mergeCell ref="G4087:I4087"/>
    <mergeCell ref="K2251:M2251"/>
    <mergeCell ref="K2245:M2245"/>
    <mergeCell ref="K3217:M3217"/>
    <mergeCell ref="K3944:M3944"/>
    <mergeCell ref="K3629:M3629"/>
    <mergeCell ref="G354:I354"/>
    <mergeCell ref="G225:I225"/>
    <mergeCell ref="G1415:I1415"/>
    <mergeCell ref="G356:I356"/>
    <mergeCell ref="K176:M176"/>
    <mergeCell ref="G952:I952"/>
    <mergeCell ref="G1924:I1924"/>
    <mergeCell ref="G227:I227"/>
    <mergeCell ref="G2470:I2470"/>
    <mergeCell ref="G2013:I2013"/>
    <mergeCell ref="G954:I954"/>
    <mergeCell ref="K4034:M4034"/>
    <mergeCell ref="G3436:I3436"/>
    <mergeCell ref="K171:M171"/>
    <mergeCell ref="K687:M687"/>
    <mergeCell ref="K1877:M1877"/>
    <mergeCell ref="G3712:I3712"/>
    <mergeCell ref="K776:M776"/>
    <mergeCell ref="K3991:M3991"/>
    <mergeCell ref="K1145:M1145"/>
    <mergeCell ref="K2475:M2475"/>
    <mergeCell ref="A696:A701"/>
    <mergeCell ref="K2931:M2931"/>
    <mergeCell ref="K1872:M1872"/>
    <mergeCell ref="K3993:M3993"/>
    <mergeCell ref="K2933:M2933"/>
    <mergeCell ref="G3853:I3853"/>
    <mergeCell ref="G586:I586"/>
    <mergeCell ref="G1182:I1182"/>
    <mergeCell ref="K3675:M3675"/>
    <mergeCell ref="G3121:I3121"/>
    <mergeCell ref="K408:M408"/>
    <mergeCell ref="A1524:A1529"/>
    <mergeCell ref="A834:A839"/>
    <mergeCell ref="G262:I262"/>
    <mergeCell ref="A1432:A1437"/>
    <mergeCell ref="A3594:A3599"/>
    <mergeCell ref="G263:I263"/>
    <mergeCell ref="K216:M216"/>
    <mergeCell ref="K3723:M3723"/>
    <mergeCell ref="G2564:I2564"/>
    <mergeCell ref="K1183:M1183"/>
    <mergeCell ref="G2109:I2109"/>
    <mergeCell ref="G4178:I4178"/>
    <mergeCell ref="K4129:M4129"/>
    <mergeCell ref="K4319:M4319"/>
    <mergeCell ref="K1461:M1461"/>
    <mergeCell ref="K402:M402"/>
    <mergeCell ref="K401:M401"/>
    <mergeCell ref="K3160:M3160"/>
    <mergeCell ref="K1463:M1463"/>
    <mergeCell ref="G3483:I3483"/>
    <mergeCell ref="K403:M403"/>
    <mergeCell ref="G1367:I1367"/>
    <mergeCell ref="G1052:I1052"/>
    <mergeCell ref="G1323:I1323"/>
    <mergeCell ref="K3162:M3162"/>
    <mergeCell ref="K1375:M1375"/>
    <mergeCell ref="K2102:M2102"/>
    <mergeCell ref="G2751:I2751"/>
    <mergeCell ref="G1965:I1965"/>
    <mergeCell ref="G2840:I2840"/>
    <mergeCell ref="G1781:I1781"/>
    <mergeCell ref="G3852:I3852"/>
    <mergeCell ref="K1556:M1556"/>
    <mergeCell ref="K2941:M2941"/>
    <mergeCell ref="G1879:I1879"/>
    <mergeCell ref="K4131:M4131"/>
    <mergeCell ref="K3674:M3674"/>
    <mergeCell ref="K3668:M3668"/>
    <mergeCell ref="G2477:I2477"/>
    <mergeCell ref="G4318:I4318"/>
    <mergeCell ref="G2479:I2479"/>
    <mergeCell ref="G2838:I2838"/>
    <mergeCell ref="K1785:M1785"/>
    <mergeCell ref="K501:M501"/>
    <mergeCell ref="G1734:I1734"/>
    <mergeCell ref="K129:M129"/>
    <mergeCell ref="G2753:I2753"/>
    <mergeCell ref="G4083:I4083"/>
    <mergeCell ref="K2573:M2573"/>
    <mergeCell ref="G1055:I1055"/>
    <mergeCell ref="G3023:I3023"/>
    <mergeCell ref="G907:I907"/>
    <mergeCell ref="G4085:I4085"/>
    <mergeCell ref="K3905:M3905"/>
    <mergeCell ref="G3351:I3351"/>
    <mergeCell ref="K543:M543"/>
    <mergeCell ref="K729:M729"/>
    <mergeCell ref="K3907:M3907"/>
    <mergeCell ref="K4363:M4363"/>
    <mergeCell ref="K3304:M3304"/>
    <mergeCell ref="K2570:M2570"/>
    <mergeCell ref="K3760:M3760"/>
    <mergeCell ref="G2893:I2893"/>
    <mergeCell ref="G1650:I1650"/>
    <mergeCell ref="K447:M447"/>
    <mergeCell ref="G2895:I2895"/>
    <mergeCell ref="K3030:M3030"/>
    <mergeCell ref="G3491:I3491"/>
    <mergeCell ref="G2432:I2432"/>
    <mergeCell ref="K816:M816"/>
    <mergeCell ref="G2011:I2011"/>
    <mergeCell ref="G3493:I3493"/>
    <mergeCell ref="K1228:M1228"/>
    <mergeCell ref="K495:M495"/>
    <mergeCell ref="G3125:I3125"/>
    <mergeCell ref="G34:I34"/>
    <mergeCell ref="K2383:M2383"/>
    <mergeCell ref="K3713:M3713"/>
    <mergeCell ref="G2706:I2706"/>
    <mergeCell ref="G1366:I1366"/>
    <mergeCell ref="K4082:M4082"/>
    <mergeCell ref="K3767:M3767"/>
    <mergeCell ref="G1091:I1091"/>
    <mergeCell ref="G3217:I3217"/>
    <mergeCell ref="K585:M585"/>
    <mergeCell ref="G1090:I1090"/>
    <mergeCell ref="G3306:I3306"/>
    <mergeCell ref="K1557:M1557"/>
    <mergeCell ref="G1003:I1003"/>
    <mergeCell ref="G1513:I1513"/>
    <mergeCell ref="G3815:I3815"/>
    <mergeCell ref="G1092:I1092"/>
    <mergeCell ref="K309:M309"/>
    <mergeCell ref="K825:M825"/>
    <mergeCell ref="G176:I176"/>
    <mergeCell ref="K3345:M3345"/>
    <mergeCell ref="K914:M914"/>
    <mergeCell ref="G38:I38"/>
    <mergeCell ref="G3949:I3949"/>
    <mergeCell ref="K1833:M1833"/>
    <mergeCell ref="K774:M774"/>
    <mergeCell ref="K40:M40"/>
    <mergeCell ref="K2289:M2289"/>
    <mergeCell ref="K1230:M1230"/>
    <mergeCell ref="K3953:M3953"/>
    <mergeCell ref="G1737:I1737"/>
    <mergeCell ref="G678:I678"/>
    <mergeCell ref="G171:I171"/>
    <mergeCell ref="G776:I776"/>
    <mergeCell ref="G357:I357"/>
    <mergeCell ref="G2801:I2801"/>
    <mergeCell ref="G3991:I3991"/>
    <mergeCell ref="G1145:I1145"/>
    <mergeCell ref="K179:M179"/>
    <mergeCell ref="G2931:I2931"/>
    <mergeCell ref="G3993:I3993"/>
    <mergeCell ref="K3813:M3813"/>
    <mergeCell ref="K2754:M2754"/>
    <mergeCell ref="K2297:M2297"/>
    <mergeCell ref="G2933:I2933"/>
    <mergeCell ref="K540:M540"/>
    <mergeCell ref="K3815:M3815"/>
    <mergeCell ref="K1006:M1006"/>
    <mergeCell ref="G729:I729"/>
    <mergeCell ref="G3907:I3907"/>
    <mergeCell ref="K3168:M3168"/>
    <mergeCell ref="K3079:M3079"/>
    <mergeCell ref="G179:I179"/>
    <mergeCell ref="G177:I177"/>
    <mergeCell ref="G224:I224"/>
    <mergeCell ref="G685:I685"/>
    <mergeCell ref="G679:I679"/>
    <mergeCell ref="K3485:M3485"/>
    <mergeCell ref="K1331:M1331"/>
    <mergeCell ref="G2295:I2295"/>
    <mergeCell ref="G405:I405"/>
    <mergeCell ref="K1925:M1925"/>
    <mergeCell ref="G1377:I1377"/>
    <mergeCell ref="K3115:M3115"/>
    <mergeCell ref="K83:M83"/>
    <mergeCell ref="K3990:M3990"/>
    <mergeCell ref="K2755:M2755"/>
    <mergeCell ref="K2749:M2749"/>
    <mergeCell ref="K541:M541"/>
    <mergeCell ref="G1285:I1285"/>
    <mergeCell ref="G1461:I1461"/>
    <mergeCell ref="K3810:M3810"/>
    <mergeCell ref="G4133:I4133"/>
    <mergeCell ref="G401:I401"/>
    <mergeCell ref="G2522:I2522"/>
    <mergeCell ref="G1463:I1463"/>
    <mergeCell ref="A2214:A2219"/>
    <mergeCell ref="G403:I403"/>
    <mergeCell ref="G4221:I4221"/>
    <mergeCell ref="G3162:I3162"/>
    <mergeCell ref="K866:M866"/>
    <mergeCell ref="K2379:M2379"/>
    <mergeCell ref="G2102:I2102"/>
    <mergeCell ref="G2517:I2517"/>
    <mergeCell ref="K225:M225"/>
    <mergeCell ref="K4043:M4043"/>
    <mergeCell ref="K2984:M2984"/>
    <mergeCell ref="G129:I129"/>
    <mergeCell ref="K2381:M2381"/>
    <mergeCell ref="K1924:M1924"/>
    <mergeCell ref="G2573:I2573"/>
    <mergeCell ref="K3442:M3442"/>
    <mergeCell ref="G131:I131"/>
    <mergeCell ref="G1184:I1184"/>
    <mergeCell ref="G727:I727"/>
    <mergeCell ref="K2979:M2979"/>
    <mergeCell ref="G4363:I4363"/>
    <mergeCell ref="G3629:I3629"/>
    <mergeCell ref="G2570:I2570"/>
    <mergeCell ref="G3760:I3760"/>
    <mergeCell ref="A926:A931"/>
    <mergeCell ref="K2521:M2521"/>
    <mergeCell ref="G3631:I3631"/>
    <mergeCell ref="K2707:M2707"/>
    <mergeCell ref="K3582:M3582"/>
    <mergeCell ref="K3758:M3758"/>
    <mergeCell ref="G447:I447"/>
    <mergeCell ref="G4358:I4358"/>
    <mergeCell ref="K3119:M3119"/>
    <mergeCell ref="K912:M912"/>
    <mergeCell ref="A1340:A1345"/>
    <mergeCell ref="G1413:I1413"/>
    <mergeCell ref="K4091:M4091"/>
    <mergeCell ref="G2288:I2288"/>
    <mergeCell ref="G816:I816"/>
    <mergeCell ref="G501:I501"/>
    <mergeCell ref="K4180:M4180"/>
    <mergeCell ref="K3121:M3121"/>
    <mergeCell ref="G3628:I3628"/>
    <mergeCell ref="G1228:I1228"/>
    <mergeCell ref="G1877:I1877"/>
    <mergeCell ref="K4269:M4269"/>
    <mergeCell ref="K3951:M3951"/>
    <mergeCell ref="K1835:M1835"/>
    <mergeCell ref="K862:M862"/>
    <mergeCell ref="K4137:M4137"/>
    <mergeCell ref="K3534:M3534"/>
    <mergeCell ref="K863:M863"/>
    <mergeCell ref="K4267:M4267"/>
    <mergeCell ref="K3208:M3208"/>
    <mergeCell ref="K2751:M2751"/>
    <mergeCell ref="K3804:M3804"/>
    <mergeCell ref="A972:A977"/>
    <mergeCell ref="K1965:M1965"/>
    <mergeCell ref="G2614:I2614"/>
    <mergeCell ref="G958:I958"/>
    <mergeCell ref="K2753:M2753"/>
    <mergeCell ref="K3806:M3806"/>
    <mergeCell ref="G3675:I3675"/>
    <mergeCell ref="A1570:A1575"/>
    <mergeCell ref="G4129:I4129"/>
    <mergeCell ref="K4264:M4264"/>
    <mergeCell ref="G1556:I1556"/>
    <mergeCell ref="K3076:M3076"/>
    <mergeCell ref="G4131:I4131"/>
    <mergeCell ref="K1552:M1552"/>
    <mergeCell ref="K2157:M2157"/>
    <mergeCell ref="K2613:M2613"/>
    <mergeCell ref="G3533:I3533"/>
    <mergeCell ref="K1504:M1504"/>
    <mergeCell ref="G2104:I2104"/>
    <mergeCell ref="K3443:M3443"/>
    <mergeCell ref="K1927:M1927"/>
    <mergeCell ref="K1193:M1193"/>
    <mergeCell ref="K3989:M3989"/>
    <mergeCell ref="A3364:A3369"/>
    <mergeCell ref="G2798:I2798"/>
    <mergeCell ref="G1739:I1739"/>
    <mergeCell ref="G2792:I2792"/>
    <mergeCell ref="A3962:A3967"/>
    <mergeCell ref="G1142:I1142"/>
    <mergeCell ref="G2472:I2472"/>
    <mergeCell ref="A282:A287"/>
    <mergeCell ref="K638:M638"/>
    <mergeCell ref="G1833:I1833"/>
    <mergeCell ref="A4100:A4105"/>
    <mergeCell ref="G1414:I1414"/>
    <mergeCell ref="K175:M175"/>
    <mergeCell ref="G2289:I2289"/>
    <mergeCell ref="K631:M631"/>
    <mergeCell ref="G1101:I1101"/>
    <mergeCell ref="K177:M177"/>
    <mergeCell ref="K1236:M1236"/>
    <mergeCell ref="K2426:M2426"/>
    <mergeCell ref="K1367:M1367"/>
    <mergeCell ref="G1872:I1872"/>
    <mergeCell ref="K633:M633"/>
    <mergeCell ref="K865:M865"/>
    <mergeCell ref="G363:I363"/>
    <mergeCell ref="G549:I549"/>
    <mergeCell ref="K500:M500"/>
    <mergeCell ref="G961:I961"/>
    <mergeCell ref="G2151:I2151"/>
    <mergeCell ref="G3580:I3580"/>
    <mergeCell ref="G3123:I3123"/>
    <mergeCell ref="K2614:M2614"/>
    <mergeCell ref="G2337:I2337"/>
    <mergeCell ref="G963:I963"/>
    <mergeCell ref="K1098:M1098"/>
    <mergeCell ref="G3850:I3850"/>
    <mergeCell ref="K958:M958"/>
    <mergeCell ref="K2288:M2288"/>
    <mergeCell ref="K3068:M3068"/>
    <mergeCell ref="G1144:I1144"/>
    <mergeCell ref="A3410:A3415"/>
    <mergeCell ref="K4132:M4132"/>
    <mergeCell ref="G2844:I2844"/>
    <mergeCell ref="G1785:I1785"/>
    <mergeCell ref="G2241:I2241"/>
    <mergeCell ref="G544:I544"/>
    <mergeCell ref="G725:I725"/>
    <mergeCell ref="G3723:I3723"/>
    <mergeCell ref="G2846:I2846"/>
    <mergeCell ref="K2063:M2063"/>
    <mergeCell ref="K1004:M1004"/>
    <mergeCell ref="K3253:M3253"/>
    <mergeCell ref="K2194:M2194"/>
    <mergeCell ref="K547:M547"/>
    <mergeCell ref="K1460:M1460"/>
    <mergeCell ref="G1183:I1183"/>
    <mergeCell ref="K2065:M2065"/>
    <mergeCell ref="K549:M549"/>
    <mergeCell ref="K2792:M2792"/>
    <mergeCell ref="K1005:M1005"/>
    <mergeCell ref="G1925:I1925"/>
    <mergeCell ref="K3580:M3580"/>
    <mergeCell ref="G1193:I1193"/>
    <mergeCell ref="G2383:I2383"/>
    <mergeCell ref="A1938:A1943"/>
    <mergeCell ref="A2398:A2403"/>
    <mergeCell ref="G3944:I3944"/>
    <mergeCell ref="K2705:M2705"/>
    <mergeCell ref="K595:M595"/>
    <mergeCell ref="G1515:I1515"/>
    <mergeCell ref="A1800:A1805"/>
    <mergeCell ref="K2241:M2241"/>
    <mergeCell ref="K1964:M1964"/>
    <mergeCell ref="G2890:I2890"/>
    <mergeCell ref="G774:I774"/>
    <mergeCell ref="K4178:M4178"/>
    <mergeCell ref="G3355:I3355"/>
    <mergeCell ref="K723:M723"/>
    <mergeCell ref="G3444:I3444"/>
    <mergeCell ref="G4082:I4082"/>
    <mergeCell ref="K2205:M2205"/>
    <mergeCell ref="G1651:I1651"/>
    <mergeCell ref="G2981:I2981"/>
    <mergeCell ref="G3953:I3953"/>
    <mergeCell ref="K262:M262"/>
    <mergeCell ref="K3904:M3904"/>
    <mergeCell ref="K4080:M4080"/>
    <mergeCell ref="A1662:A1667"/>
    <mergeCell ref="K2424:M2424"/>
    <mergeCell ref="K1690:M1690"/>
    <mergeCell ref="G493:I493"/>
    <mergeCell ref="G3671:I3671"/>
    <mergeCell ref="G309:I309"/>
    <mergeCell ref="G3068:I3068"/>
    <mergeCell ref="G1229:I1229"/>
    <mergeCell ref="G540:I540"/>
    <mergeCell ref="K362:M362"/>
    <mergeCell ref="A420:A425"/>
    <mergeCell ref="G631:I631"/>
    <mergeCell ref="G633:I633"/>
    <mergeCell ref="K451:M451"/>
    <mergeCell ref="K453:M453"/>
    <mergeCell ref="A2352:A2357"/>
    <mergeCell ref="G3300:I3300"/>
    <mergeCell ref="K2150:M2150"/>
    <mergeCell ref="K1091:M1091"/>
    <mergeCell ref="K3122:M3122"/>
    <mergeCell ref="K4270:M4270"/>
    <mergeCell ref="K2519:M2519"/>
    <mergeCell ref="K1003:M1003"/>
    <mergeCell ref="G866:I866"/>
    <mergeCell ref="G2056:I2056"/>
    <mergeCell ref="G2379:I2379"/>
    <mergeCell ref="K817:M817"/>
    <mergeCell ref="G1322:I1322"/>
    <mergeCell ref="G865:I865"/>
    <mergeCell ref="K3117:M3117"/>
    <mergeCell ref="G4043:I4043"/>
    <mergeCell ref="G1927:I1927"/>
    <mergeCell ref="G3897:I3897"/>
    <mergeCell ref="K3988:M3988"/>
    <mergeCell ref="G2381:I2381"/>
    <mergeCell ref="K2201:M2201"/>
    <mergeCell ref="G1693:I1693"/>
    <mergeCell ref="G1236:I1236"/>
    <mergeCell ref="G2426:I2426"/>
    <mergeCell ref="A2260:A2265"/>
    <mergeCell ref="K1515:M1515"/>
    <mergeCell ref="G4267:I4267"/>
    <mergeCell ref="G3208:I3208"/>
    <mergeCell ref="A3548:A3553"/>
    <mergeCell ref="A2490:A2495"/>
    <mergeCell ref="A1202:A1207"/>
    <mergeCell ref="A4238:A4243"/>
    <mergeCell ref="K4318:M4318"/>
    <mergeCell ref="K3259:M3259"/>
    <mergeCell ref="G4223:I4223"/>
    <mergeCell ref="G3766:I3766"/>
    <mergeCell ref="G2707:I2707"/>
    <mergeCell ref="K2527:M2527"/>
    <mergeCell ref="K1047:M1047"/>
    <mergeCell ref="K4045:M4045"/>
    <mergeCell ref="K313:M313"/>
    <mergeCell ref="G4091:I4091"/>
    <mergeCell ref="G4127:I4127"/>
    <mergeCell ref="G4180:I4180"/>
    <mergeCell ref="K315:M315"/>
    <mergeCell ref="K1505:M1505"/>
    <mergeCell ref="G638:I638"/>
    <mergeCell ref="K727:M727"/>
    <mergeCell ref="G175:I175"/>
    <mergeCell ref="K4275:M4275"/>
    <mergeCell ref="G914:I914"/>
    <mergeCell ref="G1552:I1552"/>
    <mergeCell ref="G3673:I3673"/>
    <mergeCell ref="K2890:M2890"/>
    <mergeCell ref="K3161:M3161"/>
    <mergeCell ref="G2613:I2613"/>
    <mergeCell ref="K1051:M1051"/>
    <mergeCell ref="G3666:I3666"/>
    <mergeCell ref="K1374:M1374"/>
    <mergeCell ref="K771:M771"/>
    <mergeCell ref="K2892:M2892"/>
    <mergeCell ref="K3530:M3530"/>
    <mergeCell ref="K2435:M2435"/>
    <mergeCell ref="G3668:I3668"/>
    <mergeCell ref="K1512:M1512"/>
    <mergeCell ref="K3301:M3301"/>
    <mergeCell ref="K85:M85"/>
    <mergeCell ref="G3442:I3442"/>
    <mergeCell ref="K2203:M2203"/>
    <mergeCell ref="G2979:I2979"/>
    <mergeCell ref="K1469:M1469"/>
    <mergeCell ref="K3902:M3902"/>
    <mergeCell ref="K4317:M4317"/>
    <mergeCell ref="G1006:I1006"/>
    <mergeCell ref="K2845:M2845"/>
    <mergeCell ref="K2801:M2801"/>
    <mergeCell ref="G3765:I3765"/>
    <mergeCell ref="G585:I585"/>
    <mergeCell ref="G3168:I3168"/>
    <mergeCell ref="K3257:M3257"/>
    <mergeCell ref="G2067:I2067"/>
    <mergeCell ref="K1832:M1832"/>
    <mergeCell ref="K2885:M2885"/>
    <mergeCell ref="K4128:M4128"/>
    <mergeCell ref="K2893:M2893"/>
    <mergeCell ref="K1834:M1834"/>
    <mergeCell ref="K2887:M2887"/>
    <mergeCell ref="G3813:I3813"/>
    <mergeCell ref="G2754:I2754"/>
    <mergeCell ref="G3396:I3396"/>
    <mergeCell ref="G1601:I1601"/>
    <mergeCell ref="G2749:I2749"/>
    <mergeCell ref="K1097:M1097"/>
    <mergeCell ref="K2341:M2341"/>
    <mergeCell ref="G3117:I3117"/>
    <mergeCell ref="K1878:M1878"/>
    <mergeCell ref="K170:M170"/>
    <mergeCell ref="G677:I677"/>
    <mergeCell ref="K1142:M1142"/>
    <mergeCell ref="K1413:M1413"/>
    <mergeCell ref="K2472:M2472"/>
    <mergeCell ref="K685:M685"/>
    <mergeCell ref="K3351:M3351"/>
    <mergeCell ref="K1740:M1740"/>
    <mergeCell ref="K2930:M2930"/>
    <mergeCell ref="G733:I733"/>
    <mergeCell ref="G1004:I1004"/>
    <mergeCell ref="G2063:I2063"/>
    <mergeCell ref="G1460:I1460"/>
    <mergeCell ref="K3255:M3255"/>
    <mergeCell ref="G4219:I4219"/>
    <mergeCell ref="G2065:I2065"/>
    <mergeCell ref="K3069:M3069"/>
    <mergeCell ref="G2521:I2521"/>
    <mergeCell ref="K1282:M1282"/>
    <mergeCell ref="G1005:I1005"/>
    <mergeCell ref="G3764:I3764"/>
    <mergeCell ref="K2525:M2525"/>
    <mergeCell ref="K3071:M3071"/>
    <mergeCell ref="G2523:I2523"/>
    <mergeCell ref="K2343:M2343"/>
    <mergeCell ref="G3119:I3119"/>
    <mergeCell ref="K821:M821"/>
    <mergeCell ref="K400:M400"/>
    <mergeCell ref="K2983:M2983"/>
    <mergeCell ref="G723:I723"/>
    <mergeCell ref="G2205:I2205"/>
    <mergeCell ref="K3581:M3581"/>
    <mergeCell ref="K4413:M4413"/>
    <mergeCell ref="G2157:I2157"/>
    <mergeCell ref="K1229:M1229"/>
    <mergeCell ref="A604:A609"/>
    <mergeCell ref="K3355:M3355"/>
    <mergeCell ref="K4408:M4408"/>
    <mergeCell ref="G355:I355"/>
    <mergeCell ref="G2150:I2150"/>
    <mergeCell ref="K492:M492"/>
    <mergeCell ref="G3999:I3999"/>
    <mergeCell ref="K4126:M4126"/>
    <mergeCell ref="G2519:I2519"/>
    <mergeCell ref="K2339:M2339"/>
    <mergeCell ref="K1280:M1280"/>
    <mergeCell ref="K2010:M2010"/>
    <mergeCell ref="K1553:M1553"/>
    <mergeCell ref="K494:M494"/>
    <mergeCell ref="K4402:M4402"/>
    <mergeCell ref="G3804:I3804"/>
    <mergeCell ref="K2242:M2242"/>
    <mergeCell ref="G1694:I1694"/>
    <mergeCell ref="K455:M455"/>
    <mergeCell ref="G1688:I1688"/>
    <mergeCell ref="K3214:M3214"/>
    <mergeCell ref="G3806:I3806"/>
    <mergeCell ref="G2019:I2019"/>
    <mergeCell ref="K457:M457"/>
    <mergeCell ref="K3672:M3672"/>
    <mergeCell ref="K3943:M3943"/>
    <mergeCell ref="K3628:M3628"/>
    <mergeCell ref="K3215:M3215"/>
    <mergeCell ref="K2156:M2156"/>
    <mergeCell ref="K593:M593"/>
    <mergeCell ref="K1320:M1320"/>
    <mergeCell ref="K4266:M4266"/>
    <mergeCell ref="G317:I317"/>
    <mergeCell ref="K2569:M2569"/>
    <mergeCell ref="A2582:A2587"/>
    <mergeCell ref="G3951:I3951"/>
    <mergeCell ref="G2892:I2892"/>
    <mergeCell ref="G2435:I2435"/>
    <mergeCell ref="G2473:I2473"/>
    <mergeCell ref="G319:I319"/>
    <mergeCell ref="G1832:I1832"/>
    <mergeCell ref="G2885:I2885"/>
    <mergeCell ref="K2295:M2295"/>
    <mergeCell ref="K3441:M3441"/>
    <mergeCell ref="G1834:I1834"/>
    <mergeCell ref="G2887:I2887"/>
    <mergeCell ref="G1835:I1835"/>
    <mergeCell ref="G1921:I1921"/>
    <mergeCell ref="G4137:I4137"/>
    <mergeCell ref="G3534:I3534"/>
    <mergeCell ref="G1923:I1923"/>
    <mergeCell ref="G863:I863"/>
    <mergeCell ref="G4132:I4132"/>
    <mergeCell ref="K1745:M1745"/>
    <mergeCell ref="K539:M539"/>
    <mergeCell ref="G2839:I2839"/>
    <mergeCell ref="G1690:I1690"/>
    <mergeCell ref="G589:I589"/>
    <mergeCell ref="K1969:M1969"/>
    <mergeCell ref="K2240:M2240"/>
    <mergeCell ref="K3299:M3299"/>
    <mergeCell ref="G3988:I3988"/>
    <mergeCell ref="G2201:I2201"/>
    <mergeCell ref="G85:I85"/>
    <mergeCell ref="K2939:M2939"/>
    <mergeCell ref="K1880:M1880"/>
    <mergeCell ref="G3903:I3903"/>
    <mergeCell ref="K3666:M3666"/>
    <mergeCell ref="G2843:I2843"/>
    <mergeCell ref="G1469:I1469"/>
    <mergeCell ref="G3904:I3904"/>
    <mergeCell ref="G2845:I2845"/>
    <mergeCell ref="G3898:I3898"/>
    <mergeCell ref="G3257:I3257"/>
    <mergeCell ref="K1185:M1185"/>
    <mergeCell ref="K126:M126"/>
    <mergeCell ref="G4229:I4229"/>
    <mergeCell ref="K538:M538"/>
    <mergeCell ref="G3443:I3443"/>
    <mergeCell ref="K1607:M1607"/>
    <mergeCell ref="G1373:I1373"/>
    <mergeCell ref="G4045:I4045"/>
    <mergeCell ref="G313:I313"/>
    <mergeCell ref="G2985:I2985"/>
    <mergeCell ref="G3161:I3161"/>
    <mergeCell ref="G1374:I1374"/>
    <mergeCell ref="G315:I315"/>
    <mergeCell ref="G1368:I1368"/>
    <mergeCell ref="G1505:I1505"/>
    <mergeCell ref="G771:I771"/>
    <mergeCell ref="G3942:I3942"/>
    <mergeCell ref="K2380:M2380"/>
    <mergeCell ref="K1321:M1321"/>
    <mergeCell ref="G2983:I2983"/>
    <mergeCell ref="G4036:I4036"/>
    <mergeCell ref="G4402:I4402"/>
    <mergeCell ref="G3758:I3758"/>
    <mergeCell ref="K2891:M2891"/>
    <mergeCell ref="G1971:I1971"/>
    <mergeCell ref="K4081:M4081"/>
    <mergeCell ref="K3766:M3766"/>
    <mergeCell ref="G455:I455"/>
    <mergeCell ref="K2294:M2294"/>
    <mergeCell ref="G3214:I3214"/>
    <mergeCell ref="A52:A57"/>
    <mergeCell ref="G1973:I1973"/>
    <mergeCell ref="G2154:I2154"/>
    <mergeCell ref="G457:I457"/>
    <mergeCell ref="G4275:I4275"/>
    <mergeCell ref="G3672:I3672"/>
    <mergeCell ref="G3215:I3215"/>
    <mergeCell ref="G3209:I3209"/>
    <mergeCell ref="K911:M911"/>
    <mergeCell ref="G4270:I4270"/>
    <mergeCell ref="K3031:M3031"/>
    <mergeCell ref="K308:M308"/>
    <mergeCell ref="K1972:M1972"/>
    <mergeCell ref="K4221:M4221"/>
    <mergeCell ref="K2610:M2610"/>
    <mergeCell ref="K1551:M1551"/>
    <mergeCell ref="K3033:M3033"/>
    <mergeCell ref="K4223:M4223"/>
    <mergeCell ref="G81:I81"/>
    <mergeCell ref="K3489:M3489"/>
    <mergeCell ref="G3812:I3812"/>
    <mergeCell ref="K4088:M4088"/>
    <mergeCell ref="K4219:M4219"/>
    <mergeCell ref="A2306:A2311"/>
    <mergeCell ref="K3393:M3393"/>
    <mergeCell ref="G4410:I4410"/>
    <mergeCell ref="G2203:I2203"/>
    <mergeCell ref="G1740:I1740"/>
    <mergeCell ref="K3207:M3207"/>
    <mergeCell ref="K2148:M2148"/>
    <mergeCell ref="G2930:I2930"/>
    <mergeCell ref="K1420:M1420"/>
    <mergeCell ref="K361:M361"/>
    <mergeCell ref="K1691:M1691"/>
    <mergeCell ref="G3902:I3902"/>
    <mergeCell ref="K2663:M2663"/>
    <mergeCell ref="K3209:M3209"/>
    <mergeCell ref="K2752:M2752"/>
    <mergeCell ref="K1693:M1693"/>
    <mergeCell ref="K3390:M3390"/>
    <mergeCell ref="K959:M959"/>
    <mergeCell ref="K2149:M2149"/>
    <mergeCell ref="K2665:M2665"/>
    <mergeCell ref="K3718:M3718"/>
    <mergeCell ref="G3069:I3069"/>
    <mergeCell ref="K3261:M3261"/>
    <mergeCell ref="G1282:I1282"/>
    <mergeCell ref="G4041:I4041"/>
    <mergeCell ref="K3263:M3263"/>
    <mergeCell ref="G2343:I2343"/>
    <mergeCell ref="K1419:M1419"/>
    <mergeCell ref="K3719:M3719"/>
    <mergeCell ref="K677:M677"/>
    <mergeCell ref="K3531:M3531"/>
    <mergeCell ref="G2939:I2939"/>
    <mergeCell ref="A880:A885"/>
    <mergeCell ref="K4321:M4321"/>
    <mergeCell ref="G3581:I3581"/>
    <mergeCell ref="K3437:M3437"/>
    <mergeCell ref="K2378:M2378"/>
    <mergeCell ref="K591:M591"/>
    <mergeCell ref="K4316:M4316"/>
    <mergeCell ref="K3439:M3439"/>
    <mergeCell ref="K1189:M1189"/>
    <mergeCell ref="G1969:I1969"/>
    <mergeCell ref="G3299:I3299"/>
    <mergeCell ref="G1512:I1512"/>
    <mergeCell ref="G2242:I2242"/>
    <mergeCell ref="K3861:M3861"/>
    <mergeCell ref="G1506:I1506"/>
    <mergeCell ref="A2720:A2725"/>
    <mergeCell ref="G3030:I3030"/>
    <mergeCell ref="G3301:I3301"/>
    <mergeCell ref="K1791:M1791"/>
    <mergeCell ref="G2567:I2567"/>
    <mergeCell ref="K2518:M2518"/>
    <mergeCell ref="G1964:I1964"/>
    <mergeCell ref="K3490:M3490"/>
    <mergeCell ref="G4266:I4266"/>
    <mergeCell ref="G2569:I2569"/>
    <mergeCell ref="K2389:M2389"/>
    <mergeCell ref="K3579:M3579"/>
    <mergeCell ref="K733:M733"/>
    <mergeCell ref="K3765:M3765"/>
    <mergeCell ref="G2424:I2424"/>
    <mergeCell ref="G593:I593"/>
    <mergeCell ref="G3352:I3352"/>
    <mergeCell ref="A190:A195"/>
    <mergeCell ref="G3022:I3022"/>
    <mergeCell ref="G1235:I1235"/>
    <mergeCell ref="G4413:I4413"/>
    <mergeCell ref="K32:M32"/>
    <mergeCell ref="K2844:M2844"/>
    <mergeCell ref="G1237:I1237"/>
    <mergeCell ref="K630:M630"/>
    <mergeCell ref="G4408:I4408"/>
    <mergeCell ref="K2846:M2846"/>
    <mergeCell ref="K2748:M2748"/>
    <mergeCell ref="G2194:I2194"/>
    <mergeCell ref="K632:M632"/>
    <mergeCell ref="K3627:M3627"/>
    <mergeCell ref="G221:I221"/>
    <mergeCell ref="G492:I492"/>
    <mergeCell ref="K2016:M2016"/>
    <mergeCell ref="G4126:I4126"/>
    <mergeCell ref="G2339:I2339"/>
    <mergeCell ref="G2010:I2010"/>
    <mergeCell ref="G223:I223"/>
    <mergeCell ref="G1553:I1553"/>
    <mergeCell ref="A3180:A3185"/>
    <mergeCell ref="K2018:M2018"/>
    <mergeCell ref="G2341:I2341"/>
    <mergeCell ref="G3071:I3071"/>
    <mergeCell ref="K3529:M3529"/>
    <mergeCell ref="G1607:I1607"/>
    <mergeCell ref="K1742:M1742"/>
    <mergeCell ref="G821:I821"/>
    <mergeCell ref="K3169:M3169"/>
    <mergeCell ref="K2110:M2110"/>
    <mergeCell ref="G3395:I3395"/>
    <mergeCell ref="K2471:M2471"/>
    <mergeCell ref="K264:M264"/>
    <mergeCell ref="G1604:I1604"/>
    <mergeCell ref="K676:M676"/>
    <mergeCell ref="K1283:M1283"/>
    <mergeCell ref="G124:I124"/>
    <mergeCell ref="K2473:M2473"/>
    <mergeCell ref="G539:I539"/>
    <mergeCell ref="A2076:A2081"/>
    <mergeCell ref="K3857:M3857"/>
    <mergeCell ref="G4183:I4183"/>
    <mergeCell ref="G3720:I3720"/>
    <mergeCell ref="G3851:I3851"/>
    <mergeCell ref="K3671:M3671"/>
    <mergeCell ref="G2064:I2064"/>
    <mergeCell ref="G2240:I2240"/>
    <mergeCell ref="K1001:M1001"/>
    <mergeCell ref="G453:I453"/>
    <mergeCell ref="K3673:M3673"/>
    <mergeCell ref="K2062:M2062"/>
    <mergeCell ref="K1423:M1423"/>
    <mergeCell ref="K1459:M1459"/>
    <mergeCell ref="K3577:M3577"/>
    <mergeCell ref="K2843:M2843"/>
    <mergeCell ref="G1653:I1653"/>
    <mergeCell ref="G2291:I2291"/>
    <mergeCell ref="G1050:I1050"/>
    <mergeCell ref="G1321:I1321"/>
    <mergeCell ref="G2380:I2380"/>
    <mergeCell ref="K41:M41"/>
    <mergeCell ref="G494:I494"/>
    <mergeCell ref="G817:I817"/>
    <mergeCell ref="A2444:A2449"/>
    <mergeCell ref="G3033:I3033"/>
    <mergeCell ref="K768:M768"/>
    <mergeCell ref="G3489:I3489"/>
    <mergeCell ref="K43:M43"/>
    <mergeCell ref="K1373:M1373"/>
    <mergeCell ref="K2286:M2286"/>
    <mergeCell ref="K639:M639"/>
    <mergeCell ref="K1829:M1829"/>
    <mergeCell ref="K770:M770"/>
    <mergeCell ref="K641:M641"/>
    <mergeCell ref="K3528:M3528"/>
    <mergeCell ref="K1831:M1831"/>
    <mergeCell ref="K2884:M2884"/>
    <mergeCell ref="K1368:M1368"/>
    <mergeCell ref="K2803:M2803"/>
    <mergeCell ref="G1320:I1320"/>
    <mergeCell ref="G3441:I3441"/>
    <mergeCell ref="K2840:M2840"/>
    <mergeCell ref="K1143:M1143"/>
    <mergeCell ref="G595:I595"/>
    <mergeCell ref="G1648:I1648"/>
    <mergeCell ref="K724:M724"/>
    <mergeCell ref="K1599:M1599"/>
    <mergeCell ref="G2891:I2891"/>
    <mergeCell ref="K1136:M1136"/>
    <mergeCell ref="K2571:M2571"/>
    <mergeCell ref="G2294:I2294"/>
    <mergeCell ref="G3347:I3347"/>
    <mergeCell ref="K1096:M1096"/>
    <mergeCell ref="G2747:I2747"/>
    <mergeCell ref="K3996:M3996"/>
    <mergeCell ref="G3719:I3719"/>
    <mergeCell ref="K4127:M4127"/>
    <mergeCell ref="G687:I687"/>
    <mergeCell ref="K2938:M2938"/>
    <mergeCell ref="G3858:I3858"/>
    <mergeCell ref="A788:A793"/>
    <mergeCell ref="K2517:M2517"/>
    <mergeCell ref="K4359:M4359"/>
    <mergeCell ref="K3300:M3300"/>
    <mergeCell ref="K1689:M1689"/>
    <mergeCell ref="A1064:A1069"/>
    <mergeCell ref="K3171:M3171"/>
    <mergeCell ref="K4361:M4361"/>
    <mergeCell ref="G219:I219"/>
    <mergeCell ref="G911:I911"/>
    <mergeCell ref="K3898:M3898"/>
    <mergeCell ref="G3031:I3031"/>
    <mergeCell ref="K1828:M1828"/>
    <mergeCell ref="G3487:I3487"/>
    <mergeCell ref="G1551:I1551"/>
    <mergeCell ref="G3950:I3950"/>
    <mergeCell ref="K4358:M4358"/>
    <mergeCell ref="G4081:I4081"/>
    <mergeCell ref="K3901:M3901"/>
    <mergeCell ref="K1055:M1055"/>
    <mergeCell ref="K3298:M3298"/>
    <mergeCell ref="K1144:M1144"/>
    <mergeCell ref="K2197:M2197"/>
    <mergeCell ref="K3903:M3903"/>
    <mergeCell ref="K4357:M4357"/>
    <mergeCell ref="K454:M454"/>
    <mergeCell ref="K1967:M1967"/>
    <mergeCell ref="K3206:M3206"/>
    <mergeCell ref="K3028:M3028"/>
    <mergeCell ref="K2609:M2609"/>
    <mergeCell ref="K1550:M1550"/>
    <mergeCell ref="G3529:I3529"/>
    <mergeCell ref="K449:M449"/>
    <mergeCell ref="G683:I683"/>
    <mergeCell ref="G1742:I1742"/>
    <mergeCell ref="K1421:M1421"/>
    <mergeCell ref="K2611:M2611"/>
    <mergeCell ref="G3531:I3531"/>
    <mergeCell ref="G1185:I1185"/>
    <mergeCell ref="K1274:M1274"/>
    <mergeCell ref="A3502:A3507"/>
    <mergeCell ref="G3207:I3207"/>
    <mergeCell ref="G2148:I2148"/>
    <mergeCell ref="G1420:I1420"/>
    <mergeCell ref="G4179:I4179"/>
    <mergeCell ref="K1099:M1099"/>
    <mergeCell ref="K3942:M3942"/>
    <mergeCell ref="K1826:M1826"/>
    <mergeCell ref="G2481:I2481"/>
    <mergeCell ref="K498:M498"/>
    <mergeCell ref="G2752:I2752"/>
    <mergeCell ref="G959:I959"/>
    <mergeCell ref="G2149:I2149"/>
    <mergeCell ref="G3718:I3718"/>
    <mergeCell ref="K3669:M3669"/>
    <mergeCell ref="G4174:I4174"/>
    <mergeCell ref="A4330:A4335"/>
    <mergeCell ref="G1972:I1972"/>
    <mergeCell ref="K1929:M1929"/>
    <mergeCell ref="K2982:M2982"/>
    <mergeCell ref="K1923:M1923"/>
    <mergeCell ref="G1375:I1375"/>
    <mergeCell ref="G3485:I3485"/>
    <mergeCell ref="G1331:I1331"/>
    <mergeCell ref="K3307:M3307"/>
    <mergeCell ref="K1191:M1191"/>
    <mergeCell ref="K314:M314"/>
    <mergeCell ref="G32:I32"/>
    <mergeCell ref="K2886:M2886"/>
    <mergeCell ref="K3309:M3309"/>
    <mergeCell ref="G630:I630"/>
    <mergeCell ref="G3905:I3905"/>
    <mergeCell ref="G4264:I4264"/>
    <mergeCell ref="A2766:A2771"/>
    <mergeCell ref="G1691:I1691"/>
    <mergeCell ref="G632:I632"/>
    <mergeCell ref="A3318:A3323"/>
    <mergeCell ref="K2608:M2608"/>
    <mergeCell ref="K268:M268"/>
    <mergeCell ref="G3437:I3437"/>
    <mergeCell ref="G2378:I2378"/>
    <mergeCell ref="K3999:M3999"/>
    <mergeCell ref="G1644:I1644"/>
    <mergeCell ref="G4316:I4316"/>
    <mergeCell ref="G217:I217"/>
    <mergeCell ref="K2200:M2200"/>
    <mergeCell ref="G3859:I3859"/>
    <mergeCell ref="K1466:M1466"/>
    <mergeCell ref="G2062:I2062"/>
    <mergeCell ref="G269:I269"/>
    <mergeCell ref="G2518:I2518"/>
    <mergeCell ref="G1459:I1459"/>
    <mergeCell ref="G2941:I2941"/>
    <mergeCell ref="K2978:M2978"/>
    <mergeCell ref="K1281:M1281"/>
    <mergeCell ref="K222:M222"/>
    <mergeCell ref="K1919:M1919"/>
    <mergeCell ref="G270:I270"/>
    <mergeCell ref="K1737:M1737"/>
    <mergeCell ref="K3583:M3583"/>
    <mergeCell ref="G3029:I3029"/>
    <mergeCell ref="K221:M221"/>
    <mergeCell ref="A2:M2"/>
    <mergeCell ref="G402:I402"/>
    <mergeCell ref="G4220:I4220"/>
    <mergeCell ref="A328:A333"/>
    <mergeCell ref="G2389:I2389"/>
    <mergeCell ref="G3579:I3579"/>
    <mergeCell ref="G1970:I1970"/>
    <mergeCell ref="G3160:I3160"/>
    <mergeCell ref="K1921:M1921"/>
    <mergeCell ref="K224:M224"/>
    <mergeCell ref="K2656:M2656"/>
    <mergeCell ref="K1597:M1597"/>
    <mergeCell ref="G3861:I3861"/>
    <mergeCell ref="K3717:M3717"/>
    <mergeCell ref="G400:I400"/>
    <mergeCell ref="K2195:M2195"/>
    <mergeCell ref="G361:I361"/>
    <mergeCell ref="K2155:M2155"/>
    <mergeCell ref="K223:M223"/>
    <mergeCell ref="K2335:M2335"/>
    <mergeCell ref="K1276:M1276"/>
    <mergeCell ref="K4041:M4041"/>
    <mergeCell ref="G1783:I1783"/>
    <mergeCell ref="G724:I724"/>
    <mergeCell ref="K4035:M4035"/>
    <mergeCell ref="K2248:M2248"/>
    <mergeCell ref="G1599:I1599"/>
    <mergeCell ref="K3438:M3438"/>
    <mergeCell ref="G2571:I2571"/>
    <mergeCell ref="G3901:I3901"/>
    <mergeCell ref="G2108:I2108"/>
    <mergeCell ref="G3298:I3298"/>
    <mergeCell ref="K78:M78"/>
    <mergeCell ref="G40:I40"/>
    <mergeCell ref="K3353:M3353"/>
    <mergeCell ref="G2799:I2799"/>
    <mergeCell ref="G3989:I3989"/>
    <mergeCell ref="G1283:I1283"/>
    <mergeCell ref="K3809:M3809"/>
    <mergeCell ref="K2293:M2293"/>
    <mergeCell ref="K80:M80"/>
    <mergeCell ref="K3811:M3811"/>
    <mergeCell ref="K79:M79"/>
    <mergeCell ref="G3857:I3857"/>
    <mergeCell ref="K1141:M1141"/>
    <mergeCell ref="G2800:I2800"/>
    <mergeCell ref="K1561:M1561"/>
    <mergeCell ref="K81:M81"/>
    <mergeCell ref="G1001:I1001"/>
    <mergeCell ref="K3715:M3715"/>
  </mergeCells>
  <printOptions horizontalCentered="1"/>
  <pageMargins left="0.2" right="0.2" top="0.25" bottom="0.55000000000000004" header="0.5" footer="0.5"/>
  <pageSetup paperSize="8" scale="67"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rowBreaks count="96" manualBreakCount="96">
    <brk id="51" max="16383" man="1"/>
    <brk id="97" max="16383" man="1"/>
    <brk id="143" max="16383" man="1"/>
    <brk id="189" max="16383" man="1"/>
    <brk id="235" max="16383" man="1"/>
    <brk id="281" max="16383" man="1"/>
    <brk id="327" max="16383" man="1"/>
    <brk id="373" max="16383" man="1"/>
    <brk id="419" max="16383" man="1"/>
    <brk id="465" max="16383" man="1"/>
    <brk id="511" max="16383" man="1"/>
    <brk id="557" max="16383" man="1"/>
    <brk id="603" max="16383" man="1"/>
    <brk id="649" max="16383" man="1"/>
    <brk id="695" max="16383" man="1"/>
    <brk id="741" max="16383" man="1"/>
    <brk id="787" max="16383" man="1"/>
    <brk id="833" max="16383" man="1"/>
    <brk id="879" max="16383" man="1"/>
    <brk id="925" max="16383" man="1"/>
    <brk id="971" max="16383" man="1"/>
    <brk id="1017" max="16383" man="1"/>
    <brk id="1063" max="16383" man="1"/>
    <brk id="1109" max="16383" man="1"/>
    <brk id="1155" max="16383" man="1"/>
    <brk id="1201" max="16383" man="1"/>
    <brk id="1247" max="16383" man="1"/>
    <brk id="1293" max="16383" man="1"/>
    <brk id="1339" max="16383" man="1"/>
    <brk id="1385" max="16383" man="1"/>
    <brk id="1431" max="16383" man="1"/>
    <brk id="1477" max="16383" man="1"/>
    <brk id="1523" max="16383" man="1"/>
    <brk id="1569" max="16383" man="1"/>
    <brk id="1615" max="16383" man="1"/>
    <brk id="1661" max="16383" man="1"/>
    <brk id="1707" max="16383" man="1"/>
    <brk id="1753" max="16383" man="1"/>
    <brk id="1799" max="16383" man="1"/>
    <brk id="1845" max="16383" man="1"/>
    <brk id="1891" max="16383" man="1"/>
    <brk id="1937" max="16383" man="1"/>
    <brk id="1983" max="16383" man="1"/>
    <brk id="2029" max="16383" man="1"/>
    <brk id="2075" max="16383" man="1"/>
    <brk id="2121" max="16383" man="1"/>
    <brk id="2167" max="16383" man="1"/>
    <brk id="2213" max="16383" man="1"/>
    <brk id="2259" max="16383" man="1"/>
    <brk id="2305" max="16383" man="1"/>
    <brk id="2351" max="16383" man="1"/>
    <brk id="2397" max="16383" man="1"/>
    <brk id="2443" max="16383" man="1"/>
    <brk id="2489" max="16383" man="1"/>
    <brk id="2535" max="16383" man="1"/>
    <brk id="2581" max="16383" man="1"/>
    <brk id="2627" max="16383" man="1"/>
    <brk id="2673" max="16383" man="1"/>
    <brk id="2719" max="16383" man="1"/>
    <brk id="2765" max="16383" man="1"/>
    <brk id="2811" max="16383" man="1"/>
    <brk id="2857" max="16383" man="1"/>
    <brk id="2903" max="16383" man="1"/>
    <brk id="2949" max="16383" man="1"/>
    <brk id="2995" max="16383" man="1"/>
    <brk id="3041" max="16383" man="1"/>
    <brk id="3087" max="16383" man="1"/>
    <brk id="3133" max="16383" man="1"/>
    <brk id="3179" max="16383" man="1"/>
    <brk id="3225" max="16383" man="1"/>
    <brk id="3271" max="16383" man="1"/>
    <brk id="3317" max="16383" man="1"/>
    <brk id="3363" max="16383" man="1"/>
    <brk id="3409" max="16383" man="1"/>
    <brk id="3455" max="16383" man="1"/>
    <brk id="3501" max="16383" man="1"/>
    <brk id="3547" max="16383" man="1"/>
    <brk id="3593" max="16383" man="1"/>
    <brk id="3639" max="16383" man="1"/>
    <brk id="3685" max="16383" man="1"/>
    <brk id="3731" max="16383" man="1"/>
    <brk id="3777" max="16383" man="1"/>
    <brk id="3823" max="16383" man="1"/>
    <brk id="3869" max="16383" man="1"/>
    <brk id="3915" max="16383" man="1"/>
    <brk id="3961" max="16383" man="1"/>
    <brk id="4007" max="16383" man="1"/>
    <brk id="4053" max="16383" man="1"/>
    <brk id="4099" max="16383" man="1"/>
    <brk id="4145" max="16383" man="1"/>
    <brk id="4191" max="16383" man="1"/>
    <brk id="4237" max="16383" man="1"/>
    <brk id="4283" max="16383" man="1"/>
    <brk id="4329" max="16383" man="1"/>
    <brk id="4375" max="16383" man="1"/>
    <brk id="442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K101"/>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0" customWidth="1"/>
    <col min="2" max="3" width="12" customWidth="1"/>
    <col min="4" max="5" width="18" customWidth="1"/>
    <col min="6" max="6" width="20" customWidth="1"/>
    <col min="7" max="7" width="15" customWidth="1"/>
    <col min="8" max="10" width="18" customWidth="1"/>
    <col min="11" max="11" width="24" customWidth="1"/>
    <col min="12" max="17" width="19" customWidth="1"/>
  </cols>
  <sheetData>
    <row r="2" spans="1:11" ht="21" customHeight="1" x14ac:dyDescent="0.2">
      <c r="A2" s="103" t="s">
        <v>2261</v>
      </c>
      <c r="B2" s="91"/>
      <c r="C2" s="91"/>
      <c r="D2" s="91"/>
      <c r="E2" s="91"/>
      <c r="F2" s="91"/>
      <c r="G2" s="91"/>
      <c r="H2" s="91"/>
      <c r="I2" s="91"/>
      <c r="J2" s="91"/>
      <c r="K2" s="91"/>
    </row>
    <row r="3" spans="1:11"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row>
    <row r="4" spans="1:11" ht="15" customHeight="1" x14ac:dyDescent="0.2">
      <c r="A4" s="92" t="s">
        <v>2262</v>
      </c>
      <c r="B4" s="91"/>
      <c r="C4" s="91"/>
      <c r="D4" s="91"/>
      <c r="E4" s="91"/>
      <c r="F4" s="91"/>
      <c r="G4" s="91"/>
      <c r="H4" s="91"/>
      <c r="I4" s="91"/>
      <c r="J4" s="91"/>
      <c r="K4" s="91"/>
    </row>
    <row r="5" spans="1:11" ht="27" customHeight="1" x14ac:dyDescent="0.2">
      <c r="A5" s="4" t="s">
        <v>65</v>
      </c>
      <c r="B5" s="4" t="s">
        <v>917</v>
      </c>
      <c r="C5" s="4" t="s">
        <v>2263</v>
      </c>
      <c r="D5" s="4" t="s">
        <v>2264</v>
      </c>
      <c r="E5" s="4" t="s">
        <v>2265</v>
      </c>
      <c r="F5" s="4" t="s">
        <v>2266</v>
      </c>
      <c r="G5" s="4" t="s">
        <v>2267</v>
      </c>
      <c r="H5" s="4" t="s">
        <v>2268</v>
      </c>
      <c r="I5" s="4" t="s">
        <v>2269</v>
      </c>
      <c r="J5" s="4" t="s">
        <v>2270</v>
      </c>
      <c r="K5" s="4" t="s">
        <v>2271</v>
      </c>
    </row>
    <row r="6" spans="1:11" ht="15" customHeight="1" x14ac:dyDescent="0.2">
      <c r="A6" s="10" t="s">
        <v>2272</v>
      </c>
      <c r="B6" s="30">
        <f>GridDCF!D33</f>
        <v>0.5</v>
      </c>
      <c r="C6" s="30">
        <f>GridDCF!D34</f>
        <v>0.08</v>
      </c>
      <c r="D6" s="8">
        <f>GridDCF!D32</f>
        <v>46.860946430246059</v>
      </c>
      <c r="E6" s="8">
        <f>GridDCF!J32</f>
        <v>32.704254513668722</v>
      </c>
      <c r="F6" s="87">
        <f>GridDCF!D48</f>
        <v>8.5218054495116551</v>
      </c>
      <c r="G6" s="15">
        <f>GridDCF!D47</f>
        <v>0.87963977000466942</v>
      </c>
      <c r="H6" s="16">
        <f>GridDCF!D31</f>
        <v>43700</v>
      </c>
      <c r="I6" s="16">
        <f>GridDCF!D45</f>
        <v>43700.000000000015</v>
      </c>
      <c r="J6" s="31" t="str">
        <f>GridDCF!J41</f>
        <v>satisfied</v>
      </c>
      <c r="K6" s="10" t="s">
        <v>2273</v>
      </c>
    </row>
    <row r="7" spans="1:11" ht="15" customHeight="1" x14ac:dyDescent="0.2">
      <c r="A7" s="10" t="s">
        <v>2272</v>
      </c>
      <c r="B7" s="30">
        <f>GridDCF!D79</f>
        <v>0.5</v>
      </c>
      <c r="C7" s="30">
        <f>GridDCF!D80</f>
        <v>0.1</v>
      </c>
      <c r="D7" s="8">
        <f>GridDCF!D78</f>
        <v>52.037166400000523</v>
      </c>
      <c r="E7" s="8">
        <f>GridDCF!J78</f>
        <v>36.316738430560363</v>
      </c>
      <c r="F7" s="87">
        <f>GridDCF!D94</f>
        <v>9.4631167738952708</v>
      </c>
      <c r="G7" s="15">
        <f>GridDCF!D93</f>
        <v>0.74382000371298562</v>
      </c>
      <c r="H7" s="16">
        <f>GridDCF!D77</f>
        <v>43700</v>
      </c>
      <c r="I7" s="16">
        <f>GridDCF!D91</f>
        <v>43699.999999999985</v>
      </c>
      <c r="J7" s="31" t="str">
        <f>GridDCF!J87</f>
        <v>satisfied</v>
      </c>
      <c r="K7" s="10" t="s">
        <v>2274</v>
      </c>
    </row>
    <row r="8" spans="1:11" ht="15" customHeight="1" x14ac:dyDescent="0.2">
      <c r="A8" s="10" t="s">
        <v>2272</v>
      </c>
      <c r="B8" s="30">
        <f>GridDCF!D125</f>
        <v>0.5</v>
      </c>
      <c r="C8" s="30">
        <f>GridDCF!D126</f>
        <v>0.12</v>
      </c>
      <c r="D8" s="8">
        <f>GridDCF!D124</f>
        <v>57.326230876562036</v>
      </c>
      <c r="E8" s="8">
        <f>GridDCF!J124</f>
        <v>40.007976528752643</v>
      </c>
      <c r="F8" s="87">
        <f>GridDCF!D140</f>
        <v>10.424949214609461</v>
      </c>
      <c r="G8" s="15">
        <f>GridDCF!D139</f>
        <v>0.63110755847207534</v>
      </c>
      <c r="H8" s="16">
        <f>GridDCF!D123</f>
        <v>43700</v>
      </c>
      <c r="I8" s="16">
        <f>GridDCF!D137</f>
        <v>43699.999999999985</v>
      </c>
      <c r="J8" s="31" t="str">
        <f>GridDCF!J133</f>
        <v>satisfied</v>
      </c>
      <c r="K8" s="10" t="s">
        <v>2275</v>
      </c>
    </row>
    <row r="9" spans="1:11" ht="15" customHeight="1" x14ac:dyDescent="0.2">
      <c r="A9" s="10" t="s">
        <v>2272</v>
      </c>
      <c r="B9" s="30">
        <f>GridDCF!D171</f>
        <v>0.5</v>
      </c>
      <c r="C9" s="30">
        <f>GridDCF!D172</f>
        <v>0.14000000000000001</v>
      </c>
      <c r="D9" s="8">
        <f>GridDCF!D170</f>
        <v>62.729850393815269</v>
      </c>
      <c r="E9" s="8">
        <f>GridDCF!J170</f>
        <v>43.779162589843672</v>
      </c>
      <c r="F9" s="87">
        <f>GridDCF!D186</f>
        <v>11.407613837436932</v>
      </c>
      <c r="G9" s="15">
        <f>GridDCF!D185</f>
        <v>0.53717957343252887</v>
      </c>
      <c r="H9" s="16">
        <f>GridDCF!D169</f>
        <v>43700</v>
      </c>
      <c r="I9" s="16">
        <f>GridDCF!D183</f>
        <v>43700.000000000015</v>
      </c>
      <c r="J9" s="31" t="str">
        <f>GridDCF!J179</f>
        <v>satisfied</v>
      </c>
      <c r="K9" s="10" t="s">
        <v>2276</v>
      </c>
    </row>
    <row r="10" spans="1:11" ht="15" customHeight="1" x14ac:dyDescent="0.2">
      <c r="A10" s="10" t="s">
        <v>2272</v>
      </c>
      <c r="B10" s="30">
        <f>GridDCF!D217</f>
        <v>0.59</v>
      </c>
      <c r="C10" s="30">
        <f>GridDCF!D218</f>
        <v>0.08</v>
      </c>
      <c r="D10" s="8">
        <f>GridDCF!D216</f>
        <v>39.680866826114134</v>
      </c>
      <c r="E10" s="8">
        <f>GridDCF!J216</f>
        <v>27.693276957945052</v>
      </c>
      <c r="F10" s="87">
        <f>GridDCF!D232</f>
        <v>7.2160861638481011</v>
      </c>
      <c r="G10" s="15">
        <f>GridDCF!D231</f>
        <v>0.87802951164469989</v>
      </c>
      <c r="H10" s="16">
        <f>GridDCF!D215</f>
        <v>43700</v>
      </c>
      <c r="I10" s="16">
        <f>GridDCF!D229</f>
        <v>43699.999999999993</v>
      </c>
      <c r="J10" s="31" t="str">
        <f>GridDCF!J225</f>
        <v>satisfied</v>
      </c>
      <c r="K10" s="10" t="s">
        <v>2277</v>
      </c>
    </row>
    <row r="11" spans="1:11" ht="15" customHeight="1" x14ac:dyDescent="0.2">
      <c r="A11" s="10" t="s">
        <v>2272</v>
      </c>
      <c r="B11" s="30">
        <f>GridDCF!D263</f>
        <v>0.59</v>
      </c>
      <c r="C11" s="30">
        <f>GridDCF!D264</f>
        <v>0.1</v>
      </c>
      <c r="D11" s="8">
        <f>GridDCF!D262</f>
        <v>44.055636745725145</v>
      </c>
      <c r="E11" s="8">
        <f>GridDCF!J262</f>
        <v>30.746428884841578</v>
      </c>
      <c r="F11" s="87">
        <f>GridDCF!D278</f>
        <v>8.0116513621907028</v>
      </c>
      <c r="G11" s="15">
        <f>GridDCF!D277</f>
        <v>0.74233450364994258</v>
      </c>
      <c r="H11" s="16">
        <f>GridDCF!D261</f>
        <v>43700</v>
      </c>
      <c r="I11" s="16">
        <f>GridDCF!D275</f>
        <v>43700.000000000015</v>
      </c>
      <c r="J11" s="31" t="str">
        <f>GridDCF!J271</f>
        <v>satisfied</v>
      </c>
      <c r="K11" s="10" t="s">
        <v>2278</v>
      </c>
    </row>
    <row r="12" spans="1:11" ht="15" customHeight="1" x14ac:dyDescent="0.2">
      <c r="A12" s="10" t="s">
        <v>2272</v>
      </c>
      <c r="B12" s="30">
        <f>GridDCF!D309</f>
        <v>0.59</v>
      </c>
      <c r="C12" s="30">
        <f>GridDCF!D310</f>
        <v>0.12</v>
      </c>
      <c r="D12" s="8">
        <f>GridDCF!D308</f>
        <v>48.524404294020549</v>
      </c>
      <c r="E12" s="8">
        <f>GridDCF!J308</f>
        <v>33.865181756796936</v>
      </c>
      <c r="F12" s="87">
        <f>GridDCF!D324</f>
        <v>8.8243103148294608</v>
      </c>
      <c r="G12" s="15">
        <f>GridDCF!D323</f>
        <v>0.6297438977267743</v>
      </c>
      <c r="H12" s="16">
        <f>GridDCF!D307</f>
        <v>43700</v>
      </c>
      <c r="I12" s="16">
        <f>GridDCF!D321</f>
        <v>43700.000000000029</v>
      </c>
      <c r="J12" s="31" t="str">
        <f>GridDCF!J317</f>
        <v>satisfied</v>
      </c>
      <c r="K12" s="10" t="s">
        <v>2279</v>
      </c>
    </row>
    <row r="13" spans="1:11" ht="15" customHeight="1" x14ac:dyDescent="0.2">
      <c r="A13" s="10" t="s">
        <v>2272</v>
      </c>
      <c r="B13" s="30">
        <f>GridDCF!D355</f>
        <v>0.59</v>
      </c>
      <c r="C13" s="30">
        <f>GridDCF!D356</f>
        <v>0.14000000000000001</v>
      </c>
      <c r="D13" s="8">
        <f>GridDCF!D354</f>
        <v>53.088603092868951</v>
      </c>
      <c r="E13" s="8">
        <f>GridDCF!J354</f>
        <v>37.050536098513241</v>
      </c>
      <c r="F13" s="87">
        <f>GridDCF!D370</f>
        <v>9.6543237302558342</v>
      </c>
      <c r="G13" s="15">
        <f>GridDCF!D369</f>
        <v>0.53593244361553238</v>
      </c>
      <c r="H13" s="16">
        <f>GridDCF!D353</f>
        <v>43700</v>
      </c>
      <c r="I13" s="16">
        <f>GridDCF!D367</f>
        <v>43700.000000000007</v>
      </c>
      <c r="J13" s="31" t="str">
        <f>GridDCF!J363</f>
        <v>satisfied</v>
      </c>
      <c r="K13" s="10" t="s">
        <v>2280</v>
      </c>
    </row>
    <row r="14" spans="1:11" ht="15" customHeight="1" x14ac:dyDescent="0.2">
      <c r="A14" s="10" t="s">
        <v>2272</v>
      </c>
      <c r="B14" s="30">
        <f>GridDCF!D401</f>
        <v>0.6</v>
      </c>
      <c r="C14" s="30">
        <f>GridDCF!D402</f>
        <v>0.08</v>
      </c>
      <c r="D14" s="8">
        <f>GridDCF!D400</f>
        <v>39.016626240970666</v>
      </c>
      <c r="E14" s="8">
        <f>GridDCF!J400</f>
        <v>27.229703453573425</v>
      </c>
      <c r="F14" s="87">
        <f>GridDCF!D416</f>
        <v>7.0952919957941472</v>
      </c>
      <c r="G14" s="15">
        <f>GridDCF!D415</f>
        <v>0.87788054408246796</v>
      </c>
      <c r="H14" s="16">
        <f>GridDCF!D399</f>
        <v>43700</v>
      </c>
      <c r="I14" s="16">
        <f>GridDCF!D413</f>
        <v>43700.000000000036</v>
      </c>
      <c r="J14" s="31" t="str">
        <f>GridDCF!J409</f>
        <v>satisfied</v>
      </c>
      <c r="K14" s="10" t="s">
        <v>2281</v>
      </c>
    </row>
    <row r="15" spans="1:11" ht="15" customHeight="1" x14ac:dyDescent="0.2">
      <c r="A15" s="10" t="s">
        <v>2272</v>
      </c>
      <c r="B15" s="30">
        <f>GridDCF!D447</f>
        <v>0.6</v>
      </c>
      <c r="C15" s="30">
        <f>GridDCF!D448</f>
        <v>0.1</v>
      </c>
      <c r="D15" s="8">
        <f>GridDCF!D446</f>
        <v>43.317405506371379</v>
      </c>
      <c r="E15" s="8">
        <f>GridDCF!J446</f>
        <v>30.231217302896585</v>
      </c>
      <c r="F15" s="87">
        <f>GridDCF!D462</f>
        <v>7.8774017689203433</v>
      </c>
      <c r="G15" s="15">
        <f>GridDCF!D461</f>
        <v>0.74219710610835576</v>
      </c>
      <c r="H15" s="16">
        <f>GridDCF!D445</f>
        <v>43700</v>
      </c>
      <c r="I15" s="16">
        <f>GridDCF!D459</f>
        <v>43700.000000000007</v>
      </c>
      <c r="J15" s="31" t="str">
        <f>GridDCF!J455</f>
        <v>satisfied</v>
      </c>
      <c r="K15" s="10" t="s">
        <v>2282</v>
      </c>
    </row>
    <row r="16" spans="1:11" ht="15" customHeight="1" x14ac:dyDescent="0.2">
      <c r="A16" s="10" t="s">
        <v>2272</v>
      </c>
      <c r="B16" s="30">
        <f>GridDCF!D493</f>
        <v>0.6</v>
      </c>
      <c r="C16" s="30">
        <f>GridDCF!D494</f>
        <v>0.12</v>
      </c>
      <c r="D16" s="8">
        <f>GridDCF!D492</f>
        <v>47.710467683042943</v>
      </c>
      <c r="E16" s="8">
        <f>GridDCF!J492</f>
        <v>33.297135395995667</v>
      </c>
      <c r="F16" s="87">
        <f>GridDCF!D508</f>
        <v>8.6762934697725473</v>
      </c>
      <c r="G16" s="15">
        <f>GridDCF!D507</f>
        <v>0.62961779510533078</v>
      </c>
      <c r="H16" s="16">
        <f>GridDCF!D491</f>
        <v>43700</v>
      </c>
      <c r="I16" s="16">
        <f>GridDCF!D505</f>
        <v>43699.999999999985</v>
      </c>
      <c r="J16" s="31" t="str">
        <f>GridDCF!J501</f>
        <v>satisfied</v>
      </c>
      <c r="K16" s="10" t="s">
        <v>2283</v>
      </c>
    </row>
    <row r="17" spans="1:11" ht="15" customHeight="1" x14ac:dyDescent="0.2">
      <c r="A17" s="10" t="s">
        <v>2272</v>
      </c>
      <c r="B17" s="30">
        <f>GridDCF!D539</f>
        <v>0.6</v>
      </c>
      <c r="C17" s="30">
        <f>GridDCF!D540</f>
        <v>0.14000000000000001</v>
      </c>
      <c r="D17" s="8">
        <f>GridDCF!D538</f>
        <v>52.197221125183148</v>
      </c>
      <c r="E17" s="8">
        <f>GridDCF!J538</f>
        <v>36.428440623265317</v>
      </c>
      <c r="F17" s="87">
        <f>GridDCF!D554</f>
        <v>9.4922232118395335</v>
      </c>
      <c r="G17" s="15">
        <f>GridDCF!D553</f>
        <v>0.53581714017028981</v>
      </c>
      <c r="H17" s="16">
        <f>GridDCF!D537</f>
        <v>43700</v>
      </c>
      <c r="I17" s="16">
        <f>GridDCF!D551</f>
        <v>43699.999999999978</v>
      </c>
      <c r="J17" s="31" t="str">
        <f>GridDCF!J547</f>
        <v>satisfied</v>
      </c>
      <c r="K17" s="10" t="s">
        <v>2284</v>
      </c>
    </row>
    <row r="18" spans="1:11" ht="15" customHeight="1" x14ac:dyDescent="0.2">
      <c r="A18" s="10" t="s">
        <v>2272</v>
      </c>
      <c r="B18" s="30">
        <f>GridDCF!D585</f>
        <v>0.7</v>
      </c>
      <c r="C18" s="30">
        <f>GridDCF!D586</f>
        <v>0.08</v>
      </c>
      <c r="D18" s="8">
        <f>GridDCF!D584</f>
        <v>33.421938053668384</v>
      </c>
      <c r="E18" s="8">
        <f>GridDCF!J584</f>
        <v>23.325170567655164</v>
      </c>
      <c r="F18" s="87">
        <f>GridDCF!D600</f>
        <v>6.0778809549429038</v>
      </c>
      <c r="G18" s="15">
        <f>GridDCF!D599</f>
        <v>0.87662583746057388</v>
      </c>
      <c r="H18" s="16">
        <f>GridDCF!D583</f>
        <v>43700</v>
      </c>
      <c r="I18" s="16">
        <f>GridDCF!D597</f>
        <v>43700.000000000029</v>
      </c>
      <c r="J18" s="31" t="str">
        <f>GridDCF!J593</f>
        <v>satisfied</v>
      </c>
      <c r="K18" s="10" t="s">
        <v>2285</v>
      </c>
    </row>
    <row r="19" spans="1:11" ht="15" customHeight="1" x14ac:dyDescent="0.2">
      <c r="A19" s="10" t="s">
        <v>2272</v>
      </c>
      <c r="B19" s="30">
        <f>GridDCF!D631</f>
        <v>0.7</v>
      </c>
      <c r="C19" s="30">
        <f>GridDCF!D632</f>
        <v>0.1</v>
      </c>
      <c r="D19" s="8">
        <f>GridDCF!D630</f>
        <v>37.100543736478407</v>
      </c>
      <c r="E19" s="8">
        <f>GridDCF!J630</f>
        <v>25.89246947368828</v>
      </c>
      <c r="F19" s="87">
        <f>GridDCF!D646</f>
        <v>6.7468465722088293</v>
      </c>
      <c r="G19" s="15">
        <f>GridDCF!D645</f>
        <v>0.74104004111566246</v>
      </c>
      <c r="H19" s="16">
        <f>GridDCF!D629</f>
        <v>43700</v>
      </c>
      <c r="I19" s="16">
        <f>GridDCF!D643</f>
        <v>43699.999999999993</v>
      </c>
      <c r="J19" s="31" t="str">
        <f>GridDCF!J639</f>
        <v>satisfied</v>
      </c>
      <c r="K19" s="10" t="s">
        <v>2286</v>
      </c>
    </row>
    <row r="20" spans="1:11" ht="15" customHeight="1" x14ac:dyDescent="0.2">
      <c r="A20" s="10" t="s">
        <v>2272</v>
      </c>
      <c r="B20" s="30">
        <f>GridDCF!D677</f>
        <v>0.7</v>
      </c>
      <c r="C20" s="30">
        <f>GridDCF!D678</f>
        <v>0.12</v>
      </c>
      <c r="D20" s="8">
        <f>GridDCF!D676</f>
        <v>40.857182753826464</v>
      </c>
      <c r="E20" s="8">
        <f>GridDCF!J676</f>
        <v>28.514227843895487</v>
      </c>
      <c r="F20" s="87">
        <f>GridDCF!D692</f>
        <v>7.4300027883884905</v>
      </c>
      <c r="G20" s="15">
        <f>GridDCF!D691</f>
        <v>0.62855602053539439</v>
      </c>
      <c r="H20" s="16">
        <f>GridDCF!D675</f>
        <v>43700</v>
      </c>
      <c r="I20" s="16">
        <f>GridDCF!D689</f>
        <v>43700.000000000015</v>
      </c>
      <c r="J20" s="31" t="str">
        <f>GridDCF!J685</f>
        <v>satisfied</v>
      </c>
      <c r="K20" s="10" t="s">
        <v>2287</v>
      </c>
    </row>
    <row r="21" spans="1:11" ht="15" customHeight="1" x14ac:dyDescent="0.2">
      <c r="A21" s="10" t="s">
        <v>2272</v>
      </c>
      <c r="B21" s="30">
        <f>GridDCF!D723</f>
        <v>0.7</v>
      </c>
      <c r="C21" s="30">
        <f>GridDCF!D724</f>
        <v>0.14000000000000001</v>
      </c>
      <c r="D21" s="8">
        <f>GridDCF!D722</f>
        <v>44.693052804681066</v>
      </c>
      <c r="E21" s="8">
        <f>GridDCF!J722</f>
        <v>31.191281552386915</v>
      </c>
      <c r="F21" s="87">
        <f>GridDCF!D738</f>
        <v>8.1275674086773542</v>
      </c>
      <c r="G21" s="15">
        <f>GridDCF!D737</f>
        <v>0.53484644916194457</v>
      </c>
      <c r="H21" s="16">
        <f>GridDCF!D721</f>
        <v>43700</v>
      </c>
      <c r="I21" s="16">
        <f>GridDCF!D735</f>
        <v>43700.000000000007</v>
      </c>
      <c r="J21" s="31" t="str">
        <f>GridDCF!J731</f>
        <v>satisfied</v>
      </c>
      <c r="K21" s="10" t="s">
        <v>2288</v>
      </c>
    </row>
    <row r="22" spans="1:11" ht="15" customHeight="1" x14ac:dyDescent="0.2">
      <c r="A22" s="10" t="s">
        <v>2272</v>
      </c>
      <c r="B22" s="30">
        <f>GridDCF!D769</f>
        <v>0.8</v>
      </c>
      <c r="C22" s="30">
        <f>GridDCF!D770</f>
        <v>0.08</v>
      </c>
      <c r="D22" s="8">
        <f>GridDCF!D768</f>
        <v>29.230505354991763</v>
      </c>
      <c r="E22" s="8">
        <f>GridDCF!J768</f>
        <v>20.399969687248749</v>
      </c>
      <c r="F22" s="87">
        <f>GridDCF!D784</f>
        <v>5.3156561871181234</v>
      </c>
      <c r="G22" s="15">
        <f>GridDCF!D783</f>
        <v>0.8756858354110969</v>
      </c>
      <c r="H22" s="16">
        <f>GridDCF!D767</f>
        <v>43700</v>
      </c>
      <c r="I22" s="16">
        <f>GridDCF!D781</f>
        <v>43700.000000000022</v>
      </c>
      <c r="J22" s="31" t="str">
        <f>GridDCF!J777</f>
        <v>satisfied</v>
      </c>
      <c r="K22" s="10" t="s">
        <v>2289</v>
      </c>
    </row>
    <row r="23" spans="1:11" ht="15" customHeight="1" x14ac:dyDescent="0.2">
      <c r="A23" s="10" t="s">
        <v>2272</v>
      </c>
      <c r="B23" s="30">
        <f>GridDCF!D815</f>
        <v>0.8</v>
      </c>
      <c r="C23" s="30">
        <f>GridDCF!D816</f>
        <v>0.1</v>
      </c>
      <c r="D23" s="8">
        <f>GridDCF!D814</f>
        <v>32.444192392646642</v>
      </c>
      <c r="E23" s="8">
        <f>GridDCF!J814</f>
        <v>22.642801870828091</v>
      </c>
      <c r="F23" s="87">
        <f>GridDCF!D830</f>
        <v>5.9000749365618157</v>
      </c>
      <c r="G23" s="15">
        <f>GridDCF!D829</f>
        <v>0.74017341397595027</v>
      </c>
      <c r="H23" s="16">
        <f>GridDCF!D813</f>
        <v>43700</v>
      </c>
      <c r="I23" s="16">
        <f>GridDCF!D827</f>
        <v>43699.999999999942</v>
      </c>
      <c r="J23" s="31" t="str">
        <f>GridDCF!J823</f>
        <v>satisfied</v>
      </c>
      <c r="K23" s="10" t="s">
        <v>2290</v>
      </c>
    </row>
    <row r="24" spans="1:11" ht="15" customHeight="1" x14ac:dyDescent="0.2">
      <c r="A24" s="10" t="s">
        <v>2272</v>
      </c>
      <c r="B24" s="30">
        <f>GridDCF!D861</f>
        <v>0.8</v>
      </c>
      <c r="C24" s="30">
        <f>GridDCF!D862</f>
        <v>0.12</v>
      </c>
      <c r="D24" s="8">
        <f>GridDCF!D860</f>
        <v>35.725462492450397</v>
      </c>
      <c r="E24" s="8">
        <f>GridDCF!J860</f>
        <v>24.932800273481131</v>
      </c>
      <c r="F24" s="87">
        <f>GridDCF!D876</f>
        <v>6.4967838711423438</v>
      </c>
      <c r="G24" s="15">
        <f>GridDCF!D875</f>
        <v>0.62776096675755866</v>
      </c>
      <c r="H24" s="16">
        <f>GridDCF!D859</f>
        <v>43700</v>
      </c>
      <c r="I24" s="16">
        <f>GridDCF!D873</f>
        <v>43700.000000000007</v>
      </c>
      <c r="J24" s="31" t="str">
        <f>GridDCF!J869</f>
        <v>satisfied</v>
      </c>
      <c r="K24" s="10" t="s">
        <v>2291</v>
      </c>
    </row>
    <row r="25" spans="1:11" ht="15" customHeight="1" x14ac:dyDescent="0.2">
      <c r="A25" s="10" t="s">
        <v>2272</v>
      </c>
      <c r="B25" s="30">
        <f>GridDCF!D907</f>
        <v>0.8</v>
      </c>
      <c r="C25" s="30">
        <f>GridDCF!D908</f>
        <v>0.14000000000000001</v>
      </c>
      <c r="D25" s="8">
        <f>GridDCF!D906</f>
        <v>39.075357904823846</v>
      </c>
      <c r="E25" s="8">
        <f>GridDCF!J906</f>
        <v>27.270692281776562</v>
      </c>
      <c r="F25" s="87">
        <f>GridDCF!D922</f>
        <v>7.1059725272645897</v>
      </c>
      <c r="G25" s="15">
        <f>GridDCF!D921</f>
        <v>0.534119780236886</v>
      </c>
      <c r="H25" s="16">
        <f>GridDCF!D905</f>
        <v>43700</v>
      </c>
      <c r="I25" s="16">
        <f>GridDCF!D919</f>
        <v>43699.999999999971</v>
      </c>
      <c r="J25" s="31" t="str">
        <f>GridDCF!J915</f>
        <v>satisfied</v>
      </c>
      <c r="K25" s="10" t="s">
        <v>2292</v>
      </c>
    </row>
    <row r="26" spans="1:11" ht="15" customHeight="1" x14ac:dyDescent="0.2">
      <c r="A26" s="10" t="s">
        <v>2272</v>
      </c>
      <c r="B26" s="30">
        <f>GridDCF!D953</f>
        <v>0.91</v>
      </c>
      <c r="C26" s="30">
        <f>GridDCF!D954</f>
        <v>0.08</v>
      </c>
      <c r="D26" s="8">
        <f>GridDCF!D952</f>
        <v>25.686972433149716</v>
      </c>
      <c r="E26" s="8">
        <f>GridDCF!J952</f>
        <v>17.926938061095186</v>
      </c>
      <c r="F26" s="87">
        <f>GridDCF!D968</f>
        <v>4.6712539617207538</v>
      </c>
      <c r="G26" s="15">
        <f>GridDCF!D967</f>
        <v>0.87489113621194892</v>
      </c>
      <c r="H26" s="16">
        <f>GridDCF!D951</f>
        <v>43700</v>
      </c>
      <c r="I26" s="16">
        <f>GridDCF!D965</f>
        <v>43699.999999999985</v>
      </c>
      <c r="J26" s="31" t="str">
        <f>GridDCF!J961</f>
        <v>satisfied</v>
      </c>
      <c r="K26" s="10" t="s">
        <v>2293</v>
      </c>
    </row>
    <row r="27" spans="1:11" ht="15" customHeight="1" x14ac:dyDescent="0.2">
      <c r="A27" s="10" t="s">
        <v>2272</v>
      </c>
      <c r="B27" s="30">
        <f>GridDCF!D999</f>
        <v>0.91</v>
      </c>
      <c r="C27" s="30">
        <f>GridDCF!D1000</f>
        <v>0.1</v>
      </c>
      <c r="D27" s="8">
        <f>GridDCF!D998</f>
        <v>28.508409437746657</v>
      </c>
      <c r="E27" s="8">
        <f>GridDCF!J998</f>
        <v>19.896018946603391</v>
      </c>
      <c r="F27" s="87">
        <f>GridDCF!D1014</f>
        <v>5.1843408511846238</v>
      </c>
      <c r="G27" s="15">
        <f>GridDCF!D1013</f>
        <v>0.7394408970173123</v>
      </c>
      <c r="H27" s="16">
        <f>GridDCF!D997</f>
        <v>43700</v>
      </c>
      <c r="I27" s="16">
        <f>GridDCF!D1011</f>
        <v>43699.999999999985</v>
      </c>
      <c r="J27" s="31" t="str">
        <f>GridDCF!J1007</f>
        <v>satisfied</v>
      </c>
      <c r="K27" s="10" t="s">
        <v>2294</v>
      </c>
    </row>
    <row r="28" spans="1:11" ht="15" customHeight="1" x14ac:dyDescent="0.2">
      <c r="A28" s="10" t="s">
        <v>2272</v>
      </c>
      <c r="B28" s="30">
        <f>GridDCF!D1045</f>
        <v>0.91</v>
      </c>
      <c r="C28" s="30">
        <f>GridDCF!D1046</f>
        <v>0.12</v>
      </c>
      <c r="D28" s="8">
        <f>GridDCF!D1044</f>
        <v>31.388744453261577</v>
      </c>
      <c r="E28" s="8">
        <f>GridDCF!J1044</f>
        <v>21.906204753931252</v>
      </c>
      <c r="F28" s="87">
        <f>GridDCF!D1060</f>
        <v>5.7081385228379533</v>
      </c>
      <c r="G28" s="15">
        <f>GridDCF!D1059</f>
        <v>0.62708908210975056</v>
      </c>
      <c r="H28" s="16">
        <f>GridDCF!D1043</f>
        <v>43700</v>
      </c>
      <c r="I28" s="16">
        <f>GridDCF!D1057</f>
        <v>43700.000000000022</v>
      </c>
      <c r="J28" s="31" t="str">
        <f>GridDCF!J1053</f>
        <v>satisfied</v>
      </c>
      <c r="K28" s="10" t="s">
        <v>2295</v>
      </c>
    </row>
    <row r="29" spans="1:11" ht="15" customHeight="1" x14ac:dyDescent="0.2">
      <c r="A29" s="10" t="s">
        <v>2272</v>
      </c>
      <c r="B29" s="30">
        <f>GridDCF!D1091</f>
        <v>0.91</v>
      </c>
      <c r="C29" s="30">
        <f>GridDCF!D1092</f>
        <v>0.14000000000000001</v>
      </c>
      <c r="D29" s="8">
        <f>GridDCF!D1090</f>
        <v>34.328889752482894</v>
      </c>
      <c r="E29" s="8">
        <f>GridDCF!J1090</f>
        <v>23.958132158257811</v>
      </c>
      <c r="F29" s="87">
        <f>GridDCF!D1106</f>
        <v>6.2428128762583635</v>
      </c>
      <c r="G29" s="15">
        <f>GridDCF!D1105</f>
        <v>0.53350580760726263</v>
      </c>
      <c r="H29" s="16">
        <f>GridDCF!D1089</f>
        <v>43700</v>
      </c>
      <c r="I29" s="16">
        <f>GridDCF!D1103</f>
        <v>43700.000000000029</v>
      </c>
      <c r="J29" s="31" t="str">
        <f>GridDCF!J1099</f>
        <v>satisfied</v>
      </c>
      <c r="K29" s="10" t="s">
        <v>2296</v>
      </c>
    </row>
    <row r="30" spans="1:11" ht="15" customHeight="1" x14ac:dyDescent="0.2">
      <c r="A30" s="10" t="s">
        <v>2297</v>
      </c>
      <c r="B30" s="30">
        <f>GridDCF!D1137</f>
        <v>0.5</v>
      </c>
      <c r="C30" s="30">
        <f>GridDCF!D1138</f>
        <v>0.08</v>
      </c>
      <c r="D30" s="8">
        <f>GridDCF!D1136</f>
        <v>45.113300105605845</v>
      </c>
      <c r="E30" s="8">
        <f>GridDCF!J1136</f>
        <v>31.484572143702316</v>
      </c>
      <c r="F30" s="87">
        <f>GridDCF!D1152</f>
        <v>8.2039906568610874</v>
      </c>
      <c r="G30" s="15">
        <f>GridDCF!D1151</f>
        <v>0.93785455637184678</v>
      </c>
      <c r="H30" s="16">
        <f>GridDCF!D1135</f>
        <v>35754.545454545456</v>
      </c>
      <c r="I30" s="16">
        <f>GridDCF!D1149</f>
        <v>35754.54545454547</v>
      </c>
      <c r="J30" s="31" t="str">
        <f>GridDCF!J1145</f>
        <v>satisfied</v>
      </c>
      <c r="K30" s="10" t="s">
        <v>2298</v>
      </c>
    </row>
    <row r="31" spans="1:11" ht="15" customHeight="1" x14ac:dyDescent="0.2">
      <c r="A31" s="10" t="s">
        <v>2297</v>
      </c>
      <c r="B31" s="30">
        <f>GridDCF!D1183</f>
        <v>0.5</v>
      </c>
      <c r="C31" s="30">
        <f>GridDCF!D1184</f>
        <v>0.1</v>
      </c>
      <c r="D31" s="8">
        <f>GridDCF!D1182</f>
        <v>49.627463026525987</v>
      </c>
      <c r="E31" s="8">
        <f>GridDCF!J1182</f>
        <v>34.635006446212486</v>
      </c>
      <c r="F31" s="87">
        <f>GridDCF!D1198</f>
        <v>9.0249048959011091</v>
      </c>
      <c r="G31" s="15">
        <f>GridDCF!D1197</f>
        <v>0.7929881125288718</v>
      </c>
      <c r="H31" s="16">
        <f>GridDCF!D1181</f>
        <v>35754.545454545456</v>
      </c>
      <c r="I31" s="16">
        <f>GridDCF!D1195</f>
        <v>35754.545454545456</v>
      </c>
      <c r="J31" s="31" t="str">
        <f>GridDCF!J1191</f>
        <v>satisfied</v>
      </c>
      <c r="K31" s="10" t="s">
        <v>2299</v>
      </c>
    </row>
    <row r="32" spans="1:11" ht="15" customHeight="1" x14ac:dyDescent="0.2">
      <c r="A32" s="10" t="s">
        <v>2297</v>
      </c>
      <c r="B32" s="30">
        <f>GridDCF!D1229</f>
        <v>0.5</v>
      </c>
      <c r="C32" s="30">
        <f>GridDCF!D1230</f>
        <v>0.12</v>
      </c>
      <c r="D32" s="8">
        <f>GridDCF!D1228</f>
        <v>54.238252996895994</v>
      </c>
      <c r="E32" s="8">
        <f>GridDCF!J1228</f>
        <v>37.852876766533711</v>
      </c>
      <c r="F32" s="87">
        <f>GridDCF!D1244</f>
        <v>9.8633910573904107</v>
      </c>
      <c r="G32" s="15">
        <f>GridDCF!D1243</f>
        <v>0.6727396100454105</v>
      </c>
      <c r="H32" s="16">
        <f>GridDCF!D1227</f>
        <v>35754.545454545456</v>
      </c>
      <c r="I32" s="16">
        <f>GridDCF!D1241</f>
        <v>35754.545454545478</v>
      </c>
      <c r="J32" s="31" t="str">
        <f>GridDCF!J1237</f>
        <v>satisfied</v>
      </c>
      <c r="K32" s="10" t="s">
        <v>2300</v>
      </c>
    </row>
    <row r="33" spans="1:11" ht="15" customHeight="1" x14ac:dyDescent="0.2">
      <c r="A33" s="10" t="s">
        <v>2297</v>
      </c>
      <c r="B33" s="30">
        <f>GridDCF!D1275</f>
        <v>0.5</v>
      </c>
      <c r="C33" s="30">
        <f>GridDCF!D1276</f>
        <v>0.14000000000000001</v>
      </c>
      <c r="D33" s="8">
        <f>GridDCF!D1274</f>
        <v>58.946535755592805</v>
      </c>
      <c r="E33" s="8">
        <f>GridDCF!J1274</f>
        <v>41.138787303828217</v>
      </c>
      <c r="F33" s="87">
        <f>GridDCF!D1290</f>
        <v>10.719606578573464</v>
      </c>
      <c r="G33" s="15">
        <f>GridDCF!D1289</f>
        <v>0.57251536489807753</v>
      </c>
      <c r="H33" s="16">
        <f>GridDCF!D1273</f>
        <v>35754.545454545456</v>
      </c>
      <c r="I33" s="16">
        <f>GridDCF!D1287</f>
        <v>35754.545454545456</v>
      </c>
      <c r="J33" s="31" t="str">
        <f>GridDCF!J1283</f>
        <v>satisfied</v>
      </c>
      <c r="K33" s="10" t="s">
        <v>2301</v>
      </c>
    </row>
    <row r="34" spans="1:11" ht="15" customHeight="1" x14ac:dyDescent="0.2">
      <c r="A34" s="10" t="s">
        <v>2297</v>
      </c>
      <c r="B34" s="30">
        <f>GridDCF!D1321</f>
        <v>0.59</v>
      </c>
      <c r="C34" s="30">
        <f>GridDCF!D1322</f>
        <v>0.08</v>
      </c>
      <c r="D34" s="8">
        <f>GridDCF!D1320</f>
        <v>38.200996564201631</v>
      </c>
      <c r="E34" s="8">
        <f>GridDCF!J1320</f>
        <v>26.660475502156316</v>
      </c>
      <c r="F34" s="87">
        <f>GridDCF!D1336</f>
        <v>6.9469672615803395</v>
      </c>
      <c r="G34" s="15">
        <f>GridDCF!D1335</f>
        <v>0.93595986149756161</v>
      </c>
      <c r="H34" s="16">
        <f>GridDCF!D1319</f>
        <v>35754.545454545456</v>
      </c>
      <c r="I34" s="16">
        <f>GridDCF!D1333</f>
        <v>35754.545454545507</v>
      </c>
      <c r="J34" s="31" t="str">
        <f>GridDCF!J1329</f>
        <v>satisfied</v>
      </c>
      <c r="K34" s="10" t="s">
        <v>2302</v>
      </c>
    </row>
    <row r="35" spans="1:11" ht="15" customHeight="1" x14ac:dyDescent="0.2">
      <c r="A35" s="10" t="s">
        <v>2297</v>
      </c>
      <c r="B35" s="30">
        <f>GridDCF!D1367</f>
        <v>0.59</v>
      </c>
      <c r="C35" s="30">
        <f>GridDCF!D1368</f>
        <v>0.1</v>
      </c>
      <c r="D35" s="8">
        <f>GridDCF!D1366</f>
        <v>42.015536874208273</v>
      </c>
      <c r="E35" s="8">
        <f>GridDCF!J1366</f>
        <v>29.322643184509953</v>
      </c>
      <c r="F35" s="87">
        <f>GridDCF!D1382</f>
        <v>7.6406530037064346</v>
      </c>
      <c r="G35" s="15">
        <f>GridDCF!D1381</f>
        <v>0.79125657748681089</v>
      </c>
      <c r="H35" s="16">
        <f>GridDCF!D1365</f>
        <v>35754.545454545456</v>
      </c>
      <c r="I35" s="16">
        <f>GridDCF!D1379</f>
        <v>35754.545454545441</v>
      </c>
      <c r="J35" s="31" t="str">
        <f>GridDCF!J1375</f>
        <v>satisfied</v>
      </c>
      <c r="K35" s="10" t="s">
        <v>2303</v>
      </c>
    </row>
    <row r="36" spans="1:11" ht="15" customHeight="1" x14ac:dyDescent="0.2">
      <c r="A36" s="10" t="s">
        <v>2297</v>
      </c>
      <c r="B36" s="30">
        <f>GridDCF!D1413</f>
        <v>0.59</v>
      </c>
      <c r="C36" s="30">
        <f>GridDCF!D1414</f>
        <v>0.12</v>
      </c>
      <c r="D36" s="8">
        <f>GridDCF!D1412</f>
        <v>45.910552226778314</v>
      </c>
      <c r="E36" s="8">
        <f>GridDCF!J1412</f>
        <v>32.040974399068581</v>
      </c>
      <c r="F36" s="87">
        <f>GridDCF!D1428</f>
        <v>8.3489733767674252</v>
      </c>
      <c r="G36" s="15">
        <f>GridDCF!D1427</f>
        <v>0.67116269310467247</v>
      </c>
      <c r="H36" s="16">
        <f>GridDCF!D1411</f>
        <v>35754.545454545456</v>
      </c>
      <c r="I36" s="16">
        <f>GridDCF!D1425</f>
        <v>35754.5454545455</v>
      </c>
      <c r="J36" s="31" t="str">
        <f>GridDCF!J1421</f>
        <v>satisfied</v>
      </c>
      <c r="K36" s="10" t="s">
        <v>2304</v>
      </c>
    </row>
    <row r="37" spans="1:11" ht="15" customHeight="1" x14ac:dyDescent="0.2">
      <c r="A37" s="10" t="s">
        <v>2297</v>
      </c>
      <c r="B37" s="30">
        <f>GridDCF!D1459</f>
        <v>0.59</v>
      </c>
      <c r="C37" s="30">
        <f>GridDCF!D1460</f>
        <v>0.14000000000000001</v>
      </c>
      <c r="D37" s="8">
        <f>GridDCF!D1458</f>
        <v>49.886763969340038</v>
      </c>
      <c r="E37" s="8">
        <f>GridDCF!J1458</f>
        <v>34.815972574202412</v>
      </c>
      <c r="F37" s="87">
        <f>GridDCF!D1474</f>
        <v>9.0720595599842504</v>
      </c>
      <c r="G37" s="15">
        <f>GridDCF!D1473</f>
        <v>0.57108302571174929</v>
      </c>
      <c r="H37" s="16">
        <f>GridDCF!D1457</f>
        <v>35754.545454545456</v>
      </c>
      <c r="I37" s="16">
        <f>GridDCF!D1471</f>
        <v>35754.545454545441</v>
      </c>
      <c r="J37" s="31" t="str">
        <f>GridDCF!J1467</f>
        <v>satisfied</v>
      </c>
      <c r="K37" s="10" t="s">
        <v>2305</v>
      </c>
    </row>
    <row r="38" spans="1:11" ht="15" customHeight="1" x14ac:dyDescent="0.2">
      <c r="A38" s="10" t="s">
        <v>2297</v>
      </c>
      <c r="B38" s="30">
        <f>GridDCF!D1505</f>
        <v>0.6</v>
      </c>
      <c r="C38" s="30">
        <f>GridDCF!D1506</f>
        <v>0.08</v>
      </c>
      <c r="D38" s="8">
        <f>GridDCF!D1504</f>
        <v>37.561528368558037</v>
      </c>
      <c r="E38" s="8">
        <f>GridDCF!J1504</f>
        <v>26.214190648416654</v>
      </c>
      <c r="F38" s="87">
        <f>GridDCF!D1520</f>
        <v>6.830678027803625</v>
      </c>
      <c r="G38" s="15">
        <f>GridDCF!D1519</f>
        <v>0.9357845802609529</v>
      </c>
      <c r="H38" s="16">
        <f>GridDCF!D1503</f>
        <v>35754.545454545456</v>
      </c>
      <c r="I38" s="16">
        <f>GridDCF!D1517</f>
        <v>35754.5454545455</v>
      </c>
      <c r="J38" s="31" t="str">
        <f>GridDCF!J1513</f>
        <v>satisfied</v>
      </c>
      <c r="K38" s="10" t="s">
        <v>2306</v>
      </c>
    </row>
    <row r="39" spans="1:11" ht="15" customHeight="1" x14ac:dyDescent="0.2">
      <c r="A39" s="10" t="s">
        <v>2297</v>
      </c>
      <c r="B39" s="30">
        <f>GridDCF!D1551</f>
        <v>0.6</v>
      </c>
      <c r="C39" s="30">
        <f>GridDCF!D1552</f>
        <v>0.1</v>
      </c>
      <c r="D39" s="8">
        <f>GridDCF!D1550</f>
        <v>41.311491168597854</v>
      </c>
      <c r="E39" s="8">
        <f>GridDCF!J1550</f>
        <v>28.831289686564443</v>
      </c>
      <c r="F39" s="87">
        <f>GridDCF!D1566</f>
        <v>7.5126201535866244</v>
      </c>
      <c r="G39" s="15">
        <f>GridDCF!D1565</f>
        <v>0.7910964235670167</v>
      </c>
      <c r="H39" s="16">
        <f>GridDCF!D1549</f>
        <v>35754.545454545456</v>
      </c>
      <c r="I39" s="16">
        <f>GridDCF!D1563</f>
        <v>35754.545454545463</v>
      </c>
      <c r="J39" s="31" t="str">
        <f>GridDCF!J1559</f>
        <v>satisfied</v>
      </c>
      <c r="K39" s="10" t="s">
        <v>2307</v>
      </c>
    </row>
    <row r="40" spans="1:11" ht="15" customHeight="1" x14ac:dyDescent="0.2">
      <c r="A40" s="10" t="s">
        <v>2297</v>
      </c>
      <c r="B40" s="30">
        <f>GridDCF!D1597</f>
        <v>0.6</v>
      </c>
      <c r="C40" s="30">
        <f>GridDCF!D1598</f>
        <v>0.12</v>
      </c>
      <c r="D40" s="8">
        <f>GridDCF!D1596</f>
        <v>45.140459737622727</v>
      </c>
      <c r="E40" s="8">
        <f>GridDCF!J1596</f>
        <v>31.5035268508869</v>
      </c>
      <c r="F40" s="87">
        <f>GridDCF!D1612</f>
        <v>8.2089297184413468</v>
      </c>
      <c r="G40" s="15">
        <f>GridDCF!D1611</f>
        <v>0.67101686991462217</v>
      </c>
      <c r="H40" s="16">
        <f>GridDCF!D1595</f>
        <v>35754.545454545456</v>
      </c>
      <c r="I40" s="16">
        <f>GridDCF!D1609</f>
        <v>35754.54545454547</v>
      </c>
      <c r="J40" s="31" t="str">
        <f>GridDCF!J1605</f>
        <v>satisfied</v>
      </c>
      <c r="K40" s="10" t="s">
        <v>2308</v>
      </c>
    </row>
    <row r="41" spans="1:11" ht="15" customHeight="1" x14ac:dyDescent="0.2">
      <c r="A41" s="10" t="s">
        <v>2297</v>
      </c>
      <c r="B41" s="30">
        <f>GridDCF!D1643</f>
        <v>0.6</v>
      </c>
      <c r="C41" s="30">
        <f>GridDCF!D1644</f>
        <v>0.14000000000000001</v>
      </c>
      <c r="D41" s="8">
        <f>GridDCF!D1642</f>
        <v>49.049142347413415</v>
      </c>
      <c r="E41" s="8">
        <f>GridDCF!J1642</f>
        <v>34.231396444259822</v>
      </c>
      <c r="F41" s="87">
        <f>GridDCF!D1658</f>
        <v>8.9197355237425082</v>
      </c>
      <c r="G41" s="15">
        <f>GridDCF!D1657</f>
        <v>0.57095059872565002</v>
      </c>
      <c r="H41" s="16">
        <f>GridDCF!D1641</f>
        <v>35754.545454545456</v>
      </c>
      <c r="I41" s="16">
        <f>GridDCF!D1655</f>
        <v>35754.545454545427</v>
      </c>
      <c r="J41" s="31" t="str">
        <f>GridDCF!J1651</f>
        <v>satisfied</v>
      </c>
      <c r="K41" s="10" t="s">
        <v>2309</v>
      </c>
    </row>
    <row r="42" spans="1:11" ht="15" customHeight="1" x14ac:dyDescent="0.2">
      <c r="A42" s="10" t="s">
        <v>2297</v>
      </c>
      <c r="B42" s="30">
        <f>GridDCF!D1689</f>
        <v>0.7</v>
      </c>
      <c r="C42" s="30">
        <f>GridDCF!D1690</f>
        <v>0.08</v>
      </c>
      <c r="D42" s="8">
        <f>GridDCF!D1688</f>
        <v>32.17549017646234</v>
      </c>
      <c r="E42" s="8">
        <f>GridDCF!J1688</f>
        <v>22.455274594153067</v>
      </c>
      <c r="F42" s="87">
        <f>GridDCF!D1704</f>
        <v>5.8512106223597193</v>
      </c>
      <c r="G42" s="15">
        <f>GridDCF!D1703</f>
        <v>0.93430824188921646</v>
      </c>
      <c r="H42" s="16">
        <f>GridDCF!D1687</f>
        <v>35754.545454545456</v>
      </c>
      <c r="I42" s="16">
        <f>GridDCF!D1701</f>
        <v>35754.545454545492</v>
      </c>
      <c r="J42" s="31" t="str">
        <f>GridDCF!J1697</f>
        <v>satisfied</v>
      </c>
      <c r="K42" s="10" t="s">
        <v>2310</v>
      </c>
    </row>
    <row r="43" spans="1:11" ht="15" customHeight="1" x14ac:dyDescent="0.2">
      <c r="A43" s="10" t="s">
        <v>2297</v>
      </c>
      <c r="B43" s="30">
        <f>GridDCF!D1735</f>
        <v>0.7</v>
      </c>
      <c r="C43" s="30">
        <f>GridDCF!D1736</f>
        <v>0.1</v>
      </c>
      <c r="D43" s="8">
        <f>GridDCF!D1734</f>
        <v>35.382515804051806</v>
      </c>
      <c r="E43" s="8">
        <f>GridDCF!J1734</f>
        <v>24.693457779647755</v>
      </c>
      <c r="F43" s="87">
        <f>GridDCF!D1750</f>
        <v>6.4344179741488352</v>
      </c>
      <c r="G43" s="15">
        <f>GridDCF!D1749</f>
        <v>0.78974772043960928</v>
      </c>
      <c r="H43" s="16">
        <f>GridDCF!D1733</f>
        <v>35754.545454545456</v>
      </c>
      <c r="I43" s="16">
        <f>GridDCF!D1747</f>
        <v>35754.545454545449</v>
      </c>
      <c r="J43" s="31" t="str">
        <f>GridDCF!J1743</f>
        <v>satisfied</v>
      </c>
      <c r="K43" s="10" t="s">
        <v>2311</v>
      </c>
    </row>
    <row r="44" spans="1:11" ht="15" customHeight="1" x14ac:dyDescent="0.2">
      <c r="A44" s="10" t="s">
        <v>2297</v>
      </c>
      <c r="B44" s="30">
        <f>GridDCF!D1781</f>
        <v>0.7</v>
      </c>
      <c r="C44" s="30">
        <f>GridDCF!D1782</f>
        <v>0.12</v>
      </c>
      <c r="D44" s="8">
        <f>GridDCF!D1780</f>
        <v>38.656339010218815</v>
      </c>
      <c r="E44" s="8">
        <f>GridDCF!J1780</f>
        <v>26.978258995231709</v>
      </c>
      <c r="F44" s="87">
        <f>GridDCF!D1796</f>
        <v>7.0297726685014137</v>
      </c>
      <c r="G44" s="15">
        <f>GridDCF!D1795</f>
        <v>0.66978904964308672</v>
      </c>
      <c r="H44" s="16">
        <f>GridDCF!D1779</f>
        <v>35754.545454545456</v>
      </c>
      <c r="I44" s="16">
        <f>GridDCF!D1793</f>
        <v>35754.545454545478</v>
      </c>
      <c r="J44" s="31" t="str">
        <f>GridDCF!J1789</f>
        <v>satisfied</v>
      </c>
      <c r="K44" s="10" t="s">
        <v>2312</v>
      </c>
    </row>
    <row r="45" spans="1:11" ht="15" customHeight="1" x14ac:dyDescent="0.2">
      <c r="A45" s="10" t="s">
        <v>2297</v>
      </c>
      <c r="B45" s="30">
        <f>GridDCF!D1827</f>
        <v>0.7</v>
      </c>
      <c r="C45" s="30">
        <f>GridDCF!D1828</f>
        <v>0.14000000000000001</v>
      </c>
      <c r="D45" s="8">
        <f>GridDCF!D1826</f>
        <v>41.997559672762641</v>
      </c>
      <c r="E45" s="8">
        <f>GridDCF!J1826</f>
        <v>29.310096895621047</v>
      </c>
      <c r="F45" s="87">
        <f>GridDCF!D1842</f>
        <v>7.6373837950173966</v>
      </c>
      <c r="G45" s="15">
        <f>GridDCF!D1841</f>
        <v>0.56983575185877178</v>
      </c>
      <c r="H45" s="16">
        <f>GridDCF!D1825</f>
        <v>35754.545454545456</v>
      </c>
      <c r="I45" s="16">
        <f>GridDCF!D1839</f>
        <v>35754.545454545456</v>
      </c>
      <c r="J45" s="31" t="str">
        <f>GridDCF!J1835</f>
        <v>satisfied</v>
      </c>
      <c r="K45" s="10" t="s">
        <v>2313</v>
      </c>
    </row>
    <row r="46" spans="1:11" ht="15" customHeight="1" x14ac:dyDescent="0.2">
      <c r="A46" s="10" t="s">
        <v>2297</v>
      </c>
      <c r="B46" s="30">
        <f>GridDCF!D1873</f>
        <v>0.8</v>
      </c>
      <c r="C46" s="30">
        <f>GridDCF!D1874</f>
        <v>0.08</v>
      </c>
      <c r="D46" s="8">
        <f>GridDCF!D1872</f>
        <v>28.140374037924399</v>
      </c>
      <c r="E46" s="8">
        <f>GridDCF!J1872</f>
        <v>19.639167041067438</v>
      </c>
      <c r="F46" s="87">
        <f>GridDCF!D1888</f>
        <v>5.1174124958111991</v>
      </c>
      <c r="G46" s="15">
        <f>GridDCF!D1887</f>
        <v>0.93320219759891043</v>
      </c>
      <c r="H46" s="16">
        <f>GridDCF!D1871</f>
        <v>35754.545454545456</v>
      </c>
      <c r="I46" s="16">
        <f>GridDCF!D1885</f>
        <v>35754.54545454547</v>
      </c>
      <c r="J46" s="31" t="str">
        <f>GridDCF!J1881</f>
        <v>satisfied</v>
      </c>
      <c r="K46" s="10" t="s">
        <v>2314</v>
      </c>
    </row>
    <row r="47" spans="1:11" ht="15" customHeight="1" x14ac:dyDescent="0.2">
      <c r="A47" s="10" t="s">
        <v>2297</v>
      </c>
      <c r="B47" s="30">
        <f>GridDCF!D1919</f>
        <v>0.8</v>
      </c>
      <c r="C47" s="30">
        <f>GridDCF!D1920</f>
        <v>0.1</v>
      </c>
      <c r="D47" s="8">
        <f>GridDCF!D1918</f>
        <v>30.941787760210378</v>
      </c>
      <c r="E47" s="8">
        <f>GridDCF!J1918</f>
        <v>21.594273677850822</v>
      </c>
      <c r="F47" s="87">
        <f>GridDCF!D1934</f>
        <v>5.6268580905656549</v>
      </c>
      <c r="G47" s="15">
        <f>GridDCF!D1933</f>
        <v>0.7887375587451434</v>
      </c>
      <c r="H47" s="16">
        <f>GridDCF!D1917</f>
        <v>35754.545454545456</v>
      </c>
      <c r="I47" s="16">
        <f>GridDCF!D1931</f>
        <v>35754.545454545463</v>
      </c>
      <c r="J47" s="31" t="str">
        <f>GridDCF!J1927</f>
        <v>satisfied</v>
      </c>
      <c r="K47" s="10" t="s">
        <v>2315</v>
      </c>
    </row>
    <row r="48" spans="1:11" ht="15" customHeight="1" x14ac:dyDescent="0.2">
      <c r="A48" s="10" t="s">
        <v>2297</v>
      </c>
      <c r="B48" s="30">
        <f>GridDCF!D1965</f>
        <v>0.8</v>
      </c>
      <c r="C48" s="30">
        <f>GridDCF!D1966</f>
        <v>0.12</v>
      </c>
      <c r="D48" s="8">
        <f>GridDCF!D1964</f>
        <v>33.801047853101934</v>
      </c>
      <c r="E48" s="8">
        <f>GridDCF!J1964</f>
        <v>23.589751296679839</v>
      </c>
      <c r="F48" s="87">
        <f>GridDCF!D1980</f>
        <v>6.1468232235243772</v>
      </c>
      <c r="G48" s="15">
        <f>GridDCF!D1979</f>
        <v>0.66886966131619774</v>
      </c>
      <c r="H48" s="16">
        <f>GridDCF!D1963</f>
        <v>35754.545454545456</v>
      </c>
      <c r="I48" s="16">
        <f>GridDCF!D1977</f>
        <v>35754.545454545463</v>
      </c>
      <c r="J48" s="31" t="str">
        <f>GridDCF!J1973</f>
        <v>satisfied</v>
      </c>
      <c r="K48" s="10" t="s">
        <v>2316</v>
      </c>
    </row>
    <row r="49" spans="1:11" ht="15" customHeight="1" x14ac:dyDescent="0.2">
      <c r="A49" s="10" t="s">
        <v>2297</v>
      </c>
      <c r="B49" s="30">
        <f>GridDCF!D2011</f>
        <v>0.8</v>
      </c>
      <c r="C49" s="30">
        <f>GridDCF!D2012</f>
        <v>0.14000000000000001</v>
      </c>
      <c r="D49" s="8">
        <f>GridDCF!D2010</f>
        <v>36.718674880282833</v>
      </c>
      <c r="E49" s="8">
        <f>GridDCF!J2010</f>
        <v>25.625963198949389</v>
      </c>
      <c r="F49" s="87">
        <f>GridDCF!D2026</f>
        <v>6.6774025607744836</v>
      </c>
      <c r="G49" s="15">
        <f>GridDCF!D2025</f>
        <v>0.56900116642695642</v>
      </c>
      <c r="H49" s="16">
        <f>GridDCF!D2009</f>
        <v>35754.545454545456</v>
      </c>
      <c r="I49" s="16">
        <f>GridDCF!D2023</f>
        <v>35754.545454545419</v>
      </c>
      <c r="J49" s="31" t="str">
        <f>GridDCF!J2019</f>
        <v>satisfied</v>
      </c>
      <c r="K49" s="10" t="s">
        <v>2317</v>
      </c>
    </row>
    <row r="50" spans="1:11" ht="15" customHeight="1" x14ac:dyDescent="0.2">
      <c r="A50" s="10" t="s">
        <v>2297</v>
      </c>
      <c r="B50" s="30">
        <f>GridDCF!D2057</f>
        <v>0.91</v>
      </c>
      <c r="C50" s="30">
        <f>GridDCF!D2058</f>
        <v>0.08</v>
      </c>
      <c r="D50" s="8">
        <f>GridDCF!D2056</f>
        <v>24.728994705773868</v>
      </c>
      <c r="E50" s="8">
        <f>GridDCF!J2056</f>
        <v>17.25836540515958</v>
      </c>
      <c r="F50" s="87">
        <f>GridDCF!D2072</f>
        <v>4.4970428021187123</v>
      </c>
      <c r="G50" s="15">
        <f>GridDCF!D2071</f>
        <v>0.9322671224975132</v>
      </c>
      <c r="H50" s="16">
        <f>GridDCF!D2055</f>
        <v>35754.545454545456</v>
      </c>
      <c r="I50" s="16">
        <f>GridDCF!D2069</f>
        <v>35754.545454545485</v>
      </c>
      <c r="J50" s="31" t="str">
        <f>GridDCF!J2065</f>
        <v>satisfied</v>
      </c>
      <c r="K50" s="10" t="s">
        <v>2318</v>
      </c>
    </row>
    <row r="51" spans="1:11" ht="15" customHeight="1" x14ac:dyDescent="0.2">
      <c r="A51" s="10" t="s">
        <v>2297</v>
      </c>
      <c r="B51" s="30">
        <f>GridDCF!D2103</f>
        <v>0.91</v>
      </c>
      <c r="C51" s="30">
        <f>GridDCF!D2104</f>
        <v>0.1</v>
      </c>
      <c r="D51" s="8">
        <f>GridDCF!D2102</f>
        <v>27.188260491386448</v>
      </c>
      <c r="E51" s="8">
        <f>GridDCF!J2102</f>
        <v>18.974686996938601</v>
      </c>
      <c r="F51" s="87">
        <f>GridDCF!D2118</f>
        <v>4.9442677553071102</v>
      </c>
      <c r="G51" s="15">
        <f>GridDCF!D2117</f>
        <v>0.78788371914301847</v>
      </c>
      <c r="H51" s="16">
        <f>GridDCF!D2101</f>
        <v>35754.545454545456</v>
      </c>
      <c r="I51" s="16">
        <f>GridDCF!D2115</f>
        <v>35754.545454545456</v>
      </c>
      <c r="J51" s="31" t="str">
        <f>GridDCF!J2111</f>
        <v>satisfied</v>
      </c>
      <c r="K51" s="10" t="s">
        <v>2319</v>
      </c>
    </row>
    <row r="52" spans="1:11" ht="15" customHeight="1" x14ac:dyDescent="0.2">
      <c r="A52" s="10" t="s">
        <v>2297</v>
      </c>
      <c r="B52" s="30">
        <f>GridDCF!D2149</f>
        <v>0.91</v>
      </c>
      <c r="C52" s="30">
        <f>GridDCF!D2150</f>
        <v>0.12</v>
      </c>
      <c r="D52" s="8">
        <f>GridDCF!D2148</f>
        <v>29.697934730381451</v>
      </c>
      <c r="E52" s="8">
        <f>GridDCF!J2148</f>
        <v>20.726188648333213</v>
      </c>
      <c r="F52" s="87">
        <f>GridDCF!D2164</f>
        <v>5.4006596388599055</v>
      </c>
      <c r="G52" s="15">
        <f>GridDCF!D2163</f>
        <v>0.66809270393365083</v>
      </c>
      <c r="H52" s="16">
        <f>GridDCF!D2147</f>
        <v>35754.545454545456</v>
      </c>
      <c r="I52" s="16">
        <f>GridDCF!D2161</f>
        <v>35754.545454545485</v>
      </c>
      <c r="J52" s="31" t="str">
        <f>GridDCF!J2157</f>
        <v>satisfied</v>
      </c>
      <c r="K52" s="10" t="s">
        <v>2320</v>
      </c>
    </row>
    <row r="53" spans="1:11" ht="15" customHeight="1" x14ac:dyDescent="0.2">
      <c r="A53" s="10" t="s">
        <v>2297</v>
      </c>
      <c r="B53" s="30">
        <f>GridDCF!D2195</f>
        <v>0.91</v>
      </c>
      <c r="C53" s="30">
        <f>GridDCF!D2196</f>
        <v>0.14000000000000001</v>
      </c>
      <c r="D53" s="8">
        <f>GridDCF!D2194</f>
        <v>32.258472075744763</v>
      </c>
      <c r="E53" s="8">
        <f>GridDCF!J2194</f>
        <v>22.513187661662268</v>
      </c>
      <c r="F53" s="87">
        <f>GridDCF!D2210</f>
        <v>5.8663011328035992</v>
      </c>
      <c r="G53" s="15">
        <f>GridDCF!D2209</f>
        <v>0.56829601364754434</v>
      </c>
      <c r="H53" s="16">
        <f>GridDCF!D2193</f>
        <v>35754.545454545456</v>
      </c>
      <c r="I53" s="16">
        <f>GridDCF!D2207</f>
        <v>35754.54545454547</v>
      </c>
      <c r="J53" s="31" t="str">
        <f>GridDCF!J2203</f>
        <v>satisfied</v>
      </c>
      <c r="K53" s="10" t="s">
        <v>2321</v>
      </c>
    </row>
    <row r="54" spans="1:11" ht="15" customHeight="1" x14ac:dyDescent="0.2">
      <c r="A54" s="10" t="s">
        <v>2322</v>
      </c>
      <c r="B54" s="30">
        <f>GridDCF!D2241</f>
        <v>0.5</v>
      </c>
      <c r="C54" s="30">
        <f>GridDCF!D2242</f>
        <v>0.08</v>
      </c>
      <c r="D54" s="8">
        <f>GridDCF!D2240</f>
        <v>44.457932733865761</v>
      </c>
      <c r="E54" s="8">
        <f>GridDCF!J2240</f>
        <v>31.027191254964912</v>
      </c>
      <c r="F54" s="87">
        <f>GridDCF!D2256</f>
        <v>8.0848101096171234</v>
      </c>
      <c r="G54" s="15">
        <f>GridDCF!D2255</f>
        <v>0.96696194955543502</v>
      </c>
      <c r="H54" s="16">
        <f>GridDCF!D2239</f>
        <v>32775</v>
      </c>
      <c r="I54" s="16">
        <f>GridDCF!D2253</f>
        <v>32775.000000000022</v>
      </c>
      <c r="J54" s="31" t="str">
        <f>GridDCF!J2249</f>
        <v>satisfied</v>
      </c>
      <c r="K54" s="10" t="s">
        <v>2323</v>
      </c>
    </row>
    <row r="55" spans="1:11" ht="15" customHeight="1" x14ac:dyDescent="0.2">
      <c r="A55" s="10" t="s">
        <v>2322</v>
      </c>
      <c r="B55" s="30">
        <f>GridDCF!D2287</f>
        <v>0.5</v>
      </c>
      <c r="C55" s="30">
        <f>GridDCF!D2288</f>
        <v>0.1</v>
      </c>
      <c r="D55" s="8">
        <f>GridDCF!D2286</f>
        <v>48.723824261473027</v>
      </c>
      <c r="E55" s="8">
        <f>GridDCF!J2286</f>
        <v>34.004356952082027</v>
      </c>
      <c r="F55" s="87">
        <f>GridDCF!D2302</f>
        <v>8.8605754416532978</v>
      </c>
      <c r="G55" s="15">
        <f>GridDCF!D2301</f>
        <v>0.81757216693681489</v>
      </c>
      <c r="H55" s="16">
        <f>GridDCF!D2285</f>
        <v>32775</v>
      </c>
      <c r="I55" s="16">
        <f>GridDCF!D2299</f>
        <v>32774.999999999985</v>
      </c>
      <c r="J55" s="31" t="str">
        <f>GridDCF!J2295</f>
        <v>satisfied</v>
      </c>
      <c r="K55" s="10" t="s">
        <v>2324</v>
      </c>
    </row>
    <row r="56" spans="1:11" ht="15" customHeight="1" x14ac:dyDescent="0.2">
      <c r="A56" s="10" t="s">
        <v>2322</v>
      </c>
      <c r="B56" s="30">
        <f>GridDCF!D2333</f>
        <v>0.5</v>
      </c>
      <c r="C56" s="30">
        <f>GridDCF!D2334</f>
        <v>0.12</v>
      </c>
      <c r="D56" s="8">
        <f>GridDCF!D2332</f>
        <v>53.08026129202122</v>
      </c>
      <c r="E56" s="8">
        <f>GridDCF!J2332</f>
        <v>37.044714355701608</v>
      </c>
      <c r="F56" s="87">
        <f>GridDCF!D2348</f>
        <v>9.6528067484332674</v>
      </c>
      <c r="G56" s="15">
        <f>GridDCF!D2347</f>
        <v>0.69355563583207835</v>
      </c>
      <c r="H56" s="16">
        <f>GridDCF!D2331</f>
        <v>32775</v>
      </c>
      <c r="I56" s="16">
        <f>GridDCF!D2345</f>
        <v>32775</v>
      </c>
      <c r="J56" s="31" t="str">
        <f>GridDCF!J2341</f>
        <v>satisfied</v>
      </c>
      <c r="K56" s="10" t="s">
        <v>2325</v>
      </c>
    </row>
    <row r="57" spans="1:11" ht="15" customHeight="1" x14ac:dyDescent="0.2">
      <c r="A57" s="10" t="s">
        <v>2322</v>
      </c>
      <c r="B57" s="30">
        <f>GridDCF!D2379</f>
        <v>0.5</v>
      </c>
      <c r="C57" s="30">
        <f>GridDCF!D2380</f>
        <v>0.14000000000000001</v>
      </c>
      <c r="D57" s="8">
        <f>GridDCF!D2378</f>
        <v>57.527792766259381</v>
      </c>
      <c r="E57" s="8">
        <f>GridDCF!J2378</f>
        <v>40.148646571572421</v>
      </c>
      <c r="F57" s="87">
        <f>GridDCF!D2394</f>
        <v>10.461603856499664</v>
      </c>
      <c r="G57" s="15">
        <f>GridDCF!D2393</f>
        <v>0.59018326063085169</v>
      </c>
      <c r="H57" s="16">
        <f>GridDCF!D2377</f>
        <v>32775</v>
      </c>
      <c r="I57" s="16">
        <f>GridDCF!D2391</f>
        <v>32775</v>
      </c>
      <c r="J57" s="31" t="str">
        <f>GridDCF!J2387</f>
        <v>satisfied</v>
      </c>
      <c r="K57" s="10" t="s">
        <v>2326</v>
      </c>
    </row>
    <row r="58" spans="1:11" ht="15" customHeight="1" x14ac:dyDescent="0.2">
      <c r="A58" s="10" t="s">
        <v>2322</v>
      </c>
      <c r="B58" s="30">
        <f>GridDCF!D2425</f>
        <v>0.59</v>
      </c>
      <c r="C58" s="30">
        <f>GridDCF!D2426</f>
        <v>0.08</v>
      </c>
      <c r="D58" s="8">
        <f>GridDCF!D2424</f>
        <v>37.646045215984437</v>
      </c>
      <c r="E58" s="8">
        <f>GridDCF!J2424</f>
        <v>26.273174956235536</v>
      </c>
      <c r="F58" s="87">
        <f>GridDCF!D2440</f>
        <v>6.8460476732299265</v>
      </c>
      <c r="G58" s="15">
        <f>GridDCF!D2439</f>
        <v>0.96492503642399297</v>
      </c>
      <c r="H58" s="16">
        <f>GridDCF!D2423</f>
        <v>32775</v>
      </c>
      <c r="I58" s="16">
        <f>GridDCF!D2437</f>
        <v>32775.000000000036</v>
      </c>
      <c r="J58" s="31" t="str">
        <f>GridDCF!J2433</f>
        <v>satisfied</v>
      </c>
      <c r="K58" s="10" t="s">
        <v>2327</v>
      </c>
    </row>
    <row r="59" spans="1:11" ht="15" customHeight="1" x14ac:dyDescent="0.2">
      <c r="A59" s="10" t="s">
        <v>2322</v>
      </c>
      <c r="B59" s="30">
        <f>GridDCF!D2471</f>
        <v>0.59</v>
      </c>
      <c r="C59" s="30">
        <f>GridDCF!D2472</f>
        <v>0.1</v>
      </c>
      <c r="D59" s="8">
        <f>GridDCF!D2470</f>
        <v>41.250499422389446</v>
      </c>
      <c r="E59" s="8">
        <f>GridDCF!J2470</f>
        <v>28.788723546885592</v>
      </c>
      <c r="F59" s="87">
        <f>GridDCF!D2486</f>
        <v>7.5015286192748345</v>
      </c>
      <c r="G59" s="15">
        <f>GridDCF!D2485</f>
        <v>0.81571761440524537</v>
      </c>
      <c r="H59" s="16">
        <f>GridDCF!D2469</f>
        <v>32775</v>
      </c>
      <c r="I59" s="16">
        <f>GridDCF!D2483</f>
        <v>32774.999999999993</v>
      </c>
      <c r="J59" s="31" t="str">
        <f>GridDCF!J2479</f>
        <v>satisfied</v>
      </c>
      <c r="K59" s="10" t="s">
        <v>2328</v>
      </c>
    </row>
    <row r="60" spans="1:11" ht="15" customHeight="1" x14ac:dyDescent="0.2">
      <c r="A60" s="10" t="s">
        <v>2322</v>
      </c>
      <c r="B60" s="30">
        <f>GridDCF!D2517</f>
        <v>0.59</v>
      </c>
      <c r="C60" s="30">
        <f>GridDCF!D2518</f>
        <v>0.12</v>
      </c>
      <c r="D60" s="8">
        <f>GridDCF!D2516</f>
        <v>44.930357701562464</v>
      </c>
      <c r="E60" s="8">
        <f>GridDCF!J2516</f>
        <v>31.356896639920443</v>
      </c>
      <c r="F60" s="87">
        <f>GridDCF!D2532</f>
        <v>8.170722024994161</v>
      </c>
      <c r="G60" s="15">
        <f>GridDCF!D2531</f>
        <v>0.69187209079362189</v>
      </c>
      <c r="H60" s="16">
        <f>GridDCF!D2515</f>
        <v>32775</v>
      </c>
      <c r="I60" s="16">
        <f>GridDCF!D2529</f>
        <v>32774.999999999993</v>
      </c>
      <c r="J60" s="31" t="str">
        <f>GridDCF!J2525</f>
        <v>satisfied</v>
      </c>
      <c r="K60" s="10" t="s">
        <v>2329</v>
      </c>
    </row>
    <row r="61" spans="1:11" ht="15" customHeight="1" x14ac:dyDescent="0.2">
      <c r="A61" s="10" t="s">
        <v>2322</v>
      </c>
      <c r="B61" s="30">
        <f>GridDCF!D2563</f>
        <v>0.59</v>
      </c>
      <c r="C61" s="30">
        <f>GridDCF!D2564</f>
        <v>0.14000000000000001</v>
      </c>
      <c r="D61" s="8">
        <f>GridDCF!D2562</f>
        <v>48.686074298016692</v>
      </c>
      <c r="E61" s="8">
        <f>GridDCF!J2562</f>
        <v>33.978011252585844</v>
      </c>
      <c r="F61" s="87">
        <f>GridDCF!D2578</f>
        <v>8.8537104961324058</v>
      </c>
      <c r="G61" s="15">
        <f>GridDCF!D2577</f>
        <v>0.5886583167598578</v>
      </c>
      <c r="H61" s="16">
        <f>GridDCF!D2561</f>
        <v>32775</v>
      </c>
      <c r="I61" s="16">
        <f>GridDCF!D2575</f>
        <v>32774.999999999985</v>
      </c>
      <c r="J61" s="31" t="str">
        <f>GridDCF!J2571</f>
        <v>satisfied</v>
      </c>
      <c r="K61" s="10" t="s">
        <v>2330</v>
      </c>
    </row>
    <row r="62" spans="1:11" ht="15" customHeight="1" x14ac:dyDescent="0.2">
      <c r="A62" s="10" t="s">
        <v>2322</v>
      </c>
      <c r="B62" s="30">
        <f>GridDCF!D2609</f>
        <v>0.6</v>
      </c>
      <c r="C62" s="30">
        <f>GridDCF!D2610</f>
        <v>0.08</v>
      </c>
      <c r="D62" s="8">
        <f>GridDCF!D2608</f>
        <v>37.015866666403298</v>
      </c>
      <c r="E62" s="8">
        <f>GridDCF!J2608</f>
        <v>25.833373346482862</v>
      </c>
      <c r="F62" s="87">
        <f>GridDCF!D2624</f>
        <v>6.7314477898071789</v>
      </c>
      <c r="G62" s="15">
        <f>GridDCF!D2623</f>
        <v>0.96473659835019554</v>
      </c>
      <c r="H62" s="16">
        <f>GridDCF!D2607</f>
        <v>32775</v>
      </c>
      <c r="I62" s="16">
        <f>GridDCF!D2621</f>
        <v>32775.000000000029</v>
      </c>
      <c r="J62" s="31" t="str">
        <f>GridDCF!J2617</f>
        <v>satisfied</v>
      </c>
      <c r="K62" s="10" t="s">
        <v>2331</v>
      </c>
    </row>
    <row r="63" spans="1:11" ht="15" customHeight="1" x14ac:dyDescent="0.2">
      <c r="A63" s="10" t="s">
        <v>2322</v>
      </c>
      <c r="B63" s="30">
        <f>GridDCF!D2655</f>
        <v>0.6</v>
      </c>
      <c r="C63" s="30">
        <f>GridDCF!D2656</f>
        <v>0.1</v>
      </c>
      <c r="D63" s="8">
        <f>GridDCF!D2654</f>
        <v>40.559273291932776</v>
      </c>
      <c r="E63" s="8">
        <f>GridDCF!J2654</f>
        <v>28.306316830439883</v>
      </c>
      <c r="F63" s="87">
        <f>GridDCF!D2670</f>
        <v>7.3758270478364798</v>
      </c>
      <c r="G63" s="15">
        <f>GridDCF!D2669</f>
        <v>0.81554608229634784</v>
      </c>
      <c r="H63" s="16">
        <f>GridDCF!D2653</f>
        <v>32775</v>
      </c>
      <c r="I63" s="16">
        <f>GridDCF!D2667</f>
        <v>32774.999999999993</v>
      </c>
      <c r="J63" s="31" t="str">
        <f>GridDCF!J2663</f>
        <v>satisfied</v>
      </c>
      <c r="K63" s="10" t="s">
        <v>2332</v>
      </c>
    </row>
    <row r="64" spans="1:11" ht="15" customHeight="1" x14ac:dyDescent="0.2">
      <c r="A64" s="10" t="s">
        <v>2322</v>
      </c>
      <c r="B64" s="30">
        <f>GridDCF!D2701</f>
        <v>0.6</v>
      </c>
      <c r="C64" s="30">
        <f>GridDCF!D2702</f>
        <v>0.12</v>
      </c>
      <c r="D64" s="8">
        <f>GridDCF!D2700</f>
        <v>44.176706758090141</v>
      </c>
      <c r="E64" s="8">
        <f>GridDCF!J2700</f>
        <v>30.830923646471106</v>
      </c>
      <c r="F64" s="87">
        <f>GridDCF!D2716</f>
        <v>8.0336683116921446</v>
      </c>
      <c r="G64" s="15">
        <f>GridDCF!D2715</f>
        <v>0.6917164073192682</v>
      </c>
      <c r="H64" s="16">
        <f>GridDCF!D2699</f>
        <v>32775</v>
      </c>
      <c r="I64" s="16">
        <f>GridDCF!D2713</f>
        <v>32775.000000000015</v>
      </c>
      <c r="J64" s="31" t="str">
        <f>GridDCF!J2709</f>
        <v>satisfied</v>
      </c>
      <c r="K64" s="10" t="s">
        <v>2333</v>
      </c>
    </row>
    <row r="65" spans="1:11" ht="15" customHeight="1" x14ac:dyDescent="0.2">
      <c r="A65" s="10" t="s">
        <v>2322</v>
      </c>
      <c r="B65" s="30">
        <f>GridDCF!D2747</f>
        <v>0.6</v>
      </c>
      <c r="C65" s="30">
        <f>GridDCF!D2748</f>
        <v>0.14000000000000001</v>
      </c>
      <c r="D65" s="8">
        <f>GridDCF!D2746</f>
        <v>47.86861280574977</v>
      </c>
      <c r="E65" s="8">
        <f>GridDCF!J2746</f>
        <v>33.407504877132766</v>
      </c>
      <c r="F65" s="87">
        <f>GridDCF!D2762</f>
        <v>8.7050526407061248</v>
      </c>
      <c r="G65" s="15">
        <f>GridDCF!D2761</f>
        <v>0.58851732800333023</v>
      </c>
      <c r="H65" s="16">
        <f>GridDCF!D2745</f>
        <v>32775</v>
      </c>
      <c r="I65" s="16">
        <f>GridDCF!D2759</f>
        <v>32774.999999999978</v>
      </c>
      <c r="J65" s="31" t="str">
        <f>GridDCF!J2755</f>
        <v>satisfied</v>
      </c>
      <c r="K65" s="10" t="s">
        <v>2334</v>
      </c>
    </row>
    <row r="66" spans="1:11" ht="15" customHeight="1" x14ac:dyDescent="0.2">
      <c r="A66" s="10" t="s">
        <v>2322</v>
      </c>
      <c r="B66" s="30">
        <f>GridDCF!D2793</f>
        <v>0.7</v>
      </c>
      <c r="C66" s="30">
        <f>GridDCF!D2794</f>
        <v>0.08</v>
      </c>
      <c r="D66" s="8">
        <f>GridDCF!D2792</f>
        <v>31.708072222510069</v>
      </c>
      <c r="E66" s="8">
        <f>GridDCF!J2792</f>
        <v>22.129063604089776</v>
      </c>
      <c r="F66" s="87">
        <f>GridDCF!D2808</f>
        <v>5.766209247641024</v>
      </c>
      <c r="G66" s="15">
        <f>GridDCF!D2807</f>
        <v>0.96314944410353764</v>
      </c>
      <c r="H66" s="16">
        <f>GridDCF!D2791</f>
        <v>32775</v>
      </c>
      <c r="I66" s="16">
        <f>GridDCF!D2805</f>
        <v>32775.000000000029</v>
      </c>
      <c r="J66" s="31" t="str">
        <f>GridDCF!J2801</f>
        <v>satisfied</v>
      </c>
      <c r="K66" s="10" t="s">
        <v>2335</v>
      </c>
    </row>
    <row r="67" spans="1:11" ht="15" customHeight="1" x14ac:dyDescent="0.2">
      <c r="A67" s="10" t="s">
        <v>2322</v>
      </c>
      <c r="B67" s="30">
        <f>GridDCF!D2839</f>
        <v>0.7</v>
      </c>
      <c r="C67" s="30">
        <f>GridDCF!D2840</f>
        <v>0.1</v>
      </c>
      <c r="D67" s="8">
        <f>GridDCF!D2838</f>
        <v>34.738255329391826</v>
      </c>
      <c r="E67" s="8">
        <f>GridDCF!J2838</f>
        <v>24.243828394382554</v>
      </c>
      <c r="F67" s="87">
        <f>GridDCF!D2854</f>
        <v>6.3172572498763371</v>
      </c>
      <c r="G67" s="15">
        <f>GridDCF!D2853</f>
        <v>0.81410156010158319</v>
      </c>
      <c r="H67" s="16">
        <f>GridDCF!D2837</f>
        <v>32775</v>
      </c>
      <c r="I67" s="16">
        <f>GridDCF!D2851</f>
        <v>32774.999999999978</v>
      </c>
      <c r="J67" s="31" t="str">
        <f>GridDCF!J2847</f>
        <v>satisfied</v>
      </c>
      <c r="K67" s="10" t="s">
        <v>2336</v>
      </c>
    </row>
    <row r="68" spans="1:11" ht="15" customHeight="1" x14ac:dyDescent="0.2">
      <c r="A68" s="10" t="s">
        <v>2322</v>
      </c>
      <c r="B68" s="30">
        <f>GridDCF!D2885</f>
        <v>0.7</v>
      </c>
      <c r="C68" s="30">
        <f>GridDCF!D2886</f>
        <v>0.12</v>
      </c>
      <c r="D68" s="8">
        <f>GridDCF!D2884</f>
        <v>37.831022606365941</v>
      </c>
      <c r="E68" s="8">
        <f>GridDCF!J2884</f>
        <v>26.402270676982788</v>
      </c>
      <c r="F68" s="87">
        <f>GridDCF!D2900</f>
        <v>6.879686373543759</v>
      </c>
      <c r="G68" s="15">
        <f>GridDCF!D2899</f>
        <v>0.69040556419693278</v>
      </c>
      <c r="H68" s="16">
        <f>GridDCF!D2883</f>
        <v>32775</v>
      </c>
      <c r="I68" s="16">
        <f>GridDCF!D2897</f>
        <v>32775.000000000022</v>
      </c>
      <c r="J68" s="31" t="str">
        <f>GridDCF!J2893</f>
        <v>satisfied</v>
      </c>
      <c r="K68" s="10" t="s">
        <v>2337</v>
      </c>
    </row>
    <row r="69" spans="1:11" ht="15" customHeight="1" x14ac:dyDescent="0.2">
      <c r="A69" s="10" t="s">
        <v>2322</v>
      </c>
      <c r="B69" s="30">
        <f>GridDCF!D2931</f>
        <v>0.7</v>
      </c>
      <c r="C69" s="30">
        <f>GridDCF!D2932</f>
        <v>0.14000000000000001</v>
      </c>
      <c r="D69" s="8">
        <f>GridDCF!D2930</f>
        <v>40.986749748293235</v>
      </c>
      <c r="E69" s="8">
        <f>GridDCF!J2930</f>
        <v>28.604652649333847</v>
      </c>
      <c r="F69" s="87">
        <f>GridDCF!D2946</f>
        <v>7.4535649398949131</v>
      </c>
      <c r="G69" s="15">
        <f>GridDCF!D2945</f>
        <v>0.58733040320718521</v>
      </c>
      <c r="H69" s="16">
        <f>GridDCF!D2929</f>
        <v>32775</v>
      </c>
      <c r="I69" s="16">
        <f>GridDCF!D2943</f>
        <v>32774.999999999993</v>
      </c>
      <c r="J69" s="31" t="str">
        <f>GridDCF!J2939</f>
        <v>satisfied</v>
      </c>
      <c r="K69" s="10" t="s">
        <v>2338</v>
      </c>
    </row>
    <row r="70" spans="1:11" ht="15" customHeight="1" x14ac:dyDescent="0.2">
      <c r="A70" s="10" t="s">
        <v>2322</v>
      </c>
      <c r="B70" s="30">
        <f>GridDCF!D2977</f>
        <v>0.8</v>
      </c>
      <c r="C70" s="30">
        <f>GridDCF!D2978</f>
        <v>0.08</v>
      </c>
      <c r="D70" s="8">
        <f>GridDCF!D2976</f>
        <v>27.731574794024134</v>
      </c>
      <c r="E70" s="8">
        <f>GridDCF!J2976</f>
        <v>19.353866048749442</v>
      </c>
      <c r="F70" s="87">
        <f>GridDCF!D2992</f>
        <v>5.0430711115711029</v>
      </c>
      <c r="G70" s="15">
        <f>GridDCF!D2991</f>
        <v>0.96196037869281759</v>
      </c>
      <c r="H70" s="16">
        <f>GridDCF!D2975</f>
        <v>32775</v>
      </c>
      <c r="I70" s="16">
        <f>GridDCF!D2989</f>
        <v>32775.000000000007</v>
      </c>
      <c r="J70" s="31" t="str">
        <f>GridDCF!J2985</f>
        <v>satisfied</v>
      </c>
      <c r="K70" s="10" t="s">
        <v>2339</v>
      </c>
    </row>
    <row r="71" spans="1:11" ht="15" customHeight="1" x14ac:dyDescent="0.2">
      <c r="A71" s="10" t="s">
        <v>2322</v>
      </c>
      <c r="B71" s="30">
        <f>GridDCF!D3023</f>
        <v>0.8</v>
      </c>
      <c r="C71" s="30">
        <f>GridDCF!D3024</f>
        <v>0.1</v>
      </c>
      <c r="D71" s="8">
        <f>GridDCF!D3022</f>
        <v>30.378386023046772</v>
      </c>
      <c r="E71" s="8">
        <f>GridDCF!J3022</f>
        <v>21.201075605484341</v>
      </c>
      <c r="F71" s="87">
        <f>GridDCF!D3038</f>
        <v>5.5244017733170949</v>
      </c>
      <c r="G71" s="15">
        <f>GridDCF!D3037</f>
        <v>0.81301963112974074</v>
      </c>
      <c r="H71" s="16">
        <f>GridDCF!D3021</f>
        <v>32775</v>
      </c>
      <c r="I71" s="16">
        <f>GridDCF!D3035</f>
        <v>32774.999999999964</v>
      </c>
      <c r="J71" s="31" t="str">
        <f>GridDCF!J3031</f>
        <v>satisfied</v>
      </c>
      <c r="K71" s="10" t="s">
        <v>2340</v>
      </c>
    </row>
    <row r="72" spans="1:11" ht="15" customHeight="1" x14ac:dyDescent="0.2">
      <c r="A72" s="10" t="s">
        <v>2322</v>
      </c>
      <c r="B72" s="30">
        <f>GridDCF!D3069</f>
        <v>0.8</v>
      </c>
      <c r="C72" s="30">
        <f>GridDCF!D3070</f>
        <v>0.12</v>
      </c>
      <c r="D72" s="8">
        <f>GridDCF!D3068</f>
        <v>33.079392363346258</v>
      </c>
      <c r="E72" s="8">
        <f>GridDCF!J3068</f>
        <v>23.086107930379352</v>
      </c>
      <c r="F72" s="87">
        <f>GridDCF!D3084</f>
        <v>6.0155879806676396</v>
      </c>
      <c r="G72" s="15">
        <f>GridDCF!D3083</f>
        <v>0.689424008595517</v>
      </c>
      <c r="H72" s="16">
        <f>GridDCF!D3067</f>
        <v>32775</v>
      </c>
      <c r="I72" s="16">
        <f>GridDCF!D3081</f>
        <v>32775.000000000015</v>
      </c>
      <c r="J72" s="31" t="str">
        <f>GridDCF!J3077</f>
        <v>satisfied</v>
      </c>
      <c r="K72" s="10" t="s">
        <v>2341</v>
      </c>
    </row>
    <row r="73" spans="1:11" ht="15" customHeight="1" x14ac:dyDescent="0.2">
      <c r="A73" s="10" t="s">
        <v>2322</v>
      </c>
      <c r="B73" s="30">
        <f>GridDCF!D3115</f>
        <v>0.8</v>
      </c>
      <c r="C73" s="30">
        <f>GridDCF!D3116</f>
        <v>0.14000000000000001</v>
      </c>
      <c r="D73" s="8">
        <f>GridDCF!D3114</f>
        <v>35.834918746079957</v>
      </c>
      <c r="E73" s="8">
        <f>GridDCF!J3114</f>
        <v>25.009189792889202</v>
      </c>
      <c r="F73" s="87">
        <f>GridDCF!D3130</f>
        <v>6.5166888233406945</v>
      </c>
      <c r="G73" s="15">
        <f>GridDCF!D3129</f>
        <v>0.58644185952199113</v>
      </c>
      <c r="H73" s="16">
        <f>GridDCF!D3113</f>
        <v>32775</v>
      </c>
      <c r="I73" s="16">
        <f>GridDCF!D3127</f>
        <v>32774.999999999978</v>
      </c>
      <c r="J73" s="31" t="str">
        <f>GridDCF!J3123</f>
        <v>satisfied</v>
      </c>
      <c r="K73" s="10" t="s">
        <v>2342</v>
      </c>
    </row>
    <row r="74" spans="1:11" ht="15" customHeight="1" x14ac:dyDescent="0.2">
      <c r="A74" s="10" t="s">
        <v>2322</v>
      </c>
      <c r="B74" s="30">
        <f>GridDCF!D3161</f>
        <v>0.91</v>
      </c>
      <c r="C74" s="30">
        <f>GridDCF!D3162</f>
        <v>0.08</v>
      </c>
      <c r="D74" s="8">
        <f>GridDCF!D3160</f>
        <v>24.369753058007923</v>
      </c>
      <c r="E74" s="8">
        <f>GridDCF!J3160</f>
        <v>17.007650659183728</v>
      </c>
      <c r="F74" s="87">
        <f>GridDCF!D3176</f>
        <v>4.4317136172679463</v>
      </c>
      <c r="G74" s="15">
        <f>GridDCF!D3175</f>
        <v>0.9609551156402959</v>
      </c>
      <c r="H74" s="16">
        <f>GridDCF!D3159</f>
        <v>32775</v>
      </c>
      <c r="I74" s="16">
        <f>GridDCF!D3173</f>
        <v>32775.000000000015</v>
      </c>
      <c r="J74" s="31" t="str">
        <f>GridDCF!J3169</f>
        <v>satisfied</v>
      </c>
      <c r="K74" s="10" t="s">
        <v>2343</v>
      </c>
    </row>
    <row r="75" spans="1:11" ht="15" customHeight="1" x14ac:dyDescent="0.2">
      <c r="A75" s="10" t="s">
        <v>2322</v>
      </c>
      <c r="B75" s="30">
        <f>GridDCF!D3207</f>
        <v>0.91</v>
      </c>
      <c r="C75" s="30">
        <f>GridDCF!D3208</f>
        <v>0.1</v>
      </c>
      <c r="D75" s="8">
        <f>GridDCF!D3206</f>
        <v>26.693204636501367</v>
      </c>
      <c r="E75" s="8">
        <f>GridDCF!J3206</f>
        <v>18.629187515814301</v>
      </c>
      <c r="F75" s="87">
        <f>GridDCF!D3222</f>
        <v>4.854240344353042</v>
      </c>
      <c r="G75" s="15">
        <f>GridDCF!D3221</f>
        <v>0.81210513020587216</v>
      </c>
      <c r="H75" s="16">
        <f>GridDCF!D3205</f>
        <v>32775</v>
      </c>
      <c r="I75" s="16">
        <f>GridDCF!D3219</f>
        <v>32774.999999999985</v>
      </c>
      <c r="J75" s="31" t="str">
        <f>GridDCF!J3215</f>
        <v>satisfied</v>
      </c>
      <c r="K75" s="10" t="s">
        <v>2344</v>
      </c>
    </row>
    <row r="76" spans="1:11" ht="15" customHeight="1" x14ac:dyDescent="0.2">
      <c r="A76" s="10" t="s">
        <v>2322</v>
      </c>
      <c r="B76" s="30">
        <f>GridDCF!D3253</f>
        <v>0.91</v>
      </c>
      <c r="C76" s="30">
        <f>GridDCF!D3254</f>
        <v>0.12</v>
      </c>
      <c r="D76" s="8">
        <f>GridDCF!D3252</f>
        <v>29.0638810843014</v>
      </c>
      <c r="E76" s="8">
        <f>GridDCF!J3252</f>
        <v>20.283682608733947</v>
      </c>
      <c r="F76" s="87">
        <f>GridDCF!D3268</f>
        <v>5.2853550573681369</v>
      </c>
      <c r="G76" s="15">
        <f>GridDCF!D3267</f>
        <v>0.68859451484560119</v>
      </c>
      <c r="H76" s="16">
        <f>GridDCF!D3251</f>
        <v>32775</v>
      </c>
      <c r="I76" s="16">
        <f>GridDCF!D3265</f>
        <v>32775.000000000022</v>
      </c>
      <c r="J76" s="31" t="str">
        <f>GridDCF!J3261</f>
        <v>satisfied</v>
      </c>
      <c r="K76" s="10" t="s">
        <v>2345</v>
      </c>
    </row>
    <row r="77" spans="1:11" ht="15" customHeight="1" x14ac:dyDescent="0.2">
      <c r="A77" s="10" t="s">
        <v>2322</v>
      </c>
      <c r="B77" s="30">
        <f>GridDCF!D3299</f>
        <v>0.91</v>
      </c>
      <c r="C77" s="30">
        <f>GridDCF!D3300</f>
        <v>0.14000000000000001</v>
      </c>
      <c r="D77" s="8">
        <f>GridDCF!D3298</f>
        <v>31.482065446967962</v>
      </c>
      <c r="E77" s="8">
        <f>GridDCF!J3298</f>
        <v>21.971333475438939</v>
      </c>
      <c r="F77" s="87">
        <f>GridDCF!D3314</f>
        <v>5.725109229008063</v>
      </c>
      <c r="G77" s="15">
        <f>GridDCF!D3313</f>
        <v>0.58569111666768514</v>
      </c>
      <c r="H77" s="16">
        <f>GridDCF!D3297</f>
        <v>32775</v>
      </c>
      <c r="I77" s="16">
        <f>GridDCF!D3311</f>
        <v>32775.000000000015</v>
      </c>
      <c r="J77" s="31" t="str">
        <f>GridDCF!J3307</f>
        <v>satisfied</v>
      </c>
      <c r="K77" s="10" t="s">
        <v>2346</v>
      </c>
    </row>
    <row r="78" spans="1:11" ht="15" customHeight="1" x14ac:dyDescent="0.2">
      <c r="A78" s="10" t="s">
        <v>2347</v>
      </c>
      <c r="B78" s="30">
        <f>GridDCF!D3345</f>
        <v>0.5</v>
      </c>
      <c r="C78" s="30">
        <f>GridDCF!D3346</f>
        <v>0.08</v>
      </c>
      <c r="D78" s="8">
        <f>GridDCF!D3344</f>
        <v>42.054919037485469</v>
      </c>
      <c r="E78" s="8">
        <f>GridDCF!J3344</f>
        <v>29.350127996261108</v>
      </c>
      <c r="F78" s="87">
        <f>GridDCF!D3360</f>
        <v>7.6478147697225927</v>
      </c>
      <c r="G78" s="15">
        <f>GridDCF!D3359</f>
        <v>1.1416063086569663</v>
      </c>
      <c r="H78" s="16">
        <f>GridDCF!D3343</f>
        <v>21850</v>
      </c>
      <c r="I78" s="16">
        <f>GridDCF!D3357</f>
        <v>21850.000000000025</v>
      </c>
      <c r="J78" s="31" t="str">
        <f>GridDCF!J3353</f>
        <v>satisfied</v>
      </c>
      <c r="K78" s="10" t="s">
        <v>2348</v>
      </c>
    </row>
    <row r="79" spans="1:11" ht="15" customHeight="1" x14ac:dyDescent="0.2">
      <c r="A79" s="10" t="s">
        <v>2347</v>
      </c>
      <c r="B79" s="30">
        <f>GridDCF!D3391</f>
        <v>0.5</v>
      </c>
      <c r="C79" s="30">
        <f>GridDCF!D3392</f>
        <v>0.1</v>
      </c>
      <c r="D79" s="8">
        <f>GridDCF!D3390</f>
        <v>45.410482122945524</v>
      </c>
      <c r="E79" s="8">
        <f>GridDCF!J3390</f>
        <v>31.69197547360368</v>
      </c>
      <c r="F79" s="87">
        <f>GridDCF!D3406</f>
        <v>8.258034109411323</v>
      </c>
      <c r="G79" s="15">
        <f>GridDCF!D3405</f>
        <v>0.96507649338447299</v>
      </c>
      <c r="H79" s="16">
        <f>GridDCF!D3389</f>
        <v>21850</v>
      </c>
      <c r="I79" s="16">
        <f>GridDCF!D3403</f>
        <v>21849.999999999993</v>
      </c>
      <c r="J79" s="31" t="str">
        <f>GridDCF!J3399</f>
        <v>satisfied</v>
      </c>
      <c r="K79" s="10" t="s">
        <v>2349</v>
      </c>
    </row>
    <row r="80" spans="1:11" ht="15" customHeight="1" x14ac:dyDescent="0.2">
      <c r="A80" s="10" t="s">
        <v>2347</v>
      </c>
      <c r="B80" s="30">
        <f>GridDCF!D3437</f>
        <v>0.5</v>
      </c>
      <c r="C80" s="30">
        <f>GridDCF!D3438</f>
        <v>0.12</v>
      </c>
      <c r="D80" s="8">
        <f>GridDCF!D3436</f>
        <v>48.834291707480403</v>
      </c>
      <c r="E80" s="8">
        <f>GridDCF!J3436</f>
        <v>34.081452182650573</v>
      </c>
      <c r="F80" s="87">
        <f>GridDCF!D3452</f>
        <v>8.880664282257074</v>
      </c>
      <c r="G80" s="15">
        <f>GridDCF!D3451</f>
        <v>0.81845179055208439</v>
      </c>
      <c r="H80" s="16">
        <f>GridDCF!D3435</f>
        <v>21850</v>
      </c>
      <c r="I80" s="16">
        <f>GridDCF!D3449</f>
        <v>21850.000000000011</v>
      </c>
      <c r="J80" s="31" t="str">
        <f>GridDCF!J3445</f>
        <v>satisfied</v>
      </c>
      <c r="K80" s="10" t="s">
        <v>2350</v>
      </c>
    </row>
    <row r="81" spans="1:11" ht="15" customHeight="1" x14ac:dyDescent="0.2">
      <c r="A81" s="10" t="s">
        <v>2347</v>
      </c>
      <c r="B81" s="30">
        <f>GridDCF!D3483</f>
        <v>0.5</v>
      </c>
      <c r="C81" s="30">
        <f>GridDCF!D3484</f>
        <v>0.14000000000000001</v>
      </c>
      <c r="D81" s="8">
        <f>GridDCF!D3482</f>
        <v>52.325735138703507</v>
      </c>
      <c r="E81" s="8">
        <f>GridDCF!J3482</f>
        <v>36.518130553301177</v>
      </c>
      <c r="F81" s="87">
        <f>GridDCF!D3498</f>
        <v>9.5155938755623968</v>
      </c>
      <c r="G81" s="15">
        <f>GridDCF!D3497</f>
        <v>0.69619063502749723</v>
      </c>
      <c r="H81" s="16">
        <f>GridDCF!D3481</f>
        <v>21850</v>
      </c>
      <c r="I81" s="16">
        <f>GridDCF!D3495</f>
        <v>21850</v>
      </c>
      <c r="J81" s="31" t="str">
        <f>GridDCF!J3491</f>
        <v>satisfied</v>
      </c>
      <c r="K81" s="10" t="s">
        <v>2351</v>
      </c>
    </row>
    <row r="82" spans="1:11" ht="15" customHeight="1" x14ac:dyDescent="0.2">
      <c r="A82" s="10" t="s">
        <v>2347</v>
      </c>
      <c r="B82" s="30">
        <f>GridDCF!D3529</f>
        <v>0.59</v>
      </c>
      <c r="C82" s="30">
        <f>GridDCF!D3530</f>
        <v>0.08</v>
      </c>
      <c r="D82" s="8">
        <f>GridDCF!D3528</f>
        <v>35.61122360585474</v>
      </c>
      <c r="E82" s="8">
        <f>GridDCF!J3528</f>
        <v>24.85307295452602</v>
      </c>
      <c r="F82" s="87">
        <f>GridDCF!D3544</f>
        <v>6.4760091826117554</v>
      </c>
      <c r="G82" s="15">
        <f>GridDCF!D3543</f>
        <v>1.1387160859825793</v>
      </c>
      <c r="H82" s="16">
        <f>GridDCF!D3527</f>
        <v>21850</v>
      </c>
      <c r="I82" s="16">
        <f>GridDCF!D3541</f>
        <v>21850.000000000022</v>
      </c>
      <c r="J82" s="31" t="str">
        <f>GridDCF!J3537</f>
        <v>satisfied</v>
      </c>
      <c r="K82" s="10" t="s">
        <v>2352</v>
      </c>
    </row>
    <row r="83" spans="1:11" ht="15" customHeight="1" x14ac:dyDescent="0.2">
      <c r="A83" s="10" t="s">
        <v>2347</v>
      </c>
      <c r="B83" s="30">
        <f>GridDCF!D3575</f>
        <v>0.59</v>
      </c>
      <c r="C83" s="30">
        <f>GridDCF!D3576</f>
        <v>0.1</v>
      </c>
      <c r="D83" s="8">
        <f>GridDCF!D3574</f>
        <v>38.445362099053753</v>
      </c>
      <c r="E83" s="8">
        <f>GridDCF!J3574</f>
        <v>26.831018208929613</v>
      </c>
      <c r="F83" s="87">
        <f>GridDCF!D3590</f>
        <v>6.9914058763589688</v>
      </c>
      <c r="G83" s="15">
        <f>GridDCF!D3589</f>
        <v>0.96248383591585118</v>
      </c>
      <c r="H83" s="16">
        <f>GridDCF!D3573</f>
        <v>21850</v>
      </c>
      <c r="I83" s="16">
        <f>GridDCF!D3587</f>
        <v>21849.999999999989</v>
      </c>
      <c r="J83" s="31" t="str">
        <f>GridDCF!J3583</f>
        <v>satisfied</v>
      </c>
      <c r="K83" s="10" t="s">
        <v>2353</v>
      </c>
    </row>
    <row r="84" spans="1:11" ht="15" customHeight="1" x14ac:dyDescent="0.2">
      <c r="A84" s="10" t="s">
        <v>2347</v>
      </c>
      <c r="B84" s="30">
        <f>GridDCF!D3621</f>
        <v>0.59</v>
      </c>
      <c r="C84" s="30">
        <f>GridDCF!D3622</f>
        <v>0.12</v>
      </c>
      <c r="D84" s="8">
        <f>GridDCF!D3620</f>
        <v>41.336311109104386</v>
      </c>
      <c r="E84" s="8">
        <f>GridDCF!J3620</f>
        <v>28.848611523043949</v>
      </c>
      <c r="F84" s="87">
        <f>GridDCF!D3636</f>
        <v>7.5171337351588621</v>
      </c>
      <c r="G84" s="15">
        <f>GridDCF!D3635</f>
        <v>0.81612847692731638</v>
      </c>
      <c r="H84" s="16">
        <f>GridDCF!D3619</f>
        <v>21850</v>
      </c>
      <c r="I84" s="16">
        <f>GridDCF!D3633</f>
        <v>21850.000000000022</v>
      </c>
      <c r="J84" s="31" t="str">
        <f>GridDCF!J3629</f>
        <v>satisfied</v>
      </c>
      <c r="K84" s="10" t="s">
        <v>2354</v>
      </c>
    </row>
    <row r="85" spans="1:11" ht="15" customHeight="1" x14ac:dyDescent="0.2">
      <c r="A85" s="10" t="s">
        <v>2347</v>
      </c>
      <c r="B85" s="30">
        <f>GridDCF!D3667</f>
        <v>0.59</v>
      </c>
      <c r="C85" s="30">
        <f>GridDCF!D3668</f>
        <v>0.14000000000000001</v>
      </c>
      <c r="D85" s="8">
        <f>GridDCF!D3666</f>
        <v>44.28354550316444</v>
      </c>
      <c r="E85" s="8">
        <f>GridDCF!J3666</f>
        <v>30.905486406658461</v>
      </c>
      <c r="F85" s="87">
        <f>GridDCF!D3682</f>
        <v>8.0530972620089809</v>
      </c>
      <c r="G85" s="15">
        <f>GridDCF!D3681</f>
        <v>0.69411006304850931</v>
      </c>
      <c r="H85" s="16">
        <f>GridDCF!D3665</f>
        <v>21850</v>
      </c>
      <c r="I85" s="16">
        <f>GridDCF!D3679</f>
        <v>21849.999999999978</v>
      </c>
      <c r="J85" s="31" t="str">
        <f>GridDCF!J3675</f>
        <v>satisfied</v>
      </c>
      <c r="K85" s="10" t="s">
        <v>2355</v>
      </c>
    </row>
    <row r="86" spans="1:11" ht="15" customHeight="1" x14ac:dyDescent="0.2">
      <c r="A86" s="10" t="s">
        <v>2347</v>
      </c>
      <c r="B86" s="30">
        <f>GridDCF!D3713</f>
        <v>0.6</v>
      </c>
      <c r="C86" s="30">
        <f>GridDCF!D3714</f>
        <v>0.08</v>
      </c>
      <c r="D86" s="8">
        <f>GridDCF!D3712</f>
        <v>35.01510709183593</v>
      </c>
      <c r="E86" s="8">
        <f>GridDCF!J3712</f>
        <v>24.437043239392295</v>
      </c>
      <c r="F86" s="87">
        <f>GridDCF!D3728</f>
        <v>6.3676035838202081</v>
      </c>
      <c r="G86" s="15">
        <f>GridDCF!D3727</f>
        <v>1.1384487068856506</v>
      </c>
      <c r="H86" s="16">
        <f>GridDCF!D3711</f>
        <v>21850</v>
      </c>
      <c r="I86" s="16">
        <f>GridDCF!D3725</f>
        <v>21850.000000000022</v>
      </c>
      <c r="J86" s="31" t="str">
        <f>GridDCF!J3721</f>
        <v>satisfied</v>
      </c>
      <c r="K86" s="10" t="s">
        <v>2356</v>
      </c>
    </row>
    <row r="87" spans="1:11" ht="15" customHeight="1" x14ac:dyDescent="0.2">
      <c r="A87" s="10" t="s">
        <v>2347</v>
      </c>
      <c r="B87" s="30">
        <f>GridDCF!D3759</f>
        <v>0.6</v>
      </c>
      <c r="C87" s="30">
        <f>GridDCF!D3760</f>
        <v>0.1</v>
      </c>
      <c r="D87" s="8">
        <f>GridDCF!D3758</f>
        <v>37.801141077494172</v>
      </c>
      <c r="E87" s="8">
        <f>GridDCF!J3758</f>
        <v>26.381416357983181</v>
      </c>
      <c r="F87" s="87">
        <f>GridDCF!D3774</f>
        <v>6.8742523267526172</v>
      </c>
      <c r="G87" s="15">
        <f>GridDCF!D3773</f>
        <v>0.96224403467233155</v>
      </c>
      <c r="H87" s="16">
        <f>GridDCF!D3757</f>
        <v>21850</v>
      </c>
      <c r="I87" s="16">
        <f>GridDCF!D3771</f>
        <v>21850.000000000004</v>
      </c>
      <c r="J87" s="31" t="str">
        <f>GridDCF!J3767</f>
        <v>satisfied</v>
      </c>
      <c r="K87" s="10" t="s">
        <v>2357</v>
      </c>
    </row>
    <row r="88" spans="1:11" ht="15" customHeight="1" x14ac:dyDescent="0.2">
      <c r="A88" s="10" t="s">
        <v>2347</v>
      </c>
      <c r="B88" s="30">
        <f>GridDCF!D3805</f>
        <v>0.6</v>
      </c>
      <c r="C88" s="30">
        <f>GridDCF!D3806</f>
        <v>0.12</v>
      </c>
      <c r="D88" s="8">
        <f>GridDCF!D3804</f>
        <v>40.642945833137333</v>
      </c>
      <c r="E88" s="8">
        <f>GridDCF!J3804</f>
        <v>28.364711896946542</v>
      </c>
      <c r="F88" s="87">
        <f>GridDCF!D3820</f>
        <v>7.3910431536117418</v>
      </c>
      <c r="G88" s="15">
        <f>GridDCF!D3819</f>
        <v>0.81591363174714349</v>
      </c>
      <c r="H88" s="16">
        <f>GridDCF!D3803</f>
        <v>21850</v>
      </c>
      <c r="I88" s="16">
        <f>GridDCF!D3817</f>
        <v>21849.999999999993</v>
      </c>
      <c r="J88" s="31" t="str">
        <f>GridDCF!J3813</f>
        <v>satisfied</v>
      </c>
      <c r="K88" s="10" t="s">
        <v>2358</v>
      </c>
    </row>
    <row r="89" spans="1:11" ht="15" customHeight="1" x14ac:dyDescent="0.2">
      <c r="A89" s="10" t="s">
        <v>2347</v>
      </c>
      <c r="B89" s="30">
        <f>GridDCF!D3851</f>
        <v>0.6</v>
      </c>
      <c r="C89" s="30">
        <f>GridDCF!D3852</f>
        <v>0.14000000000000001</v>
      </c>
      <c r="D89" s="8">
        <f>GridDCF!D3850</f>
        <v>43.540004486316391</v>
      </c>
      <c r="E89" s="8">
        <f>GridDCF!J3850</f>
        <v>30.386569131000208</v>
      </c>
      <c r="F89" s="87">
        <f>GridDCF!D3866</f>
        <v>7.917882069572717</v>
      </c>
      <c r="G89" s="15">
        <f>GridDCF!D3865</f>
        <v>0.69391770366941075</v>
      </c>
      <c r="H89" s="16">
        <f>GridDCF!D3849</f>
        <v>21850</v>
      </c>
      <c r="I89" s="16">
        <f>GridDCF!D3863</f>
        <v>21849.999999999982</v>
      </c>
      <c r="J89" s="31" t="str">
        <f>GridDCF!J3859</f>
        <v>satisfied</v>
      </c>
      <c r="K89" s="10" t="s">
        <v>2359</v>
      </c>
    </row>
    <row r="90" spans="1:11" ht="15" customHeight="1" x14ac:dyDescent="0.2">
      <c r="A90" s="10" t="s">
        <v>2347</v>
      </c>
      <c r="B90" s="30">
        <f>GridDCF!D3897</f>
        <v>0.7</v>
      </c>
      <c r="C90" s="30">
        <f>GridDCF!D3898</f>
        <v>0.08</v>
      </c>
      <c r="D90" s="8">
        <f>GridDCF!D3896</f>
        <v>29.994206391351756</v>
      </c>
      <c r="E90" s="8">
        <f>GridDCF!J3896</f>
        <v>20.932956640524388</v>
      </c>
      <c r="F90" s="87">
        <f>GridDCF!D3912</f>
        <v>5.4545375403391434</v>
      </c>
      <c r="G90" s="15">
        <f>GridDCF!D3911</f>
        <v>1.1361966573894635</v>
      </c>
      <c r="H90" s="16">
        <f>GridDCF!D3895</f>
        <v>21850</v>
      </c>
      <c r="I90" s="16">
        <f>GridDCF!D3909</f>
        <v>21850.000000000029</v>
      </c>
      <c r="J90" s="31" t="str">
        <f>GridDCF!J3905</f>
        <v>satisfied</v>
      </c>
      <c r="K90" s="10" t="s">
        <v>2360</v>
      </c>
    </row>
    <row r="91" spans="1:11" ht="15" customHeight="1" x14ac:dyDescent="0.2">
      <c r="A91" s="10" t="s">
        <v>2347</v>
      </c>
      <c r="B91" s="30">
        <f>GridDCF!D3943</f>
        <v>0.7</v>
      </c>
      <c r="C91" s="30">
        <f>GridDCF!D3944</f>
        <v>0.1</v>
      </c>
      <c r="D91" s="8">
        <f>GridDCF!D3942</f>
        <v>32.375966922305246</v>
      </c>
      <c r="E91" s="8">
        <f>GridDCF!J3942</f>
        <v>22.595187315076831</v>
      </c>
      <c r="F91" s="87">
        <f>GridDCF!D3958</f>
        <v>5.8876679275438439</v>
      </c>
      <c r="G91" s="15">
        <f>GridDCF!D3957</f>
        <v>0.96022459807342453</v>
      </c>
      <c r="H91" s="16">
        <f>GridDCF!D3941</f>
        <v>21850</v>
      </c>
      <c r="I91" s="16">
        <f>GridDCF!D3955</f>
        <v>21849.999999999978</v>
      </c>
      <c r="J91" s="31" t="str">
        <f>GridDCF!J3951</f>
        <v>satisfied</v>
      </c>
      <c r="K91" s="10" t="s">
        <v>2361</v>
      </c>
    </row>
    <row r="92" spans="1:11" ht="15" customHeight="1" x14ac:dyDescent="0.2">
      <c r="A92" s="10" t="s">
        <v>2347</v>
      </c>
      <c r="B92" s="30">
        <f>GridDCF!D3989</f>
        <v>0.7</v>
      </c>
      <c r="C92" s="30">
        <f>GridDCF!D3990</f>
        <v>0.12</v>
      </c>
      <c r="D92" s="8">
        <f>GridDCF!D3988</f>
        <v>34.804862458905426</v>
      </c>
      <c r="E92" s="8">
        <f>GridDCF!J3988</f>
        <v>24.290313510070096</v>
      </c>
      <c r="F92" s="87">
        <f>GridDCF!D4004</f>
        <v>6.3293699586990284</v>
      </c>
      <c r="G92" s="15">
        <f>GridDCF!D4003</f>
        <v>0.81410465152001055</v>
      </c>
      <c r="H92" s="16">
        <f>GridDCF!D3987</f>
        <v>21850</v>
      </c>
      <c r="I92" s="16">
        <f>GridDCF!D4001</f>
        <v>21850.000000000022</v>
      </c>
      <c r="J92" s="31" t="str">
        <f>GridDCF!J3997</f>
        <v>satisfied</v>
      </c>
      <c r="K92" s="10" t="s">
        <v>2362</v>
      </c>
    </row>
    <row r="93" spans="1:11" ht="15" customHeight="1" x14ac:dyDescent="0.2">
      <c r="A93" s="10" t="s">
        <v>2347</v>
      </c>
      <c r="B93" s="30">
        <f>GridDCF!D4035</f>
        <v>0.7</v>
      </c>
      <c r="C93" s="30">
        <f>GridDCF!D4036</f>
        <v>0.14000000000000001</v>
      </c>
      <c r="D93" s="8">
        <f>GridDCF!D4034</f>
        <v>37.280446691905404</v>
      </c>
      <c r="E93" s="8">
        <f>GridDCF!J4034</f>
        <v>26.018023746280779</v>
      </c>
      <c r="F93" s="87">
        <f>GridDCF!D4050</f>
        <v>6.779562471112472</v>
      </c>
      <c r="G93" s="15">
        <f>GridDCF!D4049</f>
        <v>0.69229831129766628</v>
      </c>
      <c r="H93" s="16">
        <f>GridDCF!D4033</f>
        <v>21850</v>
      </c>
      <c r="I93" s="16">
        <f>GridDCF!D4047</f>
        <v>21850.000000000007</v>
      </c>
      <c r="J93" s="31" t="str">
        <f>GridDCF!J4043</f>
        <v>satisfied</v>
      </c>
      <c r="K93" s="10" t="s">
        <v>2363</v>
      </c>
    </row>
    <row r="94" spans="1:11" ht="15" customHeight="1" x14ac:dyDescent="0.2">
      <c r="A94" s="10" t="s">
        <v>2347</v>
      </c>
      <c r="B94" s="30">
        <f>GridDCF!D4081</f>
        <v>0.8</v>
      </c>
      <c r="C94" s="30">
        <f>GridDCF!D4082</f>
        <v>0.08</v>
      </c>
      <c r="D94" s="8">
        <f>GridDCF!D4080</f>
        <v>26.232644233056508</v>
      </c>
      <c r="E94" s="8">
        <f>GridDCF!J4080</f>
        <v>18.307762410250135</v>
      </c>
      <c r="F94" s="87">
        <f>GridDCF!D4096</f>
        <v>4.7704860360240824</v>
      </c>
      <c r="G94" s="15">
        <f>GridDCF!D4095</f>
        <v>1.1345094652562586</v>
      </c>
      <c r="H94" s="16">
        <f>GridDCF!D4079</f>
        <v>21850</v>
      </c>
      <c r="I94" s="16">
        <f>GridDCF!D4093</f>
        <v>21850.000000000025</v>
      </c>
      <c r="J94" s="31" t="str">
        <f>GridDCF!J4089</f>
        <v>satisfied</v>
      </c>
      <c r="K94" s="10" t="s">
        <v>2364</v>
      </c>
    </row>
    <row r="95" spans="1:11" ht="15" customHeight="1" x14ac:dyDescent="0.2">
      <c r="A95" s="10" t="s">
        <v>2347</v>
      </c>
      <c r="B95" s="30">
        <f>GridDCF!D4127</f>
        <v>0.8</v>
      </c>
      <c r="C95" s="30">
        <f>GridDCF!D4128</f>
        <v>0.1</v>
      </c>
      <c r="D95" s="8">
        <f>GridDCF!D4126</f>
        <v>28.3125796534469</v>
      </c>
      <c r="E95" s="8">
        <f>GridDCF!J4126</f>
        <v>19.759349340140592</v>
      </c>
      <c r="F95" s="87">
        <f>GridDCF!D4142</f>
        <v>5.1487286100723688</v>
      </c>
      <c r="G95" s="15">
        <f>GridDCF!D4141</f>
        <v>0.95871206543732168</v>
      </c>
      <c r="H95" s="16">
        <f>GridDCF!D4125</f>
        <v>21850</v>
      </c>
      <c r="I95" s="16">
        <f>GridDCF!D4139</f>
        <v>21849.999999999971</v>
      </c>
      <c r="J95" s="31" t="str">
        <f>GridDCF!J4135</f>
        <v>satisfied</v>
      </c>
      <c r="K95" s="10" t="s">
        <v>2365</v>
      </c>
    </row>
    <row r="96" spans="1:11" ht="15" customHeight="1" x14ac:dyDescent="0.2">
      <c r="A96" s="10" t="s">
        <v>2347</v>
      </c>
      <c r="B96" s="30">
        <f>GridDCF!D4173</f>
        <v>0.8</v>
      </c>
      <c r="C96" s="30">
        <f>GridDCF!D4174</f>
        <v>0.12</v>
      </c>
      <c r="D96" s="8">
        <f>GridDCF!D4172</f>
        <v>30.433322234242119</v>
      </c>
      <c r="E96" s="8">
        <f>GridDCF!J4172</f>
        <v>21.239415587277573</v>
      </c>
      <c r="F96" s="87">
        <f>GridDCF!D4188</f>
        <v>5.5343920901929353</v>
      </c>
      <c r="G96" s="15">
        <f>GridDCF!D4187</f>
        <v>0.81275009227143369</v>
      </c>
      <c r="H96" s="16">
        <f>GridDCF!D4171</f>
        <v>21850</v>
      </c>
      <c r="I96" s="16">
        <f>GridDCF!D4185</f>
        <v>21850.000000000022</v>
      </c>
      <c r="J96" s="31" t="str">
        <f>GridDCF!J4181</f>
        <v>satisfied</v>
      </c>
      <c r="K96" s="10" t="s">
        <v>2366</v>
      </c>
    </row>
    <row r="97" spans="1:11" ht="15" customHeight="1" x14ac:dyDescent="0.2">
      <c r="A97" s="10" t="s">
        <v>2347</v>
      </c>
      <c r="B97" s="30">
        <f>GridDCF!D4219</f>
        <v>0.8</v>
      </c>
      <c r="C97" s="30">
        <f>GridDCF!D4220</f>
        <v>0.14000000000000001</v>
      </c>
      <c r="D97" s="8">
        <f>GridDCF!D4218</f>
        <v>32.594479587336068</v>
      </c>
      <c r="E97" s="8">
        <f>GridDCF!J4218</f>
        <v>22.74768730400184</v>
      </c>
      <c r="F97" s="87">
        <f>GridDCF!D4234</f>
        <v>5.9274051194167994</v>
      </c>
      <c r="G97" s="15">
        <f>GridDCF!D4233</f>
        <v>0.69108601809220127</v>
      </c>
      <c r="H97" s="16">
        <f>GridDCF!D4217</f>
        <v>21850</v>
      </c>
      <c r="I97" s="16">
        <f>GridDCF!D4231</f>
        <v>21849.999999999993</v>
      </c>
      <c r="J97" s="31" t="str">
        <f>GridDCF!J4227</f>
        <v>satisfied</v>
      </c>
      <c r="K97" s="10" t="s">
        <v>2367</v>
      </c>
    </row>
    <row r="98" spans="1:11" ht="15" customHeight="1" x14ac:dyDescent="0.2">
      <c r="A98" s="10" t="s">
        <v>2347</v>
      </c>
      <c r="B98" s="30">
        <f>GridDCF!D4265</f>
        <v>0.91</v>
      </c>
      <c r="C98" s="30">
        <f>GridDCF!D4266</f>
        <v>0.08</v>
      </c>
      <c r="D98" s="8">
        <f>GridDCF!D4264</f>
        <v>23.05253368286613</v>
      </c>
      <c r="E98" s="8">
        <f>GridDCF!J4264</f>
        <v>16.08836325727227</v>
      </c>
      <c r="F98" s="87">
        <f>GridDCF!D4280</f>
        <v>4.1921732728151397</v>
      </c>
      <c r="G98" s="15">
        <f>GridDCF!D4279</f>
        <v>1.13308307449699</v>
      </c>
      <c r="H98" s="16">
        <f>GridDCF!D4263</f>
        <v>21850</v>
      </c>
      <c r="I98" s="16">
        <f>GridDCF!D4277</f>
        <v>21850.000000000022</v>
      </c>
      <c r="J98" s="31" t="str">
        <f>GridDCF!J4273</f>
        <v>satisfied</v>
      </c>
      <c r="K98" s="10" t="s">
        <v>2368</v>
      </c>
    </row>
    <row r="99" spans="1:11" ht="15" customHeight="1" x14ac:dyDescent="0.2">
      <c r="A99" s="10" t="s">
        <v>2347</v>
      </c>
      <c r="B99" s="30">
        <f>GridDCF!D4311</f>
        <v>0.91</v>
      </c>
      <c r="C99" s="30">
        <f>GridDCF!D4312</f>
        <v>0.1</v>
      </c>
      <c r="D99" s="8">
        <f>GridDCF!D4310</f>
        <v>24.877999835256077</v>
      </c>
      <c r="E99" s="8">
        <f>GridDCF!J4310</f>
        <v>17.362356085025215</v>
      </c>
      <c r="F99" s="87">
        <f>GridDCF!D4326</f>
        <v>4.524139837521461</v>
      </c>
      <c r="G99" s="15">
        <f>GridDCF!D4325</f>
        <v>0.95743359658299121</v>
      </c>
      <c r="H99" s="16">
        <f>GridDCF!D4309</f>
        <v>21850</v>
      </c>
      <c r="I99" s="16">
        <f>GridDCF!D4323</f>
        <v>21850.000000000022</v>
      </c>
      <c r="J99" s="31" t="str">
        <f>GridDCF!J4319</f>
        <v>satisfied</v>
      </c>
      <c r="K99" s="10" t="s">
        <v>2369</v>
      </c>
    </row>
    <row r="100" spans="1:11" ht="15" customHeight="1" x14ac:dyDescent="0.2">
      <c r="A100" s="10" t="s">
        <v>2347</v>
      </c>
      <c r="B100" s="30">
        <f>GridDCF!D4357</f>
        <v>0.91</v>
      </c>
      <c r="C100" s="30">
        <f>GridDCF!D4358</f>
        <v>0.12</v>
      </c>
      <c r="D100" s="8">
        <f>GridDCF!D4356</f>
        <v>26.739017715341223</v>
      </c>
      <c r="E100" s="8">
        <f>GridDCF!J4356</f>
        <v>18.661160463536639</v>
      </c>
      <c r="F100" s="87">
        <f>GridDCF!D4372</f>
        <v>4.8625715918983206</v>
      </c>
      <c r="G100" s="15">
        <f>GridDCF!D4371</f>
        <v>0.81160538031730234</v>
      </c>
      <c r="H100" s="16">
        <f>GridDCF!D4355</f>
        <v>21850</v>
      </c>
      <c r="I100" s="16">
        <f>GridDCF!D4369</f>
        <v>21850.000000000029</v>
      </c>
      <c r="J100" s="31" t="str">
        <f>GridDCF!J4365</f>
        <v>satisfied</v>
      </c>
      <c r="K100" s="10" t="s">
        <v>2370</v>
      </c>
    </row>
    <row r="101" spans="1:11" ht="15" customHeight="1" x14ac:dyDescent="0.2">
      <c r="A101" s="10" t="s">
        <v>2347</v>
      </c>
      <c r="B101" s="30">
        <f>GridDCF!D4403</f>
        <v>0.91</v>
      </c>
      <c r="C101" s="30">
        <f>GridDCF!D4404</f>
        <v>0.14000000000000001</v>
      </c>
      <c r="D101" s="8">
        <f>GridDCF!D4402</f>
        <v>28.635241141453037</v>
      </c>
      <c r="E101" s="8">
        <f>GridDCF!J4402</f>
        <v>19.984534792620074</v>
      </c>
      <c r="F101" s="87">
        <f>GridDCF!D4418</f>
        <v>5.2074055817577616</v>
      </c>
      <c r="G101" s="15">
        <f>GridDCF!D4417</f>
        <v>0.69006173478853028</v>
      </c>
      <c r="H101" s="16">
        <f>GridDCF!D4401</f>
        <v>21850</v>
      </c>
      <c r="I101" s="16">
        <f>GridDCF!D4415</f>
        <v>21850.000000000015</v>
      </c>
      <c r="J101" s="31" t="str">
        <f>GridDCF!J4411</f>
        <v>satisfied</v>
      </c>
      <c r="K101" s="10" t="s">
        <v>2371</v>
      </c>
    </row>
  </sheetData>
  <mergeCells count="3">
    <mergeCell ref="A2:K2"/>
    <mergeCell ref="A4:K4"/>
    <mergeCell ref="A3:K3"/>
  </mergeCells>
  <printOptions horizontalCentered="1"/>
  <pageMargins left="0.2" right="0.2" top="0.25" bottom="0.55000000000000004" header="0.5" footer="0.5"/>
  <pageSetup paperSize="8" scale="78"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rowBreaks count="3" manualBreakCount="3">
    <brk id="29" max="16383" man="1"/>
    <brk id="53" max="16383" man="1"/>
    <brk id="7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M140"/>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18" customWidth="1"/>
    <col min="2" max="2" width="50" customWidth="1"/>
    <col min="3" max="3" width="17" customWidth="1"/>
    <col min="4" max="13" width="14" customWidth="1"/>
    <col min="14" max="17" width="19" customWidth="1"/>
  </cols>
  <sheetData>
    <row r="2" spans="1:13" ht="21" customHeight="1" x14ac:dyDescent="0.2">
      <c r="A2" s="103" t="s">
        <v>2372</v>
      </c>
      <c r="B2" s="91"/>
      <c r="C2" s="91"/>
      <c r="D2" s="91"/>
      <c r="E2" s="91"/>
      <c r="F2" s="91"/>
      <c r="G2" s="91"/>
      <c r="H2" s="91"/>
      <c r="I2" s="91"/>
      <c r="J2" s="91"/>
      <c r="K2" s="91"/>
      <c r="L2" s="91"/>
      <c r="M2" s="91"/>
    </row>
    <row r="3" spans="1:13"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c r="J3" s="91"/>
      <c r="K3" s="91"/>
      <c r="L3" s="91"/>
      <c r="M3" s="91"/>
    </row>
    <row r="5" spans="1:13" ht="15" customHeight="1" x14ac:dyDescent="0.2">
      <c r="A5" s="4" t="s">
        <v>873</v>
      </c>
      <c r="B5" s="4" t="s">
        <v>874</v>
      </c>
      <c r="C5" s="4" t="s">
        <v>95</v>
      </c>
      <c r="D5" s="4" t="s">
        <v>875</v>
      </c>
      <c r="E5" s="4" t="s">
        <v>876</v>
      </c>
      <c r="F5" s="4" t="s">
        <v>877</v>
      </c>
      <c r="G5" s="4" t="s">
        <v>878</v>
      </c>
      <c r="H5" s="4" t="s">
        <v>879</v>
      </c>
      <c r="I5" s="4" t="s">
        <v>880</v>
      </c>
      <c r="J5" s="4" t="s">
        <v>881</v>
      </c>
      <c r="K5" s="4" t="s">
        <v>882</v>
      </c>
      <c r="L5" s="4" t="s">
        <v>883</v>
      </c>
      <c r="M5" s="4" t="s">
        <v>884</v>
      </c>
    </row>
    <row r="6" spans="1:13" ht="15" customHeight="1" x14ac:dyDescent="0.2">
      <c r="A6" s="104" t="s">
        <v>2373</v>
      </c>
      <c r="B6" s="10" t="s">
        <v>886</v>
      </c>
      <c r="C6" s="10" t="s">
        <v>107</v>
      </c>
      <c r="D6" s="28">
        <f>Inputs!$D$60</f>
        <v>1</v>
      </c>
      <c r="E6" s="28">
        <f>Inputs!$D$62</f>
        <v>2</v>
      </c>
      <c r="F6" s="28">
        <f>Inputs!$D$64</f>
        <v>3</v>
      </c>
      <c r="G6" s="28">
        <f>Inputs!$D$66</f>
        <v>4</v>
      </c>
      <c r="H6" s="28">
        <f>Inputs!$D$68</f>
        <v>5</v>
      </c>
      <c r="I6" s="28">
        <f>Inputs!$D$70</f>
        <v>6</v>
      </c>
      <c r="J6" s="28">
        <f>Inputs!$D$72</f>
        <v>7</v>
      </c>
      <c r="K6" s="28">
        <f>Inputs!$D$74</f>
        <v>8</v>
      </c>
      <c r="L6" s="28">
        <f>Inputs!$D$76</f>
        <v>9</v>
      </c>
      <c r="M6" s="28">
        <f>Inputs!$D$78</f>
        <v>10</v>
      </c>
    </row>
    <row r="7" spans="1:13" ht="15" customHeight="1" x14ac:dyDescent="0.2">
      <c r="A7" s="91"/>
      <c r="B7" s="10" t="s">
        <v>887</v>
      </c>
      <c r="C7" s="10" t="s">
        <v>161</v>
      </c>
      <c r="D7" s="29">
        <f>Inputs!$D$61</f>
        <v>46568</v>
      </c>
      <c r="E7" s="29">
        <f>Inputs!$D$63</f>
        <v>46934</v>
      </c>
      <c r="F7" s="29">
        <f>Inputs!$D$65</f>
        <v>47299</v>
      </c>
      <c r="G7" s="29">
        <f>Inputs!$D$67</f>
        <v>47664</v>
      </c>
      <c r="H7" s="29">
        <f>Inputs!$D$69</f>
        <v>48029</v>
      </c>
      <c r="I7" s="29">
        <f>Inputs!$D$71</f>
        <v>48395</v>
      </c>
      <c r="J7" s="29">
        <f>Inputs!$D$73</f>
        <v>48760</v>
      </c>
      <c r="K7" s="29">
        <f>Inputs!$D$75</f>
        <v>49125</v>
      </c>
      <c r="L7" s="29">
        <f>Inputs!$D$77</f>
        <v>49490</v>
      </c>
      <c r="M7" s="29">
        <f>Inputs!$D$79</f>
        <v>49856</v>
      </c>
    </row>
    <row r="8" spans="1:13" ht="15" customHeight="1" x14ac:dyDescent="0.2">
      <c r="A8" s="91"/>
      <c r="B8" s="10" t="s">
        <v>888</v>
      </c>
      <c r="C8" s="10" t="s">
        <v>107</v>
      </c>
      <c r="D8" s="28">
        <f>(D7-Inputs!$D$13)/Inputs!$D$10</f>
        <v>0.71457905544147848</v>
      </c>
      <c r="E8" s="28">
        <f>(E7-Inputs!$D$13)/Inputs!$D$10</f>
        <v>1.7166324435318274</v>
      </c>
      <c r="F8" s="28">
        <f>(F7-Inputs!$D$13)/Inputs!$D$10</f>
        <v>2.7159479808350446</v>
      </c>
      <c r="G8" s="28">
        <f>(G7-Inputs!$D$13)/Inputs!$D$10</f>
        <v>3.7152635181382614</v>
      </c>
      <c r="H8" s="28">
        <f>(H7-Inputs!$D$13)/Inputs!$D$10</f>
        <v>4.7145790554414786</v>
      </c>
      <c r="I8" s="28">
        <f>(I7-Inputs!$D$13)/Inputs!$D$10</f>
        <v>5.7166324435318279</v>
      </c>
      <c r="J8" s="28">
        <f>(J7-Inputs!$D$13)/Inputs!$D$10</f>
        <v>6.7159479808350442</v>
      </c>
      <c r="K8" s="28">
        <f>(K7-Inputs!$D$13)/Inputs!$D$10</f>
        <v>7.7152635181382614</v>
      </c>
      <c r="L8" s="28">
        <f>(L7-Inputs!$D$13)/Inputs!$D$10</f>
        <v>8.7145790554414777</v>
      </c>
      <c r="M8" s="28">
        <f>(M7-Inputs!$D$13)/Inputs!$D$10</f>
        <v>9.716632443531827</v>
      </c>
    </row>
    <row r="9" spans="1:13" ht="15" customHeight="1" x14ac:dyDescent="0.2">
      <c r="A9" s="91"/>
      <c r="B9" s="10" t="s">
        <v>889</v>
      </c>
      <c r="C9" s="10" t="s">
        <v>107</v>
      </c>
      <c r="D9" s="28">
        <f>D8</f>
        <v>0.71457905544147848</v>
      </c>
      <c r="E9" s="28">
        <f>Inputs!$D$7</f>
        <v>1</v>
      </c>
      <c r="F9" s="28">
        <f>Inputs!$D$7</f>
        <v>1</v>
      </c>
      <c r="G9" s="28">
        <f>Inputs!$D$7</f>
        <v>1</v>
      </c>
      <c r="H9" s="28">
        <f>Inputs!$D$7</f>
        <v>1</v>
      </c>
      <c r="I9" s="28">
        <f>Inputs!$D$7</f>
        <v>1</v>
      </c>
      <c r="J9" s="28">
        <f>Inputs!$D$7</f>
        <v>1</v>
      </c>
      <c r="K9" s="28">
        <f>Inputs!$D$7</f>
        <v>1</v>
      </c>
      <c r="L9" s="28">
        <f>Inputs!$D$7</f>
        <v>1</v>
      </c>
      <c r="M9" s="28">
        <f>Inputs!$D$7</f>
        <v>1</v>
      </c>
    </row>
    <row r="10" spans="1:13" ht="15" customHeight="1" x14ac:dyDescent="0.2">
      <c r="A10" s="91"/>
      <c r="B10" s="3" t="s">
        <v>890</v>
      </c>
      <c r="C10" s="10" t="s">
        <v>199</v>
      </c>
      <c r="D10" s="28">
        <f>Inputs!$D$24+(Inputs!$D$80-Inputs!$D$24)*Inputs!$D$83</f>
        <v>305.5</v>
      </c>
      <c r="E10" s="28">
        <f>Inputs!$D$24+(Inputs!$D$80-Inputs!$D$24)*Inputs!$D$84</f>
        <v>651.5</v>
      </c>
      <c r="F10" s="28">
        <f>Inputs!$D$24+(Inputs!$D$80-Inputs!$D$24)*Inputs!$D$85</f>
        <v>911</v>
      </c>
      <c r="G10" s="28">
        <f>Inputs!$D$24+(Inputs!$D$80-Inputs!$D$24)*Inputs!$D$86</f>
        <v>911</v>
      </c>
      <c r="H10" s="28">
        <f>Inputs!$D$24+(Inputs!$D$80-Inputs!$D$24)*Inputs!$D$87</f>
        <v>911</v>
      </c>
      <c r="I10" s="28">
        <f>Inputs!$D$24+(Inputs!$D$80-Inputs!$D$24)*Inputs!$D$88</f>
        <v>911</v>
      </c>
      <c r="J10" s="28">
        <f>Inputs!$D$24+(Inputs!$D$80-Inputs!$D$24)*Inputs!$D$89</f>
        <v>911</v>
      </c>
      <c r="K10" s="28">
        <f>Inputs!$D$24+(Inputs!$D$80-Inputs!$D$24)*Inputs!$D$90</f>
        <v>911</v>
      </c>
      <c r="L10" s="28">
        <f>Inputs!$D$24+(Inputs!$D$80-Inputs!$D$24)*Inputs!$D$91</f>
        <v>911</v>
      </c>
      <c r="M10" s="28">
        <f>Inputs!$D$24+(Inputs!$D$80-Inputs!$D$24)*Inputs!$D$92</f>
        <v>911</v>
      </c>
    </row>
    <row r="11" spans="1:13" ht="15" customHeight="1" x14ac:dyDescent="0.2">
      <c r="A11" s="91"/>
      <c r="B11" s="10" t="s">
        <v>891</v>
      </c>
      <c r="C11" s="10" t="s">
        <v>199</v>
      </c>
      <c r="D11" s="28">
        <f>Inputs!$D$24</f>
        <v>46</v>
      </c>
      <c r="E11" s="28">
        <f t="shared" ref="E11:M11" si="0">D10</f>
        <v>305.5</v>
      </c>
      <c r="F11" s="28">
        <f t="shared" si="0"/>
        <v>651.5</v>
      </c>
      <c r="G11" s="28">
        <f t="shared" si="0"/>
        <v>911</v>
      </c>
      <c r="H11" s="28">
        <f t="shared" si="0"/>
        <v>911</v>
      </c>
      <c r="I11" s="28">
        <f t="shared" si="0"/>
        <v>911</v>
      </c>
      <c r="J11" s="28">
        <f t="shared" si="0"/>
        <v>911</v>
      </c>
      <c r="K11" s="28">
        <f t="shared" si="0"/>
        <v>911</v>
      </c>
      <c r="L11" s="28">
        <f t="shared" si="0"/>
        <v>911</v>
      </c>
      <c r="M11" s="28">
        <f t="shared" si="0"/>
        <v>911</v>
      </c>
    </row>
    <row r="12" spans="1:13" ht="15" customHeight="1" x14ac:dyDescent="0.2">
      <c r="B12" s="10" t="s">
        <v>892</v>
      </c>
      <c r="C12" s="10" t="s">
        <v>199</v>
      </c>
      <c r="D12" s="28">
        <f>(D11+D10)*Inputs!$D$12</f>
        <v>175.75</v>
      </c>
      <c r="E12" s="28">
        <f>(E11+E10)*Inputs!$D$12</f>
        <v>478.5</v>
      </c>
      <c r="F12" s="28">
        <f>(F11+F10)*Inputs!$D$12</f>
        <v>781.25</v>
      </c>
      <c r="G12" s="28">
        <f>(G11+G10)*Inputs!$D$12</f>
        <v>911</v>
      </c>
      <c r="H12" s="28">
        <f>(H11+H10)*Inputs!$D$12</f>
        <v>911</v>
      </c>
      <c r="I12" s="28">
        <f>(I11+I10)*Inputs!$D$12</f>
        <v>911</v>
      </c>
      <c r="J12" s="28">
        <f>(J11+J10)*Inputs!$D$12</f>
        <v>911</v>
      </c>
      <c r="K12" s="28">
        <f>(K11+K10)*Inputs!$D$12</f>
        <v>911</v>
      </c>
      <c r="L12" s="28">
        <f>(L11+L10)*Inputs!$D$12</f>
        <v>911</v>
      </c>
      <c r="M12" s="28">
        <f>(M11+M10)*Inputs!$D$12</f>
        <v>911</v>
      </c>
    </row>
    <row r="13" spans="1:13" ht="15" customHeight="1" x14ac:dyDescent="0.2">
      <c r="B13" s="10" t="s">
        <v>893</v>
      </c>
      <c r="C13" s="10" t="s">
        <v>199</v>
      </c>
      <c r="D13" s="28">
        <f t="shared" ref="D13:M13" si="1">D10-D11</f>
        <v>259.5</v>
      </c>
      <c r="E13" s="28">
        <f t="shared" si="1"/>
        <v>346</v>
      </c>
      <c r="F13" s="28">
        <f t="shared" si="1"/>
        <v>259.5</v>
      </c>
      <c r="G13" s="28">
        <f t="shared" si="1"/>
        <v>0</v>
      </c>
      <c r="H13" s="28">
        <f t="shared" si="1"/>
        <v>0</v>
      </c>
      <c r="I13" s="28">
        <f t="shared" si="1"/>
        <v>0</v>
      </c>
      <c r="J13" s="28">
        <f t="shared" si="1"/>
        <v>0</v>
      </c>
      <c r="K13" s="28">
        <f t="shared" si="1"/>
        <v>0</v>
      </c>
      <c r="L13" s="28">
        <f t="shared" si="1"/>
        <v>0</v>
      </c>
      <c r="M13" s="28">
        <f t="shared" si="1"/>
        <v>0</v>
      </c>
    </row>
    <row r="14" spans="1:13" ht="15" customHeight="1" x14ac:dyDescent="0.2">
      <c r="B14" s="10" t="s">
        <v>894</v>
      </c>
      <c r="C14" s="10" t="s">
        <v>199</v>
      </c>
      <c r="D14" s="28">
        <f>IF(MOD(D6,Inputs!$D$21)=Inputs!$D$6,Inputs!$D$24,Inputs!$D$6)+SUMPRODUCT(--(D6&gt;$D$6:$M$6),--(MOD(D6-$D$6:$M$6,Inputs!$D$21)=Inputs!$D$6),$D$13:$M$13)</f>
        <v>0</v>
      </c>
      <c r="E14" s="28">
        <f>IF(MOD(E6,Inputs!$D$21)=Inputs!$D$6,Inputs!$D$24,Inputs!$D$6)+SUMPRODUCT(--(E6&gt;$D$6:$M$6),--(MOD(E6-$D$6:$M$6,Inputs!$D$21)=Inputs!$D$6),$D$13:$M$13)</f>
        <v>0</v>
      </c>
      <c r="F14" s="28">
        <f>IF(MOD(F6,Inputs!$D$21)=Inputs!$D$6,Inputs!$D$24,Inputs!$D$6)+SUMPRODUCT(--(F6&gt;$D$6:$M$6),--(MOD(F6-$D$6:$M$6,Inputs!$D$21)=Inputs!$D$6),$D$13:$M$13)</f>
        <v>0</v>
      </c>
      <c r="G14" s="28">
        <f>IF(MOD(G6,Inputs!$D$21)=Inputs!$D$6,Inputs!$D$24,Inputs!$D$6)+SUMPRODUCT(--(G6&gt;$D$6:$M$6),--(MOD(G6-$D$6:$M$6,Inputs!$D$21)=Inputs!$D$6),$D$13:$M$13)</f>
        <v>46</v>
      </c>
      <c r="H14" s="28">
        <f>IF(MOD(H6,Inputs!$D$21)=Inputs!$D$6,Inputs!$D$24,Inputs!$D$6)+SUMPRODUCT(--(H6&gt;$D$6:$M$6),--(MOD(H6-$D$6:$M$6,Inputs!$D$21)=Inputs!$D$6),$D$13:$M$13)</f>
        <v>259.5</v>
      </c>
      <c r="I14" s="28">
        <f>IF(MOD(I6,Inputs!$D$21)=Inputs!$D$6,Inputs!$D$24,Inputs!$D$6)+SUMPRODUCT(--(I6&gt;$D$6:$M$6),--(MOD(I6-$D$6:$M$6,Inputs!$D$21)=Inputs!$D$6),$D$13:$M$13)</f>
        <v>346</v>
      </c>
      <c r="J14" s="28">
        <f>IF(MOD(J6,Inputs!$D$21)=Inputs!$D$6,Inputs!$D$24,Inputs!$D$6)+SUMPRODUCT(--(J6&gt;$D$6:$M$6),--(MOD(J6-$D$6:$M$6,Inputs!$D$21)=Inputs!$D$6),$D$13:$M$13)</f>
        <v>259.5</v>
      </c>
      <c r="K14" s="28">
        <f>IF(MOD(K6,Inputs!$D$21)=Inputs!$D$6,Inputs!$D$24,Inputs!$D$6)+SUMPRODUCT(--(K6&gt;$D$6:$M$6),--(MOD(K6-$D$6:$M$6,Inputs!$D$21)=Inputs!$D$6),$D$13:$M$13)</f>
        <v>46</v>
      </c>
      <c r="L14" s="28">
        <f>IF(MOD(L6,Inputs!$D$21)=Inputs!$D$6,Inputs!$D$24,Inputs!$D$6)+SUMPRODUCT(--(L6&gt;$D$6:$M$6),--(MOD(L6-$D$6:$M$6,Inputs!$D$21)=Inputs!$D$6),$D$13:$M$13)</f>
        <v>259.5</v>
      </c>
      <c r="M14" s="28">
        <f>IF(MOD(M6,Inputs!$D$21)=Inputs!$D$6,Inputs!$D$24,Inputs!$D$6)+SUMPRODUCT(--(M6&gt;$D$6:$M$6),--(MOD(M6-$D$6:$M$6,Inputs!$D$21)=Inputs!$D$6),$D$13:$M$13)</f>
        <v>346</v>
      </c>
    </row>
    <row r="15" spans="1:13" ht="15" customHeight="1" x14ac:dyDescent="0.2">
      <c r="B15" s="10" t="s">
        <v>895</v>
      </c>
      <c r="C15" s="10" t="s">
        <v>896</v>
      </c>
      <c r="D15" s="28">
        <f t="shared" ref="D15:M15" si="2">D12*D9</f>
        <v>125.58726899383984</v>
      </c>
      <c r="E15" s="28">
        <f t="shared" si="2"/>
        <v>478.5</v>
      </c>
      <c r="F15" s="28">
        <f t="shared" si="2"/>
        <v>781.25</v>
      </c>
      <c r="G15" s="28">
        <f t="shared" si="2"/>
        <v>911</v>
      </c>
      <c r="H15" s="28">
        <f t="shared" si="2"/>
        <v>911</v>
      </c>
      <c r="I15" s="28">
        <f t="shared" si="2"/>
        <v>911</v>
      </c>
      <c r="J15" s="28">
        <f t="shared" si="2"/>
        <v>911</v>
      </c>
      <c r="K15" s="28">
        <f t="shared" si="2"/>
        <v>911</v>
      </c>
      <c r="L15" s="28">
        <f t="shared" si="2"/>
        <v>911</v>
      </c>
      <c r="M15" s="28">
        <f t="shared" si="2"/>
        <v>911</v>
      </c>
    </row>
    <row r="16" spans="1:13" ht="15" customHeight="1" x14ac:dyDescent="0.2">
      <c r="B16" s="10" t="s">
        <v>897</v>
      </c>
      <c r="C16" s="10" t="s">
        <v>110</v>
      </c>
      <c r="D16" s="16">
        <f>D15*($D$35/Inputs!$D$21+$D$36/Inputs!$D$22)</f>
        <v>1816.9772859324419</v>
      </c>
      <c r="E16" s="16">
        <f>E15*($D$35/Inputs!$D$21+$D$36/Inputs!$D$22)</f>
        <v>6922.8643817497086</v>
      </c>
      <c r="F16" s="16">
        <f>F15*($D$35/Inputs!$D$21+$D$36/Inputs!$D$22)</f>
        <v>11303.0048030135</v>
      </c>
      <c r="G16" s="16">
        <f>G15*($D$35/Inputs!$D$21+$D$36/Inputs!$D$22)</f>
        <v>13180.207840697982</v>
      </c>
      <c r="H16" s="16">
        <f>H15*($D$35/Inputs!$D$21+$D$36/Inputs!$D$22)</f>
        <v>13180.207840697982</v>
      </c>
      <c r="I16" s="16">
        <f>I15*($D$35/Inputs!$D$21+$D$36/Inputs!$D$22)</f>
        <v>13180.207840697982</v>
      </c>
      <c r="J16" s="16">
        <f>J15*($D$35/Inputs!$D$21+$D$36/Inputs!$D$22)</f>
        <v>13180.207840697982</v>
      </c>
      <c r="K16" s="16">
        <f>K15*($D$35/Inputs!$D$21+$D$36/Inputs!$D$22)</f>
        <v>13180.207840697982</v>
      </c>
      <c r="L16" s="16">
        <f>L15*($D$35/Inputs!$D$21+$D$36/Inputs!$D$22)</f>
        <v>13180.207840697982</v>
      </c>
      <c r="M16" s="16">
        <f>M15*($D$35/Inputs!$D$21+$D$36/Inputs!$D$22)</f>
        <v>13180.207840697982</v>
      </c>
    </row>
    <row r="17" spans="2:13" ht="15" customHeight="1" x14ac:dyDescent="0.2">
      <c r="B17" s="10" t="s">
        <v>898</v>
      </c>
      <c r="C17" s="10" t="s">
        <v>110</v>
      </c>
      <c r="D17" s="16">
        <f t="shared" ref="D17:M17" si="3">D13*($D$35+$D$36)</f>
        <v>15560.968620146154</v>
      </c>
      <c r="E17" s="16">
        <f t="shared" si="3"/>
        <v>20747.95816019487</v>
      </c>
      <c r="F17" s="16">
        <f t="shared" si="3"/>
        <v>15560.968620146154</v>
      </c>
      <c r="G17" s="16">
        <f t="shared" si="3"/>
        <v>0</v>
      </c>
      <c r="H17" s="16">
        <f t="shared" si="3"/>
        <v>0</v>
      </c>
      <c r="I17" s="16">
        <f t="shared" si="3"/>
        <v>0</v>
      </c>
      <c r="J17" s="16">
        <f t="shared" si="3"/>
        <v>0</v>
      </c>
      <c r="K17" s="16">
        <f t="shared" si="3"/>
        <v>0</v>
      </c>
      <c r="L17" s="16">
        <f t="shared" si="3"/>
        <v>0</v>
      </c>
      <c r="M17" s="16">
        <f t="shared" si="3"/>
        <v>0</v>
      </c>
    </row>
    <row r="18" spans="2:13" ht="15" customHeight="1" x14ac:dyDescent="0.2">
      <c r="B18" s="10" t="s">
        <v>899</v>
      </c>
      <c r="C18" s="10" t="s">
        <v>110</v>
      </c>
      <c r="D18" s="16">
        <f t="shared" ref="D18:M18" si="4">D14*$D$35</f>
        <v>0</v>
      </c>
      <c r="E18" s="16">
        <f t="shared" si="4"/>
        <v>0</v>
      </c>
      <c r="F18" s="16">
        <f t="shared" si="4"/>
        <v>0</v>
      </c>
      <c r="G18" s="16">
        <f t="shared" si="4"/>
        <v>2638.0048485671714</v>
      </c>
      <c r="H18" s="16">
        <f t="shared" si="4"/>
        <v>14881.788221808281</v>
      </c>
      <c r="I18" s="16">
        <f t="shared" si="4"/>
        <v>19842.384295744378</v>
      </c>
      <c r="J18" s="16">
        <f t="shared" si="4"/>
        <v>14881.788221808281</v>
      </c>
      <c r="K18" s="16">
        <f t="shared" si="4"/>
        <v>2638.0048485671714</v>
      </c>
      <c r="L18" s="16">
        <f t="shared" si="4"/>
        <v>14881.788221808281</v>
      </c>
      <c r="M18" s="16">
        <f t="shared" si="4"/>
        <v>19842.384295744378</v>
      </c>
    </row>
    <row r="19" spans="2:13" ht="15" customHeight="1" x14ac:dyDescent="0.2">
      <c r="B19" s="10" t="s">
        <v>900</v>
      </c>
      <c r="C19" s="10" t="s">
        <v>199</v>
      </c>
      <c r="D19" s="28">
        <f>D13*Inputs!$D$23</f>
        <v>6.4875000000000007</v>
      </c>
      <c r="E19" s="28">
        <f>E13*Inputs!$D$23</f>
        <v>8.65</v>
      </c>
      <c r="F19" s="28">
        <f>F13*Inputs!$D$23</f>
        <v>6.4875000000000007</v>
      </c>
      <c r="G19" s="28">
        <f>G13*Inputs!$D$23</f>
        <v>0</v>
      </c>
      <c r="H19" s="28">
        <f>H13*Inputs!$D$23</f>
        <v>0</v>
      </c>
      <c r="I19" s="28">
        <f>I13*Inputs!$D$23</f>
        <v>0</v>
      </c>
      <c r="J19" s="28">
        <f>J13*Inputs!$D$23</f>
        <v>0</v>
      </c>
      <c r="K19" s="28">
        <f>K13*Inputs!$D$23</f>
        <v>0</v>
      </c>
      <c r="L19" s="28">
        <f>L13*Inputs!$D$23</f>
        <v>0</v>
      </c>
      <c r="M19" s="28">
        <f>M13*Inputs!$D$23</f>
        <v>0</v>
      </c>
    </row>
    <row r="20" spans="2:13" ht="15" customHeight="1" x14ac:dyDescent="0.2">
      <c r="B20" s="3" t="s">
        <v>901</v>
      </c>
      <c r="C20" s="10" t="s">
        <v>896</v>
      </c>
      <c r="D20" s="28">
        <f>(D15*$D$33*(Inputs!$D$7-Inputs!$D$19)-D19)/(Inputs!$D$7+$D$34)^D8</f>
        <v>43.213488846686175</v>
      </c>
      <c r="E20" s="28">
        <f>(E15*$D$33*(Inputs!$D$7-Inputs!$D$19)-E19)/(Inputs!$D$7+$D$34)^E8</f>
        <v>163.29332190458183</v>
      </c>
      <c r="F20" s="28">
        <f>(F15*$D$33*(Inputs!$D$7-Inputs!$D$19)-F19)/(Inputs!$D$7+$D$34)^F8</f>
        <v>248.28260771010829</v>
      </c>
      <c r="G20" s="28">
        <f>(G15*$D$33*(Inputs!$D$7-Inputs!$D$19)-G19)/(Inputs!$D$7+$D$34)^G8</f>
        <v>268.5238926419492</v>
      </c>
      <c r="H20" s="28">
        <f>(H15*$D$33*(Inputs!$D$7-Inputs!$D$19)-H19)/(Inputs!$D$7+$D$34)^H8</f>
        <v>244.12855518959191</v>
      </c>
      <c r="I20" s="28">
        <f>(I15*$D$33*(Inputs!$D$7-Inputs!$D$19)-I19)/(Inputs!$D$7+$D$34)^I8</f>
        <v>221.8916197826434</v>
      </c>
      <c r="J20" s="28">
        <f>(J15*$D$33*(Inputs!$D$7-Inputs!$D$19)-J19)/(Inputs!$D$7+$D$34)^J8</f>
        <v>201.73281421346593</v>
      </c>
      <c r="K20" s="28">
        <f>(K15*$D$33*(Inputs!$D$7-Inputs!$D$19)-K19)/(Inputs!$D$7+$D$34)^K8</f>
        <v>183.40543176145695</v>
      </c>
      <c r="L20" s="28">
        <f>(L15*$D$33*(Inputs!$D$7-Inputs!$D$19)-L19)/(Inputs!$D$7+$D$34)^L8</f>
        <v>166.74308803332551</v>
      </c>
      <c r="M20" s="28">
        <f>(M15*$D$33*(Inputs!$D$7-Inputs!$D$19)-M19)/(Inputs!$D$7+$D$34)^M8</f>
        <v>151.55496194429571</v>
      </c>
    </row>
    <row r="21" spans="2:13" ht="15" customHeight="1" x14ac:dyDescent="0.2">
      <c r="B21" s="10" t="s">
        <v>902</v>
      </c>
      <c r="C21" s="10" t="s">
        <v>110</v>
      </c>
      <c r="D21" s="16">
        <f>(D16*Inputs!$D$19-D17-D18)/(Inputs!$D$7+$D$34)^D8</f>
        <v>-14027.24269342025</v>
      </c>
      <c r="E21" s="16">
        <f>(E16*Inputs!$D$19-E17-E18)/(Inputs!$D$7+$D$34)^E8</f>
        <v>-15853.087323826181</v>
      </c>
      <c r="F21" s="16">
        <f>(F16*Inputs!$D$19-F17-F18)/(Inputs!$D$7+$D$34)^F8</f>
        <v>-9394.4767487293357</v>
      </c>
      <c r="G21" s="16">
        <f>(G16*Inputs!$D$19-G17-G18)/(Inputs!$D$7+$D$34)^G8</f>
        <v>923.61320322684639</v>
      </c>
      <c r="H21" s="16">
        <f>(H16*Inputs!$D$19-H17-H18)/(Inputs!$D$7+$D$34)^H8</f>
        <v>-6972.3744918015345</v>
      </c>
      <c r="I21" s="16">
        <f>(I16*Inputs!$D$19-I17-I18)/(Inputs!$D$7+$D$34)^I8</f>
        <v>-9214.0648467907959</v>
      </c>
      <c r="J21" s="16">
        <f>(J16*Inputs!$D$19-J17-J18)/(Inputs!$D$7+$D$34)^J8</f>
        <v>-5761.5411965591911</v>
      </c>
      <c r="K21" s="16">
        <f>(K16*Inputs!$D$19-K17-K18)/(Inputs!$D$7+$D$34)^K8</f>
        <v>630.8402453567694</v>
      </c>
      <c r="L21" s="16">
        <f>(L16*Inputs!$D$19-L17-L18)/(Inputs!$D$7+$D$34)^L8</f>
        <v>-4762.2255937446444</v>
      </c>
      <c r="M21" s="16">
        <f>(M16*Inputs!$D$19-M17-M18)/(Inputs!$D$7+$D$34)^M8</f>
        <v>-6293.3302689644106</v>
      </c>
    </row>
    <row r="22" spans="2:13" ht="15" customHeight="1" x14ac:dyDescent="0.2">
      <c r="B22" s="10" t="s">
        <v>903</v>
      </c>
      <c r="C22" s="10" t="s">
        <v>110</v>
      </c>
      <c r="D22" s="16">
        <f t="shared" ref="D22:M22" si="5">D15*$D$32</f>
        <v>4054.5694881027985</v>
      </c>
      <c r="E22" s="16">
        <f t="shared" si="5"/>
        <v>15448.313476363221</v>
      </c>
      <c r="F22" s="16">
        <f t="shared" si="5"/>
        <v>25222.55988173201</v>
      </c>
      <c r="G22" s="16">
        <f t="shared" si="5"/>
        <v>29411.522626890062</v>
      </c>
      <c r="H22" s="16">
        <f t="shared" si="5"/>
        <v>29411.522626890062</v>
      </c>
      <c r="I22" s="16">
        <f t="shared" si="5"/>
        <v>29411.522626890062</v>
      </c>
      <c r="J22" s="16">
        <f t="shared" si="5"/>
        <v>29411.522626890062</v>
      </c>
      <c r="K22" s="16">
        <f t="shared" si="5"/>
        <v>29411.522626890062</v>
      </c>
      <c r="L22" s="16">
        <f t="shared" si="5"/>
        <v>29411.522626890062</v>
      </c>
      <c r="M22" s="16">
        <f t="shared" si="5"/>
        <v>29411.522626890062</v>
      </c>
    </row>
    <row r="23" spans="2:13" ht="15" customHeight="1" x14ac:dyDescent="0.2">
      <c r="B23" s="10" t="s">
        <v>904</v>
      </c>
      <c r="C23" s="10" t="s">
        <v>110</v>
      </c>
      <c r="D23" s="16">
        <f t="shared" ref="D23:M23" si="6">D22*$D$33</f>
        <v>2432.741692861679</v>
      </c>
      <c r="E23" s="16">
        <f t="shared" si="6"/>
        <v>9268.9880858179313</v>
      </c>
      <c r="F23" s="16">
        <f t="shared" si="6"/>
        <v>15133.535929039204</v>
      </c>
      <c r="G23" s="16">
        <f t="shared" si="6"/>
        <v>17646.913576134037</v>
      </c>
      <c r="H23" s="16">
        <f t="shared" si="6"/>
        <v>17646.913576134037</v>
      </c>
      <c r="I23" s="16">
        <f t="shared" si="6"/>
        <v>17646.913576134037</v>
      </c>
      <c r="J23" s="16">
        <f t="shared" si="6"/>
        <v>17646.913576134037</v>
      </c>
      <c r="K23" s="16">
        <f t="shared" si="6"/>
        <v>17646.913576134037</v>
      </c>
      <c r="L23" s="16">
        <f t="shared" si="6"/>
        <v>17646.913576134037</v>
      </c>
      <c r="M23" s="16">
        <f t="shared" si="6"/>
        <v>17646.913576134037</v>
      </c>
    </row>
    <row r="24" spans="2:13" ht="15" customHeight="1" x14ac:dyDescent="0.2">
      <c r="B24" s="10" t="s">
        <v>905</v>
      </c>
      <c r="C24" s="10" t="s">
        <v>110</v>
      </c>
      <c r="D24" s="16">
        <f t="shared" ref="D24:M24" si="7">D23-D16</f>
        <v>615.76440692923711</v>
      </c>
      <c r="E24" s="16">
        <f t="shared" si="7"/>
        <v>2346.1237040682227</v>
      </c>
      <c r="F24" s="16">
        <f t="shared" si="7"/>
        <v>3830.531126025704</v>
      </c>
      <c r="G24" s="16">
        <f t="shared" si="7"/>
        <v>4466.705735436055</v>
      </c>
      <c r="H24" s="16">
        <f t="shared" si="7"/>
        <v>4466.705735436055</v>
      </c>
      <c r="I24" s="16">
        <f t="shared" si="7"/>
        <v>4466.705735436055</v>
      </c>
      <c r="J24" s="16">
        <f t="shared" si="7"/>
        <v>4466.705735436055</v>
      </c>
      <c r="K24" s="16">
        <f t="shared" si="7"/>
        <v>4466.705735436055</v>
      </c>
      <c r="L24" s="16">
        <f t="shared" si="7"/>
        <v>4466.705735436055</v>
      </c>
      <c r="M24" s="16">
        <f t="shared" si="7"/>
        <v>4466.705735436055</v>
      </c>
    </row>
    <row r="25" spans="2:13" ht="15" customHeight="1" x14ac:dyDescent="0.2">
      <c r="B25" s="10" t="s">
        <v>906</v>
      </c>
      <c r="C25" s="10" t="s">
        <v>110</v>
      </c>
      <c r="D25" s="16">
        <f>MAX(D24,Inputs!$D$6)*Inputs!$D$19</f>
        <v>184.72932207877113</v>
      </c>
      <c r="E25" s="16">
        <f>MAX(E24,Inputs!$D$6)*Inputs!$D$19</f>
        <v>703.8371112204668</v>
      </c>
      <c r="F25" s="16">
        <f>MAX(F24,Inputs!$D$6)*Inputs!$D$19</f>
        <v>1149.1593378077112</v>
      </c>
      <c r="G25" s="16">
        <f>MAX(G24,Inputs!$D$6)*Inputs!$D$19</f>
        <v>1340.0117206308164</v>
      </c>
      <c r="H25" s="16">
        <f>MAX(H24,Inputs!$D$6)*Inputs!$D$19</f>
        <v>1340.0117206308164</v>
      </c>
      <c r="I25" s="16">
        <f>MAX(I24,Inputs!$D$6)*Inputs!$D$19</f>
        <v>1340.0117206308164</v>
      </c>
      <c r="J25" s="16">
        <f>MAX(J24,Inputs!$D$6)*Inputs!$D$19</f>
        <v>1340.0117206308164</v>
      </c>
      <c r="K25" s="16">
        <f>MAX(K24,Inputs!$D$6)*Inputs!$D$19</f>
        <v>1340.0117206308164</v>
      </c>
      <c r="L25" s="16">
        <f>MAX(L24,Inputs!$D$6)*Inputs!$D$19</f>
        <v>1340.0117206308164</v>
      </c>
      <c r="M25" s="16">
        <f>MAX(M24,Inputs!$D$6)*Inputs!$D$19</f>
        <v>1340.0117206308164</v>
      </c>
    </row>
    <row r="26" spans="2:13" ht="15" customHeight="1" x14ac:dyDescent="0.2">
      <c r="B26" s="10" t="s">
        <v>907</v>
      </c>
      <c r="C26" s="10" t="s">
        <v>110</v>
      </c>
      <c r="D26" s="16">
        <f t="shared" ref="D26:M26" si="8">D19*$D$32</f>
        <v>209.44813725790263</v>
      </c>
      <c r="E26" s="16">
        <f t="shared" si="8"/>
        <v>279.26418301053684</v>
      </c>
      <c r="F26" s="16">
        <f t="shared" si="8"/>
        <v>209.44813725790263</v>
      </c>
      <c r="G26" s="16">
        <f t="shared" si="8"/>
        <v>0</v>
      </c>
      <c r="H26" s="16">
        <f t="shared" si="8"/>
        <v>0</v>
      </c>
      <c r="I26" s="16">
        <f t="shared" si="8"/>
        <v>0</v>
      </c>
      <c r="J26" s="16">
        <f t="shared" si="8"/>
        <v>0</v>
      </c>
      <c r="K26" s="16">
        <f t="shared" si="8"/>
        <v>0</v>
      </c>
      <c r="L26" s="16">
        <f t="shared" si="8"/>
        <v>0</v>
      </c>
      <c r="M26" s="16">
        <f t="shared" si="8"/>
        <v>0</v>
      </c>
    </row>
    <row r="27" spans="2:13" ht="15" customHeight="1" x14ac:dyDescent="0.2">
      <c r="B27" s="10" t="s">
        <v>908</v>
      </c>
      <c r="C27" s="10" t="s">
        <v>110</v>
      </c>
      <c r="D27" s="16">
        <f t="shared" ref="D27:M27" si="9">D23-D25-D17-D18-D26</f>
        <v>-13522.404386621149</v>
      </c>
      <c r="E27" s="16">
        <f t="shared" si="9"/>
        <v>-12462.071368607942</v>
      </c>
      <c r="F27" s="16">
        <f t="shared" si="9"/>
        <v>-1786.0401661725623</v>
      </c>
      <c r="G27" s="16">
        <f t="shared" si="9"/>
        <v>13668.897006936048</v>
      </c>
      <c r="H27" s="16">
        <f t="shared" si="9"/>
        <v>1425.1136336949385</v>
      </c>
      <c r="I27" s="16">
        <f t="shared" si="9"/>
        <v>-3535.4824402411577</v>
      </c>
      <c r="J27" s="16">
        <f t="shared" si="9"/>
        <v>1425.1136336949385</v>
      </c>
      <c r="K27" s="16">
        <f t="shared" si="9"/>
        <v>13668.897006936048</v>
      </c>
      <c r="L27" s="16">
        <f t="shared" si="9"/>
        <v>1425.1136336949385</v>
      </c>
      <c r="M27" s="16">
        <f t="shared" si="9"/>
        <v>-3535.4824402411577</v>
      </c>
    </row>
    <row r="28" spans="2:13" ht="15" customHeight="1" x14ac:dyDescent="0.2">
      <c r="B28" s="10" t="s">
        <v>909</v>
      </c>
      <c r="C28" s="10" t="s">
        <v>110</v>
      </c>
      <c r="D28" s="16">
        <f>D27/(Inputs!$D$7+$D$34)^D8</f>
        <v>-12632.100536448603</v>
      </c>
      <c r="E28" s="16">
        <f>E27/(Inputs!$D$7+$D$34)^E8</f>
        <v>-10581.182568593853</v>
      </c>
      <c r="F28" s="16">
        <f>F27/(Inputs!$D$7+$D$34)^F8</f>
        <v>-1378.7033848115314</v>
      </c>
      <c r="G28" s="16">
        <f>G27/(Inputs!$D$7+$D$34)^G8</f>
        <v>9592.8739543786432</v>
      </c>
      <c r="H28" s="16">
        <f>H27/(Inputs!$D$7+$D$34)^H8</f>
        <v>909.28579889952084</v>
      </c>
      <c r="I28" s="16">
        <f>I27/(Inputs!$D$7+$D$34)^I8</f>
        <v>-2050.3212727463365</v>
      </c>
      <c r="J28" s="16">
        <f>J27/(Inputs!$D$7+$D$34)^J8</f>
        <v>751.3778263009209</v>
      </c>
      <c r="K28" s="16">
        <f>K27/(Inputs!$D$7+$D$34)^K8</f>
        <v>6552.0619864617438</v>
      </c>
      <c r="L28" s="16">
        <f>L27/(Inputs!$D$7+$D$34)^L8</f>
        <v>621.05443542075034</v>
      </c>
      <c r="M28" s="16">
        <f>M27/(Inputs!$D$7+$D$34)^M8</f>
        <v>-1400.3970171069845</v>
      </c>
    </row>
    <row r="29" spans="2:13" ht="15" customHeight="1" x14ac:dyDescent="0.2">
      <c r="B29" s="3" t="s">
        <v>910</v>
      </c>
      <c r="C29" s="10" t="s">
        <v>896</v>
      </c>
      <c r="D29" s="28">
        <f>(D15*$D$33-D19)/(Inputs!$D$7+$D$34)^D8</f>
        <v>64.330856237917445</v>
      </c>
      <c r="E29" s="28">
        <f>(E15*$D$33-E19)/(Inputs!$D$7+$D$34)^E8</f>
        <v>236.42380139523098</v>
      </c>
      <c r="F29" s="28">
        <f>(F15*$D$33-F19)/(Inputs!$D$7+$D$34)^F8</f>
        <v>356.83568908039001</v>
      </c>
      <c r="G29" s="28">
        <f>(G15*$D$33-G19)/(Inputs!$D$7+$D$34)^G8</f>
        <v>383.60556091707036</v>
      </c>
      <c r="H29" s="28">
        <f>(H15*$D$33-H19)/(Inputs!$D$7+$D$34)^H8</f>
        <v>348.75507884227414</v>
      </c>
      <c r="I29" s="28">
        <f>(I15*$D$33-I19)/(Inputs!$D$7+$D$34)^I8</f>
        <v>316.98802826091918</v>
      </c>
      <c r="J29" s="28">
        <f>(J15*$D$33-J19)/(Inputs!$D$7+$D$34)^J8</f>
        <v>288.18973459066564</v>
      </c>
      <c r="K29" s="28">
        <f>(K15*$D$33-K19)/(Inputs!$D$7+$D$34)^K8</f>
        <v>262.00775965922423</v>
      </c>
      <c r="L29" s="28">
        <f>(L15*$D$33-L19)/(Inputs!$D$7+$D$34)^L8</f>
        <v>238.2044114761793</v>
      </c>
      <c r="M29" s="28">
        <f>(M15*$D$33-M19)/(Inputs!$D$7+$D$34)^M8</f>
        <v>216.50708849185102</v>
      </c>
    </row>
    <row r="30" spans="2:13" ht="15" customHeight="1" x14ac:dyDescent="0.2">
      <c r="B30" s="10" t="s">
        <v>911</v>
      </c>
      <c r="C30" s="10" t="s">
        <v>110</v>
      </c>
      <c r="D30" s="16">
        <f>(-D17-D18)/(Inputs!$D$7+$D$34)^D8</f>
        <v>-14536.447397527105</v>
      </c>
      <c r="E30" s="16">
        <f>(-E17-E18)/(Inputs!$D$7+$D$34)^E8</f>
        <v>-17616.488200475756</v>
      </c>
      <c r="F30" s="16">
        <f>(-F17-F18)/(Inputs!$D$7+$D$34)^F8</f>
        <v>-12012.025548964448</v>
      </c>
      <c r="G30" s="16">
        <f>(-G17-G18)/(Inputs!$D$7+$D$34)^G8</f>
        <v>-1851.359915178487</v>
      </c>
      <c r="H30" s="16">
        <f>(-H17-H18)/(Inputs!$D$7+$D$34)^H8</f>
        <v>-9495.2419037884629</v>
      </c>
      <c r="I30" s="16">
        <f>(-I17-I18)/(Inputs!$D$7+$D$34)^I8</f>
        <v>-11507.131858586603</v>
      </c>
      <c r="J30" s="16">
        <f>(-J17-J18)/(Inputs!$D$7+$D$34)^J8</f>
        <v>-7846.2835672839774</v>
      </c>
      <c r="K30" s="16">
        <f>(-K17-K18)/(Inputs!$D$7+$D$34)^K8</f>
        <v>-1264.5037327904422</v>
      </c>
      <c r="L30" s="16">
        <f>(-L17-L18)/(Inputs!$D$7+$D$34)^L8</f>
        <v>-6485.3779822337692</v>
      </c>
      <c r="M30" s="16">
        <f>(-M17-M18)/(Inputs!$D$7+$D$34)^M8</f>
        <v>-7859.5258920747219</v>
      </c>
    </row>
    <row r="31" spans="2:13" ht="15" customHeight="1" x14ac:dyDescent="0.2">
      <c r="B31" s="10" t="s">
        <v>912</v>
      </c>
      <c r="C31" s="10" t="s">
        <v>110</v>
      </c>
      <c r="D31" s="16">
        <f>Inputs!D6</f>
        <v>0</v>
      </c>
    </row>
    <row r="32" spans="2:13" ht="15" customHeight="1" x14ac:dyDescent="0.2">
      <c r="B32" s="3" t="s">
        <v>913</v>
      </c>
      <c r="C32" s="10" t="s">
        <v>914</v>
      </c>
      <c r="D32" s="28">
        <f>IF(J39&gt;=J35,J39,(D31-J38)/J37)</f>
        <v>32.284876648616972</v>
      </c>
      <c r="G32" s="99" t="s">
        <v>915</v>
      </c>
      <c r="H32" s="91"/>
      <c r="I32" s="91"/>
      <c r="J32" s="28">
        <f>D32*Inputs!$D$15</f>
        <v>22.531615413069783</v>
      </c>
      <c r="K32" s="99" t="s">
        <v>916</v>
      </c>
      <c r="L32" s="91"/>
      <c r="M32" s="91"/>
    </row>
    <row r="33" spans="2:13" ht="15" customHeight="1" x14ac:dyDescent="0.2">
      <c r="B33" s="10" t="s">
        <v>917</v>
      </c>
      <c r="C33" s="10" t="s">
        <v>104</v>
      </c>
      <c r="D33" s="30">
        <f>Inputs!$D$81</f>
        <v>0.6</v>
      </c>
      <c r="G33" s="99" t="s">
        <v>918</v>
      </c>
      <c r="H33" s="91"/>
      <c r="I33" s="91"/>
      <c r="J33" s="28">
        <f>IF(-D44/D43&gt;=J35,-D44/D43,-J38/J37)</f>
        <v>32.284876648616972</v>
      </c>
      <c r="K33" s="99" t="s">
        <v>919</v>
      </c>
      <c r="L33" s="91"/>
      <c r="M33" s="91"/>
    </row>
    <row r="34" spans="2:13" ht="15" customHeight="1" x14ac:dyDescent="0.2">
      <c r="B34" s="10" t="s">
        <v>920</v>
      </c>
      <c r="C34" s="10" t="s">
        <v>104</v>
      </c>
      <c r="D34" s="30">
        <f>Inputs!$D$82</f>
        <v>0.1</v>
      </c>
      <c r="G34" s="99" t="s">
        <v>918</v>
      </c>
      <c r="H34" s="91"/>
      <c r="I34" s="91"/>
      <c r="J34" s="28">
        <f>J33*Inputs!$D$15</f>
        <v>22.531615413069783</v>
      </c>
      <c r="K34" s="99" t="s">
        <v>916</v>
      </c>
      <c r="L34" s="91"/>
      <c r="M34" s="91"/>
    </row>
    <row r="35" spans="2:13" ht="15" customHeight="1" x14ac:dyDescent="0.2">
      <c r="B35" s="3" t="s">
        <v>921</v>
      </c>
      <c r="C35" s="10" t="s">
        <v>848</v>
      </c>
      <c r="D35" s="28">
        <f>Capital!$D$13</f>
        <v>57.347931490590682</v>
      </c>
      <c r="G35" s="99" t="s">
        <v>922</v>
      </c>
      <c r="H35" s="91"/>
      <c r="I35" s="91"/>
      <c r="J35" s="28">
        <f>($D$35/Inputs!$D$21+$D$36/Inputs!$D$22)/$D$33</f>
        <v>24.113076913095469</v>
      </c>
      <c r="K35" s="99" t="s">
        <v>919</v>
      </c>
      <c r="L35" s="91"/>
      <c r="M35" s="91"/>
    </row>
    <row r="36" spans="2:13" ht="15" customHeight="1" x14ac:dyDescent="0.2">
      <c r="B36" s="3" t="s">
        <v>923</v>
      </c>
      <c r="C36" s="10" t="s">
        <v>848</v>
      </c>
      <c r="D36" s="28">
        <f>Capital!$D$14</f>
        <v>2.6172655041921802</v>
      </c>
    </row>
    <row r="37" spans="2:13" ht="15" customHeight="1" x14ac:dyDescent="0.2">
      <c r="B37" s="10" t="s">
        <v>924</v>
      </c>
      <c r="C37" s="10" t="s">
        <v>896</v>
      </c>
      <c r="D37" s="28">
        <f>(M10*(Inputs!$D$7+Inputs!$D$20)*$D$33*(Inputs!$D$7-Inputs!$D$19)-M10*Inputs!$D$20*Inputs!$D$23)/($D$34-Inputs!$D$20)/(Inputs!$D$7+$D$34)^M8</f>
        <v>2068.2441036763203</v>
      </c>
      <c r="G37" s="92" t="s">
        <v>910</v>
      </c>
      <c r="H37" s="91"/>
      <c r="I37" s="91"/>
      <c r="J37" s="28">
        <f>SUM(D29:M29)+(M10*(Inputs!$D$7+Inputs!$D$20)*$D$33-M10*Inputs!$D$20*Inputs!$D$23)/($D$34-Inputs!$D$20)/(Inputs!$D$7+$D$34)^M8</f>
        <v>5667.7711754446318</v>
      </c>
      <c r="K37" s="99" t="s">
        <v>896</v>
      </c>
      <c r="L37" s="91"/>
      <c r="M37" s="91"/>
    </row>
    <row r="38" spans="2:13" ht="15" customHeight="1" x14ac:dyDescent="0.2">
      <c r="B38" s="10" t="s">
        <v>925</v>
      </c>
      <c r="C38" s="10" t="s">
        <v>110</v>
      </c>
      <c r="D38" s="16">
        <f>(D41*Inputs!$D$19-D41-D42)/($D$34-Inputs!$D$20)/(Inputs!$D$7+$D$34)^M8</f>
        <v>-57156.954988173631</v>
      </c>
      <c r="G38" s="92" t="s">
        <v>926</v>
      </c>
      <c r="H38" s="91"/>
      <c r="I38" s="91"/>
      <c r="J38" s="16">
        <f>SUM(D30:M30)-(D41+D42)/($D$34-Inputs!$D$20)/(Inputs!$D$7+$D$34)^M8</f>
        <v>-169036.01450291832</v>
      </c>
      <c r="K38" s="99" t="s">
        <v>110</v>
      </c>
      <c r="L38" s="91"/>
      <c r="M38" s="91"/>
    </row>
    <row r="39" spans="2:13" ht="15" customHeight="1" x14ac:dyDescent="0.2">
      <c r="B39" s="10" t="s">
        <v>927</v>
      </c>
      <c r="C39" s="10" t="s">
        <v>928</v>
      </c>
      <c r="D39" s="16">
        <f>(M10*(Inputs!$D$7+Inputs!$D$20)*$D$32*$D$33-D41)-MAX((M10*(Inputs!$D$7+Inputs!$D$20)*$D$32*$D$33-D41),Inputs!$D$6)*Inputs!$D$19-D42-M10*Inputs!$D$20*$D$32*Inputs!$D$23</f>
        <v>1820.7718019773833</v>
      </c>
      <c r="G39" s="99" t="s">
        <v>929</v>
      </c>
      <c r="H39" s="91"/>
      <c r="I39" s="91"/>
      <c r="J39" s="28">
        <f>(D31-D44)/D43</f>
        <v>32.284876648616972</v>
      </c>
      <c r="K39" s="99" t="s">
        <v>919</v>
      </c>
      <c r="L39" s="91"/>
      <c r="M39" s="91"/>
    </row>
    <row r="40" spans="2:13" ht="15" customHeight="1" x14ac:dyDescent="0.2">
      <c r="B40" s="10" t="s">
        <v>930</v>
      </c>
      <c r="C40" s="10" t="s">
        <v>110</v>
      </c>
      <c r="D40" s="16">
        <f>D39/($D$34-Inputs!$D$20)</f>
        <v>24276.957359698441</v>
      </c>
      <c r="G40" s="99" t="s">
        <v>931</v>
      </c>
      <c r="H40" s="91"/>
      <c r="I40" s="91"/>
      <c r="J40" s="16">
        <f>MIN(D24:M24,(M10*(Inputs!$D$7+Inputs!$D$20)*$D$32*$D$33-D41))</f>
        <v>615.76440692923711</v>
      </c>
      <c r="K40" s="99" t="s">
        <v>110</v>
      </c>
      <c r="L40" s="91"/>
      <c r="M40" s="91"/>
    </row>
    <row r="41" spans="2:13" ht="15" customHeight="1" x14ac:dyDescent="0.2">
      <c r="B41" s="10" t="s">
        <v>932</v>
      </c>
      <c r="C41" s="10" t="s">
        <v>928</v>
      </c>
      <c r="D41" s="16">
        <f>M10*(Inputs!$D$7+Inputs!$D$20)*($D$35/Inputs!$D$21+$D$36/Inputs!$D$22)</f>
        <v>13509.71303671543</v>
      </c>
      <c r="G41" s="99" t="s">
        <v>933</v>
      </c>
      <c r="H41" s="91"/>
      <c r="I41" s="91"/>
      <c r="J41" s="31" t="str">
        <f>IF(J40&lt;Inputs!$D$6,"breached","satisfied")</f>
        <v>satisfied</v>
      </c>
      <c r="K41" s="99" t="s">
        <v>934</v>
      </c>
      <c r="L41" s="91"/>
      <c r="M41" s="91"/>
    </row>
    <row r="42" spans="2:13" ht="15" customHeight="1" x14ac:dyDescent="0.2">
      <c r="B42" s="10" t="s">
        <v>935</v>
      </c>
      <c r="C42" s="10" t="s">
        <v>928</v>
      </c>
      <c r="D42" s="16">
        <f>M10*Inputs!$D$20*($D$35+$D$36)</f>
        <v>1365.7073615561799</v>
      </c>
    </row>
    <row r="43" spans="2:13" ht="15" customHeight="1" x14ac:dyDescent="0.2">
      <c r="B43" s="10" t="s">
        <v>936</v>
      </c>
      <c r="C43" s="10" t="s">
        <v>896</v>
      </c>
      <c r="D43" s="28">
        <f>SUM(D20:M20)+D37</f>
        <v>3961.0138857044249</v>
      </c>
      <c r="G43" s="99" t="s">
        <v>937</v>
      </c>
      <c r="H43" s="91"/>
      <c r="I43" s="91"/>
      <c r="J43" s="16">
        <f>D45-D31</f>
        <v>0</v>
      </c>
      <c r="K43" s="99" t="s">
        <v>110</v>
      </c>
      <c r="L43" s="91"/>
      <c r="M43" s="91"/>
    </row>
    <row r="44" spans="2:13" ht="15" customHeight="1" x14ac:dyDescent="0.2">
      <c r="B44" s="10" t="s">
        <v>938</v>
      </c>
      <c r="C44" s="10" t="s">
        <v>110</v>
      </c>
      <c r="D44" s="16">
        <f>SUM(D21:M21)+D38</f>
        <v>-127880.84470342637</v>
      </c>
    </row>
    <row r="45" spans="2:13" ht="15" customHeight="1" x14ac:dyDescent="0.2">
      <c r="B45" s="10" t="s">
        <v>939</v>
      </c>
      <c r="C45" s="10" t="s">
        <v>110</v>
      </c>
      <c r="D45" s="16">
        <f>SUM(D28:M28)+D40/(Inputs!$D$7+$D$34)^M8</f>
        <v>0</v>
      </c>
    </row>
    <row r="46" spans="2:13" ht="15" customHeight="1" x14ac:dyDescent="0.2">
      <c r="B46" s="10" t="s">
        <v>940</v>
      </c>
      <c r="C46" s="10" t="s">
        <v>104</v>
      </c>
      <c r="D46" s="30">
        <f>IF(ABS(D31)&gt;Inputs!$D$6,D45/D31-Inputs!$D$7,Inputs!$D$6)</f>
        <v>0</v>
      </c>
    </row>
    <row r="47" spans="2:13" ht="15" customHeight="1" x14ac:dyDescent="0.2">
      <c r="B47" s="10" t="s">
        <v>941</v>
      </c>
      <c r="C47" s="10" t="s">
        <v>104</v>
      </c>
      <c r="D47" s="30">
        <f>IF(ABS(D45)&gt;Inputs!$D$119,D40/(Inputs!$D$7+$D$34)^M8/D45,Inputs!$D$6)</f>
        <v>0</v>
      </c>
    </row>
    <row r="48" spans="2:13" ht="15" customHeight="1" x14ac:dyDescent="0.2">
      <c r="B48" s="10" t="s">
        <v>942</v>
      </c>
      <c r="C48" s="10" t="s">
        <v>943</v>
      </c>
      <c r="D48" s="26">
        <f>$D$32*Inputs!$D$8/Prices!$P$6/(Inputs!$D$26/Inputs!$D$25)/Inputs!$D$11/Inputs!$D$56</f>
        <v>5.8711028845848912</v>
      </c>
    </row>
    <row r="52" spans="1:13" ht="15" customHeight="1" x14ac:dyDescent="0.2">
      <c r="A52" s="104" t="s">
        <v>2374</v>
      </c>
      <c r="B52" s="10" t="s">
        <v>886</v>
      </c>
      <c r="C52" s="10" t="s">
        <v>107</v>
      </c>
      <c r="D52" s="28">
        <f>Inputs!$D$60</f>
        <v>1</v>
      </c>
      <c r="E52" s="28">
        <f>Inputs!$D$62</f>
        <v>2</v>
      </c>
      <c r="F52" s="28">
        <f>Inputs!$D$64</f>
        <v>3</v>
      </c>
      <c r="G52" s="28">
        <f>Inputs!$D$66</f>
        <v>4</v>
      </c>
      <c r="H52" s="28">
        <f>Inputs!$D$68</f>
        <v>5</v>
      </c>
      <c r="I52" s="28">
        <f>Inputs!$D$70</f>
        <v>6</v>
      </c>
      <c r="J52" s="28">
        <f>Inputs!$D$72</f>
        <v>7</v>
      </c>
      <c r="K52" s="28">
        <f>Inputs!$D$74</f>
        <v>8</v>
      </c>
      <c r="L52" s="28">
        <f>Inputs!$D$76</f>
        <v>9</v>
      </c>
      <c r="M52" s="28">
        <f>Inputs!$D$78</f>
        <v>10</v>
      </c>
    </row>
    <row r="53" spans="1:13" ht="15" customHeight="1" x14ac:dyDescent="0.2">
      <c r="A53" s="91"/>
      <c r="B53" s="10" t="s">
        <v>887</v>
      </c>
      <c r="C53" s="10" t="s">
        <v>161</v>
      </c>
      <c r="D53" s="29">
        <f>Inputs!$D$61</f>
        <v>46568</v>
      </c>
      <c r="E53" s="29">
        <f>Inputs!$D$63</f>
        <v>46934</v>
      </c>
      <c r="F53" s="29">
        <f>Inputs!$D$65</f>
        <v>47299</v>
      </c>
      <c r="G53" s="29">
        <f>Inputs!$D$67</f>
        <v>47664</v>
      </c>
      <c r="H53" s="29">
        <f>Inputs!$D$69</f>
        <v>48029</v>
      </c>
      <c r="I53" s="29">
        <f>Inputs!$D$71</f>
        <v>48395</v>
      </c>
      <c r="J53" s="29">
        <f>Inputs!$D$73</f>
        <v>48760</v>
      </c>
      <c r="K53" s="29">
        <f>Inputs!$D$75</f>
        <v>49125</v>
      </c>
      <c r="L53" s="29">
        <f>Inputs!$D$77</f>
        <v>49490</v>
      </c>
      <c r="M53" s="29">
        <f>Inputs!$D$79</f>
        <v>49856</v>
      </c>
    </row>
    <row r="54" spans="1:13" ht="15" customHeight="1" x14ac:dyDescent="0.2">
      <c r="A54" s="91"/>
      <c r="B54" s="10" t="s">
        <v>888</v>
      </c>
      <c r="C54" s="10" t="s">
        <v>107</v>
      </c>
      <c r="D54" s="28">
        <f>(D53-Inputs!$D$13)/Inputs!$D$10</f>
        <v>0.71457905544147848</v>
      </c>
      <c r="E54" s="28">
        <f>(E53-Inputs!$D$13)/Inputs!$D$10</f>
        <v>1.7166324435318274</v>
      </c>
      <c r="F54" s="28">
        <f>(F53-Inputs!$D$13)/Inputs!$D$10</f>
        <v>2.7159479808350446</v>
      </c>
      <c r="G54" s="28">
        <f>(G53-Inputs!$D$13)/Inputs!$D$10</f>
        <v>3.7152635181382614</v>
      </c>
      <c r="H54" s="28">
        <f>(H53-Inputs!$D$13)/Inputs!$D$10</f>
        <v>4.7145790554414786</v>
      </c>
      <c r="I54" s="28">
        <f>(I53-Inputs!$D$13)/Inputs!$D$10</f>
        <v>5.7166324435318279</v>
      </c>
      <c r="J54" s="28">
        <f>(J53-Inputs!$D$13)/Inputs!$D$10</f>
        <v>6.7159479808350442</v>
      </c>
      <c r="K54" s="28">
        <f>(K53-Inputs!$D$13)/Inputs!$D$10</f>
        <v>7.7152635181382614</v>
      </c>
      <c r="L54" s="28">
        <f>(L53-Inputs!$D$13)/Inputs!$D$10</f>
        <v>8.7145790554414777</v>
      </c>
      <c r="M54" s="28">
        <f>(M53-Inputs!$D$13)/Inputs!$D$10</f>
        <v>9.716632443531827</v>
      </c>
    </row>
    <row r="55" spans="1:13" ht="15" customHeight="1" x14ac:dyDescent="0.2">
      <c r="A55" s="91"/>
      <c r="B55" s="10" t="s">
        <v>889</v>
      </c>
      <c r="C55" s="10" t="s">
        <v>107</v>
      </c>
      <c r="D55" s="28">
        <f>D54</f>
        <v>0.71457905544147848</v>
      </c>
      <c r="E55" s="28">
        <f>Inputs!$D$7</f>
        <v>1</v>
      </c>
      <c r="F55" s="28">
        <f>Inputs!$D$7</f>
        <v>1</v>
      </c>
      <c r="G55" s="28">
        <f>Inputs!$D$7</f>
        <v>1</v>
      </c>
      <c r="H55" s="28">
        <f>Inputs!$D$7</f>
        <v>1</v>
      </c>
      <c r="I55" s="28">
        <f>Inputs!$D$7</f>
        <v>1</v>
      </c>
      <c r="J55" s="28">
        <f>Inputs!$D$7</f>
        <v>1</v>
      </c>
      <c r="K55" s="28">
        <f>Inputs!$D$7</f>
        <v>1</v>
      </c>
      <c r="L55" s="28">
        <f>Inputs!$D$7</f>
        <v>1</v>
      </c>
      <c r="M55" s="28">
        <f>Inputs!$D$7</f>
        <v>1</v>
      </c>
    </row>
    <row r="56" spans="1:13" ht="15" customHeight="1" x14ac:dyDescent="0.2">
      <c r="A56" s="91"/>
      <c r="B56" s="3" t="s">
        <v>890</v>
      </c>
      <c r="C56" s="10" t="s">
        <v>199</v>
      </c>
      <c r="D56" s="28">
        <f>Inputs!$D$24+(Inputs!$D$80-Inputs!$D$24)*Inputs!$D$109</f>
        <v>115.2</v>
      </c>
      <c r="E56" s="28">
        <f>Inputs!$D$24+(Inputs!$D$80-Inputs!$D$24)*Inputs!$D$110</f>
        <v>288.20000000000005</v>
      </c>
      <c r="F56" s="28">
        <f>Inputs!$D$24+(Inputs!$D$80-Inputs!$D$24)*Inputs!$D$111</f>
        <v>478.5</v>
      </c>
      <c r="G56" s="28">
        <f>Inputs!$D$24+(Inputs!$D$80-Inputs!$D$24)*Inputs!$D$112</f>
        <v>694.75</v>
      </c>
      <c r="H56" s="28">
        <f>Inputs!$D$24+(Inputs!$D$80-Inputs!$D$24)*Inputs!$D$113</f>
        <v>911</v>
      </c>
      <c r="I56" s="28">
        <f>Inputs!$D$24+(Inputs!$D$80-Inputs!$D$24)*Inputs!$D$114</f>
        <v>911</v>
      </c>
      <c r="J56" s="28">
        <f>Inputs!$D$24+(Inputs!$D$80-Inputs!$D$24)*Inputs!$D$115</f>
        <v>911</v>
      </c>
      <c r="K56" s="28">
        <f>Inputs!$D$24+(Inputs!$D$80-Inputs!$D$24)*Inputs!$D$116</f>
        <v>911</v>
      </c>
      <c r="L56" s="28">
        <f>Inputs!$D$24+(Inputs!$D$80-Inputs!$D$24)*Inputs!$D$117</f>
        <v>911</v>
      </c>
      <c r="M56" s="28">
        <f>Inputs!$D$24+(Inputs!$D$80-Inputs!$D$24)*Inputs!$D$118</f>
        <v>911</v>
      </c>
    </row>
    <row r="57" spans="1:13" ht="15" customHeight="1" x14ac:dyDescent="0.2">
      <c r="A57" s="91"/>
      <c r="B57" s="10" t="s">
        <v>891</v>
      </c>
      <c r="C57" s="10" t="s">
        <v>199</v>
      </c>
      <c r="D57" s="28">
        <f>Inputs!$D$24</f>
        <v>46</v>
      </c>
      <c r="E57" s="28">
        <f t="shared" ref="E57:M57" si="10">D56</f>
        <v>115.2</v>
      </c>
      <c r="F57" s="28">
        <f t="shared" si="10"/>
        <v>288.20000000000005</v>
      </c>
      <c r="G57" s="28">
        <f t="shared" si="10"/>
        <v>478.5</v>
      </c>
      <c r="H57" s="28">
        <f t="shared" si="10"/>
        <v>694.75</v>
      </c>
      <c r="I57" s="28">
        <f t="shared" si="10"/>
        <v>911</v>
      </c>
      <c r="J57" s="28">
        <f t="shared" si="10"/>
        <v>911</v>
      </c>
      <c r="K57" s="28">
        <f t="shared" si="10"/>
        <v>911</v>
      </c>
      <c r="L57" s="28">
        <f t="shared" si="10"/>
        <v>911</v>
      </c>
      <c r="M57" s="28">
        <f t="shared" si="10"/>
        <v>911</v>
      </c>
    </row>
    <row r="58" spans="1:13" ht="15" customHeight="1" x14ac:dyDescent="0.2">
      <c r="B58" s="10" t="s">
        <v>892</v>
      </c>
      <c r="C58" s="10" t="s">
        <v>199</v>
      </c>
      <c r="D58" s="28">
        <f>(D57+D56)*Inputs!$D$12</f>
        <v>80.599999999999994</v>
      </c>
      <c r="E58" s="28">
        <f>(E57+E56)*Inputs!$D$12</f>
        <v>201.70000000000002</v>
      </c>
      <c r="F58" s="28">
        <f>(F57+F56)*Inputs!$D$12</f>
        <v>383.35</v>
      </c>
      <c r="G58" s="28">
        <f>(G57+G56)*Inputs!$D$12</f>
        <v>586.625</v>
      </c>
      <c r="H58" s="28">
        <f>(H57+H56)*Inputs!$D$12</f>
        <v>802.875</v>
      </c>
      <c r="I58" s="28">
        <f>(I57+I56)*Inputs!$D$12</f>
        <v>911</v>
      </c>
      <c r="J58" s="28">
        <f>(J57+J56)*Inputs!$D$12</f>
        <v>911</v>
      </c>
      <c r="K58" s="28">
        <f>(K57+K56)*Inputs!$D$12</f>
        <v>911</v>
      </c>
      <c r="L58" s="28">
        <f>(L57+L56)*Inputs!$D$12</f>
        <v>911</v>
      </c>
      <c r="M58" s="28">
        <f>(M57+M56)*Inputs!$D$12</f>
        <v>911</v>
      </c>
    </row>
    <row r="59" spans="1:13" ht="15" customHeight="1" x14ac:dyDescent="0.2">
      <c r="B59" s="10" t="s">
        <v>893</v>
      </c>
      <c r="C59" s="10" t="s">
        <v>199</v>
      </c>
      <c r="D59" s="28">
        <f t="shared" ref="D59:M59" si="11">D56-D57</f>
        <v>69.2</v>
      </c>
      <c r="E59" s="28">
        <f t="shared" si="11"/>
        <v>173.00000000000006</v>
      </c>
      <c r="F59" s="28">
        <f t="shared" si="11"/>
        <v>190.29999999999995</v>
      </c>
      <c r="G59" s="28">
        <f t="shared" si="11"/>
        <v>216.25</v>
      </c>
      <c r="H59" s="28">
        <f t="shared" si="11"/>
        <v>216.25</v>
      </c>
      <c r="I59" s="28">
        <f t="shared" si="11"/>
        <v>0</v>
      </c>
      <c r="J59" s="28">
        <f t="shared" si="11"/>
        <v>0</v>
      </c>
      <c r="K59" s="28">
        <f t="shared" si="11"/>
        <v>0</v>
      </c>
      <c r="L59" s="28">
        <f t="shared" si="11"/>
        <v>0</v>
      </c>
      <c r="M59" s="28">
        <f t="shared" si="11"/>
        <v>0</v>
      </c>
    </row>
    <row r="60" spans="1:13" ht="15" customHeight="1" x14ac:dyDescent="0.2">
      <c r="B60" s="10" t="s">
        <v>894</v>
      </c>
      <c r="C60" s="10" t="s">
        <v>199</v>
      </c>
      <c r="D60" s="28">
        <f>IF(MOD(D52,Inputs!$D$21)=Inputs!$D$6,Inputs!$D$24,Inputs!$D$6)+SUMPRODUCT(--(D52&gt;$D$52:$M$52),--(MOD(D52-$D$52:$M$52,Inputs!$D$21)=Inputs!$D$6),$D$59:$M$59)</f>
        <v>0</v>
      </c>
      <c r="E60" s="28">
        <f>IF(MOD(E52,Inputs!$D$21)=Inputs!$D$6,Inputs!$D$24,Inputs!$D$6)+SUMPRODUCT(--(E52&gt;$D$52:$M$52),--(MOD(E52-$D$52:$M$52,Inputs!$D$21)=Inputs!$D$6),$D$59:$M$59)</f>
        <v>0</v>
      </c>
      <c r="F60" s="28">
        <f>IF(MOD(F52,Inputs!$D$21)=Inputs!$D$6,Inputs!$D$24,Inputs!$D$6)+SUMPRODUCT(--(F52&gt;$D$52:$M$52),--(MOD(F52-$D$52:$M$52,Inputs!$D$21)=Inputs!$D$6),$D$59:$M$59)</f>
        <v>0</v>
      </c>
      <c r="G60" s="28">
        <f>IF(MOD(G52,Inputs!$D$21)=Inputs!$D$6,Inputs!$D$24,Inputs!$D$6)+SUMPRODUCT(--(G52&gt;$D$52:$M$52),--(MOD(G52-$D$52:$M$52,Inputs!$D$21)=Inputs!$D$6),$D$59:$M$59)</f>
        <v>46</v>
      </c>
      <c r="H60" s="28">
        <f>IF(MOD(H52,Inputs!$D$21)=Inputs!$D$6,Inputs!$D$24,Inputs!$D$6)+SUMPRODUCT(--(H52&gt;$D$52:$M$52),--(MOD(H52-$D$52:$M$52,Inputs!$D$21)=Inputs!$D$6),$D$59:$M$59)</f>
        <v>69.2</v>
      </c>
      <c r="I60" s="28">
        <f>IF(MOD(I52,Inputs!$D$21)=Inputs!$D$6,Inputs!$D$24,Inputs!$D$6)+SUMPRODUCT(--(I52&gt;$D$52:$M$52),--(MOD(I52-$D$52:$M$52,Inputs!$D$21)=Inputs!$D$6),$D$59:$M$59)</f>
        <v>173.00000000000006</v>
      </c>
      <c r="J60" s="28">
        <f>IF(MOD(J52,Inputs!$D$21)=Inputs!$D$6,Inputs!$D$24,Inputs!$D$6)+SUMPRODUCT(--(J52&gt;$D$52:$M$52),--(MOD(J52-$D$52:$M$52,Inputs!$D$21)=Inputs!$D$6),$D$59:$M$59)</f>
        <v>190.29999999999995</v>
      </c>
      <c r="K60" s="28">
        <f>IF(MOD(K52,Inputs!$D$21)=Inputs!$D$6,Inputs!$D$24,Inputs!$D$6)+SUMPRODUCT(--(K52&gt;$D$52:$M$52),--(MOD(K52-$D$52:$M$52,Inputs!$D$21)=Inputs!$D$6),$D$59:$M$59)</f>
        <v>262.25</v>
      </c>
      <c r="L60" s="28">
        <f>IF(MOD(L52,Inputs!$D$21)=Inputs!$D$6,Inputs!$D$24,Inputs!$D$6)+SUMPRODUCT(--(L52&gt;$D$52:$M$52),--(MOD(L52-$D$52:$M$52,Inputs!$D$21)=Inputs!$D$6),$D$59:$M$59)</f>
        <v>285.45</v>
      </c>
      <c r="M60" s="28">
        <f>IF(MOD(M52,Inputs!$D$21)=Inputs!$D$6,Inputs!$D$24,Inputs!$D$6)+SUMPRODUCT(--(M52&gt;$D$52:$M$52),--(MOD(M52-$D$52:$M$52,Inputs!$D$21)=Inputs!$D$6),$D$59:$M$59)</f>
        <v>173.00000000000006</v>
      </c>
    </row>
    <row r="61" spans="1:13" ht="15" customHeight="1" x14ac:dyDescent="0.2">
      <c r="B61" s="10" t="s">
        <v>895</v>
      </c>
      <c r="C61" s="10" t="s">
        <v>896</v>
      </c>
      <c r="D61" s="28">
        <f t="shared" ref="D61:M61" si="12">D58*D55</f>
        <v>57.595071868583162</v>
      </c>
      <c r="E61" s="28">
        <f t="shared" si="12"/>
        <v>201.70000000000002</v>
      </c>
      <c r="F61" s="28">
        <f t="shared" si="12"/>
        <v>383.35</v>
      </c>
      <c r="G61" s="28">
        <f t="shared" si="12"/>
        <v>586.625</v>
      </c>
      <c r="H61" s="28">
        <f t="shared" si="12"/>
        <v>802.875</v>
      </c>
      <c r="I61" s="28">
        <f t="shared" si="12"/>
        <v>911</v>
      </c>
      <c r="J61" s="28">
        <f t="shared" si="12"/>
        <v>911</v>
      </c>
      <c r="K61" s="28">
        <f t="shared" si="12"/>
        <v>911</v>
      </c>
      <c r="L61" s="28">
        <f t="shared" si="12"/>
        <v>911</v>
      </c>
      <c r="M61" s="28">
        <f t="shared" si="12"/>
        <v>911</v>
      </c>
    </row>
    <row r="62" spans="1:13" ht="15" customHeight="1" x14ac:dyDescent="0.2">
      <c r="B62" s="10" t="s">
        <v>897</v>
      </c>
      <c r="C62" s="10" t="s">
        <v>110</v>
      </c>
      <c r="D62" s="16">
        <f>D61*($D$81/Inputs!$D$21+$D$82/Inputs!$D$22)</f>
        <v>833.27663866944408</v>
      </c>
      <c r="E62" s="16">
        <f>E61*($D$81/Inputs!$D$21+$D$82/Inputs!$D$22)</f>
        <v>2918.1645680228135</v>
      </c>
      <c r="F62" s="16">
        <f>F61*($D$81/Inputs!$D$21+$D$82/Inputs!$D$22)</f>
        <v>5546.2488207810884</v>
      </c>
      <c r="G62" s="16">
        <f>G61*($D$81/Inputs!$D$21+$D$82/Inputs!$D$22)</f>
        <v>8487.2002464867765</v>
      </c>
      <c r="H62" s="16">
        <f>H61*($D$81/Inputs!$D$21+$D$82/Inputs!$D$22)</f>
        <v>11615.871975960914</v>
      </c>
      <c r="I62" s="16">
        <f>I61*($D$81/Inputs!$D$21+$D$82/Inputs!$D$22)</f>
        <v>13180.207840697982</v>
      </c>
      <c r="J62" s="16">
        <f>J61*($D$81/Inputs!$D$21+$D$82/Inputs!$D$22)</f>
        <v>13180.207840697982</v>
      </c>
      <c r="K62" s="16">
        <f>K61*($D$81/Inputs!$D$21+$D$82/Inputs!$D$22)</f>
        <v>13180.207840697982</v>
      </c>
      <c r="L62" s="16">
        <f>L61*($D$81/Inputs!$D$21+$D$82/Inputs!$D$22)</f>
        <v>13180.207840697982</v>
      </c>
      <c r="M62" s="16">
        <f>M61*($D$81/Inputs!$D$21+$D$82/Inputs!$D$22)</f>
        <v>13180.207840697982</v>
      </c>
    </row>
    <row r="63" spans="1:13" ht="15" customHeight="1" x14ac:dyDescent="0.2">
      <c r="B63" s="10" t="s">
        <v>898</v>
      </c>
      <c r="C63" s="10" t="s">
        <v>110</v>
      </c>
      <c r="D63" s="16">
        <f t="shared" ref="D63:M63" si="13">D59*($D$81+$D$82)</f>
        <v>4149.5916320389742</v>
      </c>
      <c r="E63" s="16">
        <f t="shared" si="13"/>
        <v>10373.979080097439</v>
      </c>
      <c r="F63" s="16">
        <f t="shared" si="13"/>
        <v>11411.376988107177</v>
      </c>
      <c r="G63" s="16">
        <f t="shared" si="13"/>
        <v>12967.473850121794</v>
      </c>
      <c r="H63" s="16">
        <f t="shared" si="13"/>
        <v>12967.473850121794</v>
      </c>
      <c r="I63" s="16">
        <f t="shared" si="13"/>
        <v>0</v>
      </c>
      <c r="J63" s="16">
        <f t="shared" si="13"/>
        <v>0</v>
      </c>
      <c r="K63" s="16">
        <f t="shared" si="13"/>
        <v>0</v>
      </c>
      <c r="L63" s="16">
        <f t="shared" si="13"/>
        <v>0</v>
      </c>
      <c r="M63" s="16">
        <f t="shared" si="13"/>
        <v>0</v>
      </c>
    </row>
    <row r="64" spans="1:13" ht="15" customHeight="1" x14ac:dyDescent="0.2">
      <c r="B64" s="10" t="s">
        <v>899</v>
      </c>
      <c r="C64" s="10" t="s">
        <v>110</v>
      </c>
      <c r="D64" s="16">
        <f t="shared" ref="D64:M64" si="14">D60*$D$81</f>
        <v>0</v>
      </c>
      <c r="E64" s="16">
        <f t="shared" si="14"/>
        <v>0</v>
      </c>
      <c r="F64" s="16">
        <f t="shared" si="14"/>
        <v>0</v>
      </c>
      <c r="G64" s="16">
        <f t="shared" si="14"/>
        <v>2638.0048485671714</v>
      </c>
      <c r="H64" s="16">
        <f t="shared" si="14"/>
        <v>3968.4768591488755</v>
      </c>
      <c r="I64" s="16">
        <f t="shared" si="14"/>
        <v>9921.1921478721906</v>
      </c>
      <c r="J64" s="16">
        <f t="shared" si="14"/>
        <v>10913.311362659404</v>
      </c>
      <c r="K64" s="16">
        <f t="shared" si="14"/>
        <v>15039.495033407406</v>
      </c>
      <c r="L64" s="16">
        <f t="shared" si="14"/>
        <v>16369.967043989109</v>
      </c>
      <c r="M64" s="16">
        <f t="shared" si="14"/>
        <v>9921.1921478721906</v>
      </c>
    </row>
    <row r="65" spans="2:13" ht="15" customHeight="1" x14ac:dyDescent="0.2">
      <c r="B65" s="10" t="s">
        <v>900</v>
      </c>
      <c r="C65" s="10" t="s">
        <v>199</v>
      </c>
      <c r="D65" s="28">
        <f>D59*Inputs!$D$23</f>
        <v>1.7300000000000002</v>
      </c>
      <c r="E65" s="28">
        <f>E59*Inputs!$D$23</f>
        <v>4.325000000000002</v>
      </c>
      <c r="F65" s="28">
        <f>F59*Inputs!$D$23</f>
        <v>4.7574999999999994</v>
      </c>
      <c r="G65" s="28">
        <f>G59*Inputs!$D$23</f>
        <v>5.40625</v>
      </c>
      <c r="H65" s="28">
        <f>H59*Inputs!$D$23</f>
        <v>5.40625</v>
      </c>
      <c r="I65" s="28">
        <f>I59*Inputs!$D$23</f>
        <v>0</v>
      </c>
      <c r="J65" s="28">
        <f>J59*Inputs!$D$23</f>
        <v>0</v>
      </c>
      <c r="K65" s="28">
        <f>K59*Inputs!$D$23</f>
        <v>0</v>
      </c>
      <c r="L65" s="28">
        <f>L59*Inputs!$D$23</f>
        <v>0</v>
      </c>
      <c r="M65" s="28">
        <f>M59*Inputs!$D$23</f>
        <v>0</v>
      </c>
    </row>
    <row r="66" spans="2:13" ht="15" customHeight="1" x14ac:dyDescent="0.2">
      <c r="B66" s="3" t="s">
        <v>901</v>
      </c>
      <c r="C66" s="10" t="s">
        <v>896</v>
      </c>
      <c r="D66" s="28">
        <f>(D61*$D$79*(Inputs!$D$7-Inputs!$D$19)-D65)/(Inputs!$D$7+$D$80)^D54</f>
        <v>20.981187074746607</v>
      </c>
      <c r="E66" s="28">
        <f>(E61*$D$79*(Inputs!$D$7-Inputs!$D$19)-E65)/(Inputs!$D$7+$D$80)^E54</f>
        <v>68.255963262205867</v>
      </c>
      <c r="F66" s="28">
        <f>(F61*$D$79*(Inputs!$D$7-Inputs!$D$19)-F65)/(Inputs!$D$7+$D$80)^F54</f>
        <v>120.61414888935703</v>
      </c>
      <c r="G66" s="28">
        <f>(G61*$D$79*(Inputs!$D$7-Inputs!$D$19)-G65)/(Inputs!$D$7+$D$80)^G54</f>
        <v>169.11787330578514</v>
      </c>
      <c r="H66" s="28">
        <f>(H61*$D$79*(Inputs!$D$7-Inputs!$D$19)-H65)/(Inputs!$D$7+$D$80)^H54</f>
        <v>211.7039354257503</v>
      </c>
      <c r="I66" s="28">
        <f>(I61*$D$79*(Inputs!$D$7-Inputs!$D$19)-I65)/(Inputs!$D$7+$D$80)^I54</f>
        <v>221.8916197826434</v>
      </c>
      <c r="J66" s="28">
        <f>(J61*$D$79*(Inputs!$D$7-Inputs!$D$19)-J65)/(Inputs!$D$7+$D$80)^J54</f>
        <v>201.73281421346593</v>
      </c>
      <c r="K66" s="28">
        <f>(K61*$D$79*(Inputs!$D$7-Inputs!$D$19)-K65)/(Inputs!$D$7+$D$80)^K54</f>
        <v>183.40543176145695</v>
      </c>
      <c r="L66" s="28">
        <f>(L61*$D$79*(Inputs!$D$7-Inputs!$D$19)-L65)/(Inputs!$D$7+$D$80)^L54</f>
        <v>166.74308803332551</v>
      </c>
      <c r="M66" s="28">
        <f>(M61*$D$79*(Inputs!$D$7-Inputs!$D$19)-M65)/(Inputs!$D$7+$D$80)^M54</f>
        <v>151.55496194429571</v>
      </c>
    </row>
    <row r="67" spans="2:13" ht="15" customHeight="1" x14ac:dyDescent="0.2">
      <c r="B67" s="10" t="s">
        <v>902</v>
      </c>
      <c r="C67" s="10" t="s">
        <v>110</v>
      </c>
      <c r="D67" s="16">
        <f>(D62*Inputs!$D$19-D63-D64)/(Inputs!$D$7+$D$80)^D54</f>
        <v>-3642.8616531802254</v>
      </c>
      <c r="E67" s="16">
        <f>(E62*Inputs!$D$19-E63-E64)/(Inputs!$D$7+$D$80)^E54</f>
        <v>-8064.925486193536</v>
      </c>
      <c r="F67" s="16">
        <f>(F62*Inputs!$D$19-F63-F64)/(Inputs!$D$7+$D$80)^F54</f>
        <v>-7524.4189502174931</v>
      </c>
      <c r="G67" s="16">
        <f>(G62*Inputs!$D$19-G63-G64)/(Inputs!$D$7+$D$80)^G54</f>
        <v>-9165.0699711658544</v>
      </c>
      <c r="H67" s="16">
        <f>(H62*Inputs!$D$19-H63-H64)/(Inputs!$D$7+$D$80)^H54</f>
        <v>-8582.4561303350856</v>
      </c>
      <c r="I67" s="16">
        <f>(I62*Inputs!$D$19-I63-I64)/(Inputs!$D$7+$D$80)^I54</f>
        <v>-3460.4989174974958</v>
      </c>
      <c r="J67" s="16">
        <f>(J62*Inputs!$D$19-J63-J64)/(Inputs!$D$7+$D$80)^J54</f>
        <v>-3669.1989119501291</v>
      </c>
      <c r="K67" s="16">
        <f>(K62*Inputs!$D$19-K63-K64)/(Inputs!$D$7+$D$80)^K54</f>
        <v>-5313.7017593374285</v>
      </c>
      <c r="L67" s="16">
        <f>(L62*Inputs!$D$19-L63-L64)/(Inputs!$D$7+$D$80)^L54</f>
        <v>-5410.7633919680211</v>
      </c>
      <c r="M67" s="16">
        <f>(M62*Inputs!$D$19-M63-M64)/(Inputs!$D$7+$D$80)^M54</f>
        <v>-2363.567322927051</v>
      </c>
    </row>
    <row r="68" spans="2:13" ht="15" customHeight="1" x14ac:dyDescent="0.2">
      <c r="B68" s="10" t="s">
        <v>903</v>
      </c>
      <c r="C68" s="10" t="s">
        <v>110</v>
      </c>
      <c r="D68" s="16">
        <f t="shared" ref="D68:M68" si="15">D61*$D$78</f>
        <v>1837.5559314086861</v>
      </c>
      <c r="E68" s="16">
        <f t="shared" si="15"/>
        <v>6435.1865418420502</v>
      </c>
      <c r="F68" s="16">
        <f t="shared" si="15"/>
        <v>12230.682998587754</v>
      </c>
      <c r="G68" s="16">
        <f t="shared" si="15"/>
        <v>18716.119509707944</v>
      </c>
      <c r="H68" s="16">
        <f t="shared" si="15"/>
        <v>25615.520053452827</v>
      </c>
      <c r="I68" s="16">
        <f t="shared" si="15"/>
        <v>29065.22032532527</v>
      </c>
      <c r="J68" s="16">
        <f t="shared" si="15"/>
        <v>29065.22032532527</v>
      </c>
      <c r="K68" s="16">
        <f t="shared" si="15"/>
        <v>29065.22032532527</v>
      </c>
      <c r="L68" s="16">
        <f t="shared" si="15"/>
        <v>29065.22032532527</v>
      </c>
      <c r="M68" s="16">
        <f t="shared" si="15"/>
        <v>29065.22032532527</v>
      </c>
    </row>
    <row r="69" spans="2:13" ht="15" customHeight="1" x14ac:dyDescent="0.2">
      <c r="B69" s="10" t="s">
        <v>904</v>
      </c>
      <c r="C69" s="10" t="s">
        <v>110</v>
      </c>
      <c r="D69" s="16">
        <f t="shared" ref="D69:M69" si="16">D68*$D$79</f>
        <v>1102.5335588452117</v>
      </c>
      <c r="E69" s="16">
        <f t="shared" si="16"/>
        <v>3861.1119251052301</v>
      </c>
      <c r="F69" s="16">
        <f t="shared" si="16"/>
        <v>7338.4097991526523</v>
      </c>
      <c r="G69" s="16">
        <f t="shared" si="16"/>
        <v>11229.671705824765</v>
      </c>
      <c r="H69" s="16">
        <f t="shared" si="16"/>
        <v>15369.312032071695</v>
      </c>
      <c r="I69" s="16">
        <f t="shared" si="16"/>
        <v>17439.132195195161</v>
      </c>
      <c r="J69" s="16">
        <f t="shared" si="16"/>
        <v>17439.132195195161</v>
      </c>
      <c r="K69" s="16">
        <f t="shared" si="16"/>
        <v>17439.132195195161</v>
      </c>
      <c r="L69" s="16">
        <f t="shared" si="16"/>
        <v>17439.132195195161</v>
      </c>
      <c r="M69" s="16">
        <f t="shared" si="16"/>
        <v>17439.132195195161</v>
      </c>
    </row>
    <row r="70" spans="2:13" ht="15" customHeight="1" x14ac:dyDescent="0.2">
      <c r="B70" s="10" t="s">
        <v>905</v>
      </c>
      <c r="C70" s="10" t="s">
        <v>110</v>
      </c>
      <c r="D70" s="16">
        <f t="shared" ref="D70:M70" si="17">D69-D62</f>
        <v>269.25692017576762</v>
      </c>
      <c r="E70" s="16">
        <f t="shared" si="17"/>
        <v>942.9473570824166</v>
      </c>
      <c r="F70" s="16">
        <f t="shared" si="17"/>
        <v>1792.1609783715639</v>
      </c>
      <c r="G70" s="16">
        <f t="shared" si="17"/>
        <v>2742.4714593379886</v>
      </c>
      <c r="H70" s="16">
        <f t="shared" si="17"/>
        <v>3753.4400561107814</v>
      </c>
      <c r="I70" s="16">
        <f t="shared" si="17"/>
        <v>4258.9243544971796</v>
      </c>
      <c r="J70" s="16">
        <f t="shared" si="17"/>
        <v>4258.9243544971796</v>
      </c>
      <c r="K70" s="16">
        <f t="shared" si="17"/>
        <v>4258.9243544971796</v>
      </c>
      <c r="L70" s="16">
        <f t="shared" si="17"/>
        <v>4258.9243544971796</v>
      </c>
      <c r="M70" s="16">
        <f t="shared" si="17"/>
        <v>4258.9243544971796</v>
      </c>
    </row>
    <row r="71" spans="2:13" ht="15" customHeight="1" x14ac:dyDescent="0.2">
      <c r="B71" s="10" t="s">
        <v>906</v>
      </c>
      <c r="C71" s="10" t="s">
        <v>110</v>
      </c>
      <c r="D71" s="16">
        <f>MAX(D70,Inputs!$D$6)*Inputs!$D$19</f>
        <v>80.77707605273028</v>
      </c>
      <c r="E71" s="16">
        <f>MAX(E70,Inputs!$D$6)*Inputs!$D$19</f>
        <v>282.88420712472498</v>
      </c>
      <c r="F71" s="16">
        <f>MAX(F70,Inputs!$D$6)*Inputs!$D$19</f>
        <v>537.64829351146921</v>
      </c>
      <c r="G71" s="16">
        <f>MAX(G70,Inputs!$D$6)*Inputs!$D$19</f>
        <v>822.7414378013965</v>
      </c>
      <c r="H71" s="16">
        <f>MAX(H70,Inputs!$D$6)*Inputs!$D$19</f>
        <v>1126.0320168332344</v>
      </c>
      <c r="I71" s="16">
        <f>MAX(I70,Inputs!$D$6)*Inputs!$D$19</f>
        <v>1277.6773063491539</v>
      </c>
      <c r="J71" s="16">
        <f>MAX(J70,Inputs!$D$6)*Inputs!$D$19</f>
        <v>1277.6773063491539</v>
      </c>
      <c r="K71" s="16">
        <f>MAX(K70,Inputs!$D$6)*Inputs!$D$19</f>
        <v>1277.6773063491539</v>
      </c>
      <c r="L71" s="16">
        <f>MAX(L70,Inputs!$D$6)*Inputs!$D$19</f>
        <v>1277.6773063491539</v>
      </c>
      <c r="M71" s="16">
        <f>MAX(M70,Inputs!$D$6)*Inputs!$D$19</f>
        <v>1277.6773063491539</v>
      </c>
    </row>
    <row r="72" spans="2:13" ht="15" customHeight="1" x14ac:dyDescent="0.2">
      <c r="B72" s="10" t="s">
        <v>907</v>
      </c>
      <c r="C72" s="10" t="s">
        <v>110</v>
      </c>
      <c r="D72" s="16">
        <f t="shared" ref="D72:M72" si="18">D65*$D$78</f>
        <v>55.195204349959084</v>
      </c>
      <c r="E72" s="16">
        <f t="shared" si="18"/>
        <v>137.98801087489775</v>
      </c>
      <c r="F72" s="16">
        <f t="shared" si="18"/>
        <v>151.78681196238745</v>
      </c>
      <c r="G72" s="16">
        <f t="shared" si="18"/>
        <v>172.48501359362211</v>
      </c>
      <c r="H72" s="16">
        <f t="shared" si="18"/>
        <v>172.48501359362211</v>
      </c>
      <c r="I72" s="16">
        <f t="shared" si="18"/>
        <v>0</v>
      </c>
      <c r="J72" s="16">
        <f t="shared" si="18"/>
        <v>0</v>
      </c>
      <c r="K72" s="16">
        <f t="shared" si="18"/>
        <v>0</v>
      </c>
      <c r="L72" s="16">
        <f t="shared" si="18"/>
        <v>0</v>
      </c>
      <c r="M72" s="16">
        <f t="shared" si="18"/>
        <v>0</v>
      </c>
    </row>
    <row r="73" spans="2:13" ht="15" customHeight="1" x14ac:dyDescent="0.2">
      <c r="B73" s="10" t="s">
        <v>908</v>
      </c>
      <c r="C73" s="10" t="s">
        <v>110</v>
      </c>
      <c r="D73" s="16">
        <f t="shared" ref="D73:M73" si="19">D69-D71-D63-D64-D72</f>
        <v>-3183.0303535964517</v>
      </c>
      <c r="E73" s="16">
        <f t="shared" si="19"/>
        <v>-6933.7393729918313</v>
      </c>
      <c r="F73" s="16">
        <f t="shared" si="19"/>
        <v>-4762.4022944283806</v>
      </c>
      <c r="G73" s="16">
        <f t="shared" si="19"/>
        <v>-5371.0334442592193</v>
      </c>
      <c r="H73" s="16">
        <f t="shared" si="19"/>
        <v>-2865.1557076258314</v>
      </c>
      <c r="I73" s="16">
        <f t="shared" si="19"/>
        <v>6240.2627409738161</v>
      </c>
      <c r="J73" s="16">
        <f t="shared" si="19"/>
        <v>5248.1435261866027</v>
      </c>
      <c r="K73" s="16">
        <f t="shared" si="19"/>
        <v>1121.9598554386012</v>
      </c>
      <c r="L73" s="16">
        <f t="shared" si="19"/>
        <v>-208.51215514310206</v>
      </c>
      <c r="M73" s="16">
        <f t="shared" si="19"/>
        <v>6240.2627409738161</v>
      </c>
    </row>
    <row r="74" spans="2:13" ht="15" customHeight="1" x14ac:dyDescent="0.2">
      <c r="B74" s="10" t="s">
        <v>909</v>
      </c>
      <c r="C74" s="10" t="s">
        <v>110</v>
      </c>
      <c r="D74" s="16">
        <f>D73/(Inputs!$D$7+$D$80)^D54</f>
        <v>-2973.462284338977</v>
      </c>
      <c r="E74" s="16">
        <f>E73/(Inputs!$D$7+$D$80)^E54</f>
        <v>-5887.2365611295172</v>
      </c>
      <c r="F74" s="16">
        <f>F73/(Inputs!$D$7+$D$80)^F54</f>
        <v>-3676.2556002496021</v>
      </c>
      <c r="G74" s="16">
        <f>G73/(Inputs!$D$7+$D$80)^G54</f>
        <v>-3769.407788308456</v>
      </c>
      <c r="H74" s="16">
        <f>H73/(Inputs!$D$7+$D$80)^H54</f>
        <v>-1828.0966057600415</v>
      </c>
      <c r="I74" s="16">
        <f>I73/(Inputs!$D$7+$D$80)^I54</f>
        <v>3618.8960521247141</v>
      </c>
      <c r="J74" s="16">
        <f>J73/(Inputs!$D$7+$D$80)^J54</f>
        <v>2767.0345589195699</v>
      </c>
      <c r="K74" s="16">
        <f>K73/(Inputs!$D$7+$D$80)^K54</f>
        <v>537.80129555626593</v>
      </c>
      <c r="L74" s="16">
        <f>L73/(Inputs!$D$7+$D$80)^L54</f>
        <v>-90.868121480959417</v>
      </c>
      <c r="M74" s="16">
        <f>M73/(Inputs!$D$7+$D$80)^M54</f>
        <v>2471.7546971687134</v>
      </c>
    </row>
    <row r="75" spans="2:13" ht="15" customHeight="1" x14ac:dyDescent="0.2">
      <c r="B75" s="3" t="s">
        <v>910</v>
      </c>
      <c r="C75" s="10" t="s">
        <v>896</v>
      </c>
      <c r="D75" s="28">
        <f>(D61*$D$79-D65)/(Inputs!$D$7+$D$80)^D54</f>
        <v>30.665737923868878</v>
      </c>
      <c r="E75" s="28">
        <f>(E61*$D$79-E65)/(Inputs!$D$7+$D$80)^E54</f>
        <v>99.082332568922538</v>
      </c>
      <c r="F75" s="28">
        <f>(F61*$D$79-F65)/(Inputs!$D$7+$D$80)^F54</f>
        <v>173.87984328077783</v>
      </c>
      <c r="G75" s="28">
        <f>(G61*$D$79-G65)/(Inputs!$D$7+$D$80)^G54</f>
        <v>243.22301452630424</v>
      </c>
      <c r="H75" s="28">
        <f>(H61*$D$79-H65)/(Inputs!$D$7+$D$80)^H54</f>
        <v>303.91251959440808</v>
      </c>
      <c r="I75" s="28">
        <f>(I61*$D$79-I65)/(Inputs!$D$7+$D$80)^I54</f>
        <v>316.98802826091918</v>
      </c>
      <c r="J75" s="28">
        <f>(J61*$D$79-J65)/(Inputs!$D$7+$D$80)^J54</f>
        <v>288.18973459066564</v>
      </c>
      <c r="K75" s="28">
        <f>(K61*$D$79-K65)/(Inputs!$D$7+$D$80)^K54</f>
        <v>262.00775965922423</v>
      </c>
      <c r="L75" s="28">
        <f>(L61*$D$79-L65)/(Inputs!$D$7+$D$80)^L54</f>
        <v>238.2044114761793</v>
      </c>
      <c r="M75" s="28">
        <f>(M61*$D$79-M65)/(Inputs!$D$7+$D$80)^M54</f>
        <v>216.50708849185102</v>
      </c>
    </row>
    <row r="76" spans="2:13" ht="15" customHeight="1" x14ac:dyDescent="0.2">
      <c r="B76" s="10" t="s">
        <v>911</v>
      </c>
      <c r="C76" s="10" t="s">
        <v>110</v>
      </c>
      <c r="D76" s="16">
        <f>(-D63-D64)/(Inputs!$D$7+$D$80)^D54</f>
        <v>-3876.3859726738942</v>
      </c>
      <c r="E76" s="16">
        <f>(-E63-E64)/(Inputs!$D$7+$D$80)^E54</f>
        <v>-8808.24410023788</v>
      </c>
      <c r="F76" s="16">
        <f>(-F63-F64)/(Inputs!$D$7+$D$80)^F54</f>
        <v>-8808.8187359072599</v>
      </c>
      <c r="G76" s="16">
        <f>(-G63-G64)/(Inputs!$D$7+$D$80)^G54</f>
        <v>-10951.972941072034</v>
      </c>
      <c r="H76" s="16">
        <f>(-H63-H64)/(Inputs!$D$7+$D$80)^H54</f>
        <v>-10805.888812441568</v>
      </c>
      <c r="I76" s="16">
        <f>(-I63-I64)/(Inputs!$D$7+$D$80)^I54</f>
        <v>-5753.5659292933024</v>
      </c>
      <c r="J76" s="16">
        <f>(-J63-J64)/(Inputs!$D$7+$D$80)^J54</f>
        <v>-5753.9412826749158</v>
      </c>
      <c r="K76" s="16">
        <f>(-K63-K64)/(Inputs!$D$7+$D$80)^K54</f>
        <v>-7209.0457374846392</v>
      </c>
      <c r="L76" s="16">
        <f>(-L63-L64)/(Inputs!$D$7+$D$80)^L54</f>
        <v>-7133.915780457146</v>
      </c>
      <c r="M76" s="16">
        <f>(-M63-M64)/(Inputs!$D$7+$D$80)^M54</f>
        <v>-3929.7629460373614</v>
      </c>
    </row>
    <row r="77" spans="2:13" ht="15" customHeight="1" x14ac:dyDescent="0.2">
      <c r="B77" s="10" t="s">
        <v>912</v>
      </c>
      <c r="C77" s="10" t="s">
        <v>110</v>
      </c>
      <c r="D77" s="16">
        <f>Inputs!D6</f>
        <v>0</v>
      </c>
    </row>
    <row r="78" spans="2:13" ht="15" customHeight="1" x14ac:dyDescent="0.2">
      <c r="B78" s="3" t="s">
        <v>913</v>
      </c>
      <c r="C78" s="10" t="s">
        <v>914</v>
      </c>
      <c r="D78" s="28">
        <f>IF(J85&gt;=J81,J85,(D77-J84)/J83)</f>
        <v>31.904742398820275</v>
      </c>
      <c r="G78" s="99" t="s">
        <v>915</v>
      </c>
      <c r="H78" s="91"/>
      <c r="I78" s="91"/>
      <c r="J78" s="28">
        <f>D78*Inputs!$D$15</f>
        <v>22.266319720136668</v>
      </c>
      <c r="K78" s="99" t="s">
        <v>916</v>
      </c>
      <c r="L78" s="91"/>
      <c r="M78" s="91"/>
    </row>
    <row r="79" spans="2:13" ht="15" customHeight="1" x14ac:dyDescent="0.2">
      <c r="B79" s="10" t="s">
        <v>917</v>
      </c>
      <c r="C79" s="10" t="s">
        <v>104</v>
      </c>
      <c r="D79" s="30">
        <f>Inputs!$D$81</f>
        <v>0.6</v>
      </c>
      <c r="G79" s="99" t="s">
        <v>918</v>
      </c>
      <c r="H79" s="91"/>
      <c r="I79" s="91"/>
      <c r="J79" s="28">
        <f>IF(-D90/D89&gt;=J81,-D90/D89,-J84/J83)</f>
        <v>31.904742398820275</v>
      </c>
      <c r="K79" s="99" t="s">
        <v>919</v>
      </c>
      <c r="L79" s="91"/>
      <c r="M79" s="91"/>
    </row>
    <row r="80" spans="2:13" ht="15" customHeight="1" x14ac:dyDescent="0.2">
      <c r="B80" s="10" t="s">
        <v>920</v>
      </c>
      <c r="C80" s="10" t="s">
        <v>104</v>
      </c>
      <c r="D80" s="30">
        <f>Inputs!$D$82</f>
        <v>0.1</v>
      </c>
      <c r="G80" s="99" t="s">
        <v>918</v>
      </c>
      <c r="H80" s="91"/>
      <c r="I80" s="91"/>
      <c r="J80" s="28">
        <f>J79*Inputs!$D$15</f>
        <v>22.266319720136668</v>
      </c>
      <c r="K80" s="99" t="s">
        <v>916</v>
      </c>
      <c r="L80" s="91"/>
      <c r="M80" s="91"/>
    </row>
    <row r="81" spans="2:13" ht="15" customHeight="1" x14ac:dyDescent="0.2">
      <c r="B81" s="3" t="s">
        <v>921</v>
      </c>
      <c r="C81" s="10" t="s">
        <v>848</v>
      </c>
      <c r="D81" s="28">
        <f>Capital!$D$13</f>
        <v>57.347931490590682</v>
      </c>
      <c r="G81" s="99" t="s">
        <v>922</v>
      </c>
      <c r="H81" s="91"/>
      <c r="I81" s="91"/>
      <c r="J81" s="28">
        <f>($D$81/Inputs!$D$21+$D$82/Inputs!$D$22)/$D$79</f>
        <v>24.113076913095469</v>
      </c>
      <c r="K81" s="99" t="s">
        <v>919</v>
      </c>
      <c r="L81" s="91"/>
      <c r="M81" s="91"/>
    </row>
    <row r="82" spans="2:13" ht="15" customHeight="1" x14ac:dyDescent="0.2">
      <c r="B82" s="3" t="s">
        <v>923</v>
      </c>
      <c r="C82" s="10" t="s">
        <v>848</v>
      </c>
      <c r="D82" s="28">
        <f>Capital!$D$14</f>
        <v>2.6172655041921802</v>
      </c>
    </row>
    <row r="83" spans="2:13" ht="15" customHeight="1" x14ac:dyDescent="0.2">
      <c r="B83" s="10" t="s">
        <v>924</v>
      </c>
      <c r="C83" s="10" t="s">
        <v>896</v>
      </c>
      <c r="D83" s="28">
        <f>(M56*(Inputs!$D$7+Inputs!$D$20)*$D$79*(Inputs!$D$7-Inputs!$D$19)-M56*Inputs!$D$20*Inputs!$D$23)/($D$80-Inputs!$D$20)/(Inputs!$D$7+$D$80)^M54</f>
        <v>2068.2441036763203</v>
      </c>
      <c r="G83" s="92" t="s">
        <v>910</v>
      </c>
      <c r="H83" s="91"/>
      <c r="I83" s="91"/>
      <c r="J83" s="28">
        <f>SUM(D75:M75)+(M56*(Inputs!$D$7+Inputs!$D$20)*$D$79-M56*Inputs!$D$20*Inputs!$D$23)/($D$80-Inputs!$D$20)/(Inputs!$D$7+$D$80)^M54</f>
        <v>5128.5836368660293</v>
      </c>
      <c r="K83" s="99" t="s">
        <v>896</v>
      </c>
      <c r="L83" s="91"/>
      <c r="M83" s="91"/>
    </row>
    <row r="84" spans="2:13" ht="15" customHeight="1" x14ac:dyDescent="0.2">
      <c r="B84" s="10" t="s">
        <v>925</v>
      </c>
      <c r="C84" s="10" t="s">
        <v>110</v>
      </c>
      <c r="D84" s="16">
        <f>(D87*Inputs!$D$19-D87-D88)/($D$80-Inputs!$D$20)/(Inputs!$D$7+$D$80)^M54</f>
        <v>-57156.954988173631</v>
      </c>
      <c r="G84" s="92" t="s">
        <v>926</v>
      </c>
      <c r="H84" s="91"/>
      <c r="I84" s="91"/>
      <c r="J84" s="16">
        <f>SUM(D76:M76)-(D87+D88)/($D$80-Inputs!$D$20)/(Inputs!$D$7+$D$80)^M54</f>
        <v>-151593.17074229455</v>
      </c>
      <c r="K84" s="99" t="s">
        <v>110</v>
      </c>
      <c r="L84" s="91"/>
      <c r="M84" s="91"/>
    </row>
    <row r="85" spans="2:13" ht="15" customHeight="1" x14ac:dyDescent="0.2">
      <c r="B85" s="10" t="s">
        <v>927</v>
      </c>
      <c r="C85" s="10" t="s">
        <v>928</v>
      </c>
      <c r="D85" s="16">
        <f>(M56*(Inputs!$D$7+Inputs!$D$20)*$D$78*$D$79-D87)-MAX((M56*(Inputs!$D$7+Inputs!$D$20)*$D$78*$D$79-D87),Inputs!$D$6)*Inputs!$D$19-D88-M56*Inputs!$D$20*$D$78*Inputs!$D$23</f>
        <v>1671.9051000922163</v>
      </c>
      <c r="G85" s="99" t="s">
        <v>929</v>
      </c>
      <c r="H85" s="91"/>
      <c r="I85" s="91"/>
      <c r="J85" s="28">
        <f>(D77-D90)/D89</f>
        <v>31.904742398820275</v>
      </c>
      <c r="K85" s="99" t="s">
        <v>919</v>
      </c>
      <c r="L85" s="91"/>
      <c r="M85" s="91"/>
    </row>
    <row r="86" spans="2:13" ht="15" customHeight="1" x14ac:dyDescent="0.2">
      <c r="B86" s="10" t="s">
        <v>930</v>
      </c>
      <c r="C86" s="10" t="s">
        <v>110</v>
      </c>
      <c r="D86" s="16">
        <f>D85/($D$80-Inputs!$D$20)</f>
        <v>22292.068001229549</v>
      </c>
      <c r="G86" s="99" t="s">
        <v>931</v>
      </c>
      <c r="H86" s="91"/>
      <c r="I86" s="91"/>
      <c r="J86" s="16">
        <f>MIN(D70:M70,(M56*(Inputs!$D$7+Inputs!$D$20)*$D$78*$D$79-D87))</f>
        <v>269.25692017576762</v>
      </c>
      <c r="K86" s="99" t="s">
        <v>110</v>
      </c>
      <c r="L86" s="91"/>
      <c r="M86" s="91"/>
    </row>
    <row r="87" spans="2:13" ht="15" customHeight="1" x14ac:dyDescent="0.2">
      <c r="B87" s="10" t="s">
        <v>932</v>
      </c>
      <c r="C87" s="10" t="s">
        <v>928</v>
      </c>
      <c r="D87" s="16">
        <f>M56*(Inputs!$D$7+Inputs!$D$20)*($D$81/Inputs!$D$21+$D$82/Inputs!$D$22)</f>
        <v>13509.71303671543</v>
      </c>
      <c r="G87" s="99" t="s">
        <v>933</v>
      </c>
      <c r="H87" s="91"/>
      <c r="I87" s="91"/>
      <c r="J87" s="31" t="str">
        <f>IF(J86&lt;Inputs!$D$6,"breached","satisfied")</f>
        <v>satisfied</v>
      </c>
      <c r="K87" s="99" t="s">
        <v>934</v>
      </c>
      <c r="L87" s="91"/>
      <c r="M87" s="91"/>
    </row>
    <row r="88" spans="2:13" ht="15" customHeight="1" x14ac:dyDescent="0.2">
      <c r="B88" s="10" t="s">
        <v>935</v>
      </c>
      <c r="C88" s="10" t="s">
        <v>928</v>
      </c>
      <c r="D88" s="16">
        <f>M56*Inputs!$D$20*($D$81+$D$82)</f>
        <v>1365.7073615561799</v>
      </c>
    </row>
    <row r="89" spans="2:13" ht="15" customHeight="1" x14ac:dyDescent="0.2">
      <c r="B89" s="10" t="s">
        <v>936</v>
      </c>
      <c r="C89" s="10" t="s">
        <v>896</v>
      </c>
      <c r="D89" s="28">
        <f>SUM(D66:M66)+D83</f>
        <v>3584.2451273693523</v>
      </c>
      <c r="G89" s="99" t="s">
        <v>937</v>
      </c>
      <c r="H89" s="91"/>
      <c r="I89" s="91"/>
      <c r="J89" s="16">
        <f>D91-D77</f>
        <v>0</v>
      </c>
      <c r="K89" s="99" t="s">
        <v>110</v>
      </c>
      <c r="L89" s="91"/>
      <c r="M89" s="91"/>
    </row>
    <row r="90" spans="2:13" ht="15" customHeight="1" x14ac:dyDescent="0.2">
      <c r="B90" s="10" t="s">
        <v>938</v>
      </c>
      <c r="C90" s="10" t="s">
        <v>110</v>
      </c>
      <c r="D90" s="16">
        <f>SUM(D67:M67)+D84</f>
        <v>-114354.41748294595</v>
      </c>
    </row>
    <row r="91" spans="2:13" ht="15" customHeight="1" x14ac:dyDescent="0.2">
      <c r="B91" s="10" t="s">
        <v>939</v>
      </c>
      <c r="C91" s="10" t="s">
        <v>110</v>
      </c>
      <c r="D91" s="16">
        <f>SUM(D74:M74)+D86/(Inputs!$D$7+$D$80)^M54</f>
        <v>0</v>
      </c>
    </row>
    <row r="92" spans="2:13" ht="15" customHeight="1" x14ac:dyDescent="0.2">
      <c r="B92" s="10" t="s">
        <v>940</v>
      </c>
      <c r="C92" s="10" t="s">
        <v>104</v>
      </c>
      <c r="D92" s="30">
        <f>IF(ABS(D77)&gt;Inputs!$D$6,D91/D77-Inputs!$D$7,Inputs!$D$6)</f>
        <v>0</v>
      </c>
    </row>
    <row r="93" spans="2:13" ht="15" customHeight="1" x14ac:dyDescent="0.2">
      <c r="B93" s="10" t="s">
        <v>941</v>
      </c>
      <c r="C93" s="10" t="s">
        <v>104</v>
      </c>
      <c r="D93" s="30">
        <f>IF(ABS(D91)&gt;Inputs!$D$119,D86/(Inputs!$D$7+$D$80)^M54/D91,Inputs!$D$6)</f>
        <v>0</v>
      </c>
    </row>
    <row r="94" spans="2:13" ht="15" customHeight="1" x14ac:dyDescent="0.2">
      <c r="B94" s="10" t="s">
        <v>942</v>
      </c>
      <c r="C94" s="10" t="s">
        <v>943</v>
      </c>
      <c r="D94" s="26">
        <f>$D$78*Inputs!$D$8/Prices!$P$6/(Inputs!$D$26/Inputs!$D$25)/Inputs!$D$11/Inputs!$D$56</f>
        <v>5.8019743165930864</v>
      </c>
    </row>
    <row r="98" spans="1:13" ht="15" customHeight="1" x14ac:dyDescent="0.2">
      <c r="A98" s="104" t="s">
        <v>2375</v>
      </c>
      <c r="B98" s="10" t="s">
        <v>886</v>
      </c>
      <c r="C98" s="10" t="s">
        <v>107</v>
      </c>
      <c r="D98" s="28">
        <f>Inputs!$D$60</f>
        <v>1</v>
      </c>
      <c r="E98" s="28">
        <f>Inputs!$D$62</f>
        <v>2</v>
      </c>
      <c r="F98" s="28">
        <f>Inputs!$D$64</f>
        <v>3</v>
      </c>
      <c r="G98" s="28">
        <f>Inputs!$D$66</f>
        <v>4</v>
      </c>
      <c r="H98" s="28">
        <f>Inputs!$D$68</f>
        <v>5</v>
      </c>
      <c r="I98" s="28">
        <f>Inputs!$D$70</f>
        <v>6</v>
      </c>
      <c r="J98" s="28">
        <f>Inputs!$D$72</f>
        <v>7</v>
      </c>
      <c r="K98" s="28">
        <f>Inputs!$D$74</f>
        <v>8</v>
      </c>
      <c r="L98" s="28">
        <f>Inputs!$D$76</f>
        <v>9</v>
      </c>
      <c r="M98" s="28">
        <f>Inputs!$D$78</f>
        <v>10</v>
      </c>
    </row>
    <row r="99" spans="1:13" ht="15" customHeight="1" x14ac:dyDescent="0.2">
      <c r="A99" s="91"/>
      <c r="B99" s="10" t="s">
        <v>887</v>
      </c>
      <c r="C99" s="10" t="s">
        <v>161</v>
      </c>
      <c r="D99" s="29">
        <f>Inputs!$D$61</f>
        <v>46568</v>
      </c>
      <c r="E99" s="29">
        <f>Inputs!$D$63</f>
        <v>46934</v>
      </c>
      <c r="F99" s="29">
        <f>Inputs!$D$65</f>
        <v>47299</v>
      </c>
      <c r="G99" s="29">
        <f>Inputs!$D$67</f>
        <v>47664</v>
      </c>
      <c r="H99" s="29">
        <f>Inputs!$D$69</f>
        <v>48029</v>
      </c>
      <c r="I99" s="29">
        <f>Inputs!$D$71</f>
        <v>48395</v>
      </c>
      <c r="J99" s="29">
        <f>Inputs!$D$73</f>
        <v>48760</v>
      </c>
      <c r="K99" s="29">
        <f>Inputs!$D$75</f>
        <v>49125</v>
      </c>
      <c r="L99" s="29">
        <f>Inputs!$D$77</f>
        <v>49490</v>
      </c>
      <c r="M99" s="29">
        <f>Inputs!$D$79</f>
        <v>49856</v>
      </c>
    </row>
    <row r="100" spans="1:13" ht="15" customHeight="1" x14ac:dyDescent="0.2">
      <c r="A100" s="91"/>
      <c r="B100" s="10" t="s">
        <v>888</v>
      </c>
      <c r="C100" s="10" t="s">
        <v>107</v>
      </c>
      <c r="D100" s="28">
        <f>(D99-Inputs!$D$13)/Inputs!$D$10</f>
        <v>0.71457905544147848</v>
      </c>
      <c r="E100" s="28">
        <f>(E99-Inputs!$D$13)/Inputs!$D$10</f>
        <v>1.7166324435318274</v>
      </c>
      <c r="F100" s="28">
        <f>(F99-Inputs!$D$13)/Inputs!$D$10</f>
        <v>2.7159479808350446</v>
      </c>
      <c r="G100" s="28">
        <f>(G99-Inputs!$D$13)/Inputs!$D$10</f>
        <v>3.7152635181382614</v>
      </c>
      <c r="H100" s="28">
        <f>(H99-Inputs!$D$13)/Inputs!$D$10</f>
        <v>4.7145790554414786</v>
      </c>
      <c r="I100" s="28">
        <f>(I99-Inputs!$D$13)/Inputs!$D$10</f>
        <v>5.7166324435318279</v>
      </c>
      <c r="J100" s="28">
        <f>(J99-Inputs!$D$13)/Inputs!$D$10</f>
        <v>6.7159479808350442</v>
      </c>
      <c r="K100" s="28">
        <f>(K99-Inputs!$D$13)/Inputs!$D$10</f>
        <v>7.7152635181382614</v>
      </c>
      <c r="L100" s="28">
        <f>(L99-Inputs!$D$13)/Inputs!$D$10</f>
        <v>8.7145790554414777</v>
      </c>
      <c r="M100" s="28">
        <f>(M99-Inputs!$D$13)/Inputs!$D$10</f>
        <v>9.716632443531827</v>
      </c>
    </row>
    <row r="101" spans="1:13" ht="15" customHeight="1" x14ac:dyDescent="0.2">
      <c r="A101" s="91"/>
      <c r="B101" s="10" t="s">
        <v>889</v>
      </c>
      <c r="C101" s="10" t="s">
        <v>107</v>
      </c>
      <c r="D101" s="28">
        <f>D100</f>
        <v>0.71457905544147848</v>
      </c>
      <c r="E101" s="28">
        <f>Inputs!$D$7</f>
        <v>1</v>
      </c>
      <c r="F101" s="28">
        <f>Inputs!$D$7</f>
        <v>1</v>
      </c>
      <c r="G101" s="28">
        <f>Inputs!$D$7</f>
        <v>1</v>
      </c>
      <c r="H101" s="28">
        <f>Inputs!$D$7</f>
        <v>1</v>
      </c>
      <c r="I101" s="28">
        <f>Inputs!$D$7</f>
        <v>1</v>
      </c>
      <c r="J101" s="28">
        <f>Inputs!$D$7</f>
        <v>1</v>
      </c>
      <c r="K101" s="28">
        <f>Inputs!$D$7</f>
        <v>1</v>
      </c>
      <c r="L101" s="28">
        <f>Inputs!$D$7</f>
        <v>1</v>
      </c>
      <c r="M101" s="28">
        <f>Inputs!$D$7</f>
        <v>1</v>
      </c>
    </row>
    <row r="102" spans="1:13" ht="15" customHeight="1" x14ac:dyDescent="0.2">
      <c r="A102" s="91"/>
      <c r="B102" s="3" t="s">
        <v>890</v>
      </c>
      <c r="C102" s="10" t="s">
        <v>199</v>
      </c>
      <c r="D102" s="28">
        <f>Inputs!$D$24+(Inputs!$D$93-Inputs!$D$24)*Inputs!$D$83</f>
        <v>512.20000000000005</v>
      </c>
      <c r="E102" s="28">
        <f>Inputs!$D$24+(Inputs!$D$93-Inputs!$D$24)*Inputs!$D$84</f>
        <v>1133.8</v>
      </c>
      <c r="F102" s="28">
        <f>Inputs!$D$24+(Inputs!$D$93-Inputs!$D$24)*Inputs!$D$85</f>
        <v>1600</v>
      </c>
      <c r="G102" s="28">
        <f>Inputs!$D$24+(Inputs!$D$93-Inputs!$D$24)*Inputs!$D$86</f>
        <v>1600</v>
      </c>
      <c r="H102" s="28">
        <f>Inputs!$D$24+(Inputs!$D$93-Inputs!$D$24)*Inputs!$D$87</f>
        <v>1600</v>
      </c>
      <c r="I102" s="28">
        <f>Inputs!$D$24+(Inputs!$D$93-Inputs!$D$24)*Inputs!$D$88</f>
        <v>1600</v>
      </c>
      <c r="J102" s="28">
        <f>Inputs!$D$24+(Inputs!$D$93-Inputs!$D$24)*Inputs!$D$89</f>
        <v>1600</v>
      </c>
      <c r="K102" s="28">
        <f>Inputs!$D$24+(Inputs!$D$93-Inputs!$D$24)*Inputs!$D$90</f>
        <v>1600</v>
      </c>
      <c r="L102" s="28">
        <f>Inputs!$D$24+(Inputs!$D$93-Inputs!$D$24)*Inputs!$D$91</f>
        <v>1600</v>
      </c>
      <c r="M102" s="28">
        <f>Inputs!$D$24+(Inputs!$D$93-Inputs!$D$24)*Inputs!$D$92</f>
        <v>1600</v>
      </c>
    </row>
    <row r="103" spans="1:13" ht="15" customHeight="1" x14ac:dyDescent="0.2">
      <c r="A103" s="91"/>
      <c r="B103" s="10" t="s">
        <v>891</v>
      </c>
      <c r="C103" s="10" t="s">
        <v>199</v>
      </c>
      <c r="D103" s="28">
        <f>Inputs!$D$24</f>
        <v>46</v>
      </c>
      <c r="E103" s="28">
        <f t="shared" ref="E103:M103" si="20">D102</f>
        <v>512.20000000000005</v>
      </c>
      <c r="F103" s="28">
        <f t="shared" si="20"/>
        <v>1133.8</v>
      </c>
      <c r="G103" s="28">
        <f t="shared" si="20"/>
        <v>1600</v>
      </c>
      <c r="H103" s="28">
        <f t="shared" si="20"/>
        <v>1600</v>
      </c>
      <c r="I103" s="28">
        <f t="shared" si="20"/>
        <v>1600</v>
      </c>
      <c r="J103" s="28">
        <f t="shared" si="20"/>
        <v>1600</v>
      </c>
      <c r="K103" s="28">
        <f t="shared" si="20"/>
        <v>1600</v>
      </c>
      <c r="L103" s="28">
        <f t="shared" si="20"/>
        <v>1600</v>
      </c>
      <c r="M103" s="28">
        <f t="shared" si="20"/>
        <v>1600</v>
      </c>
    </row>
    <row r="104" spans="1:13" ht="15" customHeight="1" x14ac:dyDescent="0.2">
      <c r="B104" s="10" t="s">
        <v>892</v>
      </c>
      <c r="C104" s="10" t="s">
        <v>199</v>
      </c>
      <c r="D104" s="28">
        <f>(D103+D102)*Inputs!$D$12</f>
        <v>279.10000000000002</v>
      </c>
      <c r="E104" s="28">
        <f>(E103+E102)*Inputs!$D$12</f>
        <v>823</v>
      </c>
      <c r="F104" s="28">
        <f>(F103+F102)*Inputs!$D$12</f>
        <v>1366.9</v>
      </c>
      <c r="G104" s="28">
        <f>(G103+G102)*Inputs!$D$12</f>
        <v>1600</v>
      </c>
      <c r="H104" s="28">
        <f>(H103+H102)*Inputs!$D$12</f>
        <v>1600</v>
      </c>
      <c r="I104" s="28">
        <f>(I103+I102)*Inputs!$D$12</f>
        <v>1600</v>
      </c>
      <c r="J104" s="28">
        <f>(J103+J102)*Inputs!$D$12</f>
        <v>1600</v>
      </c>
      <c r="K104" s="28">
        <f>(K103+K102)*Inputs!$D$12</f>
        <v>1600</v>
      </c>
      <c r="L104" s="28">
        <f>(L103+L102)*Inputs!$D$12</f>
        <v>1600</v>
      </c>
      <c r="M104" s="28">
        <f>(M103+M102)*Inputs!$D$12</f>
        <v>1600</v>
      </c>
    </row>
    <row r="105" spans="1:13" ht="15" customHeight="1" x14ac:dyDescent="0.2">
      <c r="B105" s="10" t="s">
        <v>893</v>
      </c>
      <c r="C105" s="10" t="s">
        <v>199</v>
      </c>
      <c r="D105" s="28">
        <f t="shared" ref="D105:M105" si="21">D102-D103</f>
        <v>466.20000000000005</v>
      </c>
      <c r="E105" s="28">
        <f t="shared" si="21"/>
        <v>621.59999999999991</v>
      </c>
      <c r="F105" s="28">
        <f t="shared" si="21"/>
        <v>466.20000000000005</v>
      </c>
      <c r="G105" s="28">
        <f t="shared" si="21"/>
        <v>0</v>
      </c>
      <c r="H105" s="28">
        <f t="shared" si="21"/>
        <v>0</v>
      </c>
      <c r="I105" s="28">
        <f t="shared" si="21"/>
        <v>0</v>
      </c>
      <c r="J105" s="28">
        <f t="shared" si="21"/>
        <v>0</v>
      </c>
      <c r="K105" s="28">
        <f t="shared" si="21"/>
        <v>0</v>
      </c>
      <c r="L105" s="28">
        <f t="shared" si="21"/>
        <v>0</v>
      </c>
      <c r="M105" s="28">
        <f t="shared" si="21"/>
        <v>0</v>
      </c>
    </row>
    <row r="106" spans="1:13" ht="15" customHeight="1" x14ac:dyDescent="0.2">
      <c r="B106" s="10" t="s">
        <v>894</v>
      </c>
      <c r="C106" s="10" t="s">
        <v>199</v>
      </c>
      <c r="D106" s="28">
        <f>IF(MOD(D98,Inputs!$D$21)=Inputs!$D$6,Inputs!$D$24,Inputs!$D$6)+SUMPRODUCT(--(D98&gt;$D$98:$M$98),--(MOD(D98-$D$98:$M$98,Inputs!$D$21)=Inputs!$D$6),$D$105:$M$105)</f>
        <v>0</v>
      </c>
      <c r="E106" s="28">
        <f>IF(MOD(E98,Inputs!$D$21)=Inputs!$D$6,Inputs!$D$24,Inputs!$D$6)+SUMPRODUCT(--(E98&gt;$D$98:$M$98),--(MOD(E98-$D$98:$M$98,Inputs!$D$21)=Inputs!$D$6),$D$105:$M$105)</f>
        <v>0</v>
      </c>
      <c r="F106" s="28">
        <f>IF(MOD(F98,Inputs!$D$21)=Inputs!$D$6,Inputs!$D$24,Inputs!$D$6)+SUMPRODUCT(--(F98&gt;$D$98:$M$98),--(MOD(F98-$D$98:$M$98,Inputs!$D$21)=Inputs!$D$6),$D$105:$M$105)</f>
        <v>0</v>
      </c>
      <c r="G106" s="28">
        <f>IF(MOD(G98,Inputs!$D$21)=Inputs!$D$6,Inputs!$D$24,Inputs!$D$6)+SUMPRODUCT(--(G98&gt;$D$98:$M$98),--(MOD(G98-$D$98:$M$98,Inputs!$D$21)=Inputs!$D$6),$D$105:$M$105)</f>
        <v>46</v>
      </c>
      <c r="H106" s="28">
        <f>IF(MOD(H98,Inputs!$D$21)=Inputs!$D$6,Inputs!$D$24,Inputs!$D$6)+SUMPRODUCT(--(H98&gt;$D$98:$M$98),--(MOD(H98-$D$98:$M$98,Inputs!$D$21)=Inputs!$D$6),$D$105:$M$105)</f>
        <v>466.20000000000005</v>
      </c>
      <c r="I106" s="28">
        <f>IF(MOD(I98,Inputs!$D$21)=Inputs!$D$6,Inputs!$D$24,Inputs!$D$6)+SUMPRODUCT(--(I98&gt;$D$98:$M$98),--(MOD(I98-$D$98:$M$98,Inputs!$D$21)=Inputs!$D$6),$D$105:$M$105)</f>
        <v>621.59999999999991</v>
      </c>
      <c r="J106" s="28">
        <f>IF(MOD(J98,Inputs!$D$21)=Inputs!$D$6,Inputs!$D$24,Inputs!$D$6)+SUMPRODUCT(--(J98&gt;$D$98:$M$98),--(MOD(J98-$D$98:$M$98,Inputs!$D$21)=Inputs!$D$6),$D$105:$M$105)</f>
        <v>466.20000000000005</v>
      </c>
      <c r="K106" s="28">
        <f>IF(MOD(K98,Inputs!$D$21)=Inputs!$D$6,Inputs!$D$24,Inputs!$D$6)+SUMPRODUCT(--(K98&gt;$D$98:$M$98),--(MOD(K98-$D$98:$M$98,Inputs!$D$21)=Inputs!$D$6),$D$105:$M$105)</f>
        <v>46</v>
      </c>
      <c r="L106" s="28">
        <f>IF(MOD(L98,Inputs!$D$21)=Inputs!$D$6,Inputs!$D$24,Inputs!$D$6)+SUMPRODUCT(--(L98&gt;$D$98:$M$98),--(MOD(L98-$D$98:$M$98,Inputs!$D$21)=Inputs!$D$6),$D$105:$M$105)</f>
        <v>466.20000000000005</v>
      </c>
      <c r="M106" s="28">
        <f>IF(MOD(M98,Inputs!$D$21)=Inputs!$D$6,Inputs!$D$24,Inputs!$D$6)+SUMPRODUCT(--(M98&gt;$D$98:$M$98),--(MOD(M98-$D$98:$M$98,Inputs!$D$21)=Inputs!$D$6),$D$105:$M$105)</f>
        <v>621.59999999999991</v>
      </c>
    </row>
    <row r="107" spans="1:13" ht="15" customHeight="1" x14ac:dyDescent="0.2">
      <c r="B107" s="10" t="s">
        <v>895</v>
      </c>
      <c r="C107" s="10" t="s">
        <v>896</v>
      </c>
      <c r="D107" s="28">
        <f t="shared" ref="D107:M107" si="22">D104*D101</f>
        <v>199.43901437371667</v>
      </c>
      <c r="E107" s="28">
        <f t="shared" si="22"/>
        <v>823</v>
      </c>
      <c r="F107" s="28">
        <f t="shared" si="22"/>
        <v>1366.9</v>
      </c>
      <c r="G107" s="28">
        <f t="shared" si="22"/>
        <v>1600</v>
      </c>
      <c r="H107" s="28">
        <f t="shared" si="22"/>
        <v>1600</v>
      </c>
      <c r="I107" s="28">
        <f t="shared" si="22"/>
        <v>1600</v>
      </c>
      <c r="J107" s="28">
        <f t="shared" si="22"/>
        <v>1600</v>
      </c>
      <c r="K107" s="28">
        <f t="shared" si="22"/>
        <v>1600</v>
      </c>
      <c r="L107" s="28">
        <f t="shared" si="22"/>
        <v>1600</v>
      </c>
      <c r="M107" s="28">
        <f t="shared" si="22"/>
        <v>1600</v>
      </c>
    </row>
    <row r="108" spans="1:13" ht="15" customHeight="1" x14ac:dyDescent="0.2">
      <c r="B108" s="10" t="s">
        <v>897</v>
      </c>
      <c r="C108" s="10" t="s">
        <v>110</v>
      </c>
      <c r="D108" s="16">
        <f>D107*($D$127/Inputs!$D$21+$D$128/Inputs!$D$22)</f>
        <v>2885.4529758392296</v>
      </c>
      <c r="E108" s="16">
        <f>E107*($D$127/Inputs!$D$21+$D$128/Inputs!$D$22)</f>
        <v>11907.037379686541</v>
      </c>
      <c r="F108" s="16">
        <f>F107*($D$127/Inputs!$D$21+$D$128/Inputs!$D$22)</f>
        <v>19776.098899506116</v>
      </c>
      <c r="G108" s="16">
        <f>G107*($D$127/Inputs!$D$21+$D$128/Inputs!$D$22)</f>
        <v>23148.553836571649</v>
      </c>
      <c r="H108" s="16">
        <f>H107*($D$127/Inputs!$D$21+$D$128/Inputs!$D$22)</f>
        <v>23148.553836571649</v>
      </c>
      <c r="I108" s="16">
        <f>I107*($D$127/Inputs!$D$21+$D$128/Inputs!$D$22)</f>
        <v>23148.553836571649</v>
      </c>
      <c r="J108" s="16">
        <f>J107*($D$127/Inputs!$D$21+$D$128/Inputs!$D$22)</f>
        <v>23148.553836571649</v>
      </c>
      <c r="K108" s="16">
        <f>K107*($D$127/Inputs!$D$21+$D$128/Inputs!$D$22)</f>
        <v>23148.553836571649</v>
      </c>
      <c r="L108" s="16">
        <f>L107*($D$127/Inputs!$D$21+$D$128/Inputs!$D$22)</f>
        <v>23148.553836571649</v>
      </c>
      <c r="M108" s="16">
        <f>M107*($D$127/Inputs!$D$21+$D$128/Inputs!$D$22)</f>
        <v>23148.553836571649</v>
      </c>
    </row>
    <row r="109" spans="1:13" ht="15" customHeight="1" x14ac:dyDescent="0.2">
      <c r="B109" s="10" t="s">
        <v>898</v>
      </c>
      <c r="C109" s="10" t="s">
        <v>110</v>
      </c>
      <c r="D109" s="16">
        <f t="shared" ref="D109:M109" si="23">D105*($D$127+$D$128)</f>
        <v>27955.774838967773</v>
      </c>
      <c r="E109" s="16">
        <f t="shared" si="23"/>
        <v>37274.366451957023</v>
      </c>
      <c r="F109" s="16">
        <f t="shared" si="23"/>
        <v>27955.774838967773</v>
      </c>
      <c r="G109" s="16">
        <f t="shared" si="23"/>
        <v>0</v>
      </c>
      <c r="H109" s="16">
        <f t="shared" si="23"/>
        <v>0</v>
      </c>
      <c r="I109" s="16">
        <f t="shared" si="23"/>
        <v>0</v>
      </c>
      <c r="J109" s="16">
        <f t="shared" si="23"/>
        <v>0</v>
      </c>
      <c r="K109" s="16">
        <f t="shared" si="23"/>
        <v>0</v>
      </c>
      <c r="L109" s="16">
        <f t="shared" si="23"/>
        <v>0</v>
      </c>
      <c r="M109" s="16">
        <f t="shared" si="23"/>
        <v>0</v>
      </c>
    </row>
    <row r="110" spans="1:13" ht="15" customHeight="1" x14ac:dyDescent="0.2">
      <c r="B110" s="10" t="s">
        <v>899</v>
      </c>
      <c r="C110" s="10" t="s">
        <v>110</v>
      </c>
      <c r="D110" s="16">
        <f t="shared" ref="D110:M110" si="24">D106*$D$127</f>
        <v>0</v>
      </c>
      <c r="E110" s="16">
        <f t="shared" si="24"/>
        <v>0</v>
      </c>
      <c r="F110" s="16">
        <f t="shared" si="24"/>
        <v>0</v>
      </c>
      <c r="G110" s="16">
        <f t="shared" si="24"/>
        <v>2638.0048485671714</v>
      </c>
      <c r="H110" s="16">
        <f t="shared" si="24"/>
        <v>26735.605660913378</v>
      </c>
      <c r="I110" s="16">
        <f t="shared" si="24"/>
        <v>35647.474214551163</v>
      </c>
      <c r="J110" s="16">
        <f t="shared" si="24"/>
        <v>26735.605660913378</v>
      </c>
      <c r="K110" s="16">
        <f t="shared" si="24"/>
        <v>2638.0048485671714</v>
      </c>
      <c r="L110" s="16">
        <f t="shared" si="24"/>
        <v>26735.605660913378</v>
      </c>
      <c r="M110" s="16">
        <f t="shared" si="24"/>
        <v>35647.474214551163</v>
      </c>
    </row>
    <row r="111" spans="1:13" ht="15" customHeight="1" x14ac:dyDescent="0.2">
      <c r="B111" s="10" t="s">
        <v>900</v>
      </c>
      <c r="C111" s="10" t="s">
        <v>199</v>
      </c>
      <c r="D111" s="28">
        <f>D105*Inputs!$D$23</f>
        <v>11.655000000000001</v>
      </c>
      <c r="E111" s="28">
        <f>E105*Inputs!$D$23</f>
        <v>15.54</v>
      </c>
      <c r="F111" s="28">
        <f>F105*Inputs!$D$23</f>
        <v>11.655000000000001</v>
      </c>
      <c r="G111" s="28">
        <f>G105*Inputs!$D$23</f>
        <v>0</v>
      </c>
      <c r="H111" s="28">
        <f>H105*Inputs!$D$23</f>
        <v>0</v>
      </c>
      <c r="I111" s="28">
        <f>I105*Inputs!$D$23</f>
        <v>0</v>
      </c>
      <c r="J111" s="28">
        <f>J105*Inputs!$D$23</f>
        <v>0</v>
      </c>
      <c r="K111" s="28">
        <f>K105*Inputs!$D$23</f>
        <v>0</v>
      </c>
      <c r="L111" s="28">
        <f>L105*Inputs!$D$23</f>
        <v>0</v>
      </c>
      <c r="M111" s="28">
        <f>M105*Inputs!$D$23</f>
        <v>0</v>
      </c>
    </row>
    <row r="112" spans="1:13" ht="15" customHeight="1" x14ac:dyDescent="0.2">
      <c r="B112" s="3" t="s">
        <v>901</v>
      </c>
      <c r="C112" s="10" t="s">
        <v>896</v>
      </c>
      <c r="D112" s="28">
        <f>(D107*$D$125*(Inputs!$D$7-Inputs!$D$19)-D111)/(Inputs!$D$7+$D$126)^D100</f>
        <v>67.361764076638423</v>
      </c>
      <c r="E112" s="28">
        <f>(E107*$D$125*(Inputs!$D$7-Inputs!$D$19)-E111)/(Inputs!$D$7+$D$126)^E100</f>
        <v>280.29529652215348</v>
      </c>
      <c r="F112" s="28">
        <f>(F107*$D$125*(Inputs!$D$7-Inputs!$D$19)-F111)/(Inputs!$D$7+$D$126)^F100</f>
        <v>434.1683252988114</v>
      </c>
      <c r="G112" s="28">
        <f>(G107*$D$125*(Inputs!$D$7-Inputs!$D$19)-G111)/(Inputs!$D$7+$D$126)^G100</f>
        <v>471.61166655007548</v>
      </c>
      <c r="H112" s="28">
        <f>(H107*$D$125*(Inputs!$D$7-Inputs!$D$19)-H111)/(Inputs!$D$7+$D$126)^H100</f>
        <v>428.76584885109446</v>
      </c>
      <c r="I112" s="28">
        <f>(I107*$D$125*(Inputs!$D$7-Inputs!$D$19)-I111)/(Inputs!$D$7+$D$126)^I100</f>
        <v>389.71085801561958</v>
      </c>
      <c r="J112" s="28">
        <f>(J107*$D$125*(Inputs!$D$7-Inputs!$D$19)-J111)/(Inputs!$D$7+$D$126)^J100</f>
        <v>354.30571102255266</v>
      </c>
      <c r="K112" s="28">
        <f>(K107*$D$125*(Inputs!$D$7-Inputs!$D$19)-K111)/(Inputs!$D$7+$D$126)^K100</f>
        <v>322.1171139608465</v>
      </c>
      <c r="L112" s="28">
        <f>(L107*$D$125*(Inputs!$D$7-Inputs!$D$19)-L111)/(Inputs!$D$7+$D$126)^L100</f>
        <v>292.85284396632358</v>
      </c>
      <c r="M112" s="28">
        <f>(M107*$D$125*(Inputs!$D$7-Inputs!$D$19)-M111)/(Inputs!$D$7+$D$126)^M100</f>
        <v>266.1777597265347</v>
      </c>
    </row>
    <row r="113" spans="2:13" ht="15" customHeight="1" x14ac:dyDescent="0.2">
      <c r="B113" s="10" t="s">
        <v>902</v>
      </c>
      <c r="C113" s="10" t="s">
        <v>110</v>
      </c>
      <c r="D113" s="16">
        <f>(D108*Inputs!$D$19-D109-D110)/(Inputs!$D$7+$D$126)^D100</f>
        <v>-25306.546745010444</v>
      </c>
      <c r="E113" s="16">
        <f>(E108*Inputs!$D$19-E109-E110)/(Inputs!$D$7+$D$126)^E100</f>
        <v>-28615.60531144682</v>
      </c>
      <c r="F113" s="16">
        <f>(F108*Inputs!$D$19-F109-F110)/(Inputs!$D$7+$D$126)^F100</f>
        <v>-17000.238641466985</v>
      </c>
      <c r="G113" s="16">
        <f>(G108*Inputs!$D$19-G109-G110)/(Inputs!$D$7+$D$126)^G100</f>
        <v>3022.3579656651286</v>
      </c>
      <c r="H113" s="16">
        <f>(H108*Inputs!$D$19-H109-H110)/(Inputs!$D$7+$D$126)^H100</f>
        <v>-12627.562284413363</v>
      </c>
      <c r="I113" s="16">
        <f>(I108*Inputs!$D$19-I109-I110)/(Inputs!$D$7+$D$126)^I100</f>
        <v>-16645.587691965891</v>
      </c>
      <c r="J113" s="16">
        <f>(J108*Inputs!$D$19-J109-J110)/(Inputs!$D$7+$D$126)^J100</f>
        <v>-10434.640365246118</v>
      </c>
      <c r="K113" s="16">
        <f>(K108*Inputs!$D$19-K109-K110)/(Inputs!$D$7+$D$126)^K100</f>
        <v>2064.3111574790846</v>
      </c>
      <c r="L113" s="16">
        <f>(L108*Inputs!$D$19-L109-L110)/(Inputs!$D$7+$D$126)^L100</f>
        <v>-8624.7949487148144</v>
      </c>
      <c r="M113" s="16">
        <f>(M108*Inputs!$D$19-M109-M110)/(Inputs!$D$7+$D$126)^M100</f>
        <v>-11369.160366071912</v>
      </c>
    </row>
    <row r="114" spans="2:13" ht="15" customHeight="1" x14ac:dyDescent="0.2">
      <c r="B114" s="10" t="s">
        <v>903</v>
      </c>
      <c r="C114" s="10" t="s">
        <v>110</v>
      </c>
      <c r="D114" s="16">
        <f t="shared" ref="D114:M114" si="25">D107*$D$124</f>
        <v>6492.6258226152659</v>
      </c>
      <c r="E114" s="16">
        <f t="shared" si="25"/>
        <v>26792.3057521716</v>
      </c>
      <c r="F114" s="16">
        <f t="shared" si="25"/>
        <v>44498.666746832765</v>
      </c>
      <c r="G114" s="16">
        <f t="shared" si="25"/>
        <v>52087.107173116114</v>
      </c>
      <c r="H114" s="16">
        <f t="shared" si="25"/>
        <v>52087.107173116114</v>
      </c>
      <c r="I114" s="16">
        <f t="shared" si="25"/>
        <v>52087.107173116114</v>
      </c>
      <c r="J114" s="16">
        <f t="shared" si="25"/>
        <v>52087.107173116114</v>
      </c>
      <c r="K114" s="16">
        <f t="shared" si="25"/>
        <v>52087.107173116114</v>
      </c>
      <c r="L114" s="16">
        <f t="shared" si="25"/>
        <v>52087.107173116114</v>
      </c>
      <c r="M114" s="16">
        <f t="shared" si="25"/>
        <v>52087.107173116114</v>
      </c>
    </row>
    <row r="115" spans="2:13" ht="15" customHeight="1" x14ac:dyDescent="0.2">
      <c r="B115" s="10" t="s">
        <v>904</v>
      </c>
      <c r="C115" s="10" t="s">
        <v>110</v>
      </c>
      <c r="D115" s="16">
        <f t="shared" ref="D115:M115" si="26">D114*$D$125</f>
        <v>3895.5754935691593</v>
      </c>
      <c r="E115" s="16">
        <f t="shared" si="26"/>
        <v>16075.38345130296</v>
      </c>
      <c r="F115" s="16">
        <f t="shared" si="26"/>
        <v>26699.200048099658</v>
      </c>
      <c r="G115" s="16">
        <f t="shared" si="26"/>
        <v>31252.264303869666</v>
      </c>
      <c r="H115" s="16">
        <f t="shared" si="26"/>
        <v>31252.264303869666</v>
      </c>
      <c r="I115" s="16">
        <f t="shared" si="26"/>
        <v>31252.264303869666</v>
      </c>
      <c r="J115" s="16">
        <f t="shared" si="26"/>
        <v>31252.264303869666</v>
      </c>
      <c r="K115" s="16">
        <f t="shared" si="26"/>
        <v>31252.264303869666</v>
      </c>
      <c r="L115" s="16">
        <f t="shared" si="26"/>
        <v>31252.264303869666</v>
      </c>
      <c r="M115" s="16">
        <f t="shared" si="26"/>
        <v>31252.264303869666</v>
      </c>
    </row>
    <row r="116" spans="2:13" ht="15" customHeight="1" x14ac:dyDescent="0.2">
      <c r="B116" s="10" t="s">
        <v>905</v>
      </c>
      <c r="C116" s="10" t="s">
        <v>110</v>
      </c>
      <c r="D116" s="16">
        <f t="shared" ref="D116:M116" si="27">D115-D108</f>
        <v>1010.1225177299298</v>
      </c>
      <c r="E116" s="16">
        <f t="shared" si="27"/>
        <v>4168.3460716164191</v>
      </c>
      <c r="F116" s="16">
        <f t="shared" si="27"/>
        <v>6923.1011485935414</v>
      </c>
      <c r="G116" s="16">
        <f t="shared" si="27"/>
        <v>8103.7104672980167</v>
      </c>
      <c r="H116" s="16">
        <f t="shared" si="27"/>
        <v>8103.7104672980167</v>
      </c>
      <c r="I116" s="16">
        <f t="shared" si="27"/>
        <v>8103.7104672980167</v>
      </c>
      <c r="J116" s="16">
        <f t="shared" si="27"/>
        <v>8103.7104672980167</v>
      </c>
      <c r="K116" s="16">
        <f t="shared" si="27"/>
        <v>8103.7104672980167</v>
      </c>
      <c r="L116" s="16">
        <f t="shared" si="27"/>
        <v>8103.7104672980167</v>
      </c>
      <c r="M116" s="16">
        <f t="shared" si="27"/>
        <v>8103.7104672980167</v>
      </c>
    </row>
    <row r="117" spans="2:13" ht="15" customHeight="1" x14ac:dyDescent="0.2">
      <c r="B117" s="10" t="s">
        <v>906</v>
      </c>
      <c r="C117" s="10" t="s">
        <v>110</v>
      </c>
      <c r="D117" s="16">
        <f>MAX(D116,Inputs!$D$6)*Inputs!$D$19</f>
        <v>303.03675531897892</v>
      </c>
      <c r="E117" s="16">
        <f>MAX(E116,Inputs!$D$6)*Inputs!$D$19</f>
        <v>1250.5038214849258</v>
      </c>
      <c r="F117" s="16">
        <f>MAX(F116,Inputs!$D$6)*Inputs!$D$19</f>
        <v>2076.9303445780624</v>
      </c>
      <c r="G117" s="16">
        <f>MAX(G116,Inputs!$D$6)*Inputs!$D$19</f>
        <v>2431.1131401894049</v>
      </c>
      <c r="H117" s="16">
        <f>MAX(H116,Inputs!$D$6)*Inputs!$D$19</f>
        <v>2431.1131401894049</v>
      </c>
      <c r="I117" s="16">
        <f>MAX(I116,Inputs!$D$6)*Inputs!$D$19</f>
        <v>2431.1131401894049</v>
      </c>
      <c r="J117" s="16">
        <f>MAX(J116,Inputs!$D$6)*Inputs!$D$19</f>
        <v>2431.1131401894049</v>
      </c>
      <c r="K117" s="16">
        <f>MAX(K116,Inputs!$D$6)*Inputs!$D$19</f>
        <v>2431.1131401894049</v>
      </c>
      <c r="L117" s="16">
        <f>MAX(L116,Inputs!$D$6)*Inputs!$D$19</f>
        <v>2431.1131401894049</v>
      </c>
      <c r="M117" s="16">
        <f>MAX(M116,Inputs!$D$6)*Inputs!$D$19</f>
        <v>2431.1131401894049</v>
      </c>
    </row>
    <row r="118" spans="2:13" ht="15" customHeight="1" x14ac:dyDescent="0.2">
      <c r="B118" s="10" t="s">
        <v>907</v>
      </c>
      <c r="C118" s="10" t="s">
        <v>110</v>
      </c>
      <c r="D118" s="16">
        <f t="shared" ref="D118:M118" si="28">D111*$D$124</f>
        <v>379.42202131416769</v>
      </c>
      <c r="E118" s="16">
        <f t="shared" si="28"/>
        <v>505.89602841889024</v>
      </c>
      <c r="F118" s="16">
        <f t="shared" si="28"/>
        <v>379.42202131416769</v>
      </c>
      <c r="G118" s="16">
        <f t="shared" si="28"/>
        <v>0</v>
      </c>
      <c r="H118" s="16">
        <f t="shared" si="28"/>
        <v>0</v>
      </c>
      <c r="I118" s="16">
        <f t="shared" si="28"/>
        <v>0</v>
      </c>
      <c r="J118" s="16">
        <f t="shared" si="28"/>
        <v>0</v>
      </c>
      <c r="K118" s="16">
        <f t="shared" si="28"/>
        <v>0</v>
      </c>
      <c r="L118" s="16">
        <f t="shared" si="28"/>
        <v>0</v>
      </c>
      <c r="M118" s="16">
        <f t="shared" si="28"/>
        <v>0</v>
      </c>
    </row>
    <row r="119" spans="2:13" ht="15" customHeight="1" x14ac:dyDescent="0.2">
      <c r="B119" s="10" t="s">
        <v>908</v>
      </c>
      <c r="C119" s="10" t="s">
        <v>110</v>
      </c>
      <c r="D119" s="16">
        <f t="shared" ref="D119:M119" si="29">D115-D117-D109-D110-D118</f>
        <v>-24742.65812203176</v>
      </c>
      <c r="E119" s="16">
        <f t="shared" si="29"/>
        <v>-22955.382850557882</v>
      </c>
      <c r="F119" s="16">
        <f t="shared" si="29"/>
        <v>-3712.9271567603432</v>
      </c>
      <c r="G119" s="16">
        <f t="shared" si="29"/>
        <v>26183.146315113088</v>
      </c>
      <c r="H119" s="16">
        <f t="shared" si="29"/>
        <v>2085.5455027668831</v>
      </c>
      <c r="I119" s="16">
        <f t="shared" si="29"/>
        <v>-6826.3230508709021</v>
      </c>
      <c r="J119" s="16">
        <f t="shared" si="29"/>
        <v>2085.5455027668831</v>
      </c>
      <c r="K119" s="16">
        <f t="shared" si="29"/>
        <v>26183.146315113088</v>
      </c>
      <c r="L119" s="16">
        <f t="shared" si="29"/>
        <v>2085.5455027668831</v>
      </c>
      <c r="M119" s="16">
        <f t="shared" si="29"/>
        <v>-6826.3230508709021</v>
      </c>
    </row>
    <row r="120" spans="2:13" ht="15" customHeight="1" x14ac:dyDescent="0.2">
      <c r="B120" s="10" t="s">
        <v>909</v>
      </c>
      <c r="C120" s="10" t="s">
        <v>110</v>
      </c>
      <c r="D120" s="16">
        <f>D119/(Inputs!$D$7+$D$126)^D100</f>
        <v>-23113.622104491675</v>
      </c>
      <c r="E120" s="16">
        <f>E119/(Inputs!$D$7+$D$126)^E100</f>
        <v>-19490.748342653216</v>
      </c>
      <c r="F120" s="16">
        <f>F119/(Inputs!$D$7+$D$126)^F100</f>
        <v>-2866.1310845847765</v>
      </c>
      <c r="G120" s="16">
        <f>G119/(Inputs!$D$7+$D$126)^G100</f>
        <v>18375.412602968678</v>
      </c>
      <c r="H120" s="16">
        <f>H119/(Inputs!$D$7+$D$126)^H100</f>
        <v>1330.6706663860493</v>
      </c>
      <c r="I120" s="16">
        <f>I119/(Inputs!$D$7+$D$126)^I100</f>
        <v>-3958.7681744742576</v>
      </c>
      <c r="J120" s="16">
        <f>J119/(Inputs!$D$7+$D$126)^J100</f>
        <v>1099.5843485531364</v>
      </c>
      <c r="K120" s="16">
        <f>K119/(Inputs!$D$7+$D$126)^K100</f>
        <v>12550.654055712501</v>
      </c>
      <c r="L120" s="16">
        <f>L119/(Inputs!$D$7+$D$126)^L100</f>
        <v>908.86596980127661</v>
      </c>
      <c r="M120" s="16">
        <f>M119/(Inputs!$D$7+$D$126)^M100</f>
        <v>-2703.8919298369351</v>
      </c>
    </row>
    <row r="121" spans="2:13" ht="15" customHeight="1" x14ac:dyDescent="0.2">
      <c r="B121" s="3" t="s">
        <v>910</v>
      </c>
      <c r="C121" s="10" t="s">
        <v>896</v>
      </c>
      <c r="D121" s="28">
        <f>(D107*$D$125-D111)/(Inputs!$D$7+$D$126)^D100</f>
        <v>100.89722489537324</v>
      </c>
      <c r="E121" s="28">
        <f>(E107*$D$125-E111)/(Inputs!$D$7+$D$126)^E100</f>
        <v>406.07666459070981</v>
      </c>
      <c r="F121" s="28">
        <f>(F107*$D$125-F111)/(Inputs!$D$7+$D$126)^F100</f>
        <v>624.09627016286015</v>
      </c>
      <c r="G121" s="28">
        <f>(G107*$D$125-G111)/(Inputs!$D$7+$D$126)^G100</f>
        <v>673.73095221439348</v>
      </c>
      <c r="H121" s="28">
        <f>(H107*$D$125-H111)/(Inputs!$D$7+$D$126)^H100</f>
        <v>612.52264121584926</v>
      </c>
      <c r="I121" s="28">
        <f>(I107*$D$125-I111)/(Inputs!$D$7+$D$126)^I100</f>
        <v>556.72979716517079</v>
      </c>
      <c r="J121" s="28">
        <f>(J107*$D$125-J111)/(Inputs!$D$7+$D$126)^J100</f>
        <v>506.15101574650379</v>
      </c>
      <c r="K121" s="28">
        <f>(K107*$D$125-K111)/(Inputs!$D$7+$D$126)^K100</f>
        <v>460.16730565835212</v>
      </c>
      <c r="L121" s="28">
        <f>(L107*$D$125-L111)/(Inputs!$D$7+$D$126)^L100</f>
        <v>418.36120566617655</v>
      </c>
      <c r="M121" s="28">
        <f>(M107*$D$125-M111)/(Inputs!$D$7+$D$126)^M100</f>
        <v>380.25394246647818</v>
      </c>
    </row>
    <row r="122" spans="2:13" ht="15" customHeight="1" x14ac:dyDescent="0.2">
      <c r="B122" s="10" t="s">
        <v>911</v>
      </c>
      <c r="C122" s="10" t="s">
        <v>110</v>
      </c>
      <c r="D122" s="16">
        <f>(-D109-D110)/(Inputs!$D$7+$D$126)^D100</f>
        <v>-26115.189891048693</v>
      </c>
      <c r="E122" s="16">
        <f>(-E109-E110)/(Inputs!$D$7+$D$126)^E100</f>
        <v>-31648.581113918288</v>
      </c>
      <c r="F122" s="16">
        <f>(-F109-F110)/(Inputs!$D$7+$D$126)^F100</f>
        <v>-21579.985783919947</v>
      </c>
      <c r="G122" s="16">
        <f>(-G109-G110)/(Inputs!$D$7+$D$126)^G100</f>
        <v>-1851.359915178487</v>
      </c>
      <c r="H122" s="16">
        <f>(-H109-H110)/(Inputs!$D$7+$D$126)^H100</f>
        <v>-17058.50395200841</v>
      </c>
      <c r="I122" s="16">
        <f>(-I109-I110)/(Inputs!$D$7+$D$126)^I100</f>
        <v>-20672.92821762263</v>
      </c>
      <c r="J122" s="16">
        <f>(-J109-J110)/(Inputs!$D$7+$D$126)^J100</f>
        <v>-14096.097876947169</v>
      </c>
      <c r="K122" s="16">
        <f>(-K109-K110)/(Inputs!$D$7+$D$126)^K100</f>
        <v>-1264.5037327904422</v>
      </c>
      <c r="L122" s="16">
        <f>(-L109-L110)/(Inputs!$D$7+$D$126)^L100</f>
        <v>-11651.187727619976</v>
      </c>
      <c r="M122" s="16">
        <f>(-M109-M110)/(Inputs!$D$7+$D$126)^M100</f>
        <v>-14119.888134432502</v>
      </c>
    </row>
    <row r="123" spans="2:13" ht="15" customHeight="1" x14ac:dyDescent="0.2">
      <c r="B123" s="10" t="s">
        <v>912</v>
      </c>
      <c r="C123" s="10" t="s">
        <v>110</v>
      </c>
      <c r="D123" s="16">
        <f>Inputs!D6</f>
        <v>0</v>
      </c>
    </row>
    <row r="124" spans="2:13" ht="15" customHeight="1" x14ac:dyDescent="0.2">
      <c r="B124" s="3" t="s">
        <v>913</v>
      </c>
      <c r="C124" s="10" t="s">
        <v>914</v>
      </c>
      <c r="D124" s="28">
        <f>IF(J131&gt;=J127,J131,(D123-J130)/J129)</f>
        <v>32.55444198319757</v>
      </c>
      <c r="G124" s="99" t="s">
        <v>915</v>
      </c>
      <c r="H124" s="91"/>
      <c r="I124" s="91"/>
      <c r="J124" s="28">
        <f>D124*Inputs!$D$15</f>
        <v>22.719745060073585</v>
      </c>
      <c r="K124" s="99" t="s">
        <v>916</v>
      </c>
      <c r="L124" s="91"/>
      <c r="M124" s="91"/>
    </row>
    <row r="125" spans="2:13" ht="15" customHeight="1" x14ac:dyDescent="0.2">
      <c r="B125" s="10" t="s">
        <v>917</v>
      </c>
      <c r="C125" s="10" t="s">
        <v>104</v>
      </c>
      <c r="D125" s="30">
        <f>Inputs!$D$81</f>
        <v>0.6</v>
      </c>
      <c r="G125" s="99" t="s">
        <v>918</v>
      </c>
      <c r="H125" s="91"/>
      <c r="I125" s="91"/>
      <c r="J125" s="28">
        <f>IF(-D136/D135&gt;=J127,-D136/D135,-J130/J129)</f>
        <v>32.55444198319757</v>
      </c>
      <c r="K125" s="99" t="s">
        <v>919</v>
      </c>
      <c r="L125" s="91"/>
      <c r="M125" s="91"/>
    </row>
    <row r="126" spans="2:13" ht="15" customHeight="1" x14ac:dyDescent="0.2">
      <c r="B126" s="10" t="s">
        <v>920</v>
      </c>
      <c r="C126" s="10" t="s">
        <v>104</v>
      </c>
      <c r="D126" s="30">
        <f>Inputs!$D$82</f>
        <v>0.1</v>
      </c>
      <c r="G126" s="99" t="s">
        <v>918</v>
      </c>
      <c r="H126" s="91"/>
      <c r="I126" s="91"/>
      <c r="J126" s="28">
        <f>J125*Inputs!$D$15</f>
        <v>22.719745060073585</v>
      </c>
      <c r="K126" s="99" t="s">
        <v>916</v>
      </c>
      <c r="L126" s="91"/>
      <c r="M126" s="91"/>
    </row>
    <row r="127" spans="2:13" ht="15" customHeight="1" x14ac:dyDescent="0.2">
      <c r="B127" s="3" t="s">
        <v>921</v>
      </c>
      <c r="C127" s="10" t="s">
        <v>848</v>
      </c>
      <c r="D127" s="28">
        <f>Capital!$D$13</f>
        <v>57.347931490590682</v>
      </c>
      <c r="G127" s="99" t="s">
        <v>922</v>
      </c>
      <c r="H127" s="91"/>
      <c r="I127" s="91"/>
      <c r="J127" s="28">
        <f>($D$127/Inputs!$D$21+$D$128/Inputs!$D$22)/$D$125</f>
        <v>24.113076913095469</v>
      </c>
      <c r="K127" s="99" t="s">
        <v>919</v>
      </c>
      <c r="L127" s="91"/>
      <c r="M127" s="91"/>
    </row>
    <row r="128" spans="2:13" ht="15" customHeight="1" x14ac:dyDescent="0.2">
      <c r="B128" s="3" t="s">
        <v>923</v>
      </c>
      <c r="C128" s="10" t="s">
        <v>848</v>
      </c>
      <c r="D128" s="28">
        <f>Capital!$D$14</f>
        <v>2.6172655041921802</v>
      </c>
    </row>
    <row r="129" spans="2:13" ht="15" customHeight="1" x14ac:dyDescent="0.2">
      <c r="B129" s="10" t="s">
        <v>924</v>
      </c>
      <c r="C129" s="10" t="s">
        <v>896</v>
      </c>
      <c r="D129" s="28">
        <f>(M102*(Inputs!$D$7+Inputs!$D$20)*$D$125*(Inputs!$D$7-Inputs!$D$19)-M102*Inputs!$D$20*Inputs!$D$23)/($D$126-Inputs!$D$20)/(Inputs!$D$7+$D$126)^M100</f>
        <v>3632.4814115061608</v>
      </c>
      <c r="G129" s="92" t="s">
        <v>910</v>
      </c>
      <c r="H129" s="91"/>
      <c r="I129" s="91"/>
      <c r="J129" s="28">
        <f>SUM(D121:M121)+(M102*(Inputs!$D$7+Inputs!$D$20)*$D$125-M102*Inputs!$D$20*Inputs!$D$23)/($D$126-Inputs!$D$20)/(Inputs!$D$7+$D$126)^M100</f>
        <v>9930.5095954005883</v>
      </c>
      <c r="K129" s="99" t="s">
        <v>896</v>
      </c>
      <c r="L129" s="91"/>
      <c r="M129" s="91"/>
    </row>
    <row r="130" spans="2:13" ht="15" customHeight="1" x14ac:dyDescent="0.2">
      <c r="B130" s="10" t="s">
        <v>925</v>
      </c>
      <c r="C130" s="10" t="s">
        <v>110</v>
      </c>
      <c r="D130" s="16">
        <f>(D133*Inputs!$D$19-D133-D134)/($D$126-Inputs!$D$20)/(Inputs!$D$7+$D$126)^M100</f>
        <v>-100385.43137330168</v>
      </c>
      <c r="G130" s="92" t="s">
        <v>926</v>
      </c>
      <c r="H130" s="91"/>
      <c r="I130" s="91"/>
      <c r="J130" s="16">
        <f>SUM(D122:M122)-(D133+D134)/($D$126-Inputs!$D$20)/(Inputs!$D$7+$D$126)^M100</f>
        <v>-298036.93721971626</v>
      </c>
      <c r="K130" s="99" t="s">
        <v>110</v>
      </c>
      <c r="L130" s="91"/>
      <c r="M130" s="91"/>
    </row>
    <row r="131" spans="2:13" ht="15" customHeight="1" x14ac:dyDescent="0.2">
      <c r="B131" s="10" t="s">
        <v>927</v>
      </c>
      <c r="C131" s="10" t="s">
        <v>928</v>
      </c>
      <c r="D131" s="16">
        <f>(M102*(Inputs!$D$7+Inputs!$D$20)*$D$124*$D$125-D133)-MAX((M102*(Inputs!$D$7+Inputs!$D$20)*$D$124*$D$125-D133),Inputs!$D$6)*Inputs!$D$19-D134-M102*Inputs!$D$20*$D$124*Inputs!$D$23</f>
        <v>3383.249938511814</v>
      </c>
      <c r="G131" s="99" t="s">
        <v>929</v>
      </c>
      <c r="H131" s="91"/>
      <c r="I131" s="91"/>
      <c r="J131" s="28">
        <f>(D123-D136)/D135</f>
        <v>32.55444198319757</v>
      </c>
      <c r="K131" s="99" t="s">
        <v>919</v>
      </c>
      <c r="L131" s="91"/>
      <c r="M131" s="91"/>
    </row>
    <row r="132" spans="2:13" ht="15" customHeight="1" x14ac:dyDescent="0.2">
      <c r="B132" s="10" t="s">
        <v>930</v>
      </c>
      <c r="C132" s="10" t="s">
        <v>110</v>
      </c>
      <c r="D132" s="16">
        <f>D131/($D$126-Inputs!$D$20)</f>
        <v>45109.999180157516</v>
      </c>
      <c r="G132" s="99" t="s">
        <v>931</v>
      </c>
      <c r="H132" s="91"/>
      <c r="I132" s="91"/>
      <c r="J132" s="16">
        <f>MIN(D116:M116,(M102*(Inputs!$D$7+Inputs!$D$20)*$D$124*$D$125-D133))</f>
        <v>1010.1225177299298</v>
      </c>
      <c r="K132" s="99" t="s">
        <v>110</v>
      </c>
      <c r="L132" s="91"/>
      <c r="M132" s="91"/>
    </row>
    <row r="133" spans="2:13" ht="15" customHeight="1" x14ac:dyDescent="0.2">
      <c r="B133" s="10" t="s">
        <v>932</v>
      </c>
      <c r="C133" s="10" t="s">
        <v>928</v>
      </c>
      <c r="D133" s="16">
        <f>M102*(Inputs!$D$7+Inputs!$D$20)*($D$127/Inputs!$D$21+$D$128/Inputs!$D$22)</f>
        <v>23727.267682485937</v>
      </c>
      <c r="G133" s="99" t="s">
        <v>933</v>
      </c>
      <c r="H133" s="91"/>
      <c r="I133" s="91"/>
      <c r="J133" s="31" t="str">
        <f>IF(J132&lt;Inputs!$D$6,"breached","satisfied")</f>
        <v>satisfied</v>
      </c>
      <c r="K133" s="99" t="s">
        <v>934</v>
      </c>
      <c r="L133" s="91"/>
      <c r="M133" s="91"/>
    </row>
    <row r="134" spans="2:13" ht="15" customHeight="1" x14ac:dyDescent="0.2">
      <c r="B134" s="10" t="s">
        <v>935</v>
      </c>
      <c r="C134" s="10" t="s">
        <v>928</v>
      </c>
      <c r="D134" s="16">
        <f>M102*Inputs!$D$20*($D$127+$D$128)</f>
        <v>2398.6078797913146</v>
      </c>
    </row>
    <row r="135" spans="2:13" ht="15" customHeight="1" x14ac:dyDescent="0.2">
      <c r="B135" s="10" t="s">
        <v>936</v>
      </c>
      <c r="C135" s="10" t="s">
        <v>896</v>
      </c>
      <c r="D135" s="28">
        <f>SUM(D112:M112)+D129</f>
        <v>6939.8485994968105</v>
      </c>
      <c r="G135" s="99" t="s">
        <v>937</v>
      </c>
      <c r="H135" s="91"/>
      <c r="I135" s="91"/>
      <c r="J135" s="16">
        <f>D137-D123</f>
        <v>4.7293724492192268E-11</v>
      </c>
      <c r="K135" s="99" t="s">
        <v>110</v>
      </c>
      <c r="L135" s="91"/>
      <c r="M135" s="91"/>
    </row>
    <row r="136" spans="2:13" ht="15" customHeight="1" x14ac:dyDescent="0.2">
      <c r="B136" s="10" t="s">
        <v>938</v>
      </c>
      <c r="C136" s="10" t="s">
        <v>110</v>
      </c>
      <c r="D136" s="16">
        <f>SUM(D113:M113)+D130</f>
        <v>-225922.89860449382</v>
      </c>
    </row>
    <row r="137" spans="2:13" ht="15" customHeight="1" x14ac:dyDescent="0.2">
      <c r="B137" s="10" t="s">
        <v>939</v>
      </c>
      <c r="C137" s="10" t="s">
        <v>110</v>
      </c>
      <c r="D137" s="16">
        <f>SUM(D120:M120)+D132/(Inputs!$D$7+$D$126)^M100</f>
        <v>4.7293724492192268E-11</v>
      </c>
    </row>
    <row r="138" spans="2:13" ht="15" customHeight="1" x14ac:dyDescent="0.2">
      <c r="B138" s="10" t="s">
        <v>940</v>
      </c>
      <c r="C138" s="10" t="s">
        <v>104</v>
      </c>
      <c r="D138" s="30">
        <f>IF(ABS(D123)&gt;Inputs!$D$6,D137/D123-Inputs!$D$7,Inputs!$D$6)</f>
        <v>0</v>
      </c>
    </row>
    <row r="139" spans="2:13" ht="15" customHeight="1" x14ac:dyDescent="0.2">
      <c r="B139" s="10" t="s">
        <v>941</v>
      </c>
      <c r="C139" s="10" t="s">
        <v>104</v>
      </c>
      <c r="D139" s="30">
        <f>IF(ABS(D137)&gt;Inputs!$D$119,D132/(Inputs!$D$7+$D$126)^M100/D137,Inputs!$D$6)</f>
        <v>0</v>
      </c>
    </row>
    <row r="140" spans="2:13" ht="15" customHeight="1" x14ac:dyDescent="0.2">
      <c r="B140" s="10" t="s">
        <v>942</v>
      </c>
      <c r="C140" s="10" t="s">
        <v>943</v>
      </c>
      <c r="D140" s="26">
        <f>$D$124*Inputs!$D$8/Prices!$P$6/(Inputs!$D$26/Inputs!$D$25)/Inputs!$D$11/Inputs!$D$56</f>
        <v>5.9201241594890961</v>
      </c>
    </row>
  </sheetData>
  <mergeCells count="65">
    <mergeCell ref="K129:M129"/>
    <mergeCell ref="K41:M41"/>
    <mergeCell ref="K85:M85"/>
    <mergeCell ref="K81:M81"/>
    <mergeCell ref="K32:M32"/>
    <mergeCell ref="A52:A57"/>
    <mergeCell ref="A98:A103"/>
    <mergeCell ref="K84:M84"/>
    <mergeCell ref="G37:I37"/>
    <mergeCell ref="K40:M40"/>
    <mergeCell ref="G33:I33"/>
    <mergeCell ref="K33:M33"/>
    <mergeCell ref="G38:I38"/>
    <mergeCell ref="K39:M39"/>
    <mergeCell ref="K83:M83"/>
    <mergeCell ref="K34:M34"/>
    <mergeCell ref="K127:M127"/>
    <mergeCell ref="K80:M80"/>
    <mergeCell ref="G133:I133"/>
    <mergeCell ref="G89:I89"/>
    <mergeCell ref="G80:I80"/>
    <mergeCell ref="G79:I79"/>
    <mergeCell ref="G35:I35"/>
    <mergeCell ref="G81:I81"/>
    <mergeCell ref="G86:I86"/>
    <mergeCell ref="G43:I43"/>
    <mergeCell ref="G130:I130"/>
    <mergeCell ref="G87:I87"/>
    <mergeCell ref="G127:I127"/>
    <mergeCell ref="G78:I78"/>
    <mergeCell ref="G83:I83"/>
    <mergeCell ref="G124:I124"/>
    <mergeCell ref="G125:I125"/>
    <mergeCell ref="K135:M135"/>
    <mergeCell ref="K133:M133"/>
    <mergeCell ref="K89:M89"/>
    <mergeCell ref="G126:I126"/>
    <mergeCell ref="G39:I39"/>
    <mergeCell ref="K79:M79"/>
    <mergeCell ref="K132:M132"/>
    <mergeCell ref="G135:I135"/>
    <mergeCell ref="G129:I129"/>
    <mergeCell ref="G85:I85"/>
    <mergeCell ref="K125:M125"/>
    <mergeCell ref="G84:I84"/>
    <mergeCell ref="G41:I41"/>
    <mergeCell ref="K78:M78"/>
    <mergeCell ref="G40:I40"/>
    <mergeCell ref="K124:M124"/>
    <mergeCell ref="A2:M2"/>
    <mergeCell ref="A3:M3"/>
    <mergeCell ref="G132:I132"/>
    <mergeCell ref="K35:M35"/>
    <mergeCell ref="K126:M126"/>
    <mergeCell ref="A6:A11"/>
    <mergeCell ref="K38:M38"/>
    <mergeCell ref="G32:I32"/>
    <mergeCell ref="K37:M37"/>
    <mergeCell ref="G131:I131"/>
    <mergeCell ref="K87:M87"/>
    <mergeCell ref="K131:M131"/>
    <mergeCell ref="G34:I34"/>
    <mergeCell ref="K43:M43"/>
    <mergeCell ref="K86:M86"/>
    <mergeCell ref="K130:M130"/>
  </mergeCells>
  <printOptions horizontalCentered="1"/>
  <pageMargins left="0.2" right="0.2" top="0.25" bottom="0.55000000000000004" header="0.5" footer="0.5"/>
  <pageSetup paperSize="8" scale="67"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rowBreaks count="3" manualBreakCount="3">
    <brk id="51" max="16383" man="1"/>
    <brk id="97" max="16383" man="1"/>
    <brk id="14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I31"/>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21" customWidth="1"/>
    <col min="2" max="2" width="15" customWidth="1"/>
    <col min="3" max="3" width="17" customWidth="1"/>
    <col min="4" max="5" width="22" customWidth="1"/>
    <col min="6" max="6" width="25" customWidth="1"/>
    <col min="7" max="7" width="18" customWidth="1"/>
    <col min="8" max="8" width="25" customWidth="1"/>
    <col min="9" max="17" width="19" customWidth="1"/>
  </cols>
  <sheetData>
    <row r="2" spans="1:9" ht="21" customHeight="1" x14ac:dyDescent="0.2">
      <c r="A2" s="103" t="s">
        <v>2376</v>
      </c>
      <c r="B2" s="91"/>
      <c r="C2" s="91"/>
      <c r="D2" s="91"/>
      <c r="E2" s="91"/>
      <c r="F2" s="91"/>
      <c r="G2" s="91"/>
      <c r="H2" s="91"/>
      <c r="I2" s="91"/>
    </row>
    <row r="3" spans="1:9"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c r="I3" s="91"/>
    </row>
    <row r="4" spans="1:9" ht="15" customHeight="1" x14ac:dyDescent="0.2">
      <c r="A4" s="92" t="s">
        <v>2377</v>
      </c>
      <c r="B4" s="91"/>
      <c r="C4" s="91"/>
      <c r="D4" s="91"/>
      <c r="E4" s="91"/>
      <c r="F4" s="91"/>
      <c r="G4" s="91"/>
      <c r="H4" s="91"/>
      <c r="I4" s="91"/>
    </row>
    <row r="5" spans="1:9" ht="27" customHeight="1" x14ac:dyDescent="0.2">
      <c r="A5" s="4" t="s">
        <v>2378</v>
      </c>
      <c r="B5" s="4" t="s">
        <v>2379</v>
      </c>
      <c r="C5" s="4" t="s">
        <v>2380</v>
      </c>
      <c r="D5" s="4" t="s">
        <v>2381</v>
      </c>
      <c r="E5" s="4" t="s">
        <v>2382</v>
      </c>
      <c r="F5" s="4" t="s">
        <v>2383</v>
      </c>
      <c r="G5" s="4" t="s">
        <v>2384</v>
      </c>
      <c r="H5" s="5" t="s">
        <v>2385</v>
      </c>
      <c r="I5" s="4" t="s">
        <v>2386</v>
      </c>
    </row>
    <row r="6" spans="1:9" ht="15" customHeight="1" x14ac:dyDescent="0.2">
      <c r="A6" s="10" t="s">
        <v>1175</v>
      </c>
      <c r="B6" s="10" t="s">
        <v>2387</v>
      </c>
      <c r="C6" s="10" t="s">
        <v>2272</v>
      </c>
      <c r="D6" s="8">
        <f>RecoveryDCF!D32</f>
        <v>32.284876648616972</v>
      </c>
      <c r="E6" s="8">
        <f>RecoveryDCF!J32</f>
        <v>22.531615413069783</v>
      </c>
      <c r="F6" s="8">
        <f>DCF!D32</f>
        <v>43.317405506371379</v>
      </c>
      <c r="G6" s="15">
        <f t="shared" ref="G6:G29" si="0">D6/F6</f>
        <v>0.74530956485536337</v>
      </c>
      <c r="H6" s="28">
        <f>DCF!D32</f>
        <v>43.317405506371379</v>
      </c>
      <c r="I6" s="30">
        <f t="shared" ref="I6:I29" si="1">D6/H6</f>
        <v>0.74530956485536337</v>
      </c>
    </row>
    <row r="7" spans="1:9" ht="15" customHeight="1" x14ac:dyDescent="0.2">
      <c r="A7" s="10" t="s">
        <v>1175</v>
      </c>
      <c r="B7" s="10" t="s">
        <v>179</v>
      </c>
      <c r="C7" s="10" t="s">
        <v>2272</v>
      </c>
      <c r="D7" s="8">
        <f>RecoveryDCF!D32</f>
        <v>32.284876648616972</v>
      </c>
      <c r="E7" s="8">
        <f>RecoveryDCF!J32</f>
        <v>22.531615413069783</v>
      </c>
      <c r="F7" s="8">
        <f>DCF!D170</f>
        <v>46.934838012374001</v>
      </c>
      <c r="G7" s="15">
        <f t="shared" si="0"/>
        <v>0.68786594384549316</v>
      </c>
      <c r="H7" s="28">
        <f>DCF!D170</f>
        <v>46.934838012374001</v>
      </c>
      <c r="I7" s="30">
        <f t="shared" si="1"/>
        <v>0.68786594384549316</v>
      </c>
    </row>
    <row r="8" spans="1:9" ht="15" customHeight="1" x14ac:dyDescent="0.2">
      <c r="A8" s="10" t="s">
        <v>1175</v>
      </c>
      <c r="B8" s="10" t="s">
        <v>2387</v>
      </c>
      <c r="C8" s="10" t="s">
        <v>2297</v>
      </c>
      <c r="D8" s="8">
        <f>RecoveryDCF!D32</f>
        <v>32.284876648616972</v>
      </c>
      <c r="E8" s="8">
        <f>RecoveryDCF!J32</f>
        <v>22.531615413069783</v>
      </c>
      <c r="F8" s="8">
        <f>DCF!D308</f>
        <v>41.311491168597854</v>
      </c>
      <c r="G8" s="15">
        <f t="shared" si="0"/>
        <v>0.78149870012820333</v>
      </c>
      <c r="H8" s="28">
        <f>DCF!D308</f>
        <v>41.311491168597854</v>
      </c>
      <c r="I8" s="30">
        <f t="shared" si="1"/>
        <v>0.78149870012820333</v>
      </c>
    </row>
    <row r="9" spans="1:9" ht="15" customHeight="1" x14ac:dyDescent="0.2">
      <c r="A9" s="10" t="s">
        <v>1175</v>
      </c>
      <c r="B9" s="10" t="s">
        <v>179</v>
      </c>
      <c r="C9" s="10" t="s">
        <v>2297</v>
      </c>
      <c r="D9" s="8">
        <f>RecoveryDCF!D32</f>
        <v>32.284876648616972</v>
      </c>
      <c r="E9" s="8">
        <f>RecoveryDCF!J32</f>
        <v>22.531615413069783</v>
      </c>
      <c r="F9" s="8">
        <f>DCF!D446</f>
        <v>44.928923674600469</v>
      </c>
      <c r="G9" s="15">
        <f t="shared" si="0"/>
        <v>0.71857667640652789</v>
      </c>
      <c r="H9" s="28">
        <f>DCF!D446</f>
        <v>44.928923674600469</v>
      </c>
      <c r="I9" s="30">
        <f t="shared" si="1"/>
        <v>0.71857667640652789</v>
      </c>
    </row>
    <row r="10" spans="1:9" ht="15" customHeight="1" x14ac:dyDescent="0.2">
      <c r="A10" s="10" t="s">
        <v>1175</v>
      </c>
      <c r="B10" s="10" t="s">
        <v>2387</v>
      </c>
      <c r="C10" s="10" t="s">
        <v>2322</v>
      </c>
      <c r="D10" s="8">
        <f>RecoveryDCF!D32</f>
        <v>32.284876648616972</v>
      </c>
      <c r="E10" s="8">
        <f>RecoveryDCF!J32</f>
        <v>22.531615413069783</v>
      </c>
      <c r="F10" s="8">
        <f>DCF!D584</f>
        <v>40.559273291932776</v>
      </c>
      <c r="G10" s="15">
        <f t="shared" si="0"/>
        <v>0.79599248281005131</v>
      </c>
      <c r="H10" s="28">
        <f>DCF!D584</f>
        <v>40.559273291932776</v>
      </c>
      <c r="I10" s="30">
        <f t="shared" si="1"/>
        <v>0.79599248281005131</v>
      </c>
    </row>
    <row r="11" spans="1:9" ht="15" customHeight="1" x14ac:dyDescent="0.2">
      <c r="A11" s="10" t="s">
        <v>1175</v>
      </c>
      <c r="B11" s="10" t="s">
        <v>179</v>
      </c>
      <c r="C11" s="10" t="s">
        <v>2322</v>
      </c>
      <c r="D11" s="8">
        <f>RecoveryDCF!D32</f>
        <v>32.284876648616972</v>
      </c>
      <c r="E11" s="8">
        <f>RecoveryDCF!J32</f>
        <v>22.531615413069783</v>
      </c>
      <c r="F11" s="8">
        <f>DCF!D722</f>
        <v>44.176705797935398</v>
      </c>
      <c r="G11" s="15">
        <f t="shared" si="0"/>
        <v>0.7308122248020994</v>
      </c>
      <c r="H11" s="28">
        <f>DCF!D722</f>
        <v>44.176705797935398</v>
      </c>
      <c r="I11" s="30">
        <f t="shared" si="1"/>
        <v>0.7308122248020994</v>
      </c>
    </row>
    <row r="12" spans="1:9" ht="15" customHeight="1" x14ac:dyDescent="0.2">
      <c r="A12" s="10" t="s">
        <v>1175</v>
      </c>
      <c r="B12" s="10" t="s">
        <v>2387</v>
      </c>
      <c r="C12" s="10" t="s">
        <v>2347</v>
      </c>
      <c r="D12" s="8">
        <f>RecoveryDCF!D32</f>
        <v>32.284876648616972</v>
      </c>
      <c r="E12" s="8">
        <f>RecoveryDCF!J32</f>
        <v>22.531615413069783</v>
      </c>
      <c r="F12" s="8">
        <f>DCF!D860</f>
        <v>37.801141077494172</v>
      </c>
      <c r="G12" s="15">
        <f t="shared" si="0"/>
        <v>0.85407148377958775</v>
      </c>
      <c r="H12" s="28">
        <f>DCF!D860</f>
        <v>37.801141077494172</v>
      </c>
      <c r="I12" s="30">
        <f t="shared" si="1"/>
        <v>0.85407148377958775</v>
      </c>
    </row>
    <row r="13" spans="1:9" ht="15" customHeight="1" x14ac:dyDescent="0.2">
      <c r="A13" s="10" t="s">
        <v>1175</v>
      </c>
      <c r="B13" s="10" t="s">
        <v>179</v>
      </c>
      <c r="C13" s="10" t="s">
        <v>2347</v>
      </c>
      <c r="D13" s="8">
        <f>RecoveryDCF!D32</f>
        <v>32.284876648616972</v>
      </c>
      <c r="E13" s="8">
        <f>RecoveryDCF!J32</f>
        <v>22.531615413069783</v>
      </c>
      <c r="F13" s="8">
        <f>DCF!D998</f>
        <v>41.418573583496794</v>
      </c>
      <c r="G13" s="15">
        <f t="shared" si="0"/>
        <v>0.77947823537507965</v>
      </c>
      <c r="H13" s="28">
        <f>DCF!D998</f>
        <v>41.418573583496794</v>
      </c>
      <c r="I13" s="30">
        <f t="shared" si="1"/>
        <v>0.77947823537507965</v>
      </c>
    </row>
    <row r="14" spans="1:9" ht="15" customHeight="1" x14ac:dyDescent="0.2">
      <c r="A14" s="10" t="s">
        <v>2388</v>
      </c>
      <c r="B14" s="10" t="s">
        <v>2387</v>
      </c>
      <c r="C14" s="10" t="s">
        <v>2272</v>
      </c>
      <c r="D14" s="8">
        <f>RecoveryDCF!D78</f>
        <v>31.904742398820275</v>
      </c>
      <c r="E14" s="8">
        <f>RecoveryDCF!J78</f>
        <v>22.266319720136668</v>
      </c>
      <c r="F14" s="8">
        <f>DCF!D32</f>
        <v>43.317405506371379</v>
      </c>
      <c r="G14" s="15">
        <f t="shared" si="0"/>
        <v>0.73653401042515199</v>
      </c>
      <c r="H14" s="28">
        <f>DCF!D4448</f>
        <v>44.096988868322626</v>
      </c>
      <c r="I14" s="30">
        <f t="shared" si="1"/>
        <v>0.72351294765478347</v>
      </c>
    </row>
    <row r="15" spans="1:9" ht="15" customHeight="1" x14ac:dyDescent="0.2">
      <c r="A15" s="10" t="s">
        <v>2388</v>
      </c>
      <c r="B15" s="10" t="s">
        <v>179</v>
      </c>
      <c r="C15" s="10" t="s">
        <v>2272</v>
      </c>
      <c r="D15" s="8">
        <f>RecoveryDCF!D78</f>
        <v>31.904742398820275</v>
      </c>
      <c r="E15" s="8">
        <f>RecoveryDCF!J78</f>
        <v>22.266319720136668</v>
      </c>
      <c r="F15" s="8">
        <f>DCF!D170</f>
        <v>46.934838012374001</v>
      </c>
      <c r="G15" s="15">
        <f t="shared" si="0"/>
        <v>0.67976675215985283</v>
      </c>
      <c r="H15" s="28">
        <f>DCF!D4540</f>
        <v>48.094678724259303</v>
      </c>
      <c r="I15" s="30">
        <f t="shared" si="1"/>
        <v>0.66337364642228691</v>
      </c>
    </row>
    <row r="16" spans="1:9" ht="15" customHeight="1" x14ac:dyDescent="0.2">
      <c r="A16" s="10" t="s">
        <v>2388</v>
      </c>
      <c r="B16" s="10" t="s">
        <v>2387</v>
      </c>
      <c r="C16" s="10" t="s">
        <v>2297</v>
      </c>
      <c r="D16" s="8">
        <f>RecoveryDCF!D78</f>
        <v>31.904742398820275</v>
      </c>
      <c r="E16" s="8">
        <f>RecoveryDCF!J78</f>
        <v>22.266319720136668</v>
      </c>
      <c r="F16" s="8">
        <f>DCF!D308</f>
        <v>41.311491168597854</v>
      </c>
      <c r="G16" s="15">
        <f t="shared" si="0"/>
        <v>0.77229704124241494</v>
      </c>
      <c r="H16" s="28">
        <f>DCF!D4632</f>
        <v>41.88021678295857</v>
      </c>
      <c r="I16" s="30">
        <f t="shared" si="1"/>
        <v>0.76180938996004899</v>
      </c>
    </row>
    <row r="17" spans="1:9" ht="15" customHeight="1" x14ac:dyDescent="0.2">
      <c r="A17" s="10" t="s">
        <v>2388</v>
      </c>
      <c r="B17" s="10" t="s">
        <v>179</v>
      </c>
      <c r="C17" s="10" t="s">
        <v>2297</v>
      </c>
      <c r="D17" s="8">
        <f>RecoveryDCF!D78</f>
        <v>31.904742398820275</v>
      </c>
      <c r="E17" s="8">
        <f>RecoveryDCF!J78</f>
        <v>22.266319720136668</v>
      </c>
      <c r="F17" s="8">
        <f>DCF!D446</f>
        <v>44.928923674600469</v>
      </c>
      <c r="G17" s="15">
        <f t="shared" si="0"/>
        <v>0.7101158850341408</v>
      </c>
      <c r="H17" s="28">
        <f>DCF!D4724</f>
        <v>45.87790663889524</v>
      </c>
      <c r="I17" s="30">
        <f t="shared" si="1"/>
        <v>0.69542716170426722</v>
      </c>
    </row>
    <row r="18" spans="1:9" ht="15" customHeight="1" x14ac:dyDescent="0.2">
      <c r="A18" s="10" t="s">
        <v>2388</v>
      </c>
      <c r="B18" s="10" t="s">
        <v>2387</v>
      </c>
      <c r="C18" s="10" t="s">
        <v>2322</v>
      </c>
      <c r="D18" s="8">
        <f>RecoveryDCF!D78</f>
        <v>31.904742398820275</v>
      </c>
      <c r="E18" s="8">
        <f>RecoveryDCF!J78</f>
        <v>22.266319720136668</v>
      </c>
      <c r="F18" s="8">
        <f>DCF!D584</f>
        <v>40.559273291932776</v>
      </c>
      <c r="G18" s="15">
        <f t="shared" si="0"/>
        <v>0.78662016868941576</v>
      </c>
      <c r="H18" s="28">
        <f>DCF!D4816</f>
        <v>41.048927250947038</v>
      </c>
      <c r="I18" s="30">
        <f t="shared" si="1"/>
        <v>0.77723693493315837</v>
      </c>
    </row>
    <row r="19" spans="1:9" ht="15" customHeight="1" x14ac:dyDescent="0.2">
      <c r="A19" s="10" t="s">
        <v>2388</v>
      </c>
      <c r="B19" s="10" t="s">
        <v>179</v>
      </c>
      <c r="C19" s="10" t="s">
        <v>2322</v>
      </c>
      <c r="D19" s="8">
        <f>RecoveryDCF!D78</f>
        <v>31.904742398820275</v>
      </c>
      <c r="E19" s="8">
        <f>RecoveryDCF!J78</f>
        <v>22.266319720136668</v>
      </c>
      <c r="F19" s="8">
        <f>DCF!D722</f>
        <v>44.176705797935398</v>
      </c>
      <c r="G19" s="15">
        <f t="shared" si="0"/>
        <v>0.72220736749256087</v>
      </c>
      <c r="H19" s="28">
        <f>DCF!D4908</f>
        <v>45.046617106883708</v>
      </c>
      <c r="I19" s="30">
        <f t="shared" si="1"/>
        <v>0.708260563121061</v>
      </c>
    </row>
    <row r="20" spans="1:9" ht="15" customHeight="1" x14ac:dyDescent="0.2">
      <c r="A20" s="10" t="s">
        <v>2388</v>
      </c>
      <c r="B20" s="10" t="s">
        <v>2387</v>
      </c>
      <c r="C20" s="10" t="s">
        <v>2347</v>
      </c>
      <c r="D20" s="8">
        <f>RecoveryDCF!D78</f>
        <v>31.904742398820275</v>
      </c>
      <c r="E20" s="8">
        <f>RecoveryDCF!J78</f>
        <v>22.266319720136668</v>
      </c>
      <c r="F20" s="8">
        <f>DCF!D860</f>
        <v>37.801141077494172</v>
      </c>
      <c r="G20" s="15">
        <f t="shared" si="0"/>
        <v>0.84401532571236426</v>
      </c>
      <c r="H20" s="28">
        <f>DCF!D5000</f>
        <v>38.000865633571451</v>
      </c>
      <c r="I20" s="30">
        <f t="shared" si="1"/>
        <v>0.83957935870372324</v>
      </c>
    </row>
    <row r="21" spans="1:9" ht="15" customHeight="1" x14ac:dyDescent="0.2">
      <c r="A21" s="10" t="s">
        <v>2388</v>
      </c>
      <c r="B21" s="10" t="s">
        <v>179</v>
      </c>
      <c r="C21" s="10" t="s">
        <v>2347</v>
      </c>
      <c r="D21" s="8">
        <f>RecoveryDCF!D78</f>
        <v>31.904742398820275</v>
      </c>
      <c r="E21" s="8">
        <f>RecoveryDCF!J78</f>
        <v>22.266319720136668</v>
      </c>
      <c r="F21" s="8">
        <f>DCF!D998</f>
        <v>41.418573583496794</v>
      </c>
      <c r="G21" s="15">
        <f t="shared" si="0"/>
        <v>0.77030036619930098</v>
      </c>
      <c r="H21" s="28">
        <f>DCF!D5092</f>
        <v>41.998555489508121</v>
      </c>
      <c r="I21" s="30">
        <f t="shared" si="1"/>
        <v>0.75966285094711328</v>
      </c>
    </row>
    <row r="22" spans="1:9" ht="15" customHeight="1" x14ac:dyDescent="0.2">
      <c r="A22" s="10" t="s">
        <v>2389</v>
      </c>
      <c r="B22" s="10" t="s">
        <v>2387</v>
      </c>
      <c r="C22" s="10" t="s">
        <v>2272</v>
      </c>
      <c r="D22" s="8">
        <f>RecoveryDCF!D124</f>
        <v>32.55444198319757</v>
      </c>
      <c r="E22" s="8">
        <f>RecoveryDCF!J124</f>
        <v>22.719745060073585</v>
      </c>
      <c r="F22" s="8">
        <f>DCF!D32</f>
        <v>43.317405506371379</v>
      </c>
      <c r="G22" s="15">
        <f t="shared" si="0"/>
        <v>0.75153259071366296</v>
      </c>
      <c r="H22" s="28">
        <f>DCF!D4494</f>
        <v>38.851409326716933</v>
      </c>
      <c r="I22" s="30">
        <f t="shared" si="1"/>
        <v>0.83792177806046464</v>
      </c>
    </row>
    <row r="23" spans="1:9" ht="15" customHeight="1" x14ac:dyDescent="0.2">
      <c r="A23" s="10" t="s">
        <v>2389</v>
      </c>
      <c r="B23" s="10" t="s">
        <v>179</v>
      </c>
      <c r="C23" s="10" t="s">
        <v>2272</v>
      </c>
      <c r="D23" s="8">
        <f>RecoveryDCF!D124</f>
        <v>32.55444198319757</v>
      </c>
      <c r="E23" s="8">
        <f>RecoveryDCF!J124</f>
        <v>22.719745060073585</v>
      </c>
      <c r="F23" s="8">
        <f>DCF!D170</f>
        <v>46.934838012374001</v>
      </c>
      <c r="G23" s="15">
        <f t="shared" si="0"/>
        <v>0.69360933928470891</v>
      </c>
      <c r="H23" s="28">
        <f>DCF!D4586</f>
        <v>40.916108603861659</v>
      </c>
      <c r="I23" s="30">
        <f t="shared" si="1"/>
        <v>0.79563876170093761</v>
      </c>
    </row>
    <row r="24" spans="1:9" ht="15" customHeight="1" x14ac:dyDescent="0.2">
      <c r="A24" s="10" t="s">
        <v>2389</v>
      </c>
      <c r="B24" s="10" t="s">
        <v>2387</v>
      </c>
      <c r="C24" s="10" t="s">
        <v>2297</v>
      </c>
      <c r="D24" s="8">
        <f>RecoveryDCF!D124</f>
        <v>32.55444198319757</v>
      </c>
      <c r="E24" s="8">
        <f>RecoveryDCF!J124</f>
        <v>22.719745060073585</v>
      </c>
      <c r="F24" s="8">
        <f>DCF!D308</f>
        <v>41.311491168597854</v>
      </c>
      <c r="G24" s="15">
        <f t="shared" si="0"/>
        <v>0.78802389026187492</v>
      </c>
      <c r="H24" s="28">
        <f>DCF!D4678</f>
        <v>37.70650617334978</v>
      </c>
      <c r="I24" s="30">
        <f t="shared" si="1"/>
        <v>0.86336405270574801</v>
      </c>
    </row>
    <row r="25" spans="1:9" ht="15" customHeight="1" x14ac:dyDescent="0.2">
      <c r="A25" s="10" t="s">
        <v>2389</v>
      </c>
      <c r="B25" s="10" t="s">
        <v>179</v>
      </c>
      <c r="C25" s="10" t="s">
        <v>2297</v>
      </c>
      <c r="D25" s="8">
        <f>RecoveryDCF!D124</f>
        <v>32.55444198319757</v>
      </c>
      <c r="E25" s="8">
        <f>RecoveryDCF!J124</f>
        <v>22.719745060073585</v>
      </c>
      <c r="F25" s="8">
        <f>DCF!D446</f>
        <v>44.928923674600469</v>
      </c>
      <c r="G25" s="15">
        <f t="shared" si="0"/>
        <v>0.72457649372983923</v>
      </c>
      <c r="H25" s="28">
        <f>DCF!D4770</f>
        <v>39.771205450494506</v>
      </c>
      <c r="I25" s="30">
        <f t="shared" si="1"/>
        <v>0.81854300402636637</v>
      </c>
    </row>
    <row r="26" spans="1:9" ht="15" customHeight="1" x14ac:dyDescent="0.2">
      <c r="A26" s="10" t="s">
        <v>2389</v>
      </c>
      <c r="B26" s="10" t="s">
        <v>2387</v>
      </c>
      <c r="C26" s="10" t="s">
        <v>2322</v>
      </c>
      <c r="D26" s="8">
        <f>RecoveryDCF!D124</f>
        <v>32.55444198319757</v>
      </c>
      <c r="E26" s="8">
        <f>RecoveryDCF!J124</f>
        <v>22.719745060073585</v>
      </c>
      <c r="F26" s="8">
        <f>DCF!D584</f>
        <v>40.559273291932776</v>
      </c>
      <c r="G26" s="15">
        <f t="shared" si="0"/>
        <v>0.80263869001993771</v>
      </c>
      <c r="H26" s="28">
        <f>DCF!D4862</f>
        <v>37.277167490837094</v>
      </c>
      <c r="I26" s="30">
        <f t="shared" si="1"/>
        <v>0.87330782284355724</v>
      </c>
    </row>
    <row r="27" spans="1:9" ht="15" customHeight="1" x14ac:dyDescent="0.2">
      <c r="A27" s="10" t="s">
        <v>2389</v>
      </c>
      <c r="B27" s="10" t="s">
        <v>179</v>
      </c>
      <c r="C27" s="10" t="s">
        <v>2322</v>
      </c>
      <c r="D27" s="8">
        <f>RecoveryDCF!D124</f>
        <v>32.55444198319757</v>
      </c>
      <c r="E27" s="8">
        <f>RecoveryDCF!J124</f>
        <v>22.719745060073585</v>
      </c>
      <c r="F27" s="8">
        <f>DCF!D722</f>
        <v>44.176705797935398</v>
      </c>
      <c r="G27" s="15">
        <f t="shared" si="0"/>
        <v>0.73691420388160778</v>
      </c>
      <c r="H27" s="28">
        <f>DCF!D4954</f>
        <v>39.34186676798182</v>
      </c>
      <c r="I27" s="30">
        <f t="shared" si="1"/>
        <v>0.82747578235641428</v>
      </c>
    </row>
    <row r="28" spans="1:9" ht="15" customHeight="1" x14ac:dyDescent="0.2">
      <c r="A28" s="10" t="s">
        <v>2389</v>
      </c>
      <c r="B28" s="10" t="s">
        <v>2387</v>
      </c>
      <c r="C28" s="10" t="s">
        <v>2347</v>
      </c>
      <c r="D28" s="8">
        <f>RecoveryDCF!D124</f>
        <v>32.55444198319757</v>
      </c>
      <c r="E28" s="8">
        <f>RecoveryDCF!J124</f>
        <v>22.719745060073585</v>
      </c>
      <c r="F28" s="8">
        <f>DCF!D860</f>
        <v>37.801141077494172</v>
      </c>
      <c r="G28" s="15">
        <f t="shared" si="0"/>
        <v>0.86120262656779023</v>
      </c>
      <c r="H28" s="28">
        <f>DCF!D5046</f>
        <v>35.702925654957248</v>
      </c>
      <c r="I28" s="30">
        <f t="shared" si="1"/>
        <v>0.91181440697080463</v>
      </c>
    </row>
    <row r="29" spans="1:9" ht="15" customHeight="1" x14ac:dyDescent="0.2">
      <c r="A29" s="10" t="s">
        <v>2389</v>
      </c>
      <c r="B29" s="10" t="s">
        <v>179</v>
      </c>
      <c r="C29" s="10" t="s">
        <v>2347</v>
      </c>
      <c r="D29" s="8">
        <f>RecoveryDCF!D124</f>
        <v>32.55444198319757</v>
      </c>
      <c r="E29" s="8">
        <f>RecoveryDCF!J124</f>
        <v>22.719745060073585</v>
      </c>
      <c r="F29" s="8">
        <f>DCF!D998</f>
        <v>41.418573583496794</v>
      </c>
      <c r="G29" s="15">
        <f t="shared" si="0"/>
        <v>0.78598655546575524</v>
      </c>
      <c r="H29" s="28">
        <f>DCF!D5138</f>
        <v>37.767624932101974</v>
      </c>
      <c r="I29" s="30">
        <f t="shared" si="1"/>
        <v>0.86196688411631439</v>
      </c>
    </row>
    <row r="31" spans="1:9" ht="15" customHeight="1" x14ac:dyDescent="0.2">
      <c r="A31" s="10" t="s">
        <v>2390</v>
      </c>
      <c r="D31" s="8">
        <f>DCF!D1136</f>
        <v>32.751928785615732</v>
      </c>
    </row>
  </sheetData>
  <mergeCells count="3">
    <mergeCell ref="A2:I2"/>
    <mergeCell ref="A4:I4"/>
    <mergeCell ref="A3:I3"/>
  </mergeCells>
  <printOptions horizontalCentered="1"/>
  <pageMargins left="0.2" right="0.2" top="0.25" bottom="0.55000000000000004" header="0.5" footer="0.5"/>
  <pageSetup paperSize="8" scale="82"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F13"/>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30" customWidth="1"/>
    <col min="2" max="2" width="22" customWidth="1"/>
    <col min="3" max="3" width="18" customWidth="1"/>
    <col min="4" max="5" width="23" customWidth="1"/>
    <col min="6" max="6" width="72" customWidth="1"/>
    <col min="7" max="17" width="19" customWidth="1"/>
  </cols>
  <sheetData>
    <row r="2" spans="1:6" ht="21" customHeight="1" x14ac:dyDescent="0.2">
      <c r="A2" s="103" t="s">
        <v>2391</v>
      </c>
      <c r="B2" s="91"/>
      <c r="C2" s="91"/>
      <c r="D2" s="91"/>
      <c r="E2" s="91"/>
      <c r="F2" s="91"/>
    </row>
    <row r="3" spans="1:6" ht="27"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row>
    <row r="4" spans="1:6" ht="15" customHeight="1" x14ac:dyDescent="0.2">
      <c r="A4" s="90" t="s">
        <v>2392</v>
      </c>
      <c r="B4" s="91"/>
      <c r="C4" s="91"/>
      <c r="D4" s="91"/>
      <c r="E4" s="91"/>
      <c r="F4" s="91"/>
    </row>
    <row r="5" spans="1:6" ht="27" customHeight="1" x14ac:dyDescent="0.2">
      <c r="A5" s="4" t="s">
        <v>2380</v>
      </c>
      <c r="B5" s="14" t="s">
        <v>2393</v>
      </c>
      <c r="C5" s="4" t="s">
        <v>2394</v>
      </c>
      <c r="D5" s="14" t="s">
        <v>2395</v>
      </c>
      <c r="E5" s="14" t="s">
        <v>2396</v>
      </c>
      <c r="F5" s="14" t="s">
        <v>2397</v>
      </c>
    </row>
    <row r="6" spans="1:6" ht="27" customHeight="1" x14ac:dyDescent="0.2">
      <c r="A6" s="10" t="s">
        <v>71</v>
      </c>
      <c r="B6" s="3" t="s">
        <v>2398</v>
      </c>
      <c r="C6" s="16">
        <f>Prices!I6</f>
        <v>43700</v>
      </c>
      <c r="D6" s="8">
        <f>C6/Inputs!$D$39</f>
        <v>950</v>
      </c>
      <c r="E6" s="8">
        <f>C6/Inputs!$D$27</f>
        <v>47.916666666666664</v>
      </c>
      <c r="F6" s="3" t="s">
        <v>2399</v>
      </c>
    </row>
    <row r="7" spans="1:6" ht="27" customHeight="1" x14ac:dyDescent="0.2">
      <c r="A7" s="10" t="s">
        <v>71</v>
      </c>
      <c r="B7" s="3" t="s">
        <v>131</v>
      </c>
      <c r="C7" s="16">
        <f>Prices!K6</f>
        <v>58028.700386874909</v>
      </c>
      <c r="D7" s="8">
        <f>C7/Inputs!$D$39</f>
        <v>1261.4934866711938</v>
      </c>
      <c r="E7" s="8">
        <f>C7/Inputs!$D$27</f>
        <v>63.62796095052073</v>
      </c>
      <c r="F7" s="3" t="s">
        <v>2399</v>
      </c>
    </row>
    <row r="8" spans="1:6" ht="27" customHeight="1" x14ac:dyDescent="0.2">
      <c r="A8" s="10" t="s">
        <v>73</v>
      </c>
      <c r="B8" s="3" t="s">
        <v>2398</v>
      </c>
      <c r="C8" s="16">
        <f>Prices!I7</f>
        <v>35754.545454545456</v>
      </c>
      <c r="D8" s="8">
        <f>C8/Inputs!$D$39</f>
        <v>777.27272727272725</v>
      </c>
      <c r="E8" s="8">
        <f>C8/Inputs!$D$27</f>
        <v>39.204545454545453</v>
      </c>
      <c r="F8" s="3" t="s">
        <v>2399</v>
      </c>
    </row>
    <row r="9" spans="1:6" ht="27" customHeight="1" x14ac:dyDescent="0.2">
      <c r="A9" s="10" t="s">
        <v>73</v>
      </c>
      <c r="B9" s="3" t="s">
        <v>131</v>
      </c>
      <c r="C9" s="16">
        <f>Prices!K7</f>
        <v>50083.245841420365</v>
      </c>
      <c r="D9" s="8">
        <f>C9/Inputs!$D$39</f>
        <v>1088.766213943921</v>
      </c>
      <c r="E9" s="8">
        <f>C9/Inputs!$D$27</f>
        <v>54.915839738399519</v>
      </c>
      <c r="F9" s="3" t="s">
        <v>2399</v>
      </c>
    </row>
    <row r="10" spans="1:6" ht="27" customHeight="1" x14ac:dyDescent="0.2">
      <c r="A10" s="10" t="s">
        <v>75</v>
      </c>
      <c r="B10" s="3" t="s">
        <v>2398</v>
      </c>
      <c r="C10" s="16">
        <f>Prices!I8</f>
        <v>32775</v>
      </c>
      <c r="D10" s="8">
        <f>C10/Inputs!$D$39</f>
        <v>712.5</v>
      </c>
      <c r="E10" s="8">
        <f>C10/Inputs!$D$27</f>
        <v>35.9375</v>
      </c>
      <c r="F10" s="3" t="s">
        <v>2399</v>
      </c>
    </row>
    <row r="11" spans="1:6" ht="27" customHeight="1" x14ac:dyDescent="0.2">
      <c r="A11" s="10" t="s">
        <v>75</v>
      </c>
      <c r="B11" s="3" t="s">
        <v>131</v>
      </c>
      <c r="C11" s="16">
        <f>Prices!K8</f>
        <v>47103.700386874909</v>
      </c>
      <c r="D11" s="8">
        <f>C11/Inputs!$D$39</f>
        <v>1023.9934866711936</v>
      </c>
      <c r="E11" s="8">
        <f>C11/Inputs!$D$27</f>
        <v>51.648794283854066</v>
      </c>
      <c r="F11" s="3" t="s">
        <v>2399</v>
      </c>
    </row>
    <row r="12" spans="1:6" ht="27" customHeight="1" x14ac:dyDescent="0.2">
      <c r="A12" s="10" t="s">
        <v>77</v>
      </c>
      <c r="B12" s="3" t="s">
        <v>2398</v>
      </c>
      <c r="C12" s="16">
        <f>Prices!I9</f>
        <v>21850</v>
      </c>
      <c r="D12" s="8">
        <f>C12/Inputs!$D$39</f>
        <v>475</v>
      </c>
      <c r="E12" s="8">
        <f>C12/Inputs!$D$27</f>
        <v>23.958333333333332</v>
      </c>
      <c r="F12" s="3" t="s">
        <v>2399</v>
      </c>
    </row>
    <row r="13" spans="1:6" ht="27" customHeight="1" x14ac:dyDescent="0.2">
      <c r="A13" s="10" t="s">
        <v>77</v>
      </c>
      <c r="B13" s="3" t="s">
        <v>131</v>
      </c>
      <c r="C13" s="16">
        <f>Prices!K9</f>
        <v>36178.700386874909</v>
      </c>
      <c r="D13" s="8">
        <f>C13/Inputs!$D$39</f>
        <v>786.49348667119364</v>
      </c>
      <c r="E13" s="8">
        <f>C13/Inputs!$D$27</f>
        <v>39.669627617187402</v>
      </c>
      <c r="F13" s="3" t="s">
        <v>2399</v>
      </c>
    </row>
  </sheetData>
  <mergeCells count="3">
    <mergeCell ref="A3:F3"/>
    <mergeCell ref="A2:F2"/>
    <mergeCell ref="A4:F4"/>
  </mergeCells>
  <printOptions horizontalCentered="1"/>
  <pageMargins left="0.2" right="0.2" top="0.25" bottom="0.55000000000000004" header="0.5" footer="0.5"/>
  <pageSetup paperSize="8" scale="80"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H115"/>
  <sheetViews>
    <sheetView showGridLines="0" zoomScale="85" workbookViewId="0">
      <pane xSplit="3" ySplit="5" topLeftCell="D6" activePane="bottomRight" state="frozen"/>
      <selection pane="topRight"/>
      <selection pane="bottomLeft"/>
      <selection pane="bottomRight" activeCell="D6" sqref="D6"/>
    </sheetView>
  </sheetViews>
  <sheetFormatPr defaultRowHeight="15" customHeight="1" x14ac:dyDescent="0.2"/>
  <cols>
    <col min="1" max="1" width="36" customWidth="1"/>
    <col min="2" max="2" width="19" customWidth="1"/>
    <col min="3" max="3" width="29" customWidth="1"/>
    <col min="4" max="4" width="15" customWidth="1"/>
    <col min="5" max="5" width="17" customWidth="1"/>
    <col min="6" max="6" width="52" customWidth="1"/>
    <col min="7" max="7" width="24" customWidth="1"/>
    <col min="8" max="8" width="38" customWidth="1"/>
    <col min="9" max="17" width="19" customWidth="1"/>
  </cols>
  <sheetData>
    <row r="2" spans="1:8" ht="21" customHeight="1" x14ac:dyDescent="0.2">
      <c r="A2" s="103" t="s">
        <v>2400</v>
      </c>
      <c r="B2" s="91"/>
      <c r="C2" s="91"/>
      <c r="D2" s="91"/>
      <c r="E2" s="91"/>
      <c r="F2" s="91"/>
      <c r="G2" s="91"/>
      <c r="H2" s="91"/>
    </row>
    <row r="3" spans="1:8" ht="15" customHeight="1" x14ac:dyDescent="0.2">
      <c r="A3" s="90" t="str">
        <f>"Public record as at "&amp;TEXT(Inputs!$D$13,"d mmmm yyyy")&amp;". General information only. Analysis and conditional scenarios. No investment advice, recommendation, price target or rating. The analysis does not take into account any person's objectives, financial situation or needs."</f>
        <v>Public record as at 12 October 2026. General information only. Analysis and conditional scenarios. No investment advice, recommendation, price target or rating. The analysis does not take into account any person's objectives, financial situation or needs.</v>
      </c>
      <c r="B3" s="91"/>
      <c r="C3" s="91"/>
      <c r="D3" s="91"/>
      <c r="E3" s="91"/>
      <c r="F3" s="91"/>
      <c r="G3" s="91"/>
      <c r="H3" s="91"/>
    </row>
    <row r="4" spans="1:8" ht="15" customHeight="1" x14ac:dyDescent="0.2">
      <c r="A4" s="92" t="s">
        <v>2401</v>
      </c>
      <c r="B4" s="91"/>
      <c r="C4" s="91"/>
      <c r="D4" s="91"/>
      <c r="E4" s="91"/>
      <c r="F4" s="91"/>
      <c r="G4" s="91"/>
      <c r="H4" s="91"/>
    </row>
    <row r="5" spans="1:8" ht="15" customHeight="1" x14ac:dyDescent="0.2">
      <c r="A5" s="4" t="s">
        <v>2402</v>
      </c>
      <c r="B5" s="4" t="s">
        <v>94</v>
      </c>
      <c r="C5" s="4" t="s">
        <v>95</v>
      </c>
      <c r="D5" s="4" t="s">
        <v>2403</v>
      </c>
      <c r="E5" s="4" t="s">
        <v>136</v>
      </c>
      <c r="F5" s="4" t="s">
        <v>801</v>
      </c>
      <c r="G5" s="4" t="s">
        <v>2404</v>
      </c>
      <c r="H5" s="4" t="s">
        <v>66</v>
      </c>
    </row>
    <row r="6" spans="1:8" ht="39" customHeight="1" x14ac:dyDescent="0.2">
      <c r="A6" s="10" t="s">
        <v>2405</v>
      </c>
      <c r="B6" s="8">
        <f>DCF!D32</f>
        <v>43.317405506371379</v>
      </c>
      <c r="C6" s="3" t="s">
        <v>2406</v>
      </c>
      <c r="D6" s="10" t="s">
        <v>2407</v>
      </c>
      <c r="E6" s="88">
        <f>Inputs!$D$13</f>
        <v>46307</v>
      </c>
      <c r="F6" s="3" t="s">
        <v>2408</v>
      </c>
      <c r="G6" s="10" t="s">
        <v>2409</v>
      </c>
      <c r="H6" s="3" t="s">
        <v>2410</v>
      </c>
    </row>
    <row r="7" spans="1:8" ht="39" customHeight="1" x14ac:dyDescent="0.2">
      <c r="A7" s="3" t="s">
        <v>2411</v>
      </c>
      <c r="B7" s="8">
        <f>DCF!J32</f>
        <v>30.231217302896585</v>
      </c>
      <c r="C7" s="3" t="s">
        <v>1086</v>
      </c>
      <c r="D7" s="10" t="s">
        <v>2407</v>
      </c>
      <c r="E7" s="88">
        <f>Inputs!$D$13</f>
        <v>46307</v>
      </c>
      <c r="F7" s="3" t="s">
        <v>2408</v>
      </c>
      <c r="G7" s="10" t="s">
        <v>2412</v>
      </c>
      <c r="H7" s="3" t="s">
        <v>2410</v>
      </c>
    </row>
    <row r="8" spans="1:8" ht="39" customHeight="1" x14ac:dyDescent="0.2">
      <c r="A8" s="10" t="s">
        <v>2413</v>
      </c>
      <c r="B8" s="87">
        <f>DCF!D48</f>
        <v>7.8774017689203433</v>
      </c>
      <c r="C8" s="10" t="s">
        <v>1067</v>
      </c>
      <c r="D8" s="10" t="s">
        <v>2414</v>
      </c>
      <c r="E8" s="88">
        <f>Inputs!$D$13</f>
        <v>46307</v>
      </c>
      <c r="F8" s="3" t="s">
        <v>2408</v>
      </c>
      <c r="G8" s="10" t="s">
        <v>2415</v>
      </c>
      <c r="H8" s="3" t="s">
        <v>2416</v>
      </c>
    </row>
    <row r="9" spans="1:8" ht="39" customHeight="1" x14ac:dyDescent="0.2">
      <c r="A9" s="3" t="s">
        <v>2417</v>
      </c>
      <c r="B9" s="15">
        <f>DCF!D47</f>
        <v>0.74219710610835576</v>
      </c>
      <c r="C9" s="10" t="s">
        <v>104</v>
      </c>
      <c r="D9" s="10" t="s">
        <v>2418</v>
      </c>
      <c r="E9" s="88">
        <f>Inputs!$D$13</f>
        <v>46307</v>
      </c>
      <c r="F9" s="3" t="s">
        <v>2408</v>
      </c>
      <c r="G9" s="10" t="s">
        <v>2419</v>
      </c>
      <c r="H9" s="3" t="s">
        <v>2410</v>
      </c>
    </row>
    <row r="10" spans="1:8" ht="39" customHeight="1" x14ac:dyDescent="0.2">
      <c r="A10" s="10" t="s">
        <v>2420</v>
      </c>
      <c r="B10" s="8">
        <f>DCF!D170</f>
        <v>46.934838012374001</v>
      </c>
      <c r="C10" s="3" t="s">
        <v>2406</v>
      </c>
      <c r="D10" s="10" t="s">
        <v>2407</v>
      </c>
      <c r="E10" s="88">
        <f>Inputs!$D$13</f>
        <v>46307</v>
      </c>
      <c r="F10" s="3" t="s">
        <v>2408</v>
      </c>
      <c r="G10" s="10" t="s">
        <v>2421</v>
      </c>
      <c r="H10" s="3" t="s">
        <v>2422</v>
      </c>
    </row>
    <row r="11" spans="1:8" ht="39" customHeight="1" x14ac:dyDescent="0.2">
      <c r="A11" s="3" t="s">
        <v>2423</v>
      </c>
      <c r="B11" s="8">
        <f>DCF!J170</f>
        <v>32.755823448835812</v>
      </c>
      <c r="C11" s="3" t="s">
        <v>1086</v>
      </c>
      <c r="D11" s="10" t="s">
        <v>2407</v>
      </c>
      <c r="E11" s="88">
        <f>Inputs!$D$13</f>
        <v>46307</v>
      </c>
      <c r="F11" s="3" t="s">
        <v>2408</v>
      </c>
      <c r="G11" s="10" t="s">
        <v>2424</v>
      </c>
      <c r="H11" s="3" t="s">
        <v>2422</v>
      </c>
    </row>
    <row r="12" spans="1:8" ht="39" customHeight="1" x14ac:dyDescent="0.2">
      <c r="A12" s="10" t="s">
        <v>2425</v>
      </c>
      <c r="B12" s="87">
        <f>DCF!D186</f>
        <v>8.5352428581689512</v>
      </c>
      <c r="C12" s="10" t="s">
        <v>1067</v>
      </c>
      <c r="D12" s="10" t="s">
        <v>2414</v>
      </c>
      <c r="E12" s="88">
        <f>Inputs!$D$13</f>
        <v>46307</v>
      </c>
      <c r="F12" s="3" t="s">
        <v>2408</v>
      </c>
      <c r="G12" s="10" t="s">
        <v>2426</v>
      </c>
      <c r="H12" s="3" t="s">
        <v>2427</v>
      </c>
    </row>
    <row r="13" spans="1:8" ht="39" customHeight="1" x14ac:dyDescent="0.2">
      <c r="A13" s="3" t="s">
        <v>2428</v>
      </c>
      <c r="B13" s="15">
        <f>DCF!D185</f>
        <v>0.68786215651574989</v>
      </c>
      <c r="C13" s="10" t="s">
        <v>104</v>
      </c>
      <c r="D13" s="10" t="s">
        <v>2418</v>
      </c>
      <c r="E13" s="88">
        <f>Inputs!$D$13</f>
        <v>46307</v>
      </c>
      <c r="F13" s="3" t="s">
        <v>2408</v>
      </c>
      <c r="G13" s="10" t="s">
        <v>2429</v>
      </c>
      <c r="H13" s="3" t="s">
        <v>2422</v>
      </c>
    </row>
    <row r="14" spans="1:8" ht="39" customHeight="1" x14ac:dyDescent="0.2">
      <c r="A14" s="10" t="s">
        <v>2430</v>
      </c>
      <c r="B14" s="8">
        <f>DCF!D308</f>
        <v>41.311491168597854</v>
      </c>
      <c r="C14" s="3" t="s">
        <v>2406</v>
      </c>
      <c r="D14" s="10" t="s">
        <v>2407</v>
      </c>
      <c r="E14" s="88">
        <f>Inputs!$D$13</f>
        <v>46307</v>
      </c>
      <c r="F14" s="3" t="s">
        <v>2408</v>
      </c>
      <c r="G14" s="10" t="s">
        <v>2431</v>
      </c>
      <c r="H14" s="3" t="s">
        <v>2432</v>
      </c>
    </row>
    <row r="15" spans="1:8" ht="39" customHeight="1" x14ac:dyDescent="0.2">
      <c r="A15" s="3" t="s">
        <v>2433</v>
      </c>
      <c r="B15" s="8">
        <f>DCF!J308</f>
        <v>28.831289686564443</v>
      </c>
      <c r="C15" s="3" t="s">
        <v>1086</v>
      </c>
      <c r="D15" s="10" t="s">
        <v>2407</v>
      </c>
      <c r="E15" s="88">
        <f>Inputs!$D$13</f>
        <v>46307</v>
      </c>
      <c r="F15" s="3" t="s">
        <v>2408</v>
      </c>
      <c r="G15" s="10" t="s">
        <v>2434</v>
      </c>
      <c r="H15" s="3" t="s">
        <v>2432</v>
      </c>
    </row>
    <row r="16" spans="1:8" ht="39" customHeight="1" x14ac:dyDescent="0.2">
      <c r="A16" s="10" t="s">
        <v>2435</v>
      </c>
      <c r="B16" s="87">
        <f>DCF!D324</f>
        <v>7.5126201535866244</v>
      </c>
      <c r="C16" s="10" t="s">
        <v>1067</v>
      </c>
      <c r="D16" s="10" t="s">
        <v>2414</v>
      </c>
      <c r="E16" s="88">
        <f>Inputs!$D$13</f>
        <v>46307</v>
      </c>
      <c r="F16" s="3" t="s">
        <v>2408</v>
      </c>
      <c r="G16" s="10" t="s">
        <v>2436</v>
      </c>
      <c r="H16" s="3" t="s">
        <v>2437</v>
      </c>
    </row>
    <row r="17" spans="1:8" ht="39" customHeight="1" x14ac:dyDescent="0.2">
      <c r="A17" s="3" t="s">
        <v>2438</v>
      </c>
      <c r="B17" s="15">
        <f>DCF!D323</f>
        <v>0.7910964235670167</v>
      </c>
      <c r="C17" s="10" t="s">
        <v>104</v>
      </c>
      <c r="D17" s="10" t="s">
        <v>2418</v>
      </c>
      <c r="E17" s="88">
        <f>Inputs!$D$13</f>
        <v>46307</v>
      </c>
      <c r="F17" s="3" t="s">
        <v>2408</v>
      </c>
      <c r="G17" s="10" t="s">
        <v>2439</v>
      </c>
      <c r="H17" s="3" t="s">
        <v>2432</v>
      </c>
    </row>
    <row r="18" spans="1:8" ht="39" customHeight="1" x14ac:dyDescent="0.2">
      <c r="A18" s="10" t="s">
        <v>2440</v>
      </c>
      <c r="B18" s="8">
        <f>DCF!D446</f>
        <v>44.928923674600469</v>
      </c>
      <c r="C18" s="3" t="s">
        <v>2406</v>
      </c>
      <c r="D18" s="10" t="s">
        <v>2407</v>
      </c>
      <c r="E18" s="88">
        <f>Inputs!$D$13</f>
        <v>46307</v>
      </c>
      <c r="F18" s="3" t="s">
        <v>2408</v>
      </c>
      <c r="G18" s="10" t="s">
        <v>2441</v>
      </c>
      <c r="H18" s="3" t="s">
        <v>2442</v>
      </c>
    </row>
    <row r="19" spans="1:8" ht="39" customHeight="1" x14ac:dyDescent="0.2">
      <c r="A19" s="3" t="s">
        <v>2443</v>
      </c>
      <c r="B19" s="8">
        <f>DCF!J446</f>
        <v>31.355895832503666</v>
      </c>
      <c r="C19" s="3" t="s">
        <v>1086</v>
      </c>
      <c r="D19" s="10" t="s">
        <v>2407</v>
      </c>
      <c r="E19" s="88">
        <f>Inputs!$D$13</f>
        <v>46307</v>
      </c>
      <c r="F19" s="3" t="s">
        <v>2408</v>
      </c>
      <c r="G19" s="10" t="s">
        <v>2444</v>
      </c>
      <c r="H19" s="3" t="s">
        <v>2442</v>
      </c>
    </row>
    <row r="20" spans="1:8" ht="39" customHeight="1" x14ac:dyDescent="0.2">
      <c r="A20" s="10" t="s">
        <v>2445</v>
      </c>
      <c r="B20" s="87">
        <f>DCF!D462</f>
        <v>8.1704612428352323</v>
      </c>
      <c r="C20" s="10" t="s">
        <v>1067</v>
      </c>
      <c r="D20" s="10" t="s">
        <v>2414</v>
      </c>
      <c r="E20" s="88">
        <f>Inputs!$D$13</f>
        <v>46307</v>
      </c>
      <c r="F20" s="3" t="s">
        <v>2408</v>
      </c>
      <c r="G20" s="10" t="s">
        <v>2446</v>
      </c>
      <c r="H20" s="3" t="s">
        <v>2447</v>
      </c>
    </row>
    <row r="21" spans="1:8" ht="39" customHeight="1" x14ac:dyDescent="0.2">
      <c r="A21" s="3" t="s">
        <v>2448</v>
      </c>
      <c r="B21" s="15">
        <f>DCF!D461</f>
        <v>0.71415152683178917</v>
      </c>
      <c r="C21" s="10" t="s">
        <v>104</v>
      </c>
      <c r="D21" s="10" t="s">
        <v>2418</v>
      </c>
      <c r="E21" s="88">
        <f>Inputs!$D$13</f>
        <v>46307</v>
      </c>
      <c r="F21" s="3" t="s">
        <v>2408</v>
      </c>
      <c r="G21" s="10" t="s">
        <v>2449</v>
      </c>
      <c r="H21" s="3" t="s">
        <v>2442</v>
      </c>
    </row>
    <row r="22" spans="1:8" ht="39" customHeight="1" x14ac:dyDescent="0.2">
      <c r="A22" s="3" t="s">
        <v>2450</v>
      </c>
      <c r="B22" s="8">
        <f>DCF!D584</f>
        <v>40.559273291932776</v>
      </c>
      <c r="C22" s="3" t="s">
        <v>2406</v>
      </c>
      <c r="D22" s="10" t="s">
        <v>2407</v>
      </c>
      <c r="E22" s="88">
        <f>Inputs!$D$13</f>
        <v>46307</v>
      </c>
      <c r="F22" s="3" t="s">
        <v>2408</v>
      </c>
      <c r="G22" s="10" t="s">
        <v>2451</v>
      </c>
      <c r="H22" s="3" t="s">
        <v>2452</v>
      </c>
    </row>
    <row r="23" spans="1:8" ht="39" customHeight="1" x14ac:dyDescent="0.2">
      <c r="A23" s="3" t="s">
        <v>2453</v>
      </c>
      <c r="B23" s="8">
        <f>DCF!J584</f>
        <v>28.306316830439883</v>
      </c>
      <c r="C23" s="3" t="s">
        <v>1086</v>
      </c>
      <c r="D23" s="10" t="s">
        <v>2407</v>
      </c>
      <c r="E23" s="88">
        <f>Inputs!$D$13</f>
        <v>46307</v>
      </c>
      <c r="F23" s="3" t="s">
        <v>2408</v>
      </c>
      <c r="G23" s="10" t="s">
        <v>2454</v>
      </c>
      <c r="H23" s="3" t="s">
        <v>2452</v>
      </c>
    </row>
    <row r="24" spans="1:8" ht="39" customHeight="1" x14ac:dyDescent="0.2">
      <c r="A24" s="10" t="s">
        <v>2455</v>
      </c>
      <c r="B24" s="87">
        <f>DCF!D600</f>
        <v>7.3758270478364798</v>
      </c>
      <c r="C24" s="10" t="s">
        <v>1067</v>
      </c>
      <c r="D24" s="10" t="s">
        <v>2414</v>
      </c>
      <c r="E24" s="88">
        <f>Inputs!$D$13</f>
        <v>46307</v>
      </c>
      <c r="F24" s="3" t="s">
        <v>2408</v>
      </c>
      <c r="G24" s="10" t="s">
        <v>2456</v>
      </c>
      <c r="H24" s="3" t="s">
        <v>2457</v>
      </c>
    </row>
    <row r="25" spans="1:8" ht="39" customHeight="1" x14ac:dyDescent="0.2">
      <c r="A25" s="3" t="s">
        <v>2458</v>
      </c>
      <c r="B25" s="15">
        <f>DCF!D599</f>
        <v>0.81554608229634784</v>
      </c>
      <c r="C25" s="10" t="s">
        <v>104</v>
      </c>
      <c r="D25" s="10" t="s">
        <v>2418</v>
      </c>
      <c r="E25" s="88">
        <f>Inputs!$D$13</f>
        <v>46307</v>
      </c>
      <c r="F25" s="3" t="s">
        <v>2408</v>
      </c>
      <c r="G25" s="10" t="s">
        <v>2459</v>
      </c>
      <c r="H25" s="3" t="s">
        <v>2452</v>
      </c>
    </row>
    <row r="26" spans="1:8" ht="39" customHeight="1" x14ac:dyDescent="0.2">
      <c r="A26" s="3" t="s">
        <v>2460</v>
      </c>
      <c r="B26" s="8">
        <f>DCF!D722</f>
        <v>44.176705797935398</v>
      </c>
      <c r="C26" s="3" t="s">
        <v>2406</v>
      </c>
      <c r="D26" s="10" t="s">
        <v>2407</v>
      </c>
      <c r="E26" s="88">
        <f>Inputs!$D$13</f>
        <v>46307</v>
      </c>
      <c r="F26" s="3" t="s">
        <v>2408</v>
      </c>
      <c r="G26" s="10" t="s">
        <v>2461</v>
      </c>
      <c r="H26" s="3" t="s">
        <v>2462</v>
      </c>
    </row>
    <row r="27" spans="1:8" ht="39" customHeight="1" x14ac:dyDescent="0.2">
      <c r="A27" s="3" t="s">
        <v>2463</v>
      </c>
      <c r="B27" s="8">
        <f>DCF!J722</f>
        <v>30.830922976379114</v>
      </c>
      <c r="C27" s="3" t="s">
        <v>1086</v>
      </c>
      <c r="D27" s="10" t="s">
        <v>2407</v>
      </c>
      <c r="E27" s="88">
        <f>Inputs!$D$13</f>
        <v>46307</v>
      </c>
      <c r="F27" s="3" t="s">
        <v>2408</v>
      </c>
      <c r="G27" s="10" t="s">
        <v>2464</v>
      </c>
      <c r="H27" s="3" t="s">
        <v>2462</v>
      </c>
    </row>
    <row r="28" spans="1:8" ht="39" customHeight="1" x14ac:dyDescent="0.2">
      <c r="A28" s="10" t="s">
        <v>2465</v>
      </c>
      <c r="B28" s="87">
        <f>DCF!D738</f>
        <v>8.0336681370850869</v>
      </c>
      <c r="C28" s="10" t="s">
        <v>1067</v>
      </c>
      <c r="D28" s="10" t="s">
        <v>2414</v>
      </c>
      <c r="E28" s="88">
        <f>Inputs!$D$13</f>
        <v>46307</v>
      </c>
      <c r="F28" s="3" t="s">
        <v>2408</v>
      </c>
      <c r="G28" s="10" t="s">
        <v>2466</v>
      </c>
      <c r="H28" s="3" t="s">
        <v>2467</v>
      </c>
    </row>
    <row r="29" spans="1:8" ht="39" customHeight="1" x14ac:dyDescent="0.2">
      <c r="A29" s="3" t="s">
        <v>2468</v>
      </c>
      <c r="B29" s="15">
        <f>DCF!D737</f>
        <v>0.72629657579476392</v>
      </c>
      <c r="C29" s="10" t="s">
        <v>104</v>
      </c>
      <c r="D29" s="10" t="s">
        <v>2418</v>
      </c>
      <c r="E29" s="88">
        <f>Inputs!$D$13</f>
        <v>46307</v>
      </c>
      <c r="F29" s="3" t="s">
        <v>2408</v>
      </c>
      <c r="G29" s="10" t="s">
        <v>2469</v>
      </c>
      <c r="H29" s="3" t="s">
        <v>2462</v>
      </c>
    </row>
    <row r="30" spans="1:8" ht="39" customHeight="1" x14ac:dyDescent="0.2">
      <c r="A30" s="10" t="s">
        <v>2470</v>
      </c>
      <c r="B30" s="8">
        <f>DCF!D860</f>
        <v>37.801141077494172</v>
      </c>
      <c r="C30" s="3" t="s">
        <v>2406</v>
      </c>
      <c r="D30" s="10" t="s">
        <v>2407</v>
      </c>
      <c r="E30" s="88">
        <f>Inputs!$D$13</f>
        <v>46307</v>
      </c>
      <c r="F30" s="3" t="s">
        <v>2408</v>
      </c>
      <c r="G30" s="10" t="s">
        <v>2471</v>
      </c>
      <c r="H30" s="3" t="s">
        <v>2472</v>
      </c>
    </row>
    <row r="31" spans="1:8" ht="39" customHeight="1" x14ac:dyDescent="0.2">
      <c r="A31" s="3" t="s">
        <v>2473</v>
      </c>
      <c r="B31" s="8">
        <f>DCF!J860</f>
        <v>26.381416357983181</v>
      </c>
      <c r="C31" s="3" t="s">
        <v>1086</v>
      </c>
      <c r="D31" s="10" t="s">
        <v>2407</v>
      </c>
      <c r="E31" s="88">
        <f>Inputs!$D$13</f>
        <v>46307</v>
      </c>
      <c r="F31" s="3" t="s">
        <v>2408</v>
      </c>
      <c r="G31" s="10" t="s">
        <v>2474</v>
      </c>
      <c r="H31" s="3" t="s">
        <v>2472</v>
      </c>
    </row>
    <row r="32" spans="1:8" ht="39" customHeight="1" x14ac:dyDescent="0.2">
      <c r="A32" s="10" t="s">
        <v>2475</v>
      </c>
      <c r="B32" s="87">
        <f>DCF!D876</f>
        <v>6.8742523267526172</v>
      </c>
      <c r="C32" s="10" t="s">
        <v>1067</v>
      </c>
      <c r="D32" s="10" t="s">
        <v>2414</v>
      </c>
      <c r="E32" s="88">
        <f>Inputs!$D$13</f>
        <v>46307</v>
      </c>
      <c r="F32" s="3" t="s">
        <v>2408</v>
      </c>
      <c r="G32" s="10" t="s">
        <v>2476</v>
      </c>
      <c r="H32" s="3" t="s">
        <v>2477</v>
      </c>
    </row>
    <row r="33" spans="1:8" ht="39" customHeight="1" x14ac:dyDescent="0.2">
      <c r="A33" s="3" t="s">
        <v>2478</v>
      </c>
      <c r="B33" s="15">
        <f>DCF!D875</f>
        <v>0.96224403467233155</v>
      </c>
      <c r="C33" s="10" t="s">
        <v>104</v>
      </c>
      <c r="D33" s="10" t="s">
        <v>2418</v>
      </c>
      <c r="E33" s="88">
        <f>Inputs!$D$13</f>
        <v>46307</v>
      </c>
      <c r="F33" s="3" t="s">
        <v>2408</v>
      </c>
      <c r="G33" s="10" t="s">
        <v>2479</v>
      </c>
      <c r="H33" s="3" t="s">
        <v>2472</v>
      </c>
    </row>
    <row r="34" spans="1:8" ht="39" customHeight="1" x14ac:dyDescent="0.2">
      <c r="A34" s="3" t="s">
        <v>2480</v>
      </c>
      <c r="B34" s="8">
        <f>DCF!D998</f>
        <v>41.418573583496794</v>
      </c>
      <c r="C34" s="3" t="s">
        <v>2406</v>
      </c>
      <c r="D34" s="10" t="s">
        <v>2407</v>
      </c>
      <c r="E34" s="88">
        <f>Inputs!$D$13</f>
        <v>46307</v>
      </c>
      <c r="F34" s="3" t="s">
        <v>2408</v>
      </c>
      <c r="G34" s="10" t="s">
        <v>2481</v>
      </c>
      <c r="H34" s="3" t="s">
        <v>2482</v>
      </c>
    </row>
    <row r="35" spans="1:8" ht="39" customHeight="1" x14ac:dyDescent="0.2">
      <c r="A35" s="3" t="s">
        <v>2483</v>
      </c>
      <c r="B35" s="8">
        <f>DCF!J998</f>
        <v>28.906022503922411</v>
      </c>
      <c r="C35" s="3" t="s">
        <v>1086</v>
      </c>
      <c r="D35" s="10" t="s">
        <v>2407</v>
      </c>
      <c r="E35" s="88">
        <f>Inputs!$D$13</f>
        <v>46307</v>
      </c>
      <c r="F35" s="3" t="s">
        <v>2408</v>
      </c>
      <c r="G35" s="10" t="s">
        <v>2484</v>
      </c>
      <c r="H35" s="3" t="s">
        <v>2482</v>
      </c>
    </row>
    <row r="36" spans="1:8" ht="39" customHeight="1" x14ac:dyDescent="0.2">
      <c r="A36" s="10" t="s">
        <v>2485</v>
      </c>
      <c r="B36" s="87">
        <f>DCF!D1014</f>
        <v>7.5320934160012243</v>
      </c>
      <c r="C36" s="10" t="s">
        <v>1067</v>
      </c>
      <c r="D36" s="10" t="s">
        <v>2414</v>
      </c>
      <c r="E36" s="88">
        <f>Inputs!$D$13</f>
        <v>46307</v>
      </c>
      <c r="F36" s="3" t="s">
        <v>2408</v>
      </c>
      <c r="G36" s="10" t="s">
        <v>2486</v>
      </c>
      <c r="H36" s="3" t="s">
        <v>2487</v>
      </c>
    </row>
    <row r="37" spans="1:8" ht="39" customHeight="1" x14ac:dyDescent="0.2">
      <c r="A37" s="3" t="s">
        <v>2488</v>
      </c>
      <c r="B37" s="15">
        <f>DCF!D1013</f>
        <v>0.78794332863651506</v>
      </c>
      <c r="C37" s="10" t="s">
        <v>104</v>
      </c>
      <c r="D37" s="10" t="s">
        <v>2418</v>
      </c>
      <c r="E37" s="88">
        <f>Inputs!$D$13</f>
        <v>46307</v>
      </c>
      <c r="F37" s="3" t="s">
        <v>2408</v>
      </c>
      <c r="G37" s="10" t="s">
        <v>2489</v>
      </c>
      <c r="H37" s="3" t="s">
        <v>2482</v>
      </c>
    </row>
    <row r="38" spans="1:8" ht="39" customHeight="1" x14ac:dyDescent="0.2">
      <c r="A38" s="10" t="s">
        <v>2490</v>
      </c>
      <c r="B38" s="8">
        <f>ValueMW!D6</f>
        <v>950</v>
      </c>
      <c r="C38" s="10" t="s">
        <v>2491</v>
      </c>
      <c r="D38" s="10" t="s">
        <v>2407</v>
      </c>
      <c r="E38" s="88">
        <f>Inputs!$D$13</f>
        <v>46307</v>
      </c>
      <c r="F38" s="3" t="s">
        <v>2492</v>
      </c>
      <c r="G38" s="10" t="s">
        <v>2493</v>
      </c>
      <c r="H38" s="10" t="s">
        <v>2494</v>
      </c>
    </row>
    <row r="39" spans="1:8" ht="39" customHeight="1" x14ac:dyDescent="0.2">
      <c r="A39" s="10" t="s">
        <v>2495</v>
      </c>
      <c r="B39" s="8">
        <f>ValueMW!E6</f>
        <v>47.916666666666664</v>
      </c>
      <c r="C39" s="10" t="s">
        <v>2496</v>
      </c>
      <c r="D39" s="10" t="s">
        <v>2407</v>
      </c>
      <c r="E39" s="88">
        <f>Inputs!$D$13</f>
        <v>46307</v>
      </c>
      <c r="F39" s="3" t="s">
        <v>2492</v>
      </c>
      <c r="G39" s="10" t="s">
        <v>2497</v>
      </c>
      <c r="H39" s="10" t="s">
        <v>2498</v>
      </c>
    </row>
    <row r="40" spans="1:8" ht="39" customHeight="1" x14ac:dyDescent="0.2">
      <c r="A40" s="10" t="s">
        <v>2499</v>
      </c>
      <c r="B40" s="8">
        <f>ValueMW!D7</f>
        <v>1261.4934866711938</v>
      </c>
      <c r="C40" s="10" t="s">
        <v>2491</v>
      </c>
      <c r="D40" s="10" t="s">
        <v>2407</v>
      </c>
      <c r="E40" s="88">
        <f>Inputs!$D$13</f>
        <v>46307</v>
      </c>
      <c r="F40" s="3" t="s">
        <v>2492</v>
      </c>
      <c r="G40" s="10" t="s">
        <v>2500</v>
      </c>
      <c r="H40" s="10" t="s">
        <v>2501</v>
      </c>
    </row>
    <row r="41" spans="1:8" ht="39" customHeight="1" x14ac:dyDescent="0.2">
      <c r="A41" s="10" t="s">
        <v>2502</v>
      </c>
      <c r="B41" s="8">
        <f>ValueMW!E7</f>
        <v>63.62796095052073</v>
      </c>
      <c r="C41" s="10" t="s">
        <v>2496</v>
      </c>
      <c r="D41" s="10" t="s">
        <v>2407</v>
      </c>
      <c r="E41" s="88">
        <f>Inputs!$D$13</f>
        <v>46307</v>
      </c>
      <c r="F41" s="3" t="s">
        <v>2492</v>
      </c>
      <c r="G41" s="10" t="s">
        <v>2503</v>
      </c>
      <c r="H41" s="10" t="s">
        <v>2504</v>
      </c>
    </row>
    <row r="42" spans="1:8" ht="39" customHeight="1" x14ac:dyDescent="0.2">
      <c r="A42" s="10" t="s">
        <v>2505</v>
      </c>
      <c r="B42" s="8">
        <f>ValueMW!D8</f>
        <v>777.27272727272725</v>
      </c>
      <c r="C42" s="10" t="s">
        <v>2491</v>
      </c>
      <c r="D42" s="10" t="s">
        <v>2407</v>
      </c>
      <c r="E42" s="88">
        <f>Inputs!$D$13</f>
        <v>46307</v>
      </c>
      <c r="F42" s="3" t="s">
        <v>2492</v>
      </c>
      <c r="G42" s="10" t="s">
        <v>2506</v>
      </c>
      <c r="H42" s="10" t="s">
        <v>2507</v>
      </c>
    </row>
    <row r="43" spans="1:8" ht="39" customHeight="1" x14ac:dyDescent="0.2">
      <c r="A43" s="10" t="s">
        <v>2508</v>
      </c>
      <c r="B43" s="8">
        <f>ValueMW!E8</f>
        <v>39.204545454545453</v>
      </c>
      <c r="C43" s="10" t="s">
        <v>2496</v>
      </c>
      <c r="D43" s="10" t="s">
        <v>2407</v>
      </c>
      <c r="E43" s="88">
        <f>Inputs!$D$13</f>
        <v>46307</v>
      </c>
      <c r="F43" s="3" t="s">
        <v>2492</v>
      </c>
      <c r="G43" s="10" t="s">
        <v>2509</v>
      </c>
      <c r="H43" s="10" t="s">
        <v>2510</v>
      </c>
    </row>
    <row r="44" spans="1:8" ht="39" customHeight="1" x14ac:dyDescent="0.2">
      <c r="A44" s="10" t="s">
        <v>2511</v>
      </c>
      <c r="B44" s="8">
        <f>ValueMW!D9</f>
        <v>1088.766213943921</v>
      </c>
      <c r="C44" s="10" t="s">
        <v>2491</v>
      </c>
      <c r="D44" s="10" t="s">
        <v>2407</v>
      </c>
      <c r="E44" s="88">
        <f>Inputs!$D$13</f>
        <v>46307</v>
      </c>
      <c r="F44" s="3" t="s">
        <v>2492</v>
      </c>
      <c r="G44" s="10" t="s">
        <v>2512</v>
      </c>
      <c r="H44" s="3" t="s">
        <v>2513</v>
      </c>
    </row>
    <row r="45" spans="1:8" ht="39" customHeight="1" x14ac:dyDescent="0.2">
      <c r="A45" s="10" t="s">
        <v>2514</v>
      </c>
      <c r="B45" s="8">
        <f>ValueMW!E9</f>
        <v>54.915839738399519</v>
      </c>
      <c r="C45" s="10" t="s">
        <v>2496</v>
      </c>
      <c r="D45" s="10" t="s">
        <v>2407</v>
      </c>
      <c r="E45" s="88">
        <f>Inputs!$D$13</f>
        <v>46307</v>
      </c>
      <c r="F45" s="3" t="s">
        <v>2492</v>
      </c>
      <c r="G45" s="10" t="s">
        <v>2515</v>
      </c>
      <c r="H45" s="3" t="s">
        <v>2516</v>
      </c>
    </row>
    <row r="46" spans="1:8" ht="39" customHeight="1" x14ac:dyDescent="0.2">
      <c r="A46" s="3" t="s">
        <v>2517</v>
      </c>
      <c r="B46" s="8">
        <f>ValueMW!D10</f>
        <v>712.5</v>
      </c>
      <c r="C46" s="10" t="s">
        <v>2491</v>
      </c>
      <c r="D46" s="10" t="s">
        <v>2407</v>
      </c>
      <c r="E46" s="88">
        <f>Inputs!$D$13</f>
        <v>46307</v>
      </c>
      <c r="F46" s="3" t="s">
        <v>2492</v>
      </c>
      <c r="G46" s="10" t="s">
        <v>2518</v>
      </c>
      <c r="H46" s="3" t="s">
        <v>2519</v>
      </c>
    </row>
    <row r="47" spans="1:8" ht="39" customHeight="1" x14ac:dyDescent="0.2">
      <c r="A47" s="10" t="s">
        <v>2520</v>
      </c>
      <c r="B47" s="8">
        <f>ValueMW!E10</f>
        <v>35.9375</v>
      </c>
      <c r="C47" s="10" t="s">
        <v>2496</v>
      </c>
      <c r="D47" s="10" t="s">
        <v>2407</v>
      </c>
      <c r="E47" s="88">
        <f>Inputs!$D$13</f>
        <v>46307</v>
      </c>
      <c r="F47" s="3" t="s">
        <v>2492</v>
      </c>
      <c r="G47" s="10" t="s">
        <v>2521</v>
      </c>
      <c r="H47" s="3" t="s">
        <v>2522</v>
      </c>
    </row>
    <row r="48" spans="1:8" ht="39" customHeight="1" x14ac:dyDescent="0.2">
      <c r="A48" s="3" t="s">
        <v>2523</v>
      </c>
      <c r="B48" s="8">
        <f>ValueMW!D11</f>
        <v>1023.9934866711936</v>
      </c>
      <c r="C48" s="10" t="s">
        <v>2491</v>
      </c>
      <c r="D48" s="10" t="s">
        <v>2407</v>
      </c>
      <c r="E48" s="88">
        <f>Inputs!$D$13</f>
        <v>46307</v>
      </c>
      <c r="F48" s="3" t="s">
        <v>2492</v>
      </c>
      <c r="G48" s="10" t="s">
        <v>2524</v>
      </c>
      <c r="H48" s="3" t="s">
        <v>2525</v>
      </c>
    </row>
    <row r="49" spans="1:8" ht="39" customHeight="1" x14ac:dyDescent="0.2">
      <c r="A49" s="3" t="s">
        <v>2526</v>
      </c>
      <c r="B49" s="8">
        <f>ValueMW!E11</f>
        <v>51.648794283854066</v>
      </c>
      <c r="C49" s="10" t="s">
        <v>2496</v>
      </c>
      <c r="D49" s="10" t="s">
        <v>2407</v>
      </c>
      <c r="E49" s="88">
        <f>Inputs!$D$13</f>
        <v>46307</v>
      </c>
      <c r="F49" s="3" t="s">
        <v>2492</v>
      </c>
      <c r="G49" s="10" t="s">
        <v>2527</v>
      </c>
      <c r="H49" s="3" t="s">
        <v>2528</v>
      </c>
    </row>
    <row r="50" spans="1:8" ht="39" customHeight="1" x14ac:dyDescent="0.2">
      <c r="A50" s="10" t="s">
        <v>2529</v>
      </c>
      <c r="B50" s="8">
        <f>ValueMW!D12</f>
        <v>475</v>
      </c>
      <c r="C50" s="10" t="s">
        <v>2491</v>
      </c>
      <c r="D50" s="10" t="s">
        <v>2407</v>
      </c>
      <c r="E50" s="88">
        <f>Inputs!$D$13</f>
        <v>46307</v>
      </c>
      <c r="F50" s="3" t="s">
        <v>2492</v>
      </c>
      <c r="G50" s="10" t="s">
        <v>2530</v>
      </c>
      <c r="H50" s="10" t="s">
        <v>2531</v>
      </c>
    </row>
    <row r="51" spans="1:8" ht="39" customHeight="1" x14ac:dyDescent="0.2">
      <c r="A51" s="10" t="s">
        <v>2532</v>
      </c>
      <c r="B51" s="8">
        <f>ValueMW!E12</f>
        <v>23.958333333333332</v>
      </c>
      <c r="C51" s="10" t="s">
        <v>2496</v>
      </c>
      <c r="D51" s="10" t="s">
        <v>2407</v>
      </c>
      <c r="E51" s="88">
        <f>Inputs!$D$13</f>
        <v>46307</v>
      </c>
      <c r="F51" s="3" t="s">
        <v>2492</v>
      </c>
      <c r="G51" s="10" t="s">
        <v>2533</v>
      </c>
      <c r="H51" s="10" t="s">
        <v>2534</v>
      </c>
    </row>
    <row r="52" spans="1:8" ht="39" customHeight="1" x14ac:dyDescent="0.2">
      <c r="A52" s="3" t="s">
        <v>2535</v>
      </c>
      <c r="B52" s="8">
        <f>ValueMW!D13</f>
        <v>786.49348667119364</v>
      </c>
      <c r="C52" s="10" t="s">
        <v>2491</v>
      </c>
      <c r="D52" s="10" t="s">
        <v>2407</v>
      </c>
      <c r="E52" s="88">
        <f>Inputs!$D$13</f>
        <v>46307</v>
      </c>
      <c r="F52" s="3" t="s">
        <v>2492</v>
      </c>
      <c r="G52" s="10" t="s">
        <v>2536</v>
      </c>
      <c r="H52" s="3" t="s">
        <v>2537</v>
      </c>
    </row>
    <row r="53" spans="1:8" ht="39" customHeight="1" x14ac:dyDescent="0.2">
      <c r="A53" s="10" t="s">
        <v>2538</v>
      </c>
      <c r="B53" s="8">
        <f>ValueMW!E13</f>
        <v>39.669627617187402</v>
      </c>
      <c r="C53" s="10" t="s">
        <v>2496</v>
      </c>
      <c r="D53" s="10" t="s">
        <v>2407</v>
      </c>
      <c r="E53" s="88">
        <f>Inputs!$D$13</f>
        <v>46307</v>
      </c>
      <c r="F53" s="3" t="s">
        <v>2492</v>
      </c>
      <c r="G53" s="10" t="s">
        <v>2539</v>
      </c>
      <c r="H53" s="3" t="s">
        <v>2540</v>
      </c>
    </row>
    <row r="54" spans="1:8" ht="51" customHeight="1" x14ac:dyDescent="0.2">
      <c r="A54" s="10" t="s">
        <v>2541</v>
      </c>
      <c r="B54" s="8">
        <f>RecoveryDCF!D32</f>
        <v>32.284876648616972</v>
      </c>
      <c r="C54" s="3" t="s">
        <v>2406</v>
      </c>
      <c r="D54" s="10" t="s">
        <v>2407</v>
      </c>
      <c r="E54" s="88">
        <f>Inputs!$D$13</f>
        <v>46307</v>
      </c>
      <c r="F54" s="3" t="s">
        <v>2542</v>
      </c>
      <c r="G54" s="10" t="s">
        <v>2543</v>
      </c>
      <c r="H54" s="3" t="s">
        <v>2544</v>
      </c>
    </row>
    <row r="55" spans="1:8" ht="27" customHeight="1" x14ac:dyDescent="0.2">
      <c r="A55" s="3" t="s">
        <v>2545</v>
      </c>
      <c r="B55" s="15">
        <f>Recovery!G6</f>
        <v>0.74530956485536337</v>
      </c>
      <c r="C55" s="10" t="s">
        <v>104</v>
      </c>
      <c r="D55" s="10" t="s">
        <v>2418</v>
      </c>
      <c r="E55" s="88">
        <f>Inputs!$D$13</f>
        <v>46307</v>
      </c>
      <c r="F55" s="3" t="s">
        <v>2546</v>
      </c>
      <c r="G55" s="10" t="s">
        <v>2547</v>
      </c>
      <c r="H55" s="3" t="s">
        <v>2410</v>
      </c>
    </row>
    <row r="56" spans="1:8" ht="27" customHeight="1" x14ac:dyDescent="0.2">
      <c r="A56" s="3" t="s">
        <v>2548</v>
      </c>
      <c r="B56" s="15">
        <f>Recovery!G7</f>
        <v>0.68786594384549316</v>
      </c>
      <c r="C56" s="10" t="s">
        <v>104</v>
      </c>
      <c r="D56" s="10" t="s">
        <v>2418</v>
      </c>
      <c r="E56" s="88">
        <f>Inputs!$D$13</f>
        <v>46307</v>
      </c>
      <c r="F56" s="3" t="s">
        <v>2546</v>
      </c>
      <c r="G56" s="10" t="s">
        <v>2549</v>
      </c>
      <c r="H56" s="3" t="s">
        <v>2422</v>
      </c>
    </row>
    <row r="57" spans="1:8" ht="27" customHeight="1" x14ac:dyDescent="0.2">
      <c r="A57" s="3" t="s">
        <v>2550</v>
      </c>
      <c r="B57" s="15">
        <f>Recovery!G8</f>
        <v>0.78149870012820333</v>
      </c>
      <c r="C57" s="10" t="s">
        <v>104</v>
      </c>
      <c r="D57" s="10" t="s">
        <v>2418</v>
      </c>
      <c r="E57" s="88">
        <f>Inputs!$D$13</f>
        <v>46307</v>
      </c>
      <c r="F57" s="3" t="s">
        <v>2546</v>
      </c>
      <c r="G57" s="10" t="s">
        <v>2551</v>
      </c>
      <c r="H57" s="3" t="s">
        <v>2432</v>
      </c>
    </row>
    <row r="58" spans="1:8" ht="39" customHeight="1" x14ac:dyDescent="0.2">
      <c r="A58" s="3" t="s">
        <v>2552</v>
      </c>
      <c r="B58" s="15">
        <f>Recovery!G9</f>
        <v>0.71857667640652789</v>
      </c>
      <c r="C58" s="10" t="s">
        <v>104</v>
      </c>
      <c r="D58" s="10" t="s">
        <v>2418</v>
      </c>
      <c r="E58" s="88">
        <f>Inputs!$D$13</f>
        <v>46307</v>
      </c>
      <c r="F58" s="3" t="s">
        <v>2546</v>
      </c>
      <c r="G58" s="10" t="s">
        <v>2553</v>
      </c>
      <c r="H58" s="3" t="s">
        <v>2442</v>
      </c>
    </row>
    <row r="59" spans="1:8" ht="39" customHeight="1" x14ac:dyDescent="0.2">
      <c r="A59" s="3" t="s">
        <v>2554</v>
      </c>
      <c r="B59" s="15">
        <f>Recovery!G10</f>
        <v>0.79599248281005131</v>
      </c>
      <c r="C59" s="10" t="s">
        <v>104</v>
      </c>
      <c r="D59" s="10" t="s">
        <v>2418</v>
      </c>
      <c r="E59" s="88">
        <f>Inputs!$D$13</f>
        <v>46307</v>
      </c>
      <c r="F59" s="3" t="s">
        <v>2546</v>
      </c>
      <c r="G59" s="10" t="s">
        <v>2555</v>
      </c>
      <c r="H59" s="3" t="s">
        <v>2452</v>
      </c>
    </row>
    <row r="60" spans="1:8" ht="39" customHeight="1" x14ac:dyDescent="0.2">
      <c r="A60" s="3" t="s">
        <v>2556</v>
      </c>
      <c r="B60" s="15">
        <f>Recovery!G11</f>
        <v>0.7308122248020994</v>
      </c>
      <c r="C60" s="10" t="s">
        <v>104</v>
      </c>
      <c r="D60" s="10" t="s">
        <v>2418</v>
      </c>
      <c r="E60" s="88">
        <f>Inputs!$D$13</f>
        <v>46307</v>
      </c>
      <c r="F60" s="3" t="s">
        <v>2546</v>
      </c>
      <c r="G60" s="10" t="s">
        <v>2557</v>
      </c>
      <c r="H60" s="3" t="s">
        <v>2462</v>
      </c>
    </row>
    <row r="61" spans="1:8" ht="27" customHeight="1" x14ac:dyDescent="0.2">
      <c r="A61" s="3" t="s">
        <v>2558</v>
      </c>
      <c r="B61" s="15">
        <f>Recovery!G12</f>
        <v>0.85407148377958775</v>
      </c>
      <c r="C61" s="10" t="s">
        <v>104</v>
      </c>
      <c r="D61" s="10" t="s">
        <v>2418</v>
      </c>
      <c r="E61" s="88">
        <f>Inputs!$D$13</f>
        <v>46307</v>
      </c>
      <c r="F61" s="3" t="s">
        <v>2546</v>
      </c>
      <c r="G61" s="10" t="s">
        <v>2559</v>
      </c>
      <c r="H61" s="3" t="s">
        <v>2472</v>
      </c>
    </row>
    <row r="62" spans="1:8" ht="39" customHeight="1" x14ac:dyDescent="0.2">
      <c r="A62" s="3" t="s">
        <v>2560</v>
      </c>
      <c r="B62" s="15">
        <f>Recovery!G13</f>
        <v>0.77947823537507965</v>
      </c>
      <c r="C62" s="10" t="s">
        <v>104</v>
      </c>
      <c r="D62" s="10" t="s">
        <v>2418</v>
      </c>
      <c r="E62" s="88">
        <f>Inputs!$D$13</f>
        <v>46307</v>
      </c>
      <c r="F62" s="3" t="s">
        <v>2546</v>
      </c>
      <c r="G62" s="10" t="s">
        <v>2561</v>
      </c>
      <c r="H62" s="3" t="s">
        <v>2482</v>
      </c>
    </row>
    <row r="63" spans="1:8" ht="51" customHeight="1" x14ac:dyDescent="0.2">
      <c r="A63" s="10" t="s">
        <v>2562</v>
      </c>
      <c r="B63" s="8">
        <f>RecoveryDCF!D78</f>
        <v>31.904742398820275</v>
      </c>
      <c r="C63" s="3" t="s">
        <v>2406</v>
      </c>
      <c r="D63" s="10" t="s">
        <v>2407</v>
      </c>
      <c r="E63" s="88">
        <f>Inputs!$D$13</f>
        <v>46307</v>
      </c>
      <c r="F63" s="3" t="s">
        <v>2542</v>
      </c>
      <c r="G63" s="10" t="s">
        <v>2563</v>
      </c>
      <c r="H63" s="3" t="s">
        <v>2544</v>
      </c>
    </row>
    <row r="64" spans="1:8" ht="27" customHeight="1" x14ac:dyDescent="0.2">
      <c r="A64" s="3" t="s">
        <v>2564</v>
      </c>
      <c r="B64" s="15">
        <f>Recovery!G14</f>
        <v>0.73653401042515199</v>
      </c>
      <c r="C64" s="10" t="s">
        <v>104</v>
      </c>
      <c r="D64" s="10" t="s">
        <v>2418</v>
      </c>
      <c r="E64" s="88">
        <f>Inputs!$D$13</f>
        <v>46307</v>
      </c>
      <c r="F64" s="3" t="s">
        <v>2546</v>
      </c>
      <c r="G64" s="10" t="s">
        <v>2565</v>
      </c>
      <c r="H64" s="3" t="s">
        <v>2410</v>
      </c>
    </row>
    <row r="65" spans="1:8" ht="27" customHeight="1" x14ac:dyDescent="0.2">
      <c r="A65" s="3" t="s">
        <v>2566</v>
      </c>
      <c r="B65" s="15">
        <f>Recovery!G15</f>
        <v>0.67976675215985283</v>
      </c>
      <c r="C65" s="10" t="s">
        <v>104</v>
      </c>
      <c r="D65" s="10" t="s">
        <v>2418</v>
      </c>
      <c r="E65" s="88">
        <f>Inputs!$D$13</f>
        <v>46307</v>
      </c>
      <c r="F65" s="3" t="s">
        <v>2546</v>
      </c>
      <c r="G65" s="10" t="s">
        <v>2567</v>
      </c>
      <c r="H65" s="3" t="s">
        <v>2422</v>
      </c>
    </row>
    <row r="66" spans="1:8" ht="27" customHeight="1" x14ac:dyDescent="0.2">
      <c r="A66" s="3" t="s">
        <v>2568</v>
      </c>
      <c r="B66" s="15">
        <f>Recovery!G16</f>
        <v>0.77229704124241494</v>
      </c>
      <c r="C66" s="10" t="s">
        <v>104</v>
      </c>
      <c r="D66" s="10" t="s">
        <v>2418</v>
      </c>
      <c r="E66" s="88">
        <f>Inputs!$D$13</f>
        <v>46307</v>
      </c>
      <c r="F66" s="3" t="s">
        <v>2546</v>
      </c>
      <c r="G66" s="10" t="s">
        <v>2569</v>
      </c>
      <c r="H66" s="3" t="s">
        <v>2432</v>
      </c>
    </row>
    <row r="67" spans="1:8" ht="39" customHeight="1" x14ac:dyDescent="0.2">
      <c r="A67" s="3" t="s">
        <v>2570</v>
      </c>
      <c r="B67" s="15">
        <f>Recovery!G17</f>
        <v>0.7101158850341408</v>
      </c>
      <c r="C67" s="10" t="s">
        <v>104</v>
      </c>
      <c r="D67" s="10" t="s">
        <v>2418</v>
      </c>
      <c r="E67" s="88">
        <f>Inputs!$D$13</f>
        <v>46307</v>
      </c>
      <c r="F67" s="3" t="s">
        <v>2546</v>
      </c>
      <c r="G67" s="10" t="s">
        <v>2571</v>
      </c>
      <c r="H67" s="3" t="s">
        <v>2442</v>
      </c>
    </row>
    <row r="68" spans="1:8" ht="39" customHeight="1" x14ac:dyDescent="0.2">
      <c r="A68" s="3" t="s">
        <v>2572</v>
      </c>
      <c r="B68" s="15">
        <f>Recovery!G18</f>
        <v>0.78662016868941576</v>
      </c>
      <c r="C68" s="10" t="s">
        <v>104</v>
      </c>
      <c r="D68" s="10" t="s">
        <v>2418</v>
      </c>
      <c r="E68" s="88">
        <f>Inputs!$D$13</f>
        <v>46307</v>
      </c>
      <c r="F68" s="3" t="s">
        <v>2546</v>
      </c>
      <c r="G68" s="10" t="s">
        <v>2573</v>
      </c>
      <c r="H68" s="3" t="s">
        <v>2452</v>
      </c>
    </row>
    <row r="69" spans="1:8" ht="39" customHeight="1" x14ac:dyDescent="0.2">
      <c r="A69" s="3" t="s">
        <v>2574</v>
      </c>
      <c r="B69" s="15">
        <f>Recovery!G19</f>
        <v>0.72220736749256087</v>
      </c>
      <c r="C69" s="10" t="s">
        <v>104</v>
      </c>
      <c r="D69" s="10" t="s">
        <v>2418</v>
      </c>
      <c r="E69" s="88">
        <f>Inputs!$D$13</f>
        <v>46307</v>
      </c>
      <c r="F69" s="3" t="s">
        <v>2546</v>
      </c>
      <c r="G69" s="10" t="s">
        <v>2575</v>
      </c>
      <c r="H69" s="3" t="s">
        <v>2462</v>
      </c>
    </row>
    <row r="70" spans="1:8" ht="27" customHeight="1" x14ac:dyDescent="0.2">
      <c r="A70" s="3" t="s">
        <v>2576</v>
      </c>
      <c r="B70" s="15">
        <f>Recovery!G20</f>
        <v>0.84401532571236426</v>
      </c>
      <c r="C70" s="10" t="s">
        <v>104</v>
      </c>
      <c r="D70" s="10" t="s">
        <v>2418</v>
      </c>
      <c r="E70" s="88">
        <f>Inputs!$D$13</f>
        <v>46307</v>
      </c>
      <c r="F70" s="3" t="s">
        <v>2546</v>
      </c>
      <c r="G70" s="10" t="s">
        <v>2577</v>
      </c>
      <c r="H70" s="3" t="s">
        <v>2472</v>
      </c>
    </row>
    <row r="71" spans="1:8" ht="39" customHeight="1" x14ac:dyDescent="0.2">
      <c r="A71" s="3" t="s">
        <v>2578</v>
      </c>
      <c r="B71" s="15">
        <f>Recovery!G21</f>
        <v>0.77030036619930098</v>
      </c>
      <c r="C71" s="10" t="s">
        <v>104</v>
      </c>
      <c r="D71" s="10" t="s">
        <v>2418</v>
      </c>
      <c r="E71" s="88">
        <f>Inputs!$D$13</f>
        <v>46307</v>
      </c>
      <c r="F71" s="3" t="s">
        <v>2546</v>
      </c>
      <c r="G71" s="10" t="s">
        <v>2579</v>
      </c>
      <c r="H71" s="3" t="s">
        <v>2482</v>
      </c>
    </row>
    <row r="72" spans="1:8" ht="51" customHeight="1" x14ac:dyDescent="0.2">
      <c r="A72" s="10" t="s">
        <v>2580</v>
      </c>
      <c r="B72" s="8">
        <f>RecoveryDCF!D124</f>
        <v>32.55444198319757</v>
      </c>
      <c r="C72" s="3" t="s">
        <v>2406</v>
      </c>
      <c r="D72" s="10" t="s">
        <v>2407</v>
      </c>
      <c r="E72" s="88">
        <f>Inputs!$D$13</f>
        <v>46307</v>
      </c>
      <c r="F72" s="3" t="s">
        <v>2542</v>
      </c>
      <c r="G72" s="10" t="s">
        <v>2581</v>
      </c>
      <c r="H72" s="3" t="s">
        <v>2582</v>
      </c>
    </row>
    <row r="73" spans="1:8" ht="39" customHeight="1" x14ac:dyDescent="0.2">
      <c r="A73" s="3" t="s">
        <v>2583</v>
      </c>
      <c r="B73" s="15">
        <f>Recovery!G22</f>
        <v>0.75153259071366296</v>
      </c>
      <c r="C73" s="10" t="s">
        <v>104</v>
      </c>
      <c r="D73" s="10" t="s">
        <v>2418</v>
      </c>
      <c r="E73" s="88">
        <f>Inputs!$D$13</f>
        <v>46307</v>
      </c>
      <c r="F73" s="3" t="s">
        <v>2546</v>
      </c>
      <c r="G73" s="10" t="s">
        <v>2584</v>
      </c>
      <c r="H73" s="3" t="s">
        <v>2585</v>
      </c>
    </row>
    <row r="74" spans="1:8" ht="39" customHeight="1" x14ac:dyDescent="0.2">
      <c r="A74" s="3" t="s">
        <v>2586</v>
      </c>
      <c r="B74" s="15">
        <f>Recovery!G23</f>
        <v>0.69360933928470891</v>
      </c>
      <c r="C74" s="10" t="s">
        <v>104</v>
      </c>
      <c r="D74" s="10" t="s">
        <v>2418</v>
      </c>
      <c r="E74" s="88">
        <f>Inputs!$D$13</f>
        <v>46307</v>
      </c>
      <c r="F74" s="3" t="s">
        <v>2546</v>
      </c>
      <c r="G74" s="10" t="s">
        <v>2587</v>
      </c>
      <c r="H74" s="3" t="s">
        <v>2588</v>
      </c>
    </row>
    <row r="75" spans="1:8" ht="39" customHeight="1" x14ac:dyDescent="0.2">
      <c r="A75" s="3" t="s">
        <v>2589</v>
      </c>
      <c r="B75" s="15">
        <f>Recovery!G24</f>
        <v>0.78802389026187492</v>
      </c>
      <c r="C75" s="10" t="s">
        <v>104</v>
      </c>
      <c r="D75" s="10" t="s">
        <v>2418</v>
      </c>
      <c r="E75" s="88">
        <f>Inputs!$D$13</f>
        <v>46307</v>
      </c>
      <c r="F75" s="3" t="s">
        <v>2546</v>
      </c>
      <c r="G75" s="10" t="s">
        <v>2590</v>
      </c>
      <c r="H75" s="3" t="s">
        <v>2591</v>
      </c>
    </row>
    <row r="76" spans="1:8" ht="39" customHeight="1" x14ac:dyDescent="0.2">
      <c r="A76" s="3" t="s">
        <v>2592</v>
      </c>
      <c r="B76" s="15">
        <f>Recovery!G25</f>
        <v>0.72457649372983923</v>
      </c>
      <c r="C76" s="10" t="s">
        <v>104</v>
      </c>
      <c r="D76" s="10" t="s">
        <v>2418</v>
      </c>
      <c r="E76" s="88">
        <f>Inputs!$D$13</f>
        <v>46307</v>
      </c>
      <c r="F76" s="3" t="s">
        <v>2546</v>
      </c>
      <c r="G76" s="10" t="s">
        <v>2593</v>
      </c>
      <c r="H76" s="3" t="s">
        <v>2594</v>
      </c>
    </row>
    <row r="77" spans="1:8" ht="39" customHeight="1" x14ac:dyDescent="0.2">
      <c r="A77" s="3" t="s">
        <v>2595</v>
      </c>
      <c r="B77" s="15">
        <f>Recovery!G26</f>
        <v>0.80263869001993771</v>
      </c>
      <c r="C77" s="10" t="s">
        <v>104</v>
      </c>
      <c r="D77" s="10" t="s">
        <v>2418</v>
      </c>
      <c r="E77" s="88">
        <f>Inputs!$D$13</f>
        <v>46307</v>
      </c>
      <c r="F77" s="3" t="s">
        <v>2546</v>
      </c>
      <c r="G77" s="10" t="s">
        <v>2596</v>
      </c>
      <c r="H77" s="3" t="s">
        <v>2597</v>
      </c>
    </row>
    <row r="78" spans="1:8" ht="39" customHeight="1" x14ac:dyDescent="0.2">
      <c r="A78" s="3" t="s">
        <v>2598</v>
      </c>
      <c r="B78" s="15">
        <f>Recovery!G27</f>
        <v>0.73691420388160778</v>
      </c>
      <c r="C78" s="10" t="s">
        <v>104</v>
      </c>
      <c r="D78" s="10" t="s">
        <v>2418</v>
      </c>
      <c r="E78" s="88">
        <f>Inputs!$D$13</f>
        <v>46307</v>
      </c>
      <c r="F78" s="3" t="s">
        <v>2546</v>
      </c>
      <c r="G78" s="10" t="s">
        <v>2599</v>
      </c>
      <c r="H78" s="3" t="s">
        <v>2600</v>
      </c>
    </row>
    <row r="79" spans="1:8" ht="39" customHeight="1" x14ac:dyDescent="0.2">
      <c r="A79" s="3" t="s">
        <v>2601</v>
      </c>
      <c r="B79" s="15">
        <f>Recovery!G28</f>
        <v>0.86120262656779023</v>
      </c>
      <c r="C79" s="10" t="s">
        <v>104</v>
      </c>
      <c r="D79" s="10" t="s">
        <v>2418</v>
      </c>
      <c r="E79" s="88">
        <f>Inputs!$D$13</f>
        <v>46307</v>
      </c>
      <c r="F79" s="3" t="s">
        <v>2546</v>
      </c>
      <c r="G79" s="10" t="s">
        <v>2602</v>
      </c>
      <c r="H79" s="3" t="s">
        <v>2603</v>
      </c>
    </row>
    <row r="80" spans="1:8" ht="39" customHeight="1" x14ac:dyDescent="0.2">
      <c r="A80" s="3" t="s">
        <v>2604</v>
      </c>
      <c r="B80" s="15">
        <f>Recovery!G29</f>
        <v>0.78598655546575524</v>
      </c>
      <c r="C80" s="10" t="s">
        <v>104</v>
      </c>
      <c r="D80" s="10" t="s">
        <v>2418</v>
      </c>
      <c r="E80" s="88">
        <f>Inputs!$D$13</f>
        <v>46307</v>
      </c>
      <c r="F80" s="3" t="s">
        <v>2546</v>
      </c>
      <c r="G80" s="10" t="s">
        <v>2605</v>
      </c>
      <c r="H80" s="3" t="s">
        <v>2606</v>
      </c>
    </row>
    <row r="81" spans="1:8" ht="27" customHeight="1" x14ac:dyDescent="0.2">
      <c r="A81" s="10" t="s">
        <v>2607</v>
      </c>
      <c r="B81" s="8">
        <f>Recovery!D31</f>
        <v>32.751928785615732</v>
      </c>
      <c r="C81" s="10" t="s">
        <v>2608</v>
      </c>
      <c r="D81" s="10" t="s">
        <v>2407</v>
      </c>
      <c r="E81" s="88">
        <f>Inputs!$D$13</f>
        <v>46307</v>
      </c>
      <c r="F81" s="3" t="s">
        <v>2609</v>
      </c>
      <c r="G81" s="10" t="s">
        <v>2610</v>
      </c>
      <c r="H81" s="3" t="s">
        <v>2611</v>
      </c>
    </row>
    <row r="82" spans="1:8" ht="27" customHeight="1" x14ac:dyDescent="0.2">
      <c r="A82" s="3" t="s">
        <v>2612</v>
      </c>
      <c r="B82" s="8">
        <f>Profitability!C67</f>
        <v>15.515350877192983</v>
      </c>
      <c r="C82" s="10" t="s">
        <v>2613</v>
      </c>
      <c r="D82" s="10" t="s">
        <v>2407</v>
      </c>
      <c r="E82" s="88">
        <f>Inputs!$D$13</f>
        <v>46307</v>
      </c>
      <c r="F82" s="3" t="s">
        <v>2614</v>
      </c>
      <c r="G82" s="10" t="s">
        <v>2615</v>
      </c>
      <c r="H82" s="10" t="s">
        <v>2616</v>
      </c>
    </row>
    <row r="83" spans="1:8" ht="27" customHeight="1" x14ac:dyDescent="0.2">
      <c r="A83" s="10" t="s">
        <v>2617</v>
      </c>
      <c r="B83" s="8">
        <f>Profitability!C53</f>
        <v>5.1378374517926009</v>
      </c>
      <c r="C83" s="10" t="s">
        <v>107</v>
      </c>
      <c r="D83" s="10" t="s">
        <v>2414</v>
      </c>
      <c r="E83" s="88">
        <f>Inputs!$D$13</f>
        <v>46307</v>
      </c>
      <c r="F83" s="3" t="s">
        <v>2618</v>
      </c>
      <c r="G83" s="10" t="s">
        <v>2619</v>
      </c>
      <c r="H83" s="3" t="s">
        <v>2620</v>
      </c>
    </row>
    <row r="84" spans="1:8" ht="27" customHeight="1" x14ac:dyDescent="0.2">
      <c r="A84" s="10" t="s">
        <v>2621</v>
      </c>
      <c r="B84" s="12">
        <f>Profitability!C68</f>
        <v>3828.5</v>
      </c>
      <c r="C84" s="10" t="s">
        <v>1071</v>
      </c>
      <c r="D84" s="10" t="s">
        <v>2407</v>
      </c>
      <c r="E84" s="88">
        <f>Inputs!$D$13</f>
        <v>46307</v>
      </c>
      <c r="F84" s="3" t="s">
        <v>2622</v>
      </c>
      <c r="G84" s="10" t="s">
        <v>2623</v>
      </c>
      <c r="H84" s="3" t="s">
        <v>2624</v>
      </c>
    </row>
    <row r="85" spans="1:8" ht="51" customHeight="1" x14ac:dyDescent="0.2">
      <c r="A85" s="3" t="s">
        <v>2625</v>
      </c>
      <c r="B85" s="12">
        <f>Sensitivity!K57</f>
        <v>-1831.5</v>
      </c>
      <c r="C85" s="10" t="s">
        <v>1071</v>
      </c>
      <c r="D85" s="10" t="s">
        <v>2407</v>
      </c>
      <c r="E85" s="88">
        <f>Inputs!$D$13</f>
        <v>46307</v>
      </c>
      <c r="F85" s="3" t="s">
        <v>2626</v>
      </c>
      <c r="G85" s="10" t="s">
        <v>2627</v>
      </c>
      <c r="H85" s="3" t="s">
        <v>2628</v>
      </c>
    </row>
    <row r="86" spans="1:8" ht="51" customHeight="1" x14ac:dyDescent="0.2">
      <c r="A86" s="3" t="s">
        <v>2629</v>
      </c>
      <c r="B86" s="87">
        <f>Sensitivity!E57</f>
        <v>2.425717453998308</v>
      </c>
      <c r="C86" s="10" t="s">
        <v>1067</v>
      </c>
      <c r="D86" s="10" t="s">
        <v>2414</v>
      </c>
      <c r="E86" s="88">
        <f>Inputs!$D$13</f>
        <v>46307</v>
      </c>
      <c r="F86" s="3" t="s">
        <v>2626</v>
      </c>
      <c r="G86" s="10" t="s">
        <v>2630</v>
      </c>
      <c r="H86" s="10" t="s">
        <v>2631</v>
      </c>
    </row>
    <row r="87" spans="1:8" ht="51" customHeight="1" x14ac:dyDescent="0.2">
      <c r="A87" s="3" t="s">
        <v>2632</v>
      </c>
      <c r="B87" s="12">
        <f>Sensitivity!K58</f>
        <v>-33</v>
      </c>
      <c r="C87" s="10" t="s">
        <v>1071</v>
      </c>
      <c r="D87" s="10" t="s">
        <v>2407</v>
      </c>
      <c r="E87" s="88">
        <f>Inputs!$D$13</f>
        <v>46307</v>
      </c>
      <c r="F87" s="3" t="s">
        <v>2633</v>
      </c>
      <c r="G87" s="10" t="s">
        <v>2634</v>
      </c>
      <c r="H87" s="3" t="s">
        <v>2628</v>
      </c>
    </row>
    <row r="88" spans="1:8" ht="51" customHeight="1" x14ac:dyDescent="0.2">
      <c r="A88" s="3" t="s">
        <v>2635</v>
      </c>
      <c r="B88" s="87">
        <f>Sensitivity!E58</f>
        <v>2.425717453998308</v>
      </c>
      <c r="C88" s="10" t="s">
        <v>1067</v>
      </c>
      <c r="D88" s="10" t="s">
        <v>2414</v>
      </c>
      <c r="E88" s="88">
        <f>Inputs!$D$13</f>
        <v>46307</v>
      </c>
      <c r="F88" s="3" t="s">
        <v>2633</v>
      </c>
      <c r="G88" s="10" t="s">
        <v>2636</v>
      </c>
      <c r="H88" s="10" t="s">
        <v>2631</v>
      </c>
    </row>
    <row r="89" spans="1:8" ht="51" customHeight="1" x14ac:dyDescent="0.2">
      <c r="A89" s="3" t="s">
        <v>2637</v>
      </c>
      <c r="B89" s="12">
        <f>Sensitivity!K59</f>
        <v>1166</v>
      </c>
      <c r="C89" s="10" t="s">
        <v>1071</v>
      </c>
      <c r="D89" s="10" t="s">
        <v>2407</v>
      </c>
      <c r="E89" s="88">
        <f>Inputs!$D$13</f>
        <v>46307</v>
      </c>
      <c r="F89" s="3" t="s">
        <v>2638</v>
      </c>
      <c r="G89" s="10" t="s">
        <v>2639</v>
      </c>
      <c r="H89" s="3" t="s">
        <v>2628</v>
      </c>
    </row>
    <row r="90" spans="1:8" ht="51" customHeight="1" x14ac:dyDescent="0.2">
      <c r="A90" s="3" t="s">
        <v>2640</v>
      </c>
      <c r="B90" s="87">
        <f>Sensitivity!E59</f>
        <v>2.425717453998308</v>
      </c>
      <c r="C90" s="10" t="s">
        <v>1067</v>
      </c>
      <c r="D90" s="10" t="s">
        <v>2414</v>
      </c>
      <c r="E90" s="88">
        <f>Inputs!$D$13</f>
        <v>46307</v>
      </c>
      <c r="F90" s="3" t="s">
        <v>2638</v>
      </c>
      <c r="G90" s="10" t="s">
        <v>2641</v>
      </c>
      <c r="H90" s="10" t="s">
        <v>2631</v>
      </c>
    </row>
    <row r="91" spans="1:8" ht="51" customHeight="1" x14ac:dyDescent="0.2">
      <c r="A91" s="3" t="s">
        <v>2642</v>
      </c>
      <c r="B91" s="12">
        <f>Sensitivity!K60</f>
        <v>998.5</v>
      </c>
      <c r="C91" s="10" t="s">
        <v>1071</v>
      </c>
      <c r="D91" s="10" t="s">
        <v>2407</v>
      </c>
      <c r="E91" s="88">
        <f>Inputs!$D$13</f>
        <v>46307</v>
      </c>
      <c r="F91" s="3" t="s">
        <v>2626</v>
      </c>
      <c r="G91" s="10" t="s">
        <v>2643</v>
      </c>
      <c r="H91" s="3" t="s">
        <v>2628</v>
      </c>
    </row>
    <row r="92" spans="1:8" ht="51" customHeight="1" x14ac:dyDescent="0.2">
      <c r="A92" s="3" t="s">
        <v>2644</v>
      </c>
      <c r="B92" s="87">
        <f>Sensitivity!E60</f>
        <v>3.2342899386644106</v>
      </c>
      <c r="C92" s="10" t="s">
        <v>1067</v>
      </c>
      <c r="D92" s="10" t="s">
        <v>2414</v>
      </c>
      <c r="E92" s="88">
        <f>Inputs!$D$13</f>
        <v>46307</v>
      </c>
      <c r="F92" s="3" t="s">
        <v>2626</v>
      </c>
      <c r="G92" s="10" t="s">
        <v>2645</v>
      </c>
      <c r="H92" s="10" t="s">
        <v>2631</v>
      </c>
    </row>
    <row r="93" spans="1:8" ht="51" customHeight="1" x14ac:dyDescent="0.2">
      <c r="A93" s="3" t="s">
        <v>2646</v>
      </c>
      <c r="B93" s="12">
        <f>Sensitivity!K61</f>
        <v>2797</v>
      </c>
      <c r="C93" s="10" t="s">
        <v>1071</v>
      </c>
      <c r="D93" s="10" t="s">
        <v>2407</v>
      </c>
      <c r="E93" s="88">
        <f>Inputs!$D$13</f>
        <v>46307</v>
      </c>
      <c r="F93" s="3" t="s">
        <v>2633</v>
      </c>
      <c r="G93" s="10" t="s">
        <v>2647</v>
      </c>
      <c r="H93" s="3" t="s">
        <v>2628</v>
      </c>
    </row>
    <row r="94" spans="1:8" ht="51" customHeight="1" x14ac:dyDescent="0.2">
      <c r="A94" s="3" t="s">
        <v>2648</v>
      </c>
      <c r="B94" s="87">
        <f>Sensitivity!E61</f>
        <v>3.2342899386644106</v>
      </c>
      <c r="C94" s="10" t="s">
        <v>1067</v>
      </c>
      <c r="D94" s="10" t="s">
        <v>2414</v>
      </c>
      <c r="E94" s="88">
        <f>Inputs!$D$13</f>
        <v>46307</v>
      </c>
      <c r="F94" s="3" t="s">
        <v>2633</v>
      </c>
      <c r="G94" s="10" t="s">
        <v>2649</v>
      </c>
      <c r="H94" s="10" t="s">
        <v>2631</v>
      </c>
    </row>
    <row r="95" spans="1:8" ht="51" customHeight="1" x14ac:dyDescent="0.2">
      <c r="A95" s="3" t="s">
        <v>2650</v>
      </c>
      <c r="B95" s="12">
        <f>Sensitivity!K62</f>
        <v>3996</v>
      </c>
      <c r="C95" s="10" t="s">
        <v>1071</v>
      </c>
      <c r="D95" s="10" t="s">
        <v>2407</v>
      </c>
      <c r="E95" s="88">
        <f>Inputs!$D$13</f>
        <v>46307</v>
      </c>
      <c r="F95" s="3" t="s">
        <v>2638</v>
      </c>
      <c r="G95" s="10" t="s">
        <v>2651</v>
      </c>
      <c r="H95" s="3" t="s">
        <v>2628</v>
      </c>
    </row>
    <row r="96" spans="1:8" ht="51" customHeight="1" x14ac:dyDescent="0.2">
      <c r="A96" s="3" t="s">
        <v>2652</v>
      </c>
      <c r="B96" s="87">
        <f>Sensitivity!E62</f>
        <v>3.2342899386644106</v>
      </c>
      <c r="C96" s="10" t="s">
        <v>1067</v>
      </c>
      <c r="D96" s="10" t="s">
        <v>2414</v>
      </c>
      <c r="E96" s="88">
        <f>Inputs!$D$13</f>
        <v>46307</v>
      </c>
      <c r="F96" s="3" t="s">
        <v>2638</v>
      </c>
      <c r="G96" s="10" t="s">
        <v>2653</v>
      </c>
      <c r="H96" s="10" t="s">
        <v>2631</v>
      </c>
    </row>
    <row r="97" spans="1:8" ht="51" customHeight="1" x14ac:dyDescent="0.2">
      <c r="A97" s="3" t="s">
        <v>2654</v>
      </c>
      <c r="B97" s="12">
        <f>Sensitivity!K63</f>
        <v>3828.5</v>
      </c>
      <c r="C97" s="10" t="s">
        <v>1071</v>
      </c>
      <c r="D97" s="10" t="s">
        <v>2407</v>
      </c>
      <c r="E97" s="88">
        <f>Inputs!$D$13</f>
        <v>46307</v>
      </c>
      <c r="F97" s="3" t="s">
        <v>2626</v>
      </c>
      <c r="G97" s="10" t="s">
        <v>2655</v>
      </c>
      <c r="H97" s="3" t="s">
        <v>2628</v>
      </c>
    </row>
    <row r="98" spans="1:8" ht="51" customHeight="1" x14ac:dyDescent="0.2">
      <c r="A98" s="3" t="s">
        <v>2656</v>
      </c>
      <c r="B98" s="87">
        <f>Sensitivity!E63</f>
        <v>4.0428624233305133</v>
      </c>
      <c r="C98" s="10" t="s">
        <v>1067</v>
      </c>
      <c r="D98" s="10" t="s">
        <v>2414</v>
      </c>
      <c r="E98" s="88">
        <f>Inputs!$D$13</f>
        <v>46307</v>
      </c>
      <c r="F98" s="3" t="s">
        <v>2626</v>
      </c>
      <c r="G98" s="10" t="s">
        <v>2657</v>
      </c>
      <c r="H98" s="10" t="s">
        <v>2631</v>
      </c>
    </row>
    <row r="99" spans="1:8" ht="51" customHeight="1" x14ac:dyDescent="0.2">
      <c r="A99" s="3" t="s">
        <v>2658</v>
      </c>
      <c r="B99" s="12">
        <f>Sensitivity!K64</f>
        <v>5627</v>
      </c>
      <c r="C99" s="10" t="s">
        <v>1071</v>
      </c>
      <c r="D99" s="10" t="s">
        <v>2407</v>
      </c>
      <c r="E99" s="88">
        <f>Inputs!$D$13</f>
        <v>46307</v>
      </c>
      <c r="F99" s="3" t="s">
        <v>2633</v>
      </c>
      <c r="G99" s="10" t="s">
        <v>2659</v>
      </c>
      <c r="H99" s="3" t="s">
        <v>2628</v>
      </c>
    </row>
    <row r="100" spans="1:8" ht="51" customHeight="1" x14ac:dyDescent="0.2">
      <c r="A100" s="3" t="s">
        <v>2660</v>
      </c>
      <c r="B100" s="87">
        <f>Sensitivity!E64</f>
        <v>4.0428624233305133</v>
      </c>
      <c r="C100" s="10" t="s">
        <v>1067</v>
      </c>
      <c r="D100" s="10" t="s">
        <v>2414</v>
      </c>
      <c r="E100" s="88">
        <f>Inputs!$D$13</f>
        <v>46307</v>
      </c>
      <c r="F100" s="3" t="s">
        <v>2633</v>
      </c>
      <c r="G100" s="10" t="s">
        <v>2661</v>
      </c>
      <c r="H100" s="10" t="s">
        <v>2631</v>
      </c>
    </row>
    <row r="101" spans="1:8" ht="51" customHeight="1" x14ac:dyDescent="0.2">
      <c r="A101" s="3" t="s">
        <v>2662</v>
      </c>
      <c r="B101" s="12">
        <f>Sensitivity!K65</f>
        <v>6826</v>
      </c>
      <c r="C101" s="10" t="s">
        <v>1071</v>
      </c>
      <c r="D101" s="10" t="s">
        <v>2407</v>
      </c>
      <c r="E101" s="88">
        <f>Inputs!$D$13</f>
        <v>46307</v>
      </c>
      <c r="F101" s="3" t="s">
        <v>2638</v>
      </c>
      <c r="G101" s="10" t="s">
        <v>2663</v>
      </c>
      <c r="H101" s="3" t="s">
        <v>2628</v>
      </c>
    </row>
    <row r="102" spans="1:8" ht="51" customHeight="1" x14ac:dyDescent="0.2">
      <c r="A102" s="3" t="s">
        <v>2664</v>
      </c>
      <c r="B102" s="87">
        <f>Sensitivity!E65</f>
        <v>4.0428624233305133</v>
      </c>
      <c r="C102" s="10" t="s">
        <v>1067</v>
      </c>
      <c r="D102" s="10" t="s">
        <v>2414</v>
      </c>
      <c r="E102" s="88">
        <f>Inputs!$D$13</f>
        <v>46307</v>
      </c>
      <c r="F102" s="3" t="s">
        <v>2638</v>
      </c>
      <c r="G102" s="10" t="s">
        <v>2665</v>
      </c>
      <c r="H102" s="10" t="s">
        <v>2631</v>
      </c>
    </row>
    <row r="103" spans="1:8" ht="51" customHeight="1" x14ac:dyDescent="0.2">
      <c r="A103" s="3" t="s">
        <v>2666</v>
      </c>
      <c r="B103" s="12">
        <f>Sensitivity!K66</f>
        <v>6658.5000000000018</v>
      </c>
      <c r="C103" s="10" t="s">
        <v>1071</v>
      </c>
      <c r="D103" s="10" t="s">
        <v>2407</v>
      </c>
      <c r="E103" s="88">
        <f>Inputs!$D$13</f>
        <v>46307</v>
      </c>
      <c r="F103" s="3" t="s">
        <v>2626</v>
      </c>
      <c r="G103" s="10" t="s">
        <v>2667</v>
      </c>
      <c r="H103" s="3" t="s">
        <v>2628</v>
      </c>
    </row>
    <row r="104" spans="1:8" ht="51" customHeight="1" x14ac:dyDescent="0.2">
      <c r="A104" s="3" t="s">
        <v>2668</v>
      </c>
      <c r="B104" s="87">
        <f>Sensitivity!E66</f>
        <v>4.8514349079966159</v>
      </c>
      <c r="C104" s="10" t="s">
        <v>1067</v>
      </c>
      <c r="D104" s="10" t="s">
        <v>2414</v>
      </c>
      <c r="E104" s="88">
        <f>Inputs!$D$13</f>
        <v>46307</v>
      </c>
      <c r="F104" s="3" t="s">
        <v>2626</v>
      </c>
      <c r="G104" s="10" t="s">
        <v>2669</v>
      </c>
      <c r="H104" s="10" t="s">
        <v>2631</v>
      </c>
    </row>
    <row r="105" spans="1:8" ht="51" customHeight="1" x14ac:dyDescent="0.2">
      <c r="A105" s="3" t="s">
        <v>2670</v>
      </c>
      <c r="B105" s="12">
        <f>Sensitivity!K67</f>
        <v>8457.0000000000018</v>
      </c>
      <c r="C105" s="10" t="s">
        <v>1071</v>
      </c>
      <c r="D105" s="10" t="s">
        <v>2407</v>
      </c>
      <c r="E105" s="88">
        <f>Inputs!$D$13</f>
        <v>46307</v>
      </c>
      <c r="F105" s="3" t="s">
        <v>2633</v>
      </c>
      <c r="G105" s="10" t="s">
        <v>2671</v>
      </c>
      <c r="H105" s="3" t="s">
        <v>2628</v>
      </c>
    </row>
    <row r="106" spans="1:8" ht="51" customHeight="1" x14ac:dyDescent="0.2">
      <c r="A106" s="3" t="s">
        <v>2672</v>
      </c>
      <c r="B106" s="87">
        <f>Sensitivity!E67</f>
        <v>4.8514349079966159</v>
      </c>
      <c r="C106" s="10" t="s">
        <v>1067</v>
      </c>
      <c r="D106" s="10" t="s">
        <v>2414</v>
      </c>
      <c r="E106" s="88">
        <f>Inputs!$D$13</f>
        <v>46307</v>
      </c>
      <c r="F106" s="3" t="s">
        <v>2633</v>
      </c>
      <c r="G106" s="10" t="s">
        <v>2673</v>
      </c>
      <c r="H106" s="10" t="s">
        <v>2631</v>
      </c>
    </row>
    <row r="107" spans="1:8" ht="51" customHeight="1" x14ac:dyDescent="0.2">
      <c r="A107" s="3" t="s">
        <v>2674</v>
      </c>
      <c r="B107" s="12">
        <f>Sensitivity!K68</f>
        <v>9656.0000000000018</v>
      </c>
      <c r="C107" s="10" t="s">
        <v>1071</v>
      </c>
      <c r="D107" s="10" t="s">
        <v>2407</v>
      </c>
      <c r="E107" s="88">
        <f>Inputs!$D$13</f>
        <v>46307</v>
      </c>
      <c r="F107" s="3" t="s">
        <v>2638</v>
      </c>
      <c r="G107" s="10" t="s">
        <v>2675</v>
      </c>
      <c r="H107" s="3" t="s">
        <v>2628</v>
      </c>
    </row>
    <row r="108" spans="1:8" ht="51" customHeight="1" x14ac:dyDescent="0.2">
      <c r="A108" s="3" t="s">
        <v>2676</v>
      </c>
      <c r="B108" s="87">
        <f>Sensitivity!E68</f>
        <v>4.8514349079966159</v>
      </c>
      <c r="C108" s="10" t="s">
        <v>1067</v>
      </c>
      <c r="D108" s="10" t="s">
        <v>2414</v>
      </c>
      <c r="E108" s="88">
        <f>Inputs!$D$13</f>
        <v>46307</v>
      </c>
      <c r="F108" s="3" t="s">
        <v>2638</v>
      </c>
      <c r="G108" s="10" t="s">
        <v>2677</v>
      </c>
      <c r="H108" s="10" t="s">
        <v>2631</v>
      </c>
    </row>
    <row r="109" spans="1:8" ht="39" customHeight="1" x14ac:dyDescent="0.2">
      <c r="A109" s="10" t="s">
        <v>2678</v>
      </c>
      <c r="B109" s="12">
        <f>Funding!F13</f>
        <v>34890.385442040417</v>
      </c>
      <c r="C109" s="10" t="s">
        <v>110</v>
      </c>
      <c r="D109" s="10" t="s">
        <v>2407</v>
      </c>
      <c r="E109" s="88">
        <f>Inputs!$D$13</f>
        <v>46307</v>
      </c>
      <c r="F109" s="3" t="s">
        <v>2679</v>
      </c>
      <c r="G109" s="10" t="s">
        <v>2680</v>
      </c>
      <c r="H109" s="10" t="s">
        <v>2681</v>
      </c>
    </row>
    <row r="110" spans="1:8" ht="15" customHeight="1" x14ac:dyDescent="0.2">
      <c r="A110" s="10" t="s">
        <v>2682</v>
      </c>
      <c r="B110" s="15">
        <f>Inputs!D81</f>
        <v>0.6</v>
      </c>
      <c r="C110" s="10" t="s">
        <v>104</v>
      </c>
      <c r="D110" s="10" t="s">
        <v>2418</v>
      </c>
      <c r="E110" s="88">
        <f>Inputs!$D$13</f>
        <v>46307</v>
      </c>
      <c r="F110" s="3" t="s">
        <v>2683</v>
      </c>
      <c r="G110" s="10" t="s">
        <v>1421</v>
      </c>
      <c r="H110" s="10"/>
    </row>
    <row r="111" spans="1:8" ht="15" customHeight="1" x14ac:dyDescent="0.2">
      <c r="A111" s="10" t="s">
        <v>2684</v>
      </c>
      <c r="B111" s="15">
        <f>Inputs!D82</f>
        <v>0.1</v>
      </c>
      <c r="C111" s="10" t="s">
        <v>104</v>
      </c>
      <c r="D111" s="10" t="s">
        <v>2418</v>
      </c>
      <c r="E111" s="88">
        <f>Inputs!$D$13</f>
        <v>46307</v>
      </c>
      <c r="F111" s="3" t="s">
        <v>2683</v>
      </c>
      <c r="G111" s="10" t="s">
        <v>1424</v>
      </c>
      <c r="H111" s="10"/>
    </row>
    <row r="112" spans="1:8" ht="15" customHeight="1" x14ac:dyDescent="0.2">
      <c r="A112" s="10" t="s">
        <v>2685</v>
      </c>
      <c r="B112" s="8">
        <f>Inputs!D80</f>
        <v>911</v>
      </c>
      <c r="C112" s="10" t="s">
        <v>195</v>
      </c>
      <c r="D112" s="10" t="s">
        <v>2407</v>
      </c>
      <c r="E112" s="88">
        <f>Inputs!$D$13</f>
        <v>46307</v>
      </c>
      <c r="F112" s="3" t="s">
        <v>2683</v>
      </c>
      <c r="G112" s="10" t="s">
        <v>1418</v>
      </c>
      <c r="H112" s="10" t="s">
        <v>347</v>
      </c>
    </row>
    <row r="113" spans="1:8" ht="15" customHeight="1" x14ac:dyDescent="0.2">
      <c r="A113" s="10" t="s">
        <v>2686</v>
      </c>
      <c r="B113" s="8">
        <f>Inputs!D21</f>
        <v>4</v>
      </c>
      <c r="C113" s="10" t="s">
        <v>107</v>
      </c>
      <c r="D113" s="10" t="s">
        <v>2407</v>
      </c>
      <c r="E113" s="88">
        <f>Inputs!$D$13</f>
        <v>46307</v>
      </c>
      <c r="F113" s="3" t="s">
        <v>2683</v>
      </c>
      <c r="G113" s="10" t="s">
        <v>1313</v>
      </c>
      <c r="H113" s="10"/>
    </row>
    <row r="114" spans="1:8" ht="15" customHeight="1" x14ac:dyDescent="0.2">
      <c r="A114" s="10" t="s">
        <v>2687</v>
      </c>
      <c r="B114" s="15">
        <f>Inputs!D20</f>
        <v>2.5000000000000001E-2</v>
      </c>
      <c r="C114" s="10" t="s">
        <v>104</v>
      </c>
      <c r="D114" s="10" t="s">
        <v>2418</v>
      </c>
      <c r="E114" s="88">
        <f>Inputs!$D$13</f>
        <v>46307</v>
      </c>
      <c r="F114" s="3" t="s">
        <v>2683</v>
      </c>
      <c r="G114" s="10" t="s">
        <v>1310</v>
      </c>
      <c r="H114" s="10"/>
    </row>
    <row r="115" spans="1:8" ht="15" customHeight="1" x14ac:dyDescent="0.2">
      <c r="A115" s="10" t="s">
        <v>2688</v>
      </c>
      <c r="B115" s="89">
        <f>Summary!H60</f>
        <v>2036</v>
      </c>
      <c r="C115" s="10" t="s">
        <v>2689</v>
      </c>
      <c r="D115" s="10" t="s">
        <v>2690</v>
      </c>
      <c r="E115" s="88">
        <f>Inputs!$D$13</f>
        <v>46307</v>
      </c>
      <c r="F115" s="3" t="s">
        <v>2691</v>
      </c>
      <c r="G115" s="10" t="s">
        <v>2692</v>
      </c>
      <c r="H115" s="10"/>
    </row>
  </sheetData>
  <mergeCells count="3">
    <mergeCell ref="A4:H4"/>
    <mergeCell ref="A3:H3"/>
    <mergeCell ref="A2:H2"/>
  </mergeCells>
  <printOptions horizontalCentered="1"/>
  <pageMargins left="0.2" right="0.2" top="0.25" bottom="0.55000000000000004" header="0.5" footer="0.5"/>
  <pageSetup paperSize="8" scale="65" fitToHeight="0" orientation="landscape" r:id="rId1"/>
  <headerFooter>
    <oddFooter>&amp;C&amp;"Arial"&amp;9 &amp;K5B6B84inashanu | Firmus valuation model | as at 12 October 2026 | Page &amp;P of &amp;N</oddFooter>
    <evenFooter>&amp;C&amp;"Arial"&amp;9 &amp;K5B6B84inashanu | Firmus valuation model | as at 12 October 2026 | Page &amp;P of &amp;N</evenFooter>
    <firstFooter>&amp;C&amp;"Arial"&amp;9 &amp;K5B6B84inashanu | Firmus valuation model | as at 12 October 2026 | 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38</vt:i4>
      </vt:variant>
    </vt:vector>
  </HeadingPairs>
  <TitlesOfParts>
    <vt:vector size="57" baseType="lpstr">
      <vt:lpstr>Read me</vt:lpstr>
      <vt:lpstr>Summary</vt:lpstr>
      <vt:lpstr>Inputs</vt:lpstr>
      <vt:lpstr>Prices</vt:lpstr>
      <vt:lpstr>Capital</vt:lpstr>
      <vt:lpstr>DCF</vt:lpstr>
      <vt:lpstr>Profitability</vt:lpstr>
      <vt:lpstr>Sensitivity</vt:lpstr>
      <vt:lpstr>Funding</vt:lpstr>
      <vt:lpstr>Record</vt:lpstr>
      <vt:lpstr>Comps</vt:lpstr>
      <vt:lpstr>Provenance</vt:lpstr>
      <vt:lpstr>Sources</vt:lpstr>
      <vt:lpstr>GridDCF</vt:lpstr>
      <vt:lpstr>Requirements</vt:lpstr>
      <vt:lpstr>RecoveryDCF</vt:lpstr>
      <vt:lpstr>Recovery</vt:lpstr>
      <vt:lpstr>ValueMW</vt:lpstr>
      <vt:lpstr>PageFigures</vt:lpstr>
      <vt:lpstr>Capital!Print_Area</vt:lpstr>
      <vt:lpstr>Comps!Print_Area</vt:lpstr>
      <vt:lpstr>DCF!Print_Area</vt:lpstr>
      <vt:lpstr>Funding!Print_Area</vt:lpstr>
      <vt:lpstr>GridDCF!Print_Area</vt:lpstr>
      <vt:lpstr>Inputs!Print_Area</vt:lpstr>
      <vt:lpstr>PageFigures!Print_Area</vt:lpstr>
      <vt:lpstr>Prices!Print_Area</vt:lpstr>
      <vt:lpstr>Profitability!Print_Area</vt:lpstr>
      <vt:lpstr>Provenance!Print_Area</vt:lpstr>
      <vt:lpstr>'Read me'!Print_Area</vt:lpstr>
      <vt:lpstr>Record!Print_Area</vt:lpstr>
      <vt:lpstr>Recovery!Print_Area</vt:lpstr>
      <vt:lpstr>RecoveryDCF!Print_Area</vt:lpstr>
      <vt:lpstr>Requirements!Print_Area</vt:lpstr>
      <vt:lpstr>Sensitivity!Print_Area</vt:lpstr>
      <vt:lpstr>Sources!Print_Area</vt:lpstr>
      <vt:lpstr>Summary!Print_Area</vt:lpstr>
      <vt:lpstr>ValueMW!Print_Area</vt:lpstr>
      <vt:lpstr>Capital!Print_Titles</vt:lpstr>
      <vt:lpstr>Comps!Print_Titles</vt:lpstr>
      <vt:lpstr>DCF!Print_Titles</vt:lpstr>
      <vt:lpstr>Funding!Print_Titles</vt:lpstr>
      <vt:lpstr>GridDCF!Print_Titles</vt:lpstr>
      <vt:lpstr>Inputs!Print_Titles</vt:lpstr>
      <vt:lpstr>PageFigures!Print_Titles</vt:lpstr>
      <vt:lpstr>Prices!Print_Titles</vt:lpstr>
      <vt:lpstr>Profitability!Print_Titles</vt:lpstr>
      <vt:lpstr>Provenance!Print_Titles</vt:lpstr>
      <vt:lpstr>'Read me'!Print_Titles</vt:lpstr>
      <vt:lpstr>Record!Print_Titles</vt:lpstr>
      <vt:lpstr>Recovery!Print_Titles</vt:lpstr>
      <vt:lpstr>RecoveryDCF!Print_Titles</vt:lpstr>
      <vt:lpstr>Requirements!Print_Titles</vt:lpstr>
      <vt:lpstr>Sensitivity!Print_Titles</vt:lpstr>
      <vt:lpstr>Sources!Print_Titles</vt:lpstr>
      <vt:lpstr>Summary!Print_Titles</vt:lpstr>
      <vt:lpstr>ValueMW!Print_Titles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2026-10-13T00:00:00Z</dcterms:created>
  <dcterms:modified xsi:type="dcterms:W3CDTF">2026-10-13T00:00:00Z</dcterms:modified>
</cp:coreProperties>
</file>

<file path=docProps/custom.xml><?xml version="1.0" encoding="utf-8"?>
<Properties xmlns="http://schemas.openxmlformats.org/officeDocument/2006/custom-properties" xmlns:vt="http://schemas.openxmlformats.org/officeDocument/2006/docPropsVTypes"/>
</file>